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drawings/drawing3.xml" ContentType="application/vnd.openxmlformats-officedocument.drawing+xml"/>
  <Override PartName="/xl/worksheets/sheet21.xml" ContentType="application/vnd.openxmlformats-officedocument.spreadsheetml.worksheet+xml"/>
  <Override PartName="/xl/comments/comment13.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omments/comment14.xml" ContentType="application/vnd.openxmlformats-officedocument.spreadsheetml.comments+xml"/>
  <Override PartName="/xl/worksheets/sheet26.xml" ContentType="application/vnd.openxmlformats-officedocument.spreadsheetml.worksheet+xml"/>
  <Override PartName="/xl/comments/comment15.xml" ContentType="application/vnd.openxmlformats-officedocument.spreadsheetml.comments+xml"/>
  <Override PartName="/xl/tables/table1.xml" ContentType="application/vnd.openxmlformats-officedocument.spreadsheetml.table+xml"/>
  <Override PartName="/xl/worksheets/sheet27.xml" ContentType="application/vnd.openxmlformats-officedocument.spreadsheetml.worksheet+xml"/>
  <Override PartName="/xl/comments/comment16.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8.xml" ContentType="application/vnd.openxmlformats-officedocument.spreadsheetml.worksheet+xml"/>
  <Override PartName="/xl/comments/comment17.xml" ContentType="application/vnd.openxmlformats-officedocument.spreadsheetml.comments+xml"/>
  <Override PartName="/xl/worksheets/sheet29.xml" ContentType="application/vnd.openxmlformats-officedocument.spreadsheetml.worksheet+xml"/>
  <Override PartName="/xl/drawings/drawing4.xml" ContentType="application/vnd.openxmlformats-officedocument.drawing+xml"/>
  <Override PartName="/xl/worksheets/sheet30.xml" ContentType="application/vnd.openxmlformats-officedocument.spreadsheetml.worksheet+xml"/>
  <Override PartName="/xl/drawings/drawing5.xml" ContentType="application/vnd.openxmlformats-officedocument.drawing+xml"/>
  <Override PartName="/xl/worksheets/sheet31.xml" ContentType="application/vnd.openxmlformats-officedocument.spreadsheetml.worksheet+xml"/>
  <Override PartName="/xl/drawings/drawing6.xml" ContentType="application/vnd.openxmlformats-officedocument.drawing+xml"/>
  <Override PartName="/xl/comments/comment18.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omments/comment19.xml" ContentType="application/vnd.openxmlformats-officedocument.spreadsheetml.comments+xml"/>
  <Override PartName="/xl/worksheets/sheet37.xml" ContentType="application/vnd.openxmlformats-officedocument.spreadsheetml.worksheet+xml"/>
  <Override PartName="/xl/comments/comment20.xml" ContentType="application/vnd.openxmlformats-officedocument.spreadsheetml.comments+xml"/>
  <Override PartName="/xl/worksheets/sheet38.xml" ContentType="application/vnd.openxmlformats-officedocument.spreadsheetml.worksheet+xml"/>
  <Override PartName="/xl/comments/comment21.xml" ContentType="application/vnd.openxmlformats-officedocument.spreadsheetml.comments+xml"/>
  <Override PartName="/xl/worksheets/sheet39.xml" ContentType="application/vnd.openxmlformats-officedocument.spreadsheetml.worksheet+xml"/>
  <Override PartName="/xl/comments/comment22.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20" yWindow="500" windowWidth="42300" windowHeight="23500" tabRatio="713" firstSheet="9" activeTab="16" autoFilterDateGrouping="1"/>
  </bookViews>
  <sheets>
    <sheet xmlns:r="http://schemas.openxmlformats.org/officeDocument/2006/relationships" name="1A. Consolidated - FY P&amp;L" sheetId="1" state="visible" r:id="rId1"/>
    <sheet xmlns:r="http://schemas.openxmlformats.org/officeDocument/2006/relationships" name="2A. Cash Forecast" sheetId="2" state="visible" r:id="rId2"/>
    <sheet xmlns:r="http://schemas.openxmlformats.org/officeDocument/2006/relationships" name="Cash Flow" sheetId="3" state="hidden" r:id="rId3"/>
    <sheet xmlns:r="http://schemas.openxmlformats.org/officeDocument/2006/relationships" name="2B. Cash Collections" sheetId="4" state="visible" r:id="rId4"/>
    <sheet xmlns:r="http://schemas.openxmlformats.org/officeDocument/2006/relationships" name="2C. Inventory Cash Disburse." sheetId="5" state="visible" r:id="rId5"/>
    <sheet xmlns:r="http://schemas.openxmlformats.org/officeDocument/2006/relationships" name="2D. Crowd Funding" sheetId="6" state="visible" r:id="rId6"/>
    <sheet xmlns:r="http://schemas.openxmlformats.org/officeDocument/2006/relationships" name="3A. Tel. - Roll-Up Rev. x Mth." sheetId="7" state="visible" r:id="rId7"/>
    <sheet xmlns:r="http://schemas.openxmlformats.org/officeDocument/2006/relationships" name="3B. Tel. - Rev. Detail x Month" sheetId="8" state="visible" r:id="rId8"/>
    <sheet xmlns:r="http://schemas.openxmlformats.org/officeDocument/2006/relationships" name="3C. Tel. - Revenue Drivers - 1 " sheetId="9" state="visible" r:id="rId9"/>
    <sheet xmlns:r="http://schemas.openxmlformats.org/officeDocument/2006/relationships" name="3D. Tel. - Revenue Drivers - 2" sheetId="10" state="visible" r:id="rId10"/>
    <sheet xmlns:r="http://schemas.openxmlformats.org/officeDocument/2006/relationships" name="3E. Tel. Attrit. Renew. Reward" sheetId="11" state="visible" r:id="rId11"/>
    <sheet xmlns:r="http://schemas.openxmlformats.org/officeDocument/2006/relationships" name="3F. Revenue &amp; COGS Assumptions" sheetId="12" state="visible" r:id="rId12"/>
    <sheet xmlns:r="http://schemas.openxmlformats.org/officeDocument/2006/relationships" name="4A. Tel. - Exps. &amp; OI x Month" sheetId="13" state="visible" r:id="rId13"/>
    <sheet xmlns:r="http://schemas.openxmlformats.org/officeDocument/2006/relationships" name="4B. Tel. Expense Assumptions" sheetId="14" state="visible" r:id="rId14"/>
    <sheet xmlns:r="http://schemas.openxmlformats.org/officeDocument/2006/relationships" name="5A. People Cost Roll-Up" sheetId="15" state="visible" r:id="rId15"/>
    <sheet xmlns:r="http://schemas.openxmlformats.org/officeDocument/2006/relationships" name="5B. HC and Salaries - Mgmt." sheetId="16" state="visible" r:id="rId16"/>
    <sheet xmlns:r="http://schemas.openxmlformats.org/officeDocument/2006/relationships" name="5C. HC and Salaries - Support" sheetId="17" state="visible" r:id="rId17"/>
    <sheet xmlns:r="http://schemas.openxmlformats.org/officeDocument/2006/relationships" name="6A. Pre-Launch Exps. - Roll-Up" sheetId="18" state="visible" r:id="rId18"/>
    <sheet xmlns:r="http://schemas.openxmlformats.org/officeDocument/2006/relationships" name="6B. Pre-Launch Exps. - Detail" sheetId="19" state="visible" r:id="rId19"/>
    <sheet xmlns:r="http://schemas.openxmlformats.org/officeDocument/2006/relationships" name="7. Pure Influence" sheetId="20" state="visible" r:id="rId20"/>
    <sheet xmlns:r="http://schemas.openxmlformats.org/officeDocument/2006/relationships" name="8. Pure Research - 1 of 2" sheetId="21" state="visible" r:id="rId21"/>
    <sheet xmlns:r="http://schemas.openxmlformats.org/officeDocument/2006/relationships" name="8. Pure Research - 2 of 2" sheetId="22" state="visible" r:id="rId22"/>
    <sheet xmlns:r="http://schemas.openxmlformats.org/officeDocument/2006/relationships" name="Sheet1" sheetId="23" state="hidden" r:id="rId23"/>
    <sheet xmlns:r="http://schemas.openxmlformats.org/officeDocument/2006/relationships" name="11. PureBrain" sheetId="24" state="visible" r:id="rId24"/>
    <sheet xmlns:r="http://schemas.openxmlformats.org/officeDocument/2006/relationships" name="9. Camera Commerce" sheetId="25" state="visible" r:id="rId25"/>
    <sheet xmlns:r="http://schemas.openxmlformats.org/officeDocument/2006/relationships" name="10. CPG Projections" sheetId="26" state="visible" r:id="rId26"/>
    <sheet xmlns:r="http://schemas.openxmlformats.org/officeDocument/2006/relationships" name="Ref. 1-User Growth Projections" sheetId="27" state="visible" r:id="rId27"/>
    <sheet xmlns:r="http://schemas.openxmlformats.org/officeDocument/2006/relationships" name="Ref. 2-Bill of Materials Est" sheetId="28" state="visible" r:id="rId28"/>
    <sheet xmlns:r="http://schemas.openxmlformats.org/officeDocument/2006/relationships" name="Ref. 3-Core Model Research 2023" sheetId="29" state="visible" r:id="rId29"/>
    <sheet xmlns:r="http://schemas.openxmlformats.org/officeDocument/2006/relationships" name="Ref. 4-Core Model Research 2025" sheetId="30" state="visible" r:id="rId30"/>
    <sheet xmlns:r="http://schemas.openxmlformats.org/officeDocument/2006/relationships" name="Ref. 5-FY1 Comps Research" sheetId="31" state="visible" r:id="rId31"/>
    <sheet xmlns:r="http://schemas.openxmlformats.org/officeDocument/2006/relationships" name="P&amp;L Assumptions (Companion App)" sheetId="32" state="visible" r:id="rId32"/>
    <sheet xmlns:r="http://schemas.openxmlformats.org/officeDocument/2006/relationships" name="Attrition Wedge (Companion App)" sheetId="33" state="visible" r:id="rId33"/>
    <sheet xmlns:r="http://schemas.openxmlformats.org/officeDocument/2006/relationships" name="P&amp;L Assumptions (Computer App)" sheetId="34" state="visible" r:id="rId34"/>
    <sheet xmlns:r="http://schemas.openxmlformats.org/officeDocument/2006/relationships" name="Attrition Wedge (Computer App)" sheetId="35" state="visible" r:id="rId35"/>
    <sheet xmlns:r="http://schemas.openxmlformats.org/officeDocument/2006/relationships" name="2A. Cash Forecast (VSBLTY)" sheetId="36" state="hidden" r:id="rId36"/>
    <sheet xmlns:r="http://schemas.openxmlformats.org/officeDocument/2006/relationships" name="Pre-Launch - Headcount" sheetId="37" state="hidden" r:id="rId37"/>
    <sheet xmlns:r="http://schemas.openxmlformats.org/officeDocument/2006/relationships" name="Headcount &amp; Salaries - 1 " sheetId="38" state="hidden" r:id="rId38"/>
    <sheet xmlns:r="http://schemas.openxmlformats.org/officeDocument/2006/relationships" name="Headcount &amp; Salaries - 2" sheetId="39" state="hidden" r:id="rId39"/>
    <sheet xmlns:r="http://schemas.openxmlformats.org/officeDocument/2006/relationships" name="Income Statement" sheetId="40" state="hidden" r:id="rId40"/>
    <sheet xmlns:r="http://schemas.openxmlformats.org/officeDocument/2006/relationships" name="Balance Sheet" sheetId="41" state="hidden" r:id="rId41"/>
    <sheet xmlns:r="http://schemas.openxmlformats.org/officeDocument/2006/relationships" name="Depreciation &amp; Amortization " sheetId="42" state="hidden" r:id="rId42"/>
    <sheet xmlns:r="http://schemas.openxmlformats.org/officeDocument/2006/relationships" name="Valuation" sheetId="43" state="hidden" r:id="rId43"/>
    <sheet xmlns:r="http://schemas.openxmlformats.org/officeDocument/2006/relationships" name="Summary" sheetId="44" state="hidden" r:id="rId44"/>
  </sheets>
  <externalReferences>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s>
  <definedNames>
    <definedName name="_xlnm.Print_Area" localSheetId="0">'1A. Consolidated - FY P&amp;L'!$A$1:$N$87</definedName>
    <definedName name="___xlnm.Print_Area" localSheetId="2">'Cash Flow'!$A$1:$BA$39</definedName>
    <definedName name="__xlnm.Print_Area" localSheetId="2">'Cash Flow'!$A$1:$BA$39</definedName>
    <definedName name="___xlnm.Print_Area" localSheetId="13">'4B. Tel. Expense Assumptions'!$B$1:$R$68</definedName>
    <definedName name="___xlnm.Print_Titles" localSheetId="13">'4B. Tel. Expense Assumptions'!$D:$D</definedName>
    <definedName name="__xlnm.Print_Area" localSheetId="13">'4B. Tel. Expense Assumptions'!$B$1:$R$68</definedName>
    <definedName name="__xlnm.Print_Titles" localSheetId="13">'4B. Tel. Expense Assumptions'!$D:$D</definedName>
    <definedName name="___xlnm.Print_Area" localSheetId="18">'6B. Pre-Launch Exps. - Detail'!$A$1:$Q$132</definedName>
    <definedName name="___xlnm.Print_Titles" localSheetId="18">'6B. Pre-Launch Exps. - Detail'!$C:$C</definedName>
    <definedName name="__xlnm.Print_Area" localSheetId="18">'6B. Pre-Launch Exps. - Detail'!$A$1:$Q$132</definedName>
    <definedName name="__xlnm.Print_Titles" localSheetId="18">'6B. Pre-Launch Exps. - Detail'!$C:$C</definedName>
    <definedName name="___xlnm.Print_Area" localSheetId="38">'Headcount &amp; Salaries - 2'!$A$1:$BG$84</definedName>
    <definedName name="__xlnm.Print_Area" localSheetId="38">'Headcount &amp; Salaries - 2'!$A$1:$BG$84</definedName>
    <definedName name="___xlnm.Print_Area" localSheetId="39">'Income Statement'!$A$1:$BB$41</definedName>
    <definedName name="__xlnm.Print_Area" localSheetId="39">'Income Statement'!$A$1:$BB$41</definedName>
    <definedName name="___xlnm.Print_Area" localSheetId="40">'Balance Sheet'!$A$1:$BB$45</definedName>
    <definedName name="__xlnm.Print_Area" localSheetId="40">'Balance Sheet'!$A$1:$BB$45</definedName>
    <definedName name="___xlnm.Print_Area" localSheetId="41">'Depreciation &amp; Amortization '!$A$1:$AA$74</definedName>
    <definedName name="__xlnm.Print_Area" localSheetId="41">'Depreciation &amp; Amortization '!$A$1:$AA$74</definedName>
    <definedName name="___xlnm.Print_Area" localSheetId="42">Valuation!$A$1:$BB$7</definedName>
    <definedName name="__xlnm.Print_Area" localSheetId="42">Valuation!$A$1:$BB$7</definedName>
    <definedName name="___xlnm.Print_Area" localSheetId="43">Summary!$A$1:$I$43</definedName>
    <definedName name="__xlnm.Print_Area" localSheetId="43">Summary!$A$1:$I$43</definedName>
  </definedNames>
  <calcPr calcId="191029" fullCalcOnLoad="1"/>
</workbook>
</file>

<file path=xl/styles.xml><?xml version="1.0" encoding="utf-8"?>
<styleSheet xmlns="http://schemas.openxmlformats.org/spreadsheetml/2006/main">
  <numFmts count="30">
    <numFmt numFmtId="164" formatCode="_(* #,##0.00_);_(* \(#,##0.00\);_(* \-??_);_(@_)"/>
    <numFmt numFmtId="165" formatCode="_(\$#,##0_);_(&quot;$(&quot;#,##0\);_(\-_);_(@_)"/>
    <numFmt numFmtId="166" formatCode="_(* #,##0_);_(* \(#,##0\);_(* \-??_);_(@_)"/>
    <numFmt numFmtId="167" formatCode="&quot;$&quot;#,##0.00"/>
    <numFmt numFmtId="168" formatCode="\$#,##0_);[Red]&quot;($&quot;#,##0\)"/>
    <numFmt numFmtId="169" formatCode="_(\$* #,##0_);_(\$* \(#,##0\);_(\$* \-??_);_(@_)"/>
    <numFmt numFmtId="170" formatCode="_(\$* #,##0.00_);_(\$* \(#,##0.00\);_(\$* \-??_);_(@_)"/>
    <numFmt numFmtId="171" formatCode="_-* #,##0.00_-;\-* #,##0.00_-;_-* \-??_-;_-@"/>
    <numFmt numFmtId="172" formatCode="_(&quot;$&quot;* #,##0.00_);_(&quot;$&quot;* \(#,##0.00\);_(&quot;$&quot;* &quot;-&quot;??_);_(@_)"/>
    <numFmt numFmtId="173" formatCode="0.0%"/>
    <numFmt numFmtId="174" formatCode="\$#,##0.00"/>
    <numFmt numFmtId="175" formatCode="0.00_);\(0.00\)"/>
    <numFmt numFmtId="176" formatCode="\$#,##0_);&quot;($&quot;#,##0\)"/>
    <numFmt numFmtId="177" formatCode="\$#,##0"/>
    <numFmt numFmtId="178" formatCode="mm/dd/yy"/>
    <numFmt numFmtId="179" formatCode="\$#,##0;[Red]\$#,##0"/>
    <numFmt numFmtId="180" formatCode="\$#,##0.00_);[Red]&quot;($&quot;#,##0.00\)"/>
    <numFmt numFmtId="181" formatCode="&quot;$&quot;#,##0"/>
    <numFmt numFmtId="182" formatCode="[$$-409]#,##0.00;[Red]\-[$$-409]#,##0.00"/>
    <numFmt numFmtId="183" formatCode="0.0000%"/>
    <numFmt numFmtId="184" formatCode="&quot;$&quot;#,##0.00_);[Red]\(&quot;$&quot;#,##0.00\)"/>
    <numFmt numFmtId="185" formatCode="_(* #,##0_);_(* \(#,##0\);_(* &quot;-&quot;??_);_(@_)"/>
    <numFmt numFmtId="186" formatCode="_(&quot;$&quot;* #,##0_);_(&quot;$&quot;* \(#,##0\);_(&quot;$&quot;* &quot;-&quot;??_);_(@_)"/>
    <numFmt numFmtId="187" formatCode="&quot;$&quot;#,##0_);[Red]\(&quot;$&quot;#,##0\)"/>
    <numFmt numFmtId="188" formatCode="mmm\ yyyy"/>
    <numFmt numFmtId="189" formatCode="_(&quot;$&quot;* #,##0.00_);_(&quot;$&quot;* \(#,##0.00\);_(&quot;$&quot;* &quot;-&quot;_);_(@_)"/>
    <numFmt numFmtId="190" formatCode="#,##0.0000000000000"/>
    <numFmt numFmtId="191" formatCode="#,##0.00000000000000"/>
    <numFmt numFmtId="192" formatCode="0.00000000000000"/>
    <numFmt numFmtId="193" formatCode="0\x"/>
  </numFmts>
  <fonts count="180">
    <font>
      <name val="Arial"/>
      <color rgb="FF000000"/>
      <sz val="10"/>
    </font>
    <font>
      <name val="Calibri"/>
      <family val="2"/>
      <color theme="1"/>
      <sz val="12"/>
      <scheme val="minor"/>
    </font>
    <font>
      <name val="Calibri"/>
      <family val="2"/>
      <color theme="1"/>
      <sz val="12"/>
      <scheme val="minor"/>
    </font>
    <font>
      <name val="Calibri"/>
      <family val="2"/>
      <color theme="1"/>
      <sz val="11"/>
      <scheme val="minor"/>
    </font>
    <font>
      <name val="Calibri"/>
      <family val="2"/>
      <color rgb="FF003300"/>
      <sz val="8"/>
    </font>
    <font>
      <name val="Calibri"/>
      <family val="2"/>
      <b val="1"/>
      <color rgb="FFFF6600"/>
      <sz val="16"/>
    </font>
    <font>
      <name val="Calibri"/>
      <family val="2"/>
      <color rgb="FF000090"/>
      <sz val="8"/>
    </font>
    <font>
      <name val="Calibri"/>
      <family val="2"/>
      <sz val="8"/>
    </font>
    <font>
      <name val="Calibri"/>
      <family val="2"/>
      <b val="1"/>
      <color rgb="FF000090"/>
      <sz val="8"/>
    </font>
    <font>
      <name val="Calibri"/>
      <family val="2"/>
      <b val="1"/>
      <sz val="8"/>
      <u val="single"/>
    </font>
    <font>
      <name val="Calibri"/>
      <family val="2"/>
      <b val="1"/>
      <color rgb="FFFFFFFF"/>
      <sz val="8"/>
    </font>
    <font>
      <name val="Calibri"/>
      <family val="2"/>
      <color rgb="FFFFFFFF"/>
      <sz val="8"/>
    </font>
    <font>
      <name val="Calibri"/>
      <family val="2"/>
      <b val="1"/>
      <sz val="8"/>
    </font>
    <font>
      <name val="Calibri"/>
      <family val="2"/>
      <b val="1"/>
      <color rgb="FFFFFFFF"/>
      <sz val="8"/>
      <u val="single"/>
    </font>
    <font>
      <name val="Calibri"/>
      <family val="2"/>
      <color rgb="FF006411"/>
      <sz val="8"/>
    </font>
    <font>
      <name val="Calibri"/>
      <family val="2"/>
      <b val="1"/>
      <color rgb="FFFFFFFF"/>
      <sz val="10"/>
    </font>
    <font>
      <name val="Calibri"/>
      <family val="2"/>
      <b val="1"/>
      <sz val="10"/>
    </font>
    <font>
      <name val="Calibri"/>
      <family val="2"/>
      <sz val="10"/>
    </font>
    <font>
      <name val="Calibri"/>
      <family val="2"/>
      <b val="1"/>
      <sz val="12"/>
    </font>
    <font>
      <name val="Arial"/>
      <family val="2"/>
      <sz val="10"/>
    </font>
    <font>
      <name val="Calibri"/>
      <family val="2"/>
      <b val="1"/>
      <color rgb="FFFF6600"/>
      <sz val="18"/>
    </font>
    <font>
      <name val="Calibri"/>
      <family val="2"/>
      <color rgb="FFFF0000"/>
      <sz val="8"/>
    </font>
    <font>
      <name val="Calibri"/>
      <family val="2"/>
      <i val="1"/>
      <sz val="8"/>
    </font>
    <font>
      <name val="Calibri"/>
      <family val="2"/>
      <i val="1"/>
      <color rgb="FF006411"/>
      <sz val="8"/>
    </font>
    <font>
      <name val="Calibri"/>
      <family val="2"/>
      <color rgb="FF000000"/>
      <sz val="8"/>
    </font>
    <font>
      <name val="Calibri"/>
      <family val="2"/>
      <b val="1"/>
      <color rgb="FFDD0806"/>
      <sz val="10"/>
    </font>
    <font>
      <name val="Calibri"/>
      <family val="2"/>
      <b val="1"/>
      <color rgb="FF00CCFF"/>
      <sz val="18"/>
    </font>
    <font>
      <name val="Calibri"/>
      <family val="2"/>
      <color rgb="FFFFFFFF"/>
      <sz val="10"/>
    </font>
    <font>
      <name val="Calibri"/>
      <family val="2"/>
      <b val="1"/>
      <color rgb="FF000000"/>
      <sz val="10"/>
    </font>
    <font>
      <name val="Calibri"/>
      <family val="2"/>
      <color rgb="FF000000"/>
      <sz val="10"/>
    </font>
    <font>
      <name val="Calibri"/>
      <family val="2"/>
      <color rgb="FF0000D4"/>
      <sz val="10"/>
    </font>
    <font>
      <name val="Calibri"/>
      <family val="2"/>
      <b val="1"/>
      <color rgb="FF0000D4"/>
      <sz val="10"/>
    </font>
    <font>
      <name val="Calibri"/>
      <family val="2"/>
      <i val="1"/>
      <color rgb="FF000000"/>
      <sz val="10"/>
    </font>
    <font>
      <name val="Calibri"/>
      <family val="2"/>
      <b val="1"/>
      <i val="1"/>
      <color rgb="FF000000"/>
      <sz val="10"/>
    </font>
    <font>
      <name val="Calibri"/>
      <family val="2"/>
      <b val="1"/>
      <color rgb="FF000000"/>
      <sz val="12"/>
    </font>
    <font>
      <name val="Arial"/>
      <family val="2"/>
      <b val="1"/>
      <sz val="10"/>
    </font>
    <font>
      <name val="Calibri"/>
      <family val="2"/>
      <b val="1"/>
      <i val="1"/>
      <sz val="10"/>
    </font>
    <font>
      <name val="Calibri"/>
      <family val="2"/>
      <color rgb="FF0000FF"/>
      <sz val="10"/>
    </font>
    <font>
      <name val="Calibri"/>
      <family val="2"/>
      <b val="1"/>
      <color rgb="FFFF0000"/>
      <sz val="10"/>
    </font>
    <font>
      <name val="Calibri"/>
      <family val="2"/>
      <b val="1"/>
      <sz val="10"/>
      <u val="single"/>
    </font>
    <font>
      <name val="Calibri"/>
      <family val="2"/>
      <sz val="10"/>
      <u val="single"/>
    </font>
    <font>
      <name val="Calibri"/>
      <family val="2"/>
      <color rgb="FF000000"/>
      <sz val="11"/>
    </font>
    <font>
      <name val="Calibri"/>
      <family val="2"/>
      <b val="1"/>
      <color rgb="FF000000"/>
      <sz val="11"/>
    </font>
    <font>
      <name val="Calibri"/>
      <family val="2"/>
      <i val="1"/>
      <color rgb="FF000000"/>
      <sz val="11"/>
    </font>
    <font>
      <name val="Arial"/>
      <family val="2"/>
      <b val="1"/>
      <color rgb="FF000000"/>
      <sz val="10"/>
    </font>
    <font>
      <name val="Calibri"/>
      <family val="2"/>
      <b val="1"/>
      <color rgb="FFC00000"/>
      <sz val="11"/>
    </font>
    <font>
      <name val="Calibri"/>
      <family val="2"/>
      <b val="1"/>
      <color rgb="FF0070C0"/>
      <sz val="11"/>
    </font>
    <font>
      <name val="Calibri"/>
      <family val="2"/>
      <b val="1"/>
      <color rgb="FFF2F2F2"/>
      <sz val="10"/>
    </font>
    <font>
      <name val="Calibri"/>
      <family val="2"/>
      <color rgb="FF003300"/>
      <sz val="10"/>
    </font>
    <font>
      <name val="Calibri"/>
      <family val="2"/>
      <color rgb="FFFF3333"/>
      <sz val="18"/>
    </font>
    <font>
      <name val="Calibri"/>
      <family val="2"/>
      <b val="1"/>
      <color rgb="FF000090"/>
      <sz val="10"/>
    </font>
    <font>
      <name val="Calibri"/>
      <family val="2"/>
      <b val="1"/>
      <color rgb="FF00CCFF"/>
      <sz val="16"/>
    </font>
    <font>
      <name val="Calibri"/>
      <family val="2"/>
      <color rgb="FFFFFFFF"/>
      <sz val="14"/>
    </font>
    <font>
      <name val="Calibri"/>
      <family val="2"/>
      <color rgb="FFFF6600"/>
      <sz val="10"/>
    </font>
    <font>
      <name val="Calibri"/>
      <family val="2"/>
      <b val="1"/>
      <color rgb="FFFF6600"/>
      <sz val="10"/>
    </font>
    <font>
      <name val="Calibri"/>
      <family val="2"/>
      <i val="1"/>
      <sz val="10"/>
    </font>
    <font>
      <name val="Calibri"/>
      <family val="2"/>
      <b val="1"/>
      <color rgb="FFFFFFFF"/>
      <sz val="12"/>
    </font>
    <font>
      <name val="Roboto"/>
      <b val="1"/>
      <color rgb="FF000000"/>
      <sz val="7"/>
    </font>
    <font>
      <name val="Roboto"/>
      <b val="1"/>
      <color rgb="FF000000"/>
      <sz val="24"/>
    </font>
    <font>
      <name val="Roboto"/>
      <b val="1"/>
      <color rgb="FF000000"/>
      <sz val="22"/>
    </font>
    <font>
      <name val="Calibri"/>
      <family val="2"/>
      <b val="1"/>
      <sz val="11"/>
    </font>
    <font>
      <name val="Calibri"/>
      <family val="2"/>
      <b val="1"/>
      <color rgb="FF003300"/>
      <sz val="8"/>
    </font>
    <font>
      <name val="Times New Roman"/>
      <family val="1"/>
      <b val="1"/>
      <color rgb="FFFFFFFF"/>
      <sz val="11"/>
      <u val="single"/>
    </font>
    <font>
      <name val="Calibri"/>
      <family val="2"/>
      <b val="1"/>
      <sz val="9"/>
    </font>
    <font>
      <name val="Times New Roman"/>
      <family val="1"/>
      <b val="1"/>
      <sz val="11"/>
    </font>
    <font>
      <name val="Times New Roman"/>
      <family val="1"/>
      <sz val="11"/>
    </font>
    <font>
      <name val="Times New Roman"/>
      <family val="1"/>
      <sz val="12"/>
    </font>
    <font>
      <name val="Calibri"/>
      <family val="2"/>
      <b val="1"/>
      <i val="1"/>
      <sz val="8"/>
    </font>
    <font>
      <name val="Times New Roman"/>
      <family val="1"/>
      <b val="1"/>
      <i val="1"/>
      <sz val="11"/>
    </font>
    <font>
      <name val="Times New Roman"/>
      <family val="1"/>
      <b val="1"/>
      <sz val="12"/>
    </font>
    <font>
      <name val="Calibri"/>
      <family val="2"/>
      <b val="1"/>
      <color rgb="FFDD0806"/>
      <sz val="8"/>
    </font>
    <font>
      <name val="Times New Roman"/>
      <family val="1"/>
      <b val="1"/>
      <color rgb="FFDD0806"/>
      <sz val="11"/>
    </font>
    <font>
      <name val="Calibri"/>
      <family val="2"/>
      <b val="1"/>
      <color rgb="FF0000D4"/>
      <sz val="8"/>
    </font>
    <font>
      <name val="Calibri"/>
      <family val="2"/>
      <sz val="11"/>
    </font>
    <font>
      <name val="Calibri"/>
      <family val="2"/>
      <sz val="8"/>
      <u val="single"/>
    </font>
    <font>
      <name val="Calibri"/>
      <family val="2"/>
      <b val="1"/>
      <color rgb="FF000090"/>
      <sz val="8"/>
      <u val="single"/>
    </font>
    <font>
      <name val="Calibri"/>
      <family val="2"/>
      <b val="1"/>
      <color rgb="FF900000"/>
      <sz val="8"/>
    </font>
    <font>
      <name val="Calibri"/>
      <family val="2"/>
      <b val="1"/>
      <color rgb="FF000000"/>
      <sz val="8"/>
    </font>
    <font>
      <name val="Arial"/>
      <family val="2"/>
      <color rgb="FF000000"/>
      <sz val="10"/>
    </font>
    <font>
      <name val="Calibri"/>
      <family val="2"/>
      <b val="1"/>
      <color theme="1"/>
      <sz val="11"/>
      <scheme val="minor"/>
    </font>
    <font>
      <name val="Arial"/>
      <family val="2"/>
      <color theme="1"/>
      <sz val="10"/>
    </font>
    <font>
      <name val="Calibri"/>
      <family val="2"/>
      <color rgb="FF000000"/>
      <sz val="11"/>
      <scheme val="minor"/>
    </font>
    <font>
      <name val="Calibri"/>
      <family val="2"/>
      <b val="1"/>
      <color rgb="FF000000"/>
      <sz val="11"/>
      <scheme val="minor"/>
    </font>
    <font>
      <name val="Calibri"/>
      <family val="2"/>
      <color rgb="FF000000"/>
      <sz val="9"/>
    </font>
    <font>
      <name val="Calibri"/>
      <family val="2"/>
      <b val="1"/>
      <color theme="1"/>
      <sz val="11"/>
    </font>
    <font>
      <name val="Calibri"/>
      <family val="2"/>
      <color theme="1"/>
      <sz val="11"/>
    </font>
    <font>
      <name val="Calibri"/>
      <family val="2"/>
      <sz val="10"/>
      <scheme val="minor"/>
    </font>
    <font>
      <name val="Calibri"/>
      <family val="2"/>
      <sz val="11"/>
      <scheme val="minor"/>
    </font>
    <font>
      <name val="Calibri"/>
      <family val="2"/>
      <b val="1"/>
      <sz val="11"/>
      <scheme val="minor"/>
    </font>
    <font>
      <name val="Arial"/>
      <family val="2"/>
      <sz val="11"/>
    </font>
    <font>
      <name val="Calibri"/>
      <family val="2"/>
      <b val="1"/>
      <color rgb="FFC00000"/>
      <sz val="11"/>
      <scheme val="minor"/>
    </font>
    <font>
      <name val="Calibri"/>
      <family val="2"/>
      <i val="1"/>
      <color rgb="FF000000"/>
      <sz val="11"/>
      <scheme val="minor"/>
    </font>
    <font>
      <name val="Calibri"/>
      <family val="2"/>
      <i val="1"/>
      <sz val="11"/>
      <scheme val="minor"/>
    </font>
    <font>
      <name val="Calibri"/>
      <family val="2"/>
      <b val="1"/>
      <color rgb="FFC00000"/>
      <sz val="10"/>
    </font>
    <font>
      <name val="Calibri"/>
      <family val="2"/>
      <b val="1"/>
      <color rgb="FF0033CC"/>
      <sz val="11"/>
      <scheme val="minor"/>
    </font>
    <font>
      <name val="Calibri"/>
      <family val="2"/>
      <color rgb="FF0033CC"/>
      <sz val="9"/>
    </font>
    <font>
      <name val="Calibri"/>
      <family val="2"/>
      <b val="1"/>
      <color rgb="FFFF6600"/>
      <sz val="11"/>
    </font>
    <font>
      <name val="Calibri"/>
      <family val="2"/>
      <b val="1"/>
      <color theme="1"/>
      <sz val="10"/>
    </font>
    <font>
      <name val="Calibri"/>
      <family val="2"/>
      <color theme="1"/>
      <sz val="10"/>
    </font>
    <font>
      <name val="Calibri"/>
      <family val="2"/>
      <i val="1"/>
      <color theme="1"/>
      <sz val="10"/>
    </font>
    <font>
      <name val="Calibri"/>
      <family val="2"/>
      <b val="1"/>
      <color rgb="FF000000"/>
      <sz val="9"/>
    </font>
    <font>
      <name val="Calibri"/>
      <family val="2"/>
      <b val="1"/>
      <sz val="10"/>
      <scheme val="minor"/>
    </font>
    <font>
      <name val="Calibri"/>
      <family val="2"/>
      <color rgb="FF000000"/>
      <sz val="10"/>
      <scheme val="minor"/>
    </font>
    <font>
      <name val="Calibri"/>
      <family val="2"/>
      <color rgb="FF0033CC"/>
      <sz val="11"/>
    </font>
    <font>
      <name val="Arial"/>
      <family val="2"/>
      <color theme="0"/>
      <sz val="10"/>
    </font>
    <font>
      <name val="Calibri"/>
      <family val="2"/>
      <color theme="0"/>
      <sz val="10"/>
    </font>
    <font>
      <name val="Calibri"/>
      <family val="2"/>
      <b val="1"/>
      <color theme="1"/>
      <sz val="10"/>
      <scheme val="minor"/>
    </font>
    <font>
      <name val="Calibri"/>
      <family val="2"/>
      <color theme="1"/>
      <sz val="10"/>
      <scheme val="minor"/>
    </font>
    <font>
      <name val="Calibri"/>
      <family val="2"/>
      <b val="1"/>
      <color rgb="FF000000"/>
      <sz val="10"/>
      <scheme val="minor"/>
    </font>
    <font>
      <name val="Calibri"/>
      <family val="2"/>
      <color rgb="FF000000"/>
      <sz val="8"/>
      <scheme val="minor"/>
    </font>
    <font>
      <name val="Calibri"/>
      <family val="2"/>
      <b val="1"/>
      <color rgb="FFC00000"/>
      <sz val="10"/>
      <scheme val="minor"/>
    </font>
    <font>
      <name val="Calibri"/>
      <family val="2"/>
      <b val="1"/>
      <color rgb="FF0033CC"/>
      <sz val="10"/>
      <scheme val="minor"/>
    </font>
    <font>
      <name val="Calibri"/>
      <family val="2"/>
      <color rgb="FFC00000"/>
      <sz val="10"/>
      <scheme val="minor"/>
    </font>
    <font>
      <name val="Calibri"/>
      <family val="2"/>
      <color rgb="FF0033CC"/>
      <sz val="10"/>
      <scheme val="minor"/>
    </font>
    <font>
      <name val="Calibri"/>
      <family val="2"/>
      <color rgb="FFC00000"/>
      <sz val="8"/>
    </font>
    <font>
      <name val="Arial"/>
      <family val="2"/>
      <color rgb="FFC00000"/>
      <sz val="10"/>
    </font>
    <font>
      <name val="Calibri"/>
      <family val="2"/>
      <b val="1"/>
      <color rgb="FFC00000"/>
      <sz val="9"/>
    </font>
    <font>
      <name val="Calibri"/>
      <family val="2"/>
      <b val="1"/>
      <color rgb="FF0033CC"/>
      <sz val="10"/>
    </font>
    <font>
      <name val="Calibri"/>
      <family val="2"/>
      <color rgb="FFC00000"/>
      <sz val="11"/>
      <scheme val="minor"/>
    </font>
    <font>
      <name val="Calibri"/>
      <family val="2"/>
      <color rgb="FF0000CC"/>
      <sz val="11"/>
      <scheme val="minor"/>
    </font>
    <font>
      <name val="Calibri"/>
      <family val="2"/>
      <b val="1"/>
      <color rgb="FF0000CC"/>
      <sz val="11"/>
      <scheme val="minor"/>
    </font>
    <font>
      <name val="Calibri"/>
      <family val="2"/>
      <b val="1"/>
      <color rgb="FF9933FF"/>
      <sz val="11"/>
      <scheme val="minor"/>
    </font>
    <font>
      <name val="Calibri"/>
      <family val="2"/>
      <b val="1"/>
      <color rgb="FF0000FF"/>
      <sz val="11"/>
      <scheme val="minor"/>
    </font>
    <font>
      <name val="Calibri"/>
      <family val="2"/>
      <color rgb="FF0033CC"/>
      <sz val="8"/>
      <scheme val="minor"/>
    </font>
    <font>
      <name val="Calibri"/>
      <family val="2"/>
      <color rgb="FF0033CC"/>
      <sz val="11"/>
      <scheme val="minor"/>
    </font>
    <font>
      <name val="Arial"/>
      <family val="2"/>
      <color rgb="FF0033CC"/>
      <sz val="10"/>
    </font>
    <font>
      <name val="Calibri"/>
      <family val="2"/>
      <b val="1"/>
      <color rgb="FFC00000"/>
      <sz val="9"/>
      <scheme val="minor"/>
    </font>
    <font>
      <name val="Arial"/>
      <family val="2"/>
      <b val="1"/>
      <color theme="1"/>
      <sz val="10"/>
    </font>
    <font>
      <name val="Arial"/>
      <family val="2"/>
      <color rgb="FF000000"/>
      <sz val="10"/>
    </font>
    <font>
      <name val="Arial"/>
      <family val="2"/>
      <b val="1"/>
      <color rgb="FF000000"/>
      <sz val="10"/>
      <u val="single"/>
    </font>
    <font>
      <name val="Arial"/>
      <family val="2"/>
      <color theme="0"/>
      <sz val="12"/>
    </font>
    <font>
      <name val="Arial"/>
      <family val="2"/>
      <b val="1"/>
      <color theme="0"/>
      <sz val="12"/>
    </font>
    <font>
      <name val="Arial"/>
      <family val="2"/>
      <color rgb="FF000000"/>
      <sz val="12"/>
    </font>
    <font>
      <name val="Arial"/>
      <family val="2"/>
      <b val="1"/>
      <color rgb="FF000000"/>
      <sz val="12"/>
    </font>
    <font>
      <name val="Calibri"/>
      <family val="2"/>
      <b val="1"/>
      <color rgb="FF000000"/>
      <sz val="12"/>
      <scheme val="minor"/>
    </font>
    <font>
      <name val="Calibri"/>
      <family val="2"/>
      <color rgb="FF000000"/>
      <sz val="12"/>
      <scheme val="minor"/>
    </font>
    <font>
      <name val="Calibri"/>
      <family val="2"/>
      <b val="1"/>
      <color theme="0"/>
      <sz val="12"/>
      <scheme val="minor"/>
    </font>
    <font>
      <name val="Calibri"/>
      <family val="2"/>
      <b val="1"/>
      <color theme="1"/>
      <sz val="12"/>
      <scheme val="minor"/>
    </font>
    <font>
      <name val="Calibri"/>
      <family val="2"/>
      <color theme="0"/>
      <sz val="12"/>
      <scheme val="minor"/>
    </font>
    <font>
      <name val="Calibri"/>
      <family val="2"/>
      <b val="1"/>
      <color theme="1"/>
      <sz val="14"/>
      <scheme val="minor"/>
    </font>
    <font>
      <name val="Calibri"/>
      <family val="2"/>
      <b val="1"/>
      <color theme="0"/>
      <sz val="14"/>
      <scheme val="minor"/>
    </font>
    <font>
      <name val="Arial"/>
      <family val="2"/>
      <color rgb="FF0000FF"/>
      <sz val="10"/>
      <u val="single"/>
    </font>
    <font>
      <name val="Arial"/>
      <family val="2"/>
      <color theme="10"/>
      <sz val="10"/>
      <u val="single"/>
    </font>
    <font>
      <name val="Arial"/>
      <family val="2"/>
      <b val="1"/>
      <color theme="0"/>
      <sz val="16"/>
    </font>
    <font>
      <name val="Arial"/>
      <family val="2"/>
      <b val="1"/>
      <color rgb="FFFF0000"/>
      <sz val="10"/>
    </font>
    <font>
      <name val="Arial"/>
      <family val="2"/>
      <strike val="1"/>
      <color rgb="FF000000"/>
      <sz val="10"/>
    </font>
    <font>
      <name val="Calibri"/>
      <family val="2"/>
      <b val="1"/>
      <strike val="1"/>
      <color rgb="FFFFFFFF"/>
      <sz val="10"/>
    </font>
    <font>
      <name val="Calibri"/>
      <family val="2"/>
      <strike val="1"/>
      <color rgb="FFFFFFFF"/>
      <sz val="10"/>
    </font>
    <font>
      <name val="Calibri"/>
      <family val="2"/>
      <strike val="1"/>
      <color rgb="FF000000"/>
      <sz val="10"/>
    </font>
    <font>
      <name val="Calibri"/>
      <family val="2"/>
      <b val="1"/>
      <strike val="1"/>
      <color rgb="FF000000"/>
      <sz val="10"/>
    </font>
    <font>
      <name val="Calibri"/>
      <family val="2"/>
      <strike val="1"/>
      <sz val="10"/>
    </font>
    <font>
      <name val="Calibri"/>
      <family val="2"/>
      <b val="1"/>
      <strike val="1"/>
      <sz val="10"/>
    </font>
    <font>
      <name val="Arial"/>
      <family val="2"/>
      <strike val="1"/>
      <sz val="10"/>
    </font>
    <font>
      <name val="Arial"/>
      <family val="2"/>
      <color theme="1"/>
      <sz val="12"/>
    </font>
    <font>
      <name val="Arial"/>
      <family val="2"/>
      <b val="1"/>
      <color rgb="FF000000"/>
      <sz val="9"/>
    </font>
    <font>
      <name val="Calibri"/>
      <family val="2"/>
      <b val="1"/>
      <color theme="1"/>
      <sz val="16"/>
      <scheme val="minor"/>
    </font>
    <font>
      <name val="Calibri"/>
      <family val="2"/>
      <color theme="10"/>
      <sz val="12"/>
      <u val="single"/>
      <scheme val="minor"/>
    </font>
    <font>
      <name val="Arial"/>
      <family val="2"/>
      <b val="1"/>
      <sz val="11"/>
    </font>
    <font>
      <name val="Calibri"/>
      <family val="2"/>
      <b val="1"/>
      <color rgb="FFFFFFFF"/>
      <sz val="11"/>
    </font>
    <font>
      <name val="Calibri"/>
      <family val="2"/>
      <i val="1"/>
      <sz val="11"/>
    </font>
    <font>
      <name val="Calibri"/>
      <family val="2"/>
      <b val="1"/>
      <color rgb="FFFFFFFF"/>
      <sz val="14"/>
    </font>
    <font>
      <name val="Calibri"/>
      <family val="2"/>
      <color rgb="FF000000"/>
      <sz val="16"/>
      <scheme val="minor"/>
    </font>
    <font>
      <name val="Calibri"/>
      <family val="2"/>
      <b val="1"/>
      <color rgb="FF000000"/>
      <sz val="16"/>
      <scheme val="minor"/>
    </font>
    <font>
      <name val="Arial"/>
      <family val="2"/>
      <color rgb="FF000000"/>
      <sz val="16"/>
    </font>
    <font>
      <name val="Arial"/>
      <family val="2"/>
      <b val="1"/>
      <color rgb="FF000000"/>
      <sz val="16"/>
    </font>
    <font>
      <name val="Arial"/>
      <family val="2"/>
      <b val="1"/>
      <color rgb="FF000000"/>
      <sz val="11"/>
    </font>
    <font>
      <name val="Arial"/>
      <family val="2"/>
      <color rgb="FF000000"/>
      <sz val="11"/>
    </font>
    <font>
      <name val="Arial"/>
      <family val="2"/>
      <color rgb="FF0563C1"/>
      <sz val="11"/>
      <u val="single"/>
    </font>
    <font>
      <name val="Arial"/>
      <family val="2"/>
      <color rgb="FF0000FF"/>
      <sz val="11"/>
      <u val="single"/>
    </font>
    <font>
      <name val="Arial"/>
      <family val="2"/>
      <color rgb="FF000000"/>
      <sz val="11"/>
      <u val="single"/>
    </font>
    <font>
      <name val="Calibri"/>
      <family val="2"/>
      <color rgb="FF0563C1"/>
      <sz val="11"/>
      <u val="single"/>
    </font>
    <font>
      <name val="Arial"/>
      <family val="2"/>
      <b val="1"/>
      <color rgb="FF1B2A4A"/>
      <sz val="14"/>
    </font>
    <font>
      <name val="Arial"/>
      <family val="2"/>
      <b val="1"/>
      <color rgb="FF1B2A4A"/>
      <sz val="11"/>
    </font>
    <font>
      <name val="Arial"/>
      <family val="2"/>
      <sz val="10"/>
    </font>
    <font>
      <name val="Arial"/>
      <family val="2"/>
      <b val="1"/>
      <sz val="10"/>
    </font>
    <font>
      <name val="Arial"/>
      <family val="2"/>
      <i val="1"/>
      <sz val="9"/>
    </font>
    <font>
      <name val="Arial"/>
      <family val="2"/>
      <b val="1"/>
      <color rgb="FF1B2A4A"/>
      <sz val="10"/>
    </font>
    <font>
      <name val="Arial"/>
      <family val="2"/>
      <i val="1"/>
      <sz val="10"/>
    </font>
    <font>
      <name val="Arial"/>
      <family val="2"/>
      <b val="1"/>
      <sz val="11"/>
    </font>
    <font>
      <name val="Arial"/>
      <family val="2"/>
      <i val="1"/>
      <color rgb="FF666666"/>
      <sz val="9"/>
    </font>
  </fonts>
  <fills count="107">
    <fill>
      <patternFill/>
    </fill>
    <fill>
      <patternFill patternType="gray125"/>
    </fill>
    <fill>
      <patternFill patternType="solid">
        <fgColor rgb="FFA6A6A6"/>
        <bgColor rgb="FFA6A6A6"/>
      </patternFill>
    </fill>
    <fill>
      <patternFill patternType="solid">
        <fgColor rgb="FFFFFF00"/>
        <bgColor rgb="FFFFFF00"/>
      </patternFill>
    </fill>
    <fill>
      <patternFill patternType="solid">
        <fgColor rgb="FFBFBFBF"/>
        <bgColor rgb="FFBFBFBF"/>
      </patternFill>
    </fill>
    <fill>
      <patternFill patternType="solid">
        <fgColor rgb="FF0000FF"/>
        <bgColor rgb="FF0000FF"/>
      </patternFill>
    </fill>
    <fill>
      <patternFill patternType="solid">
        <fgColor rgb="FF00B050"/>
        <bgColor rgb="FF00B050"/>
      </patternFill>
    </fill>
    <fill>
      <patternFill patternType="solid">
        <fgColor rgb="FFFFFFFF"/>
        <bgColor rgb="FFFFFFFF"/>
      </patternFill>
    </fill>
    <fill>
      <patternFill patternType="solid">
        <fgColor rgb="FF00CCFF"/>
        <bgColor rgb="FF00CCFF"/>
      </patternFill>
    </fill>
    <fill>
      <patternFill patternType="solid">
        <fgColor rgb="FF808080"/>
        <bgColor rgb="FF808080"/>
      </patternFill>
    </fill>
    <fill>
      <patternFill patternType="solid">
        <fgColor rgb="FFD9D9D9"/>
        <bgColor rgb="FFD9D9D9"/>
      </patternFill>
    </fill>
    <fill>
      <patternFill patternType="solid">
        <fgColor rgb="FF99FFFF"/>
        <bgColor rgb="FF99FFFF"/>
      </patternFill>
    </fill>
    <fill>
      <patternFill patternType="solid">
        <fgColor rgb="FF66FFFF"/>
        <bgColor rgb="FF66FFFF"/>
      </patternFill>
    </fill>
    <fill>
      <patternFill patternType="solid">
        <fgColor rgb="FF00FFFF"/>
        <bgColor rgb="FF00FFFF"/>
      </patternFill>
    </fill>
    <fill>
      <patternFill patternType="solid">
        <fgColor rgb="FF000000"/>
        <bgColor rgb="FF000000"/>
      </patternFill>
    </fill>
    <fill>
      <patternFill patternType="solid">
        <fgColor rgb="FF00FF00"/>
        <bgColor rgb="FF00FF00"/>
      </patternFill>
    </fill>
    <fill>
      <patternFill patternType="solid">
        <fgColor rgb="FFFF0000"/>
        <bgColor rgb="FFFF0000"/>
      </patternFill>
    </fill>
    <fill>
      <patternFill patternType="solid">
        <fgColor rgb="FF9BBB59"/>
        <bgColor rgb="FF9BBB59"/>
      </patternFill>
    </fill>
    <fill>
      <patternFill patternType="solid">
        <fgColor rgb="FF604A7B"/>
        <bgColor rgb="FF604A7B"/>
      </patternFill>
    </fill>
    <fill>
      <patternFill patternType="solid">
        <fgColor rgb="FF4BACC6"/>
        <bgColor rgb="FF4BACC6"/>
      </patternFill>
    </fill>
    <fill>
      <patternFill patternType="solid">
        <fgColor rgb="FF003366"/>
        <bgColor rgb="FF003366"/>
      </patternFill>
    </fill>
    <fill>
      <patternFill patternType="solid">
        <fgColor rgb="FF99CCFF"/>
        <bgColor rgb="FF99CCFF"/>
      </patternFill>
    </fill>
    <fill>
      <patternFill patternType="solid">
        <fgColor rgb="FF558ED5"/>
        <bgColor rgb="FF558ED5"/>
      </patternFill>
    </fill>
    <fill>
      <patternFill patternType="solid">
        <fgColor rgb="FFFFFF99"/>
        <bgColor rgb="FFFFFF99"/>
      </patternFill>
    </fill>
    <fill>
      <patternFill patternType="solid">
        <fgColor rgb="FFFDE9D9"/>
        <bgColor rgb="FFFDE9D9"/>
      </patternFill>
    </fill>
    <fill>
      <patternFill patternType="solid">
        <fgColor rgb="FFF2DBDB"/>
        <bgColor rgb="FFF2DBDB"/>
      </patternFill>
    </fill>
    <fill>
      <patternFill patternType="solid">
        <fgColor rgb="FFDBE5F1"/>
        <bgColor rgb="FFDBE5F1"/>
      </patternFill>
    </fill>
    <fill>
      <patternFill patternType="solid">
        <fgColor rgb="FFCCFFCC"/>
        <bgColor rgb="FFCCFFCC"/>
      </patternFill>
    </fill>
    <fill>
      <patternFill patternType="solid">
        <fgColor rgb="FFF2F2F2"/>
        <bgColor rgb="FFF2F2F2"/>
      </patternFill>
    </fill>
    <fill>
      <patternFill patternType="solid">
        <fgColor rgb="FF993300"/>
        <bgColor rgb="FF993300"/>
      </patternFill>
    </fill>
    <fill>
      <patternFill patternType="solid">
        <fgColor rgb="FFFF00FF"/>
        <bgColor rgb="FFFF00FF"/>
      </patternFill>
    </fill>
    <fill>
      <patternFill patternType="solid">
        <fgColor rgb="FFC0C0C0"/>
        <bgColor rgb="FFC0C0C0"/>
      </patternFill>
    </fill>
    <fill>
      <patternFill patternType="solid">
        <fgColor rgb="FFB9CDE5"/>
        <bgColor rgb="FFB9CDE5"/>
      </patternFill>
    </fill>
    <fill>
      <patternFill patternType="solid">
        <fgColor theme="9" tint="0.5999938962981048"/>
        <bgColor rgb="FF604A7B"/>
      </patternFill>
    </fill>
    <fill>
      <patternFill patternType="solid">
        <fgColor theme="5" tint="0.5999938962981048"/>
        <bgColor rgb="FF604A7B"/>
      </patternFill>
    </fill>
    <fill>
      <patternFill patternType="solid">
        <fgColor rgb="FFFFC000"/>
        <bgColor indexed="64"/>
      </patternFill>
    </fill>
    <fill>
      <patternFill patternType="solid">
        <fgColor theme="0" tint="-0.1499984740745262"/>
        <bgColor rgb="FFF2F2F2"/>
      </patternFill>
    </fill>
    <fill>
      <patternFill patternType="solid">
        <fgColor theme="7" tint="0.7999816888943144"/>
        <bgColor indexed="64"/>
      </patternFill>
    </fill>
    <fill>
      <patternFill patternType="solid">
        <fgColor rgb="FFCCFFFF"/>
        <bgColor indexed="64"/>
      </patternFill>
    </fill>
    <fill>
      <patternFill patternType="solid">
        <fgColor rgb="FFCCFFCC"/>
        <bgColor indexed="64"/>
      </patternFill>
    </fill>
    <fill>
      <patternFill patternType="solid">
        <fgColor theme="0" tint="-0.1499984740745262"/>
        <bgColor indexed="64"/>
      </patternFill>
    </fill>
    <fill>
      <patternFill patternType="solid">
        <fgColor rgb="FFCCECFF"/>
        <bgColor indexed="64"/>
      </patternFill>
    </fill>
    <fill>
      <patternFill patternType="solid">
        <fgColor rgb="FFFFCCCC"/>
        <bgColor indexed="64"/>
      </patternFill>
    </fill>
    <fill>
      <patternFill patternType="solid">
        <fgColor rgb="FFDDDDDD"/>
        <bgColor indexed="64"/>
      </patternFill>
    </fill>
    <fill>
      <patternFill patternType="solid">
        <fgColor rgb="FFFF9900"/>
        <bgColor indexed="64"/>
      </patternFill>
    </fill>
    <fill>
      <patternFill patternType="solid">
        <fgColor rgb="FFFFFF00"/>
        <bgColor rgb="FF66FFFF"/>
      </patternFill>
    </fill>
    <fill>
      <patternFill patternType="solid">
        <fgColor rgb="FFFFFF00"/>
        <bgColor rgb="FFFFFFFF"/>
      </patternFill>
    </fill>
    <fill>
      <patternFill patternType="solid">
        <fgColor rgb="FFFFFF00"/>
        <bgColor rgb="FFC0C0C0"/>
      </patternFill>
    </fill>
    <fill>
      <patternFill patternType="solid">
        <fgColor theme="4" tint="0.7999816888943144"/>
        <bgColor indexed="64"/>
      </patternFill>
    </fill>
    <fill>
      <patternFill patternType="solid">
        <fgColor rgb="FFCCFF99"/>
        <bgColor indexed="64"/>
      </patternFill>
    </fill>
    <fill>
      <patternFill patternType="solid">
        <fgColor rgb="FFCCCCFF"/>
        <bgColor rgb="FFFFFFFF"/>
      </patternFill>
    </fill>
    <fill>
      <patternFill patternType="solid">
        <fgColor rgb="FFCCCCFF"/>
        <bgColor rgb="FF66FFFF"/>
      </patternFill>
    </fill>
    <fill>
      <patternFill patternType="solid">
        <fgColor rgb="FFCCCCFF"/>
        <bgColor rgb="FFFFFF00"/>
      </patternFill>
    </fill>
    <fill>
      <patternFill patternType="solid">
        <fgColor rgb="FFCCCCFF"/>
        <bgColor indexed="64"/>
      </patternFill>
    </fill>
    <fill>
      <patternFill patternType="solid">
        <fgColor rgb="FFCCFFFF"/>
        <bgColor rgb="FF604A7B"/>
      </patternFill>
    </fill>
    <fill>
      <patternFill patternType="solid">
        <fgColor rgb="FFCCFFFF"/>
        <bgColor rgb="FFFFFFFF"/>
      </patternFill>
    </fill>
    <fill>
      <patternFill patternType="solid">
        <fgColor rgb="FFFFFF00"/>
        <bgColor indexed="64"/>
      </patternFill>
    </fill>
    <fill>
      <patternFill patternType="solid">
        <fgColor theme="0" tint="-0.0499893185216834"/>
        <bgColor rgb="FFF2F2F2"/>
      </patternFill>
    </fill>
    <fill>
      <patternFill patternType="solid">
        <fgColor theme="0" tint="-0.049989318521683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1" tint="0.499984740745262"/>
        <bgColor rgb="FFA6A6A6"/>
      </patternFill>
    </fill>
    <fill>
      <patternFill patternType="solid">
        <fgColor theme="1" tint="0.499984740745262"/>
        <bgColor indexed="64"/>
      </patternFill>
    </fill>
    <fill>
      <patternFill patternType="solid">
        <fgColor theme="0"/>
        <bgColor indexed="64"/>
      </patternFill>
    </fill>
    <fill>
      <patternFill patternType="solid">
        <fgColor rgb="FFCCFFFF"/>
        <bgColor rgb="FFFFFF00"/>
      </patternFill>
    </fill>
    <fill>
      <patternFill patternType="solid">
        <fgColor rgb="FFCCFF99"/>
        <bgColor rgb="FFFFFFFF"/>
      </patternFill>
    </fill>
    <fill>
      <patternFill patternType="solid">
        <fgColor rgb="FFCCFF99"/>
        <bgColor rgb="FF99FFFF"/>
      </patternFill>
    </fill>
    <fill>
      <patternFill patternType="solid">
        <fgColor theme="5" tint="0.5999938962981048"/>
        <bgColor indexed="64"/>
      </patternFill>
    </fill>
    <fill>
      <patternFill patternType="solid">
        <fgColor rgb="FFFFCCFF"/>
        <bgColor indexed="64"/>
      </patternFill>
    </fill>
    <fill>
      <patternFill patternType="solid">
        <fgColor rgb="FF99CCFF"/>
        <bgColor indexed="64"/>
      </patternFill>
    </fill>
    <fill>
      <patternFill patternType="solid">
        <fgColor rgb="FF99FFCC"/>
        <bgColor indexed="64"/>
      </patternFill>
    </fill>
    <fill>
      <patternFill patternType="solid">
        <fgColor rgb="FF00FFFF"/>
        <bgColor indexed="64"/>
      </patternFill>
    </fill>
    <fill>
      <patternFill patternType="solid">
        <fgColor rgb="FFFFCC00"/>
        <bgColor indexed="64"/>
      </patternFill>
    </fill>
    <fill>
      <patternFill patternType="solid">
        <fgColor rgb="FFCC99FF"/>
        <bgColor indexed="64"/>
      </patternFill>
    </fill>
    <fill>
      <patternFill patternType="solid">
        <fgColor rgb="FFCCCC00"/>
        <bgColor indexed="64"/>
      </patternFill>
    </fill>
    <fill>
      <patternFill patternType="solid">
        <fgColor rgb="FFFF9999"/>
        <bgColor indexed="64"/>
      </patternFill>
    </fill>
    <fill>
      <patternFill patternType="solid">
        <fgColor rgb="FF00FF00"/>
        <bgColor indexed="64"/>
      </patternFill>
    </fill>
    <fill>
      <patternFill patternType="solid">
        <fgColor theme="4" tint="0.5999938962981048"/>
        <bgColor indexed="64"/>
      </patternFill>
    </fill>
    <fill>
      <patternFill patternType="solid">
        <fgColor theme="7" tint="0.5999938962981048"/>
        <bgColor indexed="64"/>
      </patternFill>
    </fill>
    <fill>
      <patternFill patternType="solid">
        <fgColor rgb="FF00B0F0"/>
        <bgColor indexed="64"/>
      </patternFill>
    </fill>
    <fill>
      <patternFill patternType="solid">
        <fgColor rgb="FF05B0F0"/>
        <bgColor indexed="64"/>
      </patternFill>
    </fill>
    <fill>
      <patternFill patternType="solid">
        <fgColor rgb="FF359DD9"/>
        <bgColor indexed="64"/>
      </patternFill>
    </fill>
    <fill>
      <patternFill patternType="solid">
        <fgColor rgb="FF3A5FAA"/>
        <bgColor indexed="64"/>
      </patternFill>
    </fill>
    <fill>
      <patternFill patternType="solid">
        <fgColor rgb="FF438FC1"/>
        <bgColor indexed="64"/>
      </patternFill>
    </fill>
    <fill>
      <patternFill patternType="solid">
        <fgColor rgb="FFF24208"/>
        <bgColor indexed="64"/>
      </patternFill>
    </fill>
    <fill>
      <patternFill patternType="solid">
        <fgColor theme="1"/>
        <bgColor indexed="64"/>
      </patternFill>
    </fill>
    <fill>
      <patternFill patternType="solid">
        <fgColor rgb="FFFFE7DD"/>
        <bgColor rgb="FFFFE6DD"/>
      </patternFill>
    </fill>
    <fill>
      <patternFill patternType="solid">
        <fgColor rgb="FFFFE7DD"/>
        <bgColor indexed="64"/>
      </patternFill>
    </fill>
    <fill>
      <patternFill patternType="solid">
        <fgColor rgb="FFD0E0E3"/>
        <bgColor rgb="FFD0E0E3"/>
      </patternFill>
    </fill>
    <fill>
      <patternFill patternType="solid">
        <fgColor rgb="FFFFE6DD"/>
        <bgColor rgb="FFFFE6DD"/>
      </patternFill>
    </fill>
    <fill>
      <patternFill patternType="solid">
        <fgColor rgb="FFFF0000"/>
        <bgColor indexed="64"/>
      </patternFill>
    </fill>
    <fill>
      <patternFill patternType="solid">
        <fgColor rgb="FF9ACDFF"/>
        <bgColor indexed="64"/>
      </patternFill>
    </fill>
    <fill>
      <patternFill patternType="solid">
        <fgColor theme="5"/>
        <bgColor indexed="64"/>
      </patternFill>
    </fill>
    <fill>
      <patternFill patternType="solid">
        <fgColor rgb="FFF8CBAD"/>
        <bgColor rgb="FF000000"/>
      </patternFill>
    </fill>
    <fill>
      <patternFill patternType="solid">
        <fgColor rgb="FF00FF00"/>
        <bgColor rgb="FFFFFFFF"/>
      </patternFill>
    </fill>
    <fill>
      <patternFill patternType="solid">
        <fgColor theme="0"/>
        <bgColor rgb="FFFFFFFF"/>
      </patternFill>
    </fill>
    <fill>
      <patternFill patternType="solid">
        <fgColor rgb="FFF9CCAD"/>
        <bgColor indexed="64"/>
      </patternFill>
    </fill>
    <fill>
      <patternFill patternType="solid">
        <fgColor rgb="FFFFF2CC"/>
        <bgColor rgb="FFFFF2CC"/>
      </patternFill>
    </fill>
    <fill>
      <patternFill patternType="solid">
        <fgColor rgb="FFF4CCCC"/>
        <bgColor rgb="FFF4CCCC"/>
      </patternFill>
    </fill>
    <fill>
      <patternFill patternType="solid">
        <fgColor rgb="FFE6B8AF"/>
        <bgColor rgb="FFE6B8AF"/>
      </patternFill>
    </fill>
    <fill>
      <patternFill patternType="solid">
        <fgColor rgb="FFFFE599"/>
        <bgColor rgb="FFFFE599"/>
      </patternFill>
    </fill>
    <fill>
      <patternFill patternType="solid">
        <fgColor rgb="FFC27BA0"/>
        <bgColor rgb="FFC27BA0"/>
      </patternFill>
    </fill>
    <fill>
      <patternFill patternType="solid">
        <fgColor rgb="FFFCE5CD"/>
        <bgColor rgb="FFFCE5CD"/>
      </patternFill>
    </fill>
    <fill>
      <patternFill patternType="solid">
        <fgColor rgb="FF00B4FF"/>
        <bgColor rgb="FF00B4FF"/>
      </patternFill>
    </fill>
    <fill>
      <patternFill patternType="solid">
        <fgColor rgb="FFFFCC00"/>
        <bgColor rgb="FFFFCC00"/>
      </patternFill>
    </fill>
    <fill>
      <patternFill patternType="solid">
        <fgColor rgb="FFCFE2F3"/>
        <bgColor rgb="FFCFE2F3"/>
      </patternFill>
    </fill>
    <fill>
      <patternFill patternType="solid">
        <fgColor rgb="FFFFF3CC"/>
        <bgColor indexed="64"/>
      </patternFill>
    </fill>
  </fills>
  <borders count="129">
    <border>
      <left/>
      <right/>
      <top/>
      <bottom/>
      <diagonal/>
    </border>
    <border>
      <left style="medium">
        <color rgb="FF000000"/>
      </left>
      <right/>
      <top style="medium">
        <color rgb="FF000000"/>
      </top>
      <bottom/>
      <diagonal/>
    </border>
    <border>
      <left/>
      <right style="medium">
        <color rgb="FF000000"/>
      </right>
      <top/>
      <bottom/>
      <diagonal/>
    </border>
    <border>
      <left/>
      <right/>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thin">
        <color rgb="FF000000"/>
      </top>
      <bottom style="double">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double">
        <color rgb="FF000000"/>
      </bottom>
      <diagonal/>
    </border>
    <border>
      <left/>
      <right style="thin">
        <color rgb="FF000000"/>
      </right>
      <top/>
      <bottom style="double">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top/>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style="thin">
        <color indexed="64"/>
      </left>
      <right/>
      <top/>
      <bottom style="double">
        <color rgb="FF000000"/>
      </bottom>
      <diagonal/>
    </border>
    <border>
      <left/>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rgb="FF000000"/>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rgb="FFA75C1B"/>
      </left>
      <right style="thin">
        <color rgb="FFDE7A24"/>
      </right>
      <top style="thin">
        <color rgb="FFA75C1B"/>
      </top>
      <bottom style="thin">
        <color rgb="FFA75C1B"/>
      </bottom>
      <diagonal/>
    </border>
    <border>
      <left style="thin">
        <color rgb="FFDE7A24"/>
      </left>
      <right style="thin">
        <color rgb="FFDE7A24"/>
      </right>
      <top style="thin">
        <color rgb="FFA75C1B"/>
      </top>
      <bottom style="thin">
        <color rgb="FFA75C1B"/>
      </bottom>
      <diagonal/>
    </border>
    <border>
      <left style="medium">
        <color indexed="64"/>
      </left>
      <right style="medium">
        <color indexed="64"/>
      </right>
      <top style="medium">
        <color indexed="64"/>
      </top>
      <bottom style="thin">
        <color rgb="FFA75C1B"/>
      </bottom>
      <diagonal/>
    </border>
    <border>
      <left/>
      <right style="thin">
        <color rgb="FFDE7A24"/>
      </right>
      <top style="thin">
        <color rgb="FFA75C1B"/>
      </top>
      <bottom style="thin">
        <color rgb="FFA75C1B"/>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medium">
        <color indexed="64"/>
      </left>
      <right style="medium">
        <color indexed="64"/>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style="thin">
        <color rgb="FF000000"/>
      </right>
      <top style="thin">
        <color rgb="FFD0E0E3"/>
      </top>
      <bottom style="thin">
        <color rgb="FF000000"/>
      </bottom>
      <diagonal/>
    </border>
    <border>
      <left style="thin">
        <color rgb="FFF6F8F9"/>
      </left>
      <right style="thin">
        <color rgb="FFF6F8F9"/>
      </right>
      <top style="thin">
        <color rgb="FFF6F8F9"/>
      </top>
      <bottom style="thin">
        <color rgb="FFF6F8F9"/>
      </bottom>
      <diagonal/>
    </border>
    <border>
      <left style="thin">
        <color rgb="FFF6F8F9"/>
      </left>
      <right/>
      <top style="thin">
        <color rgb="FFF6F8F9"/>
      </top>
      <bottom style="thin">
        <color rgb="FFF6F8F9"/>
      </bottom>
      <diagonal/>
    </border>
    <border>
      <left style="medium">
        <color indexed="64"/>
      </left>
      <right style="medium">
        <color indexed="64"/>
      </right>
      <top style="thin">
        <color rgb="FFF6F8F9"/>
      </top>
      <bottom style="thin">
        <color rgb="FFF6F8F9"/>
      </bottom>
      <diagonal/>
    </border>
    <border>
      <left/>
      <right style="thin">
        <color rgb="FFA75C1B"/>
      </right>
      <top style="thin">
        <color rgb="FFF6F8F9"/>
      </top>
      <bottom style="thin">
        <color rgb="FFF6F8F9"/>
      </bottom>
      <diagonal/>
    </border>
    <border>
      <left style="thin">
        <color rgb="FFF6F8F9"/>
      </left>
      <right style="thin">
        <color rgb="FFA75C1B"/>
      </right>
      <top style="thin">
        <color rgb="FFF6F8F9"/>
      </top>
      <bottom style="thin">
        <color rgb="FFF6F8F9"/>
      </bottom>
      <diagonal/>
    </border>
    <border>
      <left style="thin">
        <color rgb="FFFFFFFF"/>
      </left>
      <right style="thin">
        <color rgb="FFA75C1B"/>
      </right>
      <top style="thin">
        <color rgb="FFFFFFFF"/>
      </top>
      <bottom style="thin">
        <color rgb="FFFFFFFF"/>
      </bottom>
      <diagonal/>
    </border>
    <border>
      <left/>
      <right style="thin">
        <color rgb="FFA75C1B"/>
      </right>
      <top style="thin">
        <color rgb="FFFFFFFF"/>
      </top>
      <bottom style="thin">
        <color rgb="FFFFFFFF"/>
      </bottom>
      <diagonal/>
    </border>
    <border>
      <left style="medium">
        <color indexed="64"/>
      </left>
      <right style="medium">
        <color indexed="64"/>
      </right>
      <top/>
      <bottom/>
      <diagonal/>
    </border>
    <border>
      <left style="thin">
        <color rgb="FFF6F8F9"/>
      </left>
      <right style="thin">
        <color rgb="FFF6F8F9"/>
      </right>
      <top style="thin">
        <color rgb="FFF6F8F9"/>
      </top>
      <bottom style="thin">
        <color rgb="FFA75C1B"/>
      </bottom>
      <diagonal/>
    </border>
    <border>
      <left style="thin">
        <color rgb="FFF6F8F9"/>
      </left>
      <right style="thin">
        <color rgb="FFA75C1B"/>
      </right>
      <top style="thin">
        <color rgb="FFF6F8F9"/>
      </top>
      <bottom style="thin">
        <color rgb="FFA75C1B"/>
      </bottom>
      <diagonal/>
    </border>
    <border>
      <left style="thin">
        <color rgb="FFF6F8F9"/>
      </left>
      <right/>
      <top style="thin">
        <color rgb="FFF6F8F9"/>
      </top>
      <bottom style="thin">
        <color rgb="FFA75C1B"/>
      </bottom>
      <diagonal/>
    </border>
    <border>
      <left style="medium">
        <color indexed="64"/>
      </left>
      <right style="medium">
        <color indexed="64"/>
      </right>
      <top style="thin">
        <color rgb="FFF6F8F9"/>
      </top>
      <bottom style="thin">
        <color rgb="FFA75C1B"/>
      </bottom>
      <diagonal/>
    </border>
    <border>
      <left/>
      <right style="thin">
        <color rgb="FFA75C1B"/>
      </right>
      <top style="thin">
        <color rgb="FFF6F8F9"/>
      </top>
      <bottom style="thin">
        <color rgb="FFA75C1B"/>
      </bottom>
      <diagonal/>
    </border>
    <border>
      <left style="medium">
        <color indexed="64"/>
      </left>
      <right style="medium">
        <color indexed="64"/>
      </right>
      <top/>
      <bottom style="medium">
        <color indexed="64"/>
      </bottom>
      <diagonal/>
    </border>
    <border>
      <left style="thin">
        <color theme="6"/>
      </left>
      <right/>
      <top/>
      <bottom style="thin">
        <color theme="6"/>
      </bottom>
      <diagonal/>
    </border>
    <border>
      <left/>
      <right style="thin">
        <color theme="6"/>
      </right>
      <top/>
      <bottom style="thin">
        <color theme="6"/>
      </bottom>
      <diagonal/>
    </border>
    <border>
      <left style="thin">
        <color rgb="FFD4D4D4"/>
      </left>
      <right style="thin">
        <color rgb="FFD4D4D4"/>
      </right>
      <top style="thin">
        <color rgb="FFD4D4D4"/>
      </top>
      <bottom style="thin">
        <color rgb="FFD4D4D4"/>
      </bottom>
      <diagonal/>
    </border>
    <border>
      <left/>
      <right style="thin">
        <color rgb="FFD4D4D4"/>
      </right>
      <top style="thin">
        <color rgb="FFD4D4D4"/>
      </top>
      <bottom/>
      <diagonal/>
    </border>
    <border>
      <left/>
      <right style="thin">
        <color rgb="FFD4D4D4"/>
      </right>
      <top style="thin">
        <color rgb="FFD4D4D4"/>
      </top>
      <bottom style="thin">
        <color rgb="FFD4D4D4"/>
      </bottom>
      <diagonal/>
    </border>
    <border>
      <left/>
      <right style="thin">
        <color theme="6"/>
      </right>
      <top style="thin">
        <color rgb="FFD4D4D4"/>
      </top>
      <bottom/>
      <diagonal/>
    </border>
    <border>
      <left/>
      <right style="thin">
        <color theme="6"/>
      </right>
      <top style="thin">
        <color rgb="FFD4D4D4"/>
      </top>
      <bottom style="thin">
        <color rgb="FFD4D4D4"/>
      </bottom>
      <diagonal/>
    </border>
    <border>
      <left style="thin">
        <color rgb="FFD4D4D4"/>
      </left>
      <right style="thin">
        <color rgb="FFD4D4D4"/>
      </right>
      <top/>
      <bottom style="thin">
        <color rgb="FFD4D4D4"/>
      </bottom>
      <diagonal/>
    </border>
    <border>
      <left style="thin">
        <color rgb="FFD4D4D4"/>
      </left>
      <right style="thin">
        <color rgb="FFD4D4D4"/>
      </right>
      <top/>
      <bottom/>
      <diagonal/>
    </border>
    <border>
      <left/>
      <right style="thin">
        <color theme="6"/>
      </right>
      <top/>
      <bottom style="thin">
        <color rgb="FFD4D4D4"/>
      </bottom>
      <diagonal/>
    </border>
    <border>
      <left style="thin">
        <color theme="6"/>
      </left>
      <right style="thin">
        <color rgb="FFD4D4D4"/>
      </right>
      <top/>
      <bottom style="thin">
        <color rgb="FFD4D4D4"/>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thick">
        <color rgb="FF000000"/>
      </left>
      <right style="thick">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right/>
      <top/>
      <bottom style="thick">
        <color rgb="FF000000"/>
      </bottom>
      <diagonal/>
    </border>
    <border>
      <left/>
      <right/>
      <top style="thick">
        <color rgb="FF000000"/>
      </top>
      <bottom style="thick">
        <color rgb="FF000000"/>
      </bottom>
      <diagonal/>
    </border>
    <border>
      <left style="thick">
        <color rgb="FF000000"/>
      </left>
      <right style="thick">
        <color rgb="FF000000"/>
      </right>
      <top/>
      <bottom style="thick">
        <color rgb="FF000000"/>
      </bottom>
      <diagonal/>
    </border>
    <border>
      <left style="thick">
        <color rgb="FFFF9900"/>
      </left>
      <right/>
      <top style="thick">
        <color rgb="FFFF9900"/>
      </top>
      <bottom/>
      <diagonal/>
    </border>
    <border>
      <left/>
      <right style="thick">
        <color rgb="FFFF9900"/>
      </right>
      <top style="thick">
        <color rgb="FFFF9900"/>
      </top>
      <bottom/>
      <diagonal/>
    </border>
    <border>
      <left style="thick">
        <color rgb="FFFF9900"/>
      </left>
      <right/>
      <top/>
      <bottom/>
      <diagonal/>
    </border>
    <border>
      <left/>
      <right style="thick">
        <color rgb="FFFF9900"/>
      </right>
      <top/>
      <bottom/>
      <diagonal/>
    </border>
    <border>
      <left style="thick">
        <color rgb="FFFF9900"/>
      </left>
      <right/>
      <top/>
      <bottom style="thick">
        <color rgb="FFFF9900"/>
      </bottom>
      <diagonal/>
    </border>
    <border>
      <left/>
      <right style="thick">
        <color rgb="FFFF9900"/>
      </right>
      <top/>
      <bottom style="thick">
        <color rgb="FFFF9900"/>
      </bottom>
      <diagonal/>
    </border>
    <border>
      <left style="thick">
        <color rgb="FF000000"/>
      </left>
      <right/>
      <top style="thick">
        <color rgb="FF000000"/>
      </top>
      <bottom style="thick">
        <color rgb="FF000000"/>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right/>
      <top style="medium">
        <color rgb="FF000000"/>
      </top>
      <bottom style="thick">
        <color rgb="FF000000"/>
      </bottom>
      <diagonal/>
    </border>
    <border>
      <left/>
      <right style="medium">
        <color rgb="FF000000"/>
      </right>
      <top style="medium">
        <color rgb="FF000000"/>
      </top>
      <bottom style="thick">
        <color rgb="FF000000"/>
      </bottom>
      <diagonal/>
    </border>
    <border>
      <left style="medium">
        <color rgb="FF000000"/>
      </left>
      <right style="thick">
        <color rgb="FF000000"/>
      </right>
      <top style="medium">
        <color rgb="FF000000"/>
      </top>
      <bottom style="thick">
        <color rgb="FF000000"/>
      </bottom>
      <diagonal/>
    </border>
    <border>
      <left style="medium">
        <color theme="1"/>
      </left>
      <right style="medium">
        <color theme="1"/>
      </right>
      <top style="medium">
        <color theme="1"/>
      </top>
      <bottom style="medium">
        <color theme="1"/>
      </bottom>
      <diagonal/>
    </border>
    <border>
      <left style="thin">
        <color indexed="64"/>
      </left>
      <right style="thin">
        <color indexed="64"/>
      </right>
      <top/>
      <bottom/>
      <diagonal/>
    </border>
    <border>
      <left style="thick">
        <color rgb="FF000000"/>
      </left>
      <right style="medium">
        <color rgb="FF000000"/>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style="thick">
        <color rgb="FF000000"/>
      </top>
      <bottom/>
      <diagonal/>
    </border>
    <border>
      <left/>
      <right style="medium">
        <color rgb="FF000000"/>
      </right>
      <top style="thick">
        <color rgb="FF000000"/>
      </top>
      <bottom/>
      <diagonal/>
    </border>
  </borders>
  <cellStyleXfs count="16">
    <xf numFmtId="0" fontId="0" fillId="0" borderId="16"/>
    <xf numFmtId="9" fontId="128" fillId="0" borderId="16"/>
    <xf numFmtId="44" fontId="128" fillId="0" borderId="16"/>
    <xf numFmtId="43" fontId="128" fillId="0" borderId="16"/>
    <xf numFmtId="0" fontId="2" fillId="0" borderId="16"/>
    <xf numFmtId="44" fontId="2" fillId="0" borderId="16"/>
    <xf numFmtId="9" fontId="2" fillId="0" borderId="16"/>
    <xf numFmtId="0" fontId="102" fillId="0" borderId="16"/>
    <xf numFmtId="9" fontId="102" fillId="0" borderId="16"/>
    <xf numFmtId="44" fontId="102" fillId="0" borderId="16"/>
    <xf numFmtId="0" fontId="142" fillId="0" borderId="16"/>
    <xf numFmtId="0" fontId="128" fillId="0" borderId="16"/>
    <xf numFmtId="9" fontId="128" fillId="0" borderId="16"/>
    <xf numFmtId="0" fontId="156" fillId="0" borderId="16"/>
    <xf numFmtId="0" fontId="41" fillId="0" borderId="16"/>
    <xf numFmtId="0" fontId="81" fillId="0" borderId="16"/>
  </cellStyleXfs>
  <cellXfs count="2185">
    <xf numFmtId="0" fontId="0" fillId="0" borderId="0" pivotButton="0" quotePrefix="0" xfId="0"/>
    <xf numFmtId="0" fontId="4" fillId="0" borderId="0" pivotButton="0" quotePrefix="0" xfId="0"/>
    <xf numFmtId="164" fontId="5" fillId="0" borderId="0" pivotButton="0" quotePrefix="0" xfId="0"/>
    <xf numFmtId="0" fontId="6" fillId="0" borderId="0" pivotButton="0" quotePrefix="0" xfId="0"/>
    <xf numFmtId="0" fontId="4" fillId="0" borderId="0" applyAlignment="1" pivotButton="0" quotePrefix="0" xfId="0">
      <alignment horizontal="center"/>
    </xf>
    <xf numFmtId="165" fontId="4" fillId="0" borderId="0" applyAlignment="1" pivotButton="0" quotePrefix="0" xfId="0">
      <alignment horizontal="right"/>
    </xf>
    <xf numFmtId="0" fontId="4" fillId="0" borderId="0" applyAlignment="1" pivotButton="0" quotePrefix="0" xfId="0">
      <alignment horizontal="right"/>
    </xf>
    <xf numFmtId="0" fontId="7" fillId="0" borderId="0" pivotButton="0" quotePrefix="0" xfId="0"/>
    <xf numFmtId="22" fontId="7" fillId="0" borderId="0" applyAlignment="1" pivotButton="0" quotePrefix="0" xfId="0">
      <alignment horizontal="left"/>
    </xf>
    <xf numFmtId="0" fontId="8" fillId="0" borderId="0" pivotButton="0" quotePrefix="0" xfId="0"/>
    <xf numFmtId="0" fontId="7" fillId="0" borderId="0" applyAlignment="1" pivotButton="0" quotePrefix="0" xfId="0">
      <alignment horizontal="center"/>
    </xf>
    <xf numFmtId="0" fontId="12" fillId="0" borderId="0" applyAlignment="1" pivotButton="0" quotePrefix="0" xfId="0">
      <alignment horizontal="center"/>
    </xf>
    <xf numFmtId="166" fontId="7" fillId="0" borderId="0" pivotButton="0" quotePrefix="0" xfId="0"/>
    <xf numFmtId="0" fontId="12" fillId="0" borderId="0" applyAlignment="1" pivotButton="0" quotePrefix="0" xfId="0">
      <alignment horizontal="left"/>
    </xf>
    <xf numFmtId="167" fontId="7" fillId="0" borderId="0" applyAlignment="1" pivotButton="0" quotePrefix="0" xfId="0">
      <alignment horizontal="center"/>
    </xf>
    <xf numFmtId="168" fontId="12" fillId="0" borderId="0" pivotButton="0" quotePrefix="0" xfId="0"/>
    <xf numFmtId="164" fontId="12" fillId="0" borderId="0" applyAlignment="1" pivotButton="0" quotePrefix="0" xfId="0">
      <alignment horizontal="left"/>
    </xf>
    <xf numFmtId="166" fontId="4" fillId="0" borderId="0" pivotButton="0" quotePrefix="0" xfId="0"/>
    <xf numFmtId="166" fontId="14" fillId="0" borderId="0" pivotButton="0" quotePrefix="0" xfId="0"/>
    <xf numFmtId="166" fontId="12" fillId="0" borderId="0" pivotButton="0" quotePrefix="0" xfId="0"/>
    <xf numFmtId="169" fontId="7" fillId="0" borderId="0" applyAlignment="1" pivotButton="0" quotePrefix="0" xfId="0">
      <alignment horizontal="center"/>
    </xf>
    <xf numFmtId="167" fontId="12" fillId="4" borderId="1" applyAlignment="1" pivotButton="0" quotePrefix="0" xfId="0">
      <alignment horizontal="left"/>
    </xf>
    <xf numFmtId="167" fontId="7" fillId="4" borderId="2" applyAlignment="1" pivotButton="0" quotePrefix="0" xfId="0">
      <alignment horizontal="center"/>
    </xf>
    <xf numFmtId="164" fontId="16" fillId="0" borderId="0" applyAlignment="1" pivotButton="0" quotePrefix="0" xfId="0">
      <alignment horizontal="left"/>
    </xf>
    <xf numFmtId="167" fontId="12" fillId="4" borderId="0" applyAlignment="1" pivotButton="0" quotePrefix="0" xfId="0">
      <alignment horizontal="center"/>
    </xf>
    <xf numFmtId="0" fontId="12" fillId="0" borderId="0" pivotButton="0" quotePrefix="0" xfId="0"/>
    <xf numFmtId="9" fontId="12" fillId="3" borderId="0" applyAlignment="1" pivotButton="0" quotePrefix="0" xfId="0">
      <alignment horizontal="center"/>
    </xf>
    <xf numFmtId="167" fontId="7" fillId="4" borderId="3" applyAlignment="1" pivotButton="0" quotePrefix="0" xfId="0">
      <alignment horizontal="center"/>
    </xf>
    <xf numFmtId="167" fontId="17" fillId="4" borderId="3" applyAlignment="1" pivotButton="0" quotePrefix="0" xfId="0">
      <alignment horizontal="center"/>
    </xf>
    <xf numFmtId="169" fontId="7" fillId="0" borderId="0" applyAlignment="1" pivotButton="0" quotePrefix="0" xfId="0">
      <alignment horizontal="left"/>
    </xf>
    <xf numFmtId="164" fontId="18" fillId="0" borderId="4" applyAlignment="1" pivotButton="0" quotePrefix="0" xfId="0">
      <alignment horizontal="left"/>
    </xf>
    <xf numFmtId="169" fontId="18" fillId="6" borderId="5" applyAlignment="1" pivotButton="0" quotePrefix="0" xfId="0">
      <alignment horizontal="center"/>
    </xf>
    <xf numFmtId="169" fontId="18" fillId="7" borderId="0" applyAlignment="1" pivotButton="0" quotePrefix="0" xfId="0">
      <alignment horizontal="center"/>
    </xf>
    <xf numFmtId="166" fontId="7" fillId="0" borderId="0" applyAlignment="1" pivotButton="0" quotePrefix="0" xfId="0">
      <alignment horizontal="right"/>
    </xf>
    <xf numFmtId="165" fontId="7" fillId="0" borderId="0" applyAlignment="1" pivotButton="0" quotePrefix="0" xfId="0">
      <alignment horizontal="right"/>
    </xf>
    <xf numFmtId="0" fontId="20" fillId="0" borderId="0" pivotButton="0" quotePrefix="0" xfId="0"/>
    <xf numFmtId="168" fontId="12" fillId="0" borderId="0" applyAlignment="1" pivotButton="0" quotePrefix="0" xfId="0">
      <alignment horizontal="center"/>
    </xf>
    <xf numFmtId="22" fontId="12" fillId="0" borderId="0" applyAlignment="1" pivotButton="0" quotePrefix="0" xfId="0">
      <alignment horizontal="left"/>
    </xf>
    <xf numFmtId="167" fontId="21" fillId="0" borderId="0" applyAlignment="1" pivotButton="0" quotePrefix="0" xfId="0">
      <alignment horizontal="center"/>
    </xf>
    <xf numFmtId="0" fontId="22" fillId="0" borderId="0" pivotButton="0" quotePrefix="0" xfId="0"/>
    <xf numFmtId="166" fontId="23" fillId="0" borderId="0" pivotButton="0" quotePrefix="0" xfId="0"/>
    <xf numFmtId="10" fontId="24" fillId="7" borderId="0" applyAlignment="1" pivotButton="0" quotePrefix="0" xfId="0">
      <alignment horizontal="center"/>
    </xf>
    <xf numFmtId="166" fontId="10" fillId="0" borderId="0" pivotButton="0" quotePrefix="0" xfId="0"/>
    <xf numFmtId="168" fontId="7" fillId="0" borderId="0" pivotButton="0" quotePrefix="0" xfId="0"/>
    <xf numFmtId="0" fontId="10" fillId="0" borderId="0" pivotButton="0" quotePrefix="0" xfId="0"/>
    <xf numFmtId="167" fontId="12" fillId="0" borderId="0" applyAlignment="1" pivotButton="0" quotePrefix="0" xfId="0">
      <alignment horizontal="center"/>
    </xf>
    <xf numFmtId="9" fontId="22" fillId="0" borderId="0" pivotButton="0" quotePrefix="0" xfId="0"/>
    <xf numFmtId="9" fontId="22" fillId="0" borderId="0" applyAlignment="1" pivotButton="0" quotePrefix="0" xfId="0">
      <alignment horizontal="center"/>
    </xf>
    <xf numFmtId="10" fontId="22" fillId="0" borderId="0" applyAlignment="1" pivotButton="0" quotePrefix="0" xfId="0">
      <alignment horizontal="center"/>
    </xf>
    <xf numFmtId="0" fontId="7" fillId="0" borderId="0" applyAlignment="1" pivotButton="0" quotePrefix="0" xfId="0">
      <alignment horizontal="left"/>
    </xf>
    <xf numFmtId="167" fontId="7" fillId="0" borderId="6" applyAlignment="1" pivotButton="0" quotePrefix="0" xfId="0">
      <alignment horizontal="center"/>
    </xf>
    <xf numFmtId="169" fontId="12" fillId="4" borderId="1" applyAlignment="1" pivotButton="0" quotePrefix="0" xfId="0">
      <alignment horizontal="left"/>
    </xf>
    <xf numFmtId="169" fontId="7" fillId="4" borderId="2" applyAlignment="1" pivotButton="0" quotePrefix="0" xfId="0">
      <alignment horizontal="center"/>
    </xf>
    <xf numFmtId="169" fontId="7" fillId="4" borderId="3" applyAlignment="1" pivotButton="0" quotePrefix="0" xfId="0">
      <alignment horizontal="center"/>
    </xf>
    <xf numFmtId="169" fontId="18" fillId="6" borderId="7" applyAlignment="1" pivotButton="0" quotePrefix="0" xfId="0">
      <alignment horizontal="center"/>
    </xf>
    <xf numFmtId="0" fontId="17" fillId="0" borderId="0" pivotButton="0" quotePrefix="0" xfId="0"/>
    <xf numFmtId="0" fontId="16" fillId="0" borderId="0" applyAlignment="1" pivotButton="0" quotePrefix="0" xfId="0">
      <alignment horizontal="center"/>
    </xf>
    <xf numFmtId="0" fontId="17" fillId="0" borderId="0" applyAlignment="1" pivotButton="0" quotePrefix="0" xfId="0">
      <alignment horizontal="right"/>
    </xf>
    <xf numFmtId="17" fontId="17" fillId="0" borderId="0" applyAlignment="1" pivotButton="0" quotePrefix="0" xfId="0">
      <alignment horizontal="center"/>
    </xf>
    <xf numFmtId="0" fontId="17" fillId="0" borderId="0" applyAlignment="1" pivotButton="0" quotePrefix="0" xfId="0">
      <alignment horizontal="center"/>
    </xf>
    <xf numFmtId="0" fontId="17" fillId="7" borderId="8" pivotButton="0" quotePrefix="0" xfId="0"/>
    <xf numFmtId="0" fontId="16" fillId="7" borderId="8" pivotButton="0" quotePrefix="0" xfId="0"/>
    <xf numFmtId="0" fontId="28" fillId="0" borderId="0" applyAlignment="1" pivotButton="0" quotePrefix="0" xfId="0">
      <alignment horizontal="center"/>
    </xf>
    <xf numFmtId="0" fontId="28" fillId="3" borderId="0" applyAlignment="1" pivotButton="0" quotePrefix="0" xfId="0">
      <alignment horizontal="center"/>
    </xf>
    <xf numFmtId="167" fontId="16" fillId="3" borderId="8" applyAlignment="1" pivotButton="0" quotePrefix="0" xfId="0">
      <alignment horizontal="right"/>
    </xf>
    <xf numFmtId="0" fontId="29" fillId="0" borderId="0" applyAlignment="1" pivotButton="0" quotePrefix="0" xfId="0">
      <alignment horizontal="center"/>
    </xf>
    <xf numFmtId="0" fontId="29" fillId="0" borderId="0" pivotButton="0" quotePrefix="0" xfId="0"/>
    <xf numFmtId="0" fontId="29" fillId="0" borderId="0" applyAlignment="1" pivotButton="0" quotePrefix="0" xfId="0">
      <alignment horizontal="right"/>
    </xf>
    <xf numFmtId="167" fontId="16" fillId="3" borderId="9" pivotButton="0" quotePrefix="0" xfId="0"/>
    <xf numFmtId="169" fontId="17" fillId="0" borderId="0" applyAlignment="1" pivotButton="0" quotePrefix="0" xfId="0">
      <alignment horizontal="center"/>
    </xf>
    <xf numFmtId="0" fontId="28" fillId="0" borderId="0" pivotButton="0" quotePrefix="0" xfId="0"/>
    <xf numFmtId="169" fontId="17" fillId="0" borderId="0" applyAlignment="1" pivotButton="0" quotePrefix="0" xfId="0">
      <alignment horizontal="right"/>
    </xf>
    <xf numFmtId="169" fontId="29" fillId="0" borderId="0" applyAlignment="1" pivotButton="0" quotePrefix="0" xfId="0">
      <alignment horizontal="right"/>
    </xf>
    <xf numFmtId="169" fontId="16" fillId="0" borderId="0" applyAlignment="1" pivotButton="0" quotePrefix="0" xfId="0">
      <alignment horizontal="center"/>
    </xf>
    <xf numFmtId="170" fontId="16" fillId="0" borderId="0" applyAlignment="1" pivotButton="0" quotePrefix="0" xfId="0">
      <alignment horizontal="center"/>
    </xf>
    <xf numFmtId="167" fontId="17" fillId="0" borderId="0" applyAlignment="1" pivotButton="0" quotePrefix="0" xfId="0">
      <alignment horizontal="right"/>
    </xf>
    <xf numFmtId="168" fontId="16" fillId="0" borderId="0" pivotButton="0" quotePrefix="0" xfId="0"/>
    <xf numFmtId="170" fontId="16" fillId="7" borderId="0" applyAlignment="1" pivotButton="0" quotePrefix="0" xfId="0">
      <alignment horizontal="center"/>
    </xf>
    <xf numFmtId="170" fontId="16" fillId="14" borderId="0" applyAlignment="1" pivotButton="0" quotePrefix="0" xfId="0">
      <alignment horizontal="center"/>
    </xf>
    <xf numFmtId="168" fontId="17" fillId="14" borderId="0" applyAlignment="1" pivotButton="0" quotePrefix="0" xfId="0">
      <alignment horizontal="center"/>
    </xf>
    <xf numFmtId="0" fontId="17" fillId="14" borderId="8" pivotButton="0" quotePrefix="0" xfId="0"/>
    <xf numFmtId="168" fontId="17" fillId="7" borderId="0" applyAlignment="1" pivotButton="0" quotePrefix="0" xfId="0">
      <alignment horizontal="center"/>
    </xf>
    <xf numFmtId="167" fontId="16" fillId="0" borderId="0" applyAlignment="1" pivotButton="0" quotePrefix="0" xfId="0">
      <alignment horizontal="center"/>
    </xf>
    <xf numFmtId="167" fontId="16" fillId="0" borderId="0" applyAlignment="1" pivotButton="0" quotePrefix="0" xfId="0">
      <alignment horizontal="right"/>
    </xf>
    <xf numFmtId="167" fontId="28" fillId="7" borderId="0" applyAlignment="1" pivotButton="0" quotePrefix="0" xfId="0">
      <alignment horizontal="right"/>
    </xf>
    <xf numFmtId="0" fontId="17" fillId="0" borderId="0" applyAlignment="1" pivotButton="0" quotePrefix="0" xfId="0">
      <alignment horizontal="left"/>
    </xf>
    <xf numFmtId="9" fontId="16" fillId="0" borderId="0" applyAlignment="1" pivotButton="0" quotePrefix="0" xfId="0">
      <alignment horizontal="center"/>
    </xf>
    <xf numFmtId="166" fontId="17" fillId="0" borderId="0" applyAlignment="1" pivotButton="0" quotePrefix="0" xfId="0">
      <alignment horizontal="center"/>
    </xf>
    <xf numFmtId="0" fontId="16" fillId="0" borderId="0" pivotButton="0" quotePrefix="0" xfId="0"/>
    <xf numFmtId="9" fontId="37" fillId="0" borderId="0" applyAlignment="1" pivotButton="0" quotePrefix="0" xfId="0">
      <alignment horizontal="center"/>
    </xf>
    <xf numFmtId="10" fontId="30" fillId="0" borderId="0" applyAlignment="1" pivotButton="0" quotePrefix="0" xfId="0">
      <alignment horizontal="center"/>
    </xf>
    <xf numFmtId="10" fontId="17" fillId="0" borderId="0" pivotButton="0" quotePrefix="0" xfId="0"/>
    <xf numFmtId="171" fontId="17" fillId="0" borderId="0" pivotButton="0" quotePrefix="0" xfId="0"/>
    <xf numFmtId="166" fontId="29" fillId="0" borderId="0" applyAlignment="1" pivotButton="0" quotePrefix="0" xfId="0">
      <alignment horizontal="center"/>
    </xf>
    <xf numFmtId="166" fontId="16" fillId="0" borderId="0" applyAlignment="1" pivotButton="0" quotePrefix="0" xfId="0">
      <alignment horizontal="center"/>
    </xf>
    <xf numFmtId="0" fontId="36" fillId="0" borderId="0" applyAlignment="1" pivotButton="0" quotePrefix="0" xfId="0">
      <alignment horizontal="center" wrapText="1"/>
    </xf>
    <xf numFmtId="10" fontId="16" fillId="0" borderId="0" applyAlignment="1" pivotButton="0" quotePrefix="0" xfId="0">
      <alignment horizontal="center" wrapText="1"/>
    </xf>
    <xf numFmtId="170" fontId="16" fillId="0" borderId="0" applyAlignment="1" pivotButton="0" quotePrefix="0" xfId="0">
      <alignment horizontal="center" wrapText="1"/>
    </xf>
    <xf numFmtId="0" fontId="16" fillId="0" borderId="0" applyAlignment="1" pivotButton="0" quotePrefix="0" xfId="0">
      <alignment horizontal="left"/>
    </xf>
    <xf numFmtId="166" fontId="38" fillId="0" borderId="0" applyAlignment="1" pivotButton="0" quotePrefix="0" xfId="0">
      <alignment horizontal="center"/>
    </xf>
    <xf numFmtId="164" fontId="38" fillId="0" borderId="0" applyAlignment="1" pivotButton="0" quotePrefix="0" xfId="0">
      <alignment horizontal="center"/>
    </xf>
    <xf numFmtId="166" fontId="15" fillId="0" borderId="0" applyAlignment="1" pivotButton="0" quotePrefix="0" xfId="0">
      <alignment horizontal="center"/>
    </xf>
    <xf numFmtId="9" fontId="16" fillId="0" borderId="0" pivotButton="0" quotePrefix="0" xfId="0"/>
    <xf numFmtId="0" fontId="39" fillId="0" borderId="0" applyAlignment="1" pivotButton="0" quotePrefix="0" xfId="0">
      <alignment horizontal="left"/>
    </xf>
    <xf numFmtId="167" fontId="29" fillId="7" borderId="0" pivotButton="0" quotePrefix="0" xfId="0"/>
    <xf numFmtId="3" fontId="29" fillId="3" borderId="0" applyAlignment="1" pivotButton="0" quotePrefix="0" xfId="0">
      <alignment horizontal="right"/>
    </xf>
    <xf numFmtId="167" fontId="29" fillId="7" borderId="0" applyAlignment="1" pivotButton="0" quotePrefix="0" xfId="0">
      <alignment horizontal="right"/>
    </xf>
    <xf numFmtId="0" fontId="40" fillId="0" borderId="0" pivotButton="0" quotePrefix="0" xfId="0"/>
    <xf numFmtId="0" fontId="16" fillId="0" borderId="0" applyAlignment="1" pivotButton="0" quotePrefix="0" xfId="0">
      <alignment horizontal="center" wrapText="1"/>
    </xf>
    <xf numFmtId="170" fontId="16" fillId="0" borderId="0" applyAlignment="1" pivotButton="0" quotePrefix="0" xfId="0">
      <alignment horizontal="right"/>
    </xf>
    <xf numFmtId="167" fontId="30" fillId="0" borderId="0" applyAlignment="1" pivotButton="0" quotePrefix="0" xfId="0">
      <alignment horizontal="right"/>
    </xf>
    <xf numFmtId="167" fontId="29" fillId="0" borderId="0" applyAlignment="1" pivotButton="0" quotePrefix="0" xfId="0">
      <alignment horizontal="right"/>
    </xf>
    <xf numFmtId="10" fontId="36" fillId="0" borderId="0" applyAlignment="1" pivotButton="0" quotePrefix="0" xfId="0">
      <alignment horizontal="center"/>
    </xf>
    <xf numFmtId="169" fontId="27" fillId="0" borderId="0" applyAlignment="1" pivotButton="0" quotePrefix="0" xfId="0">
      <alignment horizontal="center"/>
    </xf>
    <xf numFmtId="167" fontId="29" fillId="3" borderId="0" pivotButton="0" quotePrefix="0" xfId="0"/>
    <xf numFmtId="170" fontId="17" fillId="0" borderId="0" applyAlignment="1" pivotButton="0" quotePrefix="0" xfId="0">
      <alignment horizontal="right"/>
    </xf>
    <xf numFmtId="0" fontId="41" fillId="0" borderId="0" pivotButton="0" quotePrefix="0" xfId="0"/>
    <xf numFmtId="0" fontId="42" fillId="0" borderId="0" applyAlignment="1" pivotButton="0" quotePrefix="0" xfId="0">
      <alignment horizontal="center"/>
    </xf>
    <xf numFmtId="0" fontId="42" fillId="0" borderId="0" pivotButton="0" quotePrefix="0" xfId="0"/>
    <xf numFmtId="10" fontId="41" fillId="0" borderId="0" pivotButton="0" quotePrefix="0" xfId="0"/>
    <xf numFmtId="0" fontId="42" fillId="0" borderId="0" pivotButton="0" quotePrefix="1" xfId="0"/>
    <xf numFmtId="0" fontId="41" fillId="0" borderId="10" pivotButton="0" quotePrefix="0" xfId="0"/>
    <xf numFmtId="37" fontId="41" fillId="0" borderId="0" pivotButton="0" quotePrefix="0" xfId="0"/>
    <xf numFmtId="37" fontId="42" fillId="0" borderId="0" pivotButton="0" quotePrefix="0" xfId="0"/>
    <xf numFmtId="37" fontId="41" fillId="23" borderId="0" applyAlignment="1" pivotButton="0" quotePrefix="0" xfId="0">
      <alignment horizontal="right"/>
    </xf>
    <xf numFmtId="37" fontId="41" fillId="0" borderId="10" pivotButton="0" quotePrefix="0" xfId="0"/>
    <xf numFmtId="172" fontId="41" fillId="0" borderId="0" pivotButton="0" quotePrefix="0" xfId="0"/>
    <xf numFmtId="172" fontId="42" fillId="0" borderId="0" pivotButton="0" quotePrefix="0" xfId="0"/>
    <xf numFmtId="10" fontId="42" fillId="0" borderId="0" pivotButton="0" quotePrefix="0" xfId="0"/>
    <xf numFmtId="0" fontId="41" fillId="23" borderId="0" pivotButton="0" quotePrefix="0" xfId="0"/>
    <xf numFmtId="37" fontId="41" fillId="23" borderId="0" pivotButton="0" quotePrefix="0" xfId="0"/>
    <xf numFmtId="0" fontId="41" fillId="24" borderId="0" pivotButton="0" quotePrefix="0" xfId="0"/>
    <xf numFmtId="39" fontId="41" fillId="24" borderId="0" pivotButton="0" quotePrefix="0" xfId="0"/>
    <xf numFmtId="0" fontId="45" fillId="0" borderId="0" applyAlignment="1" pivotButton="0" quotePrefix="0" xfId="0">
      <alignment horizontal="center"/>
    </xf>
    <xf numFmtId="16" fontId="42" fillId="0" borderId="0" applyAlignment="1" pivotButton="0" quotePrefix="1" xfId="0">
      <alignment horizontal="center"/>
    </xf>
    <xf numFmtId="37" fontId="41" fillId="0" borderId="0" applyAlignment="1" pivotButton="0" quotePrefix="0" xfId="0">
      <alignment horizontal="right"/>
    </xf>
    <xf numFmtId="37" fontId="42" fillId="0" borderId="0" applyAlignment="1" pivotButton="0" quotePrefix="0" xfId="0">
      <alignment horizontal="right"/>
    </xf>
    <xf numFmtId="0" fontId="42" fillId="0" borderId="0" applyAlignment="1" pivotButton="0" quotePrefix="1" xfId="0">
      <alignment horizontal="center"/>
    </xf>
    <xf numFmtId="37" fontId="42" fillId="0" borderId="0" applyAlignment="1" pivotButton="0" quotePrefix="0" xfId="0">
      <alignment horizontal="center"/>
    </xf>
    <xf numFmtId="37" fontId="41" fillId="0" borderId="0" applyAlignment="1" pivotButton="0" quotePrefix="0" xfId="0">
      <alignment horizontal="center"/>
    </xf>
    <xf numFmtId="37" fontId="46" fillId="0" borderId="0" applyAlignment="1" pivotButton="0" quotePrefix="0" xfId="0">
      <alignment horizontal="right"/>
    </xf>
    <xf numFmtId="173" fontId="41" fillId="3" borderId="0" applyAlignment="1" pivotButton="0" quotePrefix="0" xfId="0">
      <alignment horizontal="center"/>
    </xf>
    <xf numFmtId="9" fontId="41" fillId="0" borderId="0" applyAlignment="1" pivotButton="0" quotePrefix="0" xfId="0">
      <alignment horizontal="center"/>
    </xf>
    <xf numFmtId="173" fontId="41" fillId="0" borderId="0" applyAlignment="1" pivotButton="0" quotePrefix="0" xfId="0">
      <alignment horizontal="center"/>
    </xf>
    <xf numFmtId="172" fontId="41" fillId="0" borderId="0" applyAlignment="1" pivotButton="0" quotePrefix="0" xfId="0">
      <alignment horizontal="right"/>
    </xf>
    <xf numFmtId="172" fontId="42" fillId="0" borderId="0" applyAlignment="1" pivotButton="0" quotePrefix="0" xfId="0">
      <alignment horizontal="right"/>
    </xf>
    <xf numFmtId="41" fontId="41" fillId="0" borderId="0" applyAlignment="1" pivotButton="0" quotePrefix="0" xfId="0">
      <alignment horizontal="right"/>
    </xf>
    <xf numFmtId="41" fontId="42" fillId="0" borderId="0" applyAlignment="1" pivotButton="0" quotePrefix="0" xfId="0">
      <alignment horizontal="right"/>
    </xf>
    <xf numFmtId="10" fontId="42" fillId="0" borderId="0" applyAlignment="1" pivotButton="0" quotePrefix="0" xfId="0">
      <alignment horizontal="center"/>
    </xf>
    <xf numFmtId="0" fontId="41" fillId="0" borderId="0" applyAlignment="1" pivotButton="0" quotePrefix="0" xfId="0">
      <alignment horizontal="center"/>
    </xf>
    <xf numFmtId="172" fontId="41" fillId="3" borderId="0" applyAlignment="1" pivotButton="0" quotePrefix="0" xfId="0">
      <alignment horizontal="right"/>
    </xf>
    <xf numFmtId="10" fontId="41" fillId="0" borderId="0" applyAlignment="1" pivotButton="0" quotePrefix="0" xfId="0">
      <alignment horizontal="center"/>
    </xf>
    <xf numFmtId="10" fontId="41" fillId="3" borderId="0" applyAlignment="1" pivotButton="0" quotePrefix="0" xfId="0">
      <alignment horizontal="center"/>
    </xf>
    <xf numFmtId="0" fontId="17" fillId="9" borderId="9" applyAlignment="1" pivotButton="0" quotePrefix="0" xfId="0">
      <alignment horizontal="center"/>
    </xf>
    <xf numFmtId="0" fontId="17" fillId="9" borderId="8" applyAlignment="1" pivotButton="0" quotePrefix="0" xfId="0">
      <alignment horizontal="center"/>
    </xf>
    <xf numFmtId="0" fontId="15" fillId="9" borderId="8" applyAlignment="1" pivotButton="0" quotePrefix="0" xfId="0">
      <alignment horizontal="center"/>
    </xf>
    <xf numFmtId="0" fontId="17" fillId="7" borderId="8" applyAlignment="1" pivotButton="0" quotePrefix="0" xfId="0">
      <alignment horizontal="center"/>
    </xf>
    <xf numFmtId="0" fontId="29" fillId="7" borderId="8" applyAlignment="1" pivotButton="0" quotePrefix="0" xfId="0">
      <alignment horizontal="center"/>
    </xf>
    <xf numFmtId="1" fontId="29" fillId="7" borderId="8" applyAlignment="1" pivotButton="0" quotePrefix="0" xfId="0">
      <alignment horizontal="center"/>
    </xf>
    <xf numFmtId="166" fontId="17" fillId="7" borderId="8" applyAlignment="1" pivotButton="0" quotePrefix="0" xfId="0">
      <alignment horizontal="center"/>
    </xf>
    <xf numFmtId="174" fontId="28" fillId="0" borderId="0" applyAlignment="1" pivotButton="0" quotePrefix="0" xfId="0">
      <alignment horizontal="center"/>
    </xf>
    <xf numFmtId="168" fontId="16" fillId="7" borderId="9" applyAlignment="1" pivotButton="0" quotePrefix="0" xfId="0">
      <alignment horizontal="center"/>
    </xf>
    <xf numFmtId="168" fontId="16" fillId="7" borderId="12" applyAlignment="1" pivotButton="0" quotePrefix="0" xfId="0">
      <alignment horizontal="center"/>
    </xf>
    <xf numFmtId="0" fontId="29" fillId="10" borderId="8" applyAlignment="1" pivotButton="0" quotePrefix="0" xfId="0">
      <alignment horizontal="center"/>
    </xf>
    <xf numFmtId="0" fontId="17" fillId="10" borderId="8" applyAlignment="1" pivotButton="0" quotePrefix="0" xfId="0">
      <alignment horizontal="center"/>
    </xf>
    <xf numFmtId="168" fontId="28" fillId="7" borderId="9" applyAlignment="1" pivotButton="0" quotePrefix="0" xfId="0">
      <alignment horizontal="center"/>
    </xf>
    <xf numFmtId="168" fontId="28" fillId="7" borderId="12" applyAlignment="1" pivotButton="0" quotePrefix="0" xfId="0">
      <alignment horizontal="center"/>
    </xf>
    <xf numFmtId="170" fontId="29" fillId="7" borderId="8" applyAlignment="1" pivotButton="0" quotePrefix="0" xfId="0">
      <alignment horizontal="center"/>
    </xf>
    <xf numFmtId="169" fontId="16" fillId="7" borderId="8" applyAlignment="1" pivotButton="0" quotePrefix="0" xfId="0">
      <alignment horizontal="center"/>
    </xf>
    <xf numFmtId="0" fontId="28" fillId="0" borderId="0" applyAlignment="1" pivotButton="0" quotePrefix="0" xfId="0">
      <alignment horizontal="right"/>
    </xf>
    <xf numFmtId="10" fontId="16" fillId="0" borderId="0" applyAlignment="1" pivotButton="0" quotePrefix="0" xfId="0">
      <alignment horizontal="center"/>
    </xf>
    <xf numFmtId="168" fontId="29" fillId="7" borderId="8" applyAlignment="1" pivotButton="0" quotePrefix="0" xfId="0">
      <alignment horizontal="center"/>
    </xf>
    <xf numFmtId="173" fontId="28" fillId="3" borderId="8" applyAlignment="1" pivotButton="0" quotePrefix="0" xfId="0">
      <alignment horizontal="center"/>
    </xf>
    <xf numFmtId="173" fontId="17" fillId="7" borderId="8" applyAlignment="1" pivotButton="0" quotePrefix="0" xfId="0">
      <alignment horizontal="center"/>
    </xf>
    <xf numFmtId="169" fontId="17" fillId="7" borderId="8" applyAlignment="1" pivotButton="0" quotePrefix="0" xfId="0">
      <alignment horizontal="center"/>
    </xf>
    <xf numFmtId="168" fontId="29" fillId="10" borderId="8" applyAlignment="1" pivotButton="0" quotePrefix="0" xfId="0">
      <alignment horizontal="center"/>
    </xf>
    <xf numFmtId="168" fontId="17" fillId="14" borderId="8" applyAlignment="1" pivotButton="0" quotePrefix="0" xfId="0">
      <alignment horizontal="center"/>
    </xf>
    <xf numFmtId="0" fontId="15" fillId="29" borderId="8" applyAlignment="1" pivotButton="0" quotePrefix="0" xfId="0">
      <alignment horizontal="center"/>
    </xf>
    <xf numFmtId="169" fontId="17" fillId="0" borderId="0" pivotButton="0" quotePrefix="0" xfId="0"/>
    <xf numFmtId="0" fontId="17" fillId="30" borderId="0" pivotButton="0" quotePrefix="0" xfId="0"/>
    <xf numFmtId="0" fontId="17" fillId="10" borderId="0" pivotButton="0" quotePrefix="0" xfId="0"/>
    <xf numFmtId="0" fontId="17" fillId="10" borderId="0" applyAlignment="1" pivotButton="0" quotePrefix="0" xfId="0">
      <alignment horizontal="right"/>
    </xf>
    <xf numFmtId="168" fontId="28" fillId="10" borderId="0" applyAlignment="1" pivotButton="0" quotePrefix="0" xfId="0">
      <alignment horizontal="center"/>
    </xf>
    <xf numFmtId="175" fontId="17" fillId="0" borderId="0" pivotButton="0" quotePrefix="0" xfId="0"/>
    <xf numFmtId="9" fontId="30" fillId="3" borderId="0" applyAlignment="1" pivotButton="0" quotePrefix="0" xfId="0">
      <alignment horizontal="right" wrapText="1"/>
    </xf>
    <xf numFmtId="0" fontId="19" fillId="3" borderId="0" pivotButton="0" quotePrefix="0" xfId="0"/>
    <xf numFmtId="176" fontId="17" fillId="3" borderId="0" applyAlignment="1" pivotButton="0" quotePrefix="0" xfId="0">
      <alignment horizontal="center"/>
    </xf>
    <xf numFmtId="175" fontId="17" fillId="3" borderId="0" applyAlignment="1" pivotButton="0" quotePrefix="0" xfId="0">
      <alignment horizontal="center"/>
    </xf>
    <xf numFmtId="0" fontId="17" fillId="10" borderId="0" applyAlignment="1" pivotButton="0" quotePrefix="0" xfId="0">
      <alignment horizontal="center"/>
    </xf>
    <xf numFmtId="175" fontId="17" fillId="0" borderId="0" applyAlignment="1" pivotButton="0" quotePrefix="0" xfId="0">
      <alignment horizontal="right"/>
    </xf>
    <xf numFmtId="9" fontId="30" fillId="0" borderId="0" applyAlignment="1" pivotButton="0" quotePrefix="0" xfId="0">
      <alignment horizontal="right" wrapText="1"/>
    </xf>
    <xf numFmtId="176" fontId="17" fillId="0" borderId="0" applyAlignment="1" pivotButton="0" quotePrefix="0" xfId="0">
      <alignment horizontal="center"/>
    </xf>
    <xf numFmtId="175" fontId="17" fillId="0" borderId="0" applyAlignment="1" pivotButton="0" quotePrefix="0" xfId="0">
      <alignment horizontal="center"/>
    </xf>
    <xf numFmtId="0" fontId="15" fillId="31" borderId="13" applyAlignment="1" pivotButton="0" quotePrefix="0" xfId="0">
      <alignment horizontal="center" vertical="center"/>
    </xf>
    <xf numFmtId="0" fontId="15" fillId="31" borderId="14" applyAlignment="1" pivotButton="0" quotePrefix="0" xfId="0">
      <alignment horizontal="center" vertical="center"/>
    </xf>
    <xf numFmtId="170" fontId="17" fillId="0" borderId="0" pivotButton="0" quotePrefix="0" xfId="0"/>
    <xf numFmtId="0" fontId="47" fillId="9" borderId="8" applyAlignment="1" pivotButton="0" quotePrefix="0" xfId="0">
      <alignment horizontal="center"/>
    </xf>
    <xf numFmtId="166" fontId="17" fillId="32" borderId="8" applyAlignment="1" pivotButton="0" quotePrefix="0" xfId="0">
      <alignment horizontal="center"/>
    </xf>
    <xf numFmtId="169" fontId="16" fillId="0" borderId="0" applyAlignment="1" pivotButton="0" quotePrefix="0" xfId="0">
      <alignment horizontal="right"/>
    </xf>
    <xf numFmtId="168" fontId="17" fillId="7" borderId="8" applyAlignment="1" pivotButton="0" quotePrefix="0" xfId="0">
      <alignment horizontal="center"/>
    </xf>
    <xf numFmtId="169" fontId="17" fillId="7" borderId="9" applyAlignment="1" pivotButton="0" quotePrefix="0" xfId="0">
      <alignment horizontal="center"/>
    </xf>
    <xf numFmtId="169" fontId="17" fillId="7" borderId="12" applyAlignment="1" pivotButton="0" quotePrefix="0" xfId="0">
      <alignment horizontal="center"/>
    </xf>
    <xf numFmtId="1" fontId="16" fillId="0" borderId="0" applyAlignment="1" pivotButton="0" quotePrefix="0" xfId="0">
      <alignment horizontal="center"/>
    </xf>
    <xf numFmtId="168" fontId="16" fillId="7" borderId="8" applyAlignment="1" pivotButton="0" quotePrefix="0" xfId="0">
      <alignment horizontal="center"/>
    </xf>
    <xf numFmtId="168" fontId="17" fillId="4" borderId="8" applyAlignment="1" pivotButton="0" quotePrefix="0" xfId="0">
      <alignment horizontal="center"/>
    </xf>
    <xf numFmtId="0" fontId="17" fillId="4" borderId="8" applyAlignment="1" pivotButton="0" quotePrefix="0" xfId="0">
      <alignment horizontal="center"/>
    </xf>
    <xf numFmtId="170" fontId="17" fillId="0" borderId="0" applyAlignment="1" pivotButton="0" quotePrefix="0" xfId="0">
      <alignment horizontal="center"/>
    </xf>
    <xf numFmtId="168" fontId="17" fillId="0" borderId="0" applyAlignment="1" pivotButton="0" quotePrefix="0" xfId="0">
      <alignment horizontal="center"/>
    </xf>
    <xf numFmtId="169" fontId="17" fillId="4" borderId="8" applyAlignment="1" pivotButton="0" quotePrefix="0" xfId="0">
      <alignment horizontal="center"/>
    </xf>
    <xf numFmtId="169" fontId="16" fillId="3" borderId="8" applyAlignment="1" pivotButton="0" quotePrefix="0" xfId="0">
      <alignment horizontal="center"/>
    </xf>
    <xf numFmtId="166" fontId="25" fillId="0" borderId="0" pivotButton="0" quotePrefix="0" xfId="0"/>
    <xf numFmtId="177" fontId="17" fillId="0" borderId="0" applyAlignment="1" pivotButton="0" quotePrefix="0" xfId="0">
      <alignment horizontal="center"/>
    </xf>
    <xf numFmtId="0" fontId="48" fillId="0" borderId="0" pivotButton="0" quotePrefix="0" xfId="0"/>
    <xf numFmtId="0" fontId="49" fillId="0" borderId="0" pivotButton="0" quotePrefix="0" xfId="0"/>
    <xf numFmtId="164" fontId="20" fillId="0" borderId="0" pivotButton="0" quotePrefix="0" xfId="0"/>
    <xf numFmtId="164" fontId="50" fillId="0" borderId="0" pivotButton="0" quotePrefix="0" xfId="0"/>
    <xf numFmtId="9" fontId="17" fillId="0" borderId="0" applyAlignment="1" pivotButton="0" quotePrefix="0" xfId="0">
      <alignment horizontal="center"/>
    </xf>
    <xf numFmtId="0" fontId="51" fillId="0" borderId="0" pivotButton="0" quotePrefix="0" xfId="0"/>
    <xf numFmtId="0" fontId="50" fillId="0" borderId="0" pivotButton="0" quotePrefix="0" xfId="0"/>
    <xf numFmtId="178" fontId="15" fillId="2" borderId="8" applyAlignment="1" pivotButton="0" quotePrefix="0" xfId="0">
      <alignment horizontal="center"/>
    </xf>
    <xf numFmtId="0" fontId="15" fillId="2" borderId="0" applyAlignment="1" pivotButton="0" quotePrefix="0" xfId="0">
      <alignment horizontal="center"/>
    </xf>
    <xf numFmtId="0" fontId="15" fillId="2" borderId="8" applyAlignment="1" pivotButton="0" quotePrefix="0" xfId="0">
      <alignment horizontal="center"/>
    </xf>
    <xf numFmtId="49" fontId="15" fillId="2" borderId="8" applyAlignment="1" pivotButton="0" quotePrefix="0" xfId="0">
      <alignment horizontal="center"/>
    </xf>
    <xf numFmtId="0" fontId="15" fillId="0" borderId="0" applyAlignment="1" pivotButton="0" quotePrefix="0" xfId="0">
      <alignment horizontal="center"/>
    </xf>
    <xf numFmtId="9" fontId="16" fillId="0" borderId="0" applyAlignment="1" pivotButton="0" quotePrefix="0" xfId="0">
      <alignment horizontal="right"/>
    </xf>
    <xf numFmtId="0" fontId="30" fillId="0" borderId="0" applyAlignment="1" pivotButton="0" quotePrefix="0" xfId="0">
      <alignment horizontal="center"/>
    </xf>
    <xf numFmtId="3" fontId="17" fillId="0" borderId="0" applyAlignment="1" pivotButton="0" quotePrefix="0" xfId="0">
      <alignment horizontal="center"/>
    </xf>
    <xf numFmtId="166" fontId="16" fillId="0" borderId="0" pivotButton="0" quotePrefix="0" xfId="0"/>
    <xf numFmtId="0" fontId="16" fillId="12" borderId="8" applyAlignment="1" pivotButton="0" quotePrefix="0" xfId="0">
      <alignment horizontal="center"/>
    </xf>
    <xf numFmtId="0" fontId="16" fillId="12" borderId="0" applyAlignment="1" pivotButton="0" quotePrefix="0" xfId="0">
      <alignment horizontal="center"/>
    </xf>
    <xf numFmtId="1" fontId="28" fillId="12" borderId="8" applyAlignment="1" pivotButton="0" quotePrefix="0" xfId="0">
      <alignment horizontal="center"/>
    </xf>
    <xf numFmtId="1" fontId="28" fillId="12" borderId="0" applyAlignment="1" pivotButton="0" quotePrefix="0" xfId="0">
      <alignment horizontal="center"/>
    </xf>
    <xf numFmtId="0" fontId="53" fillId="0" borderId="0" pivotButton="0" quotePrefix="0" xfId="0"/>
    <xf numFmtId="0" fontId="54" fillId="0" borderId="0" pivotButton="0" quotePrefix="0" xfId="0"/>
    <xf numFmtId="177" fontId="16" fillId="0" borderId="0" applyAlignment="1" pivotButton="0" quotePrefix="0" xfId="0">
      <alignment horizontal="center"/>
    </xf>
    <xf numFmtId="177" fontId="17" fillId="0" borderId="0" applyAlignment="1" pivotButton="0" quotePrefix="0" xfId="0">
      <alignment horizontal="right"/>
    </xf>
    <xf numFmtId="0" fontId="30" fillId="0" borderId="0" pivotButton="0" quotePrefix="0" xfId="0"/>
    <xf numFmtId="177" fontId="30" fillId="0" borderId="0" applyAlignment="1" pivotButton="0" quotePrefix="0" xfId="0">
      <alignment horizontal="right"/>
    </xf>
    <xf numFmtId="1" fontId="30" fillId="0" borderId="0" applyAlignment="1" pivotButton="0" quotePrefix="0" xfId="0">
      <alignment horizontal="center"/>
    </xf>
    <xf numFmtId="1" fontId="29" fillId="0" borderId="0" applyAlignment="1" pivotButton="0" quotePrefix="0" xfId="0">
      <alignment horizontal="center"/>
    </xf>
    <xf numFmtId="177" fontId="17" fillId="0" borderId="0" applyAlignment="1" pivotButton="0" quotePrefix="0" xfId="0">
      <alignment horizontal="left"/>
    </xf>
    <xf numFmtId="166" fontId="17" fillId="0" borderId="0" pivotButton="0" quotePrefix="0" xfId="0"/>
    <xf numFmtId="168" fontId="16" fillId="31" borderId="8" applyAlignment="1" pivotButton="0" quotePrefix="0" xfId="0">
      <alignment horizontal="center"/>
    </xf>
    <xf numFmtId="168" fontId="16" fillId="31" borderId="0" applyAlignment="1" pivotButton="0" quotePrefix="0" xfId="0">
      <alignment horizontal="center"/>
    </xf>
    <xf numFmtId="168" fontId="16" fillId="0" borderId="0" applyAlignment="1" pivotButton="0" quotePrefix="0" xfId="0">
      <alignment horizontal="center"/>
    </xf>
    <xf numFmtId="177" fontId="16" fillId="0" borderId="0" pivotButton="0" quotePrefix="0" xfId="0"/>
    <xf numFmtId="179" fontId="16" fillId="0" borderId="0" applyAlignment="1" pivotButton="0" quotePrefix="0" xfId="0">
      <alignment horizontal="center"/>
    </xf>
    <xf numFmtId="0" fontId="55" fillId="0" borderId="0" pivotButton="0" quotePrefix="0" xfId="0"/>
    <xf numFmtId="168" fontId="17" fillId="0" borderId="0" pivotButton="0" quotePrefix="0" xfId="0"/>
    <xf numFmtId="0" fontId="16" fillId="3" borderId="0" pivotButton="0" quotePrefix="0" xfId="0"/>
    <xf numFmtId="168" fontId="16" fillId="3" borderId="0" applyAlignment="1" pivotButton="0" quotePrefix="0" xfId="0">
      <alignment horizontal="center"/>
    </xf>
    <xf numFmtId="168" fontId="28" fillId="3" borderId="0" applyAlignment="1" pivotButton="0" quotePrefix="0" xfId="0">
      <alignment horizontal="center"/>
    </xf>
    <xf numFmtId="0" fontId="16" fillId="3" borderId="0" applyAlignment="1" pivotButton="0" quotePrefix="0" xfId="0">
      <alignment horizontal="right"/>
    </xf>
    <xf numFmtId="168" fontId="28" fillId="7" borderId="0" applyAlignment="1" pivotButton="0" quotePrefix="0" xfId="0">
      <alignment horizontal="right"/>
    </xf>
    <xf numFmtId="0" fontId="17" fillId="0" borderId="0" applyAlignment="1" pivotButton="0" quotePrefix="0" xfId="0">
      <alignment horizontal="center" wrapText="1"/>
    </xf>
    <xf numFmtId="9" fontId="17" fillId="0" borderId="0" applyAlignment="1" pivotButton="0" quotePrefix="0" xfId="0">
      <alignment horizontal="center" wrapText="1"/>
    </xf>
    <xf numFmtId="2" fontId="17" fillId="0" borderId="0" applyAlignment="1" pivotButton="0" quotePrefix="0" xfId="0">
      <alignment horizontal="left" wrapText="1"/>
    </xf>
    <xf numFmtId="0" fontId="17" fillId="0" borderId="0" applyAlignment="1" pivotButton="0" quotePrefix="0" xfId="0">
      <alignment wrapText="1"/>
    </xf>
    <xf numFmtId="177" fontId="17" fillId="0" borderId="0" applyAlignment="1" pivotButton="0" quotePrefix="0" xfId="0">
      <alignment horizontal="center" wrapText="1"/>
    </xf>
    <xf numFmtId="0" fontId="17" fillId="15" borderId="0" applyAlignment="1" pivotButton="0" quotePrefix="0" xfId="0">
      <alignment horizontal="center" wrapText="1"/>
    </xf>
    <xf numFmtId="0" fontId="16" fillId="15" borderId="0" applyAlignment="1" pivotButton="0" quotePrefix="0" xfId="0">
      <alignment horizontal="center" wrapText="1"/>
    </xf>
    <xf numFmtId="166" fontId="56" fillId="7" borderId="0" applyAlignment="1" pivotButton="0" quotePrefix="0" xfId="0">
      <alignment wrapText="1"/>
    </xf>
    <xf numFmtId="166" fontId="56" fillId="7" borderId="16" pivotButton="0" quotePrefix="0" xfId="0"/>
    <xf numFmtId="166" fontId="56" fillId="7" borderId="17" pivotButton="0" quotePrefix="0" xfId="0"/>
    <xf numFmtId="166" fontId="56" fillId="7" borderId="0" pivotButton="0" quotePrefix="0" xfId="0"/>
    <xf numFmtId="0" fontId="56" fillId="7" borderId="0" pivotButton="0" quotePrefix="0" xfId="0"/>
    <xf numFmtId="0" fontId="56" fillId="7" borderId="0" applyAlignment="1" pivotButton="0" quotePrefix="0" xfId="0">
      <alignment horizontal="center"/>
    </xf>
    <xf numFmtId="0" fontId="17" fillId="7" borderId="0" applyAlignment="1" pivotButton="0" quotePrefix="0" xfId="0">
      <alignment horizontal="center"/>
    </xf>
    <xf numFmtId="166" fontId="30" fillId="0" borderId="0" applyAlignment="1" pivotButton="0" quotePrefix="0" xfId="0">
      <alignment horizontal="center"/>
    </xf>
    <xf numFmtId="180" fontId="17" fillId="0" borderId="0" applyAlignment="1" pivotButton="0" quotePrefix="0" xfId="0">
      <alignment horizontal="center"/>
    </xf>
    <xf numFmtId="177" fontId="17" fillId="0" borderId="0" applyAlignment="1" pivotButton="0" quotePrefix="0" xfId="0">
      <alignment wrapText="1"/>
    </xf>
    <xf numFmtId="168" fontId="17" fillId="0" borderId="0" applyAlignment="1" pivotButton="0" quotePrefix="0" xfId="0">
      <alignment horizontal="center" wrapText="1"/>
    </xf>
    <xf numFmtId="177" fontId="57" fillId="0" borderId="0" applyAlignment="1" pivotButton="0" quotePrefix="0" xfId="0">
      <alignment horizontal="right"/>
    </xf>
    <xf numFmtId="181" fontId="58" fillId="0" borderId="0" applyAlignment="1" pivotButton="0" quotePrefix="0" xfId="0">
      <alignment horizontal="right"/>
    </xf>
    <xf numFmtId="177" fontId="59" fillId="0" borderId="0" applyAlignment="1" pivotButton="0" quotePrefix="0" xfId="0">
      <alignment horizontal="right"/>
    </xf>
    <xf numFmtId="180" fontId="16" fillId="0" borderId="0" applyAlignment="1" pivotButton="0" quotePrefix="0" xfId="0">
      <alignment horizontal="center"/>
    </xf>
    <xf numFmtId="180" fontId="17" fillId="0" borderId="0" pivotButton="0" quotePrefix="0" xfId="0"/>
    <xf numFmtId="180" fontId="16" fillId="0" borderId="0" pivotButton="0" quotePrefix="0" xfId="0"/>
    <xf numFmtId="180" fontId="58" fillId="0" borderId="0" applyAlignment="1" pivotButton="0" quotePrefix="0" xfId="0">
      <alignment horizontal="right"/>
    </xf>
    <xf numFmtId="177" fontId="17" fillId="0" borderId="0" pivotButton="0" quotePrefix="0" xfId="0"/>
    <xf numFmtId="0" fontId="18" fillId="0" borderId="13" applyAlignment="1" pivotButton="0" quotePrefix="0" xfId="0">
      <alignment horizontal="left"/>
    </xf>
    <xf numFmtId="0" fontId="18" fillId="0" borderId="13" applyAlignment="1" pivotButton="0" quotePrefix="0" xfId="0">
      <alignment horizontal="right"/>
    </xf>
    <xf numFmtId="167" fontId="57" fillId="0" borderId="0" applyAlignment="1" pivotButton="0" quotePrefix="0" xfId="0">
      <alignment horizontal="right"/>
    </xf>
    <xf numFmtId="0" fontId="56" fillId="5" borderId="13" applyAlignment="1" pivotButton="0" quotePrefix="0" xfId="0">
      <alignment horizontal="left"/>
    </xf>
    <xf numFmtId="0" fontId="56" fillId="5" borderId="13" applyAlignment="1" pivotButton="0" quotePrefix="0" xfId="0">
      <alignment horizontal="right"/>
    </xf>
    <xf numFmtId="168" fontId="56" fillId="16" borderId="13" applyAlignment="1" pivotButton="0" quotePrefix="0" xfId="0">
      <alignment horizontal="left"/>
    </xf>
    <xf numFmtId="168" fontId="56" fillId="16" borderId="13" applyAlignment="1" pivotButton="0" quotePrefix="0" xfId="0">
      <alignment horizontal="center"/>
    </xf>
    <xf numFmtId="180" fontId="56" fillId="16" borderId="13" applyAlignment="1" pivotButton="0" quotePrefix="0" xfId="0">
      <alignment horizontal="center"/>
    </xf>
    <xf numFmtId="0" fontId="56" fillId="14" borderId="13" applyAlignment="1" pivotButton="0" quotePrefix="0" xfId="0">
      <alignment horizontal="left"/>
    </xf>
    <xf numFmtId="0" fontId="56" fillId="14" borderId="13" applyAlignment="1" pivotButton="0" quotePrefix="0" xfId="0">
      <alignment horizontal="center"/>
    </xf>
    <xf numFmtId="0" fontId="60" fillId="0" borderId="0" pivotButton="0" quotePrefix="0" xfId="0"/>
    <xf numFmtId="164" fontId="61" fillId="0" borderId="0" pivotButton="0" quotePrefix="0" xfId="0"/>
    <xf numFmtId="0" fontId="63" fillId="0" borderId="0" pivotButton="0" quotePrefix="0" xfId="0"/>
    <xf numFmtId="22" fontId="7" fillId="0" borderId="0" pivotButton="0" quotePrefix="0" xfId="0"/>
    <xf numFmtId="0" fontId="7" fillId="0" borderId="0" applyAlignment="1" pivotButton="0" quotePrefix="0" xfId="0">
      <alignment horizontal="right"/>
    </xf>
    <xf numFmtId="0" fontId="64" fillId="0" borderId="0" pivotButton="0" quotePrefix="0" xfId="0"/>
    <xf numFmtId="22" fontId="65" fillId="0" borderId="0" pivotButton="0" quotePrefix="0" xfId="0"/>
    <xf numFmtId="0" fontId="65" fillId="0" borderId="0" pivotButton="0" quotePrefix="0" xfId="0"/>
    <xf numFmtId="169" fontId="7" fillId="0" borderId="0" applyAlignment="1" pivotButton="0" quotePrefix="0" xfId="0">
      <alignment horizontal="right"/>
    </xf>
    <xf numFmtId="0" fontId="65" fillId="0" borderId="0" applyAlignment="1" pivotButton="0" quotePrefix="0" xfId="0">
      <alignment horizontal="left"/>
    </xf>
    <xf numFmtId="182" fontId="65" fillId="0" borderId="0" pivotButton="0" quotePrefix="0" xfId="0"/>
    <xf numFmtId="182" fontId="66" fillId="0" borderId="0" pivotButton="0" quotePrefix="0" xfId="0"/>
    <xf numFmtId="164" fontId="12" fillId="0" borderId="0" pivotButton="0" quotePrefix="0" xfId="0"/>
    <xf numFmtId="164" fontId="64" fillId="0" borderId="0" pivotButton="0" quotePrefix="0" xfId="0"/>
    <xf numFmtId="166" fontId="64" fillId="0" borderId="0" pivotButton="0" quotePrefix="0" xfId="0"/>
    <xf numFmtId="182" fontId="64" fillId="0" borderId="0" pivotButton="0" quotePrefix="0" xfId="0"/>
    <xf numFmtId="164" fontId="64" fillId="0" borderId="0" applyAlignment="1" pivotButton="0" quotePrefix="0" xfId="0">
      <alignment horizontal="left"/>
    </xf>
    <xf numFmtId="166" fontId="65" fillId="0" borderId="0" pivotButton="0" quotePrefix="0" xfId="0"/>
    <xf numFmtId="166" fontId="67" fillId="0" borderId="0" pivotButton="0" quotePrefix="0" xfId="0"/>
    <xf numFmtId="166" fontId="68" fillId="0" borderId="0" pivotButton="0" quotePrefix="0" xfId="0"/>
    <xf numFmtId="182" fontId="69" fillId="0" borderId="0" pivotButton="0" quotePrefix="0" xfId="0"/>
    <xf numFmtId="164" fontId="67" fillId="0" borderId="0" pivotButton="0" quotePrefix="0" xfId="0"/>
    <xf numFmtId="0" fontId="67" fillId="0" borderId="0" pivotButton="0" quotePrefix="0" xfId="0"/>
    <xf numFmtId="10" fontId="67" fillId="0" borderId="0" applyAlignment="1" pivotButton="0" quotePrefix="0" xfId="0">
      <alignment horizontal="center"/>
    </xf>
    <xf numFmtId="164" fontId="68" fillId="0" borderId="0" pivotButton="0" quotePrefix="0" xfId="0"/>
    <xf numFmtId="10" fontId="66" fillId="0" borderId="0" pivotButton="0" quotePrefix="0" xfId="0"/>
    <xf numFmtId="164" fontId="7" fillId="0" borderId="0" pivotButton="0" quotePrefix="0" xfId="0"/>
    <xf numFmtId="9" fontId="7" fillId="0" borderId="0" applyAlignment="1" pivotButton="0" quotePrefix="0" xfId="0">
      <alignment horizontal="right"/>
    </xf>
    <xf numFmtId="164" fontId="65" fillId="0" borderId="0" pivotButton="0" quotePrefix="0" xfId="0"/>
    <xf numFmtId="0" fontId="64" fillId="0" borderId="0" applyAlignment="1" pivotButton="0" quotePrefix="0" xfId="0">
      <alignment horizontal="left"/>
    </xf>
    <xf numFmtId="0" fontId="68" fillId="0" borderId="0" pivotButton="0" quotePrefix="0" xfId="0"/>
    <xf numFmtId="10" fontId="65" fillId="0" borderId="0" pivotButton="0" quotePrefix="0" xfId="0"/>
    <xf numFmtId="168" fontId="67" fillId="0" borderId="0" pivotButton="0" quotePrefix="0" xfId="0"/>
    <xf numFmtId="168" fontId="68" fillId="0" borderId="0" pivotButton="0" quotePrefix="0" xfId="0"/>
    <xf numFmtId="168" fontId="65" fillId="0" borderId="0" pivotButton="0" quotePrefix="0" xfId="0"/>
    <xf numFmtId="165" fontId="65" fillId="0" borderId="0" applyAlignment="1" pivotButton="0" quotePrefix="0" xfId="0">
      <alignment horizontal="right"/>
    </xf>
    <xf numFmtId="182" fontId="66" fillId="0" borderId="0" applyAlignment="1" pivotButton="0" quotePrefix="0" xfId="0">
      <alignment horizontal="right"/>
    </xf>
    <xf numFmtId="182" fontId="65" fillId="0" borderId="0" applyAlignment="1" pivotButton="0" quotePrefix="0" xfId="0">
      <alignment horizontal="right"/>
    </xf>
    <xf numFmtId="168" fontId="64" fillId="0" borderId="0" pivotButton="0" quotePrefix="0" xfId="0"/>
    <xf numFmtId="169" fontId="12" fillId="0" borderId="6" applyAlignment="1" pivotButton="0" quotePrefix="0" xfId="0">
      <alignment horizontal="center"/>
    </xf>
    <xf numFmtId="0" fontId="70" fillId="0" borderId="0" pivotButton="0" quotePrefix="0" xfId="0"/>
    <xf numFmtId="9" fontId="7" fillId="0" borderId="0" applyAlignment="1" pivotButton="0" quotePrefix="0" xfId="0">
      <alignment horizontal="center"/>
    </xf>
    <xf numFmtId="10" fontId="12" fillId="0" borderId="0" applyAlignment="1" pivotButton="0" quotePrefix="0" xfId="0">
      <alignment horizontal="center"/>
    </xf>
    <xf numFmtId="0" fontId="71" fillId="0" borderId="0" pivotButton="0" quotePrefix="0" xfId="0"/>
    <xf numFmtId="0" fontId="72" fillId="0" borderId="0" pivotButton="0" quotePrefix="0" xfId="0"/>
    <xf numFmtId="168" fontId="4" fillId="0" borderId="0" pivotButton="0" quotePrefix="0" xfId="0"/>
    <xf numFmtId="22" fontId="74" fillId="0" borderId="0" applyAlignment="1" pivotButton="0" quotePrefix="0" xfId="0">
      <alignment horizontal="left"/>
    </xf>
    <xf numFmtId="0" fontId="75" fillId="0" borderId="0" pivotButton="0" quotePrefix="0" xfId="0"/>
    <xf numFmtId="38" fontId="67" fillId="0" borderId="0" pivotButton="0" quotePrefix="0" xfId="0"/>
    <xf numFmtId="38" fontId="7" fillId="0" borderId="0" pivotButton="0" quotePrefix="0" xfId="0"/>
    <xf numFmtId="38" fontId="68" fillId="0" borderId="0" pivotButton="0" quotePrefix="0" xfId="0"/>
    <xf numFmtId="38" fontId="65" fillId="0" borderId="0" pivotButton="0" quotePrefix="0" xfId="0"/>
    <xf numFmtId="38" fontId="12" fillId="0" borderId="0" pivotButton="0" quotePrefix="0" xfId="0"/>
    <xf numFmtId="38" fontId="64" fillId="0" borderId="0" pivotButton="0" quotePrefix="0" xfId="0"/>
    <xf numFmtId="169" fontId="12" fillId="0" borderId="10" applyAlignment="1" pivotButton="0" quotePrefix="0" xfId="0">
      <alignment horizontal="center"/>
    </xf>
    <xf numFmtId="182" fontId="64" fillId="0" borderId="0" applyAlignment="1" pivotButton="0" quotePrefix="0" xfId="0">
      <alignment horizontal="right"/>
    </xf>
    <xf numFmtId="176" fontId="12" fillId="0" borderId="0" pivotButton="0" quotePrefix="0" xfId="0"/>
    <xf numFmtId="176" fontId="7" fillId="0" borderId="0" pivotButton="0" quotePrefix="0" xfId="0"/>
    <xf numFmtId="176" fontId="64" fillId="0" borderId="0" pivotButton="0" quotePrefix="0" xfId="0"/>
    <xf numFmtId="176" fontId="65" fillId="0" borderId="0" pivotButton="0" quotePrefix="0" xfId="0"/>
    <xf numFmtId="0" fontId="76" fillId="0" borderId="0" pivotButton="0" quotePrefix="0" xfId="0"/>
    <xf numFmtId="168" fontId="10" fillId="0" borderId="0" applyAlignment="1" pivotButton="0" quotePrefix="0" xfId="0">
      <alignment horizontal="center"/>
    </xf>
    <xf numFmtId="168" fontId="4" fillId="0" borderId="0" applyAlignment="1" pivotButton="0" quotePrefix="0" xfId="0">
      <alignment horizontal="right"/>
    </xf>
    <xf numFmtId="168" fontId="7" fillId="0" borderId="0" applyAlignment="1" pivotButton="0" quotePrefix="0" xfId="0">
      <alignment horizontal="right"/>
    </xf>
    <xf numFmtId="169" fontId="12" fillId="0" borderId="0" applyAlignment="1" pivotButton="0" quotePrefix="0" xfId="0">
      <alignment horizontal="center"/>
    </xf>
    <xf numFmtId="164" fontId="7" fillId="0" borderId="0" applyAlignment="1" pivotButton="0" quotePrefix="0" xfId="0">
      <alignment horizontal="left"/>
    </xf>
    <xf numFmtId="164" fontId="65" fillId="0" borderId="0" applyAlignment="1" pivotButton="0" quotePrefix="0" xfId="0">
      <alignment horizontal="left"/>
    </xf>
    <xf numFmtId="38" fontId="77" fillId="31" borderId="1" applyAlignment="1" pivotButton="0" quotePrefix="0" xfId="0">
      <alignment wrapText="1"/>
    </xf>
    <xf numFmtId="38" fontId="77" fillId="31" borderId="22" applyAlignment="1" pivotButton="0" quotePrefix="0" xfId="0">
      <alignment horizontal="right" vertical="center"/>
    </xf>
    <xf numFmtId="38" fontId="77" fillId="31" borderId="22" applyAlignment="1" pivotButton="0" quotePrefix="0" xfId="0">
      <alignment horizontal="center" vertical="center"/>
    </xf>
    <xf numFmtId="38" fontId="77" fillId="31" borderId="23" applyAlignment="1" pivotButton="0" quotePrefix="0" xfId="0">
      <alignment horizontal="center" vertical="center"/>
    </xf>
    <xf numFmtId="38" fontId="10" fillId="31" borderId="24" applyAlignment="1" pivotButton="0" quotePrefix="0" xfId="0">
      <alignment horizontal="center" vertical="center"/>
    </xf>
    <xf numFmtId="177" fontId="7" fillId="7" borderId="2" pivotButton="0" quotePrefix="0" xfId="0"/>
    <xf numFmtId="38" fontId="10" fillId="31" borderId="25" applyAlignment="1" pivotButton="0" quotePrefix="0" xfId="0">
      <alignment horizontal="center" vertical="center"/>
    </xf>
    <xf numFmtId="38" fontId="10" fillId="31" borderId="26" applyAlignment="1" pivotButton="0" quotePrefix="0" xfId="0">
      <alignment vertical="center"/>
    </xf>
    <xf numFmtId="38" fontId="10" fillId="31" borderId="27" applyAlignment="1" pivotButton="0" quotePrefix="0" xfId="0">
      <alignment horizontal="center" vertical="center"/>
    </xf>
    <xf numFmtId="177" fontId="7" fillId="7" borderId="22" pivotButton="0" quotePrefix="0" xfId="0"/>
    <xf numFmtId="177" fontId="12" fillId="7" borderId="29" pivotButton="0" quotePrefix="0" xfId="0"/>
    <xf numFmtId="3" fontId="10" fillId="31" borderId="30" applyAlignment="1" pivotButton="0" quotePrefix="0" xfId="0">
      <alignment horizontal="left" vertical="center"/>
    </xf>
    <xf numFmtId="0" fontId="11" fillId="31" borderId="24" applyAlignment="1" pivotButton="0" quotePrefix="0" xfId="0">
      <alignment horizontal="left" vertical="center"/>
    </xf>
    <xf numFmtId="177" fontId="7" fillId="7" borderId="31" pivotButton="0" quotePrefix="0" xfId="0"/>
    <xf numFmtId="0" fontId="10" fillId="31" borderId="25" applyAlignment="1" pivotButton="0" quotePrefix="0" xfId="0">
      <alignment horizontal="left" vertical="center"/>
    </xf>
    <xf numFmtId="3" fontId="7" fillId="7" borderId="22" applyAlignment="1" pivotButton="0" quotePrefix="0" xfId="0">
      <alignment horizontal="center"/>
    </xf>
    <xf numFmtId="0" fontId="7" fillId="7" borderId="22" pivotButton="0" quotePrefix="0" xfId="0"/>
    <xf numFmtId="177" fontId="7" fillId="7" borderId="23" pivotButton="0" quotePrefix="0" xfId="0"/>
    <xf numFmtId="3" fontId="10" fillId="31" borderId="30" applyAlignment="1" pivotButton="0" quotePrefix="0" xfId="0">
      <alignment horizontal="left" vertical="center" wrapText="1"/>
    </xf>
    <xf numFmtId="0" fontId="11" fillId="31" borderId="24" pivotButton="0" quotePrefix="0" xfId="0"/>
    <xf numFmtId="3" fontId="7" fillId="7" borderId="31" applyAlignment="1" pivotButton="0" quotePrefix="0" xfId="0">
      <alignment horizontal="center" vertical="center"/>
    </xf>
    <xf numFmtId="3" fontId="10" fillId="31" borderId="25" applyAlignment="1" pivotButton="0" quotePrefix="0" xfId="0">
      <alignment horizontal="left" vertical="center" wrapText="1"/>
    </xf>
    <xf numFmtId="177" fontId="7" fillId="7" borderId="2" applyAlignment="1" pivotButton="0" quotePrefix="0" xfId="0">
      <alignment horizontal="center" vertical="center"/>
    </xf>
    <xf numFmtId="3" fontId="12" fillId="7" borderId="34" applyAlignment="1" pivotButton="0" quotePrefix="0" xfId="0">
      <alignment horizontal="center" vertical="center"/>
    </xf>
    <xf numFmtId="177" fontId="12" fillId="7" borderId="34" pivotButton="0" quotePrefix="0" xfId="0"/>
    <xf numFmtId="177" fontId="12" fillId="7" borderId="7" pivotButton="0" quotePrefix="0" xfId="0"/>
    <xf numFmtId="0" fontId="81" fillId="0" borderId="0" pivotButton="0" quotePrefix="0" xfId="0"/>
    <xf numFmtId="0" fontId="81" fillId="0" borderId="0" applyAlignment="1" pivotButton="0" quotePrefix="0" xfId="0">
      <alignment horizontal="center"/>
    </xf>
    <xf numFmtId="0" fontId="82" fillId="0" borderId="0" pivotButton="0" quotePrefix="0" xfId="0"/>
    <xf numFmtId="0" fontId="82" fillId="0" borderId="0" applyAlignment="1" pivotButton="0" quotePrefix="0" xfId="0">
      <alignment horizontal="center"/>
    </xf>
    <xf numFmtId="0" fontId="81" fillId="0" borderId="35" pivotButton="0" quotePrefix="0" xfId="0"/>
    <xf numFmtId="0" fontId="44" fillId="0" borderId="0" applyAlignment="1" pivotButton="0" quotePrefix="0" xfId="0">
      <alignment horizontal="right"/>
    </xf>
    <xf numFmtId="0" fontId="81" fillId="0" borderId="16" pivotButton="0" quotePrefix="0" xfId="0"/>
    <xf numFmtId="0" fontId="83" fillId="0" borderId="0" applyAlignment="1" pivotButton="0" quotePrefix="0" xfId="0">
      <alignment horizontal="center" vertical="center"/>
    </xf>
    <xf numFmtId="37" fontId="81" fillId="0" borderId="0" pivotButton="0" quotePrefix="0" xfId="0"/>
    <xf numFmtId="0" fontId="82" fillId="0" borderId="35" pivotButton="0" quotePrefix="0" xfId="0"/>
    <xf numFmtId="43" fontId="81" fillId="0" borderId="0" pivotButton="0" quotePrefix="0" xfId="0"/>
    <xf numFmtId="172" fontId="81" fillId="0" borderId="0" pivotButton="0" quotePrefix="0" xfId="0"/>
    <xf numFmtId="42" fontId="81" fillId="0" borderId="0" pivotButton="0" quotePrefix="0" xfId="0"/>
    <xf numFmtId="42" fontId="82" fillId="0" borderId="0" pivotButton="0" quotePrefix="0" xfId="0"/>
    <xf numFmtId="37" fontId="82" fillId="0" borderId="0" pivotButton="0" quotePrefix="0" xfId="0"/>
    <xf numFmtId="37" fontId="84" fillId="0" borderId="0" applyAlignment="1" pivotButton="0" quotePrefix="0" xfId="0">
      <alignment horizontal="right"/>
    </xf>
    <xf numFmtId="37" fontId="85" fillId="0" borderId="0" applyAlignment="1" pivotButton="0" quotePrefix="0" xfId="0">
      <alignment horizontal="right"/>
    </xf>
    <xf numFmtId="37" fontId="41" fillId="37" borderId="0" applyAlignment="1" pivotButton="0" quotePrefix="0" xfId="0">
      <alignment horizontal="right"/>
    </xf>
    <xf numFmtId="37" fontId="42" fillId="37" borderId="0" applyAlignment="1" pivotButton="0" quotePrefix="0" xfId="0">
      <alignment horizontal="right"/>
    </xf>
    <xf numFmtId="37" fontId="80" fillId="0" borderId="0" pivotButton="0" quotePrefix="0" xfId="0"/>
    <xf numFmtId="37" fontId="85" fillId="37" borderId="0" applyAlignment="1" pivotButton="0" quotePrefix="0" xfId="0">
      <alignment horizontal="right"/>
    </xf>
    <xf numFmtId="37" fontId="84" fillId="37" borderId="0" applyAlignment="1" pivotButton="0" quotePrefix="0" xfId="0">
      <alignment horizontal="right"/>
    </xf>
    <xf numFmtId="0" fontId="80" fillId="0" borderId="0" pivotButton="0" quotePrefix="0" xfId="0"/>
    <xf numFmtId="37" fontId="86" fillId="0" borderId="0" pivotButton="0" quotePrefix="0" xfId="0"/>
    <xf numFmtId="37" fontId="87" fillId="0" borderId="0" pivotButton="0" quotePrefix="0" xfId="0"/>
    <xf numFmtId="37" fontId="88" fillId="0" borderId="0" pivotButton="0" quotePrefix="0" xfId="0"/>
    <xf numFmtId="37" fontId="88" fillId="38" borderId="0" pivotButton="0" quotePrefix="0" xfId="0"/>
    <xf numFmtId="37" fontId="42" fillId="38" borderId="0" applyAlignment="1" pivotButton="0" quotePrefix="0" xfId="0">
      <alignment horizontal="right"/>
    </xf>
    <xf numFmtId="37" fontId="88" fillId="39" borderId="0" pivotButton="0" quotePrefix="0" xfId="0"/>
    <xf numFmtId="37" fontId="41" fillId="0" borderId="16" applyAlignment="1" pivotButton="0" quotePrefix="0" xfId="0">
      <alignment horizontal="right"/>
    </xf>
    <xf numFmtId="37" fontId="81" fillId="0" borderId="0" applyAlignment="1" pivotButton="0" quotePrefix="0" xfId="0">
      <alignment horizontal="right"/>
    </xf>
    <xf numFmtId="37" fontId="42" fillId="0" borderId="16" applyAlignment="1" pivotButton="0" quotePrefix="0" xfId="0">
      <alignment horizontal="right"/>
    </xf>
    <xf numFmtId="37" fontId="41" fillId="0" borderId="36" applyAlignment="1" pivotButton="0" quotePrefix="0" xfId="0">
      <alignment horizontal="right"/>
    </xf>
    <xf numFmtId="37" fontId="42" fillId="0" borderId="36" applyAlignment="1" pivotButton="0" quotePrefix="0" xfId="0">
      <alignment horizontal="right"/>
    </xf>
    <xf numFmtId="0" fontId="42" fillId="0" borderId="16" applyAlignment="1" pivotButton="0" quotePrefix="0" xfId="0">
      <alignment horizontal="center"/>
    </xf>
    <xf numFmtId="0" fontId="42" fillId="0" borderId="36" applyAlignment="1" pivotButton="0" quotePrefix="0" xfId="0">
      <alignment horizontal="center"/>
    </xf>
    <xf numFmtId="0" fontId="88" fillId="0" borderId="0" applyAlignment="1" pivotButton="0" quotePrefix="0" xfId="0">
      <alignment horizontal="center"/>
    </xf>
    <xf numFmtId="0" fontId="35" fillId="0" borderId="0" applyAlignment="1" pivotButton="0" quotePrefix="0" xfId="0">
      <alignment horizontal="center"/>
    </xf>
    <xf numFmtId="0" fontId="89" fillId="0" borderId="0" pivotButton="0" quotePrefix="0" xfId="0"/>
    <xf numFmtId="0" fontId="87" fillId="0" borderId="0" pivotButton="0" quotePrefix="0" xfId="0"/>
    <xf numFmtId="0" fontId="88" fillId="0" borderId="0" pivotButton="0" quotePrefix="0" xfId="0"/>
    <xf numFmtId="0" fontId="42" fillId="37" borderId="0" applyAlignment="1" pivotButton="0" quotePrefix="0" xfId="0">
      <alignment horizontal="left"/>
    </xf>
    <xf numFmtId="10" fontId="42" fillId="37" borderId="0" applyAlignment="1" pivotButton="0" quotePrefix="0" xfId="0">
      <alignment horizontal="center"/>
    </xf>
    <xf numFmtId="0" fontId="0" fillId="37" borderId="0" pivotButton="0" quotePrefix="0" xfId="0"/>
    <xf numFmtId="37" fontId="88" fillId="0" borderId="0" applyAlignment="1" pivotButton="0" quotePrefix="0" xfId="0">
      <alignment horizontal="center"/>
    </xf>
    <xf numFmtId="37" fontId="88" fillId="37" borderId="0" applyAlignment="1" pivotButton="0" quotePrefix="0" xfId="0">
      <alignment horizontal="center"/>
    </xf>
    <xf numFmtId="37" fontId="88" fillId="37" borderId="0" pivotButton="0" quotePrefix="0" xfId="0"/>
    <xf numFmtId="37" fontId="87" fillId="37" borderId="0" pivotButton="0" quotePrefix="0" xfId="0"/>
    <xf numFmtId="0" fontId="82" fillId="37" borderId="0" applyAlignment="1" pivotButton="0" quotePrefix="0" xfId="0">
      <alignment horizontal="center"/>
    </xf>
    <xf numFmtId="0" fontId="82" fillId="0" borderId="16" applyAlignment="1" pivotButton="0" quotePrefix="0" xfId="0">
      <alignment horizontal="center"/>
    </xf>
    <xf numFmtId="0" fontId="82" fillId="0" borderId="36" applyAlignment="1" pivotButton="0" quotePrefix="0" xfId="0">
      <alignment horizontal="center"/>
    </xf>
    <xf numFmtId="37" fontId="87" fillId="0" borderId="25" pivotButton="0" quotePrefix="0" xfId="0"/>
    <xf numFmtId="37" fontId="87" fillId="0" borderId="16" pivotButton="0" quotePrefix="0" xfId="0"/>
    <xf numFmtId="37" fontId="87" fillId="0" borderId="36" pivotButton="0" quotePrefix="0" xfId="0"/>
    <xf numFmtId="37" fontId="81" fillId="40" borderId="0" pivotButton="0" quotePrefix="0" xfId="0"/>
    <xf numFmtId="37" fontId="87" fillId="0" borderId="35" pivotButton="0" quotePrefix="0" xfId="0"/>
    <xf numFmtId="0" fontId="82" fillId="0" borderId="25" applyAlignment="1" pivotButton="0" quotePrefix="0" xfId="0">
      <alignment horizontal="center"/>
    </xf>
    <xf numFmtId="37" fontId="87" fillId="0" borderId="40" pivotButton="0" quotePrefix="0" xfId="0"/>
    <xf numFmtId="37" fontId="81" fillId="0" borderId="16" pivotButton="0" quotePrefix="0" xfId="0"/>
    <xf numFmtId="37" fontId="81" fillId="0" borderId="36" pivotButton="0" quotePrefix="0" xfId="0"/>
    <xf numFmtId="37" fontId="41" fillId="40" borderId="0" pivotButton="0" quotePrefix="0" xfId="0"/>
    <xf numFmtId="37" fontId="41" fillId="0" borderId="36" pivotButton="0" quotePrefix="0" xfId="0"/>
    <xf numFmtId="37" fontId="41" fillId="0" borderId="16" pivotButton="0" quotePrefix="0" xfId="0"/>
    <xf numFmtId="37" fontId="81" fillId="0" borderId="0" applyAlignment="1" pivotButton="0" quotePrefix="0" xfId="0">
      <alignment horizontal="center"/>
    </xf>
    <xf numFmtId="37" fontId="82" fillId="0" borderId="0" applyAlignment="1" pivotButton="0" quotePrefix="0" xfId="0">
      <alignment horizontal="center"/>
    </xf>
    <xf numFmtId="37" fontId="82" fillId="40" borderId="0" pivotButton="0" quotePrefix="0" xfId="0"/>
    <xf numFmtId="37" fontId="41" fillId="0" borderId="35" pivotButton="0" quotePrefix="0" xfId="0"/>
    <xf numFmtId="0" fontId="41" fillId="0" borderId="35" pivotButton="0" quotePrefix="0" xfId="0"/>
    <xf numFmtId="37" fontId="41" fillId="0" borderId="40" pivotButton="0" quotePrefix="0" xfId="0"/>
    <xf numFmtId="37" fontId="82" fillId="0" borderId="0" applyAlignment="1" pivotButton="0" quotePrefix="0" xfId="0">
      <alignment horizontal="right"/>
    </xf>
    <xf numFmtId="37" fontId="41" fillId="40" borderId="36" pivotButton="0" quotePrefix="0" xfId="0"/>
    <xf numFmtId="37" fontId="84" fillId="39" borderId="0" applyAlignment="1" pivotButton="0" quotePrefix="0" xfId="0">
      <alignment horizontal="right"/>
    </xf>
    <xf numFmtId="37" fontId="79" fillId="39" borderId="0" applyAlignment="1" pivotButton="0" quotePrefix="0" xfId="0">
      <alignment horizontal="right"/>
    </xf>
    <xf numFmtId="0" fontId="82" fillId="0" borderId="0" applyAlignment="1" pivotButton="0" quotePrefix="1" xfId="0">
      <alignment horizontal="center"/>
    </xf>
    <xf numFmtId="37" fontId="79" fillId="0" borderId="0" applyAlignment="1" pivotButton="0" quotePrefix="0" xfId="0">
      <alignment horizontal="right"/>
    </xf>
    <xf numFmtId="16" fontId="87" fillId="0" borderId="0" pivotButton="0" quotePrefix="0" xfId="0"/>
    <xf numFmtId="0" fontId="88" fillId="39" borderId="0" pivotButton="0" quotePrefix="0" xfId="0"/>
    <xf numFmtId="0" fontId="44" fillId="38" borderId="0" pivotButton="0" quotePrefix="0" xfId="0"/>
    <xf numFmtId="0" fontId="35" fillId="39" borderId="0" pivotButton="0" quotePrefix="0" xfId="0"/>
    <xf numFmtId="41" fontId="81" fillId="0" borderId="0" pivotButton="0" quotePrefix="0" xfId="0"/>
    <xf numFmtId="0" fontId="82" fillId="37" borderId="0" pivotButton="0" quotePrefix="0" xfId="0"/>
    <xf numFmtId="0" fontId="81" fillId="37" borderId="0" pivotButton="0" quotePrefix="0" xfId="0"/>
    <xf numFmtId="42" fontId="82" fillId="37" borderId="0" pivotButton="0" quotePrefix="0" xfId="0"/>
    <xf numFmtId="42" fontId="82" fillId="0" borderId="16" pivotButton="0" quotePrefix="0" xfId="0"/>
    <xf numFmtId="0" fontId="42" fillId="0" borderId="0" applyAlignment="1" pivotButton="0" quotePrefix="0" xfId="0">
      <alignment horizontal="right"/>
    </xf>
    <xf numFmtId="0" fontId="90" fillId="0" borderId="0" applyAlignment="1" pivotButton="0" quotePrefix="0" xfId="0">
      <alignment horizontal="center"/>
    </xf>
    <xf numFmtId="16" fontId="82" fillId="0" borderId="0" applyAlignment="1" pivotButton="0" quotePrefix="1" xfId="0">
      <alignment horizontal="center"/>
    </xf>
    <xf numFmtId="9" fontId="81" fillId="0" borderId="0" applyAlignment="1" pivotButton="0" quotePrefix="0" xfId="0">
      <alignment horizontal="center"/>
    </xf>
    <xf numFmtId="173" fontId="81" fillId="0" borderId="0" applyAlignment="1" pivotButton="0" quotePrefix="0" xfId="0">
      <alignment horizontal="center"/>
    </xf>
    <xf numFmtId="172" fontId="81" fillId="0" borderId="0" applyAlignment="1" pivotButton="0" quotePrefix="0" xfId="0">
      <alignment horizontal="right"/>
    </xf>
    <xf numFmtId="172" fontId="82" fillId="0" borderId="0" applyAlignment="1" pivotButton="0" quotePrefix="0" xfId="0">
      <alignment horizontal="right"/>
    </xf>
    <xf numFmtId="41" fontId="81" fillId="0" borderId="0" applyAlignment="1" pivotButton="0" quotePrefix="0" xfId="0">
      <alignment horizontal="right"/>
    </xf>
    <xf numFmtId="41" fontId="82" fillId="0" borderId="0" applyAlignment="1" pivotButton="0" quotePrefix="0" xfId="0">
      <alignment horizontal="right"/>
    </xf>
    <xf numFmtId="0" fontId="81" fillId="40" borderId="0" pivotButton="0" quotePrefix="0" xfId="0"/>
    <xf numFmtId="0" fontId="82" fillId="40" borderId="0" pivotButton="0" quotePrefix="0" xfId="0"/>
    <xf numFmtId="9" fontId="87" fillId="0" borderId="0" pivotButton="0" quotePrefix="0" xfId="0"/>
    <xf numFmtId="172" fontId="87" fillId="0" borderId="0" pivotButton="0" quotePrefix="0" xfId="0"/>
    <xf numFmtId="0" fontId="87" fillId="0" borderId="0" pivotButton="0" quotePrefix="1" xfId="0"/>
    <xf numFmtId="41" fontId="87" fillId="0" borderId="0" pivotButton="0" quotePrefix="0" xfId="0"/>
    <xf numFmtId="0" fontId="87" fillId="37" borderId="0" pivotButton="0" quotePrefix="0" xfId="0"/>
    <xf numFmtId="39" fontId="88" fillId="37" borderId="0" applyAlignment="1" pivotButton="0" quotePrefix="0" xfId="0">
      <alignment horizontal="center"/>
    </xf>
    <xf numFmtId="0" fontId="91" fillId="0" borderId="0" applyAlignment="1" pivotButton="0" quotePrefix="0" xfId="0">
      <alignment horizontal="center"/>
    </xf>
    <xf numFmtId="39" fontId="81" fillId="0" borderId="0" pivotButton="0" quotePrefix="0" xfId="0"/>
    <xf numFmtId="0" fontId="92" fillId="0" borderId="0" applyAlignment="1" pivotButton="0" quotePrefix="0" xfId="0">
      <alignment horizontal="center"/>
    </xf>
    <xf numFmtId="0" fontId="87" fillId="0" borderId="0" applyAlignment="1" pivotButton="0" quotePrefix="0" xfId="0">
      <alignment horizontal="left"/>
    </xf>
    <xf numFmtId="0" fontId="81" fillId="0" borderId="0" applyAlignment="1" pivotButton="0" quotePrefix="0" xfId="0">
      <alignment horizontal="left"/>
    </xf>
    <xf numFmtId="9" fontId="81" fillId="0" borderId="0" applyAlignment="1" pivotButton="0" quotePrefix="0" xfId="1">
      <alignment horizontal="center"/>
    </xf>
    <xf numFmtId="9" fontId="81" fillId="0" borderId="0" pivotButton="0" quotePrefix="0" xfId="0"/>
    <xf numFmtId="0" fontId="82" fillId="41" borderId="0" pivotButton="0" quotePrefix="0" xfId="0"/>
    <xf numFmtId="0" fontId="81" fillId="41" borderId="0" pivotButton="0" quotePrefix="0" xfId="0"/>
    <xf numFmtId="42" fontId="82" fillId="41" borderId="0" pivotButton="0" quotePrefix="0" xfId="0"/>
    <xf numFmtId="41" fontId="82" fillId="0" borderId="0" pivotButton="0" quotePrefix="0" xfId="0"/>
    <xf numFmtId="42" fontId="81" fillId="0" borderId="35" pivotButton="0" quotePrefix="0" xfId="0"/>
    <xf numFmtId="39" fontId="81" fillId="0" borderId="16" pivotButton="0" quotePrefix="0" xfId="0"/>
    <xf numFmtId="37" fontId="82" fillId="0" borderId="16" applyAlignment="1" pivotButton="0" quotePrefix="0" xfId="0">
      <alignment horizontal="center"/>
    </xf>
    <xf numFmtId="9" fontId="81" fillId="0" borderId="16" applyAlignment="1" pivotButton="0" quotePrefix="0" xfId="1">
      <alignment horizontal="center"/>
    </xf>
    <xf numFmtId="172" fontId="81" fillId="0" borderId="16" pivotButton="0" quotePrefix="0" xfId="0"/>
    <xf numFmtId="9" fontId="81" fillId="0" borderId="16" pivotButton="0" quotePrefix="0" xfId="0"/>
    <xf numFmtId="172" fontId="82" fillId="0" borderId="16" applyAlignment="1" pivotButton="0" quotePrefix="0" xfId="0">
      <alignment horizontal="right"/>
    </xf>
    <xf numFmtId="0" fontId="82" fillId="42" borderId="0" pivotButton="0" quotePrefix="0" xfId="0"/>
    <xf numFmtId="0" fontId="81" fillId="42" borderId="0" pivotButton="0" quotePrefix="0" xfId="0"/>
    <xf numFmtId="37" fontId="0" fillId="0" borderId="0" pivotButton="0" quotePrefix="0" xfId="0"/>
    <xf numFmtId="41" fontId="87" fillId="0" borderId="16" pivotButton="0" quotePrefix="0" xfId="0"/>
    <xf numFmtId="41" fontId="87" fillId="0" borderId="36" pivotButton="0" quotePrefix="0" xfId="0"/>
    <xf numFmtId="41" fontId="0" fillId="0" borderId="0" pivotButton="0" quotePrefix="0" xfId="0"/>
    <xf numFmtId="41" fontId="81" fillId="0" borderId="35" pivotButton="0" quotePrefix="0" xfId="0"/>
    <xf numFmtId="0" fontId="41" fillId="0" borderId="16" pivotButton="0" quotePrefix="0" xfId="0"/>
    <xf numFmtId="37" fontId="42" fillId="0" borderId="16" applyAlignment="1" pivotButton="0" quotePrefix="0" xfId="0">
      <alignment horizontal="center"/>
    </xf>
    <xf numFmtId="41" fontId="81" fillId="0" borderId="36" pivotButton="0" quotePrefix="0" xfId="0"/>
    <xf numFmtId="41" fontId="81" fillId="42" borderId="0" pivotButton="0" quotePrefix="0" xfId="0"/>
    <xf numFmtId="0" fontId="82" fillId="39" borderId="0" pivotButton="0" quotePrefix="0" xfId="0"/>
    <xf numFmtId="0" fontId="81" fillId="39" borderId="0" pivotButton="0" quotePrefix="0" xfId="0"/>
    <xf numFmtId="42" fontId="82" fillId="39" borderId="0" pivotButton="0" quotePrefix="0" xfId="0"/>
    <xf numFmtId="0" fontId="82" fillId="43" borderId="0" pivotButton="0" quotePrefix="0" xfId="0"/>
    <xf numFmtId="0" fontId="81" fillId="43" borderId="0" pivotButton="0" quotePrefix="0" xfId="0"/>
    <xf numFmtId="42" fontId="82" fillId="43" borderId="0" pivotButton="0" quotePrefix="0" xfId="0"/>
    <xf numFmtId="41" fontId="81" fillId="0" borderId="40" pivotButton="0" quotePrefix="0" xfId="0"/>
    <xf numFmtId="41" fontId="82" fillId="42" borderId="0" pivotButton="0" quotePrefix="0" xfId="0"/>
    <xf numFmtId="0" fontId="81" fillId="37" borderId="35" pivotButton="0" quotePrefix="0" xfId="0"/>
    <xf numFmtId="0" fontId="81" fillId="37" borderId="0" applyAlignment="1" pivotButton="0" quotePrefix="0" xfId="0">
      <alignment horizontal="left"/>
    </xf>
    <xf numFmtId="42" fontId="81" fillId="37" borderId="0" pivotButton="0" quotePrefix="0" xfId="0"/>
    <xf numFmtId="41" fontId="81" fillId="37" borderId="0" pivotButton="0" quotePrefix="0" xfId="0"/>
    <xf numFmtId="0" fontId="44" fillId="37" borderId="0" applyAlignment="1" pivotButton="0" quotePrefix="0" xfId="0">
      <alignment horizontal="center"/>
    </xf>
    <xf numFmtId="0" fontId="81" fillId="38" borderId="0" pivotButton="0" quotePrefix="0" xfId="0"/>
    <xf numFmtId="42" fontId="82" fillId="40" borderId="0" pivotButton="0" quotePrefix="0" xfId="0"/>
    <xf numFmtId="0" fontId="44" fillId="39" borderId="0" pivotButton="0" quotePrefix="0" xfId="0"/>
    <xf numFmtId="0" fontId="87" fillId="0" borderId="16" pivotButton="0" quotePrefix="0" xfId="0"/>
    <xf numFmtId="169" fontId="16" fillId="12" borderId="16" applyAlignment="1" pivotButton="0" quotePrefix="0" xfId="0">
      <alignment horizontal="center"/>
    </xf>
    <xf numFmtId="0" fontId="16" fillId="12" borderId="16" applyAlignment="1" pivotButton="0" quotePrefix="0" xfId="0">
      <alignment horizontal="center"/>
    </xf>
    <xf numFmtId="1" fontId="16" fillId="12" borderId="16" applyAlignment="1" pivotButton="0" quotePrefix="0" xfId="0">
      <alignment horizontal="center"/>
    </xf>
    <xf numFmtId="1" fontId="28" fillId="12" borderId="16" applyAlignment="1" pivotButton="0" quotePrefix="0" xfId="0">
      <alignment horizontal="center"/>
    </xf>
    <xf numFmtId="1" fontId="28" fillId="12" borderId="36" applyAlignment="1" pivotButton="0" quotePrefix="0" xfId="0">
      <alignment horizontal="center"/>
    </xf>
    <xf numFmtId="0" fontId="82" fillId="0" borderId="0" applyAlignment="1" pivotButton="0" quotePrefix="0" xfId="0">
      <alignment horizontal="right"/>
    </xf>
    <xf numFmtId="0" fontId="15" fillId="44" borderId="0" applyAlignment="1" pivotButton="0" quotePrefix="0" xfId="0">
      <alignment horizontal="center"/>
    </xf>
    <xf numFmtId="17" fontId="16" fillId="44" borderId="0" applyAlignment="1" pivotButton="0" quotePrefix="0" xfId="0">
      <alignment horizontal="center"/>
    </xf>
    <xf numFmtId="0" fontId="16" fillId="45" borderId="0" applyAlignment="1" pivotButton="0" quotePrefix="0" xfId="0">
      <alignment horizontal="center"/>
    </xf>
    <xf numFmtId="43" fontId="82" fillId="37" borderId="0" pivotButton="0" quotePrefix="0" xfId="0"/>
    <xf numFmtId="0" fontId="81" fillId="0" borderId="40" pivotButton="0" quotePrefix="0" xfId="0"/>
    <xf numFmtId="0" fontId="81" fillId="0" borderId="36" pivotButton="0" quotePrefix="0" xfId="0"/>
    <xf numFmtId="0" fontId="81" fillId="0" borderId="36" applyAlignment="1" pivotButton="0" quotePrefix="0" xfId="0">
      <alignment horizontal="center"/>
    </xf>
    <xf numFmtId="42" fontId="16" fillId="38" borderId="0" applyAlignment="1" pivotButton="0" quotePrefix="0" xfId="0">
      <alignment horizontal="center"/>
    </xf>
    <xf numFmtId="42" fontId="16" fillId="38" borderId="36" applyAlignment="1" pivotButton="0" quotePrefix="0" xfId="0">
      <alignment horizontal="center"/>
    </xf>
    <xf numFmtId="0" fontId="73" fillId="0" borderId="0" pivotButton="0" quotePrefix="0" xfId="0"/>
    <xf numFmtId="168" fontId="16" fillId="47" borderId="0" applyAlignment="1" pivotButton="0" quotePrefix="0" xfId="0">
      <alignment horizontal="center"/>
    </xf>
    <xf numFmtId="41" fontId="81" fillId="0" borderId="0" applyAlignment="1" pivotButton="0" quotePrefix="0" xfId="0">
      <alignment horizontal="center"/>
    </xf>
    <xf numFmtId="42" fontId="82" fillId="38" borderId="0" pivotButton="0" quotePrefix="0" xfId="0"/>
    <xf numFmtId="42" fontId="16" fillId="0" borderId="0" applyAlignment="1" pivotButton="0" quotePrefix="0" xfId="0">
      <alignment horizontal="center"/>
    </xf>
    <xf numFmtId="42" fontId="16" fillId="0" borderId="36" applyAlignment="1" pivotButton="0" quotePrefix="0" xfId="0">
      <alignment horizontal="center"/>
    </xf>
    <xf numFmtId="42" fontId="82" fillId="38" borderId="36" pivotButton="0" quotePrefix="0" xfId="0"/>
    <xf numFmtId="0" fontId="82" fillId="37" borderId="0" applyAlignment="1" pivotButton="0" quotePrefix="0" xfId="0">
      <alignment horizontal="right"/>
    </xf>
    <xf numFmtId="0" fontId="81" fillId="0" borderId="0" applyAlignment="1" pivotButton="0" quotePrefix="0" xfId="0">
      <alignment horizontal="right"/>
    </xf>
    <xf numFmtId="37" fontId="81" fillId="0" borderId="35" pivotButton="0" quotePrefix="0" xfId="0"/>
    <xf numFmtId="37" fontId="82" fillId="37" borderId="0" applyAlignment="1" pivotButton="0" quotePrefix="0" xfId="0">
      <alignment horizontal="center"/>
    </xf>
    <xf numFmtId="37" fontId="81" fillId="0" borderId="36" applyAlignment="1" pivotButton="0" quotePrefix="0" xfId="0">
      <alignment horizontal="center"/>
    </xf>
    <xf numFmtId="37" fontId="81" fillId="0" borderId="40" pivotButton="0" quotePrefix="0" xfId="0"/>
    <xf numFmtId="37" fontId="82" fillId="37" borderId="36" applyAlignment="1" pivotButton="0" quotePrefix="0" xfId="0">
      <alignment horizontal="center"/>
    </xf>
    <xf numFmtId="0" fontId="82" fillId="42" borderId="0" applyAlignment="1" pivotButton="0" quotePrefix="0" xfId="0">
      <alignment horizontal="right"/>
    </xf>
    <xf numFmtId="0" fontId="81" fillId="48" borderId="0" pivotButton="0" quotePrefix="0" xfId="0"/>
    <xf numFmtId="0" fontId="0" fillId="48" borderId="0" pivotButton="0" quotePrefix="0" xfId="0"/>
    <xf numFmtId="37" fontId="82" fillId="48" borderId="0" applyAlignment="1" pivotButton="0" quotePrefix="0" xfId="0">
      <alignment horizontal="center"/>
    </xf>
    <xf numFmtId="0" fontId="82" fillId="48" borderId="0" pivotButton="0" quotePrefix="0" xfId="0"/>
    <xf numFmtId="42" fontId="82" fillId="48" borderId="0" pivotButton="0" quotePrefix="0" xfId="0"/>
    <xf numFmtId="0" fontId="81" fillId="0" borderId="16" applyAlignment="1" pivotButton="0" quotePrefix="0" xfId="0">
      <alignment horizontal="center"/>
    </xf>
    <xf numFmtId="42" fontId="16" fillId="38" borderId="16" applyAlignment="1" pivotButton="0" quotePrefix="0" xfId="0">
      <alignment horizontal="center"/>
    </xf>
    <xf numFmtId="42" fontId="16" fillId="0" borderId="16" applyAlignment="1" pivotButton="0" quotePrefix="0" xfId="0">
      <alignment horizontal="center"/>
    </xf>
    <xf numFmtId="42" fontId="82" fillId="38" borderId="16" pivotButton="0" quotePrefix="0" xfId="0"/>
    <xf numFmtId="37" fontId="81" fillId="0" borderId="16" applyAlignment="1" pivotButton="0" quotePrefix="0" xfId="0">
      <alignment horizontal="center"/>
    </xf>
    <xf numFmtId="37" fontId="82" fillId="37" borderId="16" applyAlignment="1" pivotButton="0" quotePrefix="0" xfId="0">
      <alignment horizontal="center"/>
    </xf>
    <xf numFmtId="37" fontId="81" fillId="0" borderId="41" pivotButton="0" quotePrefix="0" xfId="0"/>
    <xf numFmtId="0" fontId="81" fillId="0" borderId="41" pivotButton="0" quotePrefix="0" xfId="0"/>
    <xf numFmtId="41" fontId="81" fillId="42" borderId="36" pivotButton="0" quotePrefix="0" xfId="0"/>
    <xf numFmtId="9" fontId="82" fillId="0" borderId="0" applyAlignment="1" pivotButton="0" quotePrefix="0" xfId="1">
      <alignment horizontal="center"/>
    </xf>
    <xf numFmtId="0" fontId="82" fillId="49" borderId="0" pivotButton="0" quotePrefix="0" xfId="0"/>
    <xf numFmtId="0" fontId="81" fillId="49" borderId="0" pivotButton="0" quotePrefix="0" xfId="0"/>
    <xf numFmtId="41" fontId="81" fillId="49" borderId="0" pivotButton="0" quotePrefix="0" xfId="0"/>
    <xf numFmtId="41" fontId="81" fillId="49" borderId="36" pivotButton="0" quotePrefix="0" xfId="0"/>
    <xf numFmtId="10" fontId="82" fillId="49" borderId="0" applyAlignment="1" pivotButton="0" quotePrefix="0" xfId="1">
      <alignment horizontal="center"/>
    </xf>
    <xf numFmtId="10" fontId="82" fillId="48" borderId="0" applyAlignment="1" pivotButton="0" quotePrefix="0" xfId="1">
      <alignment horizontal="center"/>
    </xf>
    <xf numFmtId="41" fontId="81" fillId="48" borderId="0" pivotButton="0" quotePrefix="0" xfId="0"/>
    <xf numFmtId="41" fontId="81" fillId="48" borderId="36" pivotButton="0" quotePrefix="0" xfId="0"/>
    <xf numFmtId="0" fontId="94" fillId="0" borderId="0" pivotButton="0" quotePrefix="0" xfId="0"/>
    <xf numFmtId="37" fontId="94" fillId="0" borderId="0" applyAlignment="1" pivotButton="0" quotePrefix="0" xfId="0">
      <alignment horizontal="center"/>
    </xf>
    <xf numFmtId="0" fontId="29" fillId="50" borderId="8" applyAlignment="1" pivotButton="0" quotePrefix="0" xfId="0">
      <alignment horizontal="center"/>
    </xf>
    <xf numFmtId="0" fontId="17" fillId="50" borderId="8" applyAlignment="1" pivotButton="0" quotePrefix="0" xfId="0">
      <alignment horizontal="center"/>
    </xf>
    <xf numFmtId="169" fontId="17" fillId="53" borderId="0" applyAlignment="1" pivotButton="0" quotePrefix="0" xfId="0">
      <alignment horizontal="center"/>
    </xf>
    <xf numFmtId="0" fontId="17" fillId="55" borderId="8" applyAlignment="1" pivotButton="0" quotePrefix="0" xfId="0">
      <alignment horizontal="center"/>
    </xf>
    <xf numFmtId="41" fontId="81" fillId="0" borderId="16" pivotButton="0" quotePrefix="0" xfId="0"/>
    <xf numFmtId="0" fontId="95" fillId="0" borderId="0" applyAlignment="1" pivotButton="0" quotePrefix="0" xfId="0">
      <alignment horizontal="center" vertical="center"/>
    </xf>
    <xf numFmtId="0" fontId="81" fillId="0" borderId="39" pivotButton="0" quotePrefix="0" xfId="0"/>
    <xf numFmtId="0" fontId="82" fillId="56" borderId="0" applyAlignment="1" pivotButton="0" quotePrefix="0" xfId="0">
      <alignment horizontal="center"/>
    </xf>
    <xf numFmtId="0" fontId="81" fillId="56" borderId="0" pivotButton="0" quotePrefix="0" xfId="0"/>
    <xf numFmtId="37" fontId="81" fillId="58" borderId="0" pivotButton="0" quotePrefix="0" xfId="0"/>
    <xf numFmtId="37" fontId="81" fillId="58" borderId="16" pivotButton="0" quotePrefix="0" xfId="0"/>
    <xf numFmtId="37" fontId="41" fillId="58" borderId="0" pivotButton="0" quotePrefix="0" xfId="0"/>
    <xf numFmtId="37" fontId="41" fillId="58" borderId="16" pivotButton="0" quotePrefix="0" xfId="0"/>
    <xf numFmtId="37" fontId="41" fillId="58" borderId="35" pivotButton="0" quotePrefix="0" xfId="0"/>
    <xf numFmtId="37" fontId="42" fillId="58" borderId="0" applyAlignment="1" pivotButton="0" quotePrefix="0" xfId="0">
      <alignment horizontal="right"/>
    </xf>
    <xf numFmtId="37" fontId="42" fillId="58" borderId="16" applyAlignment="1" pivotButton="0" quotePrefix="0" xfId="0">
      <alignment horizontal="right"/>
    </xf>
    <xf numFmtId="37" fontId="41" fillId="58" borderId="36" pivotButton="0" quotePrefix="0" xfId="0"/>
    <xf numFmtId="37" fontId="81" fillId="58" borderId="36" pivotButton="0" quotePrefix="0" xfId="0"/>
    <xf numFmtId="0" fontId="88" fillId="0" borderId="0" applyAlignment="1" pivotButton="0" quotePrefix="0" xfId="0">
      <alignment horizontal="right"/>
    </xf>
    <xf numFmtId="0" fontId="87" fillId="0" borderId="35" pivotButton="0" quotePrefix="0" xfId="0"/>
    <xf numFmtId="43" fontId="82" fillId="0" borderId="0" pivotButton="0" quotePrefix="0" xfId="0"/>
    <xf numFmtId="39" fontId="82" fillId="0" borderId="0" pivotButton="0" quotePrefix="0" xfId="0"/>
    <xf numFmtId="173" fontId="88" fillId="0" borderId="0" applyAlignment="1" pivotButton="0" quotePrefix="0" xfId="0">
      <alignment horizontal="center"/>
    </xf>
    <xf numFmtId="10" fontId="82" fillId="0" borderId="0" applyAlignment="1" pivotButton="0" quotePrefix="0" xfId="0">
      <alignment horizontal="center"/>
    </xf>
    <xf numFmtId="41" fontId="81" fillId="58" borderId="0" pivotButton="0" quotePrefix="0" xfId="0"/>
    <xf numFmtId="41" fontId="81" fillId="58" borderId="36" pivotButton="0" quotePrefix="0" xfId="0"/>
    <xf numFmtId="41" fontId="87" fillId="58" borderId="16" pivotButton="0" quotePrefix="0" xfId="0"/>
    <xf numFmtId="41" fontId="81" fillId="58" borderId="16" pivotButton="0" quotePrefix="0" xfId="0"/>
    <xf numFmtId="42" fontId="82" fillId="0" borderId="36" pivotButton="0" quotePrefix="0" xfId="0"/>
    <xf numFmtId="42" fontId="87" fillId="58" borderId="0" pivotButton="0" quotePrefix="0" xfId="0"/>
    <xf numFmtId="42" fontId="87" fillId="0" borderId="0" pivotButton="0" quotePrefix="0" xfId="0"/>
    <xf numFmtId="42" fontId="87" fillId="0" borderId="36" pivotButton="0" quotePrefix="0" xfId="0"/>
    <xf numFmtId="42" fontId="87" fillId="0" borderId="16" pivotButton="0" quotePrefix="0" xfId="0"/>
    <xf numFmtId="0" fontId="88" fillId="56" borderId="0" applyAlignment="1" pivotButton="0" quotePrefix="0" xfId="0">
      <alignment horizontal="left"/>
    </xf>
    <xf numFmtId="0" fontId="82" fillId="56" borderId="0" applyAlignment="1" pivotButton="0" quotePrefix="0" xfId="0">
      <alignment horizontal="left"/>
    </xf>
    <xf numFmtId="0" fontId="82" fillId="56" borderId="0" pivotButton="0" quotePrefix="0" xfId="0"/>
    <xf numFmtId="37" fontId="82" fillId="56" borderId="0" pivotButton="0" quotePrefix="0" xfId="0"/>
    <xf numFmtId="9" fontId="82" fillId="37" borderId="0" applyAlignment="1" pivotButton="0" quotePrefix="1" xfId="1">
      <alignment horizontal="center"/>
    </xf>
    <xf numFmtId="9" fontId="82" fillId="37" borderId="0" applyAlignment="1" pivotButton="0" quotePrefix="0" xfId="1">
      <alignment horizontal="center"/>
    </xf>
    <xf numFmtId="0" fontId="82" fillId="59" borderId="0" pivotButton="0" quotePrefix="0" xfId="0"/>
    <xf numFmtId="42" fontId="82" fillId="59" borderId="0" pivotButton="0" quotePrefix="0" xfId="0"/>
    <xf numFmtId="0" fontId="19" fillId="0" borderId="0" pivotButton="0" quotePrefix="0" xfId="0"/>
    <xf numFmtId="0" fontId="16" fillId="0" borderId="35" pivotButton="0" quotePrefix="0" xfId="0"/>
    <xf numFmtId="0" fontId="0" fillId="0" borderId="35" pivotButton="0" quotePrefix="0" xfId="0"/>
    <xf numFmtId="0" fontId="17" fillId="0" borderId="35" applyAlignment="1" pivotButton="0" quotePrefix="0" xfId="0">
      <alignment horizontal="left"/>
    </xf>
    <xf numFmtId="0" fontId="81" fillId="0" borderId="0" applyAlignment="1" pivotButton="0" quotePrefix="1" xfId="0">
      <alignment horizontal="center"/>
    </xf>
    <xf numFmtId="37" fontId="81" fillId="40" borderId="0" applyAlignment="1" pivotButton="0" quotePrefix="0" xfId="0">
      <alignment horizontal="center"/>
    </xf>
    <xf numFmtId="0" fontId="16" fillId="38" borderId="0" pivotButton="0" quotePrefix="0" xfId="0"/>
    <xf numFmtId="37" fontId="28" fillId="38" borderId="0" applyAlignment="1" pivotButton="0" quotePrefix="0" xfId="0">
      <alignment horizontal="center"/>
    </xf>
    <xf numFmtId="37" fontId="81" fillId="0" borderId="35" applyAlignment="1" pivotButton="0" quotePrefix="0" xfId="0">
      <alignment horizontal="center"/>
    </xf>
    <xf numFmtId="0" fontId="93" fillId="0" borderId="0" applyAlignment="1" pivotButton="0" quotePrefix="0" xfId="0">
      <alignment horizontal="center"/>
    </xf>
    <xf numFmtId="41" fontId="82" fillId="49" borderId="0" pivotButton="0" quotePrefix="0" xfId="0"/>
    <xf numFmtId="0" fontId="81" fillId="60" borderId="0" pivotButton="0" quotePrefix="0" xfId="0"/>
    <xf numFmtId="41" fontId="82" fillId="60" borderId="0" pivotButton="0" quotePrefix="0" xfId="0"/>
    <xf numFmtId="41" fontId="82" fillId="48" borderId="0" pivotButton="0" quotePrefix="0" xfId="0"/>
    <xf numFmtId="41" fontId="0" fillId="0" borderId="35" pivotButton="0" quotePrefix="0" xfId="0"/>
    <xf numFmtId="0" fontId="96" fillId="0" borderId="0" applyAlignment="1" pivotButton="0" quotePrefix="0" xfId="0">
      <alignment horizontal="center"/>
    </xf>
    <xf numFmtId="41" fontId="82" fillId="37" borderId="0" pivotButton="0" quotePrefix="0" xfId="0"/>
    <xf numFmtId="41" fontId="82" fillId="59" borderId="0" pivotButton="0" quotePrefix="0" xfId="0"/>
    <xf numFmtId="173" fontId="81" fillId="0" borderId="0" applyAlignment="1" pivotButton="0" quotePrefix="0" xfId="1">
      <alignment horizontal="center"/>
    </xf>
    <xf numFmtId="10" fontId="81" fillId="0" borderId="0" applyAlignment="1" pivotButton="0" quotePrefix="0" xfId="0">
      <alignment horizontal="center"/>
    </xf>
    <xf numFmtId="0" fontId="82" fillId="0" borderId="35" applyAlignment="1" pivotButton="0" quotePrefix="0" xfId="0">
      <alignment horizontal="center"/>
    </xf>
    <xf numFmtId="172" fontId="82" fillId="0" borderId="0" pivotButton="0" quotePrefix="0" xfId="0"/>
    <xf numFmtId="0" fontId="83" fillId="0" borderId="0" applyAlignment="1" pivotButton="0" quotePrefix="0" xfId="0">
      <alignment horizontal="center"/>
    </xf>
    <xf numFmtId="0" fontId="82" fillId="0" borderId="16" pivotButton="0" quotePrefix="0" xfId="0"/>
    <xf numFmtId="0" fontId="0" fillId="0" borderId="16" pivotButton="0" quotePrefix="0" xfId="0"/>
    <xf numFmtId="0" fontId="81" fillId="0" borderId="42" pivotButton="0" quotePrefix="0" xfId="0"/>
    <xf numFmtId="43" fontId="81" fillId="0" borderId="16" pivotButton="0" quotePrefix="0" xfId="0"/>
    <xf numFmtId="42" fontId="82" fillId="37" borderId="16" pivotButton="0" quotePrefix="0" xfId="0"/>
    <xf numFmtId="37" fontId="82" fillId="0" borderId="36" applyAlignment="1" pivotButton="0" quotePrefix="0" xfId="0">
      <alignment horizontal="center"/>
    </xf>
    <xf numFmtId="0" fontId="81" fillId="0" borderId="0" applyAlignment="1" pivotButton="0" quotePrefix="0" xfId="0">
      <alignment vertical="center"/>
    </xf>
    <xf numFmtId="0" fontId="82" fillId="60" borderId="0" pivotButton="0" quotePrefix="0" xfId="0"/>
    <xf numFmtId="0" fontId="100" fillId="0" borderId="0" applyAlignment="1" pivotButton="0" quotePrefix="0" xfId="0">
      <alignment horizontal="center" vertical="center"/>
    </xf>
    <xf numFmtId="0" fontId="44" fillId="0" borderId="0" pivotButton="0" quotePrefix="0" xfId="0"/>
    <xf numFmtId="9" fontId="0" fillId="0" borderId="0" pivotButton="0" quotePrefix="0" xfId="1"/>
    <xf numFmtId="183" fontId="0" fillId="0" borderId="0" pivotButton="0" quotePrefix="0" xfId="1"/>
    <xf numFmtId="172" fontId="0" fillId="0" borderId="0" pivotButton="0" quotePrefix="0" xfId="2"/>
    <xf numFmtId="183" fontId="0" fillId="0" borderId="0" pivotButton="0" quotePrefix="0" xfId="0"/>
    <xf numFmtId="172" fontId="0" fillId="0" borderId="0" pivotButton="0" quotePrefix="0" xfId="0"/>
    <xf numFmtId="0" fontId="73" fillId="7" borderId="16" pivotButton="0" quotePrefix="0" xfId="0"/>
    <xf numFmtId="0" fontId="73" fillId="0" borderId="16" pivotButton="0" quotePrefix="0" xfId="0"/>
    <xf numFmtId="0" fontId="73" fillId="0" borderId="16" pivotButton="0" quotePrefix="1" xfId="0"/>
    <xf numFmtId="0" fontId="103" fillId="0" borderId="16" pivotButton="0" quotePrefix="0" xfId="0"/>
    <xf numFmtId="0" fontId="85" fillId="0" borderId="16" pivotButton="0" quotePrefix="0" xfId="0"/>
    <xf numFmtId="0" fontId="103" fillId="7" borderId="16" pivotButton="0" quotePrefix="0" xfId="0"/>
    <xf numFmtId="0" fontId="29" fillId="7" borderId="16" pivotButton="0" quotePrefix="0" xfId="0"/>
    <xf numFmtId="0" fontId="29" fillId="7" borderId="16" applyAlignment="1" pivotButton="0" quotePrefix="0" xfId="0">
      <alignment horizontal="right"/>
    </xf>
    <xf numFmtId="0" fontId="17" fillId="7" borderId="16" pivotButton="0" quotePrefix="0" xfId="0"/>
    <xf numFmtId="42" fontId="82" fillId="56" borderId="0" pivotButton="0" quotePrefix="0" xfId="0"/>
    <xf numFmtId="42" fontId="81" fillId="56" borderId="0" pivotButton="0" quotePrefix="0" xfId="0"/>
    <xf numFmtId="0" fontId="81" fillId="56" borderId="0" applyAlignment="1" pivotButton="0" quotePrefix="0" xfId="0">
      <alignment horizontal="center"/>
    </xf>
    <xf numFmtId="0" fontId="78" fillId="0" borderId="0" pivotButton="0" quotePrefix="0" xfId="0"/>
    <xf numFmtId="172" fontId="104" fillId="62" borderId="0" pivotButton="0" quotePrefix="0" xfId="2"/>
    <xf numFmtId="172" fontId="105" fillId="61" borderId="0" pivotButton="0" quotePrefix="0" xfId="2"/>
    <xf numFmtId="172" fontId="44" fillId="0" borderId="0" pivotButton="0" quotePrefix="0" xfId="2"/>
    <xf numFmtId="167" fontId="44" fillId="0" borderId="0" pivotButton="0" quotePrefix="0" xfId="0"/>
    <xf numFmtId="10" fontId="0" fillId="0" borderId="0" pivotButton="0" quotePrefix="0" xfId="1"/>
    <xf numFmtId="183" fontId="44" fillId="0" borderId="0" pivotButton="0" quotePrefix="0" xfId="0"/>
    <xf numFmtId="10" fontId="44" fillId="0" borderId="0" pivotButton="0" quotePrefix="0" xfId="1"/>
    <xf numFmtId="0" fontId="78" fillId="0" borderId="0" applyAlignment="1" pivotButton="0" quotePrefix="0" xfId="0">
      <alignment horizontal="center"/>
    </xf>
    <xf numFmtId="37" fontId="81" fillId="63" borderId="0" applyAlignment="1" pivotButton="0" quotePrefix="0" xfId="0">
      <alignment horizontal="center"/>
    </xf>
    <xf numFmtId="0" fontId="73" fillId="56" borderId="0" pivotButton="0" quotePrefix="0" xfId="0"/>
    <xf numFmtId="41" fontId="81" fillId="56" borderId="0" pivotButton="0" quotePrefix="0" xfId="0"/>
    <xf numFmtId="0" fontId="81" fillId="56" borderId="36" applyAlignment="1" pivotButton="0" quotePrefix="0" xfId="0">
      <alignment horizontal="center"/>
    </xf>
    <xf numFmtId="0" fontId="81" fillId="56" borderId="16" applyAlignment="1" pivotButton="0" quotePrefix="0" xfId="0">
      <alignment horizontal="center"/>
    </xf>
    <xf numFmtId="0" fontId="0" fillId="56" borderId="0" pivotButton="0" quotePrefix="0" xfId="0"/>
    <xf numFmtId="0" fontId="96" fillId="56" borderId="0" applyAlignment="1" pivotButton="0" quotePrefix="0" xfId="0">
      <alignment horizontal="center"/>
    </xf>
    <xf numFmtId="0" fontId="81" fillId="56" borderId="0" applyAlignment="1" pivotButton="0" quotePrefix="1" xfId="0">
      <alignment horizontal="center"/>
    </xf>
    <xf numFmtId="37" fontId="81" fillId="56" borderId="0" applyAlignment="1" pivotButton="0" quotePrefix="0" xfId="0">
      <alignment horizontal="center"/>
    </xf>
    <xf numFmtId="41" fontId="82" fillId="56" borderId="0" pivotButton="0" quotePrefix="0" xfId="0"/>
    <xf numFmtId="41" fontId="41" fillId="0" borderId="16" pivotButton="0" quotePrefix="0" xfId="0"/>
    <xf numFmtId="0" fontId="3" fillId="0" borderId="0" pivotButton="0" quotePrefix="0" xfId="0"/>
    <xf numFmtId="0" fontId="85" fillId="0" borderId="16" pivotButton="0" quotePrefix="1" xfId="0"/>
    <xf numFmtId="0" fontId="79" fillId="0" borderId="0" pivotButton="0" quotePrefix="0" xfId="0"/>
    <xf numFmtId="0" fontId="85" fillId="7" borderId="16" pivotButton="0" quotePrefix="0" xfId="0"/>
    <xf numFmtId="41" fontId="107" fillId="0" borderId="0" pivotButton="0" quotePrefix="0" xfId="0"/>
    <xf numFmtId="41" fontId="107" fillId="0" borderId="16" applyAlignment="1" pivotButton="0" quotePrefix="0" xfId="0">
      <alignment horizontal="center"/>
    </xf>
    <xf numFmtId="41" fontId="102" fillId="0" borderId="0" pivotButton="0" quotePrefix="0" xfId="0"/>
    <xf numFmtId="41" fontId="86" fillId="0" borderId="16" applyAlignment="1" pivotButton="0" quotePrefix="0" xfId="0">
      <alignment horizontal="center"/>
    </xf>
    <xf numFmtId="41" fontId="16" fillId="3" borderId="8" applyAlignment="1" pivotButton="0" quotePrefix="0" xfId="0">
      <alignment horizontal="right"/>
    </xf>
    <xf numFmtId="41" fontId="16" fillId="3" borderId="9" pivotButton="0" quotePrefix="0" xfId="0"/>
    <xf numFmtId="41" fontId="17" fillId="7" borderId="8" pivotButton="0" quotePrefix="0" xfId="0"/>
    <xf numFmtId="41" fontId="28" fillId="0" borderId="0" applyAlignment="1" pivotButton="0" quotePrefix="0" xfId="0">
      <alignment horizontal="center"/>
    </xf>
    <xf numFmtId="41" fontId="16" fillId="3" borderId="0" applyAlignment="1" pivotButton="0" quotePrefix="0" xfId="0">
      <alignment horizontal="right"/>
    </xf>
    <xf numFmtId="41" fontId="16" fillId="13" borderId="0" pivotButton="0" quotePrefix="0" xfId="0"/>
    <xf numFmtId="41" fontId="17" fillId="0" borderId="0" applyAlignment="1" pivotButton="0" quotePrefix="0" xfId="0">
      <alignment horizontal="center"/>
    </xf>
    <xf numFmtId="41" fontId="17" fillId="0" borderId="0" applyAlignment="1" pivotButton="0" quotePrefix="0" xfId="0">
      <alignment horizontal="right"/>
    </xf>
    <xf numFmtId="41" fontId="16" fillId="7" borderId="8" applyAlignment="1" pivotButton="0" quotePrefix="0" xfId="0">
      <alignment horizontal="center"/>
    </xf>
    <xf numFmtId="41" fontId="78" fillId="0" borderId="0" pivotButton="0" quotePrefix="0" xfId="0"/>
    <xf numFmtId="41" fontId="101" fillId="2" borderId="0" pivotButton="0" quotePrefix="0" xfId="0"/>
    <xf numFmtId="41" fontId="86" fillId="7" borderId="8" pivotButton="0" quotePrefix="0" xfId="0"/>
    <xf numFmtId="41" fontId="101" fillId="0" borderId="0" pivotButton="0" quotePrefix="0" xfId="0"/>
    <xf numFmtId="41" fontId="101" fillId="3" borderId="0" pivotButton="0" quotePrefix="0" xfId="0"/>
    <xf numFmtId="41" fontId="102" fillId="15" borderId="0" applyAlignment="1" pivotButton="0" quotePrefix="0" xfId="0">
      <alignment horizontal="left"/>
    </xf>
    <xf numFmtId="41" fontId="86" fillId="15" borderId="0" applyAlignment="1" pivotButton="0" quotePrefix="0" xfId="0">
      <alignment horizontal="center"/>
    </xf>
    <xf numFmtId="41" fontId="108" fillId="15" borderId="0" pivotButton="0" quotePrefix="0" xfId="0"/>
    <xf numFmtId="41" fontId="29" fillId="0" borderId="0" applyAlignment="1" pivotButton="0" quotePrefix="0" xfId="0">
      <alignment horizontal="center"/>
    </xf>
    <xf numFmtId="172" fontId="29" fillId="0" borderId="0" applyAlignment="1" pivotButton="0" quotePrefix="0" xfId="0">
      <alignment horizontal="center"/>
    </xf>
    <xf numFmtId="43" fontId="28" fillId="0" borderId="0" applyAlignment="1" pivotButton="0" quotePrefix="0" xfId="0">
      <alignment horizontal="center"/>
    </xf>
    <xf numFmtId="43" fontId="28" fillId="3" borderId="0" applyAlignment="1" pivotButton="0" quotePrefix="0" xfId="0">
      <alignment horizontal="center"/>
    </xf>
    <xf numFmtId="41" fontId="16" fillId="7" borderId="8" pivotButton="0" quotePrefix="0" xfId="0"/>
    <xf numFmtId="0" fontId="102" fillId="0" borderId="0" pivotButton="0" quotePrefix="0" xfId="0"/>
    <xf numFmtId="0" fontId="102" fillId="0" borderId="0" applyAlignment="1" pivotButton="0" quotePrefix="0" xfId="0">
      <alignment horizontal="center"/>
    </xf>
    <xf numFmtId="0" fontId="108" fillId="0" borderId="0" applyAlignment="1" pivotButton="0" quotePrefix="0" xfId="0">
      <alignment horizontal="center"/>
    </xf>
    <xf numFmtId="0" fontId="24" fillId="0" borderId="0" applyAlignment="1" pivotButton="0" quotePrefix="0" xfId="0">
      <alignment horizontal="center" vertical="center"/>
    </xf>
    <xf numFmtId="0" fontId="109" fillId="0" borderId="0" applyAlignment="1" pivotButton="0" quotePrefix="0" xfId="0">
      <alignment horizontal="center" vertical="center"/>
    </xf>
    <xf numFmtId="10" fontId="108" fillId="37" borderId="0" applyAlignment="1" pivotButton="0" quotePrefix="0" xfId="1">
      <alignment horizontal="center"/>
    </xf>
    <xf numFmtId="0" fontId="108" fillId="0" borderId="0" applyAlignment="1" pivotButton="0" quotePrefix="0" xfId="0">
      <alignment horizontal="right"/>
    </xf>
    <xf numFmtId="0" fontId="108" fillId="0" borderId="0" pivotButton="0" quotePrefix="0" xfId="0"/>
    <xf numFmtId="0" fontId="102" fillId="0" borderId="35" pivotButton="0" quotePrefix="0" xfId="0"/>
    <xf numFmtId="41" fontId="102" fillId="0" borderId="35" pivotButton="0" quotePrefix="0" xfId="0"/>
    <xf numFmtId="0" fontId="107" fillId="0" borderId="16" pivotButton="0" quotePrefix="0" xfId="0"/>
    <xf numFmtId="0" fontId="107" fillId="0" borderId="0" pivotButton="0" quotePrefix="0" xfId="0"/>
    <xf numFmtId="0" fontId="108" fillId="0" borderId="0" applyAlignment="1" pivotButton="0" quotePrefix="1" xfId="0">
      <alignment horizontal="center"/>
    </xf>
    <xf numFmtId="0" fontId="110" fillId="0" borderId="0" applyAlignment="1" pivotButton="0" quotePrefix="1" xfId="0">
      <alignment horizontal="center"/>
    </xf>
    <xf numFmtId="0" fontId="107" fillId="7" borderId="16" pivotButton="0" quotePrefix="0" xfId="0"/>
    <xf numFmtId="0" fontId="102" fillId="0" borderId="0" applyAlignment="1" pivotButton="0" quotePrefix="0" xfId="0">
      <alignment horizontal="center" vertical="center"/>
    </xf>
    <xf numFmtId="0" fontId="102" fillId="0" borderId="16" pivotButton="0" quotePrefix="0" xfId="0"/>
    <xf numFmtId="0" fontId="86" fillId="0" borderId="0" pivotButton="0" quotePrefix="0" xfId="0"/>
    <xf numFmtId="0" fontId="111" fillId="0" borderId="0" applyAlignment="1" pivotButton="0" quotePrefix="1" xfId="0">
      <alignment horizontal="center"/>
    </xf>
    <xf numFmtId="0" fontId="107" fillId="0" borderId="16" applyAlignment="1" pivotButton="0" quotePrefix="0" xfId="0">
      <alignment horizontal="center"/>
    </xf>
    <xf numFmtId="0" fontId="112" fillId="0" borderId="16" applyAlignment="1" pivotButton="0" quotePrefix="0" xfId="0">
      <alignment horizontal="center"/>
    </xf>
    <xf numFmtId="0" fontId="108" fillId="0" borderId="16" applyAlignment="1" pivotButton="0" quotePrefix="0" xfId="0">
      <alignment horizontal="center"/>
    </xf>
    <xf numFmtId="37" fontId="102" fillId="0" borderId="0" applyAlignment="1" pivotButton="0" quotePrefix="1" xfId="0">
      <alignment horizontal="center"/>
    </xf>
    <xf numFmtId="37" fontId="113" fillId="0" borderId="0" applyAlignment="1" pivotButton="0" quotePrefix="1" xfId="0">
      <alignment horizontal="center"/>
    </xf>
    <xf numFmtId="37" fontId="102" fillId="0" borderId="0" pivotButton="0" quotePrefix="0" xfId="0"/>
    <xf numFmtId="37" fontId="102" fillId="0" borderId="0" applyAlignment="1" pivotButton="0" quotePrefix="0" xfId="0">
      <alignment horizontal="center"/>
    </xf>
    <xf numFmtId="37" fontId="108" fillId="0" borderId="0" applyAlignment="1" pivotButton="0" quotePrefix="0" xfId="0">
      <alignment horizontal="center"/>
    </xf>
    <xf numFmtId="0" fontId="111" fillId="37" borderId="0" applyAlignment="1" pivotButton="0" quotePrefix="1" xfId="0">
      <alignment horizontal="center"/>
    </xf>
    <xf numFmtId="0" fontId="113" fillId="0" borderId="0" applyAlignment="1" pivotButton="0" quotePrefix="1" xfId="0">
      <alignment horizontal="center"/>
    </xf>
    <xf numFmtId="0" fontId="107" fillId="0" borderId="0" applyAlignment="1" pivotButton="0" quotePrefix="1" xfId="0">
      <alignment horizontal="center"/>
    </xf>
    <xf numFmtId="0" fontId="107" fillId="40" borderId="0" applyAlignment="1" pivotButton="0" quotePrefix="1" xfId="0">
      <alignment horizontal="center"/>
    </xf>
    <xf numFmtId="0" fontId="107" fillId="0" borderId="35" pivotButton="0" quotePrefix="0" xfId="0"/>
    <xf numFmtId="0" fontId="106" fillId="0" borderId="0" pivotButton="0" quotePrefix="0" xfId="0"/>
    <xf numFmtId="0" fontId="106" fillId="0" borderId="0" applyAlignment="1" pivotButton="0" quotePrefix="0" xfId="0">
      <alignment horizontal="center"/>
    </xf>
    <xf numFmtId="37" fontId="106" fillId="0" borderId="0" applyAlignment="1" pivotButton="0" quotePrefix="0" xfId="0">
      <alignment horizontal="center"/>
    </xf>
    <xf numFmtId="0" fontId="0" fillId="40" borderId="0" pivotButton="0" quotePrefix="0" xfId="0"/>
    <xf numFmtId="37" fontId="108" fillId="38" borderId="0" applyAlignment="1" pivotButton="0" quotePrefix="0" xfId="0">
      <alignment horizontal="center"/>
    </xf>
    <xf numFmtId="0" fontId="106" fillId="38" borderId="0" applyAlignment="1" pivotButton="0" quotePrefix="0" xfId="0">
      <alignment horizontal="center"/>
    </xf>
    <xf numFmtId="37" fontId="106" fillId="38" borderId="0" applyAlignment="1" pivotButton="0" quotePrefix="0" xfId="0">
      <alignment horizontal="center"/>
    </xf>
    <xf numFmtId="41" fontId="108" fillId="0" borderId="0" pivotButton="0" quotePrefix="0" xfId="0"/>
    <xf numFmtId="41" fontId="102" fillId="0" borderId="16" pivotButton="0" quotePrefix="0" xfId="0"/>
    <xf numFmtId="41" fontId="108" fillId="0" borderId="16" pivotButton="0" quotePrefix="0" xfId="0"/>
    <xf numFmtId="41" fontId="102" fillId="40" borderId="0" pivotButton="0" quotePrefix="0" xfId="0"/>
    <xf numFmtId="0" fontId="102" fillId="37" borderId="35" pivotButton="0" quotePrefix="0" xfId="0"/>
    <xf numFmtId="0" fontId="102" fillId="37" borderId="0" pivotButton="0" quotePrefix="0" xfId="0"/>
    <xf numFmtId="10" fontId="108" fillId="0" borderId="16" applyAlignment="1" pivotButton="0" quotePrefix="0" xfId="1">
      <alignment horizontal="center"/>
    </xf>
    <xf numFmtId="0" fontId="86" fillId="0" borderId="16" pivotButton="0" quotePrefix="0" xfId="0"/>
    <xf numFmtId="0" fontId="112" fillId="0" borderId="0" pivotButton="0" quotePrefix="0" xfId="0"/>
    <xf numFmtId="0" fontId="112" fillId="0" borderId="0" applyAlignment="1" pivotButton="0" quotePrefix="0" xfId="0">
      <alignment horizontal="center"/>
    </xf>
    <xf numFmtId="41" fontId="107" fillId="40" borderId="16" pivotButton="0" quotePrefix="0" xfId="0"/>
    <xf numFmtId="0" fontId="102" fillId="40" borderId="16" pivotButton="0" quotePrefix="0" xfId="0"/>
    <xf numFmtId="41" fontId="102" fillId="40" borderId="16" pivotButton="0" quotePrefix="0" xfId="0"/>
    <xf numFmtId="0" fontId="102" fillId="40" borderId="0" pivotButton="0" quotePrefix="0" xfId="0"/>
    <xf numFmtId="0" fontId="108" fillId="40" borderId="16" applyAlignment="1" pivotButton="0" quotePrefix="0" xfId="0">
      <alignment horizontal="center"/>
    </xf>
    <xf numFmtId="37" fontId="81" fillId="40" borderId="16" applyAlignment="1" pivotButton="0" quotePrefix="0" xfId="0">
      <alignment horizontal="center"/>
    </xf>
    <xf numFmtId="0" fontId="102" fillId="40" borderId="16" applyAlignment="1" pivotButton="0" quotePrefix="0" xfId="0">
      <alignment horizontal="center"/>
    </xf>
    <xf numFmtId="37" fontId="102" fillId="40" borderId="16" applyAlignment="1" pivotButton="0" quotePrefix="0" xfId="0">
      <alignment horizontal="center"/>
    </xf>
    <xf numFmtId="0" fontId="102" fillId="40" borderId="0" applyAlignment="1" pivotButton="0" quotePrefix="0" xfId="0">
      <alignment horizontal="center"/>
    </xf>
    <xf numFmtId="37" fontId="102" fillId="40" borderId="0" applyAlignment="1" pivotButton="0" quotePrefix="0" xfId="0">
      <alignment horizontal="center"/>
    </xf>
    <xf numFmtId="37" fontId="102" fillId="40" borderId="0" pivotButton="0" quotePrefix="0" xfId="0"/>
    <xf numFmtId="37" fontId="78" fillId="0" borderId="0" pivotButton="0" quotePrefix="0" xfId="0"/>
    <xf numFmtId="0" fontId="110" fillId="0" borderId="16" applyAlignment="1" pivotButton="0" quotePrefix="0" xfId="0">
      <alignment horizontal="right"/>
    </xf>
    <xf numFmtId="37" fontId="110" fillId="0" borderId="0" applyAlignment="1" pivotButton="0" quotePrefix="0" xfId="0">
      <alignment horizontal="center"/>
    </xf>
    <xf numFmtId="0" fontId="108" fillId="0" borderId="16" applyAlignment="1" pivotButton="0" quotePrefix="0" xfId="0">
      <alignment horizontal="right"/>
    </xf>
    <xf numFmtId="0" fontId="108" fillId="0" borderId="16" pivotButton="0" quotePrefix="0" xfId="0"/>
    <xf numFmtId="0" fontId="110" fillId="0" borderId="16" pivotButton="0" quotePrefix="0" xfId="0"/>
    <xf numFmtId="0" fontId="110" fillId="0" borderId="35" applyAlignment="1" pivotButton="0" quotePrefix="0" xfId="0">
      <alignment horizontal="right"/>
    </xf>
    <xf numFmtId="41" fontId="112" fillId="0" borderId="0" pivotButton="0" quotePrefix="0" xfId="0"/>
    <xf numFmtId="41" fontId="110" fillId="0" borderId="0" pivotButton="0" quotePrefix="0" xfId="0"/>
    <xf numFmtId="0" fontId="110" fillId="0" borderId="0" pivotButton="0" quotePrefix="0" xfId="0"/>
    <xf numFmtId="0" fontId="114" fillId="0" borderId="0" applyAlignment="1" pivotButton="0" quotePrefix="0" xfId="0">
      <alignment horizontal="center" vertical="center"/>
    </xf>
    <xf numFmtId="0" fontId="112" fillId="0" borderId="35" pivotButton="0" quotePrefix="0" xfId="0"/>
    <xf numFmtId="0" fontId="108" fillId="0" borderId="35" pivotButton="0" quotePrefix="0" xfId="0"/>
    <xf numFmtId="0" fontId="110" fillId="0" borderId="35" pivotButton="0" quotePrefix="0" xfId="0"/>
    <xf numFmtId="0" fontId="115" fillId="0" borderId="0" pivotButton="0" quotePrefix="0" xfId="0"/>
    <xf numFmtId="169" fontId="17" fillId="38" borderId="0" applyAlignment="1" pivotButton="0" quotePrefix="0" xfId="0">
      <alignment horizontal="center"/>
    </xf>
    <xf numFmtId="41" fontId="16" fillId="64" borderId="0" applyAlignment="1" pivotButton="0" quotePrefix="0" xfId="0">
      <alignment horizontal="right"/>
    </xf>
    <xf numFmtId="37" fontId="111" fillId="0" borderId="0" applyAlignment="1" pivotButton="0" quotePrefix="0" xfId="0">
      <alignment horizontal="center"/>
    </xf>
    <xf numFmtId="0" fontId="113" fillId="0" borderId="0" pivotButton="0" quotePrefix="0" xfId="0"/>
    <xf numFmtId="169" fontId="17" fillId="49" borderId="0" applyAlignment="1" pivotButton="0" quotePrefix="0" xfId="0">
      <alignment horizontal="center"/>
    </xf>
    <xf numFmtId="0" fontId="98" fillId="65" borderId="17" applyAlignment="1" pivotButton="0" quotePrefix="0" xfId="0">
      <alignment horizontal="left"/>
    </xf>
    <xf numFmtId="0" fontId="29" fillId="65" borderId="16" pivotButton="0" quotePrefix="0" xfId="0"/>
    <xf numFmtId="0" fontId="29" fillId="65" borderId="16" applyAlignment="1" pivotButton="0" quotePrefix="0" xfId="0">
      <alignment horizontal="right"/>
    </xf>
    <xf numFmtId="0" fontId="116" fillId="0" borderId="0" applyAlignment="1" pivotButton="0" quotePrefix="0" xfId="0">
      <alignment horizontal="center"/>
    </xf>
    <xf numFmtId="0" fontId="111" fillId="0" borderId="0" pivotButton="0" quotePrefix="0" xfId="0"/>
    <xf numFmtId="0" fontId="111" fillId="0" borderId="16" applyAlignment="1" pivotButton="0" quotePrefix="0" xfId="0">
      <alignment horizontal="center"/>
    </xf>
    <xf numFmtId="0" fontId="117" fillId="0" borderId="0" applyAlignment="1" pivotButton="0" quotePrefix="0" xfId="0">
      <alignment horizontal="center"/>
    </xf>
    <xf numFmtId="0" fontId="111" fillId="0" borderId="0" applyAlignment="1" pivotButton="0" quotePrefix="0" xfId="0">
      <alignment horizontal="center"/>
    </xf>
    <xf numFmtId="37" fontId="111" fillId="38" borderId="0" applyAlignment="1" pivotButton="0" quotePrefix="0" xfId="0">
      <alignment horizontal="center"/>
    </xf>
    <xf numFmtId="0" fontId="113" fillId="40" borderId="0" applyAlignment="1" pivotButton="0" quotePrefix="1" xfId="0">
      <alignment horizontal="center"/>
    </xf>
    <xf numFmtId="0" fontId="41" fillId="0" borderId="39" pivotButton="0" quotePrefix="0" xfId="0"/>
    <xf numFmtId="0" fontId="88" fillId="0" borderId="39" pivotButton="0" quotePrefix="0" xfId="0"/>
    <xf numFmtId="0" fontId="0" fillId="0" borderId="39" pivotButton="0" quotePrefix="0" xfId="0"/>
    <xf numFmtId="0" fontId="102" fillId="0" borderId="39" pivotButton="0" quotePrefix="0" xfId="0"/>
    <xf numFmtId="170" fontId="16" fillId="49" borderId="0" applyAlignment="1" pivotButton="0" quotePrefix="0" xfId="0">
      <alignment horizontal="center"/>
    </xf>
    <xf numFmtId="164" fontId="7" fillId="37" borderId="0" applyAlignment="1" pivotButton="0" quotePrefix="0" xfId="0">
      <alignment horizontal="left"/>
    </xf>
    <xf numFmtId="0" fontId="7" fillId="37" borderId="0" pivotButton="0" quotePrefix="0" xfId="0"/>
    <xf numFmtId="169" fontId="7" fillId="37" borderId="0" applyAlignment="1" pivotButton="0" quotePrefix="0" xfId="0">
      <alignment horizontal="center"/>
    </xf>
    <xf numFmtId="0" fontId="73" fillId="67" borderId="0" pivotButton="0" quotePrefix="0" xfId="0"/>
    <xf numFmtId="0" fontId="81" fillId="67" borderId="0" pivotButton="0" quotePrefix="0" xfId="0"/>
    <xf numFmtId="0" fontId="81" fillId="67" borderId="0" applyAlignment="1" pivotButton="0" quotePrefix="1" xfId="0">
      <alignment horizontal="center"/>
    </xf>
    <xf numFmtId="37" fontId="81" fillId="67" borderId="0" applyAlignment="1" pivotButton="0" quotePrefix="0" xfId="0">
      <alignment horizontal="center"/>
    </xf>
    <xf numFmtId="41" fontId="81" fillId="67" borderId="0" pivotButton="0" quotePrefix="0" xfId="0"/>
    <xf numFmtId="0" fontId="81" fillId="67" borderId="0" applyAlignment="1" pivotButton="0" quotePrefix="0" xfId="0">
      <alignment horizontal="center"/>
    </xf>
    <xf numFmtId="41" fontId="81" fillId="40" borderId="0" pivotButton="0" quotePrefix="0" xfId="0"/>
    <xf numFmtId="41" fontId="82" fillId="0" borderId="0" applyAlignment="1" pivotButton="0" quotePrefix="0" xfId="0">
      <alignment horizontal="center"/>
    </xf>
    <xf numFmtId="0" fontId="111" fillId="0" borderId="16" pivotButton="0" quotePrefix="0" xfId="0"/>
    <xf numFmtId="41" fontId="106" fillId="0" borderId="0" applyAlignment="1" pivotButton="0" quotePrefix="0" xfId="0">
      <alignment horizontal="center"/>
    </xf>
    <xf numFmtId="41" fontId="110" fillId="0" borderId="0" applyAlignment="1" pivotButton="0" quotePrefix="0" xfId="0">
      <alignment horizontal="center"/>
    </xf>
    <xf numFmtId="0" fontId="24" fillId="0" borderId="0" applyAlignment="1" pivotButton="0" quotePrefix="0" xfId="0">
      <alignment horizontal="center"/>
    </xf>
    <xf numFmtId="0" fontId="98" fillId="0" borderId="17" pivotButton="0" quotePrefix="0" xfId="0"/>
    <xf numFmtId="41" fontId="81" fillId="60" borderId="0" pivotButton="0" quotePrefix="0" xfId="0"/>
    <xf numFmtId="41" fontId="81" fillId="68" borderId="0" pivotButton="0" quotePrefix="0" xfId="0"/>
    <xf numFmtId="41" fontId="81" fillId="39" borderId="0" pivotButton="0" quotePrefix="0" xfId="0"/>
    <xf numFmtId="41" fontId="82" fillId="0" borderId="35" applyAlignment="1" pivotButton="0" quotePrefix="0" xfId="0">
      <alignment horizontal="center"/>
    </xf>
    <xf numFmtId="41" fontId="81" fillId="0" borderId="35" applyAlignment="1" pivotButton="0" quotePrefix="0" xfId="0">
      <alignment horizontal="center"/>
    </xf>
    <xf numFmtId="41" fontId="82" fillId="37" borderId="0" applyAlignment="1" pivotButton="0" quotePrefix="0" xfId="0">
      <alignment horizontal="center"/>
    </xf>
    <xf numFmtId="0" fontId="82" fillId="60" borderId="0" applyAlignment="1" pivotButton="0" quotePrefix="0" xfId="0">
      <alignment horizontal="center"/>
    </xf>
    <xf numFmtId="41" fontId="82" fillId="60" borderId="0" applyAlignment="1" pivotButton="0" quotePrefix="0" xfId="0">
      <alignment horizontal="center"/>
    </xf>
    <xf numFmtId="41" fontId="81" fillId="38" borderId="0" applyAlignment="1" pivotButton="0" quotePrefix="0" xfId="0">
      <alignment horizontal="center"/>
    </xf>
    <xf numFmtId="41" fontId="81" fillId="69" borderId="0" pivotButton="0" quotePrefix="0" xfId="0"/>
    <xf numFmtId="41" fontId="81" fillId="70" borderId="0" pivotButton="0" quotePrefix="0" xfId="0"/>
    <xf numFmtId="41" fontId="81" fillId="71" borderId="0" pivotButton="0" quotePrefix="0" xfId="0"/>
    <xf numFmtId="41" fontId="81" fillId="72" borderId="0" pivotButton="0" quotePrefix="0" xfId="0"/>
    <xf numFmtId="41" fontId="81" fillId="73" borderId="0" pivotButton="0" quotePrefix="0" xfId="0"/>
    <xf numFmtId="41" fontId="81" fillId="74" borderId="0" pivotButton="0" quotePrefix="0" xfId="0"/>
    <xf numFmtId="41" fontId="81" fillId="75" borderId="0" pivotButton="0" quotePrefix="0" xfId="0"/>
    <xf numFmtId="41" fontId="81" fillId="76" borderId="0" pivotButton="0" quotePrefix="0" xfId="0"/>
    <xf numFmtId="0" fontId="82" fillId="67" borderId="0" pivotButton="0" quotePrefix="0" xfId="0"/>
    <xf numFmtId="41" fontId="82" fillId="67" borderId="0" pivotButton="0" quotePrefix="0" xfId="0"/>
    <xf numFmtId="0" fontId="82" fillId="70" borderId="0" pivotButton="0" quotePrefix="0" xfId="0"/>
    <xf numFmtId="37" fontId="82" fillId="37" borderId="0" pivotButton="0" quotePrefix="0" xfId="0"/>
    <xf numFmtId="37" fontId="82" fillId="60" borderId="0" pivotButton="0" quotePrefix="0" xfId="0"/>
    <xf numFmtId="37" fontId="82" fillId="68" borderId="0" pivotButton="0" quotePrefix="0" xfId="0"/>
    <xf numFmtId="37" fontId="82" fillId="39" borderId="0" pivotButton="0" quotePrefix="0" xfId="0"/>
    <xf numFmtId="37" fontId="82" fillId="69" borderId="0" pivotButton="0" quotePrefix="0" xfId="0"/>
    <xf numFmtId="37" fontId="82" fillId="70" borderId="0" pivotButton="0" quotePrefix="0" xfId="0"/>
    <xf numFmtId="37" fontId="82" fillId="71" borderId="0" pivotButton="0" quotePrefix="0" xfId="0"/>
    <xf numFmtId="37" fontId="82" fillId="72" borderId="0" pivotButton="0" quotePrefix="0" xfId="0"/>
    <xf numFmtId="37" fontId="82" fillId="73" borderId="0" pivotButton="0" quotePrefix="0" xfId="0"/>
    <xf numFmtId="37" fontId="82" fillId="74" borderId="0" pivotButton="0" quotePrefix="0" xfId="0"/>
    <xf numFmtId="37" fontId="82" fillId="75" borderId="0" pivotButton="0" quotePrefix="0" xfId="0"/>
    <xf numFmtId="37" fontId="82" fillId="76" borderId="0" pivotButton="0" quotePrefix="0" xfId="0"/>
    <xf numFmtId="0" fontId="82" fillId="77" borderId="0" pivotButton="0" quotePrefix="0" xfId="0"/>
    <xf numFmtId="42" fontId="118" fillId="0" borderId="0" pivotButton="0" quotePrefix="0" xfId="0"/>
    <xf numFmtId="42" fontId="119" fillId="0" borderId="0" pivotButton="0" quotePrefix="0" xfId="0"/>
    <xf numFmtId="166" fontId="16" fillId="3" borderId="16" pivotButton="0" quotePrefix="0" xfId="0"/>
    <xf numFmtId="9" fontId="16" fillId="3" borderId="16" applyAlignment="1" pivotButton="0" quotePrefix="0" xfId="0">
      <alignment horizontal="center"/>
    </xf>
    <xf numFmtId="0" fontId="88" fillId="37" borderId="0" pivotButton="0" quotePrefix="0" xfId="0"/>
    <xf numFmtId="37" fontId="86" fillId="28" borderId="16" pivotButton="0" quotePrefix="0" xfId="0"/>
    <xf numFmtId="9" fontId="88" fillId="0" borderId="0" applyAlignment="1" pivotButton="0" quotePrefix="0" xfId="1">
      <alignment horizontal="center"/>
    </xf>
    <xf numFmtId="37" fontId="41" fillId="40" borderId="16" applyAlignment="1" pivotButton="0" quotePrefix="0" xfId="0">
      <alignment horizontal="right"/>
    </xf>
    <xf numFmtId="37" fontId="41" fillId="40" borderId="0" applyAlignment="1" pivotButton="0" quotePrefix="0" xfId="0">
      <alignment horizontal="right"/>
    </xf>
    <xf numFmtId="37" fontId="41" fillId="40" borderId="36" applyAlignment="1" pivotButton="0" quotePrefix="0" xfId="0">
      <alignment horizontal="right"/>
    </xf>
    <xf numFmtId="37" fontId="86" fillId="28" borderId="36" pivotButton="0" quotePrefix="0" xfId="0"/>
    <xf numFmtId="0" fontId="41" fillId="0" borderId="35" applyAlignment="1" pivotButton="0" quotePrefix="0" xfId="0">
      <alignment horizontal="center"/>
    </xf>
    <xf numFmtId="37" fontId="41" fillId="58" borderId="40" pivotButton="0" quotePrefix="0" xfId="0"/>
    <xf numFmtId="0" fontId="82" fillId="38" borderId="0" pivotButton="0" quotePrefix="0" xfId="0"/>
    <xf numFmtId="41" fontId="81" fillId="38" borderId="0" pivotButton="0" quotePrefix="0" xfId="0"/>
    <xf numFmtId="41" fontId="82" fillId="38" borderId="0" pivotButton="0" quotePrefix="0" xfId="0"/>
    <xf numFmtId="0" fontId="120" fillId="0" borderId="0" pivotButton="0" quotePrefix="0" xfId="0"/>
    <xf numFmtId="0" fontId="121" fillId="0" borderId="0" pivotButton="0" quotePrefix="0" xfId="0"/>
    <xf numFmtId="0" fontId="121" fillId="0" borderId="0" applyAlignment="1" pivotButton="0" quotePrefix="0" xfId="0">
      <alignment horizontal="center"/>
    </xf>
    <xf numFmtId="0" fontId="122" fillId="37" borderId="0" applyAlignment="1" pivotButton="0" quotePrefix="0" xfId="0">
      <alignment horizontal="center"/>
    </xf>
    <xf numFmtId="0" fontId="122" fillId="60" borderId="0" applyAlignment="1" pivotButton="0" quotePrefix="0" xfId="0">
      <alignment horizontal="center"/>
    </xf>
    <xf numFmtId="0" fontId="122" fillId="68" borderId="0" applyAlignment="1" pivotButton="0" quotePrefix="0" xfId="0">
      <alignment horizontal="center"/>
    </xf>
    <xf numFmtId="0" fontId="122" fillId="39" borderId="0" applyAlignment="1" pivotButton="0" quotePrefix="0" xfId="0">
      <alignment horizontal="center"/>
    </xf>
    <xf numFmtId="0" fontId="122" fillId="69" borderId="0" applyAlignment="1" pivotButton="0" quotePrefix="0" xfId="0">
      <alignment horizontal="center"/>
    </xf>
    <xf numFmtId="0" fontId="122" fillId="70" borderId="0" applyAlignment="1" pivotButton="0" quotePrefix="0" xfId="0">
      <alignment horizontal="center"/>
    </xf>
    <xf numFmtId="0" fontId="122" fillId="71" borderId="0" applyAlignment="1" pivotButton="0" quotePrefix="0" xfId="0">
      <alignment horizontal="center"/>
    </xf>
    <xf numFmtId="0" fontId="122" fillId="72" borderId="0" applyAlignment="1" pivotButton="0" quotePrefix="0" xfId="0">
      <alignment horizontal="center"/>
    </xf>
    <xf numFmtId="0" fontId="122" fillId="73" borderId="0" applyAlignment="1" pivotButton="0" quotePrefix="0" xfId="0">
      <alignment horizontal="center"/>
    </xf>
    <xf numFmtId="0" fontId="122" fillId="74" borderId="0" applyAlignment="1" pivotButton="0" quotePrefix="0" xfId="0">
      <alignment horizontal="center"/>
    </xf>
    <xf numFmtId="0" fontId="122" fillId="75" borderId="0" applyAlignment="1" pivotButton="0" quotePrefix="0" xfId="0">
      <alignment horizontal="center"/>
    </xf>
    <xf numFmtId="0" fontId="122" fillId="76" borderId="0" applyAlignment="1" pivotButton="0" quotePrefix="0" xfId="0">
      <alignment horizontal="center"/>
    </xf>
    <xf numFmtId="0" fontId="122" fillId="0" borderId="0" applyAlignment="1" pivotButton="0" quotePrefix="0" xfId="0">
      <alignment horizontal="center"/>
    </xf>
    <xf numFmtId="0" fontId="122" fillId="0" borderId="44" applyAlignment="1" pivotButton="0" quotePrefix="0" xfId="0">
      <alignment horizontal="center"/>
    </xf>
    <xf numFmtId="0" fontId="122" fillId="0" borderId="45" applyAlignment="1" pivotButton="0" quotePrefix="0" xfId="0">
      <alignment horizontal="center"/>
    </xf>
    <xf numFmtId="0" fontId="122" fillId="0" borderId="46" applyAlignment="1" pivotButton="0" quotePrefix="0" xfId="0">
      <alignment horizontal="center"/>
    </xf>
    <xf numFmtId="0" fontId="121" fillId="0" borderId="43" applyAlignment="1" pivotButton="0" quotePrefix="0" xfId="0">
      <alignment horizontal="center"/>
    </xf>
    <xf numFmtId="0" fontId="0" fillId="38" borderId="0" pivotButton="0" quotePrefix="0" xfId="0"/>
    <xf numFmtId="41" fontId="81" fillId="40" borderId="0" applyAlignment="1" pivotButton="0" quotePrefix="0" xfId="0">
      <alignment horizontal="center"/>
    </xf>
    <xf numFmtId="41" fontId="82" fillId="40" borderId="0" applyAlignment="1" pivotButton="0" quotePrefix="0" xfId="0">
      <alignment horizontal="center"/>
    </xf>
    <xf numFmtId="41" fontId="82" fillId="40" borderId="0" pivotButton="0" quotePrefix="0" xfId="0"/>
    <xf numFmtId="0" fontId="82" fillId="0" borderId="39" applyAlignment="1" pivotButton="0" quotePrefix="0" xfId="0">
      <alignment horizontal="center"/>
    </xf>
    <xf numFmtId="41" fontId="81" fillId="78" borderId="0" pivotButton="0" quotePrefix="0" xfId="0"/>
    <xf numFmtId="42" fontId="82" fillId="78" borderId="0" pivotButton="0" quotePrefix="0" xfId="0"/>
    <xf numFmtId="41" fontId="82" fillId="78" borderId="0" applyAlignment="1" pivotButton="0" quotePrefix="0" xfId="0">
      <alignment horizontal="center"/>
    </xf>
    <xf numFmtId="41" fontId="81" fillId="37" borderId="0" applyAlignment="1" pivotButton="0" quotePrefix="0" xfId="0">
      <alignment horizontal="center"/>
    </xf>
    <xf numFmtId="0" fontId="123" fillId="0" borderId="0" applyAlignment="1" pivotButton="0" quotePrefix="0" xfId="0">
      <alignment horizontal="center" vertical="center"/>
    </xf>
    <xf numFmtId="0" fontId="113" fillId="0" borderId="16" pivotButton="0" quotePrefix="0" xfId="0"/>
    <xf numFmtId="0" fontId="113" fillId="0" borderId="16" applyAlignment="1" pivotButton="0" quotePrefix="0" xfId="0">
      <alignment horizontal="center"/>
    </xf>
    <xf numFmtId="41" fontId="113" fillId="0" borderId="16" applyAlignment="1" pivotButton="0" quotePrefix="0" xfId="0">
      <alignment horizontal="center"/>
    </xf>
    <xf numFmtId="41" fontId="113" fillId="0" borderId="0" pivotButton="0" quotePrefix="0" xfId="0"/>
    <xf numFmtId="41" fontId="111" fillId="0" borderId="0" pivotButton="0" quotePrefix="0" xfId="0"/>
    <xf numFmtId="41" fontId="124" fillId="0" borderId="0" pivotButton="0" quotePrefix="0" xfId="0"/>
    <xf numFmtId="41" fontId="125" fillId="0" borderId="0" pivotButton="0" quotePrefix="0" xfId="0"/>
    <xf numFmtId="0" fontId="125" fillId="0" borderId="0" pivotButton="0" quotePrefix="0" xfId="0"/>
    <xf numFmtId="0" fontId="44" fillId="0" borderId="0" applyAlignment="1" pivotButton="0" quotePrefix="0" xfId="0">
      <alignment horizontal="center"/>
    </xf>
    <xf numFmtId="0" fontId="19" fillId="0" borderId="39" pivotButton="0" quotePrefix="0" xfId="0"/>
    <xf numFmtId="0" fontId="19" fillId="0" borderId="22" pivotButton="0" quotePrefix="0" xfId="0"/>
    <xf numFmtId="0" fontId="19" fillId="0" borderId="16" pivotButton="0" quotePrefix="0" xfId="0"/>
    <xf numFmtId="0" fontId="42" fillId="0" borderId="16" pivotButton="0" quotePrefix="0" xfId="0"/>
    <xf numFmtId="0" fontId="19" fillId="0" borderId="22" applyAlignment="1" pivotButton="0" quotePrefix="0" xfId="0">
      <alignment horizontal="right"/>
    </xf>
    <xf numFmtId="0" fontId="19" fillId="0" borderId="0" applyAlignment="1" pivotButton="0" quotePrefix="0" xfId="0">
      <alignment horizontal="right"/>
    </xf>
    <xf numFmtId="37" fontId="19" fillId="36" borderId="16" pivotButton="0" quotePrefix="0" xfId="0"/>
    <xf numFmtId="37" fontId="19" fillId="0" borderId="0" pivotButton="0" quotePrefix="0" xfId="0"/>
    <xf numFmtId="37" fontId="19" fillId="0" borderId="22" pivotButton="0" quotePrefix="0" xfId="0"/>
    <xf numFmtId="37" fontId="19" fillId="0" borderId="16" pivotButton="0" quotePrefix="0" xfId="0"/>
    <xf numFmtId="0" fontId="19" fillId="37" borderId="0" pivotButton="0" quotePrefix="0" xfId="0"/>
    <xf numFmtId="37" fontId="19" fillId="37" borderId="0" pivotButton="0" quotePrefix="0" xfId="0"/>
    <xf numFmtId="16" fontId="19" fillId="0" borderId="0" pivotButton="0" quotePrefix="0" xfId="0"/>
    <xf numFmtId="37" fontId="80" fillId="0" borderId="22" pivotButton="0" quotePrefix="0" xfId="0"/>
    <xf numFmtId="0" fontId="19" fillId="38" borderId="0" pivotButton="0" quotePrefix="0" xfId="0"/>
    <xf numFmtId="37" fontId="3" fillId="0" borderId="0" pivotButton="0" quotePrefix="0" xfId="0"/>
    <xf numFmtId="0" fontId="19" fillId="39" borderId="0" pivotButton="0" quotePrefix="0" xfId="0"/>
    <xf numFmtId="37" fontId="3" fillId="0" borderId="0" applyAlignment="1" pivotButton="0" quotePrefix="0" xfId="0">
      <alignment horizontal="right"/>
    </xf>
    <xf numFmtId="0" fontId="80" fillId="0" borderId="22" pivotButton="0" quotePrefix="0" xfId="0"/>
    <xf numFmtId="37" fontId="87" fillId="36" borderId="16" pivotButton="0" quotePrefix="0" xfId="0"/>
    <xf numFmtId="0" fontId="87" fillId="0" borderId="22" pivotButton="0" quotePrefix="0" xfId="0"/>
    <xf numFmtId="9" fontId="87" fillId="36" borderId="16" pivotButton="0" quotePrefix="0" xfId="0"/>
    <xf numFmtId="42" fontId="81" fillId="36" borderId="16" applyAlignment="1" pivotButton="0" quotePrefix="0" xfId="0">
      <alignment horizontal="right"/>
    </xf>
    <xf numFmtId="0" fontId="81" fillId="0" borderId="22" pivotButton="0" quotePrefix="0" xfId="0"/>
    <xf numFmtId="0" fontId="82" fillId="0" borderId="22" applyAlignment="1" pivotButton="0" quotePrefix="0" xfId="0">
      <alignment horizontal="center"/>
    </xf>
    <xf numFmtId="0" fontId="41" fillId="0" borderId="22" pivotButton="0" quotePrefix="0" xfId="0"/>
    <xf numFmtId="0" fontId="41" fillId="23" borderId="16" pivotButton="0" quotePrefix="0" xfId="0"/>
    <xf numFmtId="37" fontId="41" fillId="23" borderId="16" pivotButton="0" quotePrefix="0" xfId="0"/>
    <xf numFmtId="37" fontId="19" fillId="23" borderId="0" pivotButton="0" quotePrefix="0" xfId="0"/>
    <xf numFmtId="37" fontId="42" fillId="23" borderId="16" pivotButton="0" quotePrefix="0" xfId="0"/>
    <xf numFmtId="37" fontId="41" fillId="0" borderId="22" pivotButton="0" quotePrefix="0" xfId="0"/>
    <xf numFmtId="0" fontId="41" fillId="24" borderId="16" pivotButton="0" quotePrefix="0" xfId="0"/>
    <xf numFmtId="39" fontId="41" fillId="24" borderId="16" pivotButton="0" quotePrefix="0" xfId="0"/>
    <xf numFmtId="37" fontId="41" fillId="24" borderId="16" pivotButton="0" quotePrefix="0" xfId="0"/>
    <xf numFmtId="10" fontId="41" fillId="0" borderId="16" pivotButton="0" quotePrefix="0" xfId="0"/>
    <xf numFmtId="10" fontId="41" fillId="25" borderId="16" pivotButton="0" quotePrefix="0" xfId="0"/>
    <xf numFmtId="10" fontId="41" fillId="26" borderId="16" pivotButton="0" quotePrefix="0" xfId="0"/>
    <xf numFmtId="0" fontId="42" fillId="27" borderId="16" pivotButton="0" quotePrefix="0" xfId="0"/>
    <xf numFmtId="42" fontId="42" fillId="27" borderId="16" pivotButton="0" quotePrefix="0" xfId="0"/>
    <xf numFmtId="10" fontId="41" fillId="23" borderId="16" pivotButton="0" quotePrefix="0" xfId="0"/>
    <xf numFmtId="0" fontId="19" fillId="0" borderId="35" pivotButton="0" quotePrefix="0" xfId="0"/>
    <xf numFmtId="0" fontId="42" fillId="0" borderId="25" applyAlignment="1" pivotButton="0" quotePrefix="0" xfId="0">
      <alignment horizontal="center"/>
    </xf>
    <xf numFmtId="0" fontId="19" fillId="0" borderId="27" pivotButton="0" quotePrefix="0" xfId="0"/>
    <xf numFmtId="0" fontId="19" fillId="0" borderId="37" pivotButton="0" quotePrefix="0" xfId="0"/>
    <xf numFmtId="0" fontId="19" fillId="0" borderId="25" pivotButton="0" quotePrefix="0" xfId="0"/>
    <xf numFmtId="0" fontId="19" fillId="0" borderId="36" pivotButton="0" quotePrefix="0" xfId="0"/>
    <xf numFmtId="0" fontId="19" fillId="0" borderId="47" pivotButton="0" quotePrefix="0" xfId="0"/>
    <xf numFmtId="37" fontId="19" fillId="58" borderId="16" pivotButton="0" quotePrefix="0" xfId="0"/>
    <xf numFmtId="37" fontId="41" fillId="0" borderId="25" applyAlignment="1" pivotButton="0" quotePrefix="0" xfId="0">
      <alignment horizontal="right"/>
    </xf>
    <xf numFmtId="37" fontId="19" fillId="40" borderId="16" pivotButton="0" quotePrefix="0" xfId="0"/>
    <xf numFmtId="37" fontId="19" fillId="40" borderId="25" pivotButton="0" quotePrefix="0" xfId="0"/>
    <xf numFmtId="37" fontId="19" fillId="40" borderId="36" pivotButton="0" quotePrefix="0" xfId="0"/>
    <xf numFmtId="37" fontId="19" fillId="57" borderId="16" pivotButton="0" quotePrefix="0" xfId="0"/>
    <xf numFmtId="37" fontId="19" fillId="28" borderId="16" pivotButton="0" quotePrefix="0" xfId="0"/>
    <xf numFmtId="37" fontId="19" fillId="36" borderId="25" pivotButton="0" quotePrefix="0" xfId="0"/>
    <xf numFmtId="37" fontId="19" fillId="36" borderId="36" pivotButton="0" quotePrefix="0" xfId="0"/>
    <xf numFmtId="37" fontId="19" fillId="28" borderId="25" pivotButton="0" quotePrefix="0" xfId="0"/>
    <xf numFmtId="37" fontId="19" fillId="28" borderId="36" pivotButton="0" quotePrefix="0" xfId="0"/>
    <xf numFmtId="37" fontId="19" fillId="0" borderId="27" pivotButton="0" quotePrefix="0" xfId="0"/>
    <xf numFmtId="37" fontId="19" fillId="0" borderId="37" pivotButton="0" quotePrefix="0" xfId="0"/>
    <xf numFmtId="37" fontId="19" fillId="0" borderId="25" pivotButton="0" quotePrefix="0" xfId="0"/>
    <xf numFmtId="37" fontId="19" fillId="0" borderId="36" pivotButton="0" quotePrefix="0" xfId="0"/>
    <xf numFmtId="37" fontId="42" fillId="0" borderId="25" applyAlignment="1" pivotButton="0" quotePrefix="0" xfId="0">
      <alignment horizontal="right"/>
    </xf>
    <xf numFmtId="0" fontId="19" fillId="0" borderId="10" pivotButton="0" quotePrefix="0" xfId="0"/>
    <xf numFmtId="37" fontId="19" fillId="0" borderId="10" pivotButton="0" quotePrefix="0" xfId="0"/>
    <xf numFmtId="37" fontId="19" fillId="0" borderId="11" pivotButton="0" quotePrefix="0" xfId="0"/>
    <xf numFmtId="37" fontId="19" fillId="0" borderId="38" pivotButton="0" quotePrefix="0" xfId="0"/>
    <xf numFmtId="37" fontId="19" fillId="37" borderId="10" pivotButton="0" quotePrefix="0" xfId="0"/>
    <xf numFmtId="37" fontId="19" fillId="37" borderId="39" pivotButton="0" quotePrefix="0" xfId="0"/>
    <xf numFmtId="37" fontId="19" fillId="58" borderId="10" pivotButton="0" quotePrefix="0" xfId="0"/>
    <xf numFmtId="0" fontId="36" fillId="17" borderId="16" applyAlignment="1" pivotButton="0" quotePrefix="0" xfId="0">
      <alignment horizontal="center" wrapText="1"/>
    </xf>
    <xf numFmtId="170" fontId="16" fillId="17" borderId="16" applyAlignment="1" pivotButton="0" quotePrefix="0" xfId="0">
      <alignment horizontal="center"/>
    </xf>
    <xf numFmtId="0" fontId="16" fillId="17" borderId="16" applyAlignment="1" pivotButton="0" quotePrefix="0" xfId="0">
      <alignment horizontal="center" wrapText="1"/>
    </xf>
    <xf numFmtId="0" fontId="17" fillId="17" borderId="16" applyAlignment="1" pivotButton="0" quotePrefix="0" xfId="0">
      <alignment horizontal="center"/>
    </xf>
    <xf numFmtId="2" fontId="30" fillId="17" borderId="16" applyAlignment="1" pivotButton="0" quotePrefix="0" xfId="0">
      <alignment horizontal="center"/>
    </xf>
    <xf numFmtId="164" fontId="30" fillId="17" borderId="16" applyAlignment="1" pivotButton="0" quotePrefix="0" xfId="0">
      <alignment horizontal="center"/>
    </xf>
    <xf numFmtId="164" fontId="17" fillId="17" borderId="16" applyAlignment="1" pivotButton="0" quotePrefix="0" xfId="0">
      <alignment horizontal="center"/>
    </xf>
    <xf numFmtId="0" fontId="29" fillId="17" borderId="16" applyAlignment="1" pivotButton="0" quotePrefix="0" xfId="0">
      <alignment horizontal="center"/>
    </xf>
    <xf numFmtId="0" fontId="16" fillId="17" borderId="16" applyAlignment="1" pivotButton="0" quotePrefix="0" xfId="0">
      <alignment horizontal="center"/>
    </xf>
    <xf numFmtId="10" fontId="16" fillId="33" borderId="16" applyAlignment="1" pivotButton="0" quotePrefix="0" xfId="0">
      <alignment horizontal="right"/>
    </xf>
    <xf numFmtId="10" fontId="16" fillId="3" borderId="16" applyAlignment="1" pivotButton="0" quotePrefix="0" xfId="0">
      <alignment horizontal="right"/>
    </xf>
    <xf numFmtId="0" fontId="16" fillId="19" borderId="16" applyAlignment="1" pivotButton="0" quotePrefix="0" xfId="0">
      <alignment horizontal="center"/>
    </xf>
    <xf numFmtId="170" fontId="16" fillId="19" borderId="16" applyAlignment="1" pivotButton="0" quotePrefix="0" xfId="0">
      <alignment horizontal="center"/>
    </xf>
    <xf numFmtId="10" fontId="30" fillId="19" borderId="16" applyAlignment="1" pivotButton="0" quotePrefix="0" xfId="0">
      <alignment horizontal="center"/>
    </xf>
    <xf numFmtId="166" fontId="29" fillId="19" borderId="16" applyAlignment="1" pivotButton="0" quotePrefix="0" xfId="0">
      <alignment horizontal="center"/>
    </xf>
    <xf numFmtId="166" fontId="16" fillId="19" borderId="16" applyAlignment="1" pivotButton="0" quotePrefix="0" xfId="0">
      <alignment horizontal="center"/>
    </xf>
    <xf numFmtId="166" fontId="16" fillId="12" borderId="16" pivotButton="0" quotePrefix="0" xfId="0"/>
    <xf numFmtId="0" fontId="17" fillId="2" borderId="16" pivotButton="0" quotePrefix="0" xfId="0"/>
    <xf numFmtId="0" fontId="17" fillId="2" borderId="16" applyAlignment="1" pivotButton="0" quotePrefix="0" xfId="0">
      <alignment horizontal="center"/>
    </xf>
    <xf numFmtId="9" fontId="37" fillId="2" borderId="16" applyAlignment="1" pivotButton="0" quotePrefix="0" xfId="0">
      <alignment horizontal="center"/>
    </xf>
    <xf numFmtId="166" fontId="15" fillId="2" borderId="16" applyAlignment="1" pivotButton="0" quotePrefix="0" xfId="0">
      <alignment horizontal="center"/>
    </xf>
    <xf numFmtId="170" fontId="16" fillId="12" borderId="16" applyAlignment="1" pivotButton="0" quotePrefix="0" xfId="0">
      <alignment horizontal="center"/>
    </xf>
    <xf numFmtId="0" fontId="40" fillId="0" borderId="0" applyAlignment="1" pivotButton="0" quotePrefix="0" xfId="0">
      <alignment horizontal="center" wrapText="1"/>
    </xf>
    <xf numFmtId="167" fontId="16" fillId="34" borderId="16" applyAlignment="1" pivotButton="0" quotePrefix="0" xfId="0">
      <alignment horizontal="right"/>
    </xf>
    <xf numFmtId="167" fontId="16" fillId="0" borderId="16" applyAlignment="1" pivotButton="0" quotePrefix="0" xfId="0">
      <alignment horizontal="right"/>
    </xf>
    <xf numFmtId="0" fontId="40" fillId="2" borderId="16" pivotButton="0" quotePrefix="0" xfId="0"/>
    <xf numFmtId="0" fontId="40" fillId="2" borderId="16" applyAlignment="1" pivotButton="0" quotePrefix="0" xfId="0">
      <alignment horizontal="center" wrapText="1"/>
    </xf>
    <xf numFmtId="0" fontId="16" fillId="2" borderId="16" applyAlignment="1" pivotButton="0" quotePrefix="0" xfId="0">
      <alignment horizontal="center" wrapText="1"/>
    </xf>
    <xf numFmtId="169" fontId="27" fillId="2" borderId="16" applyAlignment="1" pivotButton="0" quotePrefix="0" xfId="0">
      <alignment horizontal="center"/>
    </xf>
    <xf numFmtId="170" fontId="16" fillId="10" borderId="16" pivotButton="0" quotePrefix="0" xfId="0"/>
    <xf numFmtId="0" fontId="17" fillId="9" borderId="16" pivotButton="0" quotePrefix="0" xfId="0"/>
    <xf numFmtId="0" fontId="39" fillId="3" borderId="16" pivotButton="0" quotePrefix="0" xfId="0"/>
    <xf numFmtId="0" fontId="19" fillId="3" borderId="16" pivotButton="0" quotePrefix="0" xfId="0"/>
    <xf numFmtId="169" fontId="16" fillId="3" borderId="16" applyAlignment="1" pivotButton="0" quotePrefix="0" xfId="0">
      <alignment horizontal="center"/>
    </xf>
    <xf numFmtId="0" fontId="25" fillId="9" borderId="16" pivotButton="0" quotePrefix="0" xfId="0"/>
    <xf numFmtId="0" fontId="25" fillId="9" borderId="17" pivotButton="0" quotePrefix="0" xfId="0"/>
    <xf numFmtId="0" fontId="17" fillId="9" borderId="16" applyAlignment="1" pivotButton="0" quotePrefix="0" xfId="0">
      <alignment horizontal="right"/>
    </xf>
    <xf numFmtId="0" fontId="17" fillId="9" borderId="16" applyAlignment="1" pivotButton="0" quotePrefix="0" xfId="0">
      <alignment horizontal="center"/>
    </xf>
    <xf numFmtId="0" fontId="26" fillId="9" borderId="17" pivotButton="0" quotePrefix="0" xfId="0"/>
    <xf numFmtId="0" fontId="27" fillId="9" borderId="16" pivotButton="0" quotePrefix="0" xfId="0"/>
    <xf numFmtId="0" fontId="27" fillId="9" borderId="16" applyAlignment="1" pivotButton="0" quotePrefix="0" xfId="0">
      <alignment horizontal="center"/>
    </xf>
    <xf numFmtId="0" fontId="15" fillId="9" borderId="16" applyAlignment="1" pivotButton="0" quotePrefix="0" xfId="0">
      <alignment horizontal="center"/>
    </xf>
    <xf numFmtId="0" fontId="16" fillId="7" borderId="17" pivotButton="0" quotePrefix="0" xfId="0"/>
    <xf numFmtId="0" fontId="17" fillId="0" borderId="17" pivotButton="0" quotePrefix="0" xfId="0"/>
    <xf numFmtId="0" fontId="17" fillId="0" borderId="8" applyAlignment="1" pivotButton="0" quotePrefix="0" xfId="0">
      <alignment horizontal="center"/>
    </xf>
    <xf numFmtId="0" fontId="17" fillId="7" borderId="17" pivotButton="0" quotePrefix="0" xfId="0"/>
    <xf numFmtId="0" fontId="17" fillId="7" borderId="16" applyAlignment="1" pivotButton="0" quotePrefix="0" xfId="0">
      <alignment horizontal="right"/>
    </xf>
    <xf numFmtId="0" fontId="17" fillId="7" borderId="16" applyAlignment="1" pivotButton="0" quotePrefix="0" xfId="0">
      <alignment horizontal="center"/>
    </xf>
    <xf numFmtId="0" fontId="16" fillId="7" borderId="16" pivotButton="0" quotePrefix="0" xfId="0"/>
    <xf numFmtId="0" fontId="28" fillId="7" borderId="17" pivotButton="0" quotePrefix="0" xfId="0"/>
    <xf numFmtId="0" fontId="33" fillId="7" borderId="16" pivotButton="0" quotePrefix="0" xfId="0"/>
    <xf numFmtId="0" fontId="29" fillId="7" borderId="17" pivotButton="0" quotePrefix="0" xfId="0"/>
    <xf numFmtId="0" fontId="30" fillId="7" borderId="16" pivotButton="0" quotePrefix="0" xfId="0"/>
    <xf numFmtId="0" fontId="29" fillId="7" borderId="16" applyAlignment="1" pivotButton="0" quotePrefix="0" xfId="0">
      <alignment horizontal="center"/>
    </xf>
    <xf numFmtId="1" fontId="29" fillId="7" borderId="16" applyAlignment="1" pivotButton="0" quotePrefix="0" xfId="0">
      <alignment horizontal="center"/>
    </xf>
    <xf numFmtId="0" fontId="28" fillId="3" borderId="16" applyAlignment="1" pivotButton="0" quotePrefix="0" xfId="0">
      <alignment horizontal="center"/>
    </xf>
    <xf numFmtId="0" fontId="28" fillId="0" borderId="8" applyAlignment="1" pivotButton="0" quotePrefix="0" xfId="0">
      <alignment horizontal="center"/>
    </xf>
    <xf numFmtId="166" fontId="17" fillId="7" borderId="16" applyAlignment="1" pivotButton="0" quotePrefix="0" xfId="0">
      <alignment horizontal="center"/>
    </xf>
    <xf numFmtId="170" fontId="16" fillId="3" borderId="16" applyAlignment="1" pivotButton="0" quotePrefix="0" xfId="0">
      <alignment horizontal="center"/>
    </xf>
    <xf numFmtId="174" fontId="28" fillId="0" borderId="8" applyAlignment="1" pivotButton="0" quotePrefix="0" xfId="0">
      <alignment horizontal="center"/>
    </xf>
    <xf numFmtId="2" fontId="28" fillId="3" borderId="16" applyAlignment="1" pivotButton="0" quotePrefix="0" xfId="0">
      <alignment horizontal="center"/>
    </xf>
    <xf numFmtId="0" fontId="28" fillId="7" borderId="16" pivotButton="0" quotePrefix="0" xfId="0"/>
    <xf numFmtId="0" fontId="28" fillId="7" borderId="16" applyAlignment="1" pivotButton="0" quotePrefix="0" xfId="0">
      <alignment horizontal="right"/>
    </xf>
    <xf numFmtId="9" fontId="31" fillId="7" borderId="16" applyAlignment="1" pivotButton="0" quotePrefix="0" xfId="0">
      <alignment horizontal="right"/>
    </xf>
    <xf numFmtId="0" fontId="29" fillId="10" borderId="17" pivotButton="0" quotePrefix="0" xfId="0"/>
    <xf numFmtId="0" fontId="29" fillId="10" borderId="16" pivotButton="0" quotePrefix="0" xfId="0"/>
    <xf numFmtId="0" fontId="29" fillId="10" borderId="16" applyAlignment="1" pivotButton="0" quotePrefix="0" xfId="0">
      <alignment horizontal="right"/>
    </xf>
    <xf numFmtId="0" fontId="29" fillId="10" borderId="16" applyAlignment="1" pivotButton="0" quotePrefix="0" xfId="0">
      <alignment horizontal="center"/>
    </xf>
    <xf numFmtId="0" fontId="17" fillId="10" borderId="16" applyAlignment="1" pivotButton="0" quotePrefix="0" xfId="0">
      <alignment horizontal="center"/>
    </xf>
    <xf numFmtId="0" fontId="32" fillId="7" borderId="16" pivotButton="0" quotePrefix="0" xfId="0"/>
    <xf numFmtId="0" fontId="29" fillId="0" borderId="8" applyAlignment="1" pivotButton="0" quotePrefix="0" xfId="0">
      <alignment horizontal="center"/>
    </xf>
    <xf numFmtId="0" fontId="29" fillId="7" borderId="17" applyAlignment="1" pivotButton="0" quotePrefix="0" xfId="0">
      <alignment horizontal="right"/>
    </xf>
    <xf numFmtId="170" fontId="29" fillId="7" borderId="16" applyAlignment="1" pivotButton="0" quotePrefix="0" xfId="0">
      <alignment horizontal="center"/>
    </xf>
    <xf numFmtId="169" fontId="16" fillId="7" borderId="16" applyAlignment="1" pivotButton="0" quotePrefix="0" xfId="0">
      <alignment horizontal="center"/>
    </xf>
    <xf numFmtId="0" fontId="28" fillId="0" borderId="17" pivotButton="0" quotePrefix="0" xfId="0"/>
    <xf numFmtId="169" fontId="17" fillId="0" borderId="8" applyAlignment="1" pivotButton="0" quotePrefix="0" xfId="0">
      <alignment horizontal="center"/>
    </xf>
    <xf numFmtId="169" fontId="16" fillId="0" borderId="8" applyAlignment="1" pivotButton="0" quotePrefix="0" xfId="0">
      <alignment horizontal="center"/>
    </xf>
    <xf numFmtId="10" fontId="16" fillId="3" borderId="16" applyAlignment="1" pivotButton="0" quotePrefix="0" xfId="0">
      <alignment horizontal="center"/>
    </xf>
    <xf numFmtId="168" fontId="28" fillId="3" borderId="16" applyAlignment="1" pivotButton="0" quotePrefix="0" xfId="0">
      <alignment horizontal="center"/>
    </xf>
    <xf numFmtId="10" fontId="16" fillId="0" borderId="16" applyAlignment="1" pivotButton="0" quotePrefix="0" xfId="0">
      <alignment horizontal="center"/>
    </xf>
    <xf numFmtId="10" fontId="16" fillId="18" borderId="16" applyAlignment="1" pivotButton="0" quotePrefix="0" xfId="0">
      <alignment horizontal="center"/>
    </xf>
    <xf numFmtId="0" fontId="33" fillId="7" borderId="16" applyAlignment="1" pivotButton="0" quotePrefix="0" xfId="0">
      <alignment horizontal="right"/>
    </xf>
    <xf numFmtId="0" fontId="28" fillId="7" borderId="17" applyAlignment="1" pivotButton="0" quotePrefix="0" xfId="0">
      <alignment wrapText="1"/>
    </xf>
    <xf numFmtId="9" fontId="30" fillId="7" borderId="16" applyAlignment="1" pivotButton="0" quotePrefix="0" xfId="0">
      <alignment horizontal="right"/>
    </xf>
    <xf numFmtId="168" fontId="16" fillId="3" borderId="16" applyAlignment="1" pivotButton="0" quotePrefix="0" xfId="0">
      <alignment horizontal="center"/>
    </xf>
    <xf numFmtId="168" fontId="29" fillId="7" borderId="16" applyAlignment="1" pivotButton="0" quotePrefix="0" xfId="0">
      <alignment horizontal="center"/>
    </xf>
    <xf numFmtId="168" fontId="17" fillId="7" borderId="16" applyAlignment="1" pivotButton="0" quotePrefix="0" xfId="0">
      <alignment horizontal="center"/>
    </xf>
    <xf numFmtId="0" fontId="29" fillId="7" borderId="16" applyAlignment="1" pivotButton="0" quotePrefix="0" xfId="0">
      <alignment horizontal="center" wrapText="1"/>
    </xf>
    <xf numFmtId="168" fontId="28" fillId="7" borderId="16" applyAlignment="1" pivotButton="0" quotePrefix="0" xfId="0">
      <alignment horizontal="right"/>
    </xf>
    <xf numFmtId="173" fontId="28" fillId="54" borderId="16" applyAlignment="1" pivotButton="0" quotePrefix="0" xfId="0">
      <alignment horizontal="center"/>
    </xf>
    <xf numFmtId="173" fontId="28" fillId="3" borderId="16" applyAlignment="1" pivotButton="0" quotePrefix="0" xfId="0">
      <alignment horizontal="center"/>
    </xf>
    <xf numFmtId="173" fontId="17" fillId="3" borderId="16" applyAlignment="1" pivotButton="0" quotePrefix="0" xfId="0">
      <alignment horizontal="center"/>
    </xf>
    <xf numFmtId="173" fontId="17" fillId="7" borderId="16" applyAlignment="1" pivotButton="0" quotePrefix="0" xfId="0">
      <alignment horizontal="center"/>
    </xf>
    <xf numFmtId="0" fontId="28" fillId="7" borderId="16" applyAlignment="1" pivotButton="0" quotePrefix="0" xfId="0">
      <alignment horizontal="center"/>
    </xf>
    <xf numFmtId="10" fontId="16" fillId="54" borderId="16" applyAlignment="1" pivotButton="0" quotePrefix="0" xfId="0">
      <alignment horizontal="center"/>
    </xf>
    <xf numFmtId="0" fontId="17" fillId="55" borderId="16" applyAlignment="1" pivotButton="0" quotePrefix="0" xfId="0">
      <alignment horizontal="center"/>
    </xf>
    <xf numFmtId="169" fontId="17" fillId="7" borderId="16" applyAlignment="1" pivotButton="0" quotePrefix="0" xfId="0">
      <alignment horizontal="center"/>
    </xf>
    <xf numFmtId="0" fontId="33" fillId="7" borderId="16" applyAlignment="1" pivotButton="0" quotePrefix="0" xfId="0">
      <alignment horizontal="left"/>
    </xf>
    <xf numFmtId="9" fontId="30" fillId="10" borderId="16" applyAlignment="1" pivotButton="0" quotePrefix="0" xfId="0">
      <alignment horizontal="right"/>
    </xf>
    <xf numFmtId="168" fontId="29" fillId="10" borderId="16" applyAlignment="1" pivotButton="0" quotePrefix="0" xfId="0">
      <alignment horizontal="center"/>
    </xf>
    <xf numFmtId="0" fontId="17" fillId="50" borderId="16" pivotButton="0" quotePrefix="0" xfId="0"/>
    <xf numFmtId="0" fontId="28" fillId="50" borderId="17" pivotButton="0" quotePrefix="0" xfId="0"/>
    <xf numFmtId="0" fontId="29" fillId="50" borderId="16" pivotButton="0" quotePrefix="0" xfId="0"/>
    <xf numFmtId="0" fontId="29" fillId="50" borderId="16" applyAlignment="1" pivotButton="0" quotePrefix="0" xfId="0">
      <alignment horizontal="right"/>
    </xf>
    <xf numFmtId="0" fontId="29" fillId="50" borderId="16" applyAlignment="1" pivotButton="0" quotePrefix="0" xfId="0">
      <alignment horizontal="center"/>
    </xf>
    <xf numFmtId="10" fontId="16" fillId="51" borderId="16" applyAlignment="1" pivotButton="0" quotePrefix="0" xfId="0">
      <alignment horizontal="center"/>
    </xf>
    <xf numFmtId="10" fontId="16" fillId="52" borderId="16" applyAlignment="1" pivotButton="0" quotePrefix="0" xfId="0">
      <alignment horizontal="center"/>
    </xf>
    <xf numFmtId="0" fontId="17" fillId="50" borderId="16" applyAlignment="1" pivotButton="0" quotePrefix="0" xfId="0">
      <alignment horizontal="center"/>
    </xf>
    <xf numFmtId="169" fontId="17" fillId="53" borderId="8" applyAlignment="1" pivotButton="0" quotePrefix="0" xfId="0">
      <alignment horizontal="center"/>
    </xf>
    <xf numFmtId="0" fontId="17" fillId="14" borderId="16" pivotButton="0" quotePrefix="0" xfId="0"/>
    <xf numFmtId="0" fontId="29" fillId="14" borderId="17" pivotButton="0" quotePrefix="0" xfId="0"/>
    <xf numFmtId="0" fontId="29" fillId="14" borderId="16" pivotButton="0" quotePrefix="0" xfId="0"/>
    <xf numFmtId="0" fontId="29" fillId="14" borderId="16" applyAlignment="1" pivotButton="0" quotePrefix="0" xfId="0">
      <alignment horizontal="right"/>
    </xf>
    <xf numFmtId="10" fontId="16" fillId="14" borderId="16" applyAlignment="1" pivotButton="0" quotePrefix="0" xfId="0">
      <alignment horizontal="center"/>
    </xf>
    <xf numFmtId="168" fontId="17" fillId="14" borderId="16" applyAlignment="1" pivotButton="0" quotePrefix="0" xfId="0">
      <alignment horizontal="center"/>
    </xf>
    <xf numFmtId="0" fontId="15" fillId="29" borderId="17" pivotButton="0" quotePrefix="0" xfId="0"/>
    <xf numFmtId="0" fontId="29" fillId="29" borderId="16" pivotButton="0" quotePrefix="0" xfId="0"/>
    <xf numFmtId="0" fontId="29" fillId="29" borderId="16" applyAlignment="1" pivotButton="0" quotePrefix="0" xfId="0">
      <alignment horizontal="right"/>
    </xf>
    <xf numFmtId="0" fontId="15" fillId="29" borderId="16" applyAlignment="1" pivotButton="0" quotePrefix="0" xfId="0">
      <alignment horizontal="center"/>
    </xf>
    <xf numFmtId="0" fontId="16" fillId="0" borderId="17" pivotButton="0" quotePrefix="0" xfId="0"/>
    <xf numFmtId="169" fontId="17" fillId="0" borderId="8" pivotButton="0" quotePrefix="0" xfId="0"/>
    <xf numFmtId="0" fontId="28" fillId="30" borderId="17" pivotButton="0" quotePrefix="0" xfId="0"/>
    <xf numFmtId="0" fontId="17" fillId="30" borderId="16" pivotButton="0" quotePrefix="0" xfId="0"/>
    <xf numFmtId="0" fontId="17" fillId="30" borderId="16" applyAlignment="1" pivotButton="0" quotePrefix="0" xfId="0">
      <alignment horizontal="right"/>
    </xf>
    <xf numFmtId="168" fontId="28" fillId="30" borderId="16" applyAlignment="1" pivotButton="0" quotePrefix="0" xfId="0">
      <alignment horizontal="center"/>
    </xf>
    <xf numFmtId="0" fontId="28" fillId="10" borderId="17" pivotButton="0" quotePrefix="0" xfId="0"/>
    <xf numFmtId="176" fontId="16" fillId="3" borderId="25" applyAlignment="1" pivotButton="0" quotePrefix="0" xfId="0">
      <alignment horizontal="right"/>
    </xf>
    <xf numFmtId="176" fontId="16" fillId="3" borderId="8" applyAlignment="1" pivotButton="0" quotePrefix="0" xfId="0">
      <alignment horizontal="right"/>
    </xf>
    <xf numFmtId="167" fontId="28" fillId="3" borderId="8" applyAlignment="1" pivotButton="0" quotePrefix="0" xfId="0">
      <alignment horizontal="right"/>
    </xf>
    <xf numFmtId="0" fontId="17" fillId="10" borderId="16" pivotButton="0" quotePrefix="0" xfId="0"/>
    <xf numFmtId="168" fontId="28" fillId="10" borderId="8" applyAlignment="1" pivotButton="0" quotePrefix="0" xfId="0">
      <alignment horizontal="center"/>
    </xf>
    <xf numFmtId="167" fontId="16" fillId="10" borderId="8" applyAlignment="1" pivotButton="0" quotePrefix="0" xfId="0">
      <alignment horizontal="center"/>
    </xf>
    <xf numFmtId="176" fontId="16" fillId="10" borderId="8" applyAlignment="1" pivotButton="0" quotePrefix="0" xfId="0">
      <alignment horizontal="center"/>
    </xf>
    <xf numFmtId="175" fontId="39" fillId="0" borderId="17" applyAlignment="1" pivotButton="0" quotePrefix="0" xfId="0">
      <alignment horizontal="left" wrapText="1"/>
    </xf>
    <xf numFmtId="9" fontId="16" fillId="3" borderId="16" applyAlignment="1" pivotButton="0" quotePrefix="0" xfId="0">
      <alignment horizontal="center" wrapText="1"/>
    </xf>
    <xf numFmtId="0" fontId="19" fillId="0" borderId="8" pivotButton="0" quotePrefix="0" xfId="0"/>
    <xf numFmtId="176" fontId="17" fillId="0" borderId="8" applyAlignment="1" pivotButton="0" quotePrefix="0" xfId="0">
      <alignment horizontal="center"/>
    </xf>
    <xf numFmtId="175" fontId="17" fillId="0" borderId="8" applyAlignment="1" pivotButton="0" quotePrefix="0" xfId="0">
      <alignment horizontal="center"/>
    </xf>
    <xf numFmtId="175" fontId="17" fillId="0" borderId="17" applyAlignment="1" pivotButton="0" quotePrefix="0" xfId="0">
      <alignment horizontal="left" wrapText="1"/>
    </xf>
    <xf numFmtId="0" fontId="16" fillId="31" borderId="18" pivotButton="0" quotePrefix="0" xfId="0"/>
    <xf numFmtId="0" fontId="27" fillId="31" borderId="19" applyAlignment="1" pivotButton="0" quotePrefix="0" xfId="0">
      <alignment horizontal="right"/>
    </xf>
    <xf numFmtId="0" fontId="15" fillId="31" borderId="19" applyAlignment="1" pivotButton="0" quotePrefix="0" xfId="0">
      <alignment horizontal="right" vertical="center"/>
    </xf>
    <xf numFmtId="0" fontId="15" fillId="31" borderId="19" applyAlignment="1" pivotButton="0" quotePrefix="0" xfId="0">
      <alignment horizontal="center" vertical="center"/>
    </xf>
    <xf numFmtId="0" fontId="17" fillId="10" borderId="17" pivotButton="0" quotePrefix="0" xfId="0"/>
    <xf numFmtId="0" fontId="17" fillId="10" borderId="16" applyAlignment="1" pivotButton="0" quotePrefix="0" xfId="0">
      <alignment horizontal="right"/>
    </xf>
    <xf numFmtId="0" fontId="47" fillId="9" borderId="16" applyAlignment="1" pivotButton="0" quotePrefix="0" xfId="0">
      <alignment horizontal="center"/>
    </xf>
    <xf numFmtId="0" fontId="17" fillId="0" borderId="17" applyAlignment="1" pivotButton="0" quotePrefix="0" xfId="0">
      <alignment horizontal="left"/>
    </xf>
    <xf numFmtId="166" fontId="17" fillId="0" borderId="8" applyAlignment="1" pivotButton="0" quotePrefix="0" xfId="0">
      <alignment horizontal="center"/>
    </xf>
    <xf numFmtId="166" fontId="17" fillId="32" borderId="16" applyAlignment="1" pivotButton="0" quotePrefix="0" xfId="0">
      <alignment horizontal="center"/>
    </xf>
    <xf numFmtId="169" fontId="17" fillId="0" borderId="8" applyAlignment="1" pivotButton="0" quotePrefix="0" xfId="0">
      <alignment horizontal="right"/>
    </xf>
    <xf numFmtId="169" fontId="16" fillId="0" borderId="8" applyAlignment="1" pivotButton="0" quotePrefix="0" xfId="0">
      <alignment horizontal="right"/>
    </xf>
    <xf numFmtId="166" fontId="17" fillId="0" borderId="12" applyAlignment="1" pivotButton="0" quotePrefix="0" xfId="0">
      <alignment horizontal="right"/>
    </xf>
    <xf numFmtId="166" fontId="17" fillId="0" borderId="9" applyAlignment="1" pivotButton="0" quotePrefix="0" xfId="0">
      <alignment horizontal="right"/>
    </xf>
    <xf numFmtId="0" fontId="17" fillId="10" borderId="17" applyAlignment="1" pivotButton="0" quotePrefix="0" xfId="0">
      <alignment horizontal="center"/>
    </xf>
    <xf numFmtId="0" fontId="17" fillId="0" borderId="8" applyAlignment="1" pivotButton="0" quotePrefix="0" xfId="0">
      <alignment horizontal="right"/>
    </xf>
    <xf numFmtId="0" fontId="16" fillId="0" borderId="17" applyAlignment="1" pivotButton="0" quotePrefix="0" xfId="0">
      <alignment horizontal="center"/>
    </xf>
    <xf numFmtId="0" fontId="17" fillId="0" borderId="17" applyAlignment="1" pivotButton="0" quotePrefix="0" xfId="0">
      <alignment horizontal="center"/>
    </xf>
    <xf numFmtId="0" fontId="16" fillId="0" borderId="17" applyAlignment="1" pivotButton="0" quotePrefix="0" xfId="0">
      <alignment horizontal="left"/>
    </xf>
    <xf numFmtId="0" fontId="16" fillId="7" borderId="16" applyAlignment="1" pivotButton="0" quotePrefix="0" xfId="0">
      <alignment horizontal="center"/>
    </xf>
    <xf numFmtId="9" fontId="28" fillId="3" borderId="16" applyAlignment="1" pivotButton="0" quotePrefix="0" xfId="0">
      <alignment horizontal="center"/>
    </xf>
    <xf numFmtId="0" fontId="29" fillId="7" borderId="16" applyAlignment="1" pivotButton="0" quotePrefix="0" xfId="0">
      <alignment horizontal="left"/>
    </xf>
    <xf numFmtId="0" fontId="29" fillId="7" borderId="17" applyAlignment="1" pivotButton="0" quotePrefix="0" xfId="0">
      <alignment horizontal="left"/>
    </xf>
    <xf numFmtId="0" fontId="17" fillId="7" borderId="17" applyAlignment="1" pivotButton="0" quotePrefix="0" xfId="0">
      <alignment horizontal="left"/>
    </xf>
    <xf numFmtId="0" fontId="28" fillId="7" borderId="17" applyAlignment="1" pivotButton="0" quotePrefix="0" xfId="0">
      <alignment horizontal="left"/>
    </xf>
    <xf numFmtId="0" fontId="16" fillId="0" borderId="8" applyAlignment="1" pivotButton="0" quotePrefix="0" xfId="0">
      <alignment horizontal="center"/>
    </xf>
    <xf numFmtId="1" fontId="16" fillId="0" borderId="8" applyAlignment="1" pivotButton="0" quotePrefix="0" xfId="0">
      <alignment horizontal="center"/>
    </xf>
    <xf numFmtId="169" fontId="16" fillId="0" borderId="12" applyAlignment="1" pivotButton="0" quotePrefix="0" xfId="0">
      <alignment horizontal="center"/>
    </xf>
    <xf numFmtId="169" fontId="16" fillId="0" borderId="9" applyAlignment="1" pivotButton="0" quotePrefix="0" xfId="0">
      <alignment horizontal="center"/>
    </xf>
    <xf numFmtId="168" fontId="16" fillId="7" borderId="16" applyAlignment="1" pivotButton="0" quotePrefix="0" xfId="0">
      <alignment horizontal="center"/>
    </xf>
    <xf numFmtId="0" fontId="16" fillId="7" borderId="17" applyAlignment="1" pivotButton="0" quotePrefix="0" xfId="0">
      <alignment horizontal="left"/>
    </xf>
    <xf numFmtId="0" fontId="17" fillId="4" borderId="17" pivotButton="0" quotePrefix="0" xfId="0"/>
    <xf numFmtId="0" fontId="29" fillId="4" borderId="16" pivotButton="0" quotePrefix="0" xfId="0"/>
    <xf numFmtId="0" fontId="29" fillId="4" borderId="16" applyAlignment="1" pivotButton="0" quotePrefix="0" xfId="0">
      <alignment horizontal="right"/>
    </xf>
    <xf numFmtId="170" fontId="16" fillId="4" borderId="16" applyAlignment="1" pivotButton="0" quotePrefix="0" xfId="0">
      <alignment horizontal="center"/>
    </xf>
    <xf numFmtId="169" fontId="17" fillId="4" borderId="16" applyAlignment="1" pivotButton="0" quotePrefix="0" xfId="0">
      <alignment horizontal="center"/>
    </xf>
    <xf numFmtId="168" fontId="17" fillId="4" borderId="16" applyAlignment="1" pivotButton="0" quotePrefix="0" xfId="0">
      <alignment horizontal="center"/>
    </xf>
    <xf numFmtId="0" fontId="17" fillId="4" borderId="16" applyAlignment="1" pivotButton="0" quotePrefix="0" xfId="0">
      <alignment horizontal="center"/>
    </xf>
    <xf numFmtId="168" fontId="17" fillId="0" borderId="8" applyAlignment="1" pivotButton="0" quotePrefix="0" xfId="0">
      <alignment horizontal="center"/>
    </xf>
    <xf numFmtId="169" fontId="17" fillId="0" borderId="12" applyAlignment="1" pivotButton="0" quotePrefix="0" xfId="0">
      <alignment horizontal="center"/>
    </xf>
    <xf numFmtId="169" fontId="17" fillId="0" borderId="9" applyAlignment="1" pivotButton="0" quotePrefix="0" xfId="0">
      <alignment horizontal="center"/>
    </xf>
    <xf numFmtId="0" fontId="29" fillId="4" borderId="17" applyAlignment="1" pivotButton="0" quotePrefix="0" xfId="0">
      <alignment horizontal="left"/>
    </xf>
    <xf numFmtId="173" fontId="16" fillId="3" borderId="16" applyAlignment="1" pivotButton="0" quotePrefix="0" xfId="0">
      <alignment horizontal="center"/>
    </xf>
    <xf numFmtId="0" fontId="16" fillId="3" borderId="16" applyAlignment="1" pivotButton="0" quotePrefix="0" xfId="0">
      <alignment horizontal="center"/>
    </xf>
    <xf numFmtId="0" fontId="17" fillId="4" borderId="16" pivotButton="0" quotePrefix="0" xfId="0"/>
    <xf numFmtId="0" fontId="17" fillId="4" borderId="16" applyAlignment="1" pivotButton="0" quotePrefix="0" xfId="0">
      <alignment horizontal="right"/>
    </xf>
    <xf numFmtId="166" fontId="17" fillId="0" borderId="12" applyAlignment="1" pivotButton="0" quotePrefix="0" xfId="0">
      <alignment horizontal="center"/>
    </xf>
    <xf numFmtId="166" fontId="17" fillId="0" borderId="9" applyAlignment="1" pivotButton="0" quotePrefix="0" xfId="0">
      <alignment horizontal="center"/>
    </xf>
    <xf numFmtId="0" fontId="25" fillId="9" borderId="16" applyAlignment="1" pivotButton="0" quotePrefix="0" xfId="0">
      <alignment horizontal="center"/>
    </xf>
    <xf numFmtId="0" fontId="16" fillId="9" borderId="16" applyAlignment="1" pivotButton="0" quotePrefix="0" xfId="0">
      <alignment horizontal="center"/>
    </xf>
    <xf numFmtId="0" fontId="27" fillId="9" borderId="16" applyAlignment="1" pivotButton="0" quotePrefix="0" xfId="0">
      <alignment horizontal="right"/>
    </xf>
    <xf numFmtId="49" fontId="15" fillId="9" borderId="16" applyAlignment="1" pivotButton="0" quotePrefix="0" xfId="0">
      <alignment horizontal="center"/>
    </xf>
    <xf numFmtId="0" fontId="17" fillId="0" borderId="8" pivotButton="0" quotePrefix="0" xfId="0"/>
    <xf numFmtId="0" fontId="18" fillId="7" borderId="16" applyAlignment="1" pivotButton="0" quotePrefix="0" xfId="0">
      <alignment horizontal="left"/>
    </xf>
    <xf numFmtId="0" fontId="97" fillId="7" borderId="17" pivotButton="0" quotePrefix="0" xfId="0"/>
    <xf numFmtId="0" fontId="16" fillId="7" borderId="16" applyAlignment="1" pivotButton="0" quotePrefix="0" xfId="0">
      <alignment horizontal="left"/>
    </xf>
    <xf numFmtId="0" fontId="98" fillId="7" borderId="17" pivotButton="0" quotePrefix="0" xfId="0"/>
    <xf numFmtId="0" fontId="28" fillId="0" borderId="16" applyAlignment="1" pivotButton="0" quotePrefix="0" xfId="0">
      <alignment horizontal="center"/>
    </xf>
    <xf numFmtId="166" fontId="16" fillId="3" borderId="16" applyAlignment="1" pivotButton="0" quotePrefix="0" xfId="0">
      <alignment horizontal="center"/>
    </xf>
    <xf numFmtId="43" fontId="28" fillId="3" borderId="22" applyAlignment="1" pivotButton="0" quotePrefix="0" xfId="0">
      <alignment horizontal="center"/>
    </xf>
    <xf numFmtId="43" fontId="28" fillId="0" borderId="22" applyAlignment="1" pivotButton="0" quotePrefix="0" xfId="0">
      <alignment horizontal="center"/>
    </xf>
    <xf numFmtId="41" fontId="16" fillId="7" borderId="16" applyAlignment="1" pivotButton="0" quotePrefix="0" xfId="0">
      <alignment horizontal="center"/>
    </xf>
    <xf numFmtId="41" fontId="16" fillId="7" borderId="12" applyAlignment="1" pivotButton="0" quotePrefix="0" xfId="0">
      <alignment horizontal="center"/>
    </xf>
    <xf numFmtId="0" fontId="98" fillId="10" borderId="17" pivotButton="0" quotePrefix="0" xfId="0"/>
    <xf numFmtId="0" fontId="99" fillId="7" borderId="17" pivotButton="0" quotePrefix="0" xfId="0"/>
    <xf numFmtId="172" fontId="28" fillId="3" borderId="16" applyAlignment="1" pivotButton="0" quotePrefix="0" xfId="0">
      <alignment horizontal="center"/>
    </xf>
    <xf numFmtId="41" fontId="28" fillId="7" borderId="12" applyAlignment="1" pivotButton="0" quotePrefix="0" xfId="0">
      <alignment horizontal="center"/>
    </xf>
    <xf numFmtId="41" fontId="29" fillId="10" borderId="16" applyAlignment="1" pivotButton="0" quotePrefix="0" xfId="0">
      <alignment horizontal="center"/>
    </xf>
    <xf numFmtId="41" fontId="29" fillId="7" borderId="16" applyAlignment="1" pivotButton="0" quotePrefix="0" xfId="0">
      <alignment horizontal="center"/>
    </xf>
    <xf numFmtId="41" fontId="16" fillId="3" borderId="16" applyAlignment="1" pivotButton="0" quotePrefix="0" xfId="0">
      <alignment horizontal="center"/>
    </xf>
    <xf numFmtId="0" fontId="97" fillId="0" borderId="17" pivotButton="0" quotePrefix="0" xfId="0"/>
    <xf numFmtId="0" fontId="93" fillId="7" borderId="16" applyAlignment="1" pivotButton="0" quotePrefix="0" xfId="0">
      <alignment horizontal="right"/>
    </xf>
    <xf numFmtId="0" fontId="98" fillId="0" borderId="17" applyAlignment="1" pivotButton="0" quotePrefix="0" xfId="0">
      <alignment horizontal="left"/>
    </xf>
    <xf numFmtId="41" fontId="16" fillId="0" borderId="12" applyAlignment="1" pivotButton="0" quotePrefix="0" xfId="0">
      <alignment horizontal="center"/>
    </xf>
    <xf numFmtId="0" fontId="98" fillId="7" borderId="17" applyAlignment="1" pivotButton="0" quotePrefix="0" xfId="0">
      <alignment horizontal="left"/>
    </xf>
    <xf numFmtId="41" fontId="16" fillId="11" borderId="16" applyAlignment="1" pivotButton="0" quotePrefix="0" xfId="0">
      <alignment horizontal="right"/>
    </xf>
    <xf numFmtId="41" fontId="16" fillId="66" borderId="16" applyAlignment="1" pivotButton="0" quotePrefix="0" xfId="0">
      <alignment horizontal="right"/>
    </xf>
    <xf numFmtId="41" fontId="16" fillId="66" borderId="22" applyAlignment="1" pivotButton="0" quotePrefix="0" xfId="0">
      <alignment horizontal="right"/>
    </xf>
    <xf numFmtId="41" fontId="16" fillId="7" borderId="16" applyAlignment="1" pivotButton="0" quotePrefix="0" xfId="0">
      <alignment horizontal="right"/>
    </xf>
    <xf numFmtId="41" fontId="16" fillId="7" borderId="12" applyAlignment="1" pivotButton="0" quotePrefix="0" xfId="0">
      <alignment horizontal="right"/>
    </xf>
    <xf numFmtId="0" fontId="97" fillId="7" borderId="17" applyAlignment="1" pivotButton="0" quotePrefix="0" xfId="0">
      <alignment wrapText="1"/>
    </xf>
    <xf numFmtId="41" fontId="16" fillId="3" borderId="16" applyAlignment="1" pivotButton="0" quotePrefix="0" xfId="0">
      <alignment horizontal="right"/>
    </xf>
    <xf numFmtId="41" fontId="16" fillId="3" borderId="22" applyAlignment="1" pivotButton="0" quotePrefix="0" xfId="0">
      <alignment horizontal="right"/>
    </xf>
    <xf numFmtId="41" fontId="28" fillId="7" borderId="16" applyAlignment="1" pivotButton="0" quotePrefix="0" xfId="0">
      <alignment horizontal="right"/>
    </xf>
    <xf numFmtId="41" fontId="28" fillId="7" borderId="12" applyAlignment="1" pivotButton="0" quotePrefix="0" xfId="0">
      <alignment horizontal="right"/>
    </xf>
    <xf numFmtId="0" fontId="29" fillId="10" borderId="16" applyAlignment="1" pivotButton="0" quotePrefix="0" xfId="0">
      <alignment horizontal="center" wrapText="1"/>
    </xf>
    <xf numFmtId="41" fontId="19" fillId="10" borderId="16" pivotButton="0" quotePrefix="0" xfId="0"/>
    <xf numFmtId="41" fontId="28" fillId="10" borderId="16" applyAlignment="1" pivotButton="0" quotePrefix="0" xfId="0">
      <alignment horizontal="left"/>
    </xf>
    <xf numFmtId="41" fontId="17" fillId="10" borderId="16" applyAlignment="1" pivotButton="0" quotePrefix="0" xfId="0">
      <alignment horizontal="center"/>
    </xf>
    <xf numFmtId="41" fontId="28" fillId="0" borderId="16" applyAlignment="1" pivotButton="0" quotePrefix="0" xfId="0">
      <alignment horizontal="center"/>
    </xf>
    <xf numFmtId="0" fontId="98" fillId="38" borderId="17" pivotButton="0" quotePrefix="0" xfId="0"/>
    <xf numFmtId="0" fontId="29" fillId="55" borderId="16" pivotButton="0" quotePrefix="0" xfId="0"/>
    <xf numFmtId="0" fontId="29" fillId="55" borderId="16" applyAlignment="1" pivotButton="0" quotePrefix="0" xfId="0">
      <alignment horizontal="right"/>
    </xf>
    <xf numFmtId="41" fontId="16" fillId="0" borderId="16" applyAlignment="1" pivotButton="0" quotePrefix="0" xfId="0">
      <alignment horizontal="center"/>
    </xf>
    <xf numFmtId="41" fontId="16" fillId="3" borderId="9" applyAlignment="1" pivotButton="0" quotePrefix="0" xfId="0">
      <alignment horizontal="right"/>
    </xf>
    <xf numFmtId="41" fontId="19" fillId="7" borderId="16" pivotButton="0" quotePrefix="0" xfId="0"/>
    <xf numFmtId="41" fontId="33" fillId="7" borderId="16" applyAlignment="1" pivotButton="0" quotePrefix="0" xfId="0">
      <alignment horizontal="center"/>
    </xf>
    <xf numFmtId="172" fontId="28" fillId="2" borderId="16" applyAlignment="1" pivotButton="0" quotePrefix="0" xfId="2">
      <alignment horizontal="right"/>
    </xf>
    <xf numFmtId="41" fontId="16" fillId="12" borderId="16" applyAlignment="1" pivotButton="0" quotePrefix="0" xfId="0">
      <alignment horizontal="right"/>
    </xf>
    <xf numFmtId="172" fontId="16" fillId="2" borderId="0" pivotButton="0" quotePrefix="0" xfId="2"/>
    <xf numFmtId="41" fontId="16" fillId="12" borderId="22" applyAlignment="1" pivotButton="0" quotePrefix="0" xfId="0">
      <alignment horizontal="right"/>
    </xf>
    <xf numFmtId="41" fontId="16" fillId="13" borderId="22" applyAlignment="1" pivotButton="0" quotePrefix="0" xfId="0">
      <alignment horizontal="right"/>
    </xf>
    <xf numFmtId="41" fontId="29" fillId="10" borderId="16" applyAlignment="1" pivotButton="0" quotePrefix="0" xfId="0">
      <alignment horizontal="right"/>
    </xf>
    <xf numFmtId="170" fontId="16" fillId="10" borderId="16" applyAlignment="1" pivotButton="0" quotePrefix="0" xfId="0">
      <alignment horizontal="center"/>
    </xf>
    <xf numFmtId="167" fontId="16" fillId="3" borderId="16" applyAlignment="1" pivotButton="0" quotePrefix="0" xfId="0">
      <alignment horizontal="center"/>
    </xf>
    <xf numFmtId="167" fontId="17" fillId="7" borderId="16" applyAlignment="1" pivotButton="0" quotePrefix="0" xfId="0">
      <alignment horizontal="center"/>
    </xf>
    <xf numFmtId="0" fontId="17" fillId="7" borderId="16" applyAlignment="1" pivotButton="0" quotePrefix="0" xfId="0">
      <alignment horizontal="left"/>
    </xf>
    <xf numFmtId="172" fontId="105" fillId="61" borderId="16" applyAlignment="1" pivotButton="0" quotePrefix="0" xfId="2">
      <alignment horizontal="right"/>
    </xf>
    <xf numFmtId="41" fontId="17" fillId="0" borderId="12" applyAlignment="1" pivotButton="0" quotePrefix="0" xfId="0">
      <alignment horizontal="right"/>
    </xf>
    <xf numFmtId="167" fontId="17" fillId="7" borderId="16" pivotButton="0" quotePrefix="0" xfId="0"/>
    <xf numFmtId="0" fontId="34" fillId="0" borderId="17" applyAlignment="1" pivotButton="0" quotePrefix="0" xfId="0">
      <alignment horizontal="center"/>
    </xf>
    <xf numFmtId="0" fontId="16" fillId="2" borderId="17" pivotButton="0" quotePrefix="0" xfId="0"/>
    <xf numFmtId="0" fontId="29" fillId="2" borderId="16" pivotButton="0" quotePrefix="0" xfId="0"/>
    <xf numFmtId="0" fontId="29" fillId="2" borderId="16" applyAlignment="1" pivotButton="0" quotePrefix="0" xfId="0">
      <alignment horizontal="right"/>
    </xf>
    <xf numFmtId="41" fontId="28" fillId="2" borderId="16" applyAlignment="1" pivotButton="0" quotePrefix="0" xfId="0">
      <alignment horizontal="right"/>
    </xf>
    <xf numFmtId="41" fontId="16" fillId="2" borderId="16" applyAlignment="1" pivotButton="0" quotePrefix="0" xfId="0">
      <alignment horizontal="right"/>
    </xf>
    <xf numFmtId="0" fontId="16" fillId="14" borderId="16" applyAlignment="1" pivotButton="0" quotePrefix="0" xfId="0">
      <alignment horizontal="center"/>
    </xf>
    <xf numFmtId="170" fontId="16" fillId="14" borderId="16" applyAlignment="1" pivotButton="0" quotePrefix="0" xfId="0">
      <alignment horizontal="center"/>
    </xf>
    <xf numFmtId="41" fontId="27" fillId="14" borderId="16" applyAlignment="1" pivotButton="0" quotePrefix="0" xfId="0">
      <alignment horizontal="center"/>
    </xf>
    <xf numFmtId="0" fontId="16" fillId="15" borderId="16" pivotButton="0" quotePrefix="0" xfId="0"/>
    <xf numFmtId="0" fontId="17" fillId="15" borderId="16" pivotButton="0" quotePrefix="0" xfId="0"/>
    <xf numFmtId="41" fontId="17" fillId="7" borderId="16" applyAlignment="1" pivotButton="0" quotePrefix="0" xfId="0">
      <alignment horizontal="center"/>
    </xf>
    <xf numFmtId="41" fontId="86" fillId="7" borderId="16" applyAlignment="1" pivotButton="0" quotePrefix="0" xfId="0">
      <alignment horizontal="center"/>
    </xf>
    <xf numFmtId="167" fontId="16" fillId="3" borderId="16" pivotButton="0" quotePrefix="0" xfId="0"/>
    <xf numFmtId="0" fontId="16" fillId="3" borderId="16" pivotButton="0" quotePrefix="0" xfId="0"/>
    <xf numFmtId="41" fontId="101" fillId="15" borderId="16" pivotButton="0" quotePrefix="0" xfId="0"/>
    <xf numFmtId="41" fontId="86" fillId="15" borderId="16" applyAlignment="1" pivotButton="0" quotePrefix="0" xfId="0">
      <alignment horizontal="center"/>
    </xf>
    <xf numFmtId="0" fontId="28" fillId="14" borderId="17" pivotButton="0" quotePrefix="0" xfId="0"/>
    <xf numFmtId="167" fontId="17" fillId="14" borderId="16" pivotButton="0" quotePrefix="0" xfId="0"/>
    <xf numFmtId="167" fontId="16" fillId="12" borderId="16" applyAlignment="1" pivotButton="0" quotePrefix="0" xfId="0">
      <alignment horizontal="center"/>
    </xf>
    <xf numFmtId="167" fontId="16" fillId="7" borderId="12" applyAlignment="1" pivotButton="0" quotePrefix="0" xfId="0">
      <alignment horizontal="center"/>
    </xf>
    <xf numFmtId="167" fontId="16" fillId="7" borderId="16" applyAlignment="1" pivotButton="0" quotePrefix="0" xfId="0">
      <alignment horizontal="center"/>
    </xf>
    <xf numFmtId="0" fontId="28" fillId="65" borderId="17" pivotButton="0" quotePrefix="0" xfId="0"/>
    <xf numFmtId="0" fontId="28" fillId="65" borderId="16" pivotButton="0" quotePrefix="0" xfId="0"/>
    <xf numFmtId="0" fontId="28" fillId="65" borderId="16" applyAlignment="1" pivotButton="0" quotePrefix="0" xfId="0">
      <alignment horizontal="right"/>
    </xf>
    <xf numFmtId="167" fontId="16" fillId="65" borderId="16" applyAlignment="1" pivotButton="0" quotePrefix="0" xfId="0">
      <alignment horizontal="center"/>
    </xf>
    <xf numFmtId="168" fontId="17" fillId="10" borderId="16" applyAlignment="1" pivotButton="0" quotePrefix="0" xfId="0">
      <alignment horizontal="center"/>
    </xf>
    <xf numFmtId="167" fontId="16" fillId="0" borderId="12" applyAlignment="1" pivotButton="0" quotePrefix="0" xfId="0">
      <alignment horizontal="center"/>
    </xf>
    <xf numFmtId="0" fontId="35" fillId="0" borderId="0" pivotButton="0" quotePrefix="0" xfId="0"/>
    <xf numFmtId="9" fontId="19" fillId="28" borderId="16" pivotButton="0" quotePrefix="0" xfId="0"/>
    <xf numFmtId="9" fontId="19" fillId="0" borderId="0" pivotButton="0" quotePrefix="0" xfId="0"/>
    <xf numFmtId="172" fontId="19" fillId="0" borderId="0" pivotButton="0" quotePrefix="0" xfId="0"/>
    <xf numFmtId="0" fontId="19" fillId="0" borderId="0" pivotButton="0" quotePrefix="1" xfId="0"/>
    <xf numFmtId="42" fontId="41" fillId="28" borderId="16" applyAlignment="1" pivotButton="0" quotePrefix="0" xfId="0">
      <alignment horizontal="right"/>
    </xf>
    <xf numFmtId="42" fontId="19" fillId="28" borderId="16" pivotButton="0" quotePrefix="0" xfId="0"/>
    <xf numFmtId="41" fontId="19" fillId="28" borderId="16" pivotButton="0" quotePrefix="0" xfId="0"/>
    <xf numFmtId="41" fontId="19" fillId="0" borderId="0" pivotButton="0" quotePrefix="0" xfId="0"/>
    <xf numFmtId="41" fontId="101" fillId="0" borderId="16" applyAlignment="1" pivotButton="0" quotePrefix="0" xfId="0">
      <alignment horizontal="center"/>
    </xf>
    <xf numFmtId="41" fontId="17" fillId="0" borderId="16" applyAlignment="1" pivotButton="0" quotePrefix="0" xfId="0">
      <alignment horizontal="center"/>
    </xf>
    <xf numFmtId="0" fontId="17" fillId="0" borderId="9" pivotButton="0" quotePrefix="0" xfId="0"/>
    <xf numFmtId="0" fontId="17" fillId="0" borderId="9" applyAlignment="1" pivotButton="0" quotePrefix="0" xfId="0">
      <alignment horizontal="center"/>
    </xf>
    <xf numFmtId="164" fontId="50" fillId="0" borderId="17" pivotButton="0" quotePrefix="0" xfId="0"/>
    <xf numFmtId="164" fontId="50" fillId="0" borderId="8" pivotButton="0" quotePrefix="0" xfId="0"/>
    <xf numFmtId="9" fontId="17" fillId="0" borderId="8" applyAlignment="1" pivotButton="0" quotePrefix="0" xfId="0">
      <alignment horizontal="center"/>
    </xf>
    <xf numFmtId="0" fontId="50" fillId="0" borderId="17" pivotButton="0" quotePrefix="0" xfId="0"/>
    <xf numFmtId="0" fontId="50" fillId="0" borderId="8" pivotButton="0" quotePrefix="0" xfId="0"/>
    <xf numFmtId="0" fontId="27" fillId="2" borderId="16" pivotButton="0" quotePrefix="0" xfId="0"/>
    <xf numFmtId="0" fontId="15" fillId="2" borderId="16" applyAlignment="1" pivotButton="0" quotePrefix="0" xfId="0">
      <alignment horizontal="center"/>
    </xf>
    <xf numFmtId="178" fontId="15" fillId="2" borderId="17" applyAlignment="1" pivotButton="0" quotePrefix="0" xfId="0">
      <alignment horizontal="center"/>
    </xf>
    <xf numFmtId="0" fontId="15" fillId="2" borderId="17" applyAlignment="1" pivotButton="0" quotePrefix="0" xfId="0">
      <alignment horizontal="center"/>
    </xf>
    <xf numFmtId="49" fontId="15" fillId="2" borderId="16" applyAlignment="1" pivotButton="0" quotePrefix="0" xfId="0">
      <alignment horizontal="center"/>
    </xf>
    <xf numFmtId="49" fontId="15" fillId="2" borderId="17" applyAlignment="1" pivotButton="0" quotePrefix="0" xfId="0">
      <alignment horizontal="center"/>
    </xf>
    <xf numFmtId="173" fontId="16" fillId="16" borderId="16" applyAlignment="1" pivotButton="0" quotePrefix="0" xfId="0">
      <alignment horizontal="right"/>
    </xf>
    <xf numFmtId="0" fontId="17" fillId="15" borderId="8" pivotButton="0" quotePrefix="0" xfId="0"/>
    <xf numFmtId="0" fontId="15" fillId="0" borderId="8" applyAlignment="1" pivotButton="0" quotePrefix="0" xfId="0">
      <alignment horizontal="center"/>
    </xf>
    <xf numFmtId="9" fontId="16" fillId="0" borderId="17" applyAlignment="1" pivotButton="0" quotePrefix="0" xfId="0">
      <alignment horizontal="right"/>
    </xf>
    <xf numFmtId="9" fontId="16" fillId="15" borderId="8" applyAlignment="1" pivotButton="0" quotePrefix="0" xfId="0">
      <alignment horizontal="right"/>
    </xf>
    <xf numFmtId="0" fontId="16" fillId="0" borderId="16" pivotButton="0" quotePrefix="0" xfId="0"/>
    <xf numFmtId="0" fontId="16" fillId="12" borderId="17" applyAlignment="1" pivotButton="0" quotePrefix="0" xfId="0">
      <alignment horizontal="center"/>
    </xf>
    <xf numFmtId="0" fontId="17" fillId="0" borderId="16" pivotButton="0" quotePrefix="1" xfId="0"/>
    <xf numFmtId="0" fontId="17" fillId="0" borderId="16" pivotButton="0" quotePrefix="0" xfId="0"/>
    <xf numFmtId="166" fontId="19" fillId="0" borderId="0" pivotButton="0" quotePrefix="0" xfId="0"/>
    <xf numFmtId="0" fontId="16" fillId="12" borderId="25" applyAlignment="1" pivotButton="0" quotePrefix="0" xfId="0">
      <alignment horizontal="center"/>
    </xf>
    <xf numFmtId="169" fontId="17" fillId="0" borderId="16" applyAlignment="1" pivotButton="0" quotePrefix="0" xfId="0">
      <alignment horizontal="center"/>
    </xf>
    <xf numFmtId="1" fontId="28" fillId="12" borderId="25" applyAlignment="1" pivotButton="0" quotePrefix="0" xfId="0">
      <alignment horizontal="center"/>
    </xf>
    <xf numFmtId="0" fontId="17" fillId="46" borderId="0" pivotButton="0" quotePrefix="0" xfId="0"/>
    <xf numFmtId="169" fontId="16" fillId="12" borderId="0" applyAlignment="1" pivotButton="0" quotePrefix="0" xfId="0">
      <alignment horizontal="center"/>
    </xf>
    <xf numFmtId="177" fontId="16" fillId="0" borderId="17" applyAlignment="1" pivotButton="0" quotePrefix="0" xfId="0">
      <alignment horizontal="center"/>
    </xf>
    <xf numFmtId="177" fontId="16" fillId="0" borderId="25" applyAlignment="1" pivotButton="0" quotePrefix="0" xfId="0">
      <alignment horizontal="center"/>
    </xf>
    <xf numFmtId="177" fontId="16" fillId="0" borderId="8" applyAlignment="1" pivotButton="0" quotePrefix="0" xfId="0">
      <alignment horizontal="center"/>
    </xf>
    <xf numFmtId="177" fontId="17" fillId="0" borderId="17" applyAlignment="1" pivotButton="0" quotePrefix="0" xfId="0">
      <alignment horizontal="right"/>
    </xf>
    <xf numFmtId="177" fontId="17" fillId="0" borderId="8" applyAlignment="1" pivotButton="0" quotePrefix="0" xfId="0">
      <alignment horizontal="right"/>
    </xf>
    <xf numFmtId="1" fontId="28" fillId="12" borderId="9" applyAlignment="1" pivotButton="0" quotePrefix="0" xfId="0">
      <alignment horizontal="center"/>
    </xf>
    <xf numFmtId="0" fontId="28" fillId="12" borderId="16" applyAlignment="1" pivotButton="0" quotePrefix="0" xfId="0">
      <alignment horizontal="center"/>
    </xf>
    <xf numFmtId="0" fontId="28" fillId="12" borderId="25" applyAlignment="1" pivotButton="0" quotePrefix="0" xfId="0">
      <alignment horizontal="center"/>
    </xf>
    <xf numFmtId="1" fontId="28" fillId="12" borderId="15" applyAlignment="1" pivotButton="0" quotePrefix="0" xfId="0">
      <alignment horizontal="center"/>
    </xf>
    <xf numFmtId="1" fontId="29" fillId="0" borderId="8" applyAlignment="1" pivotButton="0" quotePrefix="0" xfId="0">
      <alignment horizontal="center"/>
    </xf>
    <xf numFmtId="177" fontId="17" fillId="0" borderId="17" applyAlignment="1" pivotButton="0" quotePrefix="0" xfId="0">
      <alignment horizontal="left"/>
    </xf>
    <xf numFmtId="177" fontId="17" fillId="0" borderId="8" applyAlignment="1" pivotButton="0" quotePrefix="0" xfId="0">
      <alignment horizontal="left"/>
    </xf>
    <xf numFmtId="37" fontId="28" fillId="38" borderId="17" applyAlignment="1" pivotButton="0" quotePrefix="0" xfId="0">
      <alignment horizontal="center"/>
    </xf>
    <xf numFmtId="37" fontId="28" fillId="38" borderId="8" applyAlignment="1" pivotButton="0" quotePrefix="0" xfId="0">
      <alignment horizontal="center"/>
    </xf>
    <xf numFmtId="177" fontId="17" fillId="0" borderId="17" applyAlignment="1" pivotButton="0" quotePrefix="0" xfId="0">
      <alignment horizontal="center"/>
    </xf>
    <xf numFmtId="0" fontId="16" fillId="31" borderId="16" pivotButton="0" quotePrefix="0" xfId="0"/>
    <xf numFmtId="168" fontId="16" fillId="31" borderId="16" applyAlignment="1" pivotButton="0" quotePrefix="0" xfId="0">
      <alignment horizontal="center"/>
    </xf>
    <xf numFmtId="168" fontId="16" fillId="31" borderId="17" applyAlignment="1" pivotButton="0" quotePrefix="0" xfId="0">
      <alignment horizontal="center"/>
    </xf>
    <xf numFmtId="168" fontId="16" fillId="0" borderId="17" applyAlignment="1" pivotButton="0" quotePrefix="0" xfId="0">
      <alignment horizontal="center"/>
    </xf>
    <xf numFmtId="168" fontId="16" fillId="0" borderId="8" applyAlignment="1" pivotButton="0" quotePrefix="0" xfId="0">
      <alignment horizontal="center"/>
    </xf>
    <xf numFmtId="179" fontId="16" fillId="0" borderId="17" applyAlignment="1" pivotButton="0" quotePrefix="0" xfId="0">
      <alignment horizontal="center"/>
    </xf>
    <xf numFmtId="179" fontId="16" fillId="0" borderId="8" applyAlignment="1" pivotButton="0" quotePrefix="0" xfId="0">
      <alignment horizontal="center"/>
    </xf>
    <xf numFmtId="168" fontId="28" fillId="3" borderId="17" applyAlignment="1" pivotButton="0" quotePrefix="0" xfId="0">
      <alignment horizontal="center"/>
    </xf>
    <xf numFmtId="168" fontId="28" fillId="3" borderId="8" applyAlignment="1" pivotButton="0" quotePrefix="0" xfId="0">
      <alignment horizontal="center"/>
    </xf>
    <xf numFmtId="0" fontId="17" fillId="0" borderId="17" applyAlignment="1" pivotButton="0" quotePrefix="0" xfId="0">
      <alignment horizontal="center" wrapText="1"/>
    </xf>
    <xf numFmtId="168" fontId="28" fillId="15" borderId="8" applyAlignment="1" pivotButton="0" quotePrefix="0" xfId="0">
      <alignment horizontal="center"/>
    </xf>
    <xf numFmtId="0" fontId="19" fillId="0" borderId="17" pivotButton="0" quotePrefix="0" xfId="0"/>
    <xf numFmtId="0" fontId="56" fillId="7" borderId="17" applyAlignment="1" pivotButton="0" quotePrefix="0" xfId="0">
      <alignment horizontal="center"/>
    </xf>
    <xf numFmtId="0" fontId="56" fillId="7" borderId="8" applyAlignment="1" pivotButton="0" quotePrefix="0" xfId="0">
      <alignment horizontal="center"/>
    </xf>
    <xf numFmtId="0" fontId="17" fillId="0" borderId="8" applyAlignment="1" pivotButton="0" quotePrefix="0" xfId="0">
      <alignment horizontal="left"/>
    </xf>
    <xf numFmtId="180" fontId="17" fillId="0" borderId="8" applyAlignment="1" pivotButton="0" quotePrefix="0" xfId="0">
      <alignment horizontal="center"/>
    </xf>
    <xf numFmtId="177" fontId="17" fillId="0" borderId="17" applyAlignment="1" pivotButton="0" quotePrefix="0" xfId="0">
      <alignment wrapText="1"/>
    </xf>
    <xf numFmtId="177" fontId="17" fillId="0" borderId="8" applyAlignment="1" pivotButton="0" quotePrefix="0" xfId="0">
      <alignment wrapText="1"/>
    </xf>
    <xf numFmtId="177" fontId="17" fillId="0" borderId="8" applyAlignment="1" pivotButton="0" quotePrefix="0" xfId="0">
      <alignment horizontal="center"/>
    </xf>
    <xf numFmtId="180" fontId="16" fillId="0" borderId="8" applyAlignment="1" pivotButton="0" quotePrefix="0" xfId="0">
      <alignment horizontal="center"/>
    </xf>
    <xf numFmtId="177" fontId="17" fillId="0" borderId="17" pivotButton="0" quotePrefix="0" xfId="0"/>
    <xf numFmtId="177" fontId="17" fillId="0" borderId="8" pivotButton="0" quotePrefix="0" xfId="0"/>
    <xf numFmtId="166" fontId="7" fillId="3" borderId="16" applyAlignment="1" pivotButton="0" quotePrefix="0" xfId="0">
      <alignment horizontal="right"/>
    </xf>
    <xf numFmtId="0" fontId="4" fillId="3" borderId="16" applyAlignment="1" pivotButton="0" quotePrefix="0" xfId="0">
      <alignment horizontal="right"/>
    </xf>
    <xf numFmtId="0" fontId="10" fillId="2" borderId="16" pivotButton="0" quotePrefix="0" xfId="0"/>
    <xf numFmtId="0" fontId="11" fillId="2" borderId="16" pivotButton="0" quotePrefix="0" xfId="0"/>
    <xf numFmtId="0" fontId="11" fillId="2" borderId="16" applyAlignment="1" pivotButton="0" quotePrefix="0" xfId="0">
      <alignment horizontal="center"/>
    </xf>
    <xf numFmtId="0" fontId="10" fillId="2" borderId="16" applyAlignment="1" pivotButton="0" quotePrefix="0" xfId="0">
      <alignment horizontal="center"/>
    </xf>
    <xf numFmtId="0" fontId="13" fillId="2" borderId="16" applyAlignment="1" pivotButton="0" quotePrefix="0" xfId="0">
      <alignment horizontal="center"/>
    </xf>
    <xf numFmtId="0" fontId="62" fillId="2" borderId="16" applyAlignment="1" pivotButton="0" quotePrefix="0" xfId="0">
      <alignment horizontal="center"/>
    </xf>
    <xf numFmtId="0" fontId="62" fillId="2" borderId="9" applyAlignment="1" pivotButton="0" quotePrefix="0" xfId="0">
      <alignment horizontal="center"/>
    </xf>
    <xf numFmtId="0" fontId="65" fillId="0" borderId="8" pivotButton="0" quotePrefix="0" xfId="0"/>
    <xf numFmtId="182" fontId="65" fillId="0" borderId="8" pivotButton="0" quotePrefix="0" xfId="0"/>
    <xf numFmtId="169" fontId="7" fillId="0" borderId="12" applyAlignment="1" pivotButton="0" quotePrefix="0" xfId="0">
      <alignment horizontal="center"/>
    </xf>
    <xf numFmtId="169" fontId="7" fillId="0" borderId="12" applyAlignment="1" pivotButton="0" quotePrefix="0" xfId="0">
      <alignment horizontal="right"/>
    </xf>
    <xf numFmtId="182" fontId="64" fillId="0" borderId="8" pivotButton="0" quotePrefix="0" xfId="0"/>
    <xf numFmtId="182" fontId="66" fillId="0" borderId="8" pivotButton="0" quotePrefix="0" xfId="0"/>
    <xf numFmtId="182" fontId="69" fillId="0" borderId="8" pivotButton="0" quotePrefix="0" xfId="0"/>
    <xf numFmtId="10" fontId="66" fillId="0" borderId="8" pivotButton="0" quotePrefix="0" xfId="0"/>
    <xf numFmtId="182" fontId="66" fillId="0" borderId="8" applyAlignment="1" pivotButton="0" quotePrefix="0" xfId="0">
      <alignment horizontal="right"/>
    </xf>
    <xf numFmtId="10" fontId="66" fillId="0" borderId="15" pivotButton="0" quotePrefix="0" xfId="0"/>
    <xf numFmtId="0" fontId="74" fillId="0" borderId="0" pivotButton="0" quotePrefix="0" xfId="0"/>
    <xf numFmtId="0" fontId="13" fillId="2" borderId="16" pivotButton="0" quotePrefix="0" xfId="0"/>
    <xf numFmtId="14" fontId="13" fillId="2" borderId="16" applyAlignment="1" pivotButton="0" quotePrefix="0" xfId="0">
      <alignment horizontal="center"/>
    </xf>
    <xf numFmtId="14" fontId="19" fillId="2" borderId="16" pivotButton="0" quotePrefix="0" xfId="0"/>
    <xf numFmtId="38" fontId="19" fillId="0" borderId="0" pivotButton="0" quotePrefix="0" xfId="0"/>
    <xf numFmtId="169" fontId="7" fillId="0" borderId="22" applyAlignment="1" pivotButton="0" quotePrefix="0" xfId="0">
      <alignment horizontal="center"/>
    </xf>
    <xf numFmtId="182" fontId="65" fillId="0" borderId="8" applyAlignment="1" pivotButton="0" quotePrefix="0" xfId="0">
      <alignment horizontal="right"/>
    </xf>
    <xf numFmtId="182" fontId="64" fillId="0" borderId="8" applyAlignment="1" pivotButton="0" quotePrefix="0" xfId="0">
      <alignment horizontal="right"/>
    </xf>
    <xf numFmtId="182" fontId="64" fillId="0" borderId="15" pivotButton="0" quotePrefix="0" xfId="0"/>
    <xf numFmtId="0" fontId="19" fillId="2" borderId="16" pivotButton="0" quotePrefix="0" xfId="0"/>
    <xf numFmtId="168" fontId="19" fillId="0" borderId="0" pivotButton="0" quotePrefix="0" xfId="0"/>
    <xf numFmtId="169" fontId="12" fillId="0" borderId="12" applyAlignment="1" pivotButton="0" quotePrefix="0" xfId="0">
      <alignment horizontal="center"/>
    </xf>
    <xf numFmtId="169" fontId="7" fillId="37" borderId="22" applyAlignment="1" pivotButton="0" quotePrefix="0" xfId="0">
      <alignment horizontal="center"/>
    </xf>
    <xf numFmtId="166" fontId="25" fillId="7" borderId="16" pivotButton="0" quotePrefix="0" xfId="0"/>
    <xf numFmtId="0" fontId="7" fillId="7" borderId="16" pivotButton="0" quotePrefix="0" xfId="0"/>
    <xf numFmtId="0" fontId="4" fillId="7" borderId="16" pivotButton="0" quotePrefix="0" xfId="0"/>
    <xf numFmtId="0" fontId="8" fillId="7" borderId="16" pivotButton="0" quotePrefix="0" xfId="0"/>
    <xf numFmtId="0" fontId="24" fillId="31" borderId="20" pivotButton="0" quotePrefix="0" xfId="0"/>
    <xf numFmtId="177" fontId="24" fillId="31" borderId="20" applyAlignment="1" pivotButton="0" quotePrefix="0" xfId="0">
      <alignment horizontal="center"/>
    </xf>
    <xf numFmtId="177" fontId="77" fillId="31" borderId="20" applyAlignment="1" pivotButton="0" quotePrefix="0" xfId="0">
      <alignment horizontal="center"/>
    </xf>
    <xf numFmtId="0" fontId="12" fillId="7" borderId="16" pivotButton="0" quotePrefix="0" xfId="0"/>
    <xf numFmtId="3" fontId="24" fillId="31" borderId="28" pivotButton="0" quotePrefix="0" xfId="0"/>
    <xf numFmtId="3" fontId="24" fillId="31" borderId="16" applyAlignment="1" pivotButton="0" quotePrefix="0" xfId="0">
      <alignment horizontal="center"/>
    </xf>
    <xf numFmtId="3" fontId="10" fillId="7" borderId="16" applyAlignment="1" pivotButton="0" quotePrefix="0" xfId="0">
      <alignment horizontal="right" vertical="center"/>
    </xf>
    <xf numFmtId="9" fontId="7" fillId="7" borderId="16" applyAlignment="1" pivotButton="0" quotePrefix="0" xfId="0">
      <alignment horizontal="center" vertical="center"/>
    </xf>
    <xf numFmtId="168" fontId="7" fillId="7" borderId="16" applyAlignment="1" pivotButton="0" quotePrefix="0" xfId="0">
      <alignment horizontal="center" vertical="center"/>
    </xf>
    <xf numFmtId="177" fontId="7" fillId="7" borderId="16" pivotButton="0" quotePrefix="0" xfId="0"/>
    <xf numFmtId="38" fontId="7" fillId="7" borderId="16" applyAlignment="1" pivotButton="0" quotePrefix="0" xfId="0">
      <alignment horizontal="center" vertical="center"/>
    </xf>
    <xf numFmtId="166" fontId="12" fillId="7" borderId="16" pivotButton="0" quotePrefix="0" xfId="0"/>
    <xf numFmtId="166" fontId="7" fillId="7" borderId="16" pivotButton="0" quotePrefix="0" xfId="0"/>
    <xf numFmtId="3" fontId="12" fillId="7" borderId="18" applyAlignment="1" pivotButton="0" quotePrefix="0" xfId="0">
      <alignment horizontal="center" vertical="center"/>
    </xf>
    <xf numFmtId="3" fontId="12" fillId="7" borderId="19" applyAlignment="1" pivotButton="0" quotePrefix="0" xfId="0">
      <alignment horizontal="center" vertical="center"/>
    </xf>
    <xf numFmtId="177" fontId="12" fillId="7" borderId="19" pivotButton="0" quotePrefix="0" xfId="0"/>
    <xf numFmtId="0" fontId="12" fillId="7" borderId="12" applyAlignment="1" pivotButton="0" quotePrefix="0" xfId="0">
      <alignment horizontal="center" vertical="center"/>
    </xf>
    <xf numFmtId="177" fontId="7" fillId="7" borderId="12" pivotButton="0" quotePrefix="0" xfId="0"/>
    <xf numFmtId="168" fontId="12" fillId="7" borderId="16" pivotButton="0" quotePrefix="0" xfId="0"/>
    <xf numFmtId="3" fontId="10" fillId="31" borderId="28" applyAlignment="1" pivotButton="0" quotePrefix="0" xfId="0">
      <alignment horizontal="left" vertical="center"/>
    </xf>
    <xf numFmtId="0" fontId="12" fillId="7" borderId="16" applyAlignment="1" pivotButton="0" quotePrefix="0" xfId="0">
      <alignment horizontal="center" vertical="center"/>
    </xf>
    <xf numFmtId="3" fontId="10" fillId="7" borderId="16" applyAlignment="1" pivotButton="0" quotePrefix="0" xfId="0">
      <alignment horizontal="center" vertical="center"/>
    </xf>
    <xf numFmtId="168" fontId="7" fillId="7" borderId="16" pivotButton="0" quotePrefix="0" xfId="0"/>
    <xf numFmtId="3" fontId="7" fillId="7" borderId="16" applyAlignment="1" pivotButton="0" quotePrefix="0" xfId="0">
      <alignment horizontal="center"/>
    </xf>
    <xf numFmtId="166" fontId="4" fillId="7" borderId="16" pivotButton="0" quotePrefix="0" xfId="0"/>
    <xf numFmtId="164" fontId="7" fillId="7" borderId="16" pivotButton="0" quotePrefix="0" xfId="0"/>
    <xf numFmtId="166" fontId="14" fillId="7" borderId="16" pivotButton="0" quotePrefix="0" xfId="0"/>
    <xf numFmtId="0" fontId="7" fillId="7" borderId="12" pivotButton="0" quotePrefix="0" xfId="0"/>
    <xf numFmtId="3" fontId="7" fillId="7" borderId="12" applyAlignment="1" pivotButton="0" quotePrefix="0" xfId="0">
      <alignment horizontal="center" vertical="center"/>
    </xf>
    <xf numFmtId="3" fontId="10" fillId="31" borderId="28" applyAlignment="1" pivotButton="0" quotePrefix="0" xfId="0">
      <alignment horizontal="left" vertical="center" wrapText="1"/>
    </xf>
    <xf numFmtId="177" fontId="7" fillId="7" borderId="16" applyAlignment="1" pivotButton="0" quotePrefix="0" xfId="0">
      <alignment horizontal="center" vertical="center"/>
    </xf>
    <xf numFmtId="177" fontId="10" fillId="7" borderId="16" applyAlignment="1" pivotButton="0" quotePrefix="0" xfId="0">
      <alignment horizontal="center" vertical="center"/>
    </xf>
    <xf numFmtId="177" fontId="7" fillId="7" borderId="16" applyAlignment="1" pivotButton="0" quotePrefix="0" xfId="0">
      <alignment horizontal="center"/>
    </xf>
    <xf numFmtId="10" fontId="12" fillId="3" borderId="16" applyAlignment="1" pivotButton="0" quotePrefix="0" xfId="0">
      <alignment horizontal="center"/>
    </xf>
    <xf numFmtId="167" fontId="7" fillId="4" borderId="20" applyAlignment="1" pivotButton="0" quotePrefix="0" xfId="0">
      <alignment horizontal="center"/>
    </xf>
    <xf numFmtId="167" fontId="7" fillId="4" borderId="21" applyAlignment="1" pivotButton="0" quotePrefix="0" xfId="0">
      <alignment horizontal="center"/>
    </xf>
    <xf numFmtId="167" fontId="7" fillId="4" borderId="28" applyAlignment="1" pivotButton="0" quotePrefix="0" xfId="0">
      <alignment horizontal="left"/>
    </xf>
    <xf numFmtId="167" fontId="7" fillId="4" borderId="16" applyAlignment="1" pivotButton="0" quotePrefix="0" xfId="0">
      <alignment horizontal="center"/>
    </xf>
    <xf numFmtId="173" fontId="15" fillId="5" borderId="16" applyAlignment="1" pivotButton="0" quotePrefix="0" xfId="0">
      <alignment horizontal="center"/>
    </xf>
    <xf numFmtId="167" fontId="12" fillId="4" borderId="16" applyAlignment="1" pivotButton="0" quotePrefix="0" xfId="0">
      <alignment horizontal="center"/>
    </xf>
    <xf numFmtId="10" fontId="16" fillId="4" borderId="16" applyAlignment="1" pivotButton="0" quotePrefix="0" xfId="0">
      <alignment horizontal="center"/>
    </xf>
    <xf numFmtId="167" fontId="17" fillId="4" borderId="16" applyAlignment="1" pivotButton="0" quotePrefix="0" xfId="0">
      <alignment horizontal="center"/>
    </xf>
    <xf numFmtId="167" fontId="7" fillId="4" borderId="32" applyAlignment="1" pivotButton="0" quotePrefix="0" xfId="0">
      <alignment horizontal="left"/>
    </xf>
    <xf numFmtId="167" fontId="7" fillId="4" borderId="33" applyAlignment="1" pivotButton="0" quotePrefix="0" xfId="0">
      <alignment horizontal="center"/>
    </xf>
    <xf numFmtId="166" fontId="12" fillId="0" borderId="34" pivotButton="0" quotePrefix="0" xfId="0"/>
    <xf numFmtId="166" fontId="4" fillId="0" borderId="34" pivotButton="0" quotePrefix="0" xfId="0"/>
    <xf numFmtId="166" fontId="7" fillId="0" borderId="34" pivotButton="0" quotePrefix="0" xfId="0"/>
    <xf numFmtId="49" fontId="10" fillId="2" borderId="16" applyAlignment="1" pivotButton="0" quotePrefix="0" xfId="0">
      <alignment horizontal="center"/>
    </xf>
    <xf numFmtId="0" fontId="10" fillId="2" borderId="16" applyAlignment="1" pivotButton="0" quotePrefix="0" xfId="0">
      <alignment horizontal="center" vertical="center"/>
    </xf>
    <xf numFmtId="167" fontId="7" fillId="0" borderId="12" applyAlignment="1" pivotButton="0" quotePrefix="0" xfId="0">
      <alignment horizontal="center"/>
    </xf>
    <xf numFmtId="0" fontId="10" fillId="2" borderId="16" applyAlignment="1" pivotButton="0" quotePrefix="0" xfId="0">
      <alignment vertical="center"/>
    </xf>
    <xf numFmtId="9" fontId="12" fillId="3" borderId="16" applyAlignment="1" pivotButton="0" quotePrefix="0" xfId="0">
      <alignment horizontal="center"/>
    </xf>
    <xf numFmtId="169" fontId="7" fillId="4" borderId="20" applyAlignment="1" pivotButton="0" quotePrefix="0" xfId="0">
      <alignment horizontal="center"/>
    </xf>
    <xf numFmtId="169" fontId="7" fillId="4" borderId="28" applyAlignment="1" pivotButton="0" quotePrefix="0" xfId="0">
      <alignment horizontal="left"/>
    </xf>
    <xf numFmtId="169" fontId="7" fillId="4" borderId="16" applyAlignment="1" pivotButton="0" quotePrefix="0" xfId="0">
      <alignment horizontal="center"/>
    </xf>
    <xf numFmtId="10" fontId="12" fillId="8" borderId="16" applyAlignment="1" pivotButton="0" quotePrefix="0" xfId="0">
      <alignment horizontal="center"/>
    </xf>
    <xf numFmtId="169" fontId="12" fillId="4" borderId="16" applyAlignment="1" pivotButton="0" quotePrefix="0" xfId="0">
      <alignment horizontal="center"/>
    </xf>
    <xf numFmtId="9" fontId="12" fillId="4" borderId="16" applyAlignment="1" pivotButton="0" quotePrefix="0" xfId="0">
      <alignment horizontal="center"/>
    </xf>
    <xf numFmtId="169" fontId="7" fillId="4" borderId="32" applyAlignment="1" pivotButton="0" quotePrefix="0" xfId="0">
      <alignment horizontal="left"/>
    </xf>
    <xf numFmtId="169" fontId="7" fillId="4" borderId="33" applyAlignment="1" pivotButton="0" quotePrefix="0" xfId="0">
      <alignment horizontal="center"/>
    </xf>
    <xf numFmtId="0" fontId="126" fillId="0" borderId="0" pivotButton="0" quotePrefix="1" xfId="0"/>
    <xf numFmtId="37" fontId="82" fillId="0" borderId="0" applyAlignment="1" pivotButton="0" quotePrefix="1" xfId="0">
      <alignment horizontal="center"/>
    </xf>
    <xf numFmtId="0" fontId="29" fillId="0" borderId="16" pivotButton="0" quotePrefix="0" xfId="0"/>
    <xf numFmtId="184" fontId="82" fillId="0" borderId="0" pivotButton="0" quotePrefix="0" xfId="0"/>
    <xf numFmtId="184" fontId="127" fillId="0" borderId="0" pivotButton="0" quotePrefix="0" xfId="0"/>
    <xf numFmtId="184" fontId="78" fillId="0" borderId="0" pivotButton="0" quotePrefix="0" xfId="0"/>
    <xf numFmtId="173" fontId="82" fillId="0" borderId="0" pivotButton="0" quotePrefix="0" xfId="0"/>
    <xf numFmtId="43" fontId="0" fillId="0" borderId="0" pivotButton="0" quotePrefix="0" xfId="0"/>
    <xf numFmtId="185" fontId="81" fillId="0" borderId="0" pivotButton="0" quotePrefix="0" xfId="3"/>
    <xf numFmtId="172" fontId="81" fillId="0" borderId="0" pivotButton="0" quotePrefix="0" xfId="2"/>
    <xf numFmtId="42" fontId="82" fillId="0" borderId="48" pivotButton="0" quotePrefix="0" xfId="0"/>
    <xf numFmtId="173" fontId="0" fillId="0" borderId="0" applyAlignment="1" pivotButton="0" quotePrefix="0" xfId="1">
      <alignment horizontal="center"/>
    </xf>
    <xf numFmtId="173" fontId="44" fillId="0" borderId="48" applyAlignment="1" pivotButton="0" quotePrefix="0" xfId="1">
      <alignment horizontal="center"/>
    </xf>
    <xf numFmtId="186" fontId="0" fillId="0" borderId="0" pivotButton="0" quotePrefix="0" xfId="2"/>
    <xf numFmtId="42" fontId="0" fillId="0" borderId="0" pivotButton="0" quotePrefix="0" xfId="0"/>
    <xf numFmtId="0" fontId="0" fillId="0" borderId="0" applyAlignment="1" pivotButton="0" quotePrefix="0" xfId="0">
      <alignment horizontal="left"/>
    </xf>
    <xf numFmtId="0" fontId="81" fillId="0" borderId="0" applyAlignment="1" pivotButton="0" quotePrefix="0" xfId="0">
      <alignment horizontal="left" vertical="center"/>
    </xf>
    <xf numFmtId="41" fontId="17" fillId="7" borderId="16" pivotButton="0" quotePrefix="0" xfId="0"/>
    <xf numFmtId="187" fontId="0" fillId="0" borderId="0" pivotButton="0" quotePrefix="0" xfId="0"/>
    <xf numFmtId="0" fontId="78" fillId="0" borderId="0" applyAlignment="1" pivotButton="0" quotePrefix="0" xfId="0">
      <alignment horizontal="left"/>
    </xf>
    <xf numFmtId="184" fontId="0" fillId="0" borderId="0" pivotButton="0" quotePrefix="0" xfId="0"/>
    <xf numFmtId="9" fontId="0" fillId="0" borderId="0" pivotButton="0" quotePrefix="0" xfId="0"/>
    <xf numFmtId="167" fontId="82" fillId="0" borderId="0" pivotButton="0" quotePrefix="0" xfId="0"/>
    <xf numFmtId="167" fontId="82" fillId="0" borderId="0" pivotButton="0" quotePrefix="0" xfId="2"/>
    <xf numFmtId="0" fontId="130" fillId="79" borderId="49" pivotButton="0" quotePrefix="0" xfId="0"/>
    <xf numFmtId="0" fontId="130" fillId="79" borderId="50" pivotButton="0" quotePrefix="0" xfId="0"/>
    <xf numFmtId="0" fontId="131" fillId="79" borderId="50" applyAlignment="1" pivotButton="0" quotePrefix="0" xfId="0">
      <alignment horizontal="center"/>
    </xf>
    <xf numFmtId="0" fontId="131" fillId="79" borderId="51" applyAlignment="1" pivotButton="0" quotePrefix="0" xfId="0">
      <alignment horizontal="center"/>
    </xf>
    <xf numFmtId="0" fontId="132" fillId="0" borderId="52" pivotButton="0" quotePrefix="0" xfId="0"/>
    <xf numFmtId="0" fontId="132" fillId="0" borderId="16" pivotButton="0" quotePrefix="0" xfId="0"/>
    <xf numFmtId="184" fontId="132" fillId="0" borderId="16" pivotButton="0" quotePrefix="0" xfId="0"/>
    <xf numFmtId="167" fontId="132" fillId="0" borderId="16" pivotButton="0" quotePrefix="0" xfId="0"/>
    <xf numFmtId="167" fontId="132" fillId="0" borderId="53" pivotButton="0" quotePrefix="0" xfId="0"/>
    <xf numFmtId="0" fontId="133" fillId="0" borderId="52" pivotButton="0" quotePrefix="0" xfId="0"/>
    <xf numFmtId="0" fontId="132" fillId="0" borderId="53" pivotButton="0" quotePrefix="0" xfId="0"/>
    <xf numFmtId="0" fontId="134" fillId="37" borderId="52" pivotButton="0" quotePrefix="0" xfId="0"/>
    <xf numFmtId="0" fontId="135" fillId="37" borderId="16" pivotButton="0" quotePrefix="0" xfId="0"/>
    <xf numFmtId="184" fontId="132" fillId="0" borderId="53" pivotButton="0" quotePrefix="0" xfId="0"/>
    <xf numFmtId="0" fontId="134" fillId="37" borderId="54" pivotButton="0" quotePrefix="0" xfId="0"/>
    <xf numFmtId="0" fontId="135" fillId="37" borderId="55" pivotButton="0" quotePrefix="0" xfId="0"/>
    <xf numFmtId="9" fontId="132" fillId="0" borderId="55" applyAlignment="1" pivotButton="0" quotePrefix="0" xfId="1">
      <alignment horizontal="center"/>
    </xf>
    <xf numFmtId="9" fontId="132" fillId="0" borderId="56" applyAlignment="1" pivotButton="0" quotePrefix="0" xfId="1">
      <alignment horizontal="center"/>
    </xf>
    <xf numFmtId="186" fontId="81" fillId="0" borderId="0" pivotButton="0" quotePrefix="0" xfId="2"/>
    <xf numFmtId="0" fontId="78" fillId="0" borderId="49" pivotButton="0" quotePrefix="0" xfId="0"/>
    <xf numFmtId="0" fontId="0" fillId="0" borderId="50" pivotButton="0" quotePrefix="0" xfId="0"/>
    <xf numFmtId="0" fontId="0" fillId="0" borderId="51" pivotButton="0" quotePrefix="0" xfId="0"/>
    <xf numFmtId="0" fontId="78" fillId="0" borderId="52" pivotButton="0" quotePrefix="0" xfId="0"/>
    <xf numFmtId="172" fontId="0" fillId="0" borderId="16" pivotButton="0" quotePrefix="0" xfId="2"/>
    <xf numFmtId="172" fontId="0" fillId="0" borderId="16" pivotButton="0" quotePrefix="0" xfId="0"/>
    <xf numFmtId="172" fontId="0" fillId="0" borderId="53" pivotButton="0" quotePrefix="0" xfId="0"/>
    <xf numFmtId="0" fontId="78" fillId="0" borderId="54" pivotButton="0" quotePrefix="0" xfId="0"/>
    <xf numFmtId="0" fontId="0" fillId="0" borderId="55" pivotButton="0" quotePrefix="0" xfId="0"/>
    <xf numFmtId="9" fontId="0" fillId="0" borderId="55" pivotButton="0" quotePrefix="0" xfId="1"/>
    <xf numFmtId="9" fontId="0" fillId="0" borderId="56" pivotButton="0" quotePrefix="0" xfId="1"/>
    <xf numFmtId="0" fontId="0" fillId="80" borderId="0" pivotButton="0" quotePrefix="0" xfId="0"/>
    <xf numFmtId="0" fontId="0" fillId="81" borderId="0" pivotButton="0" quotePrefix="0" xfId="0"/>
    <xf numFmtId="0" fontId="0" fillId="82" borderId="0" pivotButton="0" quotePrefix="0" xfId="0"/>
    <xf numFmtId="0" fontId="0" fillId="83" borderId="0" pivotButton="0" quotePrefix="0" xfId="0"/>
    <xf numFmtId="0" fontId="0" fillId="84" borderId="0" pivotButton="0" quotePrefix="0" xfId="0"/>
    <xf numFmtId="37" fontId="82" fillId="56" borderId="0" applyAlignment="1" pivotButton="0" quotePrefix="1" xfId="0">
      <alignment horizontal="center"/>
    </xf>
    <xf numFmtId="0" fontId="44" fillId="56" borderId="0" pivotButton="0" quotePrefix="0" xfId="0"/>
    <xf numFmtId="172" fontId="82" fillId="0" borderId="0" applyAlignment="1" pivotButton="0" quotePrefix="1" xfId="2">
      <alignment horizontal="center"/>
    </xf>
    <xf numFmtId="37" fontId="81" fillId="0" borderId="0" applyAlignment="1" pivotButton="0" quotePrefix="1" xfId="0">
      <alignment horizontal="center"/>
    </xf>
    <xf numFmtId="41" fontId="81" fillId="63" borderId="0" applyAlignment="1" pivotButton="0" quotePrefix="0" xfId="0">
      <alignment horizontal="center"/>
    </xf>
    <xf numFmtId="17" fontId="82" fillId="0" borderId="0" applyAlignment="1" pivotButton="0" quotePrefix="0" xfId="0">
      <alignment horizontal="center"/>
    </xf>
    <xf numFmtId="0" fontId="98" fillId="0" borderId="16" pivotButton="0" quotePrefix="0" xfId="0"/>
    <xf numFmtId="0" fontId="0" fillId="63" borderId="0" pivotButton="0" quotePrefix="0" xfId="0"/>
    <xf numFmtId="172" fontId="82" fillId="0" borderId="0" pivotButton="0" quotePrefix="0" xfId="2"/>
    <xf numFmtId="0" fontId="139" fillId="56" borderId="16" applyAlignment="1" pivotButton="0" quotePrefix="0" xfId="4">
      <alignment horizontal="center"/>
    </xf>
    <xf numFmtId="0" fontId="139" fillId="0" borderId="16" applyAlignment="1" pivotButton="0" quotePrefix="0" xfId="4">
      <alignment horizontal="center"/>
    </xf>
    <xf numFmtId="0" fontId="139" fillId="60" borderId="16" pivotButton="0" quotePrefix="0" xfId="4"/>
    <xf numFmtId="4" fontId="2" fillId="60" borderId="16" pivotButton="0" quotePrefix="0" xfId="4"/>
    <xf numFmtId="0" fontId="2" fillId="60" borderId="16" pivotButton="0" quotePrefix="0" xfId="4"/>
    <xf numFmtId="0" fontId="139" fillId="0" borderId="16" pivotButton="0" quotePrefix="0" xfId="4"/>
    <xf numFmtId="172" fontId="0" fillId="0" borderId="16" pivotButton="0" quotePrefix="0" xfId="5"/>
    <xf numFmtId="172" fontId="137" fillId="0" borderId="16" pivotButton="0" quotePrefix="0" xfId="4"/>
    <xf numFmtId="0" fontId="2" fillId="0" borderId="16" pivotButton="0" quotePrefix="0" xfId="4"/>
    <xf numFmtId="172" fontId="2" fillId="60" borderId="16" pivotButton="0" quotePrefix="0" xfId="4"/>
    <xf numFmtId="172" fontId="137" fillId="60" borderId="16" pivotButton="0" quotePrefix="0" xfId="4"/>
    <xf numFmtId="172" fontId="2" fillId="0" borderId="16" pivotButton="0" quotePrefix="0" xfId="4"/>
    <xf numFmtId="0" fontId="140" fillId="85" borderId="16" pivotButton="0" quotePrefix="0" xfId="4"/>
    <xf numFmtId="0" fontId="138" fillId="85" borderId="16" pivotButton="0" quotePrefix="0" xfId="4"/>
    <xf numFmtId="0" fontId="2" fillId="56" borderId="16" pivotButton="0" quotePrefix="0" xfId="4"/>
    <xf numFmtId="0" fontId="133" fillId="86" borderId="16" pivotButton="0" quotePrefix="0" xfId="4"/>
    <xf numFmtId="172" fontId="2" fillId="87" borderId="16" pivotButton="0" quotePrefix="0" xfId="4"/>
    <xf numFmtId="172" fontId="137" fillId="87" borderId="16" pivotButton="0" quotePrefix="0" xfId="4"/>
    <xf numFmtId="0" fontId="2" fillId="87" borderId="16" pivotButton="0" quotePrefix="0" xfId="4"/>
    <xf numFmtId="0" fontId="133" fillId="7" borderId="16" pivotButton="0" quotePrefix="0" xfId="4"/>
    <xf numFmtId="172" fontId="138" fillId="85" borderId="16" pivotButton="0" quotePrefix="0" xfId="4"/>
    <xf numFmtId="172" fontId="136" fillId="85" borderId="16" pivotButton="0" quotePrefix="0" xfId="4"/>
    <xf numFmtId="9" fontId="0" fillId="0" borderId="16" pivotButton="0" quotePrefix="0" xfId="6"/>
    <xf numFmtId="0" fontId="79" fillId="0" borderId="57" applyAlignment="1" pivotButton="0" quotePrefix="0" xfId="4">
      <alignment horizontal="center" vertical="top"/>
    </xf>
    <xf numFmtId="4" fontId="2" fillId="0" borderId="16" pivotButton="0" quotePrefix="0" xfId="4"/>
    <xf numFmtId="0" fontId="84" fillId="0" borderId="16" pivotButton="0" quotePrefix="0" xfId="7"/>
    <xf numFmtId="0" fontId="102" fillId="0" borderId="16" pivotButton="0" quotePrefix="0" xfId="7"/>
    <xf numFmtId="4" fontId="102" fillId="0" borderId="16" pivotButton="0" quotePrefix="0" xfId="7"/>
    <xf numFmtId="0" fontId="84" fillId="0" borderId="58" applyAlignment="1" pivotButton="0" quotePrefix="0" xfId="7">
      <alignment horizontal="center"/>
    </xf>
    <xf numFmtId="188" fontId="84" fillId="0" borderId="59" applyAlignment="1" pivotButton="0" quotePrefix="0" xfId="7">
      <alignment horizontal="center" vertical="top"/>
    </xf>
    <xf numFmtId="188" fontId="84" fillId="0" borderId="60" applyAlignment="1" pivotButton="0" quotePrefix="0" xfId="7">
      <alignment horizontal="center" vertical="top"/>
    </xf>
    <xf numFmtId="188" fontId="84" fillId="0" borderId="61" applyAlignment="1" pivotButton="0" quotePrefix="0" xfId="7">
      <alignment horizontal="center" vertical="top"/>
    </xf>
    <xf numFmtId="0" fontId="42" fillId="88" borderId="13" applyAlignment="1" pivotButton="0" quotePrefix="0" xfId="7">
      <alignment horizontal="center" vertical="top"/>
    </xf>
    <xf numFmtId="167" fontId="41" fillId="0" borderId="62" pivotButton="0" quotePrefix="0" xfId="7"/>
    <xf numFmtId="167" fontId="41" fillId="0" borderId="63" pivotButton="0" quotePrefix="0" xfId="7"/>
    <xf numFmtId="167" fontId="42" fillId="0" borderId="64" pivotButton="0" quotePrefix="0" xfId="7"/>
    <xf numFmtId="167" fontId="41" fillId="0" borderId="65" pivotButton="0" quotePrefix="0" xfId="7"/>
    <xf numFmtId="0" fontId="42" fillId="88" borderId="66" applyAlignment="1" pivotButton="0" quotePrefix="0" xfId="7">
      <alignment horizontal="center" vertical="top"/>
    </xf>
    <xf numFmtId="167" fontId="41" fillId="0" borderId="67" pivotButton="0" quotePrefix="0" xfId="7"/>
    <xf numFmtId="167" fontId="41" fillId="0" borderId="68" pivotButton="0" quotePrefix="0" xfId="7"/>
    <xf numFmtId="167" fontId="42" fillId="0" borderId="69" pivotButton="0" quotePrefix="0" xfId="7"/>
    <xf numFmtId="167" fontId="41" fillId="0" borderId="70" pivotButton="0" quotePrefix="0" xfId="7"/>
    <xf numFmtId="167" fontId="41" fillId="0" borderId="71" pivotButton="0" quotePrefix="0" xfId="7"/>
    <xf numFmtId="167" fontId="41" fillId="0" borderId="72" pivotButton="0" quotePrefix="0" xfId="7"/>
    <xf numFmtId="167" fontId="41" fillId="0" borderId="73" pivotButton="0" quotePrefix="0" xfId="7"/>
    <xf numFmtId="167" fontId="42" fillId="0" borderId="74" pivotButton="0" quotePrefix="0" xfId="7"/>
    <xf numFmtId="167" fontId="42" fillId="0" borderId="75" pivotButton="0" quotePrefix="0" xfId="7"/>
    <xf numFmtId="167" fontId="42" fillId="0" borderId="76" pivotButton="0" quotePrefix="0" xfId="7"/>
    <xf numFmtId="167" fontId="42" fillId="0" borderId="77" pivotButton="0" quotePrefix="0" xfId="7"/>
    <xf numFmtId="167" fontId="42" fillId="0" borderId="78" pivotButton="0" quotePrefix="0" xfId="7"/>
    <xf numFmtId="167" fontId="42" fillId="0" borderId="79" pivotButton="0" quotePrefix="0" xfId="7"/>
    <xf numFmtId="10" fontId="0" fillId="0" borderId="16" pivotButton="0" quotePrefix="0" xfId="8"/>
    <xf numFmtId="10" fontId="0" fillId="0" borderId="80" pivotButton="0" quotePrefix="0" xfId="8"/>
    <xf numFmtId="167" fontId="106" fillId="0" borderId="16" pivotButton="0" quotePrefix="0" xfId="7"/>
    <xf numFmtId="172" fontId="0" fillId="56" borderId="16" pivotButton="0" quotePrefix="0" xfId="9"/>
    <xf numFmtId="0" fontId="102" fillId="56" borderId="16" pivotButton="0" quotePrefix="0" xfId="7"/>
    <xf numFmtId="0" fontId="106" fillId="0" borderId="16" pivotButton="0" quotePrefix="0" xfId="7"/>
    <xf numFmtId="0" fontId="107" fillId="0" borderId="16" pivotButton="0" quotePrefix="0" xfId="7"/>
    <xf numFmtId="0" fontId="141" fillId="0" borderId="16" pivotButton="0" quotePrefix="0" xfId="7"/>
    <xf numFmtId="14" fontId="107" fillId="0" borderId="16" pivotButton="0" quotePrefix="0" xfId="7"/>
    <xf numFmtId="0" fontId="107" fillId="0" borderId="13" pivotButton="0" quotePrefix="0" xfId="7"/>
    <xf numFmtId="167" fontId="107" fillId="0" borderId="16" pivotButton="0" quotePrefix="0" xfId="7"/>
    <xf numFmtId="0" fontId="80" fillId="0" borderId="16" applyAlignment="1" pivotButton="0" quotePrefix="0" xfId="7">
      <alignment horizontal="right"/>
    </xf>
    <xf numFmtId="0" fontId="80" fillId="0" borderId="16" pivotButton="0" quotePrefix="0" xfId="7"/>
    <xf numFmtId="167" fontId="80" fillId="0" borderId="16" applyAlignment="1" pivotButton="0" quotePrefix="0" xfId="7">
      <alignment horizontal="right"/>
    </xf>
    <xf numFmtId="167" fontId="80" fillId="0" borderId="16" pivotButton="0" quotePrefix="0" xfId="7"/>
    <xf numFmtId="167" fontId="102" fillId="0" borderId="16" pivotButton="0" quotePrefix="0" xfId="7"/>
    <xf numFmtId="172" fontId="0" fillId="0" borderId="16" pivotButton="0" quotePrefix="0" xfId="9"/>
    <xf numFmtId="172" fontId="102" fillId="0" borderId="16" pivotButton="0" quotePrefix="0" xfId="0"/>
    <xf numFmtId="172" fontId="108" fillId="0" borderId="16" pivotButton="0" quotePrefix="0" xfId="0"/>
    <xf numFmtId="172" fontId="102" fillId="56" borderId="16" pivotButton="0" quotePrefix="0" xfId="2"/>
    <xf numFmtId="4" fontId="0" fillId="0" borderId="0" pivotButton="0" quotePrefix="0" xfId="0"/>
    <xf numFmtId="4" fontId="19" fillId="89" borderId="16" pivotButton="0" quotePrefix="0" xfId="0"/>
    <xf numFmtId="4" fontId="19" fillId="0" borderId="16" pivotButton="0" quotePrefix="0" xfId="0"/>
    <xf numFmtId="10" fontId="19" fillId="7" borderId="16" pivotButton="0" quotePrefix="0" xfId="0"/>
    <xf numFmtId="10" fontId="19" fillId="89" borderId="16" pivotButton="0" quotePrefix="0" xfId="0"/>
    <xf numFmtId="0" fontId="44" fillId="0" borderId="49" pivotButton="0" quotePrefix="0" xfId="0"/>
    <xf numFmtId="0" fontId="44" fillId="0" borderId="50" pivotButton="0" quotePrefix="0" xfId="0"/>
    <xf numFmtId="0" fontId="19" fillId="7" borderId="52" applyAlignment="1" pivotButton="0" quotePrefix="0" xfId="0">
      <alignment horizontal="left"/>
    </xf>
    <xf numFmtId="4" fontId="19" fillId="0" borderId="53" pivotButton="0" quotePrefix="0" xfId="0"/>
    <xf numFmtId="0" fontId="19" fillId="89" borderId="52" pivotButton="0" quotePrefix="0" xfId="0"/>
    <xf numFmtId="4" fontId="19" fillId="89" borderId="53" pivotButton="0" quotePrefix="0" xfId="0"/>
    <xf numFmtId="0" fontId="19" fillId="89" borderId="52" applyAlignment="1" pivotButton="0" quotePrefix="0" xfId="0">
      <alignment horizontal="left"/>
    </xf>
    <xf numFmtId="0" fontId="35" fillId="7" borderId="54" pivotButton="0" quotePrefix="0" xfId="0"/>
    <xf numFmtId="10" fontId="35" fillId="7" borderId="55" pivotButton="0" quotePrefix="0" xfId="0"/>
    <xf numFmtId="0" fontId="0" fillId="0" borderId="56" pivotButton="0" quotePrefix="0" xfId="0"/>
    <xf numFmtId="17" fontId="44" fillId="0" borderId="0" pivotButton="0" quotePrefix="0" xfId="0"/>
    <xf numFmtId="0" fontId="19" fillId="0" borderId="16" pivotButton="0" quotePrefix="0" xfId="7"/>
    <xf numFmtId="172" fontId="102" fillId="0" borderId="16" pivotButton="0" quotePrefix="0" xfId="7"/>
    <xf numFmtId="0" fontId="102" fillId="76" borderId="16" pivotButton="0" quotePrefix="0" xfId="7"/>
    <xf numFmtId="4" fontId="44" fillId="0" borderId="0" pivotButton="0" quotePrefix="0" xfId="0"/>
    <xf numFmtId="4" fontId="0" fillId="76" borderId="0" pivotButton="0" quotePrefix="0" xfId="0"/>
    <xf numFmtId="0" fontId="143" fillId="79" borderId="0" pivotButton="0" quotePrefix="0" xfId="0"/>
    <xf numFmtId="0" fontId="104" fillId="79" borderId="0" pivotButton="0" quotePrefix="0" xfId="0"/>
    <xf numFmtId="0" fontId="0" fillId="85" borderId="0" pivotButton="0" quotePrefix="0" xfId="0"/>
    <xf numFmtId="0" fontId="78" fillId="85" borderId="0" pivotButton="0" quotePrefix="0" xfId="0"/>
    <xf numFmtId="9" fontId="44" fillId="0" borderId="0" pivotButton="0" quotePrefix="0" xfId="0"/>
    <xf numFmtId="0" fontId="142" fillId="0" borderId="0" pivotButton="0" quotePrefix="0" xfId="10"/>
    <xf numFmtId="4" fontId="78" fillId="0" borderId="16" pivotButton="0" quotePrefix="0" xfId="11"/>
    <xf numFmtId="0" fontId="44" fillId="0" borderId="16" pivotButton="0" quotePrefix="0" xfId="11"/>
    <xf numFmtId="4" fontId="44" fillId="0" borderId="16" pivotButton="0" quotePrefix="0" xfId="11"/>
    <xf numFmtId="4" fontId="78" fillId="76" borderId="16" pivotButton="0" quotePrefix="0" xfId="11"/>
    <xf numFmtId="0" fontId="78" fillId="0" borderId="16" pivotButton="0" quotePrefix="0" xfId="11"/>
    <xf numFmtId="10" fontId="78" fillId="0" borderId="16" pivotButton="0" quotePrefix="0" xfId="11"/>
    <xf numFmtId="10" fontId="44" fillId="0" borderId="16" pivotButton="0" quotePrefix="0" xfId="12"/>
    <xf numFmtId="9" fontId="44" fillId="0" borderId="16" pivotButton="0" quotePrefix="0" xfId="11"/>
    <xf numFmtId="0" fontId="78" fillId="0" borderId="16" pivotButton="0" quotePrefix="0" xfId="0"/>
    <xf numFmtId="0" fontId="44" fillId="90" borderId="0" pivotButton="0" quotePrefix="0" xfId="0"/>
    <xf numFmtId="0" fontId="82" fillId="70" borderId="45" applyAlignment="1" pivotButton="0" quotePrefix="0" xfId="0">
      <alignment horizontal="center"/>
    </xf>
    <xf numFmtId="0" fontId="82" fillId="77" borderId="46" applyAlignment="1" pivotButton="0" quotePrefix="0" xfId="0">
      <alignment horizontal="center"/>
    </xf>
    <xf numFmtId="41" fontId="81" fillId="91" borderId="0" pivotButton="0" quotePrefix="0" xfId="0"/>
    <xf numFmtId="42" fontId="81" fillId="0" borderId="0" pivotButton="0" quotePrefix="0" xfId="1"/>
    <xf numFmtId="0" fontId="109" fillId="0" borderId="16" applyAlignment="1" pivotButton="0" quotePrefix="0" xfId="0">
      <alignment horizontal="center" vertical="center"/>
    </xf>
    <xf numFmtId="0" fontId="0" fillId="0" borderId="81" pivotButton="0" quotePrefix="0" xfId="0"/>
    <xf numFmtId="0" fontId="102" fillId="0" borderId="82" pivotButton="0" quotePrefix="0" xfId="0"/>
    <xf numFmtId="0" fontId="109" fillId="0" borderId="84" applyAlignment="1" pivotButton="0" quotePrefix="0" xfId="0">
      <alignment horizontal="center" vertical="center"/>
    </xf>
    <xf numFmtId="0" fontId="109" fillId="63" borderId="85" applyAlignment="1" pivotButton="0" quotePrefix="0" xfId="0">
      <alignment horizontal="center" vertical="center"/>
    </xf>
    <xf numFmtId="0" fontId="102" fillId="0" borderId="86" pivotButton="0" quotePrefix="0" xfId="0"/>
    <xf numFmtId="0" fontId="102" fillId="63" borderId="87" pivotButton="0" quotePrefix="0" xfId="0"/>
    <xf numFmtId="0" fontId="0" fillId="0" borderId="83" pivotButton="0" quotePrefix="0" xfId="0"/>
    <xf numFmtId="0" fontId="0" fillId="63" borderId="89" pivotButton="0" quotePrefix="0" xfId="0"/>
    <xf numFmtId="0" fontId="0" fillId="63" borderId="88" pivotButton="0" quotePrefix="0" xfId="0"/>
    <xf numFmtId="0" fontId="102" fillId="63" borderId="90" pivotButton="0" quotePrefix="0" xfId="0"/>
    <xf numFmtId="0" fontId="109" fillId="63" borderId="91" applyAlignment="1" pivotButton="0" quotePrefix="0" xfId="0">
      <alignment horizontal="center" vertical="center"/>
    </xf>
    <xf numFmtId="0" fontId="102" fillId="0" borderId="87" pivotButton="0" quotePrefix="0" xfId="0"/>
    <xf numFmtId="37" fontId="102" fillId="0" borderId="0" applyAlignment="1" pivotButton="0" quotePrefix="1" xfId="0">
      <alignment horizontal="right"/>
    </xf>
    <xf numFmtId="3" fontId="0" fillId="0" borderId="0" pivotButton="0" quotePrefix="0" xfId="0"/>
    <xf numFmtId="37" fontId="29" fillId="7" borderId="16" applyAlignment="1" pivotButton="0" quotePrefix="0" xfId="0">
      <alignment horizontal="center"/>
    </xf>
    <xf numFmtId="0" fontId="122" fillId="63" borderId="0" applyAlignment="1" pivotButton="0" quotePrefix="0" xfId="0">
      <alignment horizontal="center"/>
    </xf>
    <xf numFmtId="0" fontId="0" fillId="76" borderId="0" pivotButton="0" quotePrefix="0" xfId="0"/>
    <xf numFmtId="0" fontId="0" fillId="92" borderId="0" pivotButton="0" quotePrefix="0" xfId="0"/>
    <xf numFmtId="0" fontId="41" fillId="93" borderId="16" pivotButton="0" quotePrefix="0" xfId="0"/>
    <xf numFmtId="1" fontId="102" fillId="0" borderId="0" pivotButton="0" quotePrefix="0" xfId="0"/>
    <xf numFmtId="41" fontId="17" fillId="56" borderId="0" applyAlignment="1" pivotButton="0" quotePrefix="0" xfId="0">
      <alignment horizontal="right"/>
    </xf>
    <xf numFmtId="37" fontId="16" fillId="0" borderId="0" applyAlignment="1" pivotButton="0" quotePrefix="0" xfId="0">
      <alignment horizontal="center"/>
    </xf>
    <xf numFmtId="1" fontId="17" fillId="7" borderId="16" applyAlignment="1" pivotButton="0" quotePrefix="0" xfId="0">
      <alignment horizontal="center"/>
    </xf>
    <xf numFmtId="0" fontId="102" fillId="0" borderId="0" applyAlignment="1" pivotButton="0" quotePrefix="0" xfId="0">
      <alignment horizontal="left"/>
    </xf>
    <xf numFmtId="0" fontId="93" fillId="94" borderId="16" applyAlignment="1" pivotButton="0" quotePrefix="0" xfId="0">
      <alignment horizontal="right"/>
    </xf>
    <xf numFmtId="0" fontId="16" fillId="94" borderId="16" applyAlignment="1" pivotButton="0" quotePrefix="0" xfId="0">
      <alignment horizontal="center"/>
    </xf>
    <xf numFmtId="0" fontId="93" fillId="95" borderId="16" applyAlignment="1" pivotButton="0" quotePrefix="0" xfId="0">
      <alignment horizontal="right"/>
    </xf>
    <xf numFmtId="0" fontId="144" fillId="0" borderId="0" pivotButton="0" quotePrefix="0" xfId="0"/>
    <xf numFmtId="41" fontId="82" fillId="63" borderId="0" pivotButton="0" quotePrefix="0" xfId="0"/>
    <xf numFmtId="0" fontId="145" fillId="0" borderId="0" pivotButton="0" quotePrefix="0" xfId="0"/>
    <xf numFmtId="0" fontId="146" fillId="20" borderId="16" pivotButton="0" quotePrefix="0" xfId="0"/>
    <xf numFmtId="0" fontId="146" fillId="20" borderId="16" applyAlignment="1" pivotButton="0" quotePrefix="0" xfId="0">
      <alignment horizontal="center"/>
    </xf>
    <xf numFmtId="0" fontId="147" fillId="20" borderId="16" applyAlignment="1" pivotButton="0" quotePrefix="0" xfId="0">
      <alignment horizontal="center"/>
    </xf>
    <xf numFmtId="0" fontId="148" fillId="0" borderId="0" pivotButton="0" quotePrefix="0" xfId="0"/>
    <xf numFmtId="169" fontId="148" fillId="0" borderId="0" applyAlignment="1" pivotButton="0" quotePrefix="0" xfId="0">
      <alignment horizontal="center"/>
    </xf>
    <xf numFmtId="169" fontId="148" fillId="35" borderId="0" applyAlignment="1" pivotButton="0" quotePrefix="0" xfId="0">
      <alignment horizontal="center"/>
    </xf>
    <xf numFmtId="169" fontId="149" fillId="0" borderId="12" applyAlignment="1" pivotButton="0" quotePrefix="0" xfId="0">
      <alignment horizontal="center"/>
    </xf>
    <xf numFmtId="0" fontId="149" fillId="21" borderId="16" pivotButton="0" quotePrefix="0" xfId="0"/>
    <xf numFmtId="0" fontId="148" fillId="21" borderId="16" applyAlignment="1" pivotButton="0" quotePrefix="0" xfId="0">
      <alignment horizontal="right"/>
    </xf>
    <xf numFmtId="0" fontId="148" fillId="21" borderId="16" applyAlignment="1" pivotButton="0" quotePrefix="0" xfId="0">
      <alignment horizontal="center"/>
    </xf>
    <xf numFmtId="0" fontId="149" fillId="0" borderId="0" pivotButton="0" quotePrefix="0" xfId="0"/>
    <xf numFmtId="0" fontId="149" fillId="22" borderId="16" pivotButton="0" quotePrefix="0" xfId="0"/>
    <xf numFmtId="169" fontId="148" fillId="0" borderId="12" applyAlignment="1" pivotButton="0" quotePrefix="0" xfId="0">
      <alignment horizontal="center"/>
    </xf>
    <xf numFmtId="0" fontId="148" fillId="0" borderId="0" applyAlignment="1" pivotButton="0" quotePrefix="0" xfId="0">
      <alignment horizontal="center"/>
    </xf>
    <xf numFmtId="0" fontId="149" fillId="0" borderId="0" applyAlignment="1" pivotButton="0" quotePrefix="0" xfId="0">
      <alignment horizontal="left"/>
    </xf>
    <xf numFmtId="10" fontId="150" fillId="0" borderId="0" applyAlignment="1" pivotButton="0" quotePrefix="0" xfId="0">
      <alignment horizontal="center"/>
    </xf>
    <xf numFmtId="0" fontId="151" fillId="0" borderId="17" pivotButton="0" quotePrefix="0" xfId="0"/>
    <xf numFmtId="0" fontId="150" fillId="0" borderId="0" pivotButton="0" quotePrefix="0" xfId="0"/>
    <xf numFmtId="0" fontId="150" fillId="0" borderId="0" applyAlignment="1" pivotButton="0" quotePrefix="0" xfId="0">
      <alignment horizontal="right"/>
    </xf>
    <xf numFmtId="0" fontId="150" fillId="0" borderId="0" applyAlignment="1" pivotButton="0" quotePrefix="0" xfId="0">
      <alignment horizontal="center"/>
    </xf>
    <xf numFmtId="0" fontId="150" fillId="0" borderId="17" pivotButton="0" quotePrefix="0" xfId="0"/>
    <xf numFmtId="0" fontId="151" fillId="12" borderId="16" applyAlignment="1" pivotButton="0" quotePrefix="0" xfId="0">
      <alignment horizontal="center"/>
    </xf>
    <xf numFmtId="167" fontId="150" fillId="0" borderId="0" pivotButton="0" quotePrefix="0" xfId="0"/>
    <xf numFmtId="0" fontId="150" fillId="0" borderId="0" applyAlignment="1" pivotButton="0" quotePrefix="0" xfId="0">
      <alignment horizontal="left"/>
    </xf>
    <xf numFmtId="9" fontId="151" fillId="3" borderId="16" applyAlignment="1" pivotButton="0" quotePrefix="0" xfId="0">
      <alignment horizontal="center"/>
    </xf>
    <xf numFmtId="9" fontId="151" fillId="0" borderId="0" applyAlignment="1" pivotButton="0" quotePrefix="0" xfId="0">
      <alignment horizontal="center"/>
    </xf>
    <xf numFmtId="0" fontId="151" fillId="16" borderId="16" applyAlignment="1" pivotButton="0" quotePrefix="0" xfId="0">
      <alignment horizontal="center"/>
    </xf>
    <xf numFmtId="0" fontId="151" fillId="3" borderId="16" applyAlignment="1" pivotButton="0" quotePrefix="0" xfId="0">
      <alignment horizontal="center"/>
    </xf>
    <xf numFmtId="166" fontId="150" fillId="0" borderId="0" applyAlignment="1" pivotButton="0" quotePrefix="0" xfId="0">
      <alignment horizontal="center"/>
    </xf>
    <xf numFmtId="0" fontId="151" fillId="0" borderId="0" pivotButton="0" quotePrefix="0" xfId="0"/>
    <xf numFmtId="0" fontId="151" fillId="0" borderId="0" applyAlignment="1" pivotButton="0" quotePrefix="0" xfId="0">
      <alignment horizontal="right"/>
    </xf>
    <xf numFmtId="166" fontId="151" fillId="0" borderId="12" applyAlignment="1" pivotButton="0" quotePrefix="0" xfId="0">
      <alignment horizontal="center"/>
    </xf>
    <xf numFmtId="167" fontId="150" fillId="0" borderId="0" applyAlignment="1" pivotButton="0" quotePrefix="0" xfId="0">
      <alignment horizontal="center"/>
    </xf>
    <xf numFmtId="167" fontId="151" fillId="0" borderId="12" applyAlignment="1" pivotButton="0" quotePrefix="0" xfId="0">
      <alignment horizontal="center"/>
    </xf>
    <xf numFmtId="49" fontId="150" fillId="0" borderId="0" applyAlignment="1" pivotButton="0" quotePrefix="0" xfId="0">
      <alignment horizontal="center"/>
    </xf>
    <xf numFmtId="49" fontId="151" fillId="0" borderId="12" applyAlignment="1" pivotButton="0" quotePrefix="0" xfId="0">
      <alignment horizontal="center"/>
    </xf>
    <xf numFmtId="0" fontId="150" fillId="0" borderId="17" applyAlignment="1" pivotButton="0" quotePrefix="0" xfId="0">
      <alignment horizontal="center"/>
    </xf>
    <xf numFmtId="0" fontId="151" fillId="0" borderId="17" applyAlignment="1" pivotButton="0" quotePrefix="0" xfId="0">
      <alignment horizontal="left"/>
    </xf>
    <xf numFmtId="0" fontId="151" fillId="0" borderId="12" applyAlignment="1" pivotButton="0" quotePrefix="0" xfId="0">
      <alignment horizontal="center"/>
    </xf>
    <xf numFmtId="0" fontId="151" fillId="0" borderId="17" applyAlignment="1" pivotButton="0" quotePrefix="0" xfId="0">
      <alignment horizontal="center"/>
    </xf>
    <xf numFmtId="167" fontId="150" fillId="0" borderId="12" applyAlignment="1" pivotButton="0" quotePrefix="0" xfId="0">
      <alignment horizontal="center"/>
    </xf>
    <xf numFmtId="0" fontId="151" fillId="0" borderId="0" applyAlignment="1" pivotButton="0" quotePrefix="0" xfId="0">
      <alignment horizontal="center"/>
    </xf>
    <xf numFmtId="167" fontId="151" fillId="0" borderId="0" applyAlignment="1" pivotButton="0" quotePrefix="0" xfId="0">
      <alignment horizontal="center"/>
    </xf>
    <xf numFmtId="0" fontId="150" fillId="10" borderId="17" applyAlignment="1" pivotButton="0" quotePrefix="0" xfId="0">
      <alignment horizontal="center"/>
    </xf>
    <xf numFmtId="0" fontId="150" fillId="10" borderId="16" applyAlignment="1" pivotButton="0" quotePrefix="0" xfId="0">
      <alignment horizontal="center"/>
    </xf>
    <xf numFmtId="0" fontId="150" fillId="10" borderId="16" applyAlignment="1" pivotButton="0" quotePrefix="0" xfId="0">
      <alignment horizontal="right"/>
    </xf>
    <xf numFmtId="0" fontId="150" fillId="0" borderId="17" applyAlignment="1" pivotButton="0" quotePrefix="0" xfId="0">
      <alignment horizontal="left"/>
    </xf>
    <xf numFmtId="167" fontId="151" fillId="3" borderId="16" applyAlignment="1" pivotButton="0" quotePrefix="0" xfId="0">
      <alignment horizontal="center"/>
    </xf>
    <xf numFmtId="167" fontId="150" fillId="0" borderId="16" pivotButton="0" quotePrefix="0" xfId="0"/>
    <xf numFmtId="167" fontId="152" fillId="0" borderId="0" applyAlignment="1" pivotButton="0" quotePrefix="0" xfId="0">
      <alignment horizontal="center"/>
    </xf>
    <xf numFmtId="167" fontId="152" fillId="0" borderId="22" applyAlignment="1" pivotButton="0" quotePrefix="0" xfId="0">
      <alignment horizontal="center"/>
    </xf>
    <xf numFmtId="169" fontId="150" fillId="0" borderId="0" applyAlignment="1" pivotButton="0" quotePrefix="0" xfId="0">
      <alignment horizontal="center"/>
    </xf>
    <xf numFmtId="0" fontId="43" fillId="0" borderId="0" applyAlignment="1" pivotButton="0" quotePrefix="0" xfId="0">
      <alignment horizontal="center"/>
    </xf>
    <xf numFmtId="167" fontId="102" fillId="0" borderId="16" pivotButton="0" quotePrefix="0" xfId="0"/>
    <xf numFmtId="167" fontId="102" fillId="0" borderId="16" pivotButton="0" quotePrefix="0" xfId="2"/>
    <xf numFmtId="41" fontId="81" fillId="76" borderId="0" applyAlignment="1" pivotButton="0" quotePrefix="0" xfId="0">
      <alignment horizontal="center"/>
    </xf>
    <xf numFmtId="2" fontId="82" fillId="0" borderId="0" applyAlignment="1" pivotButton="0" quotePrefix="0" xfId="0">
      <alignment horizontal="center"/>
    </xf>
    <xf numFmtId="2" fontId="81" fillId="0" borderId="0" applyAlignment="1" pivotButton="0" quotePrefix="0" xfId="0">
      <alignment horizontal="center"/>
    </xf>
    <xf numFmtId="173" fontId="0" fillId="0" borderId="0" applyAlignment="1" pivotButton="0" quotePrefix="0" xfId="0">
      <alignment horizontal="center"/>
    </xf>
    <xf numFmtId="41" fontId="82" fillId="90" borderId="0" applyAlignment="1" pivotButton="0" quotePrefix="0" xfId="0">
      <alignment horizontal="center"/>
    </xf>
    <xf numFmtId="169" fontId="16" fillId="76" borderId="0" applyAlignment="1" pivotButton="0" quotePrefix="0" xfId="0">
      <alignment horizontal="center"/>
    </xf>
    <xf numFmtId="41" fontId="82" fillId="39" borderId="0" applyAlignment="1" pivotButton="0" quotePrefix="0" xfId="0">
      <alignment horizontal="center"/>
    </xf>
    <xf numFmtId="41" fontId="82" fillId="67" borderId="0" applyAlignment="1" pivotButton="0" quotePrefix="0" xfId="0">
      <alignment horizontal="center"/>
    </xf>
    <xf numFmtId="0" fontId="154" fillId="90" borderId="92" pivotButton="0" quotePrefix="0" xfId="0"/>
    <xf numFmtId="0" fontId="0" fillId="90" borderId="93" pivotButton="0" quotePrefix="0" xfId="0"/>
    <xf numFmtId="41" fontId="44" fillId="90" borderId="94" pivotButton="0" quotePrefix="0" xfId="0"/>
    <xf numFmtId="41" fontId="82" fillId="56" borderId="0" applyAlignment="1" pivotButton="0" quotePrefix="0" xfId="0">
      <alignment horizontal="center"/>
    </xf>
    <xf numFmtId="0" fontId="81" fillId="96" borderId="0" pivotButton="0" quotePrefix="0" xfId="0"/>
    <xf numFmtId="41" fontId="82" fillId="38" borderId="0" applyAlignment="1" pivotButton="0" quotePrefix="0" xfId="0">
      <alignment horizontal="center"/>
    </xf>
    <xf numFmtId="41" fontId="82" fillId="68" borderId="0" applyAlignment="1" pivotButton="0" quotePrefix="0" xfId="0">
      <alignment horizontal="center"/>
    </xf>
    <xf numFmtId="0" fontId="81" fillId="68" borderId="0" pivotButton="0" quotePrefix="0" xfId="0"/>
    <xf numFmtId="0" fontId="81" fillId="78" borderId="0" pivotButton="0" quotePrefix="0" xfId="0"/>
    <xf numFmtId="0" fontId="78" fillId="78" borderId="0" pivotButton="0" quotePrefix="0" xfId="0"/>
    <xf numFmtId="0" fontId="82" fillId="39" borderId="0" applyAlignment="1" pivotButton="0" quotePrefix="0" xfId="0">
      <alignment horizontal="center"/>
    </xf>
    <xf numFmtId="0" fontId="82" fillId="38" borderId="0" applyAlignment="1" pivotButton="0" quotePrefix="0" xfId="0">
      <alignment horizontal="center"/>
    </xf>
    <xf numFmtId="0" fontId="82" fillId="96" borderId="0" applyAlignment="1" pivotButton="0" quotePrefix="0" xfId="0">
      <alignment horizontal="center"/>
    </xf>
    <xf numFmtId="0" fontId="82" fillId="68" borderId="0" applyAlignment="1" pivotButton="0" quotePrefix="0" xfId="0">
      <alignment horizontal="center"/>
    </xf>
    <xf numFmtId="0" fontId="82" fillId="78" borderId="0" applyAlignment="1" pivotButton="0" quotePrefix="0" xfId="0">
      <alignment horizontal="center"/>
    </xf>
    <xf numFmtId="0" fontId="81" fillId="91" borderId="0" pivotButton="0" quotePrefix="0" xfId="0"/>
    <xf numFmtId="0" fontId="82" fillId="91" borderId="0" applyAlignment="1" pivotButton="0" quotePrefix="0" xfId="0">
      <alignment horizontal="center"/>
    </xf>
    <xf numFmtId="41" fontId="82" fillId="91" borderId="0" applyAlignment="1" pivotButton="0" quotePrefix="0" xfId="0">
      <alignment horizontal="center"/>
    </xf>
    <xf numFmtId="0" fontId="44" fillId="56" borderId="95" pivotButton="0" quotePrefix="0" xfId="0"/>
    <xf numFmtId="0" fontId="0" fillId="56" borderId="96" pivotButton="0" quotePrefix="0" xfId="0"/>
    <xf numFmtId="42" fontId="44" fillId="56" borderId="96" pivotButton="0" quotePrefix="0" xfId="0"/>
    <xf numFmtId="42" fontId="44" fillId="56" borderId="97" pivotButton="0" quotePrefix="0" xfId="0"/>
    <xf numFmtId="41" fontId="44" fillId="90" borderId="93" pivotButton="0" quotePrefix="0" xfId="0"/>
    <xf numFmtId="41" fontId="0" fillId="56" borderId="0" pivotButton="0" quotePrefix="0" xfId="0"/>
    <xf numFmtId="0" fontId="82" fillId="48" borderId="0" applyAlignment="1" pivotButton="0" quotePrefix="0" xfId="0">
      <alignment horizontal="center"/>
    </xf>
    <xf numFmtId="41" fontId="82" fillId="48" borderId="0" applyAlignment="1" pivotButton="0" quotePrefix="0" xfId="0">
      <alignment horizontal="center"/>
    </xf>
    <xf numFmtId="0" fontId="82" fillId="63" borderId="0" pivotButton="0" quotePrefix="0" xfId="0"/>
    <xf numFmtId="42" fontId="0" fillId="63" borderId="0" pivotButton="0" quotePrefix="0" xfId="0"/>
    <xf numFmtId="42" fontId="82" fillId="63" borderId="0" pivotButton="0" quotePrefix="0" xfId="0"/>
    <xf numFmtId="41" fontId="0" fillId="90" borderId="0" pivotButton="0" quotePrefix="0" xfId="0"/>
    <xf numFmtId="41" fontId="0" fillId="76" borderId="0" pivotButton="0" quotePrefix="0" xfId="0"/>
    <xf numFmtId="42" fontId="81" fillId="63" borderId="0" pivotButton="0" quotePrefix="0" xfId="0"/>
    <xf numFmtId="189" fontId="82" fillId="0" borderId="0" pivotButton="0" quotePrefix="0" xfId="0"/>
    <xf numFmtId="189" fontId="81" fillId="0" borderId="0" pivotButton="0" quotePrefix="0" xfId="0"/>
    <xf numFmtId="0" fontId="155" fillId="0" borderId="16" pivotButton="0" quotePrefix="0" xfId="4"/>
    <xf numFmtId="0" fontId="1" fillId="0" borderId="16" pivotButton="0" quotePrefix="0" xfId="4"/>
    <xf numFmtId="172" fontId="79" fillId="0" borderId="0" pivotButton="0" quotePrefix="0" xfId="2"/>
    <xf numFmtId="0" fontId="0" fillId="79" borderId="0" pivotButton="0" quotePrefix="0" xfId="0"/>
    <xf numFmtId="172" fontId="1" fillId="0" borderId="0" pivotButton="0" quotePrefix="0" xfId="2"/>
    <xf numFmtId="172" fontId="137" fillId="0" borderId="0" pivotButton="0" quotePrefix="0" xfId="2"/>
    <xf numFmtId="184" fontId="2" fillId="0" borderId="16" pivotButton="0" quotePrefix="0" xfId="4"/>
    <xf numFmtId="0" fontId="137" fillId="0" borderId="16" pivotButton="0" quotePrefix="0" xfId="4"/>
    <xf numFmtId="0" fontId="156" fillId="0" borderId="16" pivotButton="0" quotePrefix="0" xfId="13"/>
    <xf numFmtId="0" fontId="2" fillId="92" borderId="16" pivotButton="0" quotePrefix="0" xfId="4"/>
    <xf numFmtId="0" fontId="42" fillId="0" borderId="98" applyAlignment="1" pivotButton="0" quotePrefix="0" xfId="14">
      <alignment horizontal="center" vertical="center" wrapText="1"/>
    </xf>
    <xf numFmtId="0" fontId="42" fillId="0" borderId="99" applyAlignment="1" pivotButton="0" quotePrefix="0" xfId="14">
      <alignment horizontal="center" vertical="center" wrapText="1"/>
    </xf>
    <xf numFmtId="0" fontId="41" fillId="0" borderId="16" pivotButton="0" quotePrefix="0" xfId="14"/>
    <xf numFmtId="0" fontId="41" fillId="0" borderId="13" pivotButton="0" quotePrefix="0" xfId="14"/>
    <xf numFmtId="3" fontId="41" fillId="0" borderId="13" pivotButton="0" quotePrefix="0" xfId="14"/>
    <xf numFmtId="0" fontId="41" fillId="0" borderId="16" applyAlignment="1" pivotButton="0" quotePrefix="0" xfId="14">
      <alignment horizontal="center"/>
    </xf>
    <xf numFmtId="0" fontId="41" fillId="0" borderId="16" applyAlignment="1" pivotButton="0" quotePrefix="0" xfId="14">
      <alignment horizontal="center" wrapText="1"/>
    </xf>
    <xf numFmtId="167" fontId="41" fillId="0" borderId="16" pivotButton="0" quotePrefix="0" xfId="14"/>
    <xf numFmtId="3" fontId="41" fillId="0" borderId="25" pivotButton="0" quotePrefix="0" xfId="14"/>
    <xf numFmtId="167" fontId="41" fillId="0" borderId="13" pivotButton="0" quotePrefix="0" xfId="14"/>
    <xf numFmtId="0" fontId="41" fillId="0" borderId="13" applyAlignment="1" pivotButton="0" quotePrefix="0" xfId="14">
      <alignment horizontal="left"/>
    </xf>
    <xf numFmtId="3" fontId="41" fillId="0" borderId="17" applyAlignment="1" pivotButton="0" quotePrefix="0" xfId="14">
      <alignment horizontal="center" wrapText="1"/>
    </xf>
    <xf numFmtId="190" fontId="41" fillId="0" borderId="16" applyAlignment="1" pivotButton="0" quotePrefix="0" xfId="14">
      <alignment horizontal="center" wrapText="1"/>
    </xf>
    <xf numFmtId="167" fontId="41" fillId="0" borderId="16" applyAlignment="1" pivotButton="0" quotePrefix="0" xfId="14">
      <alignment horizontal="center" wrapText="1"/>
    </xf>
    <xf numFmtId="0" fontId="42" fillId="97" borderId="4" pivotButton="0" quotePrefix="0" xfId="14"/>
    <xf numFmtId="167" fontId="42" fillId="97" borderId="7" pivotButton="0" quotePrefix="0" xfId="14"/>
    <xf numFmtId="49" fontId="41" fillId="0" borderId="17" applyAlignment="1" pivotButton="0" quotePrefix="0" xfId="14">
      <alignment horizontal="center" wrapText="1"/>
    </xf>
    <xf numFmtId="191" fontId="41" fillId="0" borderId="16" applyAlignment="1" pivotButton="0" quotePrefix="0" xfId="14">
      <alignment horizontal="center" wrapText="1"/>
    </xf>
    <xf numFmtId="167" fontId="41" fillId="0" borderId="16" applyAlignment="1" pivotButton="0" quotePrefix="0" xfId="14">
      <alignment horizontal="center"/>
    </xf>
    <xf numFmtId="49" fontId="41" fillId="0" borderId="16" applyAlignment="1" pivotButton="0" quotePrefix="0" xfId="14">
      <alignment horizontal="center" wrapText="1"/>
    </xf>
    <xf numFmtId="0" fontId="41" fillId="0" borderId="9" pivotButton="0" quotePrefix="0" xfId="14"/>
    <xf numFmtId="167" fontId="41" fillId="0" borderId="9" pivotButton="0" quotePrefix="0" xfId="14"/>
    <xf numFmtId="0" fontId="41" fillId="0" borderId="100" applyAlignment="1" pivotButton="0" quotePrefix="0" xfId="14">
      <alignment horizontal="center" wrapText="1"/>
    </xf>
    <xf numFmtId="0" fontId="42" fillId="98" borderId="98" pivotButton="0" quotePrefix="0" xfId="14"/>
    <xf numFmtId="0" fontId="41" fillId="98" borderId="98" pivotButton="0" quotePrefix="0" xfId="14"/>
    <xf numFmtId="3" fontId="42" fillId="99" borderId="34" applyAlignment="1" pivotButton="0" quotePrefix="0" xfId="14">
      <alignment horizontal="center"/>
    </xf>
    <xf numFmtId="190" fontId="42" fillId="99" borderId="34" applyAlignment="1" pivotButton="0" quotePrefix="0" xfId="14">
      <alignment horizontal="center"/>
    </xf>
    <xf numFmtId="0" fontId="42" fillId="99" borderId="34" applyAlignment="1" pivotButton="0" quotePrefix="0" xfId="14">
      <alignment horizontal="center"/>
    </xf>
    <xf numFmtId="0" fontId="133" fillId="99" borderId="34" applyAlignment="1" pivotButton="0" quotePrefix="0" xfId="14">
      <alignment horizontal="center"/>
    </xf>
    <xf numFmtId="167" fontId="42" fillId="99" borderId="34" applyAlignment="1" pivotButton="0" quotePrefix="0" xfId="14">
      <alignment horizontal="center"/>
    </xf>
    <xf numFmtId="167" fontId="42" fillId="99" borderId="101" applyAlignment="1" pivotButton="0" quotePrefix="0" xfId="14">
      <alignment horizontal="center"/>
    </xf>
    <xf numFmtId="167" fontId="42" fillId="99" borderId="101" pivotButton="0" quotePrefix="0" xfId="14"/>
    <xf numFmtId="167" fontId="42" fillId="99" borderId="99" pivotButton="0" quotePrefix="0" xfId="14"/>
    <xf numFmtId="0" fontId="157" fillId="0" borderId="98" applyAlignment="1" pivotButton="0" quotePrefix="0" xfId="14">
      <alignment horizontal="center" wrapText="1"/>
    </xf>
    <xf numFmtId="0" fontId="42" fillId="0" borderId="16" applyAlignment="1" pivotButton="0" quotePrefix="0" xfId="14">
      <alignment horizontal="center" vertical="center" wrapText="1"/>
    </xf>
    <xf numFmtId="0" fontId="42" fillId="0" borderId="13" pivotButton="0" quotePrefix="0" xfId="14"/>
    <xf numFmtId="0" fontId="133" fillId="100" borderId="102" applyAlignment="1" pivotButton="0" quotePrefix="0" xfId="14">
      <alignment horizontal="center"/>
    </xf>
    <xf numFmtId="0" fontId="42" fillId="0" borderId="103" applyAlignment="1" pivotButton="0" quotePrefix="0" xfId="14">
      <alignment horizontal="center" vertical="center" wrapText="1"/>
    </xf>
    <xf numFmtId="0" fontId="41" fillId="0" borderId="104" pivotButton="0" quotePrefix="0" xfId="14"/>
    <xf numFmtId="0" fontId="41" fillId="0" borderId="13" applyAlignment="1" pivotButton="0" quotePrefix="0" xfId="14">
      <alignment horizontal="right"/>
    </xf>
    <xf numFmtId="167" fontId="42" fillId="0" borderId="105" pivotButton="0" quotePrefix="0" xfId="14"/>
    <xf numFmtId="0" fontId="42" fillId="0" borderId="106" applyAlignment="1" pivotButton="0" quotePrefix="0" xfId="14">
      <alignment horizontal="center"/>
    </xf>
    <xf numFmtId="4" fontId="41" fillId="0" borderId="16" pivotButton="0" quotePrefix="0" xfId="14"/>
    <xf numFmtId="0" fontId="42" fillId="0" borderId="105" applyAlignment="1" pivotButton="0" quotePrefix="0" xfId="14">
      <alignment horizontal="center"/>
    </xf>
    <xf numFmtId="167" fontId="60" fillId="0" borderId="107" pivotButton="0" quotePrefix="0" xfId="14"/>
    <xf numFmtId="167" fontId="42" fillId="0" borderId="108" pivotButton="0" quotePrefix="0" xfId="14"/>
    <xf numFmtId="0" fontId="42" fillId="0" borderId="13" applyAlignment="1" pivotButton="0" quotePrefix="0" xfId="14">
      <alignment horizontal="left"/>
    </xf>
    <xf numFmtId="0" fontId="42" fillId="0" borderId="13" applyAlignment="1" pivotButton="0" quotePrefix="0" xfId="14">
      <alignment horizontal="right"/>
    </xf>
    <xf numFmtId="167" fontId="42" fillId="0" borderId="13" pivotButton="0" quotePrefix="0" xfId="14"/>
    <xf numFmtId="0" fontId="158" fillId="101" borderId="109" applyAlignment="1" pivotButton="0" quotePrefix="0" xfId="14">
      <alignment horizontal="left"/>
    </xf>
    <xf numFmtId="0" fontId="41" fillId="101" borderId="101" pivotButton="0" quotePrefix="0" xfId="14"/>
    <xf numFmtId="0" fontId="41" fillId="101" borderId="99" pivotButton="0" quotePrefix="0" xfId="14"/>
    <xf numFmtId="0" fontId="41" fillId="0" borderId="110" pivotButton="0" quotePrefix="0" xfId="14"/>
    <xf numFmtId="0" fontId="73" fillId="0" borderId="16" pivotButton="0" quotePrefix="0" xfId="14"/>
    <xf numFmtId="167" fontId="41" fillId="7" borderId="111" applyAlignment="1" pivotButton="0" quotePrefix="0" xfId="14">
      <alignment horizontal="right"/>
    </xf>
    <xf numFmtId="49" fontId="41" fillId="0" borderId="111" applyAlignment="1" pivotButton="0" quotePrefix="0" xfId="14">
      <alignment horizontal="right"/>
    </xf>
    <xf numFmtId="192" fontId="41" fillId="0" borderId="111" applyAlignment="1" pivotButton="0" quotePrefix="0" xfId="14">
      <alignment horizontal="right"/>
    </xf>
    <xf numFmtId="0" fontId="73" fillId="0" borderId="110" pivotButton="0" quotePrefix="0" xfId="14"/>
    <xf numFmtId="0" fontId="73" fillId="0" borderId="111" pivotButton="0" quotePrefix="0" xfId="14"/>
    <xf numFmtId="192" fontId="73" fillId="0" borderId="111" pivotButton="0" quotePrefix="0" xfId="14"/>
    <xf numFmtId="0" fontId="159" fillId="0" borderId="110" pivotButton="0" quotePrefix="0" xfId="14"/>
    <xf numFmtId="0" fontId="159" fillId="0" borderId="16" pivotButton="0" quotePrefix="0" xfId="14"/>
    <xf numFmtId="167" fontId="159" fillId="0" borderId="111" pivotButton="0" quotePrefix="0" xfId="14"/>
    <xf numFmtId="167" fontId="41" fillId="0" borderId="111" pivotButton="0" quotePrefix="0" xfId="14"/>
    <xf numFmtId="0" fontId="42" fillId="102" borderId="112" pivotButton="0" quotePrefix="0" xfId="14"/>
    <xf numFmtId="0" fontId="41" fillId="102" borderId="100" pivotButton="0" quotePrefix="0" xfId="14"/>
    <xf numFmtId="167" fontId="42" fillId="102" borderId="113" pivotButton="0" quotePrefix="0" xfId="14"/>
    <xf numFmtId="0" fontId="158" fillId="101" borderId="28" pivotButton="0" quotePrefix="0" xfId="14"/>
    <xf numFmtId="0" fontId="158" fillId="101" borderId="16" pivotButton="0" quotePrefix="0" xfId="14"/>
    <xf numFmtId="0" fontId="158" fillId="101" borderId="2" pivotButton="0" quotePrefix="0" xfId="14"/>
    <xf numFmtId="167" fontId="42" fillId="0" borderId="116" pivotButton="0" quotePrefix="0" xfId="14"/>
    <xf numFmtId="167" fontId="42" fillId="102" borderId="117" pivotButton="0" quotePrefix="0" xfId="14"/>
    <xf numFmtId="167" fontId="42" fillId="0" borderId="117" pivotButton="0" quotePrefix="0" xfId="14"/>
    <xf numFmtId="167" fontId="42" fillId="102" borderId="120" pivotButton="0" quotePrefix="0" xfId="14"/>
    <xf numFmtId="167" fontId="160" fillId="103" borderId="13" pivotButton="0" quotePrefix="0" xfId="14"/>
    <xf numFmtId="0" fontId="161" fillId="56" borderId="0" applyAlignment="1" pivotButton="0" quotePrefix="0" xfId="0">
      <alignment vertical="center"/>
    </xf>
    <xf numFmtId="0" fontId="162" fillId="56" borderId="0" applyAlignment="1" pivotButton="0" quotePrefix="0" xfId="0">
      <alignment vertical="center"/>
    </xf>
    <xf numFmtId="0" fontId="163" fillId="56" borderId="0" applyAlignment="1" pivotButton="0" quotePrefix="0" xfId="0">
      <alignment vertical="center"/>
    </xf>
    <xf numFmtId="0" fontId="164" fillId="56" borderId="0" applyAlignment="1" pivotButton="0" quotePrefix="0" xfId="0">
      <alignment vertical="center"/>
    </xf>
    <xf numFmtId="0" fontId="165" fillId="0" borderId="16" pivotButton="0" quotePrefix="0" xfId="15"/>
    <xf numFmtId="0" fontId="166" fillId="0" borderId="16" pivotButton="0" quotePrefix="0" xfId="15"/>
    <xf numFmtId="0" fontId="81" fillId="0" borderId="16" pivotButton="0" quotePrefix="0" xfId="15"/>
    <xf numFmtId="0" fontId="166" fillId="104" borderId="16" pivotButton="0" quotePrefix="0" xfId="15"/>
    <xf numFmtId="167" fontId="165" fillId="0" borderId="16" pivotButton="0" quotePrefix="0" xfId="15"/>
    <xf numFmtId="0" fontId="166" fillId="105" borderId="16" pivotButton="0" quotePrefix="0" xfId="15"/>
    <xf numFmtId="0" fontId="167" fillId="0" borderId="16" pivotButton="0" quotePrefix="0" xfId="15"/>
    <xf numFmtId="0" fontId="168" fillId="0" borderId="16" pivotButton="0" quotePrefix="0" xfId="15"/>
    <xf numFmtId="0" fontId="169" fillId="0" borderId="16" pivotButton="0" quotePrefix="0" xfId="15"/>
    <xf numFmtId="0" fontId="170" fillId="0" borderId="16" pivotButton="0" quotePrefix="0" xfId="15"/>
    <xf numFmtId="167" fontId="165" fillId="0" borderId="16" applyAlignment="1" pivotButton="0" quotePrefix="0" xfId="15">
      <alignment horizontal="right"/>
    </xf>
    <xf numFmtId="0" fontId="165" fillId="104" borderId="16" pivotButton="0" quotePrefix="0" xfId="15"/>
    <xf numFmtId="167" fontId="166" fillId="0" borderId="16" pivotButton="0" quotePrefix="0" xfId="15"/>
    <xf numFmtId="0" fontId="166" fillId="7" borderId="16" pivotButton="0" quotePrefix="0" xfId="15"/>
    <xf numFmtId="167" fontId="166" fillId="0" borderId="16" applyAlignment="1" pivotButton="0" quotePrefix="0" xfId="15">
      <alignment horizontal="right"/>
    </xf>
    <xf numFmtId="0" fontId="78" fillId="0" borderId="16" pivotButton="0" quotePrefix="0" xfId="15"/>
    <xf numFmtId="1" fontId="78" fillId="0" borderId="16" pivotButton="0" quotePrefix="0" xfId="15"/>
    <xf numFmtId="184" fontId="81" fillId="0" borderId="0" applyAlignment="1" pivotButton="0" quotePrefix="0" xfId="0">
      <alignment horizontal="center"/>
    </xf>
    <xf numFmtId="0" fontId="166" fillId="0" borderId="16" applyAlignment="1" pivotButton="0" quotePrefix="0" xfId="15">
      <alignment horizontal="left" vertical="center"/>
    </xf>
    <xf numFmtId="0" fontId="168" fillId="0" borderId="16" applyAlignment="1" pivotButton="0" quotePrefix="0" xfId="15">
      <alignment vertical="center"/>
    </xf>
    <xf numFmtId="0" fontId="165" fillId="104" borderId="16" applyAlignment="1" pivotButton="0" quotePrefix="0" xfId="15">
      <alignment vertical="center"/>
    </xf>
    <xf numFmtId="10" fontId="0" fillId="0" borderId="0" pivotButton="0" quotePrefix="0" xfId="0"/>
    <xf numFmtId="0" fontId="173" fillId="0" borderId="0" pivotButton="0" quotePrefix="0" xfId="0"/>
    <xf numFmtId="3" fontId="173" fillId="0" borderId="0" pivotButton="0" quotePrefix="0" xfId="0"/>
    <xf numFmtId="0" fontId="129" fillId="0" borderId="16" applyAlignment="1" pivotButton="0" quotePrefix="0" xfId="0">
      <alignment horizontal="center"/>
    </xf>
    <xf numFmtId="0" fontId="171" fillId="0" borderId="0" pivotButton="0" quotePrefix="0" xfId="0"/>
    <xf numFmtId="0" fontId="172" fillId="0" borderId="0" pivotButton="0" quotePrefix="0" xfId="0"/>
    <xf numFmtId="0" fontId="174" fillId="0" borderId="0" pivotButton="0" quotePrefix="0" xfId="0"/>
    <xf numFmtId="0" fontId="175" fillId="0" borderId="0" pivotButton="0" quotePrefix="0" xfId="0"/>
    <xf numFmtId="177" fontId="173" fillId="0" borderId="0" pivotButton="0" quotePrefix="0" xfId="0"/>
    <xf numFmtId="0" fontId="176" fillId="0" borderId="0" pivotButton="0" quotePrefix="0" xfId="0"/>
    <xf numFmtId="177" fontId="174" fillId="0" borderId="0" pivotButton="0" quotePrefix="0" xfId="0"/>
    <xf numFmtId="0" fontId="177" fillId="0" borderId="0" pivotButton="0" quotePrefix="0" xfId="0"/>
    <xf numFmtId="173" fontId="177" fillId="0" borderId="0" pivotButton="0" quotePrefix="0" xfId="0"/>
    <xf numFmtId="177" fontId="178" fillId="0" borderId="0" pivotButton="0" quotePrefix="0" xfId="0"/>
    <xf numFmtId="173" fontId="173" fillId="0" borderId="0" pivotButton="0" quotePrefix="0" xfId="0"/>
    <xf numFmtId="193" fontId="173" fillId="0" borderId="0" pivotButton="0" quotePrefix="0" xfId="0"/>
    <xf numFmtId="0" fontId="179" fillId="0" borderId="0" pivotButton="0" quotePrefix="0" xfId="0"/>
    <xf numFmtId="172" fontId="81" fillId="0" borderId="16" pivotButton="0" quotePrefix="0" xfId="2"/>
    <xf numFmtId="9" fontId="128" fillId="106" borderId="16" pivotButton="0" quotePrefix="0" xfId="1"/>
    <xf numFmtId="173" fontId="0" fillId="0" borderId="16" applyAlignment="1" pivotButton="0" quotePrefix="0" xfId="1">
      <alignment horizontal="center"/>
    </xf>
    <xf numFmtId="0" fontId="82" fillId="0" borderId="16" applyAlignment="1" pivotButton="0" quotePrefix="0" xfId="0">
      <alignment horizontal="center"/>
    </xf>
    <xf numFmtId="0" fontId="0" fillId="0" borderId="0" pivotButton="0" quotePrefix="0" xfId="0"/>
    <xf numFmtId="0" fontId="0" fillId="0" borderId="16" pivotButton="0" quotePrefix="0" xfId="0"/>
    <xf numFmtId="0" fontId="81" fillId="0" borderId="39" pivotButton="0" quotePrefix="0" xfId="0"/>
    <xf numFmtId="0" fontId="0" fillId="0" borderId="39" pivotButton="0" quotePrefix="0" xfId="0"/>
    <xf numFmtId="0" fontId="62" fillId="2" borderId="16" applyAlignment="1" pivotButton="0" quotePrefix="0" xfId="0">
      <alignment horizontal="center"/>
    </xf>
    <xf numFmtId="0" fontId="10" fillId="2" borderId="16" applyAlignment="1" pivotButton="0" quotePrefix="0" xfId="0">
      <alignment horizontal="center"/>
    </xf>
    <xf numFmtId="0" fontId="12" fillId="0" borderId="16" applyAlignment="1" pivotButton="0" quotePrefix="0" xfId="0">
      <alignment horizontal="center"/>
    </xf>
    <xf numFmtId="0" fontId="153" fillId="76" borderId="16" applyAlignment="1" pivotButton="0" quotePrefix="0" xfId="0">
      <alignment horizontal="left" wrapText="1"/>
    </xf>
    <xf numFmtId="0" fontId="82" fillId="77" borderId="43" applyAlignment="1" pivotButton="0" quotePrefix="0" xfId="0">
      <alignment horizontal="center"/>
    </xf>
    <xf numFmtId="0" fontId="0" fillId="0" borderId="45" pivotButton="0" quotePrefix="0" xfId="0"/>
    <xf numFmtId="0" fontId="0" fillId="0" borderId="46" pivotButton="0" quotePrefix="0" xfId="0"/>
    <xf numFmtId="167" fontId="90" fillId="70" borderId="121" applyAlignment="1" pivotButton="0" quotePrefix="0" xfId="0">
      <alignment horizontal="center"/>
    </xf>
    <xf numFmtId="0" fontId="0" fillId="0" borderId="93" pivotButton="0" quotePrefix="0" xfId="0"/>
    <xf numFmtId="0" fontId="0" fillId="0" borderId="94" pivotButton="0" quotePrefix="0" xfId="0"/>
    <xf numFmtId="167" fontId="90" fillId="77" borderId="121" applyAlignment="1" pivotButton="0" quotePrefix="0" xfId="0">
      <alignment horizontal="center"/>
    </xf>
    <xf numFmtId="0" fontId="82" fillId="70" borderId="121" applyAlignment="1" pivotButton="0" quotePrefix="0" xfId="0">
      <alignment horizontal="center"/>
    </xf>
    <xf numFmtId="0" fontId="82" fillId="40" borderId="16" applyAlignment="1" pivotButton="0" quotePrefix="0" xfId="0">
      <alignment horizontal="center"/>
    </xf>
    <xf numFmtId="0" fontId="82" fillId="77" borderId="44" applyAlignment="1" pivotButton="0" quotePrefix="0" xfId="0">
      <alignment horizontal="center"/>
    </xf>
    <xf numFmtId="0" fontId="82" fillId="77" borderId="92" applyAlignment="1" pivotButton="0" quotePrefix="0" xfId="0">
      <alignment horizontal="center"/>
    </xf>
    <xf numFmtId="0" fontId="82" fillId="77" borderId="121" applyAlignment="1" pivotButton="0" quotePrefix="0" xfId="0">
      <alignment horizontal="center"/>
    </xf>
    <xf numFmtId="0" fontId="82" fillId="70" borderId="46" applyAlignment="1" pivotButton="0" quotePrefix="0" xfId="0">
      <alignment horizontal="center"/>
    </xf>
    <xf numFmtId="37" fontId="42" fillId="0" borderId="16" applyAlignment="1" pivotButton="0" quotePrefix="0" xfId="0">
      <alignment horizontal="center"/>
    </xf>
    <xf numFmtId="0" fontId="41" fillId="0" borderId="16" pivotButton="0" quotePrefix="0" xfId="0"/>
    <xf numFmtId="0" fontId="87" fillId="0" borderId="16" pivotButton="0" quotePrefix="0" xfId="0"/>
    <xf numFmtId="0" fontId="41" fillId="37" borderId="16" pivotButton="0" quotePrefix="0" xfId="0"/>
    <xf numFmtId="0" fontId="42" fillId="0" borderId="16" pivotButton="0" quotePrefix="0" xfId="0"/>
    <xf numFmtId="0" fontId="42" fillId="38" borderId="16" pivotButton="0" quotePrefix="0" xfId="0"/>
    <xf numFmtId="0" fontId="81" fillId="0" borderId="16" pivotButton="0" quotePrefix="0" xfId="0"/>
    <xf numFmtId="0" fontId="87" fillId="37" borderId="16" pivotButton="0" quotePrefix="0" xfId="0"/>
    <xf numFmtId="0" fontId="82" fillId="39" borderId="16" pivotButton="0" quotePrefix="0" xfId="0"/>
    <xf numFmtId="0" fontId="42" fillId="39" borderId="16" pivotButton="0" quotePrefix="0" xfId="0"/>
    <xf numFmtId="0" fontId="87" fillId="0" borderId="16" applyAlignment="1" pivotButton="0" quotePrefix="0" xfId="0">
      <alignment horizontal="left"/>
    </xf>
    <xf numFmtId="0" fontId="42" fillId="0" borderId="16" applyAlignment="1" pivotButton="0" quotePrefix="0" xfId="0">
      <alignment horizontal="center"/>
    </xf>
    <xf numFmtId="170" fontId="16" fillId="0" borderId="16" applyAlignment="1" pivotButton="0" quotePrefix="0" xfId="0">
      <alignment horizontal="center" wrapText="1"/>
    </xf>
    <xf numFmtId="0" fontId="78" fillId="0" borderId="0" pivotButton="0" quotePrefix="0" xfId="0"/>
    <xf numFmtId="0" fontId="28" fillId="7" borderId="17" pivotButton="0" quotePrefix="0" xfId="0"/>
    <xf numFmtId="0" fontId="28" fillId="7" borderId="9" pivotButton="0" quotePrefix="0" xfId="0"/>
    <xf numFmtId="0" fontId="0" fillId="0" borderId="12" pivotButton="0" quotePrefix="0" xfId="0"/>
    <xf numFmtId="0" fontId="0" fillId="0" borderId="24" pivotButton="0" quotePrefix="0" xfId="0"/>
    <xf numFmtId="0" fontId="29" fillId="7" borderId="16" applyAlignment="1" pivotButton="0" quotePrefix="0" xfId="0">
      <alignment horizontal="center" wrapText="1"/>
    </xf>
    <xf numFmtId="0" fontId="28" fillId="7" borderId="15" pivotButton="0" quotePrefix="0" xfId="0"/>
    <xf numFmtId="0" fontId="0" fillId="0" borderId="22" pivotButton="0" quotePrefix="0" xfId="0"/>
    <xf numFmtId="0" fontId="0" fillId="0" borderId="27" pivotButton="0" quotePrefix="0" xfId="0"/>
    <xf numFmtId="0" fontId="16" fillId="7" borderId="8" pivotButton="0" quotePrefix="0" xfId="0"/>
    <xf numFmtId="0" fontId="0" fillId="0" borderId="25" pivotButton="0" quotePrefix="0" xfId="0"/>
    <xf numFmtId="0" fontId="16" fillId="7" borderId="17" pivotButton="0" quotePrefix="0" xfId="0"/>
    <xf numFmtId="0" fontId="108" fillId="0" borderId="16" applyAlignment="1" pivotButton="0" quotePrefix="0" xfId="0">
      <alignment horizontal="center"/>
    </xf>
    <xf numFmtId="0" fontId="111" fillId="0" borderId="16" applyAlignment="1" pivotButton="0" quotePrefix="0" xfId="0">
      <alignment horizontal="right"/>
    </xf>
    <xf numFmtId="0" fontId="110" fillId="0" borderId="16" applyAlignment="1" pivotButton="0" quotePrefix="0" xfId="0">
      <alignment horizontal="right"/>
    </xf>
    <xf numFmtId="0" fontId="108" fillId="0" borderId="16" applyAlignment="1" pivotButton="0" quotePrefix="0" xfId="0">
      <alignment horizontal="right"/>
    </xf>
    <xf numFmtId="0" fontId="108" fillId="37" borderId="16" applyAlignment="1" pivotButton="0" quotePrefix="0" xfId="0">
      <alignment horizontal="right"/>
    </xf>
    <xf numFmtId="0" fontId="108" fillId="37" borderId="16" applyAlignment="1" pivotButton="0" quotePrefix="0" xfId="0">
      <alignment horizontal="center"/>
    </xf>
    <xf numFmtId="0" fontId="106" fillId="0" borderId="16" applyAlignment="1" pivotButton="0" quotePrefix="0" xfId="0">
      <alignment horizontal="center"/>
    </xf>
    <xf numFmtId="0" fontId="88" fillId="0" borderId="16" applyAlignment="1" pivotButton="0" quotePrefix="0" xfId="0">
      <alignment horizontal="center"/>
    </xf>
    <xf numFmtId="0" fontId="15" fillId="9" borderId="9" applyAlignment="1" pivotButton="0" quotePrefix="0" xfId="0">
      <alignment horizontal="center" vertical="center" wrapText="1"/>
    </xf>
    <xf numFmtId="0" fontId="0" fillId="0" borderId="8" pivotButton="0" quotePrefix="0" xfId="0"/>
    <xf numFmtId="0" fontId="44" fillId="0" borderId="16" applyAlignment="1" pivotButton="0" quotePrefix="0" xfId="0">
      <alignment horizontal="center"/>
    </xf>
    <xf numFmtId="41" fontId="101" fillId="0" borderId="16" applyAlignment="1" pivotButton="0" quotePrefix="0" xfId="0">
      <alignment horizontal="center"/>
    </xf>
    <xf numFmtId="170" fontId="16" fillId="0" borderId="16" applyAlignment="1" pivotButton="0" quotePrefix="0" xfId="0">
      <alignment horizontal="center"/>
    </xf>
    <xf numFmtId="41" fontId="16" fillId="0" borderId="16" applyAlignment="1" pivotButton="0" quotePrefix="0" xfId="0">
      <alignment horizontal="center"/>
    </xf>
    <xf numFmtId="41" fontId="101" fillId="15" borderId="16" applyAlignment="1" pivotButton="0" quotePrefix="0" xfId="0">
      <alignment horizontal="center"/>
    </xf>
    <xf numFmtId="41" fontId="101" fillId="3" borderId="16" applyAlignment="1" pivotButton="0" quotePrefix="0" xfId="0">
      <alignment horizontal="center"/>
    </xf>
    <xf numFmtId="0" fontId="82" fillId="37" borderId="36" applyAlignment="1" pivotButton="0" quotePrefix="0" xfId="0">
      <alignment horizontal="center"/>
    </xf>
    <xf numFmtId="0" fontId="82" fillId="0" borderId="122" applyAlignment="1" pivotButton="0" quotePrefix="1" xfId="0">
      <alignment horizontal="center"/>
    </xf>
    <xf numFmtId="0" fontId="0" fillId="0" borderId="42" pivotButton="0" quotePrefix="0" xfId="0"/>
    <xf numFmtId="0" fontId="82" fillId="0" borderId="36" applyAlignment="1" pivotButton="0" quotePrefix="1" xfId="0">
      <alignment horizontal="center"/>
    </xf>
    <xf numFmtId="0" fontId="82" fillId="0" borderId="16" applyAlignment="1" pivotButton="0" quotePrefix="1" xfId="0">
      <alignment horizontal="center"/>
    </xf>
    <xf numFmtId="0" fontId="82" fillId="37" borderId="16" applyAlignment="1" pivotButton="0" quotePrefix="0" xfId="0">
      <alignment horizontal="center"/>
    </xf>
    <xf numFmtId="0" fontId="107" fillId="0" borderId="13" pivotButton="0" quotePrefix="0" xfId="7"/>
    <xf numFmtId="0" fontId="0" fillId="0" borderId="19" pivotButton="0" quotePrefix="0" xfId="0"/>
    <xf numFmtId="0" fontId="0" fillId="0" borderId="14" pivotButton="0" quotePrefix="0" xfId="0"/>
    <xf numFmtId="0" fontId="107" fillId="0" borderId="16" applyAlignment="1" pivotButton="0" quotePrefix="0" xfId="7">
      <alignment wrapText="1"/>
    </xf>
    <xf numFmtId="0" fontId="102" fillId="0" borderId="16" pivotButton="0" quotePrefix="0" xfId="7"/>
    <xf numFmtId="0" fontId="107" fillId="88" borderId="13" pivotButton="0" quotePrefix="0" xfId="7"/>
    <xf numFmtId="0" fontId="0" fillId="0" borderId="15" pivotButton="0" quotePrefix="0" xfId="0"/>
    <xf numFmtId="0" fontId="41" fillId="102" borderId="125" pivotButton="0" quotePrefix="0" xfId="14"/>
    <xf numFmtId="0" fontId="0" fillId="0" borderId="34" pivotButton="0" quotePrefix="0" xfId="0"/>
    <xf numFmtId="0" fontId="0" fillId="0" borderId="7" pivotButton="0" quotePrefix="0" xfId="0"/>
    <xf numFmtId="0" fontId="41" fillId="102" borderId="123" pivotButton="0" quotePrefix="0" xfId="14"/>
    <xf numFmtId="0" fontId="0" fillId="0" borderId="118" pivotButton="0" quotePrefix="0" xfId="0"/>
    <xf numFmtId="0" fontId="0" fillId="0" borderId="119" pivotButton="0" quotePrefix="0" xfId="0"/>
    <xf numFmtId="0" fontId="41" fillId="0" borderId="124" pivotButton="0" quotePrefix="0" xfId="14"/>
    <xf numFmtId="0" fontId="0" fillId="0" borderId="114" pivotButton="0" quotePrefix="0" xfId="0"/>
    <xf numFmtId="0" fontId="0" fillId="0" borderId="115" pivotButton="0" quotePrefix="0" xfId="0"/>
    <xf numFmtId="0" fontId="41" fillId="0" borderId="125" pivotButton="0" quotePrefix="0" xfId="14"/>
    <xf numFmtId="0" fontId="19" fillId="0" borderId="16" pivotButton="0" quotePrefix="0" xfId="0"/>
    <xf numFmtId="0" fontId="19" fillId="0" borderId="16" applyAlignment="1" pivotButton="0" quotePrefix="0" xfId="0">
      <alignment horizontal="left"/>
    </xf>
    <xf numFmtId="0" fontId="82" fillId="42" borderId="16" applyAlignment="1" pivotButton="0" quotePrefix="0" xfId="0">
      <alignment horizontal="right"/>
    </xf>
    <xf numFmtId="0" fontId="82" fillId="38" borderId="16" applyAlignment="1" pivotButton="0" quotePrefix="0" xfId="0">
      <alignment horizontal="right"/>
    </xf>
    <xf numFmtId="167" fontId="56" fillId="14" borderId="13" applyAlignment="1" pivotButton="0" quotePrefix="0" xfId="0">
      <alignment horizontal="right"/>
    </xf>
    <xf numFmtId="0" fontId="52" fillId="2" borderId="16" applyAlignment="1" pivotButton="0" quotePrefix="0" xfId="0">
      <alignment horizontal="center" vertical="center"/>
    </xf>
    <xf numFmtId="0" fontId="16" fillId="15" borderId="16" applyAlignment="1" pivotButton="0" quotePrefix="0" xfId="0">
      <alignment horizontal="center"/>
    </xf>
    <xf numFmtId="0" fontId="18" fillId="0" borderId="13" applyAlignment="1" pivotButton="0" quotePrefix="0" xfId="0">
      <alignment horizontal="left"/>
    </xf>
    <xf numFmtId="0" fontId="16" fillId="0" borderId="16" applyAlignment="1" pivotButton="0" quotePrefix="0" xfId="0">
      <alignment horizontal="center"/>
    </xf>
    <xf numFmtId="0" fontId="34" fillId="7" borderId="13" applyAlignment="1" pivotButton="0" quotePrefix="0" xfId="0">
      <alignment horizontal="left"/>
    </xf>
    <xf numFmtId="0" fontId="56" fillId="5" borderId="13" applyAlignment="1" pivotButton="0" quotePrefix="0" xfId="0">
      <alignment horizontal="left"/>
    </xf>
    <xf numFmtId="167" fontId="56" fillId="16" borderId="16" applyAlignment="1" pivotButton="0" quotePrefix="0" xfId="0">
      <alignment horizontal="right"/>
    </xf>
    <xf numFmtId="168" fontId="16" fillId="15" borderId="16" applyAlignment="1" pivotButton="0" quotePrefix="0" xfId="0">
      <alignment horizontal="center"/>
    </xf>
    <xf numFmtId="0" fontId="34" fillId="3" borderId="13" applyAlignment="1" pivotButton="0" quotePrefix="0" xfId="0">
      <alignment horizontal="left"/>
    </xf>
    <xf numFmtId="168" fontId="34" fillId="0" borderId="13" applyAlignment="1" pivotButton="0" quotePrefix="0" xfId="0">
      <alignment horizontal="left"/>
    </xf>
    <xf numFmtId="168" fontId="28" fillId="3" borderId="16" applyAlignment="1" pivotButton="0" quotePrefix="0" xfId="0">
      <alignment horizontal="right"/>
    </xf>
    <xf numFmtId="0" fontId="52" fillId="2" borderId="16" applyAlignment="1" pivotButton="0" quotePrefix="0" xfId="0">
      <alignment horizontal="center" vertical="center" wrapText="1"/>
    </xf>
    <xf numFmtId="168" fontId="16" fillId="3" borderId="16" applyAlignment="1" pivotButton="0" quotePrefix="0" xfId="0">
      <alignment horizontal="center"/>
    </xf>
    <xf numFmtId="0" fontId="9" fillId="0" borderId="16" applyAlignment="1" pivotButton="0" quotePrefix="0" xfId="0">
      <alignment horizontal="center"/>
    </xf>
    <xf numFmtId="0" fontId="13" fillId="2" borderId="16" applyAlignment="1" pivotButton="0" quotePrefix="0" xfId="0">
      <alignment horizontal="center"/>
    </xf>
    <xf numFmtId="3" fontId="12" fillId="7" borderId="126" applyAlignment="1" pivotButton="0" quotePrefix="0" xfId="0">
      <alignment horizontal="left" vertical="center"/>
    </xf>
    <xf numFmtId="0" fontId="0" fillId="0" borderId="33" pivotButton="0" quotePrefix="0" xfId="0"/>
    <xf numFmtId="38" fontId="10" fillId="31" borderId="28" applyAlignment="1" pivotButton="0" quotePrefix="0" xfId="0">
      <alignment horizontal="center" vertical="center" textRotation="90"/>
    </xf>
    <xf numFmtId="0" fontId="0" fillId="0" borderId="28" pivotButton="0" quotePrefix="0" xfId="0"/>
    <xf numFmtId="38" fontId="77" fillId="31" borderId="21" applyAlignment="1" pivotButton="0" quotePrefix="0" xfId="0">
      <alignment horizontal="center" vertical="center"/>
    </xf>
    <xf numFmtId="0" fontId="0" fillId="0" borderId="20" pivotButton="0" quotePrefix="0" xfId="0"/>
    <xf numFmtId="0" fontId="0" fillId="0" borderId="21" pivotButton="0" quotePrefix="0" xfId="0"/>
    <xf numFmtId="38" fontId="77" fillId="31" borderId="20" applyAlignment="1" pivotButton="0" quotePrefix="0" xfId="0">
      <alignment horizontal="center" vertical="center"/>
    </xf>
    <xf numFmtId="3" fontId="12" fillId="7" borderId="28" applyAlignment="1" pivotButton="0" quotePrefix="0" xfId="0">
      <alignment horizontal="center" vertical="center"/>
    </xf>
    <xf numFmtId="38" fontId="10" fillId="31" borderId="30" applyAlignment="1" pivotButton="0" quotePrefix="0" xfId="0">
      <alignment horizontal="center" vertical="center" textRotation="90"/>
    </xf>
    <xf numFmtId="0" fontId="10" fillId="7" borderId="16" pivotButton="0" quotePrefix="0" xfId="0"/>
    <xf numFmtId="185" fontId="81" fillId="0" borderId="0" pivotButton="0" quotePrefix="0" xfId="3"/>
    <xf numFmtId="186" fontId="81" fillId="0" borderId="0" pivotButton="0" quotePrefix="0" xfId="2"/>
    <xf numFmtId="172" fontId="82" fillId="0" borderId="0" applyAlignment="1" pivotButton="0" quotePrefix="1" xfId="2">
      <alignment horizontal="center"/>
    </xf>
    <xf numFmtId="173" fontId="0" fillId="0" borderId="16" applyAlignment="1" pivotButton="0" quotePrefix="0" xfId="1">
      <alignment horizontal="center"/>
    </xf>
    <xf numFmtId="173" fontId="44" fillId="0" borderId="48" applyAlignment="1" pivotButton="0" quotePrefix="0" xfId="1">
      <alignment horizontal="center"/>
    </xf>
    <xf numFmtId="173" fontId="0" fillId="0" borderId="0" applyAlignment="1" pivotButton="0" quotePrefix="0" xfId="0">
      <alignment horizontal="center"/>
    </xf>
    <xf numFmtId="172" fontId="81" fillId="0" borderId="16" pivotButton="0" quotePrefix="0" xfId="2"/>
    <xf numFmtId="172" fontId="0" fillId="0" borderId="16" pivotButton="0" quotePrefix="0" xfId="0"/>
    <xf numFmtId="186" fontId="0" fillId="0" borderId="0" pivotButton="0" quotePrefix="0" xfId="2"/>
    <xf numFmtId="172" fontId="0" fillId="0" borderId="16" pivotButton="0" quotePrefix="0" xfId="2"/>
    <xf numFmtId="172" fontId="0" fillId="0" borderId="53" pivotButton="0" quotePrefix="0" xfId="0"/>
    <xf numFmtId="172" fontId="81" fillId="0" borderId="0" pivotButton="0" quotePrefix="0" xfId="2"/>
    <xf numFmtId="172" fontId="0" fillId="0" borderId="0" pivotButton="0" quotePrefix="0" xfId="0"/>
    <xf numFmtId="173" fontId="0" fillId="0" borderId="0" applyAlignment="1" pivotButton="0" quotePrefix="0" xfId="1">
      <alignment horizontal="center"/>
    </xf>
    <xf numFmtId="184" fontId="81" fillId="0" borderId="0" applyAlignment="1" pivotButton="0" quotePrefix="0" xfId="0">
      <alignment horizontal="center"/>
    </xf>
    <xf numFmtId="182" fontId="65" fillId="0" borderId="0" pivotButton="0" quotePrefix="0" xfId="0"/>
    <xf numFmtId="182" fontId="65" fillId="0" borderId="8" pivotButton="0" quotePrefix="0" xfId="0"/>
    <xf numFmtId="182" fontId="64" fillId="0" borderId="8" pivotButton="0" quotePrefix="0" xfId="0"/>
    <xf numFmtId="182" fontId="64" fillId="0" borderId="0" pivotButton="0" quotePrefix="0" xfId="0"/>
    <xf numFmtId="182" fontId="64" fillId="0" borderId="15" pivotButton="0" quotePrefix="0" xfId="0"/>
    <xf numFmtId="189" fontId="82" fillId="0" borderId="0" pivotButton="0" quotePrefix="0" xfId="0"/>
    <xf numFmtId="189" fontId="81" fillId="0" borderId="0" pivotButton="0" quotePrefix="0" xfId="0"/>
    <xf numFmtId="172" fontId="81" fillId="0" borderId="0" pivotButton="0" quotePrefix="0" xfId="0"/>
    <xf numFmtId="172" fontId="82" fillId="0" borderId="0" applyAlignment="1" pivotButton="0" quotePrefix="0" xfId="0">
      <alignment horizontal="right"/>
    </xf>
    <xf numFmtId="172" fontId="81" fillId="0" borderId="16" pivotButton="0" quotePrefix="0" xfId="0"/>
    <xf numFmtId="172" fontId="82" fillId="0" borderId="16" applyAlignment="1" pivotButton="0" quotePrefix="0" xfId="0">
      <alignment horizontal="right"/>
    </xf>
    <xf numFmtId="173" fontId="81" fillId="0" borderId="0" applyAlignment="1" pivotButton="0" quotePrefix="0" xfId="0">
      <alignment horizontal="center"/>
    </xf>
    <xf numFmtId="172" fontId="81" fillId="0" borderId="0" applyAlignment="1" pivotButton="0" quotePrefix="0" xfId="0">
      <alignment horizontal="right"/>
    </xf>
    <xf numFmtId="172" fontId="87" fillId="0" borderId="0" pivotButton="0" quotePrefix="0" xfId="0"/>
    <xf numFmtId="173" fontId="88" fillId="0" borderId="0" applyAlignment="1" pivotButton="0" quotePrefix="0" xfId="0">
      <alignment horizontal="center"/>
    </xf>
    <xf numFmtId="172" fontId="41" fillId="0" borderId="0" pivotButton="0" quotePrefix="0" xfId="0"/>
    <xf numFmtId="172" fontId="42" fillId="0" borderId="0" pivotButton="0" quotePrefix="0" xfId="0"/>
    <xf numFmtId="174" fontId="28" fillId="0" borderId="0" applyAlignment="1" pivotButton="0" quotePrefix="0" xfId="0">
      <alignment horizontal="center"/>
    </xf>
    <xf numFmtId="174" fontId="28" fillId="0" borderId="8" applyAlignment="1" pivotButton="0" quotePrefix="0" xfId="0">
      <alignment horizontal="center"/>
    </xf>
    <xf numFmtId="173" fontId="28" fillId="54" borderId="16" applyAlignment="1" pivotButton="0" quotePrefix="0" xfId="0">
      <alignment horizontal="center"/>
    </xf>
    <xf numFmtId="173" fontId="28" fillId="3" borderId="16" applyAlignment="1" pivotButton="0" quotePrefix="0" xfId="0">
      <alignment horizontal="center"/>
    </xf>
    <xf numFmtId="173" fontId="28" fillId="3" borderId="8" applyAlignment="1" pivotButton="0" quotePrefix="0" xfId="0">
      <alignment horizontal="center"/>
    </xf>
    <xf numFmtId="173" fontId="17" fillId="3" borderId="16" applyAlignment="1" pivotButton="0" quotePrefix="0" xfId="0">
      <alignment horizontal="center"/>
    </xf>
    <xf numFmtId="173" fontId="17" fillId="7" borderId="16" applyAlignment="1" pivotButton="0" quotePrefix="0" xfId="0">
      <alignment horizontal="center"/>
    </xf>
    <xf numFmtId="173" fontId="17" fillId="7" borderId="8" applyAlignment="1" pivotButton="0" quotePrefix="0" xfId="0">
      <alignment horizontal="center"/>
    </xf>
    <xf numFmtId="175" fontId="17" fillId="0" borderId="0" pivotButton="0" quotePrefix="0" xfId="0"/>
    <xf numFmtId="176" fontId="17" fillId="3" borderId="0" applyAlignment="1" pivotButton="0" quotePrefix="0" xfId="0">
      <alignment horizontal="center"/>
    </xf>
    <xf numFmtId="176" fontId="16" fillId="3" borderId="25" applyAlignment="1" pivotButton="0" quotePrefix="0" xfId="0">
      <alignment horizontal="right"/>
    </xf>
    <xf numFmtId="176" fontId="16" fillId="3" borderId="8" applyAlignment="1" pivotButton="0" quotePrefix="0" xfId="0">
      <alignment horizontal="right"/>
    </xf>
    <xf numFmtId="175" fontId="17" fillId="3" borderId="0" applyAlignment="1" pivotButton="0" quotePrefix="0" xfId="0">
      <alignment horizontal="center"/>
    </xf>
    <xf numFmtId="176" fontId="16" fillId="10" borderId="8" applyAlignment="1" pivotButton="0" quotePrefix="0" xfId="0">
      <alignment horizontal="center"/>
    </xf>
    <xf numFmtId="175" fontId="39" fillId="0" borderId="17" applyAlignment="1" pivotButton="0" quotePrefix="0" xfId="0">
      <alignment horizontal="left" wrapText="1"/>
    </xf>
    <xf numFmtId="175" fontId="17" fillId="0" borderId="0" applyAlignment="1" pivotButton="0" quotePrefix="0" xfId="0">
      <alignment horizontal="right"/>
    </xf>
    <xf numFmtId="176" fontId="17" fillId="0" borderId="0" applyAlignment="1" pivotButton="0" quotePrefix="0" xfId="0">
      <alignment horizontal="center"/>
    </xf>
    <xf numFmtId="176" fontId="17" fillId="0" borderId="8" applyAlignment="1" pivotButton="0" quotePrefix="0" xfId="0">
      <alignment horizontal="center"/>
    </xf>
    <xf numFmtId="175" fontId="17" fillId="0" borderId="0" applyAlignment="1" pivotButton="0" quotePrefix="0" xfId="0">
      <alignment horizontal="center"/>
    </xf>
    <xf numFmtId="175" fontId="17" fillId="0" borderId="8" applyAlignment="1" pivotButton="0" quotePrefix="0" xfId="0">
      <alignment horizontal="center"/>
    </xf>
    <xf numFmtId="175" fontId="17" fillId="0" borderId="17" applyAlignment="1" pivotButton="0" quotePrefix="0" xfId="0">
      <alignment horizontal="left" wrapText="1"/>
    </xf>
    <xf numFmtId="173" fontId="16" fillId="3" borderId="16" applyAlignment="1" pivotButton="0" quotePrefix="0" xfId="0">
      <alignment horizontal="center"/>
    </xf>
    <xf numFmtId="172" fontId="28" fillId="3" borderId="16" applyAlignment="1" pivotButton="0" quotePrefix="0" xfId="0">
      <alignment horizontal="center"/>
    </xf>
    <xf numFmtId="172" fontId="29" fillId="0" borderId="0" applyAlignment="1" pivotButton="0" quotePrefix="0" xfId="0">
      <alignment horizontal="center"/>
    </xf>
    <xf numFmtId="172" fontId="28" fillId="2" borderId="16" applyAlignment="1" pivotButton="0" quotePrefix="0" xfId="2">
      <alignment horizontal="right"/>
    </xf>
    <xf numFmtId="183" fontId="0" fillId="0" borderId="0" pivotButton="0" quotePrefix="0" xfId="1"/>
    <xf numFmtId="172" fontId="16" fillId="2" borderId="0" pivotButton="0" quotePrefix="0" xfId="2"/>
    <xf numFmtId="172" fontId="0" fillId="0" borderId="0" pivotButton="0" quotePrefix="0" xfId="2"/>
    <xf numFmtId="183" fontId="0" fillId="0" borderId="0" pivotButton="0" quotePrefix="0" xfId="0"/>
    <xf numFmtId="187" fontId="0" fillId="0" borderId="0" pivotButton="0" quotePrefix="0" xfId="0"/>
    <xf numFmtId="172" fontId="104" fillId="62" borderId="0" pivotButton="0" quotePrefix="0" xfId="2"/>
    <xf numFmtId="172" fontId="105" fillId="61" borderId="16" applyAlignment="1" pivotButton="0" quotePrefix="0" xfId="2">
      <alignment horizontal="right"/>
    </xf>
    <xf numFmtId="172" fontId="105" fillId="61" borderId="0" pivotButton="0" quotePrefix="0" xfId="2"/>
    <xf numFmtId="172" fontId="44" fillId="0" borderId="0" pivotButton="0" quotePrefix="0" xfId="2"/>
    <xf numFmtId="183" fontId="44" fillId="0" borderId="0" pivotButton="0" quotePrefix="0" xfId="0"/>
    <xf numFmtId="184" fontId="0" fillId="0" borderId="0" pivotButton="0" quotePrefix="0" xfId="0"/>
    <xf numFmtId="173" fontId="81" fillId="0" borderId="0" applyAlignment="1" pivotButton="0" quotePrefix="0" xfId="1">
      <alignment horizontal="center"/>
    </xf>
    <xf numFmtId="184" fontId="127" fillId="0" borderId="0" pivotButton="0" quotePrefix="0" xfId="0"/>
    <xf numFmtId="173" fontId="82" fillId="0" borderId="0" pivotButton="0" quotePrefix="0" xfId="0"/>
    <xf numFmtId="184" fontId="78" fillId="0" borderId="0" pivotButton="0" quotePrefix="0" xfId="0"/>
    <xf numFmtId="184" fontId="82" fillId="0" borderId="0" pivotButton="0" quotePrefix="0" xfId="0"/>
    <xf numFmtId="172" fontId="82" fillId="0" borderId="0" pivotButton="0" quotePrefix="0" xfId="2"/>
    <xf numFmtId="184" fontId="132" fillId="0" borderId="16" pivotButton="0" quotePrefix="0" xfId="0"/>
    <xf numFmtId="184" fontId="132" fillId="0" borderId="53" pivotButton="0" quotePrefix="0" xfId="0"/>
    <xf numFmtId="172" fontId="82" fillId="0" borderId="0" pivotButton="0" quotePrefix="0" xfId="0"/>
    <xf numFmtId="177" fontId="173" fillId="0" borderId="0" pivotButton="0" quotePrefix="0" xfId="0"/>
    <xf numFmtId="177" fontId="174" fillId="0" borderId="0" pivotButton="0" quotePrefix="0" xfId="0"/>
    <xf numFmtId="173" fontId="177" fillId="0" borderId="0" pivotButton="0" quotePrefix="0" xfId="0"/>
    <xf numFmtId="177" fontId="178" fillId="0" borderId="0" pivotButton="0" quotePrefix="0" xfId="0"/>
    <xf numFmtId="173" fontId="173" fillId="0" borderId="0" pivotButton="0" quotePrefix="0" xfId="0"/>
    <xf numFmtId="193" fontId="173" fillId="0" borderId="0" pivotButton="0" quotePrefix="0" xfId="0"/>
    <xf numFmtId="172" fontId="0" fillId="0" borderId="16" pivotButton="0" quotePrefix="0" xfId="5"/>
    <xf numFmtId="172" fontId="137" fillId="0" borderId="16" pivotButton="0" quotePrefix="0" xfId="4"/>
    <xf numFmtId="172" fontId="2" fillId="60" borderId="16" pivotButton="0" quotePrefix="0" xfId="4"/>
    <xf numFmtId="172" fontId="137" fillId="60" borderId="16" pivotButton="0" quotePrefix="0" xfId="4"/>
    <xf numFmtId="172" fontId="2" fillId="0" borderId="16" pivotButton="0" quotePrefix="0" xfId="4"/>
    <xf numFmtId="172" fontId="2" fillId="87" borderId="16" pivotButton="0" quotePrefix="0" xfId="4"/>
    <xf numFmtId="172" fontId="137" fillId="87" borderId="16" pivotButton="0" quotePrefix="0" xfId="4"/>
    <xf numFmtId="172" fontId="138" fillId="85" borderId="16" pivotButton="0" quotePrefix="0" xfId="4"/>
    <xf numFmtId="172" fontId="136" fillId="85" borderId="16" pivotButton="0" quotePrefix="0" xfId="4"/>
    <xf numFmtId="188" fontId="84" fillId="0" borderId="59" applyAlignment="1" pivotButton="0" quotePrefix="0" xfId="7">
      <alignment horizontal="center" vertical="top"/>
    </xf>
    <xf numFmtId="188" fontId="84" fillId="0" borderId="60" applyAlignment="1" pivotButton="0" quotePrefix="0" xfId="7">
      <alignment horizontal="center" vertical="top"/>
    </xf>
    <xf numFmtId="188" fontId="84" fillId="0" borderId="61" applyAlignment="1" pivotButton="0" quotePrefix="0" xfId="7">
      <alignment horizontal="center" vertical="top"/>
    </xf>
    <xf numFmtId="172" fontId="102" fillId="0" borderId="16" pivotButton="0" quotePrefix="0" xfId="0"/>
    <xf numFmtId="172" fontId="108" fillId="0" borderId="16" pivotButton="0" quotePrefix="0" xfId="0"/>
    <xf numFmtId="172" fontId="0" fillId="56" borderId="16" pivotButton="0" quotePrefix="0" xfId="9"/>
    <xf numFmtId="172" fontId="102" fillId="56" borderId="16" pivotButton="0" quotePrefix="0" xfId="2"/>
    <xf numFmtId="172" fontId="102" fillId="0" borderId="16" pivotButton="0" quotePrefix="0" xfId="7"/>
    <xf numFmtId="172" fontId="0" fillId="0" borderId="16" pivotButton="0" quotePrefix="0" xfId="9"/>
    <xf numFmtId="172" fontId="79" fillId="0" borderId="0" pivotButton="0" quotePrefix="0" xfId="2"/>
    <xf numFmtId="172" fontId="1" fillId="0" borderId="0" pivotButton="0" quotePrefix="0" xfId="2"/>
    <xf numFmtId="172" fontId="137" fillId="0" borderId="0" pivotButton="0" quotePrefix="0" xfId="2"/>
    <xf numFmtId="184" fontId="2" fillId="0" borderId="16" pivotButton="0" quotePrefix="0" xfId="4"/>
    <xf numFmtId="190" fontId="41" fillId="0" borderId="16" applyAlignment="1" pivotButton="0" quotePrefix="0" xfId="14">
      <alignment horizontal="center" wrapText="1"/>
    </xf>
    <xf numFmtId="191" fontId="41" fillId="0" borderId="16" applyAlignment="1" pivotButton="0" quotePrefix="0" xfId="14">
      <alignment horizontal="center" wrapText="1"/>
    </xf>
    <xf numFmtId="190" fontId="42" fillId="99" borderId="34" applyAlignment="1" pivotButton="0" quotePrefix="0" xfId="14">
      <alignment horizontal="center"/>
    </xf>
    <xf numFmtId="192" fontId="41" fillId="0" borderId="111" applyAlignment="1" pivotButton="0" quotePrefix="0" xfId="14">
      <alignment horizontal="right"/>
    </xf>
    <xf numFmtId="192" fontId="73" fillId="0" borderId="111" pivotButton="0" quotePrefix="0" xfId="14"/>
    <xf numFmtId="173" fontId="41" fillId="3" borderId="0" applyAlignment="1" pivotButton="0" quotePrefix="0" xfId="0">
      <alignment horizontal="center"/>
    </xf>
    <xf numFmtId="173" fontId="41" fillId="0" borderId="0" applyAlignment="1" pivotButton="0" quotePrefix="0" xfId="0">
      <alignment horizontal="center"/>
    </xf>
    <xf numFmtId="172" fontId="41" fillId="3" borderId="0" applyAlignment="1" pivotButton="0" quotePrefix="0" xfId="0">
      <alignment horizontal="right"/>
    </xf>
    <xf numFmtId="172" fontId="19" fillId="0" borderId="0" pivotButton="0" quotePrefix="0" xfId="0"/>
    <xf numFmtId="172" fontId="41" fillId="0" borderId="0" applyAlignment="1" pivotButton="0" quotePrefix="0" xfId="0">
      <alignment horizontal="right"/>
    </xf>
    <xf numFmtId="172" fontId="42" fillId="0" borderId="0" applyAlignment="1" pivotButton="0" quotePrefix="0" xfId="0">
      <alignment horizontal="right"/>
    </xf>
    <xf numFmtId="177" fontId="17" fillId="0" borderId="0" applyAlignment="1" pivotButton="0" quotePrefix="0" xfId="0">
      <alignment horizontal="center"/>
    </xf>
    <xf numFmtId="178" fontId="15" fillId="2" borderId="17" applyAlignment="1" pivotButton="0" quotePrefix="0" xfId="0">
      <alignment horizontal="center"/>
    </xf>
    <xf numFmtId="178" fontId="15" fillId="2" borderId="8" applyAlignment="1" pivotButton="0" quotePrefix="0" xfId="0">
      <alignment horizontal="center"/>
    </xf>
    <xf numFmtId="173" fontId="16" fillId="16" borderId="16" applyAlignment="1" pivotButton="0" quotePrefix="0" xfId="0">
      <alignment horizontal="right"/>
    </xf>
    <xf numFmtId="177" fontId="16" fillId="0" borderId="0" applyAlignment="1" pivotButton="0" quotePrefix="0" xfId="0">
      <alignment horizontal="center"/>
    </xf>
    <xf numFmtId="177" fontId="16" fillId="0" borderId="17" applyAlignment="1" pivotButton="0" quotePrefix="0" xfId="0">
      <alignment horizontal="center"/>
    </xf>
    <xf numFmtId="177" fontId="16" fillId="0" borderId="25" applyAlignment="1" pivotButton="0" quotePrefix="0" xfId="0">
      <alignment horizontal="center"/>
    </xf>
    <xf numFmtId="177" fontId="16" fillId="0" borderId="8" applyAlignment="1" pivotButton="0" quotePrefix="0" xfId="0">
      <alignment horizontal="center"/>
    </xf>
    <xf numFmtId="177" fontId="17" fillId="0" borderId="0" applyAlignment="1" pivotButton="0" quotePrefix="0" xfId="0">
      <alignment horizontal="right"/>
    </xf>
    <xf numFmtId="177" fontId="17" fillId="0" borderId="17" applyAlignment="1" pivotButton="0" quotePrefix="0" xfId="0">
      <alignment horizontal="right"/>
    </xf>
    <xf numFmtId="177" fontId="17" fillId="0" borderId="8" applyAlignment="1" pivotButton="0" quotePrefix="0" xfId="0">
      <alignment horizontal="right"/>
    </xf>
    <xf numFmtId="177" fontId="30" fillId="0" borderId="0" applyAlignment="1" pivotButton="0" quotePrefix="0" xfId="0">
      <alignment horizontal="right"/>
    </xf>
    <xf numFmtId="177" fontId="17" fillId="0" borderId="0" applyAlignment="1" pivotButton="0" quotePrefix="0" xfId="0">
      <alignment horizontal="left"/>
    </xf>
    <xf numFmtId="177" fontId="17" fillId="0" borderId="17" applyAlignment="1" pivotButton="0" quotePrefix="0" xfId="0">
      <alignment horizontal="left"/>
    </xf>
    <xf numFmtId="177" fontId="17" fillId="0" borderId="8" applyAlignment="1" pivotButton="0" quotePrefix="0" xfId="0">
      <alignment horizontal="left"/>
    </xf>
    <xf numFmtId="177" fontId="17" fillId="0" borderId="17" applyAlignment="1" pivotButton="0" quotePrefix="0" xfId="0">
      <alignment horizontal="center"/>
    </xf>
    <xf numFmtId="177" fontId="16" fillId="0" borderId="0" pivotButton="0" quotePrefix="0" xfId="0"/>
    <xf numFmtId="179" fontId="16" fillId="0" borderId="0" applyAlignment="1" pivotButton="0" quotePrefix="0" xfId="0">
      <alignment horizontal="center"/>
    </xf>
    <xf numFmtId="179" fontId="16" fillId="0" borderId="17" applyAlignment="1" pivotButton="0" quotePrefix="0" xfId="0">
      <alignment horizontal="center"/>
    </xf>
    <xf numFmtId="179" fontId="16" fillId="0" borderId="8" applyAlignment="1" pivotButton="0" quotePrefix="0" xfId="0">
      <alignment horizontal="center"/>
    </xf>
    <xf numFmtId="177" fontId="17" fillId="0" borderId="0" applyAlignment="1" pivotButton="0" quotePrefix="0" xfId="0">
      <alignment horizontal="center" wrapText="1"/>
    </xf>
    <xf numFmtId="180" fontId="17" fillId="0" borderId="0" applyAlignment="1" pivotButton="0" quotePrefix="0" xfId="0">
      <alignment horizontal="center"/>
    </xf>
    <xf numFmtId="180" fontId="17" fillId="0" borderId="8" applyAlignment="1" pivotButton="0" quotePrefix="0" xfId="0">
      <alignment horizontal="center"/>
    </xf>
    <xf numFmtId="177" fontId="17" fillId="0" borderId="0" applyAlignment="1" pivotButton="0" quotePrefix="0" xfId="0">
      <alignment wrapText="1"/>
    </xf>
    <xf numFmtId="177" fontId="17" fillId="0" borderId="17" applyAlignment="1" pivotButton="0" quotePrefix="0" xfId="0">
      <alignment wrapText="1"/>
    </xf>
    <xf numFmtId="177" fontId="17" fillId="0" borderId="8" applyAlignment="1" pivotButton="0" quotePrefix="0" xfId="0">
      <alignment wrapText="1"/>
    </xf>
    <xf numFmtId="177" fontId="57" fillId="0" borderId="0" applyAlignment="1" pivotButton="0" quotePrefix="0" xfId="0">
      <alignment horizontal="right"/>
    </xf>
    <xf numFmtId="181" fontId="58" fillId="0" borderId="0" applyAlignment="1" pivotButton="0" quotePrefix="0" xfId="0">
      <alignment horizontal="right"/>
    </xf>
    <xf numFmtId="177" fontId="17" fillId="0" borderId="8" applyAlignment="1" pivotButton="0" quotePrefix="0" xfId="0">
      <alignment horizontal="center"/>
    </xf>
    <xf numFmtId="177" fontId="59" fillId="0" borderId="0" applyAlignment="1" pivotButton="0" quotePrefix="0" xfId="0">
      <alignment horizontal="right"/>
    </xf>
    <xf numFmtId="180" fontId="16" fillId="0" borderId="0" applyAlignment="1" pivotButton="0" quotePrefix="0" xfId="0">
      <alignment horizontal="center"/>
    </xf>
    <xf numFmtId="180" fontId="17" fillId="0" borderId="0" pivotButton="0" quotePrefix="0" xfId="0"/>
    <xf numFmtId="180" fontId="16" fillId="0" borderId="0" pivotButton="0" quotePrefix="0" xfId="0"/>
    <xf numFmtId="180" fontId="58" fillId="0" borderId="0" applyAlignment="1" pivotButton="0" quotePrefix="0" xfId="0">
      <alignment horizontal="right"/>
    </xf>
    <xf numFmtId="180" fontId="16" fillId="0" borderId="8" applyAlignment="1" pivotButton="0" quotePrefix="0" xfId="0">
      <alignment horizontal="center"/>
    </xf>
    <xf numFmtId="177" fontId="17" fillId="0" borderId="0" pivotButton="0" quotePrefix="0" xfId="0"/>
    <xf numFmtId="177" fontId="17" fillId="0" borderId="17" pivotButton="0" quotePrefix="0" xfId="0"/>
    <xf numFmtId="177" fontId="17" fillId="0" borderId="8" pivotButton="0" quotePrefix="0" xfId="0"/>
    <xf numFmtId="180" fontId="56" fillId="16" borderId="13" applyAlignment="1" pivotButton="0" quotePrefix="0" xfId="0">
      <alignment horizontal="center"/>
    </xf>
    <xf numFmtId="182" fontId="66" fillId="0" borderId="0" pivotButton="0" quotePrefix="0" xfId="0"/>
    <xf numFmtId="182" fontId="66" fillId="0" borderId="8" pivotButton="0" quotePrefix="0" xfId="0"/>
    <xf numFmtId="182" fontId="69" fillId="0" borderId="8" pivotButton="0" quotePrefix="0" xfId="0"/>
    <xf numFmtId="182" fontId="69" fillId="0" borderId="0" pivotButton="0" quotePrefix="0" xfId="0"/>
    <xf numFmtId="182" fontId="66" fillId="0" borderId="8" applyAlignment="1" pivotButton="0" quotePrefix="0" xfId="0">
      <alignment horizontal="right"/>
    </xf>
    <xf numFmtId="182" fontId="66" fillId="0" borderId="0" applyAlignment="1" pivotButton="0" quotePrefix="0" xfId="0">
      <alignment horizontal="right"/>
    </xf>
    <xf numFmtId="182" fontId="65" fillId="0" borderId="8" applyAlignment="1" pivotButton="0" quotePrefix="0" xfId="0">
      <alignment horizontal="right"/>
    </xf>
    <xf numFmtId="182" fontId="65" fillId="0" borderId="0" applyAlignment="1" pivotButton="0" quotePrefix="0" xfId="0">
      <alignment horizontal="right"/>
    </xf>
    <xf numFmtId="182" fontId="64" fillId="0" borderId="8" applyAlignment="1" pivotButton="0" quotePrefix="0" xfId="0">
      <alignment horizontal="right"/>
    </xf>
    <xf numFmtId="182" fontId="64" fillId="0" borderId="0" applyAlignment="1" pivotButton="0" quotePrefix="0" xfId="0">
      <alignment horizontal="right"/>
    </xf>
    <xf numFmtId="176" fontId="12" fillId="0" borderId="0" pivotButton="0" quotePrefix="0" xfId="0"/>
    <xf numFmtId="176" fontId="7" fillId="0" borderId="0" pivotButton="0" quotePrefix="0" xfId="0"/>
    <xf numFmtId="176" fontId="64" fillId="0" borderId="0" pivotButton="0" quotePrefix="0" xfId="0"/>
    <xf numFmtId="176" fontId="65" fillId="0" borderId="0" pivotButton="0" quotePrefix="0" xfId="0"/>
    <xf numFmtId="177" fontId="24" fillId="31" borderId="20" applyAlignment="1" pivotButton="0" quotePrefix="0" xfId="0">
      <alignment horizontal="center"/>
    </xf>
    <xf numFmtId="177" fontId="77" fillId="31" borderId="20" applyAlignment="1" pivotButton="0" quotePrefix="0" xfId="0">
      <alignment horizontal="center"/>
    </xf>
    <xf numFmtId="177" fontId="7" fillId="7" borderId="16" pivotButton="0" quotePrefix="0" xfId="0"/>
    <xf numFmtId="177" fontId="7" fillId="7" borderId="2" pivotButton="0" quotePrefix="0" xfId="0"/>
    <xf numFmtId="177" fontId="7" fillId="7" borderId="22" pivotButton="0" quotePrefix="0" xfId="0"/>
    <xf numFmtId="177" fontId="12" fillId="7" borderId="19" pivotButton="0" quotePrefix="0" xfId="0"/>
    <xf numFmtId="177" fontId="12" fillId="7" borderId="29" pivotButton="0" quotePrefix="0" xfId="0"/>
    <xf numFmtId="177" fontId="7" fillId="7" borderId="12" pivotButton="0" quotePrefix="0" xfId="0"/>
    <xf numFmtId="177" fontId="7" fillId="7" borderId="31" pivotButton="0" quotePrefix="0" xfId="0"/>
    <xf numFmtId="177" fontId="7" fillId="7" borderId="23" pivotButton="0" quotePrefix="0" xfId="0"/>
    <xf numFmtId="177" fontId="7" fillId="7" borderId="16" applyAlignment="1" pivotButton="0" quotePrefix="0" xfId="0">
      <alignment horizontal="center" vertical="center"/>
    </xf>
    <xf numFmtId="177" fontId="7" fillId="7" borderId="2" applyAlignment="1" pivotButton="0" quotePrefix="0" xfId="0">
      <alignment horizontal="center" vertical="center"/>
    </xf>
    <xf numFmtId="177" fontId="10" fillId="7" borderId="16" applyAlignment="1" pivotButton="0" quotePrefix="0" xfId="0">
      <alignment horizontal="center" vertical="center"/>
    </xf>
    <xf numFmtId="177" fontId="7" fillId="7" borderId="16" applyAlignment="1" pivotButton="0" quotePrefix="0" xfId="0">
      <alignment horizontal="center"/>
    </xf>
    <xf numFmtId="177" fontId="12" fillId="7" borderId="34" pivotButton="0" quotePrefix="0" xfId="0"/>
    <xf numFmtId="177" fontId="12" fillId="7" borderId="7" pivotButton="0" quotePrefix="0" xfId="0"/>
    <xf numFmtId="173" fontId="15" fillId="5" borderId="16" applyAlignment="1" pivotButton="0" quotePrefix="0" xfId="0">
      <alignment horizontal="center"/>
    </xf>
  </cellXfs>
  <cellStyles count="16">
    <cellStyle name="Normal" xfId="0" builtinId="0"/>
    <cellStyle name="Percent" xfId="1" builtinId="5"/>
    <cellStyle name="Currency" xfId="2" builtinId="4"/>
    <cellStyle name="Comma" xfId="3" builtinId="3"/>
    <cellStyle name="Normal 2" xfId="4"/>
    <cellStyle name="Currency 2" xfId="5"/>
    <cellStyle name="Percent 2" xfId="6"/>
    <cellStyle name="Normal 3" xfId="7"/>
    <cellStyle name="Percent 3" xfId="8"/>
    <cellStyle name="Currency 3" xfId="9"/>
    <cellStyle name="Hyperlink" xfId="10" builtinId="8"/>
    <cellStyle name="Normal 4" xfId="11"/>
    <cellStyle name="Percent 4" xfId="12"/>
    <cellStyle name="Hyperlink 2" xfId="13"/>
    <cellStyle name="Normal 5" xfId="14"/>
    <cellStyle name="Normal 6" xfId="15"/>
  </cellStyles>
  <dxfs count="99">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numFmt numFmtId="14" formatCode="0.00%"/>
    </dxf>
    <dxf>
      <font>
        <name val="Arial"/>
        <family val="2"/>
        <b val="1"/>
        <strike val="0"/>
        <outline val="0"/>
        <shadow val="0"/>
        <condense val="0"/>
        <color rgb="FF000000"/>
        <extend val="0"/>
        <sz val="10"/>
        <vertAlign val="baseline"/>
      </font>
      <numFmt numFmtId="4" formatCode="#,##0.00"/>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numFmt numFmtId="14" formatCode="0.00%"/>
    </dxf>
    <dxf>
      <font>
        <name val="Arial"/>
        <family val="2"/>
        <b val="1"/>
        <strike val="0"/>
        <outline val="0"/>
        <shadow val="0"/>
        <condense val="0"/>
        <color rgb="FF000000"/>
        <extend val="0"/>
        <sz val="10"/>
        <vertAlign val="baseline"/>
      </font>
      <numFmt numFmtId="4" formatCode="#,##0.00"/>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numFmt numFmtId="13" formatCode="0%"/>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Arial"/>
        <family val="2"/>
        <b val="1"/>
        <strike val="0"/>
        <outline val="0"/>
        <shadow val="0"/>
        <condense val="0"/>
        <color rgb="FF000000"/>
        <extend val="0"/>
        <sz val="10"/>
        <vertAlign val="baseline"/>
      </font>
    </dxf>
    <dxf>
      <font>
        <name val="Calibri"/>
        <family val="2"/>
        <b val="1"/>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b val="1"/>
        <strike val="0"/>
        <outline val="0"/>
        <shadow val="0"/>
        <condense val="0"/>
        <color rgb="FF000000"/>
        <extend val="0"/>
        <sz val="11"/>
        <vertAlign val="baseline"/>
      </font>
      <numFmt numFmtId="167" formatCode="&quot;$&quot;#,##0.00"/>
      <border>
        <left style="medium">
          <color indexed="64"/>
        </left>
        <right style="medium">
          <color indexed="64"/>
        </right>
        <top style="thin">
          <color rgb="FFFFFFFF"/>
        </top>
        <bottom style="thin">
          <color rgb="FFFFFFFF"/>
        </bottom>
        <vertical/>
        <horizontal/>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b val="1"/>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b val="1"/>
        <sz val="11"/>
      </font>
      <numFmt numFmtId="167" formatCode="&quot;$&quot;#,##0.00"/>
      <border>
        <left style="medium">
          <color indexed="64"/>
        </left>
        <right style="medium">
          <color indexed="64"/>
        </right>
        <top style="thin">
          <color rgb="FFFFFFFF"/>
        </top>
        <bottom style="thin">
          <color rgb="FFFFFFFF"/>
        </bottom>
        <vertical/>
        <horizontal/>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b val="1"/>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b val="1"/>
        <sz val="11"/>
      </font>
      <numFmt numFmtId="167" formatCode="&quot;$&quot;#,##0.00"/>
      <border>
        <left style="medium">
          <color indexed="64"/>
        </left>
        <right style="medium">
          <color indexed="64"/>
        </right>
        <top style="thin">
          <color rgb="FFFFFFFF"/>
        </top>
        <bottom style="thin">
          <color rgb="FFFFFFFF"/>
        </bottom>
        <vertical/>
        <horizontal/>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b val="1"/>
        <strike val="0"/>
        <outline val="0"/>
        <shadow val="0"/>
        <condense val="0"/>
        <color rgb="FF000000"/>
        <extend val="0"/>
        <sz val="10"/>
        <vertAlign val="baseline"/>
        <scheme val="minor"/>
      </font>
      <numFmt numFmtId="34" formatCode="_(&quot;$&quot;* #,##0.00_);_(&quot;$&quot;* \(#,##0.00\);_(&quot;$&quot;* &quot;-&quot;??_);_(@_)"/>
      <border outline="0">
        <left/>
        <right/>
        <top/>
        <bottom/>
      </border>
    </dxf>
    <dxf>
      <numFmt numFmtId="167" formatCode="&quot;$&quot;#,##0.00"/>
      <border>
        <left style="medium">
          <color indexed="64"/>
        </left>
        <right style="medium">
          <color indexed="64"/>
        </right>
        <vertical/>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b val="1"/>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34" formatCode="_(&quot;$&quot;* #,##0.00_);_(&quot;$&quot;* \(#,##0.00\);_(&quot;$&quot;* &quot;-&quot;??_);_(@_)"/>
      <border outline="0">
        <left/>
        <right/>
        <top/>
        <bottom/>
      </border>
    </dxf>
    <dxf>
      <font>
        <name val="Calibri"/>
        <family val="2"/>
        <strike val="0"/>
        <outline val="0"/>
        <shadow val="0"/>
        <condense val="0"/>
        <color rgb="FF000000"/>
        <extend val="0"/>
        <sz val="10"/>
        <vertAlign val="baseline"/>
        <scheme val="minor"/>
      </font>
      <numFmt numFmtId="167" formatCode="&quot;$&quot;#,##0.00"/>
      <border outline="0">
        <left/>
        <right/>
        <top/>
        <bottom/>
      </border>
    </dxf>
    <dxf>
      <font>
        <name val="Calibri"/>
        <family val="2"/>
        <strike val="0"/>
        <outline val="0"/>
        <shadow val="0"/>
        <condense val="0"/>
        <color rgb="FF000000"/>
        <extend val="0"/>
        <sz val="10"/>
        <vertAlign val="baseline"/>
        <scheme val="minor"/>
      </font>
      <border outline="0">
        <left/>
        <right/>
        <top/>
        <bottom/>
      </border>
    </dxf>
    <dxf>
      <fill>
        <patternFill patternType="solid">
          <fgColor rgb="FFF6F8F9"/>
          <bgColor rgb="FFF6F8F9"/>
        </patternFill>
      </fill>
    </dxf>
    <dxf>
      <fill>
        <patternFill patternType="solid">
          <fgColor rgb="FFFFFFFF"/>
          <bgColor rgb="FFFFFFFF"/>
        </patternFill>
      </fill>
    </dxf>
    <dxf>
      <fill>
        <patternFill patternType="solid">
          <fgColor rgb="FFDE7A24"/>
          <bgColor rgb="FFDE7A24"/>
        </patternFill>
      </fill>
    </dxf>
  </dxfs>
  <tableStyles count="1" defaultTableStyle="TableStyleMedium2" defaultPivotStyle="PivotStyleLight16">
    <tableStyle name="Sheet1-style" pivot="0" count="3">
      <tableStyleElement type="headerRow" dxfId="98"/>
      <tableStyleElement type="firstRowStripe" dxfId="97"/>
      <tableStyleElement type="secondRowStripe" dxfId="9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externalLink" Target="/xl/externalLinks/externalLink1.xml" Id="rId45"/><Relationship Type="http://schemas.openxmlformats.org/officeDocument/2006/relationships/externalLink" Target="/xl/externalLinks/externalLink2.xml" Id="rId46"/><Relationship Type="http://schemas.openxmlformats.org/officeDocument/2006/relationships/externalLink" Target="/xl/externalLinks/externalLink3.xml" Id="rId47"/><Relationship Type="http://schemas.openxmlformats.org/officeDocument/2006/relationships/externalLink" Target="/xl/externalLinks/externalLink4.xml" Id="rId48"/><Relationship Type="http://schemas.openxmlformats.org/officeDocument/2006/relationships/externalLink" Target="/xl/externalLinks/externalLink5.xml" Id="rId49"/><Relationship Type="http://schemas.openxmlformats.org/officeDocument/2006/relationships/externalLink" Target="/xl/externalLinks/externalLink6.xml" Id="rId50"/><Relationship Type="http://schemas.openxmlformats.org/officeDocument/2006/relationships/externalLink" Target="/xl/externalLinks/externalLink7.xml" Id="rId51"/><Relationship Type="http://schemas.openxmlformats.org/officeDocument/2006/relationships/externalLink" Target="/xl/externalLinks/externalLink8.xml" Id="rId52"/><Relationship Type="http://schemas.openxmlformats.org/officeDocument/2006/relationships/styles" Target="styles.xml" Id="rId53"/><Relationship Type="http://schemas.openxmlformats.org/officeDocument/2006/relationships/theme" Target="theme/theme1.xml" Id="rId54"/></Relationships>
</file>

<file path=xl/charts/chart1.xml><?xml version="1.0" encoding="utf-8"?>
<chartSpace xmlns="http://schemas.openxmlformats.org/drawingml/2006/chart">
  <chart>
    <plotArea>
      <layout/>
      <barChart>
        <barDir val="col"/>
        <grouping val="clustered"/>
        <varyColors val="1"/>
        <ser>
          <idx val="0"/>
          <order val="0"/>
          <tx>
            <v>Net Revenue</v>
          </tx>
          <spPr>
            <a:solidFill xmlns:a="http://schemas.openxmlformats.org/drawingml/2006/main">
              <a:srgbClr val="359DD9"/>
            </a:solidFill>
            <a:ln xmlns:a="http://schemas.openxmlformats.org/drawingml/2006/main">
              <a:noFill/>
              <a:prstDash val="solid"/>
            </a:ln>
          </spPr>
          <invertIfNegative val="0"/>
          <cat>
            <strRef>
              <f>'1A. Consolidated - FY P&amp;L'!$I$18:$N$18</f>
              <strCache>
                <ptCount val="6"/>
                <pt idx="0">
                  <v>Year 0</v>
                </pt>
                <pt idx="1">
                  <v>Year 1</v>
                </pt>
                <pt idx="2">
                  <v>Year 2</v>
                </pt>
                <pt idx="3">
                  <v>Year 3</v>
                </pt>
                <pt idx="4">
                  <v>Year 4</v>
                </pt>
                <pt idx="5">
                  <v>Year 5</v>
                </pt>
              </strCache>
            </strRef>
          </cat>
          <val>
            <numRef>
              <f>'1A. Consolidated - FY P&amp;L'!$I$39:$N$39</f>
              <numCache>
                <formatCode>_(* #,##0_);_(* \(#,##0\);_(* "-"_);_(@_)</formatCode>
                <ptCount val="6"/>
              </numCache>
            </numRef>
          </val>
        </ser>
        <ser>
          <idx val="1"/>
          <order val="1"/>
          <tx>
            <v>Net Operating Margin</v>
          </tx>
          <spPr>
            <a:solidFill xmlns:a="http://schemas.openxmlformats.org/drawingml/2006/main">
              <a:srgbClr val="3A5FAA"/>
            </a:solidFill>
            <a:ln xmlns:a="http://schemas.openxmlformats.org/drawingml/2006/main">
              <a:noFill/>
              <a:prstDash val="solid"/>
            </a:ln>
          </spPr>
          <invertIfNegative val="0"/>
          <cat>
            <strRef>
              <f>'1A. Consolidated - FY P&amp;L'!$I$18:$N$18</f>
              <strCache>
                <ptCount val="6"/>
                <pt idx="0">
                  <v>Year 0</v>
                </pt>
                <pt idx="1">
                  <v>Year 1</v>
                </pt>
                <pt idx="2">
                  <v>Year 2</v>
                </pt>
                <pt idx="3">
                  <v>Year 3</v>
                </pt>
                <pt idx="4">
                  <v>Year 4</v>
                </pt>
                <pt idx="5">
                  <v>Year 5</v>
                </pt>
              </strCache>
            </strRef>
          </cat>
          <val>
            <numRef>
              <f>'1A. Consolidated - FY P&amp;L'!$I$45:$N$45</f>
              <numCache>
                <formatCode>_("$"* #,##0.00_);_("$"* \(#,##0.00\);_("$"* "-"??_);_(@_)</formatCode>
                <ptCount val="6"/>
                <pt idx="0">
                  <v>99615512</v>
                </pt>
                <pt idx="1">
                  <v>762477350.5320001</v>
                </pt>
                <pt idx="2">
                  <v>2003656135.418</v>
                </pt>
                <pt idx="3">
                  <v>4615129586.317121</v>
                </pt>
                <pt idx="4">
                  <v>8270062526.819851</v>
                </pt>
                <pt idx="5">
                  <v>11599019918.2912</v>
                </pt>
              </numCache>
            </numRef>
          </val>
        </ser>
        <ser>
          <idx val="2"/>
          <order val="2"/>
          <tx>
            <v>EBITDA</v>
          </tx>
          <spPr>
            <a:solidFill xmlns:a="http://schemas.openxmlformats.org/drawingml/2006/main">
              <a:srgbClr val="F24208"/>
            </a:solidFill>
            <a:ln xmlns:a="http://schemas.openxmlformats.org/drawingml/2006/main">
              <a:noFill/>
              <a:prstDash val="solid"/>
            </a:ln>
          </spPr>
          <invertIfNegative val="0"/>
          <cat>
            <strRef>
              <f>'1A. Consolidated - FY P&amp;L'!$I$18:$N$18</f>
              <strCache>
                <ptCount val="6"/>
                <pt idx="0">
                  <v>Year 0</v>
                </pt>
                <pt idx="1">
                  <v>Year 1</v>
                </pt>
                <pt idx="2">
                  <v>Year 2</v>
                </pt>
                <pt idx="3">
                  <v>Year 3</v>
                </pt>
                <pt idx="4">
                  <v>Year 4</v>
                </pt>
                <pt idx="5">
                  <v>Year 5</v>
                </pt>
              </strCache>
            </strRef>
          </cat>
          <val>
            <numRef>
              <f>'1A. Consolidated - FY P&amp;L'!$I$69:$N$69</f>
              <numCache>
                <formatCode>General</formatCode>
                <ptCount val="6"/>
              </numCache>
            </numRef>
          </val>
        </ser>
        <dLbls>
          <showLegendKey val="0"/>
          <showVal val="0"/>
          <showCatName val="0"/>
          <showSerName val="0"/>
          <showPercent val="0"/>
          <showBubbleSize val="0"/>
        </dLbls>
        <gapWidth val="315"/>
        <axId val="2130301699"/>
        <axId val="1660949578"/>
      </barChart>
      <lineChart>
        <grouping val="standard"/>
        <varyColors val="1"/>
        <ser>
          <idx val="3"/>
          <order val="3"/>
          <tx>
            <v>COGS</v>
          </tx>
          <spPr>
            <a:ln xmlns:a="http://schemas.openxmlformats.org/drawingml/2006/main" w="34925" cap="rnd">
              <a:solidFill>
                <a:schemeClr val="bg1"/>
              </a:solidFill>
              <a:prstDash val="solid"/>
              <a:round/>
            </a:ln>
          </spPr>
          <marker>
            <symbol val="none"/>
            <spPr>
              <a:ln xmlns:a="http://schemas.openxmlformats.org/drawingml/2006/main">
                <a:prstDash val="solid"/>
              </a:ln>
            </spPr>
          </marker>
          <cat>
            <strRef>
              <f>'1A. Consolidated - FY P&amp;L'!$I$18:$N$18</f>
              <strCache>
                <ptCount val="6"/>
                <pt idx="0">
                  <v>Year 0</v>
                </pt>
                <pt idx="1">
                  <v>Year 1</v>
                </pt>
                <pt idx="2">
                  <v>Year 2</v>
                </pt>
                <pt idx="3">
                  <v>Year 3</v>
                </pt>
                <pt idx="4">
                  <v>Year 4</v>
                </pt>
                <pt idx="5">
                  <v>Year 5</v>
                </pt>
              </strCache>
            </strRef>
          </cat>
          <val>
            <numRef>
              <f>'1A. Consolidated - FY P&amp;L'!$I$42:$N$42</f>
              <numCache>
                <formatCode>General</formatCode>
                <ptCount val="6"/>
              </numCache>
            </numRef>
          </val>
          <smooth val="0"/>
        </ser>
        <ser>
          <idx val="4"/>
          <order val="4"/>
          <tx>
            <v>Total Operating Expenses</v>
          </tx>
          <spPr>
            <a:ln xmlns:a="http://schemas.openxmlformats.org/drawingml/2006/main" w="34925" cap="rnd">
              <a:solidFill>
                <a:schemeClr val="accent3"/>
              </a:solidFill>
              <a:prstDash val="solid"/>
              <a:round/>
            </a:ln>
          </spPr>
          <marker>
            <symbol val="none"/>
            <spPr>
              <a:ln xmlns:a="http://schemas.openxmlformats.org/drawingml/2006/main">
                <a:prstDash val="solid"/>
              </a:ln>
            </spPr>
          </marker>
          <cat>
            <strRef>
              <f>'1A. Consolidated - FY P&amp;L'!$I$18:$N$18</f>
              <strCache>
                <ptCount val="6"/>
                <pt idx="0">
                  <v>Year 0</v>
                </pt>
                <pt idx="1">
                  <v>Year 1</v>
                </pt>
                <pt idx="2">
                  <v>Year 2</v>
                </pt>
                <pt idx="3">
                  <v>Year 3</v>
                </pt>
                <pt idx="4">
                  <v>Year 4</v>
                </pt>
                <pt idx="5">
                  <v>Year 5</v>
                </pt>
              </strCache>
            </strRef>
          </cat>
          <val>
            <numRef>
              <f>'1A. Consolidated - FY P&amp;L'!$I$63:$N$63</f>
              <numCache>
                <formatCode>#,##0</formatCode>
                <ptCount val="6"/>
                <pt idx="0">
                  <v>190000</v>
                </pt>
                <pt idx="1">
                  <v>2640000</v>
                </pt>
                <pt idx="2">
                  <v>8676000</v>
                </pt>
                <pt idx="3">
                  <v>15120000</v>
                </pt>
                <pt idx="4">
                  <v>24960000</v>
                </pt>
                <pt idx="5">
                  <v>37200000</v>
                </pt>
              </numCache>
            </numRef>
          </val>
          <smooth val="0"/>
        </ser>
        <dLbls>
          <showLegendKey val="0"/>
          <showVal val="0"/>
          <showCatName val="0"/>
          <showSerName val="0"/>
          <showPercent val="0"/>
          <showBubbleSize val="0"/>
        </dLbls>
        <marker val="1"/>
        <smooth val="0"/>
        <axId val="2130301699"/>
        <axId val="1660949578"/>
      </lineChart>
      <catAx>
        <axId val="2130301699"/>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cap="all" baseline="0">
                    <a:solidFill>
                      <a:schemeClr val="lt1">
                        <a:lumMod val="85000"/>
                      </a:schemeClr>
                    </a:solidFill>
                    <a:latin typeface="+mn-lt"/>
                    <a:ea typeface="+mn-ea"/>
                    <a:cs typeface="+mn-cs"/>
                  </a:defRPr>
                </a:pPr>
                <a:r>
                  <a:rPr lang="en-US"/>
                  <a:t>None</a:t>
                </a:r>
              </a:p>
            </rich>
          </tx>
          <overlay val="0"/>
          <spPr>
            <a:noFill xmlns:a="http://schemas.openxmlformats.org/drawingml/2006/main"/>
            <a:ln xmlns:a="http://schemas.openxmlformats.org/drawingml/2006/main">
              <a:noFill/>
              <a:prstDash val="solid"/>
            </a:ln>
          </sp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lt1">
                <a:alpha val="10000"/>
                <a:lumMod val="9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400" b="0" i="0" strike="noStrike" kern="1200" baseline="0">
                <a:solidFill>
                  <a:schemeClr val="bg1"/>
                </a:solidFill>
                <a:latin typeface="Oswald" pitchFamily="2" charset="77"/>
                <a:ea typeface="+mn-ea"/>
                <a:cs typeface="+mn-cs"/>
              </a:defRPr>
            </a:pPr>
            <a:r>
              <a:t/>
            </a:r>
            <a:endParaRPr lang="en-US"/>
          </a:p>
        </txPr>
        <crossAx val="1660949578"/>
        <crosses val="autoZero"/>
        <auto val="1"/>
        <lblAlgn val="ctr"/>
        <lblOffset val="100"/>
        <noMultiLvlLbl val="1"/>
      </catAx>
      <valAx>
        <axId val="1660949578"/>
        <scaling>
          <orientation val="minMax"/>
          <max val="23980000000"/>
          <min val="-20000000"/>
        </scaling>
        <delete val="0"/>
        <axPos val="l"/>
        <majorGridlines>
          <spPr>
            <a:ln xmlns:a="http://schemas.openxmlformats.org/drawingml/2006/main" w="9525" cap="flat" cmpd="sng" algn="ctr">
              <a:solidFill>
                <a:schemeClr val="lt1">
                  <a:alpha val="10000"/>
                  <a:lumMod val="9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1" i="0" strike="noStrike" kern="1200" cap="all" baseline="0">
                    <a:solidFill>
                      <a:schemeClr val="lt1">
                        <a:lumMod val="85000"/>
                      </a:schemeClr>
                    </a:solidFill>
                    <a:latin typeface="+mn-lt"/>
                    <a:ea typeface="+mn-ea"/>
                    <a:cs typeface="+mn-cs"/>
                  </a:defRPr>
                </a:pPr>
                <a:r>
                  <a:rPr lang="en-US"/>
                  <a:t>None</a:t>
                </a:r>
              </a:p>
            </rich>
          </tx>
          <overlay val="0"/>
          <spPr>
            <a:noFill xmlns:a="http://schemas.openxmlformats.org/drawingml/2006/main"/>
            <a:ln xmlns:a="http://schemas.openxmlformats.org/drawingml/2006/main">
              <a:noFill/>
              <a:prstDash val="solid"/>
            </a:ln>
          </spPr>
        </title>
        <numFmt formatCode="_(* #,##0_);_(* \(#,##0\);_(*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300" b="0" i="0" strike="noStrike" kern="1200" baseline="0">
                <a:solidFill>
                  <a:schemeClr val="bg1"/>
                </a:solidFill>
                <a:latin typeface="Oswald" pitchFamily="2" charset="77"/>
                <a:ea typeface="+mn-ea"/>
                <a:cs typeface="+mn-cs"/>
              </a:defRPr>
            </a:pPr>
            <a:r>
              <a:t/>
            </a:r>
            <a:endParaRPr lang="en-US"/>
          </a:p>
        </txPr>
        <crossAx val="2130301699"/>
        <crosses val="autoZero"/>
        <crossBetween val="between"/>
        <majorUnit val="4000000000"/>
        <minorUnit val="2600000000"/>
      </valAx>
    </plotArea>
    <legend>
      <legendPos val="b"/>
      <legendEntry>
        <idx val="2"/>
        <delete val="0"/>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bg1"/>
                </a:solidFill>
                <a:latin typeface="Oswald" pitchFamily="2" charset="77"/>
                <a:ea typeface="+mn-ea"/>
                <a:cs typeface="+mn-cs"/>
              </a:defRPr>
            </a:pPr>
            <a:r>
              <a:t/>
            </a:r>
            <a:endParaRPr lang="en-US"/>
          </a:p>
        </txPr>
      </legendEntry>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1200" b="0" i="0" strike="noStrike" kern="1200" baseline="0">
              <a:solidFill>
                <a:schemeClr val="bg1"/>
              </a:solidFill>
              <a:latin typeface="Oswald" pitchFamily="2" charset="77"/>
              <a:ea typeface="+mn-ea"/>
              <a:cs typeface="+mn-cs"/>
            </a:defRPr>
          </a:pPr>
          <a:r>
            <a:t/>
          </a:r>
          <a:endParaRPr lang="en-US"/>
        </a:p>
      </txPr>
    </legend>
    <plotVisOnly val="1"/>
    <dispBlanksAs val="span"/>
  </chart>
  <spPr>
    <a:solidFill xmlns:a="http://schemas.openxmlformats.org/drawingml/2006/main">
      <a:schemeClr val="tx1"/>
    </a:solidFill>
    <a:ln xmlns:a="http://schemas.openxmlformats.org/drawingml/2006/main">
      <a:noFill/>
      <a:prstDash val="solid"/>
    </a:ln>
  </spPr>
</chartSpace>
</file>

<file path=xl/charts/chart2.xml><?xml version="1.0" encoding="utf-8"?>
<chartSpace xmlns="http://schemas.openxmlformats.org/drawingml/2006/chart">
  <chart>
    <plotArea>
      <layout/>
      <barChart>
        <barDir val="col"/>
        <grouping val="clustered"/>
        <varyColors val="1"/>
        <ser>
          <idx val="0"/>
          <order val="0"/>
          <tx>
            <v>Net Revenue</v>
          </tx>
          <spPr>
            <a:solidFill xmlns:a="http://schemas.openxmlformats.org/drawingml/2006/main">
              <a:srgbClr val="359DD9"/>
            </a:solidFill>
            <a:ln xmlns:a="http://schemas.openxmlformats.org/drawingml/2006/main">
              <a:noFill/>
              <a:prstDash val="solid"/>
            </a:ln>
          </spPr>
          <invertIfNegative val="0"/>
          <cat>
            <strRef>
              <f>'1A. Consolidated - FY P&amp;L'!$I$198:$N$198</f>
              <strCache>
                <ptCount val="2"/>
                <pt idx="0">
                  <v>Pre-Launch</v>
                </pt>
                <pt idx="1">
                  <v>Post-Launch</v>
                </pt>
              </strCache>
            </strRef>
          </cat>
          <val>
            <numRef>
              <f>'1A. Consolidated - FY P&amp;L'!$I$39:$N$39</f>
              <numCache>
                <formatCode>_(* #,##0_);_(* \(#,##0\);_(* "-"_);_(@_)</formatCode>
                <ptCount val="6"/>
              </numCache>
            </numRef>
          </val>
        </ser>
        <ser>
          <idx val="1"/>
          <order val="1"/>
          <tx>
            <v>Net Operating Margin</v>
          </tx>
          <spPr>
            <a:solidFill xmlns:a="http://schemas.openxmlformats.org/drawingml/2006/main">
              <a:srgbClr val="3A5FAA"/>
            </a:solidFill>
            <a:ln xmlns:a="http://schemas.openxmlformats.org/drawingml/2006/main">
              <a:noFill/>
              <a:prstDash val="solid"/>
            </a:ln>
          </spPr>
          <invertIfNegative val="0"/>
          <cat>
            <strRef>
              <f>'1A. Consolidated - FY P&amp;L'!$I$198:$N$198</f>
              <strCache>
                <ptCount val="2"/>
                <pt idx="0">
                  <v>Pre-Launch</v>
                </pt>
                <pt idx="1">
                  <v>Post-Launch</v>
                </pt>
              </strCache>
            </strRef>
          </cat>
          <val>
            <numRef>
              <f>'1A. Consolidated - FY P&amp;L'!$I$45:$N$45</f>
              <numCache>
                <formatCode>_("$"* #,##0.00_);_("$"* \(#,##0.00\);_("$"* "-"??_);_(@_)</formatCode>
                <ptCount val="6"/>
                <pt idx="0">
                  <v>99615512</v>
                </pt>
                <pt idx="1">
                  <v>762477350.5320001</v>
                </pt>
                <pt idx="2">
                  <v>2003656135.418</v>
                </pt>
                <pt idx="3">
                  <v>4615129586.317121</v>
                </pt>
                <pt idx="4">
                  <v>8270062526.819851</v>
                </pt>
                <pt idx="5">
                  <v>11599019918.2912</v>
                </pt>
              </numCache>
            </numRef>
          </val>
        </ser>
        <ser>
          <idx val="2"/>
          <order val="2"/>
          <tx>
            <v>EBITDA</v>
          </tx>
          <spPr>
            <a:solidFill xmlns:a="http://schemas.openxmlformats.org/drawingml/2006/main">
              <a:srgbClr val="F24208"/>
            </a:solidFill>
            <a:ln xmlns:a="http://schemas.openxmlformats.org/drawingml/2006/main">
              <a:noFill/>
              <a:prstDash val="solid"/>
            </a:ln>
          </spPr>
          <invertIfNegative val="0"/>
          <cat>
            <strRef>
              <f>'1A. Consolidated - FY P&amp;L'!$I$198:$N$198</f>
              <strCache>
                <ptCount val="2"/>
                <pt idx="0">
                  <v>Pre-Launch</v>
                </pt>
                <pt idx="1">
                  <v>Post-Launch</v>
                </pt>
              </strCache>
            </strRef>
          </cat>
          <val>
            <numRef>
              <f>'1A. Consolidated - FY P&amp;L'!$I$69:$N$69</f>
              <numCache>
                <formatCode>General</formatCode>
                <ptCount val="6"/>
              </numCache>
            </numRef>
          </val>
        </ser>
        <dLbls>
          <showLegendKey val="0"/>
          <showVal val="0"/>
          <showCatName val="0"/>
          <showSerName val="0"/>
          <showPercent val="0"/>
          <showBubbleSize val="0"/>
        </dLbls>
        <gapWidth val="315"/>
        <axId val="2130301699"/>
        <axId val="1660949578"/>
      </barChart>
      <lineChart>
        <grouping val="standard"/>
        <varyColors val="1"/>
        <ser>
          <idx val="3"/>
          <order val="3"/>
          <tx>
            <v>COGS</v>
          </tx>
          <spPr>
            <a:ln xmlns:a="http://schemas.openxmlformats.org/drawingml/2006/main" w="34925" cap="rnd">
              <a:solidFill>
                <a:schemeClr val="bg1"/>
              </a:solidFill>
              <a:prstDash val="solid"/>
              <a:round/>
            </a:ln>
          </spPr>
          <marker>
            <symbol val="none"/>
            <spPr>
              <a:ln xmlns:a="http://schemas.openxmlformats.org/drawingml/2006/main">
                <a:prstDash val="solid"/>
              </a:ln>
            </spPr>
          </marker>
          <cat>
            <strRef>
              <f>'1A. Consolidated - FY P&amp;L'!$I$18:$N$18</f>
              <strCache>
                <ptCount val="6"/>
                <pt idx="0">
                  <v>Year 0</v>
                </pt>
                <pt idx="1">
                  <v>Year 1</v>
                </pt>
                <pt idx="2">
                  <v>Year 2</v>
                </pt>
                <pt idx="3">
                  <v>Year 3</v>
                </pt>
                <pt idx="4">
                  <v>Year 4</v>
                </pt>
                <pt idx="5">
                  <v>Year 5</v>
                </pt>
              </strCache>
            </strRef>
          </cat>
          <val>
            <numRef>
              <f>'1A. Consolidated - FY P&amp;L'!$I$42:$N$42</f>
              <numCache>
                <formatCode>General</formatCode>
                <ptCount val="6"/>
              </numCache>
            </numRef>
          </val>
          <smooth val="0"/>
        </ser>
        <ser>
          <idx val="4"/>
          <order val="4"/>
          <tx>
            <v>Total Operating Expenses</v>
          </tx>
          <spPr>
            <a:ln xmlns:a="http://schemas.openxmlformats.org/drawingml/2006/main" w="34925" cap="rnd">
              <a:solidFill>
                <a:schemeClr val="accent3"/>
              </a:solidFill>
              <a:prstDash val="solid"/>
              <a:round/>
            </a:ln>
          </spPr>
          <marker>
            <symbol val="none"/>
            <spPr>
              <a:ln xmlns:a="http://schemas.openxmlformats.org/drawingml/2006/main">
                <a:prstDash val="solid"/>
              </a:ln>
            </spPr>
          </marker>
          <cat>
            <strRef>
              <f>'1A. Consolidated - FY P&amp;L'!$I$18:$N$18</f>
              <strCache>
                <ptCount val="6"/>
                <pt idx="0">
                  <v>Year 0</v>
                </pt>
                <pt idx="1">
                  <v>Year 1</v>
                </pt>
                <pt idx="2">
                  <v>Year 2</v>
                </pt>
                <pt idx="3">
                  <v>Year 3</v>
                </pt>
                <pt idx="4">
                  <v>Year 4</v>
                </pt>
                <pt idx="5">
                  <v>Year 5</v>
                </pt>
              </strCache>
            </strRef>
          </cat>
          <val>
            <numRef>
              <f>'1A. Consolidated - FY P&amp;L'!$I$63:$N$63</f>
              <numCache>
                <formatCode>#,##0</formatCode>
                <ptCount val="6"/>
                <pt idx="0">
                  <v>190000</v>
                </pt>
                <pt idx="1">
                  <v>2640000</v>
                </pt>
                <pt idx="2">
                  <v>8676000</v>
                </pt>
                <pt idx="3">
                  <v>15120000</v>
                </pt>
                <pt idx="4">
                  <v>24960000</v>
                </pt>
                <pt idx="5">
                  <v>37200000</v>
                </pt>
              </numCache>
            </numRef>
          </val>
          <smooth val="0"/>
        </ser>
        <dLbls>
          <showLegendKey val="0"/>
          <showVal val="0"/>
          <showCatName val="0"/>
          <showSerName val="0"/>
          <showPercent val="0"/>
          <showBubbleSize val="0"/>
        </dLbls>
        <marker val="1"/>
        <smooth val="0"/>
        <axId val="2130301699"/>
        <axId val="1660949578"/>
      </lineChart>
      <catAx>
        <axId val="2130301699"/>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cap="all" baseline="0">
                    <a:solidFill>
                      <a:schemeClr val="lt1">
                        <a:lumMod val="85000"/>
                      </a:schemeClr>
                    </a:solidFill>
                    <a:latin typeface="+mn-lt"/>
                    <a:ea typeface="+mn-ea"/>
                    <a:cs typeface="+mn-cs"/>
                  </a:defRPr>
                </a:pPr>
                <a:r>
                  <a:rPr lang="en-US"/>
                  <a:t>None</a:t>
                </a:r>
              </a:p>
            </rich>
          </tx>
          <overlay val="0"/>
          <spPr>
            <a:noFill xmlns:a="http://schemas.openxmlformats.org/drawingml/2006/main"/>
            <a:ln xmlns:a="http://schemas.openxmlformats.org/drawingml/2006/main">
              <a:noFill/>
              <a:prstDash val="solid"/>
            </a:ln>
          </sp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lt1">
                <a:alpha val="10000"/>
                <a:lumMod val="9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400" b="0" i="0" strike="noStrike" kern="1200" baseline="0">
                <a:solidFill>
                  <a:schemeClr val="bg1"/>
                </a:solidFill>
                <a:latin typeface="Oswald" pitchFamily="2" charset="77"/>
                <a:ea typeface="+mn-ea"/>
                <a:cs typeface="+mn-cs"/>
              </a:defRPr>
            </a:pPr>
            <a:r>
              <a:t/>
            </a:r>
            <a:endParaRPr lang="en-US"/>
          </a:p>
        </txPr>
        <crossAx val="1660949578"/>
        <crosses val="autoZero"/>
        <auto val="1"/>
        <lblAlgn val="ctr"/>
        <lblOffset val="100"/>
        <noMultiLvlLbl val="1"/>
      </catAx>
      <valAx>
        <axId val="1660949578"/>
        <scaling>
          <orientation val="minMax"/>
          <max val="19000000000"/>
          <min val="-20000000"/>
        </scaling>
        <delete val="0"/>
        <axPos val="l"/>
        <majorGridlines>
          <spPr>
            <a:ln xmlns:a="http://schemas.openxmlformats.org/drawingml/2006/main" w="9525" cap="flat" cmpd="sng" algn="ctr">
              <a:solidFill>
                <a:schemeClr val="lt1">
                  <a:alpha val="10000"/>
                  <a:lumMod val="9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1" i="0" strike="noStrike" kern="1200" cap="all" baseline="0">
                    <a:solidFill>
                      <a:schemeClr val="lt1">
                        <a:lumMod val="85000"/>
                      </a:schemeClr>
                    </a:solidFill>
                    <a:latin typeface="+mn-lt"/>
                    <a:ea typeface="+mn-ea"/>
                    <a:cs typeface="+mn-cs"/>
                  </a:defRPr>
                </a:pPr>
                <a:r>
                  <a:rPr lang="en-US"/>
                  <a:t>None</a:t>
                </a:r>
              </a:p>
            </rich>
          </tx>
          <overlay val="0"/>
          <spPr>
            <a:noFill xmlns:a="http://schemas.openxmlformats.org/drawingml/2006/main"/>
            <a:ln xmlns:a="http://schemas.openxmlformats.org/drawingml/2006/main">
              <a:noFill/>
              <a:prstDash val="solid"/>
            </a:ln>
          </spPr>
        </title>
        <numFmt formatCode="_(* #,##0_);_(* \(#,##0\);_(*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300" b="0" i="0" strike="noStrike" kern="1200" baseline="0">
                <a:solidFill>
                  <a:schemeClr val="bg1"/>
                </a:solidFill>
                <a:latin typeface="Oswald" pitchFamily="2" charset="77"/>
                <a:ea typeface="+mn-ea"/>
                <a:cs typeface="+mn-cs"/>
              </a:defRPr>
            </a:pPr>
            <a:r>
              <a:t/>
            </a:r>
            <a:endParaRPr lang="en-US"/>
          </a:p>
        </txPr>
        <crossAx val="2130301699"/>
        <crosses val="autoZero"/>
        <crossBetween val="between"/>
        <majorUnit val="3000000000"/>
        <minorUnit val="300000000"/>
      </valAx>
    </plotArea>
    <legend>
      <legendPos val="b"/>
      <legendEntry>
        <idx val="2"/>
        <delete val="0"/>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bg1"/>
                </a:solidFill>
                <a:latin typeface="Oswald" pitchFamily="2" charset="77"/>
                <a:ea typeface="+mn-ea"/>
                <a:cs typeface="+mn-cs"/>
              </a:defRPr>
            </a:pPr>
            <a:r>
              <a:t/>
            </a:r>
            <a:endParaRPr lang="en-US"/>
          </a:p>
        </txPr>
      </legendEntry>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bg1"/>
              </a:solidFill>
              <a:latin typeface="Oswald" pitchFamily="2" charset="77"/>
              <a:ea typeface="+mn-ea"/>
              <a:cs typeface="+mn-cs"/>
            </a:defRPr>
          </a:pPr>
          <a:r>
            <a:t/>
          </a:r>
          <a:endParaRPr lang="en-US"/>
        </a:p>
      </txPr>
    </legend>
    <plotVisOnly val="1"/>
    <dispBlanksAs val="span"/>
  </chart>
  <spPr>
    <a:solidFill xmlns:a="http://schemas.openxmlformats.org/drawingml/2006/main">
      <a:schemeClr val="tx1"/>
    </a:solidFill>
    <a:ln xmlns:a="http://schemas.openxmlformats.org/drawingml/2006/main">
      <a:noFill/>
      <a:prstDash val="solid"/>
    </a:ln>
  </spPr>
</chartSpace>
</file>

<file path=xl/charts/chart3.xml><?xml version="1.0" encoding="utf-8"?>
<chartSpace xmlns="http://schemas.openxmlformats.org/drawingml/2006/chart">
  <chart>
    <plotArea>
      <layout/>
      <barChart>
        <barDir val="col"/>
        <grouping val="clustered"/>
        <varyColors val="1"/>
        <ser>
          <idx val="3"/>
          <order val="0"/>
          <tx>
            <v>Net Revenue</v>
          </tx>
          <spPr>
            <a:solidFill xmlns:a="http://schemas.openxmlformats.org/drawingml/2006/main">
              <a:srgbClr val="05B0F0"/>
            </a:solidFill>
            <a:ln xmlns:a="http://schemas.openxmlformats.org/drawingml/2006/main">
              <a:prstDash val="solid"/>
            </a:ln>
          </spPr>
          <invertIfNegative val="0"/>
          <cat>
            <strRef>
              <f>'1A. Consolidated - FY P&amp;L'!$I$18:$N$18</f>
              <strCache>
                <ptCount val="6"/>
                <pt idx="0">
                  <v>Year 0</v>
                </pt>
                <pt idx="1">
                  <v>Year 1</v>
                </pt>
                <pt idx="2">
                  <v>Year 2</v>
                </pt>
                <pt idx="3">
                  <v>Year 3</v>
                </pt>
                <pt idx="4">
                  <v>Year 4</v>
                </pt>
                <pt idx="5">
                  <v>Year 5</v>
                </pt>
              </strCache>
            </strRef>
          </cat>
          <val>
            <numRef>
              <f>'7. Pure Influence'!$G$122:$L$122</f>
              <numCache>
                <formatCode>"$"#,##0.00</formatCode>
                <ptCount val="6"/>
                <pt idx="0">
                  <formatCode>"$"#,##0.00_);[Red]\("$"#,##0.00\)</formatCode>
                  <v>3239001.492422478</v>
                </pt>
                <pt idx="1">
                  <v>23346480.68369457</v>
                </pt>
                <pt idx="2">
                  <v>105694760.2621599</v>
                </pt>
                <pt idx="3">
                  <v>307440455.3075936</v>
                </pt>
                <pt idx="4">
                  <v>706915377.9269229</v>
                </pt>
                <pt idx="5">
                  <v>1179353023.572194</v>
                </pt>
              </numCache>
            </numRef>
          </val>
        </ser>
        <ser>
          <idx val="4"/>
          <order val="1"/>
          <tx>
            <v>EBITDA</v>
          </tx>
          <spPr>
            <a:solidFill xmlns:a="http://schemas.openxmlformats.org/drawingml/2006/main">
              <a:srgbClr val="F24208"/>
            </a:solidFill>
            <a:ln xmlns:a="http://schemas.openxmlformats.org/drawingml/2006/main">
              <a:prstDash val="solid"/>
            </a:ln>
          </spPr>
          <invertIfNegative val="0"/>
          <cat>
            <strRef>
              <f>'1A. Consolidated - FY P&amp;L'!$I$18:$N$18</f>
              <strCache>
                <ptCount val="6"/>
                <pt idx="0">
                  <v>Year 0</v>
                </pt>
                <pt idx="1">
                  <v>Year 1</v>
                </pt>
                <pt idx="2">
                  <v>Year 2</v>
                </pt>
                <pt idx="3">
                  <v>Year 3</v>
                </pt>
                <pt idx="4">
                  <v>Year 4</v>
                </pt>
                <pt idx="5">
                  <v>Year 5</v>
                </pt>
              </strCache>
            </strRef>
          </cat>
          <val>
            <numRef>
              <f>'7. Pure Influence'!$G$126:$L$126</f>
              <numCache>
                <formatCode>"$"#,##0.00_);[Red]\("$"#,##0.00\)</formatCode>
                <ptCount val="6"/>
                <pt idx="0">
                  <v>2158946.674980474</v>
                </pt>
                <pt idx="1">
                  <v>20862404.33696295</v>
                </pt>
                <pt idx="2">
                  <v>97914210.96443476</v>
                </pt>
                <pt idx="3">
                  <v>284941386.9894347</v>
                </pt>
                <pt idx="4">
                  <v>635327285.6732628</v>
                </pt>
                <pt idx="5">
                  <v>1038004183.039546</v>
                </pt>
              </numCache>
            </numRef>
          </val>
        </ser>
        <dLbls>
          <showLegendKey val="0"/>
          <showVal val="0"/>
          <showCatName val="0"/>
          <showSerName val="0"/>
          <showPercent val="0"/>
          <showBubbleSize val="0"/>
        </dLbls>
        <gapWidth val="315"/>
        <axId val="2130301699"/>
        <axId val="1660949578"/>
      </barChart>
      <lineChart>
        <grouping val="standard"/>
        <varyColors val="1"/>
        <ser>
          <idx val="5"/>
          <order val="2"/>
          <tx>
            <v>Total Operating Expenses</v>
          </tx>
          <spPr>
            <a:ln xmlns:a="http://schemas.openxmlformats.org/drawingml/2006/main">
              <a:prstDash val="solid"/>
            </a:ln>
          </spPr>
          <marker>
            <symbol val="none"/>
            <spPr>
              <a:ln xmlns:a="http://schemas.openxmlformats.org/drawingml/2006/main">
                <a:prstDash val="solid"/>
              </a:ln>
            </spPr>
          </marker>
          <cat>
            <strRef>
              <f>'1A. Consolidated - FY P&amp;L'!$I$18:$N$18</f>
              <strCache>
                <ptCount val="6"/>
                <pt idx="0">
                  <v>Year 0</v>
                </pt>
                <pt idx="1">
                  <v>Year 1</v>
                </pt>
                <pt idx="2">
                  <v>Year 2</v>
                </pt>
                <pt idx="3">
                  <v>Year 3</v>
                </pt>
                <pt idx="4">
                  <v>Year 4</v>
                </pt>
                <pt idx="5">
                  <v>Year 5</v>
                </pt>
              </strCache>
            </strRef>
          </cat>
          <val>
            <numRef>
              <f>'7. Pure Influence'!$G$124:$L$124</f>
              <numCache>
                <formatCode>"$"#,##0.00</formatCode>
                <ptCount val="6"/>
                <pt idx="0">
                  <v>1080054.817442004</v>
                </pt>
                <pt idx="1">
                  <v>2484076.346731621</v>
                </pt>
                <pt idx="2">
                  <v>7780549.297725157</v>
                </pt>
                <pt idx="3">
                  <v>22499068.31815892</v>
                </pt>
                <pt idx="4">
                  <v>71588092.25366011</v>
                </pt>
                <pt idx="5">
                  <v>141348840.5326478</v>
                </pt>
              </numCache>
            </numRef>
          </val>
          <smooth val="0"/>
        </ser>
        <dLbls>
          <showLegendKey val="0"/>
          <showVal val="0"/>
          <showCatName val="0"/>
          <showSerName val="0"/>
          <showPercent val="0"/>
          <showBubbleSize val="0"/>
        </dLbls>
        <marker val="1"/>
        <smooth val="0"/>
        <axId val="2130301699"/>
        <axId val="1660949578"/>
      </lineChart>
      <catAx>
        <axId val="2130301699"/>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cap="all" baseline="0">
                    <a:solidFill>
                      <a:schemeClr val="lt1">
                        <a:lumMod val="85000"/>
                      </a:schemeClr>
                    </a:solidFill>
                    <a:latin typeface="+mn-lt"/>
                    <a:ea typeface="+mn-ea"/>
                    <a:cs typeface="+mn-cs"/>
                  </a:defRPr>
                </a:pPr>
                <a:r>
                  <a:t>None</a:t>
                </a:r>
                <a:endParaRPr lang="en-US"/>
              </a:p>
            </rich>
          </tx>
          <overlay val="0"/>
          <spPr>
            <a:noFill xmlns:a="http://schemas.openxmlformats.org/drawingml/2006/main"/>
            <a:ln xmlns:a="http://schemas.openxmlformats.org/drawingml/2006/main">
              <a:noFill/>
              <a:prstDash val="solid"/>
            </a:ln>
          </sp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lt1">
                <a:alpha val="10000"/>
                <a:lumMod val="9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400" b="0" i="0" strike="noStrike" kern="1200" baseline="0">
                <a:solidFill>
                  <a:schemeClr val="bg1"/>
                </a:solidFill>
                <a:latin typeface="Oswald" pitchFamily="2" charset="77"/>
                <a:ea typeface="+mn-ea"/>
                <a:cs typeface="+mn-cs"/>
              </a:defRPr>
            </a:pPr>
            <a:r>
              <a:t/>
            </a:r>
            <a:endParaRPr lang="en-US"/>
          </a:p>
        </txPr>
        <crossAx val="1660949578"/>
        <crosses val="autoZero"/>
        <auto val="1"/>
        <lblAlgn val="ctr"/>
        <lblOffset val="100"/>
        <noMultiLvlLbl val="1"/>
      </catAx>
      <valAx>
        <axId val="1660949578"/>
        <scaling>
          <orientation val="minMax"/>
          <max val="450000000"/>
          <min val="-2000000"/>
        </scaling>
        <delete val="0"/>
        <axPos val="l"/>
        <majorGridlines>
          <spPr>
            <a:ln xmlns:a="http://schemas.openxmlformats.org/drawingml/2006/main" w="9525" cap="flat" cmpd="sng" algn="ctr">
              <a:solidFill>
                <a:schemeClr val="lt1">
                  <a:alpha val="10000"/>
                  <a:lumMod val="9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1" i="0" strike="noStrike" kern="1200" cap="all" baseline="0">
                    <a:solidFill>
                      <a:schemeClr val="lt1">
                        <a:lumMod val="85000"/>
                      </a:schemeClr>
                    </a:solidFill>
                    <a:latin typeface="+mn-lt"/>
                    <a:ea typeface="+mn-ea"/>
                    <a:cs typeface="+mn-cs"/>
                  </a:defRPr>
                </a:pPr>
                <a:r>
                  <a:t>None</a:t>
                </a:r>
                <a:endParaRPr lang="en-US"/>
              </a:p>
            </rich>
          </tx>
          <overlay val="0"/>
          <spPr>
            <a:noFill xmlns:a="http://schemas.openxmlformats.org/drawingml/2006/main"/>
            <a:ln xmlns:a="http://schemas.openxmlformats.org/drawingml/2006/main">
              <a:noFill/>
              <a:prstDash val="solid"/>
            </a:ln>
          </spPr>
        </title>
        <numFmt formatCode="&quot;$&quot;#,##0.00_);[Red]\(&quot;$&quot;#,##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300" b="0" i="0" strike="noStrike" kern="1200" baseline="0">
                <a:solidFill>
                  <a:schemeClr val="bg1"/>
                </a:solidFill>
                <a:latin typeface="Oswald" pitchFamily="2" charset="77"/>
                <a:ea typeface="+mn-ea"/>
                <a:cs typeface="+mn-cs"/>
              </a:defRPr>
            </a:pPr>
            <a:r>
              <a:t/>
            </a:r>
            <a:endParaRPr lang="en-US"/>
          </a:p>
        </txPr>
        <crossAx val="2130301699"/>
        <crosses val="autoZero"/>
        <crossBetween val="between"/>
      </valAx>
    </plotArea>
    <legend>
      <legendPos val="b"/>
      <legendEntry>
        <idx val="1"/>
        <delete val="0"/>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bg1"/>
                </a:solidFill>
                <a:latin typeface="Oswald" pitchFamily="2" charset="77"/>
                <a:ea typeface="+mn-ea"/>
                <a:cs typeface="+mn-cs"/>
              </a:defRPr>
            </a:pPr>
            <a:r>
              <a:t/>
            </a:r>
            <a:endParaRPr lang="en-US"/>
          </a:p>
        </txPr>
      </legendEntry>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bg1"/>
              </a:solidFill>
              <a:latin typeface="Oswald" pitchFamily="2" charset="77"/>
              <a:ea typeface="+mn-ea"/>
              <a:cs typeface="+mn-cs"/>
            </a:defRPr>
          </a:pPr>
          <a:r>
            <a:t/>
          </a:r>
          <a:endParaRPr lang="en-US"/>
        </a:p>
      </txPr>
    </legend>
    <plotVisOnly val="1"/>
    <dispBlanksAs val="span"/>
  </chart>
  <spPr>
    <a:solidFill xmlns:a="http://schemas.openxmlformats.org/drawingml/2006/main">
      <a:schemeClr val="tx1"/>
    </a:solidFill>
    <a:ln xmlns:a="http://schemas.openxmlformats.org/drawingml/2006/main">
      <a:noFill/>
      <a:prstDash val="solid"/>
    </a:ln>
  </spPr>
</chartSpace>
</file>

<file path=xl/charts/chart4.xml><?xml version="1.0" encoding="utf-8"?>
<chartSpace xmlns="http://schemas.openxmlformats.org/drawingml/2006/chart">
  <chart>
    <plotArea>
      <layout/>
      <barChart>
        <barDir val="col"/>
        <grouping val="stacked"/>
        <varyColors val="1"/>
        <ser>
          <idx val="0"/>
          <order val="0"/>
          <spPr>
            <a:solidFill xmlns:a="http://schemas.openxmlformats.org/drawingml/2006/main">
              <a:srgbClr val="5B9BD5"/>
            </a:solidFill>
            <a:ln xmlns:a="http://schemas.openxmlformats.org/drawingml/2006/main" cmpd="sng">
              <a:solidFill>
                <a:srgbClr val="000000"/>
              </a:solidFill>
              <a:prstDash val="solid"/>
            </a:ln>
          </spPr>
          <invertIfNegative val="1"/>
          <val>
            <numRef>
              <f>'Ref. 3-Core Model Research 2023'!$Q$4</f>
              <numCache>
                <formatCode>"$"#,##0.00</formatCode>
                <ptCount val="1"/>
                <pt idx="0">
                  <v>85.38679149968006</v>
                </pt>
              </numCache>
            </numRef>
          </val>
        </ser>
        <ser>
          <idx val="1"/>
          <order val="1"/>
          <spPr>
            <a:solidFill xmlns:a="http://schemas.openxmlformats.org/drawingml/2006/main">
              <a:srgbClr val="ED7D31"/>
            </a:solidFill>
            <a:ln xmlns:a="http://schemas.openxmlformats.org/drawingml/2006/main" cmpd="sng">
              <a:solidFill>
                <a:srgbClr val="000000"/>
              </a:solidFill>
              <a:prstDash val="solid"/>
            </a:ln>
          </spPr>
          <invertIfNegative val="1"/>
          <val>
            <numRef>
              <f>'Ref. 3-Core Model Research 2023'!$Q$2</f>
              <numCache>
                <formatCode>"$"#,##0.00</formatCode>
                <ptCount val="1"/>
                <pt idx="0">
                  <v>12.18</v>
                </pt>
              </numCache>
            </numRef>
          </val>
        </ser>
        <ser>
          <idx val="2"/>
          <order val="2"/>
          <spPr>
            <a:solidFill xmlns:a="http://schemas.openxmlformats.org/drawingml/2006/main">
              <a:srgbClr val="A5A5A5"/>
            </a:solidFill>
            <a:ln xmlns:a="http://schemas.openxmlformats.org/drawingml/2006/main" cmpd="sng">
              <a:solidFill>
                <a:srgbClr val="000000"/>
              </a:solidFill>
              <a:prstDash val="solid"/>
            </a:ln>
          </spPr>
          <invertIfNegative val="1"/>
          <val>
            <numRef>
              <f>'Ref. 3-Core Model Research 2023'!$Q$3</f>
              <numCache>
                <formatCode>"$"#,##0.00</formatCode>
                <ptCount val="1"/>
                <pt idx="0">
                  <v>1519.5</v>
                </pt>
              </numCache>
            </numRef>
          </val>
        </ser>
        <ser>
          <idx val="3"/>
          <order val="3"/>
          <spPr>
            <a:solidFill xmlns:a="http://schemas.openxmlformats.org/drawingml/2006/main">
              <a:srgbClr val="FFC000"/>
            </a:solidFill>
            <a:ln xmlns:a="http://schemas.openxmlformats.org/drawingml/2006/main" cmpd="sng">
              <a:solidFill>
                <a:srgbClr val="000000"/>
              </a:solidFill>
              <a:prstDash val="solid"/>
            </a:ln>
          </spPr>
          <invertIfNegative val="1"/>
          <val>
            <numRef>
              <f>'Ref. 3-Core Model Research 2023'!$Q$5</f>
              <numCache>
                <formatCode>"$"#,##0.00</formatCode>
                <ptCount val="1"/>
                <pt idx="0">
                  <v>10.1</v>
                </pt>
              </numCache>
            </numRef>
          </val>
        </ser>
        <ser>
          <idx val="4"/>
          <order val="4"/>
          <spPr>
            <a:solidFill xmlns:a="http://schemas.openxmlformats.org/drawingml/2006/main">
              <a:srgbClr val="4472C4"/>
            </a:solidFill>
            <a:ln xmlns:a="http://schemas.openxmlformats.org/drawingml/2006/main" cmpd="sng">
              <a:solidFill>
                <a:srgbClr val="000000"/>
              </a:solidFill>
              <a:prstDash val="solid"/>
            </a:ln>
          </spPr>
          <invertIfNegative val="1"/>
          <val>
            <numRef>
              <f>'Ref. 3-Core Model Research 2023'!$Q$6</f>
              <numCache>
                <formatCode>"$"#,##0.00</formatCode>
                <ptCount val="1"/>
                <pt idx="0">
                  <v>75</v>
                </pt>
              </numCache>
            </numRef>
          </val>
        </ser>
        <ser>
          <idx val="5"/>
          <order val="5"/>
          <spPr>
            <a:solidFill xmlns:a="http://schemas.openxmlformats.org/drawingml/2006/main">
              <a:srgbClr val="70AD47"/>
            </a:solidFill>
            <a:ln xmlns:a="http://schemas.openxmlformats.org/drawingml/2006/main" cmpd="sng">
              <a:solidFill>
                <a:srgbClr val="000000"/>
              </a:solidFill>
              <a:prstDash val="solid"/>
            </a:ln>
          </spPr>
          <invertIfNegative val="1"/>
          <val>
            <numRef>
              <f>'Ref. 3-Core Model Research 2023'!$Q$7</f>
              <numCache>
                <formatCode>"$"#,##0.00</formatCode>
                <ptCount val="1"/>
                <pt idx="0">
                  <v>90</v>
                </pt>
              </numCache>
            </numRef>
          </val>
        </ser>
        <dLbls>
          <showLegendKey val="0"/>
          <showVal val="0"/>
          <showCatName val="0"/>
          <showSerName val="0"/>
          <showPercent val="0"/>
          <showBubbleSize val="0"/>
        </dLbls>
        <gapWidth val="150"/>
        <overlap val="100"/>
        <axId val="1962535546"/>
        <axId val="1674584096"/>
      </barChart>
      <catAx>
        <axId val="1962535546"/>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None</a:t>
                </a:r>
                <a:endParaRPr lang="en-US"/>
              </a:p>
            </rich>
          </tx>
          <overlay val="0"/>
        </title>
        <numFmt formatCode="General" sourceLinked="1"/>
        <majorTickMark val="none"/>
        <minorTickMark val="none"/>
        <tickLblPos val="nextTo"/>
        <txPr>
          <a:bodyPr xmlns:a="http://schemas.openxmlformats.org/drawingml/2006/main"/>
          <a:lstStyle xmlns:a="http://schemas.openxmlformats.org/drawingml/2006/main"/>
          <a:p xmlns:a="http://schemas.openxmlformats.org/drawingml/2006/main">
            <a:pPr lvl="0">
              <a:defRPr sz="900" b="0" i="0">
                <a:solidFill>
                  <a:srgbClr val="595959"/>
                </a:solidFill>
                <a:latin typeface="Calibri"/>
              </a:defRPr>
            </a:pPr>
            <a:r>
              <a:t/>
            </a:r>
            <a:endParaRPr lang="en-US"/>
          </a:p>
        </txPr>
        <crossAx val="1674584096"/>
        <crosses val="autoZero"/>
        <auto val="1"/>
        <lblAlgn val="ctr"/>
        <lblOffset val="100"/>
        <noMultiLvlLbl val="1"/>
      </catAx>
      <valAx>
        <axId val="1674584096"/>
        <scaling>
          <orientation val="minMax"/>
        </scaling>
        <delete val="0"/>
        <axPos val="l"/>
        <majorGridlines>
          <spPr>
            <a:ln xmlns:a="http://schemas.openxmlformats.org/drawingml/2006/main">
              <a:solidFill>
                <a:srgbClr val="D9D9D9"/>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None</a:t>
                </a:r>
                <a:endParaRPr lang="en-US"/>
              </a:p>
            </rich>
          </tx>
          <overlay val="0"/>
        </title>
        <numFmt formatCode="&quot;$&quot;#,##0.00"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0" i="0">
                <a:solidFill>
                  <a:srgbClr val="595959"/>
                </a:solidFill>
                <a:latin typeface="Calibri"/>
              </a:defRPr>
            </a:pPr>
            <a:r>
              <a:t/>
            </a:r>
            <a:endParaRPr lang="en-US"/>
          </a:p>
        </txPr>
        <crossAx val="1962535546"/>
        <crosses val="autoZero"/>
        <crossBetween val="between"/>
      </valAx>
    </plotArea>
    <legend>
      <legendPos val="b"/>
      <overlay val="0"/>
      <txPr>
        <a:bodyPr xmlns:a="http://schemas.openxmlformats.org/drawingml/2006/main"/>
        <a:lstStyle xmlns:a="http://schemas.openxmlformats.org/drawingml/2006/main"/>
        <a:p xmlns:a="http://schemas.openxmlformats.org/drawingml/2006/main">
          <a:pPr lvl="0">
            <a:defRPr sz="900" b="0" i="0">
              <a:solidFill>
                <a:srgbClr val="595959"/>
              </a:solidFill>
              <a:latin typeface="Calibri"/>
            </a:defRPr>
          </a:pPr>
          <a:r>
            <a:t/>
          </a:r>
          <a:endParaRPr lang="en-US"/>
        </a:p>
      </txPr>
    </legend>
    <plotVisOnly val="1"/>
    <dispBlanksAs val="zero"/>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plotArea>
      <layout/>
      <pieChart>
        <varyColors val="1"/>
        <ser>
          <idx val="0"/>
          <order val="0"/>
          <spPr>
            <a:ln xmlns:a="http://schemas.openxmlformats.org/drawingml/2006/main">
              <a:prstDash val="solid"/>
            </a:ln>
          </spPr>
          <dPt>
            <idx val="0"/>
            <bubble3D val="0"/>
            <spPr>
              <a:solidFill xmlns:a="http://schemas.openxmlformats.org/drawingml/2006/main">
                <a:srgbClr val="5B9BD5"/>
              </a:solidFill>
              <a:ln xmlns:a="http://schemas.openxmlformats.org/drawingml/2006/main">
                <a:prstDash val="solid"/>
              </a:ln>
            </spPr>
          </dPt>
          <dPt>
            <idx val="1"/>
            <bubble3D val="0"/>
            <spPr>
              <a:solidFill xmlns:a="http://schemas.openxmlformats.org/drawingml/2006/main">
                <a:srgbClr val="ED7D31"/>
              </a:solidFill>
              <a:ln xmlns:a="http://schemas.openxmlformats.org/drawingml/2006/main">
                <a:prstDash val="solid"/>
              </a:ln>
            </spPr>
          </dPt>
          <dPt>
            <idx val="2"/>
            <bubble3D val="0"/>
            <spPr>
              <a:solidFill xmlns:a="http://schemas.openxmlformats.org/drawingml/2006/main">
                <a:srgbClr val="A5A5A5"/>
              </a:solidFill>
              <a:ln xmlns:a="http://schemas.openxmlformats.org/drawingml/2006/main">
                <a:prstDash val="solid"/>
              </a:ln>
            </spPr>
          </dPt>
          <dPt>
            <idx val="3"/>
            <bubble3D val="0"/>
            <spPr>
              <a:solidFill xmlns:a="http://schemas.openxmlformats.org/drawingml/2006/main">
                <a:srgbClr val="FFC000"/>
              </a:solidFill>
              <a:ln xmlns:a="http://schemas.openxmlformats.org/drawingml/2006/main">
                <a:prstDash val="solid"/>
              </a:ln>
            </spPr>
          </dPt>
          <dPt>
            <idx val="4"/>
            <bubble3D val="0"/>
            <spPr>
              <a:solidFill xmlns:a="http://schemas.openxmlformats.org/drawingml/2006/main">
                <a:srgbClr val="4472C4"/>
              </a:solidFill>
              <a:ln xmlns:a="http://schemas.openxmlformats.org/drawingml/2006/main">
                <a:prstDash val="solid"/>
              </a:ln>
            </spPr>
          </dPt>
          <dPt>
            <idx val="5"/>
            <bubble3D val="0"/>
            <spPr>
              <a:solidFill xmlns:a="http://schemas.openxmlformats.org/drawingml/2006/main">
                <a:srgbClr val="70AD47"/>
              </a:solidFill>
              <a:ln xmlns:a="http://schemas.openxmlformats.org/drawingml/2006/main">
                <a:prstDash val="solid"/>
              </a:ln>
            </spPr>
          </dPt>
          <dLbls>
            <spPr>
              <a:noFill xmlns:a="http://schemas.openxmlformats.org/drawingml/2006/main"/>
              <a:ln xmlns:a="http://schemas.openxmlformats.org/drawingml/2006/main">
                <a:noFill/>
                <a:prstDash val="solid"/>
              </a:ln>
            </spPr>
            <showLegendKey val="0"/>
            <showVal val="1"/>
            <showCatName val="0"/>
            <showSerName val="0"/>
            <showPercent val="0"/>
            <showBubbleSize val="0"/>
            <showLeaderLines val="1"/>
          </dLbls>
          <cat>
            <strRef>
              <f>'Ref. 3-Core Model Research 2023'!$P$2:$P$7</f>
              <strCache>
                <ptCount val="6"/>
                <pt idx="0">
                  <v>App &amp; Mobile Monetization</v>
                </pt>
                <pt idx="1">
                  <v>Market Research</v>
                </pt>
                <pt idx="2">
                  <v>Predictive Problem Solving</v>
                </pt>
                <pt idx="3">
                  <v>Retarget Marketing &amp; Advertising</v>
                </pt>
                <pt idx="4">
                  <v>Promoters / Social Marketing</v>
                </pt>
                <pt idx="5">
                  <v>Sales</v>
                </pt>
              </strCache>
            </strRef>
          </cat>
          <val>
            <numRef>
              <f>'Ref. 3-Core Model Research 2023'!$Q$2:$Q$7</f>
              <numCache>
                <formatCode>"$"#,##0.00</formatCode>
                <ptCount val="6"/>
                <pt idx="0">
                  <v>12.18</v>
                </pt>
                <pt idx="1">
                  <v>1519.5</v>
                </pt>
                <pt idx="2">
                  <v>85.38679149968006</v>
                </pt>
                <pt idx="3">
                  <v>10.1</v>
                </pt>
                <pt idx="4">
                  <v>75</v>
                </pt>
                <pt idx="5">
                  <v>90</v>
                </pt>
              </numCache>
            </numRef>
          </val>
        </ser>
        <dLbls>
          <showLegendKey val="0"/>
          <showVal val="0"/>
          <showCatName val="0"/>
          <showSerName val="0"/>
          <showPercent val="0"/>
          <showBubbleSize val="0"/>
          <showLeaderLines val="1"/>
        </dLbls>
        <firstSliceAng val="0"/>
      </pieChart>
    </plotArea>
    <legend>
      <legendPos val="t"/>
      <overlay val="0"/>
      <txPr>
        <a:bodyPr xmlns:a="http://schemas.openxmlformats.org/drawingml/2006/main"/>
        <a:lstStyle xmlns:a="http://schemas.openxmlformats.org/drawingml/2006/main"/>
        <a:p xmlns:a="http://schemas.openxmlformats.org/drawingml/2006/main">
          <a:pPr lvl="0">
            <a:defRPr sz="900" b="0" i="0">
              <a:solidFill>
                <a:srgbClr val="595959"/>
              </a:solidFill>
              <a:latin typeface="Calibri"/>
            </a:defRPr>
          </a:pPr>
          <a:r>
            <a:t/>
          </a:r>
          <a:endParaRPr lang="en-US"/>
        </a:p>
      </txPr>
    </legend>
    <plotVisOnly val="1"/>
    <dispBlanksAs val="zero"/>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plotArea>
      <layout/>
      <barChart>
        <barDir val="col"/>
        <grouping val="stacked"/>
        <varyColors val="1"/>
        <ser>
          <idx val="0"/>
          <order val="0"/>
          <spPr>
            <a:solidFill xmlns:a="http://schemas.openxmlformats.org/drawingml/2006/main">
              <a:srgbClr val="5B9BD5"/>
            </a:solidFill>
            <a:ln xmlns:a="http://schemas.openxmlformats.org/drawingml/2006/main" cmpd="sng">
              <a:solidFill>
                <a:srgbClr val="000000"/>
              </a:solidFill>
              <a:prstDash val="solid"/>
            </a:ln>
          </spPr>
          <invertIfNegative val="1"/>
          <val>
            <numRef>
              <f>'Ref. 4-Core Model Research 2025'!$Q$4</f>
              <numCache>
                <formatCode>"$"#,##0.00</formatCode>
                <ptCount val="1"/>
                <pt idx="0">
                  <v>77.62435590880006</v>
                </pt>
              </numCache>
            </numRef>
          </val>
        </ser>
        <ser>
          <idx val="1"/>
          <order val="1"/>
          <spPr>
            <a:solidFill xmlns:a="http://schemas.openxmlformats.org/drawingml/2006/main">
              <a:srgbClr val="ED7D31"/>
            </a:solidFill>
            <a:ln xmlns:a="http://schemas.openxmlformats.org/drawingml/2006/main" cmpd="sng">
              <a:solidFill>
                <a:srgbClr val="000000"/>
              </a:solidFill>
              <a:prstDash val="solid"/>
            </a:ln>
          </spPr>
          <invertIfNegative val="1"/>
          <val>
            <numRef>
              <f>'Ref. 4-Core Model Research 2025'!$Q$2</f>
              <numCache>
                <formatCode>"$"#,##0.00</formatCode>
                <ptCount val="1"/>
                <pt idx="0">
                  <v>16.3</v>
                </pt>
              </numCache>
            </numRef>
          </val>
        </ser>
        <ser>
          <idx val="2"/>
          <order val="2"/>
          <spPr>
            <a:solidFill xmlns:a="http://schemas.openxmlformats.org/drawingml/2006/main">
              <a:srgbClr val="A5A5A5"/>
            </a:solidFill>
            <a:ln xmlns:a="http://schemas.openxmlformats.org/drawingml/2006/main" cmpd="sng">
              <a:solidFill>
                <a:srgbClr val="000000"/>
              </a:solidFill>
              <a:prstDash val="solid"/>
            </a:ln>
          </spPr>
          <invertIfNegative val="1"/>
          <val>
            <numRef>
              <f>'Ref. 4-Core Model Research 2025'!$Q$3</f>
              <numCache>
                <formatCode>"$"#,##0.00</formatCode>
                <ptCount val="1"/>
                <pt idx="0">
                  <v>2387.5</v>
                </pt>
              </numCache>
            </numRef>
          </val>
        </ser>
        <ser>
          <idx val="3"/>
          <order val="3"/>
          <spPr>
            <a:solidFill xmlns:a="http://schemas.openxmlformats.org/drawingml/2006/main">
              <a:srgbClr val="FFC000"/>
            </a:solidFill>
            <a:ln xmlns:a="http://schemas.openxmlformats.org/drawingml/2006/main" cmpd="sng">
              <a:solidFill>
                <a:srgbClr val="000000"/>
              </a:solidFill>
              <a:prstDash val="solid"/>
            </a:ln>
          </spPr>
          <invertIfNegative val="1"/>
          <val>
            <numRef>
              <f>'Ref. 4-Core Model Research 2025'!$Q$5</f>
              <numCache>
                <formatCode>"$"#,##0.00</formatCode>
                <ptCount val="1"/>
                <pt idx="0">
                  <v>10</v>
                </pt>
              </numCache>
            </numRef>
          </val>
        </ser>
        <ser>
          <idx val="4"/>
          <order val="4"/>
          <spPr>
            <a:solidFill xmlns:a="http://schemas.openxmlformats.org/drawingml/2006/main">
              <a:srgbClr val="4472C4"/>
            </a:solidFill>
            <a:ln xmlns:a="http://schemas.openxmlformats.org/drawingml/2006/main" cmpd="sng">
              <a:solidFill>
                <a:srgbClr val="000000"/>
              </a:solidFill>
              <a:prstDash val="solid"/>
            </a:ln>
          </spPr>
          <invertIfNegative val="1"/>
          <val>
            <numRef>
              <f>'Ref. 4-Core Model Research 2025'!$Q$6</f>
              <numCache>
                <formatCode>"$"#,##0.00</formatCode>
                <ptCount val="1"/>
                <pt idx="0">
                  <v>75</v>
                </pt>
              </numCache>
            </numRef>
          </val>
        </ser>
        <ser>
          <idx val="5"/>
          <order val="5"/>
          <spPr>
            <a:solidFill xmlns:a="http://schemas.openxmlformats.org/drawingml/2006/main">
              <a:srgbClr val="70AD47"/>
            </a:solidFill>
            <a:ln xmlns:a="http://schemas.openxmlformats.org/drawingml/2006/main" cmpd="sng">
              <a:solidFill>
                <a:srgbClr val="000000"/>
              </a:solidFill>
              <a:prstDash val="solid"/>
            </a:ln>
          </spPr>
          <invertIfNegative val="1"/>
          <val>
            <numRef>
              <f>'Ref. 4-Core Model Research 2025'!$Q$7</f>
              <numCache>
                <formatCode>"$"#,##0.00</formatCode>
                <ptCount val="1"/>
                <pt idx="0">
                  <v>90</v>
                </pt>
              </numCache>
            </numRef>
          </val>
        </ser>
        <dLbls>
          <showLegendKey val="0"/>
          <showVal val="0"/>
          <showCatName val="0"/>
          <showSerName val="0"/>
          <showPercent val="0"/>
          <showBubbleSize val="0"/>
        </dLbls>
        <gapWidth val="150"/>
        <overlap val="100"/>
        <axId val="2014212105"/>
        <axId val="2122969669"/>
      </barChart>
      <catAx>
        <axId val="2014212105"/>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None</a:t>
                </a:r>
                <a:endParaRPr lang="en-US"/>
              </a:p>
            </rich>
          </tx>
          <overlay val="0"/>
        </title>
        <numFmt formatCode="General" sourceLinked="1"/>
        <majorTickMark val="none"/>
        <minorTickMark val="none"/>
        <tickLblPos val="nextTo"/>
        <txPr>
          <a:bodyPr xmlns:a="http://schemas.openxmlformats.org/drawingml/2006/main"/>
          <a:lstStyle xmlns:a="http://schemas.openxmlformats.org/drawingml/2006/main"/>
          <a:p xmlns:a="http://schemas.openxmlformats.org/drawingml/2006/main">
            <a:pPr lvl="0">
              <a:defRPr sz="900" b="0" i="0">
                <a:solidFill>
                  <a:srgbClr val="595959"/>
                </a:solidFill>
                <a:latin typeface="Calibri"/>
              </a:defRPr>
            </a:pPr>
            <a:r>
              <a:t/>
            </a:r>
            <a:endParaRPr lang="en-US"/>
          </a:p>
        </txPr>
        <crossAx val="2122969669"/>
        <crosses val="autoZero"/>
        <auto val="1"/>
        <lblAlgn val="ctr"/>
        <lblOffset val="100"/>
        <noMultiLvlLbl val="1"/>
      </catAx>
      <valAx>
        <axId val="2122969669"/>
        <scaling>
          <orientation val="minMax"/>
        </scaling>
        <delete val="0"/>
        <axPos val="l"/>
        <majorGridlines>
          <spPr>
            <a:ln xmlns:a="http://schemas.openxmlformats.org/drawingml/2006/main">
              <a:solidFill>
                <a:srgbClr val="D9D9D9"/>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None</a:t>
                </a:r>
                <a:endParaRPr lang="en-US"/>
              </a:p>
            </rich>
          </tx>
          <overlay val="0"/>
        </title>
        <numFmt formatCode="&quot;$&quot;#,##0.00"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0" i="0">
                <a:solidFill>
                  <a:srgbClr val="595959"/>
                </a:solidFill>
                <a:latin typeface="Calibri"/>
              </a:defRPr>
            </a:pPr>
            <a:r>
              <a:t/>
            </a:r>
            <a:endParaRPr lang="en-US"/>
          </a:p>
        </txPr>
        <crossAx val="2014212105"/>
        <crosses val="autoZero"/>
        <crossBetween val="between"/>
      </valAx>
    </plotArea>
    <legend>
      <legendPos val="b"/>
      <overlay val="0"/>
      <txPr>
        <a:bodyPr xmlns:a="http://schemas.openxmlformats.org/drawingml/2006/main"/>
        <a:lstStyle xmlns:a="http://schemas.openxmlformats.org/drawingml/2006/main"/>
        <a:p xmlns:a="http://schemas.openxmlformats.org/drawingml/2006/main">
          <a:pPr lvl="0">
            <a:defRPr sz="900" b="0" i="0">
              <a:solidFill>
                <a:srgbClr val="595959"/>
              </a:solidFill>
              <a:latin typeface="Calibri"/>
            </a:defRPr>
          </a:pPr>
          <a:r>
            <a:t/>
          </a:r>
          <a:endParaRPr lang="en-US"/>
        </a:p>
      </txPr>
    </legend>
    <plotVisOnly val="1"/>
    <dispBlanksAs val="zero"/>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plotArea>
      <layout/>
      <pieChart>
        <varyColors val="1"/>
        <ser>
          <idx val="0"/>
          <order val="0"/>
          <spPr>
            <a:ln xmlns:a="http://schemas.openxmlformats.org/drawingml/2006/main">
              <a:prstDash val="solid"/>
            </a:ln>
          </spPr>
          <dPt>
            <idx val="0"/>
            <bubble3D val="0"/>
            <spPr>
              <a:solidFill xmlns:a="http://schemas.openxmlformats.org/drawingml/2006/main">
                <a:srgbClr val="5B9BD5"/>
              </a:solidFill>
              <a:ln xmlns:a="http://schemas.openxmlformats.org/drawingml/2006/main">
                <a:prstDash val="solid"/>
              </a:ln>
            </spPr>
          </dPt>
          <dPt>
            <idx val="1"/>
            <bubble3D val="0"/>
            <spPr>
              <a:solidFill xmlns:a="http://schemas.openxmlformats.org/drawingml/2006/main">
                <a:srgbClr val="ED7D31"/>
              </a:solidFill>
              <a:ln xmlns:a="http://schemas.openxmlformats.org/drawingml/2006/main">
                <a:prstDash val="solid"/>
              </a:ln>
            </spPr>
          </dPt>
          <dPt>
            <idx val="2"/>
            <bubble3D val="0"/>
            <spPr>
              <a:solidFill xmlns:a="http://schemas.openxmlformats.org/drawingml/2006/main">
                <a:srgbClr val="A5A5A5"/>
              </a:solidFill>
              <a:ln xmlns:a="http://schemas.openxmlformats.org/drawingml/2006/main">
                <a:prstDash val="solid"/>
              </a:ln>
            </spPr>
          </dPt>
          <dPt>
            <idx val="3"/>
            <bubble3D val="0"/>
            <spPr>
              <a:solidFill xmlns:a="http://schemas.openxmlformats.org/drawingml/2006/main">
                <a:srgbClr val="FFC000"/>
              </a:solidFill>
              <a:ln xmlns:a="http://schemas.openxmlformats.org/drawingml/2006/main">
                <a:prstDash val="solid"/>
              </a:ln>
            </spPr>
          </dPt>
          <dPt>
            <idx val="4"/>
            <bubble3D val="0"/>
            <spPr>
              <a:solidFill xmlns:a="http://schemas.openxmlformats.org/drawingml/2006/main">
                <a:srgbClr val="4472C4"/>
              </a:solidFill>
              <a:ln xmlns:a="http://schemas.openxmlformats.org/drawingml/2006/main">
                <a:prstDash val="solid"/>
              </a:ln>
            </spPr>
          </dPt>
          <dPt>
            <idx val="5"/>
            <bubble3D val="0"/>
            <spPr>
              <a:solidFill xmlns:a="http://schemas.openxmlformats.org/drawingml/2006/main">
                <a:srgbClr val="70AD47"/>
              </a:solidFill>
              <a:ln xmlns:a="http://schemas.openxmlformats.org/drawingml/2006/main">
                <a:prstDash val="solid"/>
              </a:ln>
            </spPr>
          </dPt>
          <dLbls>
            <spPr>
              <a:noFill xmlns:a="http://schemas.openxmlformats.org/drawingml/2006/main"/>
              <a:ln xmlns:a="http://schemas.openxmlformats.org/drawingml/2006/main">
                <a:noFill/>
                <a:prstDash val="solid"/>
              </a:ln>
            </spPr>
            <showLegendKey val="0"/>
            <showVal val="1"/>
            <showCatName val="0"/>
            <showSerName val="0"/>
            <showPercent val="0"/>
            <showBubbleSize val="0"/>
            <showLeaderLines val="1"/>
          </dLbls>
          <cat>
            <strRef>
              <f>'Ref. 4-Core Model Research 2025'!$P$2:$P$7</f>
              <strCache>
                <ptCount val="6"/>
                <pt idx="0">
                  <v>App &amp; Mobile Monetization</v>
                </pt>
                <pt idx="1">
                  <v>Market Research</v>
                </pt>
                <pt idx="2">
                  <v>Predictive Problem Solving</v>
                </pt>
                <pt idx="3">
                  <v>Retarget Marketing &amp; Advertising</v>
                </pt>
                <pt idx="4">
                  <v>Promoters / Social Marketing</v>
                </pt>
                <pt idx="5">
                  <v>Sales</v>
                </pt>
              </strCache>
            </strRef>
          </cat>
          <val>
            <numRef>
              <f>'Ref. 4-Core Model Research 2025'!$Q$2:$Q$7</f>
              <numCache>
                <formatCode>"$"#,##0.00</formatCode>
                <ptCount val="6"/>
                <pt idx="0">
                  <v>16.3</v>
                </pt>
                <pt idx="1">
                  <v>2387.5</v>
                </pt>
                <pt idx="2">
                  <v>77.62435590880006</v>
                </pt>
                <pt idx="3">
                  <v>10</v>
                </pt>
                <pt idx="4">
                  <v>75</v>
                </pt>
                <pt idx="5">
                  <v>90</v>
                </pt>
              </numCache>
            </numRef>
          </val>
        </ser>
        <dLbls>
          <showLegendKey val="0"/>
          <showVal val="0"/>
          <showCatName val="0"/>
          <showSerName val="0"/>
          <showPercent val="0"/>
          <showBubbleSize val="0"/>
          <showLeaderLines val="1"/>
        </dLbls>
        <firstSliceAng val="0"/>
      </pieChart>
    </plotArea>
    <legend>
      <legendPos val="t"/>
      <overlay val="0"/>
      <txPr>
        <a:bodyPr xmlns:a="http://schemas.openxmlformats.org/drawingml/2006/main"/>
        <a:lstStyle xmlns:a="http://schemas.openxmlformats.org/drawingml/2006/main"/>
        <a:p xmlns:a="http://schemas.openxmlformats.org/drawingml/2006/main">
          <a:pPr lvl="0">
            <a:defRPr sz="900" b="0" i="0">
              <a:solidFill>
                <a:srgbClr val="595959"/>
              </a:solidFill>
              <a:latin typeface="Calibri"/>
            </a:defRPr>
          </a:pPr>
          <a:r>
            <a:t/>
          </a:r>
          <a:endParaRPr lang="en-US"/>
        </a:p>
      </txPr>
    </legend>
    <plotVisOnly val="1"/>
    <dispBlanksAs val="zero"/>
  </chart>
  <spPr>
    <a:solidFill xmlns:a="http://schemas.openxmlformats.org/drawingml/2006/main">
      <a:srgbClr val="FFFFFF"/>
    </a:solidFill>
    <a:ln xmlns:a="http://schemas.openxmlformats.org/drawingml/2006/main">
      <a:prstDash val="solid"/>
    </a:ln>
  </spPr>
</chartSpace>
</file>

<file path=xl/comments/comment1.xml><?xml version="1.0" encoding="utf-8"?>
<comments xmlns="http://schemas.openxmlformats.org/spreadsheetml/2006/main">
  <authors>
    <author>jared sanborn</author>
  </authors>
  <commentList>
    <comment ref="I31" authorId="0" shapeId="0">
      <text>
        <t>jared sanborn:
Includes crowdfunding as its only for this year</t>
      </text>
    </comment>
    <comment ref="K62" authorId="0" shapeId="0">
      <text>
        <t>jared sanborn:
includes cost to set up token raise</t>
      </text>
    </comment>
    <comment ref="C146" authorId="0" shapeId="0">
      <text>
        <t xml:space="preserve">jared sanborn:
Expenses are deducted on PURE INFLUENCE SLIDE So this is the remainder for this project
</t>
      </text>
    </comment>
    <comment ref="I214" authorId="0" shapeId="0">
      <text>
        <t>jared sanborn:
Includes crowdfunding as its only for this year</t>
      </text>
    </comment>
  </commentList>
</comments>
</file>

<file path=xl/comments/comment2.xml><?xml version="1.0" encoding="utf-8"?>
<comments xmlns="http://schemas.openxmlformats.org/spreadsheetml/2006/main">
  <authors>
    <author>James Weinberg</author>
    <author>jared sanborn</author>
  </authors>
  <commentList>
    <comment ref="I21" authorId="0" shapeId="0">
      <text>
        <t>James Weinberg:
Capital raise proceeds - $20M first tranche from MAKR + a very low but still existent bank account (daily average balance as of late is $2,500)</t>
      </text>
    </comment>
    <comment ref="N21" authorId="1" shapeId="0">
      <text>
        <t>jared sanborn:
MAKR's second Tranche of $5M comes in</t>
      </text>
    </comment>
    <comment ref="C25" authorId="1" shapeId="0">
      <text>
        <t>jared sanborn:
Pre-launch Revenue = Social media giveaways + Market Research or branded phones for super fans, paid for by brands up front</t>
      </text>
    </comment>
    <comment ref="S25" authorId="1" shapeId="0">
      <text>
        <t xml:space="preserve">jared sanborn:
Social media Giveaway - roughly 1,000 phones given away (we will give these away from the 3,000 we purchase directly)
</t>
      </text>
    </comment>
    <comment ref="T25" authorId="1" shapeId="0">
      <text>
        <t xml:space="preserve">jared sanborn:
Social media Giveaway - roughly 1,000 phones given away (we will give these away from the 3,000 we purchase directly)
</t>
      </text>
    </comment>
    <comment ref="X25" authorId="0" shapeId="0">
      <text>
        <t>James Weinberg:
Refer to Tab. 2D., Crowdfunding, for explanation of Month 1 cash flow from sale of telephones.</t>
      </text>
    </comment>
    <comment ref="Q27" authorId="1" shapeId="0">
      <text>
        <t>jared sanborn:
backed this up 4 months from original timeline</t>
      </text>
    </comment>
    <comment ref="N31" authorId="1" shapeId="0">
      <text>
        <t>jared sanborn:
moved this forward 7 months from original projections</t>
      </text>
    </comment>
    <comment ref="N32" authorId="1" shapeId="0">
      <text>
        <t>jared sanborn:
MAKR's second tranche- $5M</t>
      </text>
    </comment>
    <comment ref="Y32" authorId="1" shapeId="0">
      <text>
        <t>jared sanborn:
Series -B
please note that even if this was pushed out another 60-90 days our cash flow would still be ok</t>
      </text>
    </comment>
    <comment ref="AN32" authorId="1" shapeId="0">
      <text>
        <t>jared sanborn:
Series -C</t>
      </text>
    </comment>
    <comment ref="BC32" authorId="1" shapeId="0">
      <text>
        <t>jared sanborn:
Series -D - Token Raise - Utilitiy for our ecosystem tied to the value of data and enables our users to pay for things with their favorite brands and the brands to pay us to execute things they ask for</t>
      </text>
    </comment>
    <comment ref="AD33" authorId="1" shapeId="0">
      <text>
        <t>jared sanborn:
Seeking a $50M line of credit at this point for financing regarding hardware, etc to help bridge the gap to true profitability</t>
      </text>
    </comment>
    <comment ref="AS33" authorId="1" shapeId="0">
      <text>
        <t>jared sanborn:
Seeking a $100M line of credit at this point for financing regarding hardware, etc to help bridge the gap to true profitability</t>
      </text>
    </comment>
    <comment ref="BH33" authorId="1" shapeId="0">
      <text>
        <t>jared sanborn:
Seeking a $100M line of credit at this point for financing regarding hardware, etc to help bridge the gap to true profitability</t>
      </text>
    </comment>
    <comment ref="V40" authorId="1" shapeId="0">
      <text>
        <t xml:space="preserve">jared sanborn:
Double Check Revenue on Consolidated FY P&amp;L against this </t>
      </text>
    </comment>
    <comment ref="AK40" authorId="1" shapeId="0">
      <text>
        <t xml:space="preserve">jared sanborn:
Double Check Revenue on Consolidated FY P&amp;L against this 
</t>
      </text>
    </comment>
    <comment ref="AZ40" authorId="1" shapeId="0">
      <text>
        <t xml:space="preserve">jared sanborn:
Double Check Revenue on Consolidated FY P&amp;L against this </t>
      </text>
    </comment>
    <comment ref="BO40" authorId="1" shapeId="0">
      <text>
        <t xml:space="preserve">jared sanborn:
Double Check Revenue on Consolidated FY P&amp;L against this </t>
      </text>
    </comment>
    <comment ref="CD40" authorId="1" shapeId="0">
      <text>
        <t xml:space="preserve">jared sanborn:
Double Check Revenue on Consolidated FY P&amp;L against this </t>
      </text>
    </comment>
    <comment ref="CS40" authorId="1" shapeId="0">
      <text>
        <t xml:space="preserve">jared sanborn:
Double Check Revenue on Consolidated FY P&amp;L against this </t>
      </text>
    </comment>
    <comment ref="I44" authorId="0" shapeId="0">
      <text>
        <t>James Weinberg:
Info for this is inside Series-A Launch Budget 2025</t>
      </text>
    </comment>
    <comment ref="J44" authorId="0" shapeId="0">
      <text>
        <t>James Weinberg:
Info for this is inside Series-A Launch Budget 2025</t>
      </text>
    </comment>
    <comment ref="I45" authorId="0" shapeId="0">
      <text>
        <t>James Weinberg:
Info for this is inside Series-A Launch Budget 2025</t>
      </text>
    </comment>
    <comment ref="J45" authorId="0" shapeId="0">
      <text>
        <t>James Weinberg:
Info for this is inside Series-A Launch Budget 2025</t>
      </text>
    </comment>
    <comment ref="K45" authorId="0" shapeId="0">
      <text>
        <t>James Weinberg:
Info for this is inside Series-A Launch Budget 2025</t>
      </text>
    </comment>
    <comment ref="L45" authorId="0" shapeId="0">
      <text>
        <t>James Weinberg:
Info for this is inside Series-A Launch Budget 2025</t>
      </text>
    </comment>
    <comment ref="M45" authorId="0" shapeId="0">
      <text>
        <t>James Weinberg:
Info for this is inside Series-A Launch Budget 2025</t>
      </text>
    </comment>
    <comment ref="N45" authorId="0" shapeId="0">
      <text>
        <t>James Weinberg:
Info for this is inside Series-A Launch Budget 2025</t>
      </text>
    </comment>
    <comment ref="O45" authorId="0" shapeId="0">
      <text>
        <t>James Weinberg:
Info for this is inside Series-A Launch Budget 2025</t>
      </text>
    </comment>
    <comment ref="C46" authorId="1" shapeId="0">
      <text>
        <t>jared sanborn:
current accounting for Livecast and The Hive</t>
      </text>
    </comment>
    <comment ref="I46" authorId="0" shapeId="0">
      <text>
        <t>James Weinberg:
Info for this is inside weekly launch budget in K38 highlightedin red</t>
      </text>
    </comment>
    <comment ref="J46" authorId="0" shapeId="0">
      <text>
        <t>James Weinberg:
Info for this is inside Series-A Launch Budget 2025</t>
      </text>
    </comment>
    <comment ref="K46" authorId="0" shapeId="0">
      <text>
        <t>James Weinberg:
Info for this is inside Series-A Launch Budget 2025</t>
      </text>
    </comment>
    <comment ref="L46" authorId="0" shapeId="0">
      <text>
        <t>James Weinberg:
Info for this is inside Series-A Launch Budget 2025</t>
      </text>
    </comment>
    <comment ref="M46" authorId="0" shapeId="0">
      <text>
        <t>James Weinberg:
Info for this is inside Series-A Launch Budget 2025</t>
      </text>
    </comment>
    <comment ref="N46" authorId="0" shapeId="0">
      <text>
        <t>James Weinberg:
Info for this is inside Series-A Launch Budget 2025</t>
      </text>
    </comment>
    <comment ref="O46" authorId="0" shapeId="0">
      <text>
        <t>James Weinberg:
Info for this is inside Series-A Launch Budget 2025</t>
      </text>
    </comment>
    <comment ref="P46" authorId="0" shapeId="0">
      <text>
        <t>James Weinberg:
Info for this is inside Series-A Launch Budget 2025</t>
      </text>
    </comment>
    <comment ref="Q46" authorId="0" shapeId="0">
      <text>
        <t>James Weinberg:
Info for this is inside Series-A Launch Budget 2025</t>
      </text>
    </comment>
    <comment ref="R46" authorId="0" shapeId="0">
      <text>
        <t>James Weinberg:
Info for this is inside Series-A Launch Budget 2025</t>
      </text>
    </comment>
    <comment ref="S46" authorId="0" shapeId="0">
      <text>
        <t>James Weinberg:
Info for this is inside Series-A Launch Budget 2025</t>
      </text>
    </comment>
    <comment ref="T46" authorId="0" shapeId="0">
      <text>
        <t>James Weinberg:
Info for this is inside Series-A Launch Budget 2025</t>
      </text>
    </comment>
    <comment ref="X46" authorId="0" shapeId="0">
      <text>
        <t>James Weinberg:
Info for this is inside Series-A Launch Budget 2025</t>
      </text>
    </comment>
    <comment ref="S48" authorId="1" shapeId="0">
      <text>
        <t xml:space="preserve">James Weinberg:
30% deposit on MOQ for 3,000 phones at $628/unit.
</t>
      </text>
    </comment>
    <comment ref="T48" authorId="0" shapeId="0">
      <text>
        <t>James Weinberg:
70% deposit on MOQ for 3,000 phones at $628/unit.</t>
      </text>
    </comment>
    <comment ref="T49" authorId="0" shapeId="0">
      <text>
        <t>James Weinberg:
Inventory for post-launch Month 1</t>
      </text>
    </comment>
    <comment ref="C51" authorId="0" shapeId="0">
      <text>
        <t>James Weinberg:
Expense shown gross; amounts do not reflect potential rent payments from residents of 25 Prospect.</t>
      </text>
    </comment>
    <comment ref="J54" authorId="0" shapeId="0">
      <text>
        <t>James Weinberg:
Total commission, $1.25MM ($25MM x 5% = $1.25MM); paid in tranches based on date of funding(s).</t>
      </text>
    </comment>
    <comment ref="M54" authorId="0" shapeId="0">
      <text>
        <t>James Weinberg:
Total commission, $1.25MM ($25MM x 5% = $1.25MM); amortize over five months from date of funding.</t>
      </text>
    </comment>
    <comment ref="AR59" authorId="0" shapeId="0">
      <text>
        <t xml:space="preserve">James Weinberg:
$2.6MM over seven months </t>
      </text>
    </comment>
    <comment ref="AS59" authorId="0" shapeId="0">
      <text>
        <t xml:space="preserve">James Weinberg:
$2.6MM over seven months </t>
      </text>
    </comment>
    <comment ref="AT59" authorId="0" shapeId="0">
      <text>
        <t xml:space="preserve">James Weinberg:
$2.6MM over seven months </t>
      </text>
    </comment>
    <comment ref="AU59" authorId="0" shapeId="0">
      <text>
        <t xml:space="preserve">James Weinberg:
$2.6MM over seven months </t>
      </text>
    </comment>
    <comment ref="AV59" authorId="0" shapeId="0">
      <text>
        <t xml:space="preserve">James Weinberg:
$2.6MM over seven months </t>
      </text>
    </comment>
    <comment ref="AW59" authorId="0" shapeId="0">
      <text>
        <t xml:space="preserve">James Weinberg:
$2.6MM over seven months </t>
      </text>
    </comment>
    <comment ref="AX59" authorId="0" shapeId="0">
      <text>
        <t xml:space="preserve">James Weinberg:
$2.6MM over seven months </t>
      </text>
    </comment>
    <comment ref="V72" authorId="1" shapeId="0">
      <text>
        <t xml:space="preserve">jared sanborn:
Double Check EBITDA on Consolidated FY P&amp;L against this </t>
      </text>
    </comment>
    <comment ref="Y73" authorId="1" shapeId="0">
      <text>
        <t>jared sanborn:
Even without the $43M raise we have $5.2M left over here. we never get to Zero!</t>
      </text>
    </comment>
    <comment ref="AI73" authorId="1" shapeId="0">
      <text>
        <t>jared sanborn:
Even if we didnt raise the $43M in this year we should have about $9.8M left over</t>
      </text>
    </comment>
    <comment ref="T88" authorId="1" shapeId="0">
      <text>
        <t xml:space="preserve">jared sanborn:
Double Checked against Full cash Disbursements
</t>
      </text>
    </comment>
  </commentList>
</comments>
</file>

<file path=xl/comments/comment3.xml><?xml version="1.0" encoding="utf-8"?>
<comments xmlns="http://schemas.openxmlformats.org/spreadsheetml/2006/main">
  <authors>
    <author>jared sanborn</author>
    <author>James Weinberg</author>
  </authors>
  <commentList>
    <comment ref="S18" authorId="0" shapeId="0">
      <text>
        <t xml:space="preserve">jared sanborn:
Social media giveaway
</t>
      </text>
    </comment>
    <comment ref="T18" authorId="0" shapeId="0">
      <text>
        <t xml:space="preserve">jared sanborn:
Social media giveaway
</t>
      </text>
    </comment>
    <comment ref="X20" authorId="1" shapeId="0">
      <text>
        <t>James Weinberg:
Month 1 cash proceeds from sale of telephone reduced by amount received as payment toward 4,000 telephones during Crowdfunding.</t>
      </text>
    </comment>
  </commentList>
</comments>
</file>

<file path=xl/comments/comment4.xml><?xml version="1.0" encoding="utf-8"?>
<comments xmlns="http://schemas.openxmlformats.org/spreadsheetml/2006/main">
  <authors>
    <author>James Weinberg</author>
  </authors>
  <commentList>
    <comment ref="J51" authorId="0" shapeId="0">
      <text>
        <t>James Weinberg:
3,000 of the first 22,000 units will be sold (and funded) during Crowdfunding to take place during pre-launch.</t>
      </text>
    </comment>
  </commentList>
</comments>
</file>

<file path=xl/comments/comment5.xml><?xml version="1.0" encoding="utf-8"?>
<comments xmlns="http://schemas.openxmlformats.org/spreadsheetml/2006/main">
  <authors>
    <author>James Weinberg</author>
  </authors>
  <commentList>
    <comment ref="V79" authorId="0" shapeId="0">
      <text>
        <t>James Weinberg:
Twelve-month average</t>
      </text>
    </comment>
    <comment ref="V97" authorId="0" shapeId="0">
      <text>
        <t>James Weinberg:
Twelve-month average</t>
      </text>
    </comment>
    <comment ref="V115" authorId="0" shapeId="0">
      <text>
        <t>James Weinberg:
Twelve-month average</t>
      </text>
    </comment>
    <comment ref="V133" authorId="0" shapeId="0">
      <text>
        <t>James Weinberg:
Twelve-month average</t>
      </text>
    </comment>
    <comment ref="V151" authorId="0" shapeId="0">
      <text>
        <t>James Weinberg:
Twelve-month average</t>
      </text>
    </comment>
    <comment ref="V169" authorId="0" shapeId="0">
      <text>
        <t>James Weinberg:
Twelve-month average</t>
      </text>
    </comment>
  </commentList>
</comments>
</file>

<file path=xl/comments/comment6.xml><?xml version="1.0" encoding="utf-8"?>
<comments xmlns="http://schemas.openxmlformats.org/spreadsheetml/2006/main">
  <authors>
    <author>jared sanborn</author>
  </authors>
  <commentList>
    <comment ref="N21" authorId="0" shapeId="0">
      <text>
        <t>jared sanborn:
Based on 2025 research by Ed Brennan, this is most likely closer to $310.67 per hour on average. For conservatism, we have split the difference between out initial assumption of $215 and $310.67</t>
      </text>
    </comment>
  </commentList>
</comments>
</file>

<file path=xl/comments/comment7.xml><?xml version="1.0" encoding="utf-8"?>
<comments xmlns="http://schemas.openxmlformats.org/spreadsheetml/2006/main">
  <authors>
    <author>James Weinberg</author>
  </authors>
  <commentList>
    <comment ref="Y35" authorId="0" shapeId="0">
      <text>
        <t>James Weinberg:
Full-Year Average</t>
      </text>
    </comment>
    <comment ref="J45" authorId="0" shapeId="0">
      <text>
        <t>James Weinberg:
Continue post-launch product development and enhancement; continue AI development and integration; develop, test and integrate additional features for telephone.  Compares to FB at 21% for 2Q 2021 (FB number includes payroll costs for R&amp;D Staff).</t>
      </text>
    </comment>
    <comment ref="Y48" authorId="0" shapeId="0">
      <text>
        <t>James Weinberg:
Full-Year Average</t>
      </text>
    </comment>
    <comment ref="J49" authorId="0" shapeId="0">
      <text>
        <t xml:space="preserve">James Weinberg:
Build and establish brand, consumer incentives, marketing launch. 25% in Months 1 - 6; 20% in Months 7 - 12 Compares to FB at 11% (2Q 2021; FB number includes payroll cost of sales and marketing staff).
</t>
      </text>
    </comment>
    <comment ref="Y127" authorId="0" shapeId="0">
      <text>
        <t>James Weinberg:
Full-Year Average</t>
      </text>
    </comment>
    <comment ref="J137" authorId="0" shapeId="0">
      <text>
        <t>James Weinberg:
Payroll cost associated with R&amp;D staff included in People Cost</t>
      </text>
    </comment>
    <comment ref="J141" authorId="0" shapeId="0">
      <text>
        <t>James Weinberg:
Payroll cost associated with S&amp;M staff included in People Cost</t>
      </text>
    </comment>
    <comment ref="Y219" authorId="0" shapeId="0">
      <text>
        <t>James Weinberg:
Full-Year Average</t>
      </text>
    </comment>
    <comment ref="J229" authorId="0" shapeId="0">
      <text>
        <t>James Weinberg:
Payroll cost associated with R&amp;D staff included in People Cost</t>
      </text>
    </comment>
    <comment ref="Y232" authorId="0" shapeId="0">
      <text>
        <t>James Weinberg:
Full-Year Average</t>
      </text>
    </comment>
    <comment ref="J233" authorId="0" shapeId="0">
      <text>
        <t>James Weinberg:
Payroll cost associated with S&amp;M staff included in People Cost</t>
      </text>
    </comment>
    <comment ref="Y311" authorId="0" shapeId="0">
      <text>
        <t>James Weinberg:
Full-Year Average</t>
      </text>
    </comment>
    <comment ref="J321" authorId="0" shapeId="0">
      <text>
        <t>James Weinberg:
Payroll cost associated with R&amp;D staff included in People Cost</t>
      </text>
    </comment>
    <comment ref="Y324" authorId="0" shapeId="0">
      <text>
        <t>James Weinberg:
Full-Year Average</t>
      </text>
    </comment>
    <comment ref="J325" authorId="0" shapeId="0">
      <text>
        <t>James Weinberg:
Payroll cost associated with S&amp;M staff included in People Cost</t>
      </text>
    </comment>
    <comment ref="Y403" authorId="0" shapeId="0">
      <text>
        <t>James Weinberg:
Full-Year Average</t>
      </text>
    </comment>
    <comment ref="J413" authorId="0" shapeId="0">
      <text>
        <t>James Weinberg:
Payroll cost associated with R&amp;D staff included in People Cost</t>
      </text>
    </comment>
    <comment ref="Y416" authorId="0" shapeId="0">
      <text>
        <t>James Weinberg:
Full-Year Average</t>
      </text>
    </comment>
    <comment ref="J417" authorId="0" shapeId="0">
      <text>
        <t>James Weinberg:
Payroll cost associated with S&amp;M staff included in People Cost</t>
      </text>
    </comment>
  </commentList>
</comments>
</file>

<file path=xl/comments/comment8.xml><?xml version="1.0" encoding="utf-8"?>
<comments xmlns="http://schemas.openxmlformats.org/spreadsheetml/2006/main">
  <authors>
    <author>James Weinberg</author>
  </authors>
  <commentList>
    <comment ref="BC40" authorId="0" shapeId="0">
      <text>
        <t xml:space="preserve">James Weinberg:
Jared at 15%
</t>
      </text>
    </comment>
    <comment ref="AQ47" authorId="0" shapeId="0">
      <text>
        <t>James Weinberg:
Jared used 15% YoY increase</t>
      </text>
    </comment>
    <comment ref="BC47" authorId="0" shapeId="0">
      <text>
        <t xml:space="preserve">James Weinberg:
Jared at 10%
</t>
      </text>
    </comment>
    <comment ref="B59" authorId="0" shapeId="0">
      <text>
        <t>James Weinberg:
Deduct to revenue</t>
      </text>
    </comment>
  </commentList>
</comments>
</file>

<file path=xl/comments/comment9.xml><?xml version="1.0" encoding="utf-8"?>
<comments xmlns="http://schemas.openxmlformats.org/spreadsheetml/2006/main">
  <authors>
    <author>jared sanborn</author>
  </authors>
  <commentList>
    <comment ref="AC19" authorId="0" shapeId="0">
      <text>
        <t>jared sanborn:
HEADCOUNT PER MONTH - our month 1 is off because some people are working without salary... after that its pretty accurate</t>
      </text>
    </comment>
    <comment ref="M20" authorId="0" shapeId="0">
      <text>
        <t>jared sanborn:
This means Salary Activation - it does not mean these individuals arent working for the company as a consultant or founding team prior. - in some instances it does mean they arent working. in either scenaro the salary is being added to the month they start being paid via payroll or consultant agreement</t>
      </text>
    </comment>
    <comment ref="AC67" authorId="0" shapeId="0">
      <text>
        <t>jared sanborn:
HEADCOUNT per month</t>
      </text>
    </comment>
    <comment ref="AC144" authorId="0" shapeId="0">
      <text>
        <t xml:space="preserve">jared sanborn:
Onboarding month half salary (split from following month as it would have been $5k to start in month 2)
</t>
      </text>
    </comment>
    <comment ref="AD144" authorId="0" shapeId="0">
      <text>
        <t>jared sanborn:
Other half of the remaining from the $5k supposed to be in this month</t>
      </text>
    </comment>
  </commentList>
</comments>
</file>

<file path=xl/comments/comment10.xml><?xml version="1.0" encoding="utf-8"?>
<comments xmlns="http://schemas.openxmlformats.org/spreadsheetml/2006/main">
  <authors>
    <author>jared sanborn</author>
    <author>James Weinberg</author>
  </authors>
  <commentList>
    <comment ref="I22" authorId="0" shapeId="0">
      <text>
        <t>jared sanborn:
One of these is a personal assistant for Jared to essentially take care of all the things Jared is not good at... this will allow Jared to maximize his time</t>
      </text>
    </comment>
    <comment ref="I32" authorId="1" shapeId="0">
      <text>
        <t>James Weinberg:
Nathan Olsen team</t>
      </text>
    </comment>
    <comment ref="I33" authorId="1" shapeId="0">
      <text>
        <t>James Weinberg:
Nathan Olsen team</t>
      </text>
    </comment>
    <comment ref="I34" authorId="1" shapeId="0">
      <text>
        <t>James Weinberg:
Internal marketing team for Pure Technology.</t>
      </text>
    </comment>
    <comment ref="I35" authorId="1" shapeId="0">
      <text>
        <t>James Weinberg:
Internal marketing team for Pure Technology.</t>
      </text>
    </comment>
    <comment ref="I76" authorId="0" shapeId="0">
      <text>
        <t xml:space="preserve">jared sanborn:
Dylan is one of these
</t>
      </text>
    </comment>
    <comment ref="H84" authorId="0" shapeId="0">
      <text>
        <t>jared sanborn:
Nathan's budget</t>
      </text>
    </comment>
    <comment ref="I84" authorId="0" shapeId="0">
      <text>
        <t>jared sanborn:
this includes richard lambana</t>
      </text>
    </comment>
    <comment ref="H86" authorId="1" shapeId="0">
      <text>
        <t>James Weinberg:
Internal marketing team for Pure Technology.</t>
      </text>
    </comment>
    <comment ref="I92" authorId="0" shapeId="0">
      <text>
        <t>jared sanborn:
Desi Vazquez, Alex Seant - $110k each</t>
      </text>
    </comment>
    <comment ref="I93" authorId="0" shapeId="0">
      <text>
        <t xml:space="preserve">jared sanborn:
Sam, Emmanuel, Zach + Adeeb + Ethan Devore
</t>
      </text>
    </comment>
    <comment ref="I95" authorId="0" shapeId="0">
      <text>
        <t>jared sanborn:
Brills team</t>
      </text>
    </comment>
  </commentList>
</comments>
</file>

<file path=xl/comments/comment11.xml><?xml version="1.0" encoding="utf-8"?>
<comments xmlns="http://schemas.openxmlformats.org/spreadsheetml/2006/main">
  <authors>
    <author>James Weinberg</author>
    <author>jared sanborn</author>
  </authors>
  <commentList>
    <comment ref="AC29" authorId="0" shapeId="0">
      <text>
        <t>James Weinberg:
Added two positions: (1) VP of HR; and (2) VP, Origination and Digital Assets</t>
      </text>
    </comment>
    <comment ref="Q39" authorId="0" shapeId="0">
      <text>
        <t>James Weinberg:
Includes $25,000 to fund partner integration.  Total partner integration cost estimated at $150,000/month from months -6 to -1.</t>
      </text>
    </comment>
    <comment ref="I41" authorId="0" shapeId="0">
      <text>
        <t>James Weinberg:
COGS represents initial MOQ of 3,000 units at $500/unit.</t>
      </text>
    </comment>
    <comment ref="D75" authorId="1" shapeId="0">
      <text>
        <t>jared sanborn:
Listed in S&amp;M on details as we want this to exist as more like a marketing tool for people to really love us</t>
      </text>
    </comment>
    <comment ref="K82" authorId="0" shapeId="0">
      <text>
        <t>James Weinberg:
Per Jared: Perhaps Jared to China if we need to start on R&amp;D for ID with Idea</t>
      </text>
    </comment>
    <comment ref="K83" authorId="0" shapeId="0">
      <text>
        <t>James Weinberg:
Per Jared: Perhaps Jared to China if we need to start on R&amp;D for ID with Idea</t>
      </text>
    </comment>
    <comment ref="I84" authorId="0" shapeId="0">
      <text>
        <t>James Weinberg:
Miscellaneous expense is 10% of expenses, excluding COGS, Social Media and Launch Costs</t>
      </text>
    </comment>
  </commentList>
</comments>
</file>

<file path=xl/comments/comment12.xml><?xml version="1.0" encoding="utf-8"?>
<comments xmlns="http://schemas.openxmlformats.org/spreadsheetml/2006/main">
  <authors>
    <author>jared sanborn</author>
    <author>None</author>
  </authors>
  <commentList>
    <comment ref="F42" authorId="0" shapeId="0">
      <text>
        <t>jared sanborn:
PT Signage / Swag - one time for now</t>
      </text>
    </comment>
    <comment ref="G42" authorId="0" shapeId="0">
      <text>
        <t xml:space="preserve">jared sanborn:
Philippines swag
</t>
      </text>
    </comment>
    <comment ref="F44" authorId="0" shapeId="0">
      <text>
        <t>jared sanborn:
PMG / PI / PT Budget ( to be spread out accordingly)</t>
      </text>
    </comment>
    <comment ref="G44" authorId="0" shapeId="0">
      <text>
        <t>jared sanborn:
PMG / PI / PT Budget ( to be spread out accordingly) + Mike Schuman Revenue Project</t>
      </text>
    </comment>
    <comment ref="H44" authorId="0" shapeId="0">
      <text>
        <t>jared sanborn:
PMG / PI / PT Budget ( to be spread out accordingly)</t>
      </text>
    </comment>
    <comment ref="P45" authorId="0" shapeId="0">
      <text>
        <t xml:space="preserve">jared sanborn:
Securing MAIN A-List influencer / celebrity
</t>
      </text>
    </comment>
    <comment ref="O55" authorId="0" shapeId="0">
      <text>
        <t>jared sanborn:
renting decent size space in times square for 3 days</t>
      </text>
    </comment>
    <comment ref="G61" authorId="0" shapeId="0">
      <text>
        <t>jared sanborn:
 DD Legal Costs back to MAKR from our Funding</t>
      </text>
    </comment>
    <comment ref="F66" authorId="0" shapeId="0">
      <text>
        <t>jared sanborn:
delawareregisteredagent.com - switch to this one</t>
      </text>
    </comment>
    <comment ref="K74" authorId="0" shapeId="0">
      <text>
        <t xml:space="preserve">jared sanborn:
Phone box design
</t>
      </text>
    </comment>
    <comment ref="L74" authorId="0" shapeId="0">
      <text>
        <t xml:space="preserve">jared sanborn:
Phone box design
</t>
      </text>
    </comment>
    <comment ref="M74" authorId="0" shapeId="0">
      <text>
        <t xml:space="preserve">jared sanborn:
Phone box design
</t>
      </text>
    </comment>
    <comment ref="N74" authorId="0" shapeId="0">
      <text>
        <t xml:space="preserve">jared sanborn:
Phone box design
</t>
      </text>
    </comment>
    <comment ref="O74" authorId="0" shapeId="0">
      <text>
        <t xml:space="preserve">jared sanborn:
Phone box design
</t>
      </text>
    </comment>
    <comment ref="Q74" authorId="0" shapeId="0">
      <text>
        <t>jared sanborn:
$5 per box for the phones - 5 x 25,000</t>
      </text>
    </comment>
    <comment ref="F79" authorId="1" shapeId="0">
      <text>
        <t>First round of Trademarks for PureTechnology</t>
      </text>
    </comment>
    <comment ref="G79" authorId="1" shapeId="0">
      <text>
        <t>Buying PureTechnology.com</t>
      </text>
    </comment>
    <comment ref="H79" authorId="1" shapeId="0">
      <text>
        <t>Buying all other related pure tech domains + begin drawing up patents</t>
      </text>
    </comment>
    <comment ref="I79" authorId="1" shapeId="0">
      <text>
        <t>Incorporate Pure Brands + File more Trademarks</t>
      </text>
    </comment>
    <comment ref="L79" authorId="1" shapeId="0">
      <text>
        <t xml:space="preserve">Draw up more patents
</t>
      </text>
    </comment>
    <comment ref="M79" authorId="1" shapeId="0">
      <text>
        <t xml:space="preserve">Draw up more patents
</t>
      </text>
    </comment>
    <comment ref="N79" authorId="1" shapeId="0">
      <text>
        <t>Patents filed</t>
      </text>
    </comment>
    <comment ref="O79" authorId="1" shapeId="0">
      <text>
        <t>Patents filed</t>
      </text>
    </comment>
    <comment ref="P79" authorId="1" shapeId="0">
      <text>
        <t>Patents filed</t>
      </text>
    </comment>
    <comment ref="Q79" authorId="1" shapeId="0">
      <text>
        <t>Patents filed</t>
      </text>
    </comment>
    <comment ref="F87" authorId="0" shapeId="0">
      <text>
        <t xml:space="preserve">jared sanborn:
China Trip for me and Brill + perhaps mike schuman + some expenses for Brill setting up in phillippines + $5k towards kick off meeting at HQ + company vehicle purchase - $7,000 (my old one) --- 
Pure Tech Team Meeting near NYC (Perhaps NJ) 
Those who live in the area - 
John, Robert, Jared, James, Mel, Nathan, Natasha, Baruch, Mo, Nils, barb
Those who need to fly in - 
Mike S, Rimah, Phil, Mike Daser, Brill
Perhaps Mac &amp; Thomas
Perhaps Russell, Ed, 
3-day meet up for all of us to meet, break off into groups, consult, and begin planning on execution for everything
</t>
      </text>
    </comment>
    <comment ref="H87" authorId="0" shapeId="0">
      <text>
        <t>jared sanborn:
main team travel /entertainment + Philippines team</t>
      </text>
    </comment>
    <comment ref="I87" authorId="0" shapeId="0">
      <text>
        <t>jared sanborn:
main team travel /entertainment + Philippines team</t>
      </text>
    </comment>
    <comment ref="J87" authorId="0" shapeId="0">
      <text>
        <t>jared sanborn:
main team travel /entertainment + Philippines team</t>
      </text>
    </comment>
    <comment ref="K87" authorId="0" shapeId="0">
      <text>
        <t>jared sanborn:
main team travel /entertainment + Philippines team</t>
      </text>
    </comment>
    <comment ref="L87" authorId="0" shapeId="0">
      <text>
        <t>jared sanborn:
main team travel /entertainment + Philippines team</t>
      </text>
    </comment>
    <comment ref="M87" authorId="0" shapeId="0">
      <text>
        <t>jared sanborn:
main team travel /entertainment + Philippines team</t>
      </text>
    </comment>
    <comment ref="N87" authorId="0" shapeId="0">
      <text>
        <t>jared sanborn:
main team travel /entertainment + Philippines team</t>
      </text>
    </comment>
    <comment ref="O87" authorId="0" shapeId="0">
      <text>
        <t>jared sanborn:
main team travel /entertainment + Philippines team</t>
      </text>
    </comment>
    <comment ref="P87" authorId="0" shapeId="0">
      <text>
        <t>jared sanborn:
main team travel /entertainment + Philippines team</t>
      </text>
    </comment>
    <comment ref="Q87" authorId="0" shapeId="0">
      <text>
        <t>jared sanborn:
main team travel /entertainment + Philippines team</t>
      </text>
    </comment>
    <comment ref="B93" authorId="1" shapeId="0">
      <text>
        <t>$15/employee/month</t>
      </text>
    </comment>
    <comment ref="F93" authorId="0" shapeId="0">
      <text>
        <t>jared sanborn:
One time costs for office essentials</t>
      </text>
    </comment>
    <comment ref="B95" authorId="0" shapeId="0">
      <text>
        <t>jared sanborn:
This should be updated</t>
      </text>
    </comment>
    <comment ref="AQ100" authorId="0" shapeId="0">
      <text>
        <t>jared sanborn:
occupancy as james split this into a different category</t>
      </text>
    </comment>
    <comment ref="F101" authorId="0" shapeId="0">
      <text>
        <t>jared sanborn:
Includes IT/tech software needed for dev/ product team - Jira, GitHub, Replit, Etc - this month also includespulley/fidelity/carta set up</t>
      </text>
    </comment>
    <comment ref="E118" authorId="0" shapeId="0">
      <text>
        <t>jared sanborn:
people already with computers</t>
      </text>
    </comment>
    <comment ref="E126" authorId="0" shapeId="0">
      <text>
        <t>jared sanborn:
people already with desks, etc</t>
      </text>
    </comment>
    <comment ref="F128" authorId="0" shapeId="0">
      <text>
        <t>jared sanborn:
+ one time $25,000 for HQ furniture, redesign, etc</t>
      </text>
    </comment>
    <comment ref="G128" authorId="0" shapeId="0">
      <text>
        <t>jared sanborn:
estimating 1/5th we will need to pay for desks, etc as they will be in an office vs remote</t>
      </text>
    </comment>
    <comment ref="I128" authorId="0" shapeId="0">
      <text>
        <t>jared sanborn:
estimating half in office vs half remote</t>
      </text>
    </comment>
    <comment ref="J128" authorId="0" shapeId="0">
      <text>
        <t>jared sanborn:
estimating half in office vs half remote</t>
      </text>
    </comment>
    <comment ref="K128" authorId="0" shapeId="0">
      <text>
        <t>jared sanborn:
estimating half in office vs half remote</t>
      </text>
    </comment>
    <comment ref="L128" authorId="0" shapeId="0">
      <text>
        <t>jared sanborn:
estimating half in office vs half remote</t>
      </text>
    </comment>
    <comment ref="M128" authorId="0" shapeId="0">
      <text>
        <t>jared sanborn:
estimating half in office vs half remote</t>
      </text>
    </comment>
    <comment ref="N128" authorId="0" shapeId="0">
      <text>
        <t>jared sanborn:
estimating half in office vs half remote</t>
      </text>
    </comment>
    <comment ref="O128" authorId="0" shapeId="0">
      <text>
        <t>jared sanborn:
estimating half in office vs half remote</t>
      </text>
    </comment>
    <comment ref="P128" authorId="0" shapeId="0">
      <text>
        <t>jared sanborn:
estimating half in office vs half remote</t>
      </text>
    </comment>
    <comment ref="Q128" authorId="0" shapeId="0">
      <text>
        <t>jared sanborn:
estimating half in office vs half remote</t>
      </text>
    </comment>
  </commentList>
</comments>
</file>

<file path=xl/comments/comment13.xml><?xml version="1.0" encoding="utf-8"?>
<comments xmlns="http://schemas.openxmlformats.org/spreadsheetml/2006/main">
  <authors>
    <author>jared sanborn</author>
  </authors>
  <commentList>
    <comment ref="I40" authorId="0" shapeId="0">
      <text>
        <t>jared sanborn:
This is only mapped for 6 months in FY1 assuming that before we begin core model we are getting brands to pay for some services ahead of time that will result in us giving some phones to people and/or building our own database</t>
      </text>
    </comment>
  </commentList>
</comments>
</file>

<file path=xl/comments/comment14.xml><?xml version="1.0" encoding="utf-8"?>
<comments xmlns="http://schemas.openxmlformats.org/spreadsheetml/2006/main">
  <authors>
    <author>jared sanborn</author>
  </authors>
  <commentList>
    <comment ref="A5" authorId="0" shapeId="0">
      <text>
        <t>jared sanborn:
10% of our revenue)</t>
      </text>
    </comment>
  </commentList>
</comments>
</file>

<file path=xl/comments/comment15.xml><?xml version="1.0" encoding="utf-8"?>
<comments xmlns="http://schemas.openxmlformats.org/spreadsheetml/2006/main">
  <authors>
    <author>jared sanborn</author>
  </authors>
  <commentList>
    <comment ref="B11" authorId="0" shapeId="0">
      <text>
        <t>jared sanborn:
estimating 70% POS usage</t>
      </text>
    </comment>
    <comment ref="B12" authorId="0" shapeId="0">
      <text>
        <t>jared sanborn:
Formual equals - $1 per month x amount of locations services x percentage of distinct brands paying for the services with a discounted rate of adoption growing slowly over time</t>
      </text>
    </comment>
    <comment ref="A36" authorId="0" shapeId="0">
      <text>
        <t xml:space="preserve">jared sanborn:
in the average mom-and-pop corner store you’re looking at ~100–250 distinct brands representing roughly 30–40 different companies. </t>
      </text>
    </comment>
  </commentList>
</comments>
</file>

<file path=xl/comments/comment16.xml><?xml version="1.0" encoding="utf-8"?>
<comments xmlns="http://schemas.openxmlformats.org/spreadsheetml/2006/main">
  <authors>
    <author>jared sanborn</author>
  </authors>
  <commentList>
    <comment ref="A5" authorId="0" shapeId="0">
      <text>
        <t>jared sanborn:
combines PI, PC, and PG</t>
      </text>
    </comment>
    <comment ref="B13" authorId="0" shapeId="0">
      <text>
        <t>jared sanborn:
TBD because technically we dont sell them anything to start.. eventually we will sell ads, etc in AR, etc</t>
      </text>
    </comment>
    <comment ref="A23" authorId="0" shapeId="0">
      <text>
        <t>jared sanborn:
combines PI, PC, and PG</t>
      </text>
    </comment>
    <comment ref="B31" authorId="0" shapeId="0">
      <text>
        <t>jared sanborn:
TBD because technically we dont sell them anything to start.. eventually we will sell ads, etc in AR, etc</t>
      </text>
    </comment>
    <comment ref="A41" authorId="0" shapeId="0">
      <text>
        <t>jared sanborn:
combines PI, PC, and PG</t>
      </text>
    </comment>
    <comment ref="B49" authorId="0" shapeId="0">
      <text>
        <t>jared sanborn:
TBD because technically we dont sell them anything to start.. eventually we will sell ads, etc in AR, etc</t>
      </text>
    </comment>
  </commentList>
</comments>
</file>

<file path=xl/comments/comment17.xml><?xml version="1.0" encoding="utf-8"?>
<comments xmlns="http://schemas.openxmlformats.org/spreadsheetml/2006/main">
  <authors>
    <author>jared sanborn</author>
  </authors>
  <commentList>
    <comment ref="D7" authorId="0" shapeId="0">
      <text>
        <t xml:space="preserve">jared sanborn:
</t>
      </text>
    </comment>
  </commentList>
</comments>
</file>

<file path=xl/comments/comment18.xml><?xml version="1.0" encoding="utf-8"?>
<comments xmlns="http://schemas.openxmlformats.org/spreadsheetml/2006/main">
  <authors>
    <author>None</author>
  </authors>
  <commentList>
    <comment ref="A4" authorId="0" shapeId="0">
      <text>
        <t>First year in smartphones is 2015 and moved 38.1 MILLION Smartphones x roughly $100 USD - that is pushing 3.8 billion (however being their company already existed we gill give them the benefit of the doubt and lop off say $3.5 Billion) 
Thats still $300 Million year 1</t>
      </text>
    </comment>
    <comment ref="B4" authorId="0" shapeId="0">
      <text>
        <t xml:space="preserve">936 crores JUST IN INDIA gives us this number.. i could not obtain what the sold in china. can we estimate another 130 million to be conservative? Since writing this they are sitting around $3.81 billion in FY1 revenue </t>
      </text>
    </comment>
    <comment ref="C6" authorId="0" shapeId="0">
      <text>
        <t>Entered into the smartphone market in 2008. and sold about 200 MILLION phones in year one based on phones sold x B2C price of phones</t>
      </text>
    </comment>
    <comment ref="B7" authorId="0" shapeId="0">
      <text>
        <t>Phones retailed for roughly $210 USD</t>
      </text>
    </comment>
    <comment ref="F8" authorId="0" shapeId="0">
      <text>
        <t>Toon Blast is a product of Peak Games</t>
      </text>
    </comment>
    <comment ref="B38" authorId="0" shapeId="0">
      <text>
        <t>$310 FY1 x 300,000 presales in 34 hours = $93 Million before they even launched
$66,800,000,000.00 - CNY</t>
      </text>
    </comment>
  </commentList>
</comments>
</file>

<file path=xl/comments/comment19.xml><?xml version="1.0" encoding="utf-8"?>
<comments xmlns="http://schemas.openxmlformats.org/spreadsheetml/2006/main">
  <authors>
    <author>James Weinberg</author>
    <author>jared sanborn</author>
  </authors>
  <commentList>
    <comment ref="I21" authorId="0" shapeId="0">
      <text>
        <t>James Weinberg:
Capital raise proceeds</t>
      </text>
    </comment>
    <comment ref="U25" authorId="0" shapeId="0">
      <text>
        <t>James Weinberg:
Refer to Tab. 2D., Crowdfunding, for explanation of Month 1 cash flow from sale of telephones.</t>
      </text>
    </comment>
    <comment ref="V31" authorId="1" shapeId="0">
      <text>
        <t>jared sanborn:
Series B</t>
      </text>
    </comment>
    <comment ref="AD31" authorId="1" shapeId="0">
      <text>
        <t>jared sanborn:
Series-C</t>
      </text>
    </comment>
    <comment ref="AQ31" authorId="1" shapeId="0">
      <text>
        <t>jared sanborn:
Token Raise - $500M</t>
      </text>
    </comment>
    <comment ref="I42" authorId="0" shapeId="0">
      <text>
        <t>James Weinberg:
Info for this is inside weekly launch budget in K38 highlightedin red</t>
      </text>
    </comment>
    <comment ref="J42" authorId="0" shapeId="0">
      <text>
        <t>James Weinberg:
Assume $30,000 paid over three months at $10,000/month</t>
      </text>
    </comment>
    <comment ref="K42" authorId="0" shapeId="0">
      <text>
        <t>James Weinberg:
Assume $30,000 paid over three months at $10,000/month</t>
      </text>
    </comment>
    <comment ref="I43" authorId="0" shapeId="0">
      <text>
        <t>James Weinberg:
Info for this is inside weekly launch budget in K38 highlightedin red</t>
      </text>
    </comment>
    <comment ref="J43" authorId="0" shapeId="0">
      <text>
        <t>James Weinberg:
Assume $30,000 paid over three months at $10,000/month</t>
      </text>
    </comment>
    <comment ref="K43" authorId="0" shapeId="0">
      <text>
        <t>James Weinberg:
Assume $30,000 paid over three months at $10,000/month</t>
      </text>
    </comment>
    <comment ref="N45" authorId="0" shapeId="0">
      <text>
        <t>James Weinberg:
30% deposit on MOQ for 3,000 phones at $516/unit.</t>
      </text>
    </comment>
    <comment ref="Q45" authorId="0" shapeId="0">
      <text>
        <t>James Weinberg:
70% deposit on MOQ for 3,000 phones at $500/unit.</t>
      </text>
    </comment>
    <comment ref="Q48" authorId="0" shapeId="0">
      <text>
        <t>James Weinberg:
Inventory for post-launch Month 4</t>
      </text>
    </comment>
    <comment ref="C50" authorId="0" shapeId="0">
      <text>
        <t>James Weinberg:
Expense shown gross; amounts do not reflect potential rent payments from residents of 25 Prospect.</t>
      </text>
    </comment>
    <comment ref="I53" authorId="0" shapeId="0">
      <text>
        <t>James Weinberg:
Total commission, $1.25MM ($25MM x 5% = $1.25MM); amortize over five months from date of funding.</t>
      </text>
    </comment>
    <comment ref="J53" authorId="0" shapeId="0">
      <text>
        <t>James Weinberg:
Total commission, $1.25MM ($25MM x 5% = $1.25MM); amortize over five months from date of funding.</t>
      </text>
    </comment>
    <comment ref="K53" authorId="0" shapeId="0">
      <text>
        <t>James Weinberg:
Total commission, $1.25MM ($25MM x 5% = $1.25MM); amortize over five months from date of funding.</t>
      </text>
    </comment>
    <comment ref="L53" authorId="0" shapeId="0">
      <text>
        <t>James Weinberg:
Total commission, $1.25MM ($25MM x 5% = $1.25MM); amortize over five months from date of funding.</t>
      </text>
    </comment>
    <comment ref="M53" authorId="0" shapeId="0">
      <text>
        <t>James Weinberg:
Total commission, $1.25MM ($25MM x 5% = $1.25MM); amortize over five months from date of funding.</t>
      </text>
    </comment>
    <comment ref="U55" authorId="0" shapeId="0">
      <text>
        <t xml:space="preserve">James Weinberg:
$2.6MM over seven months </t>
      </text>
    </comment>
    <comment ref="V55" authorId="0" shapeId="0">
      <text>
        <t xml:space="preserve">James Weinberg:
$2.6MM over seven months </t>
      </text>
    </comment>
    <comment ref="W55" authorId="0" shapeId="0">
      <text>
        <t xml:space="preserve">James Weinberg:
$2.6MM over seven months </t>
      </text>
    </comment>
    <comment ref="X55" authorId="0" shapeId="0">
      <text>
        <t xml:space="preserve">James Weinberg:
$2.6MM over seven months </t>
      </text>
    </comment>
    <comment ref="Y55" authorId="0" shapeId="0">
      <text>
        <t xml:space="preserve">James Weinberg:
$2.6MM over seven months </t>
      </text>
    </comment>
    <comment ref="Z55" authorId="0" shapeId="0">
      <text>
        <t xml:space="preserve">James Weinberg:
$2.6MM over seven months </t>
      </text>
    </comment>
    <comment ref="AA55" authorId="0" shapeId="0">
      <text>
        <t xml:space="preserve">James Weinberg:
$2.6MM over seven months </t>
      </text>
    </comment>
  </commentList>
</comments>
</file>

<file path=xl/comments/comment20.xml><?xml version="1.0" encoding="utf-8"?>
<comments xmlns="http://schemas.openxmlformats.org/spreadsheetml/2006/main">
  <authors>
    <author>James Weinberg</author>
    <author>jared sanborn</author>
  </authors>
  <commentList>
    <comment ref="Q10" authorId="0" shapeId="0">
      <text>
        <t>James Weinberg:
Equivalent 60% of post-launch salary.</t>
      </text>
    </comment>
    <comment ref="C58" authorId="1" shapeId="0">
      <text>
        <t>jared sanborn:
Nathan's budget</t>
      </text>
    </comment>
  </commentList>
</comments>
</file>

<file path=xl/comments/comment21.xml><?xml version="1.0" encoding="utf-8"?>
<comments xmlns="http://schemas.openxmlformats.org/spreadsheetml/2006/main">
  <authors>
    <author>James Weinberg</author>
    <author>jared sanborn</author>
  </authors>
  <commentList>
    <comment ref="J54" authorId="0" shapeId="0">
      <text>
        <t xml:space="preserve">James Weinberg:
Test calculation to validate Excel formula
</t>
      </text>
    </comment>
    <comment ref="H69" authorId="1" shapeId="0">
      <text>
        <t>jared sanborn:
Nathan's budget</t>
      </text>
    </comment>
    <comment ref="H70" authorId="0" shapeId="0">
      <text>
        <t>James Weinberg:
Internal marketing team for Pure Technology.</t>
      </text>
    </comment>
  </commentList>
</comments>
</file>

<file path=xl/comments/comment22.xml><?xml version="1.0" encoding="utf-8"?>
<comments xmlns="http://schemas.openxmlformats.org/spreadsheetml/2006/main">
  <authors>
    <author>None</author>
  </authors>
  <commentList>
    <comment ref="E5" authorId="0" shapeId="0">
      <text>
        <t>first 6 months</t>
      </text>
    </comment>
    <comment ref="F5" authorId="0" shapeId="0">
      <text>
        <t>second 6 months</t>
      </text>
    </comment>
    <comment ref="D20" authorId="0" shapeId="0">
      <text>
        <t>No longer paid in Pre-Ramp (only after series-a clears)
- Managing Director of Hardware - President of Hardware</t>
      </text>
    </comment>
    <comment ref="F23" authorId="0" shapeId="0">
      <text>
        <t>speak to robert</t>
      </text>
    </comment>
    <comment ref="F31" authorId="0" shapeId="0">
      <text>
        <t xml:space="preserve">Commission Based
</t>
      </text>
    </comment>
    <comment ref="G31" authorId="0" shapeId="0">
      <text>
        <t>$1 Million in Sales / Revenue from Strategic Alliances = $100k 
OR 
department based commission etc</t>
      </text>
    </comment>
    <comment ref="E37" authorId="0" shapeId="0">
      <text>
        <t>commission based</t>
      </text>
    </comment>
    <comment ref="F37" authorId="0" shapeId="0">
      <text>
        <t>+ commission</t>
      </text>
    </comment>
    <comment ref="G37" authorId="0" shapeId="0">
      <text>
        <t>+ commission</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5.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6.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oneCellAnchor>
    <from>
      <col>21</col>
      <colOff>18813</colOff>
      <row>13</row>
      <rowOff>9408</rowOff>
    </from>
    <ext cx="9002217" cy="53244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21</col>
      <colOff>18814</colOff>
      <row>193</row>
      <rowOff>9408</rowOff>
    </from>
    <ext cx="8610600" cy="53244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drawings/drawing2.xml><?xml version="1.0" encoding="utf-8"?>
<wsDr xmlns="http://schemas.openxmlformats.org/drawingml/2006/spreadsheetDrawing">
  <twoCellAnchor editAs="oneCell">
    <from>
      <col>107</col>
      <colOff>995796</colOff>
      <row>25</row>
      <rowOff>164523</rowOff>
    </from>
    <to>
      <col>122</col>
      <colOff>464518</colOff>
      <row>65</row>
      <rowOff>23341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4781160" y="3039341"/>
          <a:ext cx="9002381" cy="5925377"/>
        </a:xfrm>
        <a:prstGeom xmlns:a="http://schemas.openxmlformats.org/drawingml/2006/main" prst="rect">
          <avLst/>
        </a:prstGeom>
        <a:ln xmlns:a="http://schemas.openxmlformats.org/drawingml/2006/main">
          <a:prstDash val="solid"/>
        </a:ln>
      </spPr>
    </pic>
    <clientData/>
  </twoCellAnchor>
  <twoCellAnchor editAs="oneCell">
    <from>
      <col>108</col>
      <colOff>0</colOff>
      <row>76</row>
      <rowOff>0</rowOff>
    </from>
    <to>
      <col>120</col>
      <colOff>223585</colOff>
      <row>113</row>
      <rowOff>72893</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4833114" y="10287000"/>
          <a:ext cx="7497221" cy="5258534"/>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6</col>
      <colOff>38100</colOff>
      <row>131</row>
      <rowOff>12700</rowOff>
    </from>
    <ext cx="8610600" cy="53244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drawings/drawing4.xml><?xml version="1.0" encoding="utf-8"?>
<wsDr xmlns="http://schemas.openxmlformats.org/drawingml/2006/spreadsheetDrawing">
  <oneCellAnchor>
    <from>
      <col>15</col>
      <colOff>19050</colOff>
      <row>9</row>
      <rowOff>180975</rowOff>
    </from>
    <ext cx="6191250" cy="343852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15</col>
      <colOff>9525</colOff>
      <row>25</row>
      <rowOff>38100</rowOff>
    </from>
    <ext cx="6191250" cy="34956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drawings/drawing5.xml><?xml version="1.0" encoding="utf-8"?>
<wsDr xmlns="http://schemas.openxmlformats.org/drawingml/2006/spreadsheetDrawing">
  <oneCellAnchor>
    <from>
      <col>15</col>
      <colOff>19050</colOff>
      <row>9</row>
      <rowOff>180975</rowOff>
    </from>
    <ext cx="6191250" cy="343852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15</col>
      <colOff>9525</colOff>
      <row>25</row>
      <rowOff>38100</rowOff>
    </from>
    <ext cx="6191250" cy="34956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drawings/drawing6.xml><?xml version="1.0" encoding="utf-8"?>
<wsDr xmlns="http://schemas.openxmlformats.org/drawingml/2006/spreadsheetDrawing">
  <oneCellAnchor>
    <from>
      <col>0</col>
      <colOff>9525</colOff>
      <row>59</row>
      <rowOff>133350</rowOff>
    </from>
    <ext cx="6981825" cy="6305550"/>
    <pic>
      <nvPicPr>
        <cNvPr id="3"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9525" y="9874250"/>
          <a:ext cx="6981825" cy="63055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723900</colOff>
      <row>59</row>
      <rowOff>133350</rowOff>
    </from>
    <ext cx="6372225" cy="6296025"/>
    <pic>
      <nvPicPr>
        <cNvPr id="4"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8293100" y="9874250"/>
          <a:ext cx="6372225" cy="62960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_rels/externalLink2.xml.rels><Relationships xmlns="http://schemas.openxmlformats.org/package/2006/relationships"><Relationship Type="http://schemas.microsoft.com/office/2006/relationships/xlExternalLinkPath/xlPathMissing" Target="RecoveredExternalLink2" TargetMode="External" Id="rId1"/></Relationships>
</file>

<file path=xl/externalLinks/_rels/externalLink3.xml.rels><Relationships xmlns="http://schemas.openxmlformats.org/package/2006/relationships"><Relationship Type="http://schemas.microsoft.com/office/2006/relationships/xlExternalLinkPath/xlPathMissing" Target="RecoveredExternalLink3" TargetMode="External" Id="rId1"/></Relationships>
</file>

<file path=xl/externalLinks/_rels/externalLink4.xml.rels><Relationships xmlns="http://schemas.openxmlformats.org/package/2006/relationships"><Relationship Type="http://schemas.microsoft.com/office/2006/relationships/xlExternalLinkPath/xlPathMissing" Target="RecoveredExternalLink4" TargetMode="External" Id="rId1"/></Relationships>
</file>

<file path=xl/externalLinks/_rels/externalLink5.xml.rels><Relationships xmlns="http://schemas.openxmlformats.org/package/2006/relationships"><Relationship Type="http://schemas.microsoft.com/office/2006/relationships/xlExternalLinkPath/xlPathMissing" Target="RecoveredExternalLink5" TargetMode="External" Id="rId1"/></Relationships>
</file>

<file path=xl/externalLinks/_rels/externalLink6.xml.rels><Relationships xmlns="http://schemas.openxmlformats.org/package/2006/relationships"><Relationship Type="http://schemas.microsoft.com/office/2006/relationships/xlExternalLinkPath/xlPathMissing" Target="RecoveredExternalLink6" TargetMode="External" Id="rId1"/></Relationships>
</file>

<file path=xl/externalLinks/_rels/externalLink7.xml.rels><Relationships xmlns="http://schemas.openxmlformats.org/package/2006/relationships"><Relationship Type="http://schemas.microsoft.com/office/2006/relationships/xlExternalLinkPath/xlPathMissing" Target="RecoveredExternalLink7" TargetMode="External" Id="rId1"/></Relationships>
</file>

<file path=xl/externalLinks/_rels/externalLink8.xml.rels><Relationships xmlns="http://schemas.openxmlformats.org/package/2006/relationships"><Relationship Type="http://schemas.microsoft.com/office/2006/relationships/xlExternalLinkPath/xlPathMissing" Target="RecoveredExternalLink8"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or Jan"/>
      <sheetName val="For Moneta"/>
      <sheetName val="Breakdown VSBY + S9"/>
      <sheetName val="Slide for Investor Presentation"/>
      <sheetName val="Gráfico1"/>
      <sheetName val="P&amp;L Projection Quarterly"/>
      <sheetName val="Cash Flow Projection"/>
      <sheetName val="Revenue breakdown"/>
      <sheetName val="Monthly Projection P&amp;L CF"/>
      <sheetName val="DCF"/>
      <sheetName val="Monthly Cash  Burn"/>
      <sheetName val="Overall situation at 5-12"/>
      <sheetName val="Cash Flow Projection Quarterly"/>
      <sheetName val="Security  Assumptions"/>
      <sheetName val="Winkel  Service model"/>
      <sheetName val="Shelf Nine _ 24"/>
      <sheetName val="Winkel Cashflow USD"/>
      <sheetName val="Cash flow projections"/>
    </sheetNames>
    <sheetDataSet>
      <sheetData sheetId="0"/>
      <sheetData sheetId="1"/>
      <sheetData sheetId="2"/>
      <sheetData sheetId="3"/>
      <sheetData sheetId="4" refreshError="1"/>
      <sheetData sheetId="5">
        <row r="51">
          <cell r="K51">
            <v>19718802</v>
          </cell>
          <cell r="P51">
            <v>25839128</v>
          </cell>
        </row>
        <row r="57">
          <cell r="K57">
            <v>-6084051.0039729085</v>
          </cell>
          <cell r="P57">
            <v>-6589873.5947403563</v>
          </cell>
        </row>
      </sheetData>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A. Consolidated - FY P&amp;L"/>
      <sheetName val="2A. Cash Forecast"/>
      <sheetName val="2B. Cash Collections"/>
      <sheetName val="2C. Inventory Cash Disburse."/>
      <sheetName val="2D. Crowd Funding"/>
      <sheetName val="3A. Tel. - Roll-Up Rev. x Mth."/>
      <sheetName val="3B. Tel. - Rev. Detail x Month"/>
      <sheetName val="3D. Tel. - Revenue Drivers - 2"/>
      <sheetName val="3E. Tel. Attrit. Renew. Reward"/>
      <sheetName val="3F. Revenue &amp; COGS Assumptions"/>
      <sheetName val="3C. Tel. - Revenue Drivers - 1 "/>
      <sheetName val="4A. Tel. - Exps. &amp; OI x Month"/>
      <sheetName val="4B. Tel. Expense Assumptions"/>
      <sheetName val="5A. People Cost Roll-Up"/>
      <sheetName val="5B. HC and Salaries - Mgmt."/>
      <sheetName val="5C. HC and Salaries - Support"/>
      <sheetName val="6A. Pre-Launch Exps. - Roll-Up"/>
      <sheetName val="6B. Pre-Launch Exps. - Detail"/>
      <sheetName val="7. Pure Influence"/>
      <sheetName val="8. Pure Research - 1 of 2"/>
      <sheetName val="8. Pure Research - 2 of 2"/>
      <sheetName val="Sheet1"/>
      <sheetName val="P&amp;L Assumptions (Companion App)"/>
      <sheetName val="Attrition Wedge (Companion App)"/>
      <sheetName val="P&amp;L Assumptions (Computer App)"/>
      <sheetName val="Attrition Wedge (Computer App)"/>
      <sheetName val="Pre-Launch - Headcount"/>
      <sheetName val="Headcount &amp; Salaries - 1 "/>
      <sheetName val="Headcount &amp; Salaries - 2"/>
      <sheetName val="Income Statement"/>
      <sheetName val="Balance Sheet"/>
      <sheetName val="Cash Flow"/>
      <sheetName val="Depreciation &amp; Amortization "/>
      <sheetName val="Valuation"/>
      <sheetName val="Summary"/>
    </sheetNames>
    <sheetDataSet>
      <sheetData sheetId="0"/>
      <sheetData sheetId="1"/>
      <sheetData sheetId="2"/>
      <sheetData sheetId="3"/>
      <sheetData sheetId="4"/>
      <sheetData sheetId="5">
        <row r="17">
          <cell r="AI17"/>
        </row>
      </sheetData>
      <sheetData sheetId="6">
        <row r="55">
          <cell r="AH55">
            <v>177100000</v>
          </cell>
        </row>
      </sheetData>
      <sheetData sheetId="7"/>
      <sheetData sheetId="8"/>
      <sheetData sheetId="9"/>
      <sheetData sheetId="10">
        <row r="75">
          <cell r="AH75">
            <v>191523.75</v>
          </cell>
        </row>
      </sheetData>
      <sheetData sheetId="11">
        <row r="41">
          <cell r="AL41">
            <v>18742490.5</v>
          </cell>
        </row>
      </sheetData>
      <sheetData sheetId="12"/>
      <sheetData sheetId="13"/>
      <sheetData sheetId="14"/>
      <sheetData sheetId="15"/>
      <sheetData sheetId="16">
        <row r="35">
          <cell r="V35">
            <v>6774765.8928571437</v>
          </cell>
        </row>
      </sheetData>
      <sheetData sheetId="17"/>
      <sheetData sheetId="18">
        <row r="21">
          <cell r="T21">
            <v>-2348176.3299999996</v>
          </cell>
        </row>
      </sheetData>
      <sheetData sheetId="19">
        <row r="36">
          <cell r="I36">
            <v>81600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25M Investment"/>
      <sheetName val="$25M Use of Funds"/>
      <sheetName val="$45M Investment"/>
      <sheetName val="$45M Use of Funds"/>
      <sheetName val="Contribution Margin"/>
      <sheetName val="Marketing Budget"/>
    </sheetNames>
    <sheetDataSet>
      <sheetData sheetId="0">
        <row r="80">
          <cell r="M80">
            <v>268527.43</v>
          </cell>
        </row>
        <row r="82">
          <cell r="M82">
            <v>111258</v>
          </cell>
        </row>
        <row r="147">
          <cell r="M147">
            <v>795418.96</v>
          </cell>
        </row>
        <row r="149">
          <cell r="M149">
            <v>2129818.4533000002</v>
          </cell>
        </row>
      </sheetData>
      <sheetData sheetId="1"/>
      <sheetData sheetId="2"/>
      <sheetData sheetId="3"/>
      <sheetData sheetId="4"/>
      <sheetData sheetId="5"/>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25M Investment"/>
      <sheetName val="$25M Use of Funds"/>
      <sheetName val="$45M Investment"/>
      <sheetName val="$45M Use of Funds"/>
      <sheetName val="Contribution Margin"/>
      <sheetName val="Marketing Budget"/>
    </sheetNames>
    <sheetDataSet>
      <sheetData sheetId="0" refreshError="1">
        <row r="80">
          <cell r="M80">
            <v>84998.21</v>
          </cell>
        </row>
        <row r="150">
          <cell r="M150">
            <v>282638.88890000002</v>
          </cell>
        </row>
        <row r="153">
          <cell r="H153">
            <v>1000000</v>
          </cell>
        </row>
        <row r="214">
          <cell r="M214">
            <v>11191.44</v>
          </cell>
        </row>
        <row r="217">
          <cell r="M217">
            <v>7638.8888999999999</v>
          </cell>
        </row>
        <row r="281">
          <cell r="M281">
            <v>2600</v>
          </cell>
        </row>
        <row r="284">
          <cell r="M284">
            <v>7638.8888999999999</v>
          </cell>
        </row>
        <row r="348">
          <cell r="M348">
            <v>2600</v>
          </cell>
        </row>
        <row r="351">
          <cell r="M351">
            <v>7638.8888999999999</v>
          </cell>
        </row>
        <row r="415">
          <cell r="M415">
            <v>2600</v>
          </cell>
        </row>
        <row r="418">
          <cell r="M418">
            <v>7638.8888999999999</v>
          </cell>
        </row>
        <row r="482">
          <cell r="M482">
            <v>2600</v>
          </cell>
        </row>
        <row r="485">
          <cell r="M485">
            <v>257638.88889999999</v>
          </cell>
        </row>
        <row r="551">
          <cell r="M551">
            <v>300000</v>
          </cell>
        </row>
        <row r="552">
          <cell r="M552">
            <v>27638.888900000002</v>
          </cell>
        </row>
        <row r="619">
          <cell r="M619">
            <v>27638.888900000002</v>
          </cell>
        </row>
        <row r="686">
          <cell r="M686">
            <v>27638.888900000002</v>
          </cell>
        </row>
        <row r="753">
          <cell r="M753">
            <v>27638.888900000002</v>
          </cell>
        </row>
        <row r="820">
          <cell r="M820">
            <v>27638.888900000002</v>
          </cell>
        </row>
      </sheetData>
      <sheetData sheetId="1" refreshError="1"/>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Vertical Cost Breakdown - 23022"/>
      <sheetName val="Monthly Burn Rate Projections -"/>
      <sheetName val="Weighted Average for Influencer"/>
      <sheetName val="Monthly User Growth"/>
      <sheetName val="Monthly Run Rate Projections - "/>
      <sheetName val="FY1 -FY5 P&amp;L Projections - 2302"/>
      <sheetName val="5Y Projected Income Statement -"/>
      <sheetName val="Consolidated P&amp;L -230221"/>
      <sheetName val="Streamlined P&amp;L -240514 - (just"/>
      <sheetName val="5Y Projected Balance Sheet - 23"/>
      <sheetName val="Affiliate Breakdown - 230222"/>
      <sheetName val="PI P&amp;Ls"/>
    </sheetNames>
    <sheetDataSet>
      <sheetData sheetId="0"/>
      <sheetData sheetId="1">
        <row r="39">
          <cell r="B39">
            <v>61407.260875</v>
          </cell>
          <cell r="C39">
            <v>77646.855368749995</v>
          </cell>
          <cell r="D39">
            <v>78618.831163437499</v>
          </cell>
          <cell r="E39">
            <v>80031.285453609366</v>
          </cell>
          <cell r="F39">
            <v>81378.475364567974</v>
          </cell>
          <cell r="G39">
            <v>108189.1347987812</v>
          </cell>
          <cell r="H39">
            <v>94276.946393991209</v>
          </cell>
          <cell r="I39">
            <v>95825.779380812484</v>
          </cell>
          <cell r="J39">
            <v>97533.839645481698</v>
          </cell>
          <cell r="K39">
            <v>99444.207089865347</v>
          </cell>
          <cell r="L39">
            <v>101619.4051318562</v>
          </cell>
          <cell r="M39">
            <v>104082.79677585106</v>
          </cell>
        </row>
        <row r="55">
          <cell r="B55">
            <v>132541.08486362666</v>
          </cell>
          <cell r="C55">
            <v>142678.31509019574</v>
          </cell>
          <cell r="D55">
            <v>153148.59015019023</v>
          </cell>
          <cell r="E55">
            <v>164654.74881564759</v>
          </cell>
          <cell r="F55">
            <v>177221.77969463114</v>
          </cell>
          <cell r="G55">
            <v>191004.13693190564</v>
          </cell>
          <cell r="H55">
            <v>206197.59714658727</v>
          </cell>
          <cell r="I55">
            <v>222825.26285505309</v>
          </cell>
          <cell r="J55">
            <v>241105.70881419847</v>
          </cell>
          <cell r="K55">
            <v>261318.78826969565</v>
          </cell>
          <cell r="L55">
            <v>283480.01814846852</v>
          </cell>
          <cell r="M55">
            <v>307900.3159514211</v>
          </cell>
        </row>
        <row r="71">
          <cell r="B71">
            <v>407716.78970869316</v>
          </cell>
          <cell r="C71">
            <v>431292.25311640429</v>
          </cell>
          <cell r="D71">
            <v>456459.18828237773</v>
          </cell>
          <cell r="E71">
            <v>483566.29399921431</v>
          </cell>
          <cell r="F71">
            <v>512357.00555190671</v>
          </cell>
          <cell r="G71">
            <v>543184.4058117962</v>
          </cell>
          <cell r="H71">
            <v>707764.02269111865</v>
          </cell>
          <cell r="I71">
            <v>749823.32223101344</v>
          </cell>
          <cell r="J71">
            <v>794849.73396198638</v>
          </cell>
          <cell r="K71">
            <v>843552.63724703342</v>
          </cell>
          <cell r="L71">
            <v>895380.55181521899</v>
          </cell>
          <cell r="M71">
            <v>954603.09330839373</v>
          </cell>
        </row>
        <row r="87">
          <cell r="B87">
            <v>1156686.0326745063</v>
          </cell>
          <cell r="C87">
            <v>1238935.821856644</v>
          </cell>
          <cell r="D87">
            <v>1326992.0252288657</v>
          </cell>
          <cell r="E87">
            <v>1421251.0487197845</v>
          </cell>
          <cell r="F87">
            <v>1522140.6459924087</v>
          </cell>
          <cell r="G87">
            <v>1630121.1048596788</v>
          </cell>
          <cell r="H87">
            <v>1982012.9271907536</v>
          </cell>
          <cell r="I87">
            <v>2122237.168390471</v>
          </cell>
          <cell r="J87">
            <v>2272303.7486212873</v>
          </cell>
          <cell r="K87">
            <v>2432903.0615157029</v>
          </cell>
          <cell r="L87">
            <v>2604774.570337513</v>
          </cell>
          <cell r="M87">
            <v>2788710.1627713013</v>
          </cell>
        </row>
        <row r="103">
          <cell r="B103">
            <v>3405060.8021590309</v>
          </cell>
          <cell r="C103">
            <v>3586966.1150405402</v>
          </cell>
          <cell r="D103">
            <v>3778592.7995676533</v>
          </cell>
          <cell r="E103">
            <v>3980526.3716422194</v>
          </cell>
          <cell r="F103">
            <v>4193372.3598259785</v>
          </cell>
          <cell r="G103">
            <v>4417761.5710372636</v>
          </cell>
          <cell r="H103">
            <v>6306837.8480741987</v>
          </cell>
          <cell r="I103">
            <v>6914366.3062842796</v>
          </cell>
          <cell r="J103">
            <v>7580966.2072136048</v>
          </cell>
          <cell r="K103">
            <v>8312434.467963405</v>
          </cell>
          <cell r="L103">
            <v>9115137.7918330468</v>
          </cell>
          <cell r="M103">
            <v>9996069.6130189057</v>
          </cell>
        </row>
      </sheetData>
      <sheetData sheetId="2"/>
      <sheetData sheetId="3">
        <row r="2">
          <cell r="C2">
            <v>1600</v>
          </cell>
          <cell r="D2">
            <v>2000</v>
          </cell>
          <cell r="E2">
            <v>2500</v>
          </cell>
          <cell r="F2">
            <v>3125</v>
          </cell>
          <cell r="G2">
            <v>3906.25</v>
          </cell>
          <cell r="H2">
            <v>4882.8125</v>
          </cell>
          <cell r="I2">
            <v>6103.515625</v>
          </cell>
          <cell r="J2">
            <v>7629.39453125</v>
          </cell>
          <cell r="K2">
            <v>9536.7431640625</v>
          </cell>
          <cell r="L2">
            <v>11920.928955078125</v>
          </cell>
          <cell r="M2">
            <v>14901.161193847656</v>
          </cell>
          <cell r="N2">
            <v>18626.45149230957</v>
          </cell>
        </row>
        <row r="3">
          <cell r="C3">
            <v>25</v>
          </cell>
          <cell r="D3">
            <v>31.25</v>
          </cell>
          <cell r="E3">
            <v>39.0625</v>
          </cell>
          <cell r="F3">
            <v>48.828125</v>
          </cell>
          <cell r="G3">
            <v>61.03515625</v>
          </cell>
          <cell r="H3">
            <v>76.2939453125</v>
          </cell>
          <cell r="I3">
            <v>95.367431640625</v>
          </cell>
          <cell r="J3">
            <v>119.20928955078125</v>
          </cell>
          <cell r="K3">
            <v>149.01161193847656</v>
          </cell>
          <cell r="L3">
            <v>186.2645149230957</v>
          </cell>
          <cell r="M3">
            <v>232.83064365386963</v>
          </cell>
          <cell r="N3">
            <v>291.03830456733704</v>
          </cell>
        </row>
        <row r="4">
          <cell r="C4">
            <v>2.5</v>
          </cell>
          <cell r="D4">
            <v>2.75</v>
          </cell>
          <cell r="E4">
            <v>3.0250000000000004</v>
          </cell>
          <cell r="F4">
            <v>3.3275000000000006</v>
          </cell>
          <cell r="G4">
            <v>3.6602500000000009</v>
          </cell>
          <cell r="H4">
            <v>4.0262750000000009</v>
          </cell>
          <cell r="I4">
            <v>4.4289025000000013</v>
          </cell>
          <cell r="J4">
            <v>4.8717927500000018</v>
          </cell>
          <cell r="K4">
            <v>5.3589720250000026</v>
          </cell>
          <cell r="L4">
            <v>5.8948692275000036</v>
          </cell>
          <cell r="M4">
            <v>6.4843561502500044</v>
          </cell>
          <cell r="N4">
            <v>7.1327917652750052</v>
          </cell>
        </row>
        <row r="6">
          <cell r="C6">
            <v>21327.286958694458</v>
          </cell>
          <cell r="D6">
            <v>22962.858077144621</v>
          </cell>
          <cell r="E6">
            <v>25312.656440968512</v>
          </cell>
          <cell r="F6">
            <v>28343.148663690325</v>
          </cell>
          <cell r="G6">
            <v>32057.971592847451</v>
          </cell>
          <cell r="H6">
            <v>36490.847772497073</v>
          </cell>
          <cell r="I6">
            <v>41701.236246877386</v>
          </cell>
          <cell r="J6">
            <v>47771.989599863024</v>
          </cell>
          <cell r="K6">
            <v>54808.520581010293</v>
          </cell>
          <cell r="L6">
            <v>62939.146446979299</v>
          </cell>
          <cell r="M6">
            <v>72316.396859198416</v>
          </cell>
          <cell r="N6">
            <v>83119.156299698734</v>
          </cell>
        </row>
        <row r="7">
          <cell r="C7">
            <v>363.7978807091713</v>
          </cell>
          <cell r="D7">
            <v>418.36756281554699</v>
          </cell>
          <cell r="E7">
            <v>481.12269723787904</v>
          </cell>
          <cell r="F7">
            <v>553.29110182356089</v>
          </cell>
          <cell r="G7">
            <v>636.28476709709503</v>
          </cell>
          <cell r="H7">
            <v>731.72748216165928</v>
          </cell>
          <cell r="I7">
            <v>841.48660448590817</v>
          </cell>
          <cell r="J7">
            <v>967.7095951587944</v>
          </cell>
          <cell r="K7">
            <v>1112.8660344326136</v>
          </cell>
          <cell r="L7">
            <v>1279.7959395975056</v>
          </cell>
          <cell r="M7">
            <v>1471.7653305371314</v>
          </cell>
          <cell r="N7">
            <v>1692.5301301177012</v>
          </cell>
        </row>
        <row r="8">
          <cell r="C8">
            <v>10.107165931394682</v>
          </cell>
          <cell r="D8">
            <v>11.016810865220203</v>
          </cell>
          <cell r="E8">
            <v>12.008323843090022</v>
          </cell>
          <cell r="F8">
            <v>13.089072988968123</v>
          </cell>
          <cell r="G8">
            <v>14.267089557975254</v>
          </cell>
          <cell r="H8">
            <v>15.551127618193025</v>
          </cell>
          <cell r="I8">
            <v>16.950729103830394</v>
          </cell>
          <cell r="J8">
            <v>18.47629472317513</v>
          </cell>
          <cell r="K8">
            <v>20.139161248260891</v>
          </cell>
          <cell r="L8">
            <v>21.951685760604374</v>
          </cell>
          <cell r="M8">
            <v>23.927337479058767</v>
          </cell>
          <cell r="N8">
            <v>26.080797852174051</v>
          </cell>
        </row>
        <row r="10">
          <cell r="C10">
            <v>100722.88405380165</v>
          </cell>
          <cell r="D10">
            <v>112001.99992208913</v>
          </cell>
          <cell r="E10">
            <v>125291.71557086601</v>
          </cell>
          <cell r="F10">
            <v>140690.11455631233</v>
          </cell>
          <cell r="G10">
            <v>158357.01962149653</v>
          </cell>
          <cell r="H10">
            <v>178507.32229329558</v>
          </cell>
          <cell r="I10">
            <v>201407.85427612712</v>
          </cell>
          <cell r="J10">
            <v>227376.93839131584</v>
          </cell>
          <cell r="K10">
            <v>256786.04152369144</v>
          </cell>
          <cell r="L10">
            <v>290063.1547208245</v>
          </cell>
          <cell r="M10">
            <v>327697.67129386892</v>
          </cell>
          <cell r="N10">
            <v>382711.87638253707</v>
          </cell>
        </row>
        <row r="11">
          <cell r="C11">
            <v>1912.5590470330021</v>
          </cell>
          <cell r="D11">
            <v>2161.1917231472921</v>
          </cell>
          <cell r="E11">
            <v>2442.1466471564399</v>
          </cell>
          <cell r="F11">
            <v>2759.625711286777</v>
          </cell>
          <cell r="G11">
            <v>3118.3770537540577</v>
          </cell>
          <cell r="H11">
            <v>3523.7660707420846</v>
          </cell>
          <cell r="I11">
            <v>3981.8556599385561</v>
          </cell>
          <cell r="J11">
            <v>4499.4968957305682</v>
          </cell>
          <cell r="K11">
            <v>5084.4314921755413</v>
          </cell>
          <cell r="L11">
            <v>5745.4075861583606</v>
          </cell>
          <cell r="M11">
            <v>6492.310572358947</v>
          </cell>
          <cell r="N11">
            <v>7336.3109467656095</v>
          </cell>
        </row>
        <row r="12">
          <cell r="C12">
            <v>27.645645723304494</v>
          </cell>
          <cell r="D12">
            <v>29.304384466702764</v>
          </cell>
          <cell r="E12">
            <v>31.062647534704929</v>
          </cell>
          <cell r="F12">
            <v>32.926406386787221</v>
          </cell>
          <cell r="G12">
            <v>34.901990769994455</v>
          </cell>
          <cell r="H12">
            <v>36.996110216194118</v>
          </cell>
          <cell r="I12">
            <v>39.215876829165765</v>
          </cell>
          <cell r="J12">
            <v>41.568829438915714</v>
          </cell>
          <cell r="K12">
            <v>44.06295920525065</v>
          </cell>
          <cell r="L12">
            <v>46.706736757565693</v>
          </cell>
          <cell r="M12">
            <v>49.509140963019632</v>
          </cell>
          <cell r="N12">
            <v>52.479689420800803</v>
          </cell>
          <cell r="O12"/>
        </row>
        <row r="14">
          <cell r="C14">
            <v>458743.11974476045</v>
          </cell>
          <cell r="D14">
            <v>496660.1069966536</v>
          </cell>
          <cell r="E14">
            <v>535489.71569525136</v>
          </cell>
          <cell r="F14">
            <v>575818.29964010138</v>
          </cell>
          <cell r="G14">
            <v>618116.51630723616</v>
          </cell>
          <cell r="H14">
            <v>662778.2504333721</v>
          </cell>
          <cell r="I14">
            <v>710148.15555294871</v>
          </cell>
          <cell r="J14">
            <v>760541.24875412358</v>
          </cell>
          <cell r="K14">
            <v>814256.96478564013</v>
          </cell>
          <cell r="L14">
            <v>871589.3553537447</v>
          </cell>
          <cell r="M14">
            <v>932834.61535168358</v>
          </cell>
          <cell r="N14">
            <v>998296.76501252514</v>
          </cell>
        </row>
        <row r="15">
          <cell r="C15">
            <v>7849.8527130392049</v>
          </cell>
          <cell r="D15">
            <v>8399.3424029519483</v>
          </cell>
          <cell r="E15">
            <v>8987.2963711585871</v>
          </cell>
          <cell r="F15">
            <v>9616.4071171396881</v>
          </cell>
          <cell r="G15">
            <v>10289.555615339466</v>
          </cell>
          <cell r="H15">
            <v>11009.82450841323</v>
          </cell>
          <cell r="I15">
            <v>11780.512224002157</v>
          </cell>
          <cell r="J15">
            <v>12605.148079682309</v>
          </cell>
          <cell r="K15">
            <v>13487.508445260071</v>
          </cell>
          <cell r="L15">
            <v>14431.634036428279</v>
          </cell>
          <cell r="M15">
            <v>15441.848418978258</v>
          </cell>
          <cell r="N15">
            <v>16522.777808306739</v>
          </cell>
        </row>
        <row r="16">
          <cell r="D16">
            <v>57.837865710664573</v>
          </cell>
          <cell r="E16">
            <v>61.886516310411096</v>
          </cell>
          <cell r="F16">
            <v>66.218572452139867</v>
          </cell>
          <cell r="G16">
            <v>70.853872523789676</v>
          </cell>
          <cell r="H16">
            <v>75.813643600454952</v>
          </cell>
          <cell r="I16">
            <v>81.120598652486819</v>
          </cell>
          <cell r="J16">
            <v>86.799040558160883</v>
          </cell>
          <cell r="K16">
            <v>92.874973397232154</v>
          </cell>
          <cell r="L16">
            <v>99.376221535038411</v>
          </cell>
          <cell r="M16">
            <v>106.33255704249112</v>
          </cell>
          <cell r="N16">
            <v>113.77583603546549</v>
          </cell>
        </row>
        <row r="18">
          <cell r="C18">
            <v>1138171.7437246353</v>
          </cell>
          <cell r="D18">
            <v>1192068.3816987851</v>
          </cell>
          <cell r="E18">
            <v>1257470.3225570978</v>
          </cell>
          <cell r="F18">
            <v>1332863.1760336731</v>
          </cell>
          <cell r="G18">
            <v>1417322.4729843352</v>
          </cell>
          <cell r="H18">
            <v>1510346.1813330522</v>
          </cell>
          <cell r="I18">
            <v>1611738.1316942354</v>
          </cell>
          <cell r="J18">
            <v>1721527.1262803406</v>
          </cell>
          <cell r="K18">
            <v>1839911.0758772208</v>
          </cell>
          <cell r="L18">
            <v>1967218.7097187056</v>
          </cell>
          <cell r="M18">
            <v>2103883.6433700705</v>
          </cell>
          <cell r="N18">
            <v>2250427.1581857149</v>
          </cell>
        </row>
        <row r="19">
          <cell r="C19">
            <v>17679.372254888211</v>
          </cell>
          <cell r="D19">
            <v>18916.928312730386</v>
          </cell>
          <cell r="E19">
            <v>20241.113294621515</v>
          </cell>
          <cell r="F19">
            <v>21657.991225245023</v>
          </cell>
          <cell r="G19">
            <v>23174.050611012175</v>
          </cell>
          <cell r="H19">
            <v>24796.234153783029</v>
          </cell>
          <cell r="I19">
            <v>26531.970544547839</v>
          </cell>
          <cell r="J19">
            <v>28389.208482666189</v>
          </cell>
          <cell r="K19">
            <v>30376.453076452832</v>
          </cell>
          <cell r="L19">
            <v>32502.80479180453</v>
          </cell>
          <cell r="M19">
            <v>34778.001127230847</v>
          </cell>
          <cell r="N19">
            <v>37212.461206137014</v>
          </cell>
        </row>
        <row r="20">
          <cell r="C20">
            <v>112.02543855799681</v>
          </cell>
          <cell r="D20">
            <v>119.8672192570566</v>
          </cell>
          <cell r="E20">
            <v>128.25792460505056</v>
          </cell>
          <cell r="F20">
            <v>137.23597932740412</v>
          </cell>
          <cell r="G20">
            <v>146.84249788032241</v>
          </cell>
          <cell r="H20">
            <v>157.12147273194503</v>
          </cell>
          <cell r="I20">
            <v>168.11997582318122</v>
          </cell>
          <cell r="J20">
            <v>179.88837413080392</v>
          </cell>
          <cell r="K20">
            <v>192.4805603199602</v>
          </cell>
          <cell r="L20">
            <v>205.95419954235746</v>
          </cell>
          <cell r="M20">
            <v>220.37099351032248</v>
          </cell>
          <cell r="N20">
            <v>235.79696305604506</v>
          </cell>
        </row>
      </sheetData>
      <sheetData sheetId="4"/>
      <sheetData sheetId="5">
        <row r="8">
          <cell r="B8">
            <v>38383.087500000001</v>
          </cell>
          <cell r="C8">
            <v>47936.536874999998</v>
          </cell>
          <cell r="D8">
            <v>59874.11634375</v>
          </cell>
          <cell r="E8">
            <v>113524.3453609375</v>
          </cell>
          <cell r="F8">
            <v>158234.73245679686</v>
          </cell>
          <cell r="G8">
            <v>194454.32479812109</v>
          </cell>
          <cell r="H8">
            <v>239558.76246752011</v>
          </cell>
          <cell r="I8">
            <v>296691.91592351598</v>
          </cell>
          <cell r="J8">
            <v>366988.73687540676</v>
          </cell>
          <cell r="K8">
            <v>454661.83143484744</v>
          </cell>
          <cell r="L8">
            <v>565864.23949115782</v>
          </cell>
          <cell r="M8">
            <v>702828.86289542494</v>
          </cell>
        </row>
        <row r="17">
          <cell r="B17">
            <v>857008.12362260756</v>
          </cell>
          <cell r="C17">
            <v>972779.76043323206</v>
          </cell>
          <cell r="D17">
            <v>1105276.0577808176</v>
          </cell>
          <cell r="E17">
            <v>1261296.7493127307</v>
          </cell>
          <cell r="F17">
            <v>1435690.0644360455</v>
          </cell>
          <cell r="G17">
            <v>1635499.5897652039</v>
          </cell>
          <cell r="H17">
            <v>1871075.5379858436</v>
          </cell>
          <cell r="I17">
            <v>2134593.2644886803</v>
          </cell>
          <cell r="J17">
            <v>2436777.9379554293</v>
          </cell>
          <cell r="K17">
            <v>2793386.252490975</v>
          </cell>
          <cell r="L17">
            <v>3192536.193466112</v>
          </cell>
          <cell r="M17">
            <v>3650561.1519568926</v>
          </cell>
        </row>
        <row r="26">
          <cell r="B26">
            <v>4138057.8780827047</v>
          </cell>
          <cell r="C26">
            <v>4663923.1642144816</v>
          </cell>
          <cell r="D26">
            <v>5257351.5734405322</v>
          </cell>
          <cell r="E26">
            <v>5948633.7823843258</v>
          </cell>
          <cell r="F26">
            <v>6707305.156776703</v>
          </cell>
          <cell r="G26">
            <v>7563625.4128449569</v>
          </cell>
          <cell r="H26">
            <v>8561333.5823489632</v>
          </cell>
          <cell r="I26">
            <v>9656510.10200027</v>
          </cell>
          <cell r="J26">
            <v>10892860.169042526</v>
          </cell>
          <cell r="K26">
            <v>12333544.836189413</v>
          </cell>
          <cell r="L26">
            <v>13915250.348582277</v>
          </cell>
          <cell r="M26">
            <v>16056364.256252754</v>
          </cell>
        </row>
        <row r="35">
          <cell r="B35">
            <v>17129873.529748518</v>
          </cell>
          <cell r="C35">
            <v>18336563.048282135</v>
          </cell>
          <cell r="D35">
            <v>19628804.289213203</v>
          </cell>
          <cell r="E35">
            <v>21012724.470417846</v>
          </cell>
          <cell r="F35">
            <v>22494896.775829349</v>
          </cell>
          <cell r="G35">
            <v>24082373.641815249</v>
          </cell>
          <cell r="H35">
            <v>25782722.622924112</v>
          </cell>
          <cell r="I35">
            <v>27604065.047530156</v>
          </cell>
          <cell r="J35">
            <v>29555117.692240413</v>
          </cell>
          <cell r="K35">
            <v>31645237.72398109</v>
          </cell>
          <cell r="L35">
            <v>33884471.180619106</v>
          </cell>
          <cell r="M35">
            <v>36283605.284992442</v>
          </cell>
        </row>
        <row r="44">
          <cell r="B44">
            <v>39391930.179328933</v>
          </cell>
          <cell r="C44">
            <v>42168036.009396113</v>
          </cell>
          <cell r="D44">
            <v>45140556.506089941</v>
          </cell>
          <cell r="E44">
            <v>48323460.431265011</v>
          </cell>
          <cell r="F44">
            <v>51731716.884091713</v>
          </cell>
          <cell r="G44">
            <v>55381367.604590356</v>
          </cell>
          <cell r="H44">
            <v>59289604.567780867</v>
          </cell>
          <cell r="I44">
            <v>63474853.261797167</v>
          </cell>
          <cell r="J44">
            <v>67956862.073153093</v>
          </cell>
          <cell r="K44">
            <v>72756798.234504834</v>
          </cell>
          <cell r="L44">
            <v>77897350.824917048</v>
          </cell>
          <cell r="M44">
            <v>83402841.350007758</v>
          </cell>
        </row>
      </sheetData>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amera Commerce - Research"/>
      <sheetName val="Camera Commerce - Financials"/>
      <sheetName val="AR Advertising"/>
      <sheetName val="Streaming"/>
      <sheetName val="Ad Server"/>
      <sheetName val="Restaurant Streamlining"/>
      <sheetName val="Real Estate Application"/>
      <sheetName val="Time Saved"/>
      <sheetName val="Chuck Proposal"/>
    </sheetNames>
    <sheetDataSet>
      <sheetData sheetId="0">
        <row r="34">
          <cell r="B34">
            <v>15315.333333333334</v>
          </cell>
        </row>
      </sheetData>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ales Forecasts for Pure Techno"/>
    </sheetNames>
    <sheetDataSet>
      <sheetData sheetId="0">
        <row r="5">
          <cell r="L5">
            <v>537.6</v>
          </cell>
          <cell r="M5">
            <v>1377.6</v>
          </cell>
          <cell r="N5">
            <v>2889.6</v>
          </cell>
          <cell r="O5">
            <v>4401.6000000000004</v>
          </cell>
          <cell r="P5">
            <v>5913.6</v>
          </cell>
          <cell r="Q5">
            <v>7593.6</v>
          </cell>
          <cell r="R5">
            <v>9273.6</v>
          </cell>
          <cell r="S5">
            <v>10953.6</v>
          </cell>
          <cell r="T5">
            <v>12801.6</v>
          </cell>
          <cell r="U5">
            <v>14649.6</v>
          </cell>
          <cell r="V5">
            <v>16497.599999999999</v>
          </cell>
          <cell r="W5">
            <v>18681.599999999999</v>
          </cell>
          <cell r="X5">
            <v>20865.599999999999</v>
          </cell>
          <cell r="Y5">
            <v>23049.599999999999</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For Jan"/>
      <sheetName val="For Moneta"/>
      <sheetName val="Breakdown VSBY + S9"/>
      <sheetName val="Slide for Investor Presentation"/>
      <sheetName val="Gráfico1"/>
      <sheetName val="P&amp;L Projection Quarterly"/>
      <sheetName val="Revenue breakdown"/>
      <sheetName val="Monthly Projection P&amp;L CF"/>
      <sheetName val="Monthly Cash  Burn"/>
      <sheetName val="Overall situation at 5-12"/>
      <sheetName val="Cash Flow Projection Quarterly"/>
      <sheetName val="Security  Assumptions"/>
      <sheetName val="Winkel  Service model"/>
      <sheetName val="Shelf Nine _ 24"/>
      <sheetName val="Winkel Cashflow USD"/>
      <sheetName val="Cash flow proj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6">
          <cell r="AE6">
            <v>177771.33333333334</v>
          </cell>
          <cell r="AF6">
            <v>1372771.3333333333</v>
          </cell>
          <cell r="AG6">
            <v>3695271.3333333335</v>
          </cell>
          <cell r="AH6">
            <v>2695271.3333333335</v>
          </cell>
          <cell r="AI6">
            <v>2682771.3333333335</v>
          </cell>
          <cell r="AK6">
            <v>1966509.3333333333</v>
          </cell>
          <cell r="AL6">
            <v>1503919.3333333333</v>
          </cell>
          <cell r="AM6">
            <v>2426329.3333333335</v>
          </cell>
          <cell r="AN6">
            <v>1777559.3333333333</v>
          </cell>
          <cell r="AO6">
            <v>1156809.3333333333</v>
          </cell>
          <cell r="AP6">
            <v>1297379.3333333333</v>
          </cell>
          <cell r="AQ6">
            <v>1409719.3333333333</v>
          </cell>
          <cell r="AR6">
            <v>1460969.3333333333</v>
          </cell>
          <cell r="AS6">
            <v>1567219.3333333333</v>
          </cell>
          <cell r="AT6">
            <v>1677879.3333333333</v>
          </cell>
          <cell r="AU6">
            <v>1684129.3333333333</v>
          </cell>
          <cell r="AV6">
            <v>1790379.3333333333</v>
          </cell>
          <cell r="AX6">
            <v>1996900.6666666665</v>
          </cell>
          <cell r="AY6">
            <v>2014400.6666666665</v>
          </cell>
          <cell r="AZ6">
            <v>3209400.666666667</v>
          </cell>
          <cell r="BA6">
            <v>2026900.6666666665</v>
          </cell>
          <cell r="BB6">
            <v>2036900.6666666665</v>
          </cell>
          <cell r="BC6">
            <v>2063220.6666666665</v>
          </cell>
          <cell r="BD6">
            <v>2056900.6666666665</v>
          </cell>
          <cell r="BE6">
            <v>2066900.6666666665</v>
          </cell>
          <cell r="BF6">
            <v>2076900.6666666665</v>
          </cell>
          <cell r="BG6">
            <v>2086900.6666666665</v>
          </cell>
          <cell r="BH6">
            <v>2096900.6666666665</v>
          </cell>
          <cell r="BI6">
            <v>2106900.666666667</v>
          </cell>
        </row>
        <row r="115">
          <cell r="AE115">
            <v>-574790.40833333333</v>
          </cell>
          <cell r="AF115">
            <v>-1476040.4083333332</v>
          </cell>
          <cell r="AG115">
            <v>-1465290.4083333332</v>
          </cell>
          <cell r="AH115">
            <v>-1266540.4083333332</v>
          </cell>
          <cell r="AI115">
            <v>-1267790.4083333332</v>
          </cell>
          <cell r="AK115">
            <v>-1274258.3124166667</v>
          </cell>
          <cell r="AL115">
            <v>-1278655.4418083332</v>
          </cell>
          <cell r="AM115">
            <v>-1916572.0277252542</v>
          </cell>
          <cell r="AN115">
            <v>-1283758.204658838</v>
          </cell>
          <cell r="AO115">
            <v>-770964.10814503988</v>
          </cell>
          <cell r="AP115">
            <v>-774189.87477330165</v>
          </cell>
          <cell r="AQ115">
            <v>-777435.64219558006</v>
          </cell>
          <cell r="AR115">
            <v>-780701.549135454</v>
          </cell>
          <cell r="AS115">
            <v>-783987.73539731628</v>
          </cell>
          <cell r="AT115">
            <v>-787294.34187564976</v>
          </cell>
          <cell r="AU115">
            <v>-790621.51056438824</v>
          </cell>
          <cell r="AV115">
            <v>-793969.38456636411</v>
          </cell>
          <cell r="AX115">
            <v>-970845.55447802739</v>
          </cell>
          <cell r="AY115">
            <v>-976089.68513019942</v>
          </cell>
          <cell r="AZ115">
            <v>-1931604.8542144303</v>
          </cell>
          <cell r="BA115">
            <v>-981016.20885066781</v>
          </cell>
          <cell r="BB115">
            <v>-984448.89731373836</v>
          </cell>
          <cell r="BC115">
            <v>-987903.06904331245</v>
          </cell>
          <cell r="BD115">
            <v>-991378.87465396442</v>
          </cell>
          <cell r="BE115">
            <v>-994876.46594532416</v>
          </cell>
          <cell r="BF115">
            <v>-998395.99591232126</v>
          </cell>
          <cell r="BG115">
            <v>-1001937.6187555264</v>
          </cell>
          <cell r="BH115">
            <v>-1005501.4898915838</v>
          </cell>
          <cell r="BI115">
            <v>-1009087.7659637444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ables/table1.xml><?xml version="1.0" encoding="utf-8"?>
<table xmlns="http://schemas.openxmlformats.org/spreadsheetml/2006/main" id="1" name="Table13" displayName="Table13" ref="A8:BN23" headerRowCount="1" totalsRowCount="1">
  <tableColumns count="66">
    <tableColumn id="1" name="Itemization" totalsRowLabel="Revenue" totalsRowDxfId="95" dataCellStyle="Normal 3"/>
    <tableColumn id="2" name="Month 1" totalsRowFunction="custom" totalsRowDxfId="94">
      <totalsRowFormula>B9+B10+B11+B12</totalsRowFormula>
    </tableColumn>
    <tableColumn id="3" name="Month 2" totalsRowFunction="custom" totalsRowDxfId="93">
      <totalsRowFormula>C9+C10+C11+C12</totalsRowFormula>
    </tableColumn>
    <tableColumn id="4" name="Month 3" totalsRowFunction="custom" totalsRowDxfId="92">
      <totalsRowFormula>D9+D10+D11+D12</totalsRowFormula>
    </tableColumn>
    <tableColumn id="5" name="Month 4" totalsRowFunction="custom" totalsRowDxfId="91">
      <totalsRowFormula>E9+E10+E11+E12</totalsRowFormula>
    </tableColumn>
    <tableColumn id="6" name="Month 5" totalsRowFunction="custom" totalsRowDxfId="90">
      <totalsRowFormula>F9+F10+F11+F12</totalsRowFormula>
    </tableColumn>
    <tableColumn id="7" name="Month 6" totalsRowFunction="custom" totalsRowDxfId="89">
      <totalsRowFormula>G9+G10+G11+G12</totalsRowFormula>
    </tableColumn>
    <tableColumn id="8" name="Month 7" totalsRowFunction="custom" totalsRowDxfId="88">
      <totalsRowFormula>H9+H10+H11+H12</totalsRowFormula>
    </tableColumn>
    <tableColumn id="9" name="Month 8" totalsRowFunction="custom" totalsRowDxfId="87">
      <totalsRowFormula>I9+I10+I11+I12</totalsRowFormula>
    </tableColumn>
    <tableColumn id="10" name="Month 9" totalsRowFunction="custom" totalsRowDxfId="86">
      <totalsRowFormula>J9+J10+J11+J12</totalsRowFormula>
    </tableColumn>
    <tableColumn id="11" name="Month 10" totalsRowFunction="custom" totalsRowDxfId="85">
      <totalsRowFormula>K9+K10+K11+K12</totalsRowFormula>
    </tableColumn>
    <tableColumn id="50" name="Month 11" totalsRowFunction="custom" totalsRowDxfId="84">
      <totalsRowFormula>L9+L10+L11+L12</totalsRowFormula>
    </tableColumn>
    <tableColumn id="12" name="Month 12" totalsRowFunction="custom" totalsRowDxfId="83">
      <totalsRowFormula>M9+M10+M11+M12</totalsRowFormula>
    </tableColumn>
    <tableColumn id="49" name="TOTAL Y1" totalsRowFunction="custom" totalsRowDxfId="82">
      <calculatedColumnFormula>SUM(Table13[[#This Row],[Month 1]]:Table13[[#This Row],[Month 12]])</calculatedColumnFormula>
      <totalsRowFormula>N9+N10+N11+N12</totalsRowFormula>
    </tableColumn>
    <tableColumn id="13" name="Month 13" totalsRowFunction="custom" totalsRowDxfId="81">
      <totalsRowFormula>O9+O10+O11+O12</totalsRowFormula>
    </tableColumn>
    <tableColumn id="14" name="Month 14" totalsRowFunction="custom" totalsRowDxfId="80">
      <totalsRowFormula>P9+P10+P11+P12</totalsRowFormula>
    </tableColumn>
    <tableColumn id="15" name="Month 15" totalsRowFunction="custom" totalsRowDxfId="79">
      <totalsRowFormula>Q9+Q10+Q11+Q12</totalsRowFormula>
    </tableColumn>
    <tableColumn id="16" name="Month 16" totalsRowFunction="custom" totalsRowDxfId="78">
      <totalsRowFormula>R9+R10+R11+R12</totalsRowFormula>
    </tableColumn>
    <tableColumn id="17" name="Month 17" totalsRowFunction="custom" totalsRowDxfId="77">
      <totalsRowFormula>S9+S10+S11+S12</totalsRowFormula>
    </tableColumn>
    <tableColumn id="18" name="Month 18" totalsRowFunction="custom" totalsRowDxfId="76">
      <totalsRowFormula>T9+T10+T11+T12</totalsRowFormula>
    </tableColumn>
    <tableColumn id="19" name="Month 19" totalsRowFunction="custom" totalsRowDxfId="75">
      <totalsRowFormula>U9+U10+U11+U12</totalsRowFormula>
    </tableColumn>
    <tableColumn id="20" name="Month 20" totalsRowFunction="custom" totalsRowDxfId="74">
      <totalsRowFormula>V9+V10+V11+V12</totalsRowFormula>
    </tableColumn>
    <tableColumn id="21" name="Month 21" totalsRowFunction="custom" totalsRowDxfId="73">
      <totalsRowFormula>W9+W10+W11+W12</totalsRowFormula>
    </tableColumn>
    <tableColumn id="22" name="Month 22" totalsRowFunction="custom" totalsRowDxfId="72">
      <totalsRowFormula>X9+X10+X11+X12</totalsRowFormula>
    </tableColumn>
    <tableColumn id="23" name="Month 23" totalsRowFunction="custom" totalsRowDxfId="71">
      <totalsRowFormula>Y9+Y10+Y11+Y12</totalsRowFormula>
    </tableColumn>
    <tableColumn id="24" name="Month 24" totalsRowFunction="custom" totalsRowDxfId="70">
      <totalsRowFormula>Z9+Z10+Z11+Z12</totalsRowFormula>
    </tableColumn>
    <tableColumn id="51" name="TOTAL Y2" totalsRowFunction="custom" dataDxfId="69" totalsRowDxfId="68">
      <calculatedColumnFormula>SUM(Table13[[#This Row],[Month 13]]:Table13[[#This Row],[Month 24]])</calculatedColumnFormula>
      <totalsRowFormula>AA9+AA10+AA11+AA12</totalsRowFormula>
    </tableColumn>
    <tableColumn id="25" name="Month 25" totalsRowFunction="custom" totalsRowDxfId="67">
      <totalsRowFormula>AB9+AB10+AB11+AB12</totalsRowFormula>
    </tableColumn>
    <tableColumn id="26" name="Month 26" totalsRowFunction="custom" totalsRowDxfId="66">
      <totalsRowFormula>AC9+AC10+AC11+AC12</totalsRowFormula>
    </tableColumn>
    <tableColumn id="27" name="Month 27" totalsRowFunction="custom" totalsRowDxfId="65">
      <totalsRowFormula>AD9+AD10+AD11+AD12</totalsRowFormula>
    </tableColumn>
    <tableColumn id="28" name="Month 28" totalsRowFunction="custom" totalsRowDxfId="64">
      <totalsRowFormula>AE9+AE10+AE11+AE12</totalsRowFormula>
    </tableColumn>
    <tableColumn id="29" name="Month 29" totalsRowFunction="custom" totalsRowDxfId="63">
      <totalsRowFormula>AF9+AF10+AF11+AF12</totalsRowFormula>
    </tableColumn>
    <tableColumn id="30" name="Month 30" totalsRowFunction="custom" totalsRowDxfId="62">
      <totalsRowFormula>AG9+AG10+AG11+AG12</totalsRowFormula>
    </tableColumn>
    <tableColumn id="31" name="Month 31" totalsRowFunction="custom" totalsRowDxfId="61">
      <totalsRowFormula>AH9+AH10+AH11+AH12</totalsRowFormula>
    </tableColumn>
    <tableColumn id="32" name="Month 32" totalsRowFunction="custom" totalsRowDxfId="60">
      <totalsRowFormula>AI9+AI10+AI11+AI12</totalsRowFormula>
    </tableColumn>
    <tableColumn id="33" name="Month 33" totalsRowFunction="custom" totalsRowDxfId="59">
      <totalsRowFormula>AJ9+AJ10+AJ11+AJ12</totalsRowFormula>
    </tableColumn>
    <tableColumn id="34" name="Month 34" totalsRowFunction="custom" totalsRowDxfId="58">
      <totalsRowFormula>AK9+AK10+AK11+AK12</totalsRowFormula>
    </tableColumn>
    <tableColumn id="35" name="Month 35" totalsRowFunction="custom" totalsRowDxfId="57">
      <totalsRowFormula>AL9+AL10+AL11+AL12</totalsRowFormula>
    </tableColumn>
    <tableColumn id="36" name="Month 36" totalsRowFunction="custom" totalsRowDxfId="56">
      <totalsRowFormula>AM9+AM10+AM11+AM12</totalsRowFormula>
    </tableColumn>
    <tableColumn id="52" name="TOTAL Y3" totalsRowFunction="custom" dataDxfId="55" totalsRowDxfId="54" dataCellStyle="Normal 3">
      <totalsRowFormula>AN9+AN10+AN11+AN12</totalsRowFormula>
    </tableColumn>
    <tableColumn id="37" name="Month 37" totalsRowFunction="custom" totalsRowDxfId="53">
      <totalsRowFormula>AO9+AO10+AO11+AO12</totalsRowFormula>
    </tableColumn>
    <tableColumn id="38" name="Month 38" totalsRowFunction="custom" totalsRowDxfId="52">
      <totalsRowFormula>AP9+AP10+AP11+AP12</totalsRowFormula>
    </tableColumn>
    <tableColumn id="39" name="Month 39" totalsRowFunction="custom" totalsRowDxfId="51">
      <totalsRowFormula>AQ9+AQ10+AQ11+AQ12</totalsRowFormula>
    </tableColumn>
    <tableColumn id="40" name="Month 40" totalsRowFunction="custom" totalsRowDxfId="50">
      <totalsRowFormula>AR9+AR10+AR11+AR12</totalsRowFormula>
    </tableColumn>
    <tableColumn id="41" name="Month 41" totalsRowFunction="custom" totalsRowDxfId="49">
      <totalsRowFormula>AS9+AS10+AS11+AS12</totalsRowFormula>
    </tableColumn>
    <tableColumn id="42" name="Month 42" totalsRowFunction="custom" totalsRowDxfId="48">
      <totalsRowFormula>AT9+AT10+AT11+AT12</totalsRowFormula>
    </tableColumn>
    <tableColumn id="43" name="Month 43" totalsRowFunction="custom" totalsRowDxfId="47">
      <totalsRowFormula>AU9+AU10+AU11+AU12</totalsRowFormula>
    </tableColumn>
    <tableColumn id="44" name="Month 44" totalsRowFunction="custom" totalsRowDxfId="46">
      <totalsRowFormula>AV9+AV10+AV11+AV12</totalsRowFormula>
    </tableColumn>
    <tableColumn id="45" name="Month 45" totalsRowFunction="custom" totalsRowDxfId="45">
      <totalsRowFormula>AW9+AW10+AW11+AW12</totalsRowFormula>
    </tableColumn>
    <tableColumn id="46" name="Month 46" totalsRowFunction="custom" totalsRowDxfId="44">
      <totalsRowFormula>AX9+AX10+AX11+AX12</totalsRowFormula>
    </tableColumn>
    <tableColumn id="47" name="Month 47" totalsRowFunction="custom" totalsRowDxfId="43">
      <totalsRowFormula>AY9+AY10+AY11+AY12</totalsRowFormula>
    </tableColumn>
    <tableColumn id="48" name="Month 48" totalsRowFunction="custom" totalsRowDxfId="42">
      <totalsRowFormula>AZ9+AZ10+AZ11+AZ12</totalsRowFormula>
    </tableColumn>
    <tableColumn id="53" name="TOTAL Y4" totalsRowFunction="custom" dataDxfId="41" totalsRowDxfId="40" dataCellStyle="Normal 3">
      <calculatedColumnFormula>SUM(Table13[[#This Row],[Month 37]]:Table13[[#This Row],[Month 48]])</calculatedColumnFormula>
      <totalsRowFormula>BA9+BA10+BA11+BA12</totalsRowFormula>
    </tableColumn>
    <tableColumn id="54" name="Month 49" totalsRowFunction="custom" totalsRowDxfId="39">
      <totalsRowFormula>BB9+BB10+BB11+BB12</totalsRowFormula>
    </tableColumn>
    <tableColumn id="55" name="Month 50" totalsRowFunction="custom" totalsRowDxfId="38">
      <totalsRowFormula>BC9+BC10+BC11+BC12</totalsRowFormula>
    </tableColumn>
    <tableColumn id="56" name="Month 51" totalsRowFunction="custom" totalsRowDxfId="37">
      <totalsRowFormula>BD9+BD10+BD11+BD12</totalsRowFormula>
    </tableColumn>
    <tableColumn id="57" name="Month 52" totalsRowFunction="custom" totalsRowDxfId="36">
      <totalsRowFormula>BE9+BE10+BE11+BE12</totalsRowFormula>
    </tableColumn>
    <tableColumn id="58" name="Month 53" totalsRowFunction="custom" totalsRowDxfId="35">
      <totalsRowFormula>BF9+BF10+BF11+BF12</totalsRowFormula>
    </tableColumn>
    <tableColumn id="59" name="Month 54" totalsRowFunction="custom" totalsRowDxfId="34">
      <totalsRowFormula>BG9+BG10+BG11+BG12</totalsRowFormula>
    </tableColumn>
    <tableColumn id="60" name="Month 55" totalsRowFunction="custom" totalsRowDxfId="33">
      <totalsRowFormula>BH9+BH10+BH11+BH12</totalsRowFormula>
    </tableColumn>
    <tableColumn id="61" name="Month 56" totalsRowFunction="custom" totalsRowDxfId="32">
      <totalsRowFormula>BI9+BI10+BI11+BI12</totalsRowFormula>
    </tableColumn>
    <tableColumn id="62" name="Month 57" totalsRowFunction="custom" totalsRowDxfId="31">
      <totalsRowFormula>BJ9+BJ10+BJ11+BJ12</totalsRowFormula>
    </tableColumn>
    <tableColumn id="63" name="Month 58" totalsRowFunction="custom" totalsRowDxfId="30">
      <totalsRowFormula>BK9+BK10+BK11+BK12</totalsRowFormula>
    </tableColumn>
    <tableColumn id="64" name="Month 59" totalsRowFunction="custom" totalsRowDxfId="29">
      <totalsRowFormula>BL9+BL10+BL11+BL12</totalsRowFormula>
    </tableColumn>
    <tableColumn id="65" name="Month 60" totalsRowFunction="custom" totalsRowDxfId="28">
      <totalsRowFormula>BM9+BM10+BM11+BM12</totalsRowFormula>
    </tableColumn>
    <tableColumn id="66" name="TOTAL Y5" totalsRowFunction="custom" dataDxfId="27" totalsRowDxfId="26" dataCellStyle="Normal 3">
      <totalsRowFormula>BN9+BN10+BN11+BN12</totalsRowFormula>
    </tableColumn>
  </tableColumns>
  <tableStyleInfo name="Sheet1-style" showFirstColumn="1" showLastColumn="1" showRowStripes="1" showColumnStripes="0"/>
</table>
</file>

<file path=xl/tables/table2.xml><?xml version="1.0" encoding="utf-8"?>
<table xmlns="http://schemas.openxmlformats.org/spreadsheetml/2006/main" id="2" name="Table2" displayName="Table2" ref="A2:DH17" headerRowCount="1" totalsRowShown="0" headerRowDxfId="25">
  <autoFilter ref="A2:DH17"/>
  <tableColumns count="112">
    <tableColumn id="1" name="Column1" dataDxfId="24"/>
    <tableColumn id="2" name="Column2" dataDxfId="23"/>
    <tableColumn id="109" name="Column3" dataDxfId="22"/>
    <tableColumn id="108" name="Column4" dataDxfId="21"/>
    <tableColumn id="107" name="Column5" dataDxfId="20"/>
    <tableColumn id="3" name="Column6"/>
    <tableColumn id="4" name="Column7"/>
    <tableColumn id="5" name="Column8"/>
    <tableColumn id="6" name="Column9"/>
    <tableColumn id="7" name="Column10"/>
    <tableColumn id="8" name="Column11"/>
    <tableColumn id="9" name="Column12"/>
    <tableColumn id="10" name="Column13"/>
    <tableColumn id="11" name="Column14"/>
    <tableColumn id="12" name="Column15"/>
    <tableColumn id="13" name="Column16"/>
    <tableColumn id="14" name="Column17"/>
    <tableColumn id="15" name="Column18"/>
    <tableColumn id="16" name="Column19"/>
    <tableColumn id="17" name="Column20"/>
    <tableColumn id="18" name="Column21"/>
    <tableColumn id="19" name="Column22"/>
    <tableColumn id="20" name="Column23"/>
    <tableColumn id="21" name="Column24"/>
    <tableColumn id="22" name="Column25"/>
    <tableColumn id="23" name="Column26"/>
    <tableColumn id="24" name="Column27"/>
    <tableColumn id="25" name="Column28"/>
    <tableColumn id="26" name="Column29"/>
    <tableColumn id="27" name="Column30"/>
    <tableColumn id="28" name="Column31"/>
    <tableColumn id="29" name="Column32"/>
    <tableColumn id="30" name="Column33"/>
    <tableColumn id="31" name="Column34"/>
    <tableColumn id="32" name="Column35"/>
    <tableColumn id="33" name="Column36"/>
    <tableColumn id="34" name="Column37"/>
    <tableColumn id="35" name="Column38"/>
    <tableColumn id="36" name="Column39"/>
    <tableColumn id="37" name="Column40"/>
    <tableColumn id="38" name="Column41"/>
    <tableColumn id="39" name="Column42"/>
    <tableColumn id="40" name="Column43"/>
    <tableColumn id="41" name="Column44"/>
    <tableColumn id="42" name="Column45"/>
    <tableColumn id="43" name="Column46"/>
    <tableColumn id="44" name="Column47"/>
    <tableColumn id="45" name="Column48"/>
    <tableColumn id="46" name="Column49"/>
    <tableColumn id="47" name="Column50"/>
    <tableColumn id="48" name="Column51"/>
    <tableColumn id="49" name="Column52"/>
    <tableColumn id="50" name="Column53"/>
    <tableColumn id="51" name="Column54"/>
    <tableColumn id="52" name="Column55"/>
    <tableColumn id="53" name="Column56"/>
    <tableColumn id="54" name="Column57"/>
    <tableColumn id="55" name="Column58"/>
    <tableColumn id="56" name="Column59"/>
    <tableColumn id="57" name="Column60"/>
    <tableColumn id="58" name="Column61"/>
    <tableColumn id="59" name="Column62"/>
    <tableColumn id="60" name="Column63"/>
    <tableColumn id="61" name="Column64"/>
    <tableColumn id="62" name="Column65"/>
    <tableColumn id="63" name="Column66"/>
    <tableColumn id="64" name="Column67"/>
    <tableColumn id="65" name="Column68"/>
    <tableColumn id="66" name="Column69"/>
    <tableColumn id="67" name="Column70"/>
    <tableColumn id="68" name="Column71"/>
    <tableColumn id="69" name="Column72"/>
    <tableColumn id="70" name="Column73"/>
    <tableColumn id="71" name="Column74"/>
    <tableColumn id="72" name="Column75"/>
    <tableColumn id="73" name="Column76"/>
    <tableColumn id="74" name="Column77"/>
    <tableColumn id="75" name="Column78"/>
    <tableColumn id="76" name="Column79"/>
    <tableColumn id="77" name="Column80"/>
    <tableColumn id="78" name="Column81"/>
    <tableColumn id="79" name="Column82"/>
    <tableColumn id="80" name="Column83"/>
    <tableColumn id="81" name="Column84"/>
    <tableColumn id="82" name="Column85"/>
    <tableColumn id="83" name="Column86"/>
    <tableColumn id="84" name="Column87"/>
    <tableColumn id="85" name="Column88"/>
    <tableColumn id="86" name="Column89"/>
    <tableColumn id="87" name="Column90"/>
    <tableColumn id="88" name="Column91"/>
    <tableColumn id="89" name="Column92"/>
    <tableColumn id="90" name="Column93"/>
    <tableColumn id="91" name="Column94"/>
    <tableColumn id="92" name="Column95"/>
    <tableColumn id="93" name="Column96"/>
    <tableColumn id="94" name="Column97"/>
    <tableColumn id="95" name="Column98"/>
    <tableColumn id="96" name="Column99"/>
    <tableColumn id="97" name="Column100"/>
    <tableColumn id="98" name="Column101"/>
    <tableColumn id="99" name="Column102"/>
    <tableColumn id="100" name="Column103"/>
    <tableColumn id="101" name="Column104"/>
    <tableColumn id="102" name="Column105"/>
    <tableColumn id="103" name="Column106"/>
    <tableColumn id="104" name="Column107"/>
    <tableColumn id="105" name="Column108"/>
    <tableColumn id="106" name="Column109"/>
    <tableColumn id="110" name="Column110" dataDxfId="19"/>
    <tableColumn id="111" name="Column111" dataDxfId="18">
      <calculatedColumnFormula>Table2[[#This Row],[Column110]]/360000000</calculatedColumnFormula>
    </tableColumn>
    <tableColumn id="112" name="Column112"/>
  </tableColumns>
  <tableStyleInfo name="TableStyleDark9" showFirstColumn="0" showLastColumn="0" showRowStripes="1" showColumnStripes="0"/>
</table>
</file>

<file path=xl/tables/table3.xml><?xml version="1.0" encoding="utf-8"?>
<table xmlns="http://schemas.openxmlformats.org/spreadsheetml/2006/main" id="3" name="Table24" displayName="Table24" ref="A20:DH35" headerRowCount="1" totalsRowShown="0" headerRowDxfId="17">
  <autoFilter ref="A20:DH35"/>
  <tableColumns count="112">
    <tableColumn id="1" name="Column1" dataDxfId="16"/>
    <tableColumn id="2" name="Column2" dataDxfId="15"/>
    <tableColumn id="109" name="Column3" dataDxfId="14"/>
    <tableColumn id="108" name="Column4" dataDxfId="13"/>
    <tableColumn id="107" name="Column5" dataDxfId="12"/>
    <tableColumn id="3" name="Column6"/>
    <tableColumn id="4" name="Column7"/>
    <tableColumn id="5" name="Column8"/>
    <tableColumn id="6" name="Column9"/>
    <tableColumn id="7" name="Column10"/>
    <tableColumn id="8" name="Column11"/>
    <tableColumn id="9" name="Column12"/>
    <tableColumn id="10" name="Column13"/>
    <tableColumn id="11" name="Column14"/>
    <tableColumn id="12" name="Column15"/>
    <tableColumn id="13" name="Column16"/>
    <tableColumn id="14" name="Column17"/>
    <tableColumn id="15" name="Column18"/>
    <tableColumn id="16" name="Column19"/>
    <tableColumn id="17" name="Column20"/>
    <tableColumn id="18" name="Column21"/>
    <tableColumn id="19" name="Column22"/>
    <tableColumn id="20" name="Column23"/>
    <tableColumn id="21" name="Column24"/>
    <tableColumn id="22" name="Column25"/>
    <tableColumn id="23" name="Column26"/>
    <tableColumn id="24" name="Column27"/>
    <tableColumn id="25" name="Column28"/>
    <tableColumn id="26" name="Column29"/>
    <tableColumn id="27" name="Column30"/>
    <tableColumn id="28" name="Column31"/>
    <tableColumn id="29" name="Column32"/>
    <tableColumn id="30" name="Column33"/>
    <tableColumn id="31" name="Column34"/>
    <tableColumn id="32" name="Column35"/>
    <tableColumn id="33" name="Column36"/>
    <tableColumn id="34" name="Column37"/>
    <tableColumn id="35" name="Column38"/>
    <tableColumn id="36" name="Column39"/>
    <tableColumn id="37" name="Column40"/>
    <tableColumn id="38" name="Column41"/>
    <tableColumn id="39" name="Column42"/>
    <tableColumn id="40" name="Column43"/>
    <tableColumn id="41" name="Column44"/>
    <tableColumn id="42" name="Column45"/>
    <tableColumn id="43" name="Column46"/>
    <tableColumn id="44" name="Column47"/>
    <tableColumn id="45" name="Column48"/>
    <tableColumn id="46" name="Column49"/>
    <tableColumn id="47" name="Column50"/>
    <tableColumn id="48" name="Column51"/>
    <tableColumn id="49" name="Column52"/>
    <tableColumn id="50" name="Column53"/>
    <tableColumn id="51" name="Column54"/>
    <tableColumn id="52" name="Column55"/>
    <tableColumn id="53" name="Column56"/>
    <tableColumn id="54" name="Column57"/>
    <tableColumn id="55" name="Column58"/>
    <tableColumn id="56" name="Column59"/>
    <tableColumn id="57" name="Column60"/>
    <tableColumn id="58" name="Column61"/>
    <tableColumn id="59" name="Column62"/>
    <tableColumn id="60" name="Column63"/>
    <tableColumn id="61" name="Column64"/>
    <tableColumn id="62" name="Column65"/>
    <tableColumn id="63" name="Column66"/>
    <tableColumn id="64" name="Column67"/>
    <tableColumn id="65" name="Column68"/>
    <tableColumn id="66" name="Column69"/>
    <tableColumn id="67" name="Column70"/>
    <tableColumn id="68" name="Column71"/>
    <tableColumn id="69" name="Column72"/>
    <tableColumn id="70" name="Column73"/>
    <tableColumn id="71" name="Column74"/>
    <tableColumn id="72" name="Column75"/>
    <tableColumn id="73" name="Column76"/>
    <tableColumn id="74" name="Column77"/>
    <tableColumn id="75" name="Column78"/>
    <tableColumn id="76" name="Column79"/>
    <tableColumn id="77" name="Column80"/>
    <tableColumn id="78" name="Column81"/>
    <tableColumn id="79" name="Column82"/>
    <tableColumn id="80" name="Column83"/>
    <tableColumn id="81" name="Column84"/>
    <tableColumn id="82" name="Column85"/>
    <tableColumn id="83" name="Column86"/>
    <tableColumn id="84" name="Column87"/>
    <tableColumn id="85" name="Column88"/>
    <tableColumn id="86" name="Column89"/>
    <tableColumn id="87" name="Column90"/>
    <tableColumn id="88" name="Column91"/>
    <tableColumn id="89" name="Column92"/>
    <tableColumn id="90" name="Column93"/>
    <tableColumn id="91" name="Column94"/>
    <tableColumn id="92" name="Column95"/>
    <tableColumn id="93" name="Column96"/>
    <tableColumn id="94" name="Column97"/>
    <tableColumn id="95" name="Column98"/>
    <tableColumn id="96" name="Column99"/>
    <tableColumn id="97" name="Column100"/>
    <tableColumn id="98" name="Column101"/>
    <tableColumn id="99" name="Column102"/>
    <tableColumn id="100" name="Column103"/>
    <tableColumn id="101" name="Column104"/>
    <tableColumn id="102" name="Column105"/>
    <tableColumn id="103" name="Column106"/>
    <tableColumn id="104" name="Column107"/>
    <tableColumn id="105" name="Column108"/>
    <tableColumn id="106" name="Column109"/>
    <tableColumn id="110" name="Column110" dataDxfId="11"/>
    <tableColumn id="111" name="Column111" dataDxfId="10" dataCellStyle="Percent"/>
    <tableColumn id="112" name="Column112" dataDxfId="9"/>
  </tableColumns>
  <tableStyleInfo name="TableStyleDark9" showFirstColumn="0" showLastColumn="0" showRowStripes="1" showColumnStripes="0"/>
</table>
</file>

<file path=xl/tables/table4.xml><?xml version="1.0" encoding="utf-8"?>
<table xmlns="http://schemas.openxmlformats.org/spreadsheetml/2006/main" id="4" name="Table245" displayName="Table245" ref="A38:DH53" headerRowCount="1" totalsRowShown="0" headerRowDxfId="8">
  <autoFilter ref="A38:DH53"/>
  <tableColumns count="112">
    <tableColumn id="1" name="Column1" dataDxfId="7"/>
    <tableColumn id="2" name="Column2" dataDxfId="6"/>
    <tableColumn id="109" name="Column3" dataDxfId="5"/>
    <tableColumn id="108" name="Column4" dataDxfId="4"/>
    <tableColumn id="107" name="Column5" dataDxfId="3"/>
    <tableColumn id="3" name="Column6"/>
    <tableColumn id="4" name="Column7"/>
    <tableColumn id="5" name="Column8"/>
    <tableColumn id="6" name="Column9"/>
    <tableColumn id="7" name="Column10"/>
    <tableColumn id="8" name="Column11"/>
    <tableColumn id="9" name="Column12"/>
    <tableColumn id="10" name="Column13"/>
    <tableColumn id="11" name="Column14"/>
    <tableColumn id="12" name="Column15"/>
    <tableColumn id="13" name="Column16"/>
    <tableColumn id="14" name="Column17"/>
    <tableColumn id="15" name="Column18"/>
    <tableColumn id="16" name="Column19"/>
    <tableColumn id="17" name="Column20"/>
    <tableColumn id="18" name="Column21"/>
    <tableColumn id="19" name="Column22"/>
    <tableColumn id="20" name="Column23"/>
    <tableColumn id="21" name="Column24"/>
    <tableColumn id="22" name="Column25"/>
    <tableColumn id="23" name="Column26"/>
    <tableColumn id="24" name="Column27"/>
    <tableColumn id="25" name="Column28"/>
    <tableColumn id="26" name="Column29"/>
    <tableColumn id="27" name="Column30"/>
    <tableColumn id="28" name="Column31"/>
    <tableColumn id="29" name="Column32"/>
    <tableColumn id="30" name="Column33"/>
    <tableColumn id="31" name="Column34"/>
    <tableColumn id="32" name="Column35"/>
    <tableColumn id="33" name="Column36"/>
    <tableColumn id="34" name="Column37"/>
    <tableColumn id="35" name="Column38"/>
    <tableColumn id="36" name="Column39"/>
    <tableColumn id="37" name="Column40"/>
    <tableColumn id="38" name="Column41"/>
    <tableColumn id="39" name="Column42"/>
    <tableColumn id="40" name="Column43"/>
    <tableColumn id="41" name="Column44"/>
    <tableColumn id="42" name="Column45"/>
    <tableColumn id="43" name="Column46"/>
    <tableColumn id="44" name="Column47"/>
    <tableColumn id="45" name="Column48"/>
    <tableColumn id="46" name="Column49"/>
    <tableColumn id="47" name="Column50"/>
    <tableColumn id="48" name="Column51"/>
    <tableColumn id="49" name="Column52"/>
    <tableColumn id="50" name="Column53"/>
    <tableColumn id="51" name="Column54"/>
    <tableColumn id="52" name="Column55"/>
    <tableColumn id="53" name="Column56"/>
    <tableColumn id="54" name="Column57"/>
    <tableColumn id="55" name="Column58"/>
    <tableColumn id="56" name="Column59"/>
    <tableColumn id="57" name="Column60"/>
    <tableColumn id="58" name="Column61"/>
    <tableColumn id="59" name="Column62"/>
    <tableColumn id="60" name="Column63"/>
    <tableColumn id="61" name="Column64"/>
    <tableColumn id="62" name="Column65"/>
    <tableColumn id="63" name="Column66"/>
    <tableColumn id="64" name="Column67"/>
    <tableColumn id="65" name="Column68"/>
    <tableColumn id="66" name="Column69"/>
    <tableColumn id="67" name="Column70"/>
    <tableColumn id="68" name="Column71"/>
    <tableColumn id="69" name="Column72"/>
    <tableColumn id="70" name="Column73"/>
    <tableColumn id="71" name="Column74"/>
    <tableColumn id="72" name="Column75"/>
    <tableColumn id="73" name="Column76"/>
    <tableColumn id="74" name="Column77"/>
    <tableColumn id="75" name="Column78"/>
    <tableColumn id="76" name="Column79"/>
    <tableColumn id="77" name="Column80"/>
    <tableColumn id="78" name="Column81"/>
    <tableColumn id="79" name="Column82"/>
    <tableColumn id="80" name="Column83"/>
    <tableColumn id="81" name="Column84"/>
    <tableColumn id="82" name="Column85"/>
    <tableColumn id="83" name="Column86"/>
    <tableColumn id="84" name="Column87"/>
    <tableColumn id="85" name="Column88"/>
    <tableColumn id="86" name="Column89"/>
    <tableColumn id="87" name="Column90"/>
    <tableColumn id="88" name="Column91"/>
    <tableColumn id="89" name="Column92"/>
    <tableColumn id="90" name="Column93"/>
    <tableColumn id="91" name="Column94"/>
    <tableColumn id="92" name="Column95"/>
    <tableColumn id="93" name="Column96"/>
    <tableColumn id="94" name="Column97"/>
    <tableColumn id="95" name="Column98"/>
    <tableColumn id="96" name="Column99"/>
    <tableColumn id="97" name="Column100"/>
    <tableColumn id="98" name="Column101"/>
    <tableColumn id="99" name="Column102"/>
    <tableColumn id="100" name="Column103"/>
    <tableColumn id="101" name="Column104"/>
    <tableColumn id="102" name="Column105"/>
    <tableColumn id="103" name="Column106"/>
    <tableColumn id="104" name="Column107"/>
    <tableColumn id="105" name="Column108"/>
    <tableColumn id="106" name="Column109"/>
    <tableColumn id="110" name="Column110" dataDxfId="2"/>
    <tableColumn id="111" name="Column111" dataDxfId="1" dataCellStyle="Percent"/>
    <tableColumn id="112" name="Column112" dataDxfId="0"/>
  </tableColumns>
  <tableStyleInfo name="TableStyleDark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7.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8.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9.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20.xml.rels><Relationships xmlns="http://schemas.openxmlformats.org/package/2006/relationships"><Relationship Type="http://schemas.openxmlformats.org/officeDocument/2006/relationships/drawing" Target="/xl/drawings/drawing3.xml" Id="rId1"/></Relationships>
</file>

<file path=xl/worksheets/_rels/sheet21.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6.xml.rels><Relationships xmlns="http://schemas.openxmlformats.org/package/2006/relationships"><Relationship Type="http://schemas.openxmlformats.org/officeDocument/2006/relationships/hyperlink" Target="http://wecheer.io/" TargetMode="External" Id="rId1"/><Relationship Type="http://schemas.openxmlformats.org/officeDocument/2006/relationships/hyperlink" Target="http://wecheer.io/" TargetMode="External" Id="rId2"/><Relationship Type="http://schemas.openxmlformats.org/officeDocument/2006/relationships/table" Target="/xl/tables/table1.xml" Id="rId3"/><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7.xml.rels><Relationships xmlns="http://schemas.openxmlformats.org/package/2006/relationships"><Relationship Type="http://schemas.openxmlformats.org/officeDocument/2006/relationships/hyperlink" Target="https://puretechnologynyc.sharepoint.com/:w:/r/sites/Commercial/Shared%20Documents/5.SD-Sales%20and%20Distribution/1.SR-Sales%20and%20Revenue/PT%20User%20Adoption%20Research.docx?d=w74421deccb294ce8b5863b24f89d4afb&amp;csf=1&amp;web=1&amp;e=JbaZa2" TargetMode="Externa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8.xml.rels><Relationships xmlns="http://schemas.openxmlformats.org/package/2006/relationships"><Relationship Type="http://schemas.openxmlformats.org/officeDocument/2006/relationships/hyperlink" Target="https://www.amazon.com/H58G76BK8HX095N-16GB-LPDDR5x-DRAM-IC-FBGA496-8533Mbps-Suitable-Snapdragon-Samsung-Mainboard/dp/B0CWP8VG26?utm_source=chatgpt.com" TargetMode="External" Id="rId1"/><Relationship Type="http://schemas.openxmlformats.org/officeDocument/2006/relationships/hyperlink" Target="https://www.mouser.com/c/semiconductors/memory-ics/universal-flash-storage-ufs/?srsltid=AfmBOorO05PQOUjxnlLHrq8clemJNO_SSngrr3J0KJpWwkfAhwCEMC7Q&amp;utm_source=chatgpt.com" TargetMode="External" Id="rId2"/><Relationship Type="http://schemas.openxmlformats.org/officeDocument/2006/relationships/hyperlink" Target="https://www.counterpointresearch.com/insight/bom-analysis-samsung-galaxy-s23-ultra?utm_source=chatgpt.com" TargetMode="External" Id="rId3"/><Relationship Type="http://schemas.openxmlformats.org/officeDocument/2006/relationships/hyperlink" Target="https://www.alibaba.com/product-detail/6000mah-BL-58BT-Lc8-Mobile-Phone_1600160549906.html?utm_source=chatgpt.com" TargetMode="External" Id="rId4"/><Relationship Type="http://schemas.openxmlformats.org/officeDocument/2006/relationships/hyperlink" Target="https://www.qualcomm.com/content/dam/qcomm-martech/dm-assets/documents/qualcomm-5g-handset-licensing-program.pdf?utm_source=chatgpt.com" TargetMode="External" Id="rId5"/><Relationship Type="http://schemas.openxmlformats.org/officeDocument/2006/relationships/hyperlink" Target="https://www.counterpointresearch.com/insight/bom-analysis-samsung-galaxy-s23-ultra?utm_source=chatgpt.com" TargetMode="External" Id="rId6"/><Relationship Type="http://schemas.openxmlformats.org/officeDocument/2006/relationships/hyperlink" Target="https://omdia.tech.informa.com/om129002/dram-market-dynamics--march-2025?utm_source=chatgpt.com" TargetMode="External" Id="rId7"/><Relationship Type="http://schemas.openxmlformats.org/officeDocument/2006/relationships/hyperlink" Target="https://www.trendforce.com/presscenter/news/20250709-12638.html?utm_source=chatgpt.com" TargetMode="External" Id="rId8"/><Relationship Type="http://schemas.openxmlformats.org/officeDocument/2006/relationships/hyperlink" Target="https://www.counterpointresearch.com/insight/bom-analysis-samsung-galaxy-s23-ultra?utm_source=chatgpt.com" TargetMode="External" Id="rId9"/><Relationship Type="http://schemas.openxmlformats.org/officeDocument/2006/relationships/hyperlink" Target="https://www.counterpointresearch.com/insight/bom-analysis-samsung-galaxy-s23-ultra?utm_source=chatgpt.com" TargetMode="External" Id="rId10"/><Relationship Type="http://schemas.openxmlformats.org/officeDocument/2006/relationships/hyperlink" Target="https://www.qualcomm.com/content/dam/qcomm-martech/dm-assets/documents/qualcomm-5g-handset-licensing-program.pdf?utm_source=chatgpt.com" TargetMode="External" Id="rId11"/><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9.xml.rels><Relationships xmlns="http://schemas.openxmlformats.org/package/2006/relationships"><Relationship Type="http://schemas.openxmlformats.org/officeDocument/2006/relationships/drawing" Target="/xl/drawings/drawing4.xml" Id="rId1"/></Relationships>
</file>

<file path=xl/worksheets/_rels/sheet30.xml.rels><Relationships xmlns="http://schemas.openxmlformats.org/package/2006/relationships"><Relationship Type="http://schemas.openxmlformats.org/officeDocument/2006/relationships/drawing" Target="/xl/drawings/drawing5.xml" Id="rId1"/></Relationships>
</file>

<file path=xl/worksheets/_rels/sheet31.xml.rels><Relationships xmlns="http://schemas.openxmlformats.org/package/2006/relationships"><Relationship Type="http://schemas.openxmlformats.org/officeDocument/2006/relationships/hyperlink" Target="https://www.businessinsider.com/oneplus-2014-annual-report-2015-2" TargetMode="External" Id="rId1"/><Relationship Type="http://schemas.openxmlformats.org/officeDocument/2006/relationships/hyperlink" Target="http://www.yourtechstory.com/2019/11/11/success-story-of-oneplus/" TargetMode="External" Id="rId2"/><Relationship Type="http://schemas.openxmlformats.org/officeDocument/2006/relationships/hyperlink" Target="http://www.gizmochina.com/2014/03/15/wiko-smartphone-chinese-handset-which-successfully-sold-in-france-market/" TargetMode="External" Id="rId3"/><Relationship Type="http://schemas.openxmlformats.org/officeDocument/2006/relationships/hyperlink" Target="https://www.bloomberg.com/news/articles/2017-12-28/maybe-there-is-a-100-billion-smartphone-brand-in-china" TargetMode="External" Id="rId4"/><Relationship Type="http://schemas.openxmlformats.org/officeDocument/2006/relationships/hyperlink" Target="https://www.businesstoday.in/technology/news/vivo-revenue-crosses-rs-10000crore-milestone-in-just-four-years-in-india/story/282154.html" TargetMode="External" Id="rId5"/><Relationship Type="http://schemas.openxmlformats.org/officeDocument/2006/relationships/hyperlink" Target="https://www.quora.com/What-is-the-financial-income-of-Vivo-mobile-company-in-year-2016-17" TargetMode="External" Id="rId6"/><Relationship Type="http://schemas.openxmlformats.org/officeDocument/2006/relationships/hyperlink" Target="https://www.statista.com/statistics/541618/vivo-smartphone-shipments-worldwide/" TargetMode="External" Id="rId7"/><Relationship Type="http://schemas.openxmlformats.org/officeDocument/2006/relationships/hyperlink" Target="https://www.xe.com/currencyconverter/convert/?Amount=61%2C460%2C000%2C000&amp;From=INR&amp;To=USD" TargetMode="External" Id="rId8"/><Relationship Type="http://schemas.openxmlformats.org/officeDocument/2006/relationships/hyperlink" Target="https://www.bloomberg.com/news/articles/2017-12-28/maybe-there-is-a-100-billion-smartphone-brand-in-china" TargetMode="External" Id="rId9"/><Relationship Type="http://schemas.openxmlformats.org/officeDocument/2006/relationships/hyperlink" Target="https://www.statista.com/statistics/541609/oppo-smartphone-shipments-worldwide/" TargetMode="External" Id="rId10"/><Relationship Type="http://schemas.openxmlformats.org/officeDocument/2006/relationships/hyperlink" Target="https://www.statista.com/statistics/541609/oppo-smartphone-shipments-worldwide/" TargetMode="External" Id="rId11"/><Relationship Type="http://schemas.openxmlformats.org/officeDocument/2006/relationships/hyperlink" Target="https://www.ibtimes.co.in/micromax039s-canvas-series-phones-exceed-1-million-unit-sales-pose-threat-to-samsung-461642" TargetMode="External" Id="rId12"/><Relationship Type="http://schemas.openxmlformats.org/officeDocument/2006/relationships/hyperlink" Target="https://www.xe.com/currencyconverter/convert/?Amount=14499&amp;From=INR&amp;To=USD" TargetMode="External" Id="rId13"/><Relationship Type="http://schemas.openxmlformats.org/officeDocument/2006/relationships/hyperlink" Target="https://www.techradar.com/news/realme-sold-over-15-million-smartphones-in-the-first-year" TargetMode="External" Id="rId14"/><Relationship Type="http://schemas.openxmlformats.org/officeDocument/2006/relationships/hyperlink" Target="https://en.wikipedia.org/wiki/Realme" TargetMode="External" Id="rId15"/><Relationship Type="http://schemas.openxmlformats.org/officeDocument/2006/relationships/hyperlink" Target="https://techcrunch.com/2020/11/20/realme-profile/" TargetMode="External" Id="rId16"/><Relationship Type="http://schemas.openxmlformats.org/officeDocument/2006/relationships/hyperlink" Target="https://www.forbes.com/sites/realme/2021/08/09/realme-sells-100-million-handsets-in-record-setting-3-years-ceo-wants-to-beat-its-own-record/?sh=4a4d3a684851" TargetMode="External" Id="rId17"/><Relationship Type="http://schemas.openxmlformats.org/officeDocument/2006/relationships/hyperlink" Target="https://www.pocketgamer.biz/news/68993/toon-blast-revenue-rockers-to-200-million-in-its-first-year/" TargetMode="External" Id="rId18"/><Relationship Type="http://schemas.openxmlformats.org/officeDocument/2006/relationships/hyperlink" Target="https://sensortower.com/blog/fortnite-revenue-200-million" TargetMode="External" Id="rId19"/><Relationship Type="http://schemas.openxmlformats.org/officeDocument/2006/relationships/hyperlink" Target="https://venturebeat.com/2016/08/08/sensor-tower-pokemon-go-made-200-million-in-its-first-month/" TargetMode="External" Id="rId20"/><Relationship Type="http://schemas.openxmlformats.org/officeDocument/2006/relationships/hyperlink" Target="https://www.theguardian.com/technology/2013/aug/28/facebook-spam-202-million-italian-research" TargetMode="External" Id="rId21"/><Relationship Type="http://schemas.openxmlformats.org/officeDocument/2006/relationships/hyperlink" Target="https://www.hollywoodreporter.com/heat-vision/black-panther-weekend-box-office-record-shattering-debut-1085932" TargetMode="External" Id="rId22"/><Relationship Type="http://schemas.openxmlformats.org/officeDocument/2006/relationships/hyperlink" Target="https://www.gadgetsnow.com/tech-news/Smartphones-the-biggest-hit-on-Flipkarts-Big-Billion-sale/articleshow/49539709.cms" TargetMode="External" Id="rId23"/><Relationship Type="http://schemas.openxmlformats.org/officeDocument/2006/relationships/hyperlink" Target="https://www.businesswire.com/news/home/20180221006185/en/Five9-Reports-Record-Annual-Revenue-200-Million" TargetMode="External" Id="rId24"/><Relationship Type="http://schemas.openxmlformats.org/officeDocument/2006/relationships/hyperlink" Target="https://www.datacenterknowledge.com/startups/hyperconverged-startup-cohesity-hits-200m-annual-sales-pace" TargetMode="External" Id="rId25"/><Relationship Type="http://schemas.openxmlformats.org/officeDocument/2006/relationships/hyperlink" Target="https://www.statista.com/statistics/409371/etsy-annual-revenue/" TargetMode="External" Id="rId26"/><Relationship Type="http://schemas.openxmlformats.org/officeDocument/2006/relationships/hyperlink" Target="https://www.bizjournals.com/newyork/businesswire/press_releases/New_York/2018/02/09/20180209005073" TargetMode="External" Id="rId27"/><Relationship Type="http://schemas.openxmlformats.org/officeDocument/2006/relationships/hyperlink" Target="https://bitcoinexchangeguide.com/binance-earns-200-million-while-nasdaqs-posts-209-million-in-profits-but-has-20x-more-employees/" TargetMode="External" Id="rId28"/><Relationship Type="http://schemas.openxmlformats.org/officeDocument/2006/relationships/hyperlink" Target="https://www.gamesindustry.biz/articles/2018-07-23-candy-crush-saga-revenue-for-q2-hits-usd213m-after-18-percent-growth" TargetMode="External" Id="rId29"/><Relationship Type="http://schemas.openxmlformats.org/officeDocument/2006/relationships/hyperlink" Target="https://www.teads.tv/teads-announces-200-million-revenue/" TargetMode="External" Id="rId30"/><Relationship Type="http://schemas.openxmlformats.org/officeDocument/2006/relationships/hyperlink" Target="https://english.thesaigontimes.vn/61676/scavi-vietnam-set-to-earn-us$200-million-in-annual-revenue.html" TargetMode="External" Id="rId31"/><Relationship Type="http://schemas.openxmlformats.org/officeDocument/2006/relationships/hyperlink" Target="https://mashable.com/2013/04/03/angry-birds-2012-earnings-report/" TargetMode="External" Id="rId32"/><Relationship Type="http://schemas.openxmlformats.org/officeDocument/2006/relationships/hyperlink" Target="https://www.legalsportsreport.com/18130/nevada-sportsbooks-2017/" TargetMode="External" Id="rId33"/><Relationship Type="http://schemas.openxmlformats.org/officeDocument/2006/relationships/hyperlink" Target="https://news.crunchbase.com/news/quickly-caspers-revenue-growing/" TargetMode="External" Id="rId34"/><Relationship Type="http://schemas.openxmlformats.org/officeDocument/2006/relationships/hyperlink" Target="https://variety.com/2018/gaming/news/red-dead-redemption-2-opening-weekend-1203014421/" TargetMode="External" Id="rId35"/><Relationship Type="http://schemas.openxmlformats.org/officeDocument/2006/relationships/hyperlink" Target="https://www.reuters.com/article/us-startups-poshmark/online-fashion-marketplace-poshmark-says-its-sellers-have-made-1-billion-idUSKCN1IO2C0" TargetMode="External" Id="rId36"/><Relationship Type="http://schemas.openxmlformats.org/officeDocument/2006/relationships/hyperlink" Target="https://www.vox.com/2018/9/24/17895704/nike-colin-kaepernick-boycott-6-billion" TargetMode="External" Id="rId37"/><Relationship Type="http://schemas.openxmlformats.org/officeDocument/2006/relationships/hyperlink" Target="https://blog.stackpath.com/stackpath-passes-1-million-customer-mark-and-increases-revenue-more-than-10x" TargetMode="External" Id="rId38"/><Relationship Type="http://schemas.openxmlformats.org/officeDocument/2006/relationships/hyperlink" Target="https://www.thestreet.com/story/13253104/1/sex-was-invented-in-2012--just-ask-tinder.html" TargetMode="External" Id="rId39"/><Relationship Type="http://schemas.openxmlformats.org/officeDocument/2006/relationships/hyperlink" Target="https://www.thehindubusinessline.com/info-tech/mobiles-tablets/mobile-handset-maker-lava-targets-3000-cr-revenue-from-xolo-brand/article23123082.ece" TargetMode="External" Id="rId40"/><Relationship Type="http://schemas.openxmlformats.org/officeDocument/2006/relationships/hyperlink" Target="http://www.business-standard.com/article/companies/gionee-aims-at-1-billion-revenues-from-india-115040400433_1.html" TargetMode="External" Id="rId41"/><Relationship Type="http://schemas.openxmlformats.org/officeDocument/2006/relationships/hyperlink" Target="https://www.businessinsider.com/slack-200-million-annual-recurring-revenue-2017-9" TargetMode="External" Id="rId42"/><Relationship Type="http://schemas.openxmlformats.org/officeDocument/2006/relationships/hyperlink" Target="https://neilpatel.com/blog/dropbox-hacked-growth/" TargetMode="External" Id="rId43"/><Relationship Type="http://schemas.openxmlformats.org/officeDocument/2006/relationships/hyperlink" Target="https://en.wikipedia.org/wiki/Netflix" TargetMode="External" Id="rId44"/><Relationship Type="http://schemas.openxmlformats.org/officeDocument/2006/relationships/hyperlink" Target="http://tech.eu/news/badoo-200-million-users/" TargetMode="External" Id="rId45"/><Relationship Type="http://schemas.openxmlformats.org/officeDocument/2006/relationships/hyperlink" Target="https://corp.skillz.com/news/press-release-run-rate-200-million/" TargetMode="External" Id="rId46"/><Relationship Type="http://schemas.openxmlformats.org/officeDocument/2006/relationships/hyperlink" Target="https://techcrunch.com/2017/05/15/weworks-adam-neumann-on-how-to-hit-1b-in-revenue-with-a-careful-balance/" TargetMode="External" Id="rId47"/><Relationship Type="http://schemas.openxmlformats.org/officeDocument/2006/relationships/hyperlink" Target="https://quotes.wsj.com/HK/XHKG/1810/financials/annual/income-statement" TargetMode="External" Id="rId48"/><Relationship Type="http://schemas.openxmlformats.org/officeDocument/2006/relationships/hyperlink" Target="https://en.wikipedia.org/wiki/Xiaomi_Mi_1" TargetMode="External" Id="rId49"/><Relationship Type="http://schemas.openxmlformats.org/officeDocument/2006/relationships/hyperlink" Target="https://en.wikipedia.org/wiki/Xiaomi_Mi_1" TargetMode="External" Id="rId50"/><Relationship Type="http://schemas.openxmlformats.org/officeDocument/2006/relationships/hyperlink" Target="https://stockanalysis.com/stocks/xiacf/revenue/" TargetMode="External" Id="rId51"/><Relationship Type="http://schemas.openxmlformats.org/officeDocument/2006/relationships/hyperlink" Target="https://www.forbes.com/sites/karstenstrauss/2013/10/02/from-a-barn-to-a-200-million-enterprise-mophie/" TargetMode="External" Id="rId52"/><Relationship Type="http://schemas.openxmlformats.org/officeDocument/2006/relationships/hyperlink" Target="https://techcrunch.com/2018/11/01/fabfitfun-revenue-surpasses-200-million-as-it-hits-million-customer-milestone/" TargetMode="External" Id="rId53"/><Relationship Type="http://schemas.openxmlformats.org/officeDocument/2006/relationships/hyperlink" Target="https://www.geekwire.com/2016/redfin-revenue-kelman-approach/" TargetMode="External" Id="rId54"/><Relationship Type="http://schemas.openxmlformats.org/officeDocument/2006/relationships/hyperlink" Target="https://www.counterpointresearch.com/global-smartphone-share/" TargetMode="External" Id="rId55"/><Relationship Type="http://schemas.openxmlformats.org/officeDocument/2006/relationships/hyperlink" Target="https://www.sellcell.com/how-many-mobile-phones-are-sold-each-year/" TargetMode="External" Id="rId56"/><Relationship Type="http://schemas.openxmlformats.org/officeDocument/2006/relationships/hyperlink" Target="https://www.statista.com/topics/840/smartphones/" TargetMode="External" Id="rId57"/><Relationship Type="http://schemas.openxmlformats.org/officeDocument/2006/relationships/drawing" Target="/xl/drawings/drawing6.xml" Id="rId58"/><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36.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37.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38.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9.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sheet1.xml><?xml version="1.0" encoding="utf-8"?>
<worksheet xmlns="http://schemas.openxmlformats.org/spreadsheetml/2006/main">
  <sheetPr>
    <tabColor rgb="FFCCFFCC"/>
    <outlinePr summaryBelow="1" summaryRight="1"/>
    <pageSetUpPr/>
  </sheetPr>
  <dimension ref="B2:AJ288"/>
  <sheetViews>
    <sheetView topLeftCell="A29" zoomScale="126" zoomScaleNormal="126" workbookViewId="0">
      <selection activeCell="I44" sqref="I44"/>
    </sheetView>
  </sheetViews>
  <sheetFormatPr baseColWidth="10" defaultColWidth="8.6640625" defaultRowHeight="13"/>
  <cols>
    <col width="2.6640625" customWidth="1" style="1883" min="1" max="6"/>
    <col width="39.6640625" customWidth="1" style="1883" min="7" max="7"/>
    <col width="1.6640625" customWidth="1" style="1883" min="8" max="8"/>
    <col width="18.6640625" customWidth="1" style="1883" min="9" max="12"/>
    <col width="18.83203125" customWidth="1" style="1883" min="13" max="13"/>
    <col width="18.6640625" customWidth="1" style="1883" min="14" max="14"/>
    <col width="2.6640625" customWidth="1" style="1883" min="15" max="15"/>
    <col width="13.1640625" bestFit="1" customWidth="1" style="1883" min="19" max="19"/>
    <col width="11.6640625" bestFit="1" customWidth="1" style="1883" min="23" max="23"/>
  </cols>
  <sheetData>
    <row r="2" ht="15" customHeight="1" s="1883">
      <c r="B2" s="1882" t="inlineStr">
        <is>
          <t>PURE TECHNOLOGY INC.</t>
        </is>
      </c>
    </row>
    <row r="3" ht="4.5" customHeight="1" s="1883">
      <c r="B3" s="385" t="n"/>
      <c r="C3" s="383" t="n"/>
      <c r="D3" s="383" t="n"/>
      <c r="E3" s="383" t="n"/>
      <c r="F3" s="383" t="n"/>
      <c r="G3" s="383" t="n"/>
      <c r="H3" s="383" t="n"/>
      <c r="I3" s="383" t="n"/>
      <c r="J3" s="383" t="n"/>
      <c r="K3" s="383" t="n"/>
      <c r="L3" s="383" t="n"/>
      <c r="M3" s="383" t="n"/>
      <c r="N3" s="383" t="n"/>
    </row>
    <row r="4" ht="15" customHeight="1" s="1883">
      <c r="B4" s="1882" t="inlineStr">
        <is>
          <t>TELEPHONE - HARDWARE &amp; MARKET RESEARCH SERVICES</t>
        </is>
      </c>
    </row>
    <row r="5" ht="4.5" customHeight="1" s="1883">
      <c r="B5" s="385" t="n"/>
      <c r="C5" s="383" t="n"/>
      <c r="D5" s="383" t="n"/>
      <c r="E5" s="383" t="n"/>
      <c r="F5" s="383" t="n"/>
      <c r="G5" s="383" t="n"/>
      <c r="H5" s="383" t="n"/>
      <c r="I5" s="383" t="n"/>
      <c r="J5" s="383" t="n"/>
      <c r="K5" s="383" t="n"/>
      <c r="L5" s="383" t="n"/>
      <c r="M5" s="383" t="n"/>
      <c r="N5" s="383" t="n"/>
    </row>
    <row r="6" ht="15" customHeight="1" s="1883">
      <c r="B6" s="1882" t="inlineStr">
        <is>
          <t>PROJECTED INCOME STATEMENT</t>
        </is>
      </c>
    </row>
    <row r="7" ht="4.5" customHeight="1" s="1883">
      <c r="B7" s="385" t="n"/>
      <c r="C7" s="383" t="n"/>
      <c r="D7" s="383" t="n"/>
      <c r="E7" s="383" t="n"/>
      <c r="F7" s="383" t="n"/>
      <c r="G7" s="383" t="n"/>
      <c r="H7" s="383" t="n"/>
      <c r="I7" s="383" t="n"/>
      <c r="J7" s="383" t="n"/>
      <c r="K7" s="383" t="n"/>
      <c r="L7" s="383" t="n"/>
      <c r="M7" s="383" t="n"/>
      <c r="N7" s="383" t="n"/>
    </row>
    <row r="8" ht="15" customHeight="1" s="1883">
      <c r="B8" s="1882" t="inlineStr">
        <is>
          <t>PRE-LAUNCH (MONTHS -12 to -1) AND POST-LAUNCH (YEARS 1 - 5)</t>
        </is>
      </c>
    </row>
    <row r="9" ht="4.5" customHeight="1" s="1883">
      <c r="B9" s="386" t="n"/>
      <c r="C9" s="386" t="n"/>
      <c r="D9" s="386" t="n"/>
      <c r="E9" s="386" t="n"/>
      <c r="F9" s="386" t="n"/>
      <c r="G9" s="386" t="n"/>
      <c r="H9" s="386" t="n"/>
      <c r="I9" s="386" t="n"/>
      <c r="J9" s="386" t="n"/>
      <c r="K9" s="386" t="n"/>
      <c r="L9" s="386" t="n"/>
      <c r="M9" s="386" t="n"/>
      <c r="N9" s="386" t="n"/>
    </row>
    <row r="10" ht="15" customHeight="1" s="1883">
      <c r="B10" s="1882" t="inlineStr">
        <is>
          <t>AT August 25th, 2025</t>
        </is>
      </c>
    </row>
    <row r="11" ht="23" customFormat="1" customHeight="1" s="1839">
      <c r="B11" s="1837" t="n"/>
      <c r="C11" s="1837" t="n"/>
      <c r="D11" s="1837" t="n"/>
      <c r="E11" s="1837" t="n"/>
      <c r="F11" s="1837" t="n"/>
      <c r="G11" s="1838" t="inlineStr">
        <is>
          <t>Consolidated Financials - PT (Core Model), PI, CPG, Camera Commerce, etc</t>
        </is>
      </c>
      <c r="H11" s="1837" t="n"/>
      <c r="I11" s="1837" t="n"/>
      <c r="J11" s="1837" t="n"/>
      <c r="K11" s="1837" t="n"/>
      <c r="L11" s="1837" t="n"/>
      <c r="M11" s="1837" t="n"/>
      <c r="N11" s="1837" t="n"/>
    </row>
    <row r="12" ht="3" customHeight="1" s="1883" thickBot="1">
      <c r="B12" s="1885" t="n"/>
      <c r="C12" s="1885" t="n"/>
      <c r="D12" s="1885" t="n"/>
      <c r="E12" s="1885" t="n"/>
      <c r="F12" s="1885" t="n"/>
      <c r="G12" s="1885" t="n"/>
      <c r="H12" s="1885" t="n"/>
      <c r="I12" s="1885" t="n"/>
      <c r="J12" s="1885" t="n"/>
      <c r="K12" s="1885" t="n"/>
      <c r="L12" s="1885" t="n"/>
      <c r="M12" s="1885" t="n"/>
      <c r="N12" s="1885" t="n"/>
    </row>
    <row r="13" ht="3" customHeight="1" s="1883" thickTop="1">
      <c r="B13" s="383" t="n"/>
      <c r="C13" s="383" t="n"/>
      <c r="D13" s="383" t="n"/>
      <c r="E13" s="383" t="n"/>
      <c r="F13" s="383" t="n"/>
      <c r="G13" s="383" t="n"/>
      <c r="H13" s="383" t="n"/>
      <c r="I13" s="383" t="n"/>
      <c r="J13" s="383" t="n"/>
      <c r="K13" s="383" t="n"/>
      <c r="L13" s="383" t="n"/>
      <c r="M13" s="383" t="n"/>
      <c r="N13" s="383" t="n"/>
    </row>
    <row r="14" ht="15" customHeight="1" s="1883">
      <c r="B14" s="383" t="n"/>
      <c r="C14" s="383" t="n"/>
      <c r="D14" s="383" t="n"/>
      <c r="E14" s="383" t="n"/>
      <c r="F14" s="383" t="n"/>
      <c r="G14" s="383" t="n"/>
      <c r="H14" s="383" t="n"/>
      <c r="I14" s="383" t="n"/>
      <c r="J14" s="383" t="n"/>
      <c r="K14" s="383" t="n"/>
      <c r="L14" s="383" t="n"/>
      <c r="M14" s="383" t="n"/>
      <c r="N14" s="383" t="n"/>
    </row>
    <row r="15" ht="15" customHeight="1" s="1883">
      <c r="B15" s="383" t="n"/>
      <c r="C15" s="383" t="n"/>
      <c r="D15" s="383" t="n"/>
      <c r="E15" s="383" t="n"/>
      <c r="F15" s="383" t="n"/>
      <c r="G15" s="383" t="n"/>
      <c r="H15" s="383" t="n"/>
      <c r="I15" s="386" t="inlineStr">
        <is>
          <t>Pre-Launch</t>
        </is>
      </c>
      <c r="J15" s="1882" t="inlineStr">
        <is>
          <t>Post-Launch</t>
        </is>
      </c>
    </row>
    <row r="16" ht="3" customHeight="1" s="1883">
      <c r="I16" s="628" t="n"/>
      <c r="J16" s="628" t="n"/>
      <c r="K16" s="628" t="n"/>
      <c r="L16" s="628" t="n"/>
      <c r="M16" s="628" t="n"/>
      <c r="N16" s="628" t="n"/>
    </row>
    <row r="17" ht="3" customHeight="1" s="1883"/>
    <row r="18" ht="15" customHeight="1" s="1883">
      <c r="B18" s="383" t="n"/>
      <c r="C18" s="383" t="n"/>
      <c r="D18" s="383" t="n"/>
      <c r="E18" s="383" t="n"/>
      <c r="F18" s="383" t="n"/>
      <c r="G18" s="383" t="n"/>
      <c r="H18" s="383" t="n"/>
      <c r="I18" s="386" t="inlineStr">
        <is>
          <t>Year 0</t>
        </is>
      </c>
      <c r="J18" s="386" t="inlineStr">
        <is>
          <t>Year 1</t>
        </is>
      </c>
      <c r="K18" s="386" t="inlineStr">
        <is>
          <t>Year 2</t>
        </is>
      </c>
      <c r="L18" s="386" t="inlineStr">
        <is>
          <t>Year 3</t>
        </is>
      </c>
      <c r="M18" s="386" t="inlineStr">
        <is>
          <t>Year 4</t>
        </is>
      </c>
      <c r="N18" s="386" t="inlineStr">
        <is>
          <t>Year 5</t>
        </is>
      </c>
    </row>
    <row r="19" ht="15" customHeight="1" s="1883">
      <c r="B19" s="383" t="n"/>
      <c r="C19" s="383" t="n"/>
      <c r="D19" s="383" t="n"/>
      <c r="E19" s="383" t="n"/>
      <c r="F19" s="383" t="n"/>
      <c r="G19" s="383" t="n"/>
      <c r="H19" s="383" t="n"/>
      <c r="I19" s="386" t="inlineStr">
        <is>
          <t>Months -12 to -1</t>
        </is>
      </c>
      <c r="J19" s="386" t="inlineStr">
        <is>
          <t>Months 1 - 12</t>
        </is>
      </c>
      <c r="K19" s="386" t="inlineStr">
        <is>
          <t>Months 13 - 24</t>
        </is>
      </c>
      <c r="L19" s="386" t="inlineStr">
        <is>
          <t>Months 25 - 36</t>
        </is>
      </c>
      <c r="M19" s="386" t="inlineStr">
        <is>
          <t>Months 37 - 48</t>
        </is>
      </c>
      <c r="N19" s="386" t="inlineStr">
        <is>
          <t>Months 49 - 60</t>
        </is>
      </c>
    </row>
    <row r="20" ht="3" customHeight="1" s="1883">
      <c r="B20" s="383" t="n"/>
      <c r="C20" s="383" t="n"/>
      <c r="D20" s="383" t="n"/>
      <c r="E20" s="383" t="n"/>
      <c r="F20" s="383" t="n"/>
      <c r="G20" s="383" t="n"/>
      <c r="H20" s="383" t="n"/>
      <c r="I20" s="387" t="n"/>
      <c r="J20" s="387" t="n"/>
      <c r="K20" s="387" t="n"/>
      <c r="L20" s="387" t="n"/>
      <c r="M20" s="387" t="n"/>
      <c r="N20" s="387" t="n"/>
    </row>
    <row r="21" ht="3" customHeight="1" s="1883">
      <c r="B21" s="383" t="n"/>
      <c r="C21" s="383" t="n"/>
      <c r="D21" s="383" t="n"/>
      <c r="E21" s="383" t="n"/>
      <c r="F21" s="383" t="n"/>
      <c r="G21" s="383" t="n"/>
      <c r="H21" s="383" t="n"/>
      <c r="I21" s="383" t="n"/>
      <c r="J21" s="383" t="n"/>
      <c r="K21" s="383" t="n"/>
      <c r="L21" s="383" t="n"/>
      <c r="M21" s="383" t="n"/>
      <c r="N21" s="383" t="n"/>
    </row>
    <row r="22" ht="3" customHeight="1" s="1883">
      <c r="B22" s="383" t="n"/>
      <c r="C22" s="383" t="n"/>
      <c r="D22" s="383" t="n"/>
      <c r="E22" s="383" t="n"/>
      <c r="F22" s="383" t="n"/>
      <c r="G22" s="383" t="n"/>
      <c r="H22" s="383" t="n"/>
      <c r="I22" s="383" t="n"/>
      <c r="J22" s="383" t="n"/>
      <c r="K22" s="383" t="n"/>
      <c r="L22" s="383" t="n"/>
      <c r="M22" s="383" t="n"/>
      <c r="N22" s="383" t="n"/>
    </row>
    <row r="23" ht="15" customHeight="1" s="1883">
      <c r="B23" s="385" t="inlineStr">
        <is>
          <t>MOBILE TELEPHONES DEPLOYED</t>
        </is>
      </c>
      <c r="C23" s="383" t="n"/>
      <c r="D23" s="383" t="n"/>
      <c r="E23" s="383" t="n"/>
      <c r="F23" s="383" t="n"/>
      <c r="G23" s="383" t="n"/>
      <c r="H23" s="383" t="n"/>
      <c r="I23" s="383" t="n"/>
      <c r="J23" s="383" t="n"/>
      <c r="K23" s="383" t="n"/>
      <c r="L23" s="383" t="n"/>
      <c r="M23" s="383" t="n"/>
      <c r="N23" s="383" t="n"/>
    </row>
    <row r="24" ht="3" customHeight="1" s="1883">
      <c r="B24" s="387" t="n"/>
      <c r="C24" s="387" t="n"/>
      <c r="D24" s="387" t="n"/>
      <c r="E24" s="387" t="n"/>
      <c r="F24" s="387" t="n"/>
      <c r="G24" s="387" t="n"/>
      <c r="H24" s="383" t="n"/>
      <c r="I24" s="383" t="n"/>
      <c r="J24" s="383" t="n"/>
      <c r="K24" s="383" t="n"/>
      <c r="L24" s="383" t="n"/>
      <c r="M24" s="383" t="n"/>
      <c r="N24" s="383" t="n"/>
    </row>
    <row r="25" ht="3" customHeight="1" s="1883">
      <c r="B25" s="383" t="n"/>
      <c r="C25" s="383" t="n"/>
      <c r="D25" s="383" t="n"/>
      <c r="E25" s="383" t="n"/>
      <c r="F25" s="383" t="n"/>
      <c r="G25" s="383" t="n"/>
      <c r="H25" s="383" t="n"/>
      <c r="I25" s="383" t="n"/>
      <c r="J25" s="383" t="n"/>
      <c r="K25" s="383" t="n"/>
      <c r="L25" s="383" t="n"/>
      <c r="M25" s="383" t="n"/>
      <c r="N25" s="383" t="n"/>
    </row>
    <row r="26" ht="15" customHeight="1" s="1883">
      <c r="B26" s="390" t="inlineStr">
        <is>
          <t>●</t>
        </is>
      </c>
      <c r="C26" s="385" t="inlineStr">
        <is>
          <t>Full-Year Average</t>
        </is>
      </c>
      <c r="D26" s="385" t="n"/>
      <c r="E26" s="383" t="n"/>
      <c r="F26" s="383" t="n"/>
      <c r="G26" s="383" t="n"/>
      <c r="H26" s="383" t="n"/>
      <c r="I26" s="1445" t="inlineStr">
        <is>
          <t xml:space="preserve"> - -</t>
        </is>
      </c>
      <c r="J26" s="447">
        <f>'3C. Tel. - Revenue Drivers - 1 '!V79</f>
        <v/>
      </c>
      <c r="K26" s="447">
        <f>'3C. Tel. - Revenue Drivers - 1 '!V97</f>
        <v/>
      </c>
      <c r="L26" s="447">
        <f>'3C. Tel. - Revenue Drivers - 1 '!V115</f>
        <v/>
      </c>
      <c r="M26" s="447">
        <f>'3C. Tel. - Revenue Drivers - 1 '!V133</f>
        <v/>
      </c>
      <c r="N26" s="447">
        <f>'3C. Tel. - Revenue Drivers - 1 '!V151</f>
        <v/>
      </c>
    </row>
    <row r="27" ht="15" customHeight="1" s="1883">
      <c r="B27" s="390" t="inlineStr">
        <is>
          <t>●</t>
        </is>
      </c>
      <c r="C27" s="385" t="inlineStr">
        <is>
          <t>End of Year</t>
        </is>
      </c>
      <c r="D27" s="385" t="n"/>
      <c r="E27" s="383" t="n"/>
      <c r="F27" s="383" t="n"/>
      <c r="G27" s="383" t="n"/>
      <c r="H27" s="383" t="n"/>
      <c r="I27" s="1445" t="inlineStr">
        <is>
          <t xml:space="preserve"> - -</t>
        </is>
      </c>
      <c r="J27" s="447">
        <f>'3C. Tel. - Revenue Drivers - 1 '!V75</f>
        <v/>
      </c>
      <c r="K27" s="447">
        <f>'3C. Tel. - Revenue Drivers - 1 '!V93</f>
        <v/>
      </c>
      <c r="L27" s="447">
        <f>'3C. Tel. - Revenue Drivers - 1 '!V111</f>
        <v/>
      </c>
      <c r="M27" s="447">
        <f>'3C. Tel. - Revenue Drivers - 1 '!V129</f>
        <v/>
      </c>
      <c r="N27" s="447">
        <f>'3C. Tel. - Revenue Drivers - 1 '!V147</f>
        <v/>
      </c>
    </row>
    <row r="28" ht="15" customHeight="1" s="1883">
      <c r="B28" s="383" t="n"/>
      <c r="C28" s="383" t="n"/>
      <c r="D28" s="383" t="n"/>
      <c r="E28" s="383" t="n"/>
      <c r="F28" s="383" t="n"/>
      <c r="G28" s="383" t="n"/>
      <c r="H28" s="383" t="n"/>
      <c r="I28" s="383" t="n"/>
      <c r="J28" s="393" t="n"/>
      <c r="K28" s="393" t="n"/>
      <c r="L28" s="383" t="n"/>
      <c r="M28" s="383" t="n"/>
      <c r="N28" s="383" t="n"/>
    </row>
    <row r="29" ht="15" customHeight="1" s="1883">
      <c r="B29" s="385" t="inlineStr">
        <is>
          <t>REVENUE</t>
        </is>
      </c>
      <c r="C29" s="383" t="n"/>
      <c r="D29" s="383" t="n"/>
      <c r="E29" s="383" t="n"/>
      <c r="F29" s="383" t="n"/>
      <c r="G29" s="383" t="n"/>
      <c r="H29" s="383" t="n"/>
      <c r="I29" s="383" t="n"/>
      <c r="J29" s="383" t="n"/>
      <c r="K29" s="383" t="n"/>
      <c r="L29" s="383" t="n"/>
      <c r="M29" s="383" t="n"/>
      <c r="N29" s="383" t="n"/>
    </row>
    <row r="30" ht="15" customHeight="1" s="1883">
      <c r="B30" s="392" t="n"/>
      <c r="C30" s="387" t="n"/>
      <c r="D30" s="387" t="n"/>
      <c r="E30" s="387" t="n"/>
      <c r="F30" s="387" t="n"/>
      <c r="G30" s="387" t="n"/>
      <c r="H30" s="383" t="n"/>
      <c r="I30" s="383" t="n"/>
      <c r="J30" s="383" t="n"/>
      <c r="K30" s="383" t="n"/>
      <c r="L30" s="383" t="n"/>
      <c r="M30" s="383" t="n"/>
      <c r="N30" s="383" t="n"/>
    </row>
    <row r="31" ht="13" customHeight="1" s="1883">
      <c r="B31" s="390" t="inlineStr">
        <is>
          <t>●</t>
        </is>
      </c>
      <c r="C31" s="383" t="inlineStr">
        <is>
          <t>Hardware Subsidies*</t>
        </is>
      </c>
      <c r="D31" s="383" t="n"/>
      <c r="E31" s="383" t="n"/>
      <c r="F31" s="383" t="n"/>
      <c r="G31" s="383" t="n"/>
      <c r="H31" s="383" t="n"/>
      <c r="I31" s="462">
        <f>'2A. Cash Forecast'!V25+'2A. Cash Forecast'!S29</f>
        <v/>
      </c>
      <c r="J31" s="462">
        <f>'3B. Tel. - Rev. Detail x Month'!W55</f>
        <v/>
      </c>
      <c r="K31" s="462">
        <f>'3B. Tel. - Rev. Detail x Month'!W93</f>
        <v/>
      </c>
      <c r="L31" s="1999">
        <f>'3B. Tel. - Rev. Detail x Month'!W131</f>
        <v/>
      </c>
      <c r="M31" s="1999">
        <f>'3B. Tel. - Rev. Detail x Month'!W169</f>
        <v/>
      </c>
      <c r="N31" s="1999">
        <f>'3B. Tel. - Rev. Detail x Month'!W207</f>
        <v/>
      </c>
    </row>
    <row r="32" ht="13" customHeight="1" s="1883">
      <c r="B32" s="390" t="inlineStr">
        <is>
          <t>●</t>
        </is>
      </c>
      <c r="C32" s="383" t="inlineStr">
        <is>
          <t>Total Revenue, Market Research Services / Core Model</t>
        </is>
      </c>
      <c r="D32" s="383" t="n"/>
      <c r="E32" s="383" t="n"/>
      <c r="F32" s="383" t="n"/>
      <c r="G32" s="383" t="n"/>
      <c r="H32" s="383" t="n"/>
      <c r="I32" s="462" t="n">
        <v>0</v>
      </c>
      <c r="J32" s="462">
        <f>'3B. Tel. - Rev. Detail x Month'!W296</f>
        <v/>
      </c>
      <c r="K32" s="462">
        <f>'3B. Tel. - Rev. Detail x Month'!W328</f>
        <v/>
      </c>
      <c r="L32" s="462">
        <f>'3B. Tel. - Rev. Detail x Month'!W360</f>
        <v/>
      </c>
      <c r="M32" s="462">
        <f>'3B. Tel. - Rev. Detail x Month'!W392</f>
        <v/>
      </c>
      <c r="N32" s="462">
        <f>'3B. Tel. - Rev. Detail x Month'!W424</f>
        <v/>
      </c>
    </row>
    <row r="33" ht="15" customHeight="1" s="1883">
      <c r="B33" s="390" t="inlineStr">
        <is>
          <t>●</t>
        </is>
      </c>
      <c r="C33" s="383" t="inlineStr">
        <is>
          <t>Total Revenue, Pure Influence</t>
        </is>
      </c>
      <c r="D33" s="383" t="n"/>
      <c r="E33" s="383" t="n"/>
      <c r="F33" s="383" t="n"/>
      <c r="G33" s="383" t="n"/>
      <c r="H33" s="383" t="n"/>
      <c r="I33" s="462">
        <f>'2A. Cash Forecast'!V27</f>
        <v/>
      </c>
      <c r="J33" s="462">
        <f>'2A. Cash Forecast'!AK27</f>
        <v/>
      </c>
      <c r="K33" s="462">
        <f>'2A. Cash Forecast'!AZ27</f>
        <v/>
      </c>
      <c r="L33" s="462">
        <f>'2A. Cash Forecast'!BO27</f>
        <v/>
      </c>
      <c r="M33" s="462">
        <f>'2A. Cash Forecast'!CD27</f>
        <v/>
      </c>
      <c r="N33" s="462">
        <f>'2A. Cash Forecast'!CS27</f>
        <v/>
      </c>
      <c r="P33" s="1917" t="n"/>
    </row>
    <row r="34" ht="15" customHeight="1" s="1883">
      <c r="B34" s="390" t="inlineStr">
        <is>
          <t>●</t>
        </is>
      </c>
      <c r="C34" s="383" t="inlineStr">
        <is>
          <t>Total Revenue, CPG Model</t>
        </is>
      </c>
      <c r="D34" s="383" t="n"/>
      <c r="E34" s="383" t="n"/>
      <c r="F34" s="383" t="n"/>
      <c r="G34" s="383" t="n"/>
      <c r="H34" s="383" t="n"/>
      <c r="I34" s="462">
        <f>'2A. Cash Forecast'!V30</f>
        <v/>
      </c>
      <c r="J34" s="462">
        <f>'2A. Cash Forecast'!AK30</f>
        <v/>
      </c>
      <c r="K34" s="462">
        <f>'2A. Cash Forecast'!AZ30</f>
        <v/>
      </c>
      <c r="L34" s="462">
        <f>'2A. Cash Forecast'!BO30</f>
        <v/>
      </c>
      <c r="M34" s="462">
        <f>'2A. Cash Forecast'!CD30</f>
        <v/>
      </c>
      <c r="N34" s="462">
        <f>'2A. Cash Forecast'!CS30</f>
        <v/>
      </c>
      <c r="P34" s="1917" t="n"/>
    </row>
    <row r="35" ht="15" customHeight="1" s="1883">
      <c r="B35" s="390" t="inlineStr">
        <is>
          <t>●</t>
        </is>
      </c>
      <c r="C35" s="383" t="inlineStr">
        <is>
          <t>Total Revenue, Camera Commerce</t>
        </is>
      </c>
      <c r="D35" s="383" t="n"/>
      <c r="E35" s="383" t="n"/>
      <c r="F35" s="383" t="n"/>
      <c r="G35" s="383" t="n"/>
      <c r="H35" s="383" t="n"/>
      <c r="I35" s="462">
        <f>'2A. Cash Forecast'!V31</f>
        <v/>
      </c>
      <c r="J35" s="462">
        <f>'2A. Cash Forecast'!AK31</f>
        <v/>
      </c>
      <c r="K35" s="462">
        <f>'2A. Cash Forecast'!AZ31</f>
        <v/>
      </c>
      <c r="L35" s="462">
        <f>'2A. Cash Forecast'!BO31</f>
        <v/>
      </c>
      <c r="M35" s="462">
        <f>'2A. Cash Forecast'!CD31</f>
        <v/>
      </c>
      <c r="N35" s="462">
        <f>'2A. Cash Forecast'!CS31</f>
        <v/>
      </c>
      <c r="P35" s="1917" t="n"/>
    </row>
    <row r="36" ht="15" customHeight="1" s="1883">
      <c r="B36" s="390" t="inlineStr">
        <is>
          <t>●</t>
        </is>
      </c>
      <c r="C36" s="383" t="inlineStr">
        <is>
          <t>Total Revenue, Pure Research</t>
        </is>
      </c>
      <c r="D36" s="383" t="n"/>
      <c r="E36" s="383" t="n"/>
      <c r="F36" s="383" t="n"/>
      <c r="G36" s="383" t="n"/>
      <c r="H36" s="383" t="n"/>
      <c r="I36" s="462">
        <f>'2A. Cash Forecast'!V28</f>
        <v/>
      </c>
      <c r="J36" s="462">
        <f>'8. Pure Research - 1 of 2'!N36</f>
        <v/>
      </c>
      <c r="K36" s="462">
        <f>'8. Pure Research - 1 of 2'!S36</f>
        <v/>
      </c>
      <c r="L36" s="462">
        <f>'8. Pure Research - 1 of 2'!X36</f>
        <v/>
      </c>
      <c r="M36" s="462">
        <f>'8. Pure Research - 1 of 2'!AC36</f>
        <v/>
      </c>
      <c r="N36" s="462">
        <f>'8. Pure Research - 1 of 2'!AH36</f>
        <v/>
      </c>
    </row>
    <row r="37" ht="14" customHeight="1" s="1883">
      <c r="B37" s="1863" t="inlineStr">
        <is>
          <t>●</t>
        </is>
      </c>
      <c r="C37" s="1863" t="inlineStr">
        <is>
          <t>Total Revenue, PureBrain</t>
        </is>
      </c>
      <c r="I37" s="1864">
        <f>+'11. PureBrain'!I22</f>
        <v/>
      </c>
      <c r="J37" s="1864">
        <f>+'11. PureBrain'!J22</f>
        <v/>
      </c>
      <c r="K37" s="1864">
        <f>+'11. PureBrain'!K22</f>
        <v/>
      </c>
      <c r="L37" s="1864">
        <f>+'11. PureBrain'!L22</f>
        <v/>
      </c>
      <c r="M37" s="1864">
        <f>+'11. PureBrain'!M22</f>
        <v/>
      </c>
      <c r="N37" s="1864">
        <f>+'11. PureBrain'!N22</f>
        <v/>
      </c>
    </row>
    <row r="38" ht="14" customHeight="1" s="1883">
      <c r="B38" s="383" t="n"/>
      <c r="C38" s="383" t="n"/>
      <c r="D38" s="383" t="n"/>
      <c r="E38" s="383" t="n"/>
      <c r="F38" s="383" t="n"/>
      <c r="G38" s="383" t="n"/>
      <c r="H38" s="383" t="n"/>
      <c r="I38" s="508" t="n"/>
      <c r="J38" s="508" t="n"/>
      <c r="K38" s="508" t="n"/>
      <c r="L38" s="508" t="n"/>
      <c r="M38" s="508" t="n"/>
      <c r="N38" s="508" t="n"/>
    </row>
    <row r="39" ht="17" customHeight="1" s="1883">
      <c r="B39" s="383" t="n"/>
      <c r="C39" s="383" t="n"/>
      <c r="D39" s="383" t="n"/>
      <c r="E39" s="383" t="n"/>
      <c r="F39" s="383" t="n"/>
      <c r="G39" s="383" t="n"/>
      <c r="H39" s="383" t="n"/>
      <c r="I39" s="462" t="n"/>
      <c r="J39" s="462" t="n"/>
      <c r="K39" s="462" t="n"/>
      <c r="L39" s="462" t="n"/>
      <c r="M39" s="462" t="n"/>
      <c r="N39" s="462" t="n"/>
    </row>
    <row r="40" ht="15" customHeight="1" s="1883">
      <c r="B40" s="383" t="n"/>
      <c r="D40" s="385" t="inlineStr">
        <is>
          <t>TOTAL REVENUE</t>
        </is>
      </c>
      <c r="E40" s="383" t="n"/>
      <c r="F40" s="383" t="n"/>
      <c r="G40" s="383" t="n"/>
      <c r="H40" s="383" t="n"/>
      <c r="I40" s="396">
        <f>SUM(I31:I37)</f>
        <v/>
      </c>
      <c r="J40" s="396">
        <f>SUM(J31:J37)</f>
        <v/>
      </c>
      <c r="K40" s="396">
        <f>SUM(K31:K37)</f>
        <v/>
      </c>
      <c r="L40" s="396">
        <f>SUM(L31:L37)</f>
        <v/>
      </c>
      <c r="M40" s="396">
        <f>SUM(M31:M37)</f>
        <v/>
      </c>
      <c r="N40" s="396">
        <f>SUM(N31:N37)</f>
        <v/>
      </c>
    </row>
    <row r="41" ht="17" customHeight="1" s="1883">
      <c r="B41" s="383" t="n"/>
      <c r="D41" s="385" t="n"/>
      <c r="E41" s="383" t="n"/>
      <c r="F41" s="383" t="n"/>
      <c r="G41" s="383" t="n"/>
      <c r="H41" s="383" t="n"/>
      <c r="I41" s="396" t="n"/>
      <c r="J41" s="396" t="n"/>
      <c r="K41" s="396" t="n"/>
      <c r="L41" s="396" t="n"/>
      <c r="M41" s="396" t="n"/>
      <c r="N41" s="396" t="n"/>
    </row>
    <row r="42" ht="17" customHeight="1" s="1883">
      <c r="B42" s="385" t="inlineStr">
        <is>
          <t>COST OF GOODS SOLD</t>
        </is>
      </c>
      <c r="I42" s="1884" t="n"/>
      <c r="J42" s="1884" t="n"/>
      <c r="K42" s="1884" t="n"/>
      <c r="L42" s="1884" t="n"/>
      <c r="M42" s="1884" t="n"/>
      <c r="N42" s="1884" t="n"/>
    </row>
    <row r="43" ht="15" customHeight="1" s="1883">
      <c r="B43" s="390" t="inlineStr">
        <is>
          <t>●</t>
        </is>
      </c>
      <c r="C43" s="383" t="inlineStr">
        <is>
          <t>Hardware COGS</t>
        </is>
      </c>
      <c r="I43" s="2000">
        <f>'6A. Pre-Launch Exps. - Roll-Up'!X41+'2A. Cash Forecast'!T49</f>
        <v/>
      </c>
      <c r="J43" s="395">
        <f>'3B. Tel. - Rev. Detail x Month'!W62+'3B. Tel. - Rev. Detail x Month'!W75</f>
        <v/>
      </c>
      <c r="K43" s="395">
        <f>'3B. Tel. - Rev. Detail x Month'!W100+'3B. Tel. - Rev. Detail x Month'!W109+'3B. Tel. - Rev. Detail x Month'!W113</f>
        <v/>
      </c>
      <c r="L43" s="395">
        <f>'3B. Tel. - Rev. Detail x Month'!W138+'3B. Tel. - Rev. Detail x Month'!W147+'3B. Tel. - Rev. Detail x Month'!W151</f>
        <v/>
      </c>
      <c r="M43" s="395">
        <f>'3B. Tel. - Rev. Detail x Month'!W176+'3B. Tel. - Rev. Detail x Month'!W185+'3B. Tel. - Rev. Detail x Month'!W189</f>
        <v/>
      </c>
      <c r="N43" s="395">
        <f>'3B. Tel. - Rev. Detail x Month'!W214+'3B. Tel. - Rev. Detail x Month'!W223+'3B. Tel. - Rev. Detail x Month'!W227</f>
        <v/>
      </c>
    </row>
    <row r="44" ht="15" customHeight="1" s="1883">
      <c r="B44" s="1863" t="inlineStr">
        <is>
          <t>●</t>
        </is>
      </c>
      <c r="C44" s="1863" t="inlineStr">
        <is>
          <t>PureBrain COGS</t>
        </is>
      </c>
      <c r="I44" s="1864">
        <f>+'11. PureBrain'!I27</f>
        <v/>
      </c>
      <c r="J44" s="1864">
        <f>+'11. PureBrain'!J27</f>
        <v/>
      </c>
      <c r="K44" s="1864">
        <f>+'11. PureBrain'!K27</f>
        <v/>
      </c>
      <c r="L44" s="1864">
        <f>+'11. PureBrain'!L27</f>
        <v/>
      </c>
      <c r="M44" s="1864">
        <f>+'11. PureBrain'!M27</f>
        <v/>
      </c>
      <c r="N44" s="1864">
        <f>+'11. PureBrain'!N27</f>
        <v/>
      </c>
    </row>
    <row r="45" ht="15" customHeight="1" s="1883">
      <c r="B45" s="390" t="n"/>
      <c r="C45" s="385" t="inlineStr">
        <is>
          <t>COGS</t>
        </is>
      </c>
      <c r="I45" s="2001">
        <f>I43+I44</f>
        <v/>
      </c>
      <c r="J45" s="2001">
        <f>J43+J44</f>
        <v/>
      </c>
      <c r="K45" s="2001">
        <f>K43+K44</f>
        <v/>
      </c>
      <c r="L45" s="2001">
        <f>L43+L44</f>
        <v/>
      </c>
      <c r="M45" s="2001">
        <f>M43+M44</f>
        <v/>
      </c>
      <c r="N45" s="2001">
        <f>N43+N44</f>
        <v/>
      </c>
    </row>
    <row r="46" ht="15" customHeight="1" s="1883">
      <c r="B46" s="390" t="n"/>
      <c r="C46" s="383" t="n"/>
      <c r="I46" s="628" t="n"/>
      <c r="J46" s="495" t="n"/>
      <c r="K46" s="495" t="n"/>
      <c r="L46" s="495" t="n"/>
      <c r="M46" s="495" t="n"/>
      <c r="N46" s="495" t="n"/>
    </row>
    <row r="47" ht="15" customHeight="1" s="1883">
      <c r="B47" s="385" t="inlineStr">
        <is>
          <t>NET OPERATING MARGIN</t>
        </is>
      </c>
      <c r="C47" s="383" t="n"/>
      <c r="I47" s="396">
        <f>I39-I43</f>
        <v/>
      </c>
      <c r="J47" s="396">
        <f>J39-J43</f>
        <v/>
      </c>
      <c r="K47" s="396">
        <f>K39-K43</f>
        <v/>
      </c>
      <c r="L47" s="396">
        <f>L39-L43</f>
        <v/>
      </c>
      <c r="M47" s="396">
        <f>M39-M43</f>
        <v/>
      </c>
      <c r="N47" s="396">
        <f>N39-N43</f>
        <v/>
      </c>
      <c r="P47" s="1884" t="n"/>
    </row>
    <row r="48" ht="3" customHeight="1" s="1883">
      <c r="B48" s="385" t="n"/>
      <c r="C48" s="383" t="n"/>
      <c r="I48" s="1454" t="n"/>
      <c r="J48" s="1454" t="n"/>
      <c r="K48" s="1454" t="n"/>
      <c r="L48" s="1454" t="n"/>
      <c r="M48" s="1454" t="n"/>
      <c r="N48" s="1454" t="n"/>
    </row>
    <row r="49" ht="3" customHeight="1" s="1883">
      <c r="B49" s="385" t="inlineStr">
        <is>
          <t>OPERATING EXPENSES</t>
        </is>
      </c>
      <c r="C49" s="383" t="n"/>
      <c r="D49" s="383" t="n"/>
      <c r="E49" s="383" t="n"/>
      <c r="F49" s="383" t="n"/>
      <c r="G49" s="383" t="n"/>
      <c r="H49" s="383" t="n"/>
      <c r="I49" s="462" t="n"/>
      <c r="J49" s="462" t="n"/>
      <c r="K49" s="462" t="n"/>
      <c r="L49" s="462" t="n"/>
      <c r="M49" s="462" t="n"/>
      <c r="N49" s="462" t="n"/>
      <c r="P49" s="1865" t="inlineStr">
        <is>
          <t xml:space="preserve"> % of Total Revenue</t>
        </is>
      </c>
    </row>
    <row r="50" ht="15" customHeight="1" s="1883">
      <c r="B50" s="387" t="n"/>
      <c r="C50" s="387" t="n"/>
      <c r="D50" s="387" t="n"/>
      <c r="E50" s="387" t="n"/>
      <c r="F50" s="387" t="n"/>
      <c r="G50" s="387" t="n"/>
      <c r="H50" s="383" t="n"/>
      <c r="I50" s="462" t="n"/>
      <c r="J50" s="462" t="n"/>
      <c r="K50" s="462" t="n"/>
      <c r="L50" s="462" t="n"/>
      <c r="M50" s="462" t="n"/>
      <c r="N50" s="462" t="n"/>
    </row>
    <row r="51" ht="15" customHeight="1" s="1883">
      <c r="B51" s="383" t="n"/>
      <c r="C51" s="383" t="n"/>
      <c r="D51" s="383" t="n"/>
      <c r="E51" s="383" t="n"/>
      <c r="F51" s="383" t="n"/>
      <c r="G51" s="383" t="n"/>
      <c r="H51" s="383" t="n"/>
      <c r="I51" s="462" t="n"/>
      <c r="J51" s="462" t="n"/>
      <c r="K51" s="462" t="n"/>
      <c r="L51" s="462" t="n"/>
      <c r="M51" s="462" t="n"/>
      <c r="N51" s="462" t="n"/>
    </row>
    <row r="52" ht="15" customHeight="1" s="1883">
      <c r="B52" s="390" t="inlineStr">
        <is>
          <t>●</t>
        </is>
      </c>
      <c r="C52" s="383" t="inlineStr">
        <is>
          <t>People Cost (Salaries, ER Taxes, Benefits)</t>
        </is>
      </c>
      <c r="D52" s="383" t="n"/>
      <c r="E52" s="383" t="n"/>
      <c r="F52" s="383" t="n"/>
      <c r="G52" s="383" t="n"/>
      <c r="H52" s="383" t="n"/>
      <c r="I52" s="462">
        <f>'6A. Pre-Launch Exps. - Roll-Up'!X35</f>
        <v/>
      </c>
      <c r="J52" s="395">
        <f>'4A. Tel. - Exps. &amp; OI x Month'!AA41</f>
        <v/>
      </c>
      <c r="K52" s="395">
        <f>'4A. Tel. - Exps. &amp; OI x Month'!Y133</f>
        <v/>
      </c>
      <c r="L52" s="395">
        <f>'4A. Tel. - Exps. &amp; OI x Month'!Y225</f>
        <v/>
      </c>
      <c r="M52" s="395">
        <f>'4A. Tel. - Exps. &amp; OI x Month'!Y317</f>
        <v/>
      </c>
      <c r="N52" s="395">
        <f>'4A. Tel. - Exps. &amp; OI x Month'!Y409</f>
        <v/>
      </c>
      <c r="P52" s="2002">
        <f>J52/J40</f>
        <v/>
      </c>
      <c r="Q52" s="2002">
        <f>K52/K40</f>
        <v/>
      </c>
      <c r="R52" s="2002">
        <f>L52/L40</f>
        <v/>
      </c>
      <c r="S52" s="2002">
        <f>M52/M40</f>
        <v/>
      </c>
      <c r="T52" s="2002">
        <f>N52/N40</f>
        <v/>
      </c>
    </row>
    <row r="53" ht="15" customHeight="1" s="1883">
      <c r="B53" s="390" t="inlineStr">
        <is>
          <t>●</t>
        </is>
      </c>
      <c r="C53" s="383" t="inlineStr">
        <is>
          <t>Research and Development</t>
        </is>
      </c>
      <c r="D53" s="383" t="n"/>
      <c r="E53" s="383" t="n"/>
      <c r="F53" s="383" t="n"/>
      <c r="G53" s="383" t="n"/>
      <c r="H53" s="383" t="n"/>
      <c r="I53" s="462">
        <f>'6A. Pre-Launch Exps. - Roll-Up'!X39</f>
        <v/>
      </c>
      <c r="J53" s="462">
        <f>'4A. Tel. - Exps. &amp; OI x Month'!Y45</f>
        <v/>
      </c>
      <c r="K53" s="462">
        <f>'4A. Tel. - Exps. &amp; OI x Month'!Y137</f>
        <v/>
      </c>
      <c r="L53" s="462">
        <f>'4A. Tel. - Exps. &amp; OI x Month'!Y229</f>
        <v/>
      </c>
      <c r="M53" s="462">
        <f>'4A. Tel. - Exps. &amp; OI x Month'!Y321</f>
        <v/>
      </c>
      <c r="N53" s="462">
        <f>'4A. Tel. - Exps. &amp; OI x Month'!Y413</f>
        <v/>
      </c>
      <c r="P53" s="2002">
        <f>J53/J$40</f>
        <v/>
      </c>
      <c r="Q53" s="2002">
        <f>K53/K$40</f>
        <v/>
      </c>
      <c r="R53" s="2002">
        <f>L53/L$40</f>
        <v/>
      </c>
      <c r="S53" s="2002">
        <f>M53/M$40</f>
        <v/>
      </c>
      <c r="T53" s="2002">
        <f>N53/N$40</f>
        <v/>
      </c>
    </row>
    <row r="54" ht="15" customHeight="1" s="1883">
      <c r="B54" s="390" t="inlineStr">
        <is>
          <t>●</t>
        </is>
      </c>
      <c r="C54" s="383" t="inlineStr">
        <is>
          <t>Sales and Marketing</t>
        </is>
      </c>
      <c r="D54" s="383" t="n"/>
      <c r="E54" s="383" t="n"/>
      <c r="F54" s="383" t="n"/>
      <c r="G54" s="383" t="n"/>
      <c r="H54" s="383" t="n"/>
      <c r="I54" s="462">
        <f>'6A. Pre-Launch Exps. - Roll-Up'!X53</f>
        <v/>
      </c>
      <c r="J54" s="462">
        <f>'4A. Tel. - Exps. &amp; OI x Month'!Y54</f>
        <v/>
      </c>
      <c r="K54" s="462">
        <f>'4A. Tel. - Exps. &amp; OI x Month'!Y146</f>
        <v/>
      </c>
      <c r="L54" s="462">
        <f>'4A. Tel. - Exps. &amp; OI x Month'!Y238</f>
        <v/>
      </c>
      <c r="M54" s="462">
        <f>'4A. Tel. - Exps. &amp; OI x Month'!Y330</f>
        <v/>
      </c>
      <c r="N54" s="462">
        <f>'4A. Tel. - Exps. &amp; OI x Month'!Y422</f>
        <v/>
      </c>
      <c r="P54" s="2002">
        <f>J54/J$40</f>
        <v/>
      </c>
      <c r="Q54" s="2002">
        <f>K54/K$40</f>
        <v/>
      </c>
      <c r="R54" s="2002">
        <f>L54/L$40</f>
        <v/>
      </c>
      <c r="S54" s="2002">
        <f>M54/M$40</f>
        <v/>
      </c>
      <c r="T54" s="2002">
        <f>N54/N$40</f>
        <v/>
      </c>
    </row>
    <row r="55" ht="15" customHeight="1" s="1883">
      <c r="B55" s="390" t="inlineStr">
        <is>
          <t>●</t>
        </is>
      </c>
      <c r="C55" s="383" t="inlineStr">
        <is>
          <t>Occupancy</t>
        </is>
      </c>
      <c r="D55" s="383" t="n"/>
      <c r="E55" s="383" t="n"/>
      <c r="F55" s="383" t="n"/>
      <c r="G55" s="383" t="n"/>
      <c r="H55" s="383" t="n"/>
      <c r="I55" s="462">
        <f>'6A. Pre-Launch Exps. - Roll-Up'!X62</f>
        <v/>
      </c>
      <c r="J55" s="462">
        <f>'4A. Tel. - Exps. &amp; OI x Month'!Y63</f>
        <v/>
      </c>
      <c r="K55" s="462">
        <f>'4A. Tel. - Exps. &amp; OI x Month'!Y155</f>
        <v/>
      </c>
      <c r="L55" s="462">
        <f>'4A. Tel. - Exps. &amp; OI x Month'!Y247</f>
        <v/>
      </c>
      <c r="M55" s="462">
        <f>'4A. Tel. - Exps. &amp; OI x Month'!Y339</f>
        <v/>
      </c>
      <c r="N55" s="462">
        <f>'4A. Tel. - Exps. &amp; OI x Month'!Y431</f>
        <v/>
      </c>
      <c r="P55" s="2002">
        <f>J55/J$40</f>
        <v/>
      </c>
      <c r="Q55" s="2002">
        <f>K55/K$40</f>
        <v/>
      </c>
      <c r="R55" s="2002">
        <f>L55/L$40</f>
        <v/>
      </c>
      <c r="S55" s="2002">
        <f>M55/M$40</f>
        <v/>
      </c>
      <c r="T55" s="2002">
        <f>N55/N$40</f>
        <v/>
      </c>
    </row>
    <row r="56" ht="17" customHeight="1" s="1883">
      <c r="B56" s="390" t="inlineStr">
        <is>
          <t>●</t>
        </is>
      </c>
      <c r="C56" s="383" t="inlineStr">
        <is>
          <t>General and Administrative</t>
        </is>
      </c>
      <c r="D56" s="383" t="n"/>
      <c r="E56" s="383" t="n"/>
      <c r="F56" s="383" t="n"/>
      <c r="G56" s="383" t="n"/>
      <c r="H56" s="383" t="n"/>
      <c r="I56" s="462">
        <f>'6A. Pre-Launch Exps. - Roll-Up'!X87</f>
        <v/>
      </c>
      <c r="J56" s="462">
        <f>'4A. Tel. - Exps. &amp; OI x Month'!Y84</f>
        <v/>
      </c>
      <c r="K56" s="462">
        <f>'4A. Tel. - Exps. &amp; OI x Month'!Y176</f>
        <v/>
      </c>
      <c r="L56" s="462">
        <f>'4A. Tel. - Exps. &amp; OI x Month'!Y268</f>
        <v/>
      </c>
      <c r="M56" s="462">
        <f>'4A. Tel. - Exps. &amp; OI x Month'!Y360</f>
        <v/>
      </c>
      <c r="N56" s="462">
        <f>'4A. Tel. - Exps. &amp; OI x Month'!Y452</f>
        <v/>
      </c>
      <c r="P56" s="2002">
        <f>J56/J$40</f>
        <v/>
      </c>
      <c r="Q56" s="2002">
        <f>K56/K$40</f>
        <v/>
      </c>
      <c r="R56" s="2002">
        <f>L56/L$40</f>
        <v/>
      </c>
      <c r="S56" s="2002">
        <f>M56/M$40</f>
        <v/>
      </c>
      <c r="T56" s="2002">
        <f>N56/N$40</f>
        <v/>
      </c>
    </row>
    <row r="57" ht="17" customHeight="1" s="1883">
      <c r="B57" s="390" t="inlineStr">
        <is>
          <t>●</t>
        </is>
      </c>
      <c r="C57" s="383" t="inlineStr">
        <is>
          <t>Customer Rewards</t>
        </is>
      </c>
      <c r="D57" s="383" t="n"/>
      <c r="E57" s="383" t="n"/>
      <c r="F57" s="383" t="n"/>
      <c r="G57" s="383" t="n"/>
      <c r="H57" s="383" t="n"/>
      <c r="I57" s="462">
        <f>'2A. Cash Forecast'!V53</f>
        <v/>
      </c>
      <c r="J57" s="462">
        <f>'2A. Cash Forecast'!AK53</f>
        <v/>
      </c>
      <c r="K57" s="462">
        <f>'2A. Cash Forecast'!AZ53</f>
        <v/>
      </c>
      <c r="L57" s="462">
        <f>'2A. Cash Forecast'!BO53</f>
        <v/>
      </c>
      <c r="M57" s="462">
        <f>'2A. Cash Forecast'!CD53</f>
        <v/>
      </c>
      <c r="N57" s="462">
        <f>'2A. Cash Forecast'!CS53</f>
        <v/>
      </c>
      <c r="P57" s="2002">
        <f>J57/J$40</f>
        <v/>
      </c>
      <c r="Q57" s="2002">
        <f>K57/K$40</f>
        <v/>
      </c>
      <c r="R57" s="2002">
        <f>L57/L$40</f>
        <v/>
      </c>
      <c r="S57" s="2002">
        <f>M57/M$40</f>
        <v/>
      </c>
      <c r="T57" s="2002">
        <f>N57/N$40</f>
        <v/>
      </c>
    </row>
    <row r="58" ht="17" customHeight="1" s="1883">
      <c r="B58" s="390" t="inlineStr">
        <is>
          <t>●</t>
        </is>
      </c>
      <c r="C58" s="383" t="inlineStr">
        <is>
          <t>Pure Influence Expenses</t>
        </is>
      </c>
      <c r="I58" s="2000">
        <f>'2A. Cash Forecast'!V56</f>
        <v/>
      </c>
      <c r="J58" s="2000">
        <f>'2A. Cash Forecast'!AK56</f>
        <v/>
      </c>
      <c r="K58" s="2000">
        <f>'2A. Cash Forecast'!AZ56</f>
        <v/>
      </c>
      <c r="L58" s="395">
        <f>'2A. Cash Forecast'!BO56</f>
        <v/>
      </c>
      <c r="M58" s="395">
        <f>'2A. Cash Forecast'!CD56</f>
        <v/>
      </c>
      <c r="N58" s="395">
        <f>'2A. Cash Forecast'!CS56</f>
        <v/>
      </c>
      <c r="P58" s="2002">
        <f>J58/J$40</f>
        <v/>
      </c>
      <c r="Q58" s="2002">
        <f>K58/K$40</f>
        <v/>
      </c>
      <c r="R58" s="2002">
        <f>L58/L$40</f>
        <v/>
      </c>
      <c r="S58" s="2002">
        <f>M58/M$40</f>
        <v/>
      </c>
      <c r="T58" s="2002">
        <f>N58/N$40</f>
        <v/>
      </c>
    </row>
    <row r="59" ht="17" customHeight="1" s="1883">
      <c r="B59" s="390" t="inlineStr">
        <is>
          <t>●</t>
        </is>
      </c>
      <c r="C59" s="383" t="inlineStr">
        <is>
          <t>CPG Model - Expenses</t>
        </is>
      </c>
      <c r="I59" s="2000">
        <f>'2A. Cash Forecast'!V57</f>
        <v/>
      </c>
      <c r="J59" s="2000">
        <f>'2A. Cash Forecast'!AK57</f>
        <v/>
      </c>
      <c r="K59" s="2000">
        <f>'2A. Cash Forecast'!AZ57</f>
        <v/>
      </c>
      <c r="L59" s="395">
        <f>'2A. Cash Forecast'!BO57</f>
        <v/>
      </c>
      <c r="M59" s="395">
        <f>'2A. Cash Forecast'!CD57</f>
        <v/>
      </c>
      <c r="N59" s="395">
        <f>'2A. Cash Forecast'!CS57</f>
        <v/>
      </c>
      <c r="P59" s="2002">
        <f>J59/J$40</f>
        <v/>
      </c>
      <c r="Q59" s="2002">
        <f>K59/K$40</f>
        <v/>
      </c>
      <c r="R59" s="2002">
        <f>L59/L$40</f>
        <v/>
      </c>
      <c r="S59" s="2002">
        <f>M59/M$40</f>
        <v/>
      </c>
      <c r="T59" s="2002">
        <f>N59/N$40</f>
        <v/>
      </c>
    </row>
    <row r="60" ht="16" customHeight="1" s="1883">
      <c r="B60" s="390" t="inlineStr">
        <is>
          <t>●</t>
        </is>
      </c>
      <c r="C60" s="383" t="inlineStr">
        <is>
          <t>Camera Commerce - Expenses</t>
        </is>
      </c>
      <c r="I60" s="2000">
        <f>'2A. Cash Forecast'!V58</f>
        <v/>
      </c>
      <c r="J60" s="2000">
        <f>'2A. Cash Forecast'!AK58</f>
        <v/>
      </c>
      <c r="K60" s="2000">
        <f>'2A. Cash Forecast'!AZ58</f>
        <v/>
      </c>
      <c r="L60" s="395">
        <f>'2A. Cash Forecast'!BO58</f>
        <v/>
      </c>
      <c r="M60" s="395">
        <f>'2A. Cash Forecast'!CD58</f>
        <v/>
      </c>
      <c r="N60" s="395">
        <f>'2A. Cash Forecast'!CS58</f>
        <v/>
      </c>
      <c r="P60" s="2002">
        <f>J60/J$40</f>
        <v/>
      </c>
      <c r="Q60" s="2002">
        <f>K60/K$40</f>
        <v/>
      </c>
      <c r="R60" s="2002">
        <f>L60/L$40</f>
        <v/>
      </c>
      <c r="S60" s="2002">
        <f>M60/M$40</f>
        <v/>
      </c>
      <c r="T60" s="2002">
        <f>N60/N$40</f>
        <v/>
      </c>
    </row>
    <row r="61" ht="18" customHeight="1" s="1883">
      <c r="B61" s="390" t="inlineStr">
        <is>
          <t>●</t>
        </is>
      </c>
      <c r="C61" s="383" t="inlineStr">
        <is>
          <t>Capital Expenditures</t>
        </is>
      </c>
      <c r="I61" s="2000">
        <f>'2A. Cash Forecast'!V55</f>
        <v/>
      </c>
      <c r="J61" s="2000">
        <f>'2A. Cash Forecast'!AK55</f>
        <v/>
      </c>
      <c r="K61" s="2000">
        <f>'2A. Cash Forecast'!AZ55</f>
        <v/>
      </c>
      <c r="L61" s="395">
        <f>'2A. Cash Forecast'!BO55</f>
        <v/>
      </c>
      <c r="M61" s="395">
        <f>'2A. Cash Forecast'!CD55</f>
        <v/>
      </c>
      <c r="N61" s="395">
        <f>'2A. Cash Forecast'!CS55</f>
        <v/>
      </c>
      <c r="P61" s="2002">
        <f>J61/J$40</f>
        <v/>
      </c>
      <c r="Q61" s="2002">
        <f>K61/K$40</f>
        <v/>
      </c>
      <c r="R61" s="2002">
        <f>L61/L$40</f>
        <v/>
      </c>
      <c r="S61" s="2002">
        <f>M61/M$40</f>
        <v/>
      </c>
      <c r="T61" s="2002">
        <f>N61/N$40</f>
        <v/>
      </c>
    </row>
    <row r="62" ht="15" customHeight="1" s="1883">
      <c r="B62" s="390" t="inlineStr">
        <is>
          <t>●</t>
        </is>
      </c>
      <c r="C62" s="383" t="inlineStr">
        <is>
          <t>One Time Legacy Expenses + Strategic Investments</t>
        </is>
      </c>
      <c r="D62" s="383" t="n"/>
      <c r="E62" s="383" t="n"/>
      <c r="F62" s="383" t="n"/>
      <c r="G62" s="383" t="n"/>
      <c r="H62" s="383" t="n"/>
      <c r="I62" s="462">
        <f>'2A. Cash Forecast'!V44+'2A. Cash Forecast'!V45+'2A. Cash Forecast'!V54+'2A. Cash Forecast'!V46</f>
        <v/>
      </c>
      <c r="J62" s="462">
        <f>'2A. Cash Forecast'!AK46</f>
        <v/>
      </c>
      <c r="K62" s="462">
        <f>'2A. Cash Forecast'!AZ46+'2A. Cash Forecast'!AZ59</f>
        <v/>
      </c>
      <c r="L62" s="462">
        <f>'2A. Cash Forecast'!BO46</f>
        <v/>
      </c>
      <c r="M62" s="462">
        <f>'2A. Cash Forecast'!CD46</f>
        <v/>
      </c>
      <c r="N62" s="462">
        <f>'2A. Cash Forecast'!CS46</f>
        <v/>
      </c>
      <c r="P62" s="2002">
        <f>J62/J$40</f>
        <v/>
      </c>
      <c r="Q62" s="2002">
        <f>K62/K$40</f>
        <v/>
      </c>
      <c r="R62" s="2002">
        <f>L62/L$40</f>
        <v/>
      </c>
      <c r="S62" s="2002">
        <f>M62/M$40</f>
        <v/>
      </c>
      <c r="T62" s="2002">
        <f>N62/N$40</f>
        <v/>
      </c>
    </row>
    <row r="63" ht="14" customHeight="1" s="1883">
      <c r="B63" s="1863" t="inlineStr">
        <is>
          <t>●</t>
        </is>
      </c>
      <c r="C63" s="1863" t="inlineStr">
        <is>
          <t>PureBrain Operating Expenses</t>
        </is>
      </c>
      <c r="I63" s="1864">
        <f>+'11. PureBrain'!I38</f>
        <v/>
      </c>
      <c r="J63" s="1864">
        <f>+'11. PureBrain'!J38</f>
        <v/>
      </c>
      <c r="K63" s="1864">
        <f>+'11. PureBrain'!K38</f>
        <v/>
      </c>
      <c r="L63" s="1864">
        <f>+'11. PureBrain'!L38</f>
        <v/>
      </c>
      <c r="M63" s="1864">
        <f>+'11. PureBrain'!M38</f>
        <v/>
      </c>
      <c r="N63" s="1864">
        <f>+'11. PureBrain'!N38</f>
        <v/>
      </c>
      <c r="P63" s="2002">
        <f>J63/J$40</f>
        <v/>
      </c>
      <c r="Q63" s="2002">
        <f>K63/K$40</f>
        <v/>
      </c>
      <c r="R63" s="2002">
        <f>L63/L$40</f>
        <v/>
      </c>
      <c r="S63" s="2002">
        <f>M63/M$40</f>
        <v/>
      </c>
      <c r="T63" s="2002">
        <f>N63/N$40</f>
        <v/>
      </c>
    </row>
    <row r="64" ht="3" customHeight="1" s="1883">
      <c r="B64" s="383" t="n"/>
      <c r="C64" s="383" t="n"/>
      <c r="D64" s="383" t="n"/>
      <c r="E64" s="383" t="n"/>
      <c r="F64" s="383" t="n"/>
      <c r="G64" s="383" t="n"/>
      <c r="H64" s="383" t="n"/>
      <c r="I64" s="508" t="n"/>
      <c r="J64" s="508" t="n"/>
      <c r="K64" s="508" t="n"/>
      <c r="L64" s="508" t="n"/>
      <c r="M64" s="508" t="n"/>
      <c r="N64" s="508" t="n"/>
    </row>
    <row r="65" hidden="1" ht="13" customHeight="1" s="1883">
      <c r="B65" s="383" t="n"/>
      <c r="C65" s="383" t="n"/>
      <c r="D65" s="383" t="n"/>
      <c r="E65" s="383" t="n"/>
      <c r="F65" s="383" t="n"/>
      <c r="G65" s="383" t="n"/>
      <c r="H65" s="383" t="n"/>
      <c r="I65" s="462" t="n"/>
      <c r="J65" s="462" t="n"/>
      <c r="K65" s="462" t="n"/>
      <c r="L65" s="462" t="n"/>
      <c r="M65" s="462" t="n"/>
      <c r="N65" s="462" t="n"/>
    </row>
    <row r="66" hidden="1" ht="13" customHeight="1" s="1883">
      <c r="B66" s="383" t="n"/>
      <c r="D66" s="385" t="inlineStr">
        <is>
          <t>TOTAL OPERATING EXPENSES</t>
        </is>
      </c>
      <c r="E66" s="383" t="n"/>
      <c r="F66" s="383" t="n"/>
      <c r="G66" s="655" t="n"/>
      <c r="H66" s="383" t="n"/>
      <c r="I66" s="396">
        <f>SUM(I50:I60)+I63</f>
        <v/>
      </c>
      <c r="J66" s="396">
        <f>SUM(J50:J60)+J63</f>
        <v/>
      </c>
      <c r="K66" s="396">
        <f>SUM(K50:K60)+K63</f>
        <v/>
      </c>
      <c r="L66" s="396">
        <f>SUM(L50:L60)+L63</f>
        <v/>
      </c>
      <c r="M66" s="396">
        <f>SUM(M50:M60)+M63</f>
        <v/>
      </c>
      <c r="N66" s="396">
        <f>SUM(N50:N60)+N63</f>
        <v/>
      </c>
      <c r="P66" s="2003">
        <f>J63/J$39</f>
        <v/>
      </c>
      <c r="Q66" s="2003">
        <f>K63/K$39</f>
        <v/>
      </c>
      <c r="R66" s="2003">
        <f>L63/L$39</f>
        <v/>
      </c>
      <c r="S66" s="2003">
        <f>M63/M$39</f>
        <v/>
      </c>
      <c r="T66" s="2003">
        <f>N63/N$39</f>
        <v/>
      </c>
    </row>
    <row r="67" hidden="1" ht="13" customHeight="1" s="1883">
      <c r="I67" s="628" t="n"/>
      <c r="J67" s="628" t="n"/>
      <c r="K67" s="628" t="n"/>
      <c r="L67" s="628" t="n"/>
      <c r="M67" s="628" t="n"/>
      <c r="N67" s="628" t="n"/>
    </row>
    <row r="68" ht="15" customHeight="1" s="1883"/>
    <row r="69" ht="15" customHeight="1" s="1883"/>
    <row r="70" ht="15" customHeight="1" s="1883">
      <c r="I70" s="1451" t="n"/>
      <c r="J70" s="1451" t="n"/>
      <c r="K70" s="1451" t="n"/>
      <c r="L70" s="1451" t="n"/>
      <c r="M70" s="1451" t="n"/>
      <c r="N70" s="1451" t="n"/>
      <c r="O70" s="1451" t="n"/>
      <c r="P70" s="1451" t="n"/>
      <c r="Q70" s="1451" t="n"/>
    </row>
    <row r="71" ht="3" customHeight="1" s="1883">
      <c r="P71" s="2004">
        <f>SUM(P50:P60)</f>
        <v/>
      </c>
      <c r="Q71" s="2004">
        <f>SUM(Q50:Q60)</f>
        <v/>
      </c>
      <c r="R71" s="2004">
        <f>SUM(R50:R60)</f>
        <v/>
      </c>
      <c r="S71" s="2004">
        <f>SUM(S50:S60)</f>
        <v/>
      </c>
      <c r="T71" s="2004">
        <f>SUM(T50:T60)</f>
        <v/>
      </c>
      <c r="U71" s="658" t="inlineStr">
        <is>
          <t>Checked</t>
        </is>
      </c>
    </row>
    <row r="72" ht="15" customHeight="1" s="1883">
      <c r="E72" s="463" t="inlineStr">
        <is>
          <t>EBITDA/OPERATING INCOME / (LOSS), $</t>
        </is>
      </c>
      <c r="F72" s="464" t="n"/>
      <c r="G72" s="464" t="n"/>
      <c r="H72" s="464" t="n"/>
      <c r="I72" s="465">
        <f>((I45)-(I63))</f>
        <v/>
      </c>
      <c r="J72" s="465">
        <f>((J45)-(J63))</f>
        <v/>
      </c>
      <c r="K72" s="465">
        <f>((K45)-(K63))</f>
        <v/>
      </c>
      <c r="L72" s="465">
        <f>((L45)-(L63))</f>
        <v/>
      </c>
      <c r="M72" s="465">
        <f>((M45)-(M63))</f>
        <v/>
      </c>
      <c r="N72" s="465">
        <f>((N45)-(N63))</f>
        <v/>
      </c>
      <c r="AF72" s="1498" t="n"/>
      <c r="AG72" s="1499" t="n"/>
      <c r="AH72" s="1500" t="n"/>
      <c r="AI72" s="1501" t="n"/>
      <c r="AJ72" s="1502" t="n"/>
    </row>
    <row r="73" ht="15" customHeight="1" s="1883">
      <c r="E73" s="463" t="inlineStr">
        <is>
          <t>EBIDA/OPERATING MARGIN, %</t>
        </is>
      </c>
      <c r="F73" s="464" t="n"/>
      <c r="G73" s="464" t="n"/>
      <c r="H73" s="464" t="n"/>
      <c r="I73" s="1880">
        <f>((I72)/(I40))</f>
        <v/>
      </c>
      <c r="J73" s="1880">
        <f>((J72)/(J40))</f>
        <v/>
      </c>
      <c r="K73" s="1880">
        <f>((K72)/(K40))</f>
        <v/>
      </c>
      <c r="L73" s="1880">
        <f>((L72)/(L40))</f>
        <v/>
      </c>
      <c r="M73" s="1880">
        <f>((M72)/(M40))</f>
        <v/>
      </c>
      <c r="N73" s="1880">
        <f>((N72)/(N40))</f>
        <v/>
      </c>
    </row>
    <row r="74" ht="15" customHeight="1" s="1883">
      <c r="D74" s="383" t="n"/>
      <c r="E74" s="383" t="n"/>
      <c r="F74" s="383" t="n"/>
      <c r="G74" s="383" t="n"/>
      <c r="H74" s="383" t="n"/>
      <c r="I74" s="508" t="n"/>
      <c r="J74" s="508" t="n"/>
      <c r="K74" s="508" t="n"/>
      <c r="L74" s="508" t="n"/>
      <c r="M74" s="508" t="n"/>
      <c r="N74" s="508" t="n"/>
    </row>
    <row r="75" ht="14" customHeight="1" s="1883">
      <c r="D75" s="383" t="n"/>
      <c r="E75" s="383" t="n"/>
      <c r="F75" s="383" t="n"/>
      <c r="G75" s="383" t="inlineStr">
        <is>
          <t>Expense per phone</t>
        </is>
      </c>
      <c r="H75" s="383" t="n"/>
      <c r="I75" s="589" t="n"/>
      <c r="J75" s="2005">
        <f>(J43+J52+J53+J54+J55+J56+J61)/J27</f>
        <v/>
      </c>
      <c r="K75" s="2005">
        <f>(K43+K52+K53+K54+K55+K56+K61)/K27</f>
        <v/>
      </c>
      <c r="L75" s="2005">
        <f>(L43+L52+L53+L54+L55+L56+L61)/L27</f>
        <v/>
      </c>
      <c r="M75" s="2005">
        <f>(M43+M52+M53+M54+M55+M56+M61)/M27</f>
        <v/>
      </c>
      <c r="N75" s="2005">
        <f>(N43+N52+N53+N54+N55+N56+N61)/N27</f>
        <v/>
      </c>
      <c r="U75" s="1917" t="inlineStr">
        <is>
          <t>Use of Funds</t>
        </is>
      </c>
    </row>
    <row r="76" ht="14" customHeight="1" s="1883">
      <c r="D76" s="383" t="n"/>
      <c r="E76" s="383" t="n"/>
      <c r="F76" s="383" t="n"/>
      <c r="G76" s="383" t="inlineStr">
        <is>
          <t>Revenue per phone</t>
        </is>
      </c>
      <c r="H76" s="383" t="n"/>
      <c r="I76" s="589" t="n"/>
      <c r="J76" s="2005">
        <f>(J31+J32+J36)/J27</f>
        <v/>
      </c>
      <c r="K76" s="2005">
        <f>(K31+K32+K36)/K27</f>
        <v/>
      </c>
      <c r="L76" s="2005">
        <f>(L31+L32+L36)/L27</f>
        <v/>
      </c>
      <c r="M76" s="2005">
        <f>(M31+M32+M36)/M27</f>
        <v/>
      </c>
      <c r="N76" s="2005">
        <f>(N31+N32+N36)/N27</f>
        <v/>
      </c>
      <c r="P76" s="1917" t="n"/>
      <c r="U76" s="383" t="inlineStr">
        <is>
          <t>People Cost (Salaries, ER Taxes, Benefits)</t>
        </is>
      </c>
      <c r="V76" s="383" t="n"/>
      <c r="W76" s="681">
        <f>I50/25000000</f>
        <v/>
      </c>
    </row>
    <row r="77" ht="14" customHeight="1" s="1883">
      <c r="G77" s="1917" t="inlineStr">
        <is>
          <t>Profit per phone</t>
        </is>
      </c>
      <c r="I77" s="1884" t="n"/>
      <c r="J77" s="2006">
        <f>J76-J75</f>
        <v/>
      </c>
      <c r="K77" s="2006">
        <f>K76-K75</f>
        <v/>
      </c>
      <c r="L77" s="2006">
        <f>L76-L75</f>
        <v/>
      </c>
      <c r="M77" s="2006">
        <f>M76-M75</f>
        <v/>
      </c>
      <c r="N77" s="2006">
        <f>N76-N75</f>
        <v/>
      </c>
      <c r="U77" s="383" t="inlineStr">
        <is>
          <t>Research and Development</t>
        </is>
      </c>
      <c r="V77" s="383" t="n"/>
      <c r="W77" s="681">
        <f>I51/25000000</f>
        <v/>
      </c>
    </row>
    <row r="78" ht="14" customHeight="1" s="1883" thickBot="1">
      <c r="D78" s="383" t="n"/>
      <c r="E78" s="383" t="n"/>
      <c r="F78" s="383" t="n"/>
      <c r="G78" s="383" t="n"/>
      <c r="H78" s="383" t="n"/>
      <c r="I78" s="462" t="n"/>
      <c r="J78" s="462" t="n"/>
      <c r="K78" s="462" t="n"/>
      <c r="L78" s="462" t="n"/>
      <c r="M78" s="462" t="n"/>
      <c r="N78" s="462" t="n"/>
      <c r="U78" s="383" t="inlineStr">
        <is>
          <t>Sales and Marketing</t>
        </is>
      </c>
      <c r="V78" s="383" t="n"/>
      <c r="W78" s="681">
        <f>I52/25000000</f>
        <v/>
      </c>
    </row>
    <row r="79" ht="16" customHeight="1" s="1883" thickBot="1">
      <c r="D79" s="624" t="inlineStr">
        <is>
          <t>Total Expenses Check</t>
        </is>
      </c>
      <c r="E79" s="624" t="n"/>
      <c r="F79" s="624" t="n"/>
      <c r="G79" s="624" t="n"/>
      <c r="H79" s="624" t="n"/>
      <c r="I79" s="643">
        <f>'6A. Pre-Launch Exps. - Roll-Up'!X94+'2A. Cash Forecast'!V44+'2A. Cash Forecast'!V45+'2A. Cash Forecast'!V46+'2A. Cash Forecast'!V49+'2A. Cash Forecast'!V54+'2A. Cash Forecast'!V55+'2A. Cash Forecast'!V56+'2A. Cash Forecast'!V57+'2A. Cash Forecast'!V58+'2A. Cash Forecast'!V59+'2A. Cash Forecast'!V60</f>
        <v/>
      </c>
      <c r="J79" s="625">
        <f>'4A. Tel. - Exps. &amp; OI x Month'!Y91+'2A. Cash Forecast'!AK44+'2A. Cash Forecast'!AK45+'2A. Cash Forecast'!AK46++'2A. Cash Forecast'!AK49+'2A. Cash Forecast'!AK54+'2A. Cash Forecast'!AK55+'2A. Cash Forecast'!AK56+'2A. Cash Forecast'!AK57+'2A. Cash Forecast'!AK58+'2A. Cash Forecast'!AK59+'2A. Cash Forecast'!AK60+'2A. Cash Forecast'!AK53</f>
        <v/>
      </c>
      <c r="K79" s="625">
        <f>'4A. Tel. - Exps. &amp; OI x Month'!Y183+'2A. Cash Forecast'!AZ44+'2A. Cash Forecast'!AZ45+'2A. Cash Forecast'!AZ46++'2A. Cash Forecast'!AZ49+'2A. Cash Forecast'!AZ54+'2A. Cash Forecast'!AZ55+'2A. Cash Forecast'!AZ56+'2A. Cash Forecast'!AZ57+'2A. Cash Forecast'!AZ58+'2A. Cash Forecast'!AZ59+'2A. Cash Forecast'!AZ60+'2A. Cash Forecast'!AZ53</f>
        <v/>
      </c>
      <c r="L79" s="625">
        <f>'4A. Tel. - Exps. &amp; OI x Month'!Y275+'2A. Cash Forecast'!BO44+'2A. Cash Forecast'!BO45+'2A. Cash Forecast'!BO46+'2A. Cash Forecast'!BO49+'2A. Cash Forecast'!BO54+'2A. Cash Forecast'!BO55+'2A. Cash Forecast'!BO56+'2A. Cash Forecast'!BO57+'2A. Cash Forecast'!BO58+'2A. Cash Forecast'!BO59+'2A. Cash Forecast'!BO60+'2A. Cash Forecast'!BO53</f>
        <v/>
      </c>
      <c r="M79" s="625">
        <f>'4A. Tel. - Exps. &amp; OI x Month'!Y367+'2A. Cash Forecast'!CD44+'2A. Cash Forecast'!CD45+'2A. Cash Forecast'!CD46+'2A. Cash Forecast'!CD49+'2A. Cash Forecast'!CD53+'2A. Cash Forecast'!CD54+'2A. Cash Forecast'!CD55+'2A. Cash Forecast'!CD56+'2A. Cash Forecast'!CD57+'2A. Cash Forecast'!CD58+'2A. Cash Forecast'!CD59+'2A. Cash Forecast'!CD60</f>
        <v/>
      </c>
      <c r="N79" s="625">
        <f>'4A. Tel. - Exps. &amp; OI x Month'!Y459+'2A. Cash Forecast'!CS44+'2A. Cash Forecast'!CS45+'2A. Cash Forecast'!CS46+'2A. Cash Forecast'!CS49+'2A. Cash Forecast'!CS53+'2A. Cash Forecast'!CS55+'2A. Cash Forecast'!CS56+'2A. Cash Forecast'!CS57+'2A. Cash Forecast'!CS58</f>
        <v/>
      </c>
      <c r="U79" s="383" t="inlineStr">
        <is>
          <t>Occupancy</t>
        </is>
      </c>
      <c r="V79" s="383" t="n"/>
      <c r="W79" s="681">
        <f>I53/25000000</f>
        <v/>
      </c>
    </row>
    <row r="80" ht="16" customHeight="1" s="1883" thickBot="1">
      <c r="D80" s="1744" t="n"/>
      <c r="E80" s="1744" t="n"/>
      <c r="F80" s="1744" t="n"/>
      <c r="G80" s="1744" t="n"/>
      <c r="H80" s="1744" t="n"/>
      <c r="I80" s="1653" t="n"/>
      <c r="J80" s="1745">
        <f>J63+'2A. Cash Forecast'!AK49</f>
        <v/>
      </c>
      <c r="K80" s="1745">
        <f>K63+'2A. Cash Forecast'!AZ49</f>
        <v/>
      </c>
      <c r="L80" s="1745">
        <f>L63+'2A. Cash Forecast'!BO49+'2A. Cash Forecast'!BO59</f>
        <v/>
      </c>
      <c r="M80" s="1745">
        <f>M63+'2A. Cash Forecast'!CD49+'2A. Cash Forecast'!CD59</f>
        <v/>
      </c>
      <c r="N80" s="1745">
        <f>N63+'2A. Cash Forecast'!CS49+'2A. Cash Forecast'!CS59</f>
        <v/>
      </c>
      <c r="P80" s="1917" t="n"/>
      <c r="U80" s="383" t="inlineStr">
        <is>
          <t>General and Administrative</t>
        </is>
      </c>
      <c r="V80" s="383" t="n"/>
      <c r="W80" s="681">
        <f>I54/25000000</f>
        <v/>
      </c>
    </row>
    <row r="81" ht="12" customHeight="1" s="1883">
      <c r="D81" s="1744" t="n"/>
      <c r="E81" s="1744" t="n"/>
      <c r="F81" s="1744" t="n"/>
      <c r="G81" s="1744" t="n"/>
      <c r="H81" s="1744" t="n"/>
      <c r="I81" s="1653" t="n"/>
      <c r="J81" s="1745">
        <f>'2A. Cash Forecast'!AK69</f>
        <v/>
      </c>
      <c r="K81" s="1749">
        <f>'2A. Cash Forecast'!AZ69</f>
        <v/>
      </c>
      <c r="L81" s="1746">
        <f>'2A. Cash Forecast'!BO69</f>
        <v/>
      </c>
      <c r="M81" s="1746">
        <f>'2A. Cash Forecast'!CD69</f>
        <v/>
      </c>
      <c r="N81" s="1746">
        <f>'2A. Cash Forecast'!CS69</f>
        <v/>
      </c>
      <c r="U81" s="383" t="inlineStr">
        <is>
          <t>Customer Rewards</t>
        </is>
      </c>
      <c r="V81" s="383" t="n"/>
      <c r="W81" s="681">
        <f>I55/25000000</f>
        <v/>
      </c>
    </row>
    <row r="82" ht="14" customHeight="1" s="1883">
      <c r="D82" s="1736" t="inlineStr">
        <is>
          <t>Total Expenses double checked against forecast</t>
        </is>
      </c>
      <c r="E82" s="1737" t="n"/>
      <c r="F82" s="1737" t="n"/>
      <c r="G82" s="1737" t="n"/>
      <c r="H82" s="1737" t="n"/>
      <c r="I82" s="1738">
        <f>I43+I63</f>
        <v/>
      </c>
      <c r="J82" s="1738">
        <f>J43+J63</f>
        <v/>
      </c>
      <c r="K82" s="1738">
        <f>K43+K63</f>
        <v/>
      </c>
      <c r="L82" s="1738">
        <f>L43+L63</f>
        <v/>
      </c>
      <c r="M82" s="1738">
        <f>M43+M63</f>
        <v/>
      </c>
      <c r="N82" s="1739">
        <f>N43+N63</f>
        <v/>
      </c>
      <c r="U82" s="383" t="inlineStr">
        <is>
          <t>Capital Expenditures</t>
        </is>
      </c>
      <c r="W82" s="681">
        <f>I56/25000000</f>
        <v/>
      </c>
    </row>
    <row r="83" ht="15" customHeight="1" s="1883">
      <c r="D83" s="1718" t="inlineStr">
        <is>
          <t>Total Ops Income/(Loss) checked against forecast</t>
        </is>
      </c>
      <c r="E83" s="1719" t="n"/>
      <c r="F83" s="1719" t="n"/>
      <c r="G83" s="1719" t="n"/>
      <c r="H83" s="1719" t="n"/>
      <c r="I83" s="1740">
        <f>'2A. Cash Forecast'!V72</f>
        <v/>
      </c>
      <c r="J83" s="1740">
        <f>'2A. Cash Forecast'!AK72</f>
        <v/>
      </c>
      <c r="K83" s="1740">
        <f>'2A. Cash Forecast'!AZ72</f>
        <v/>
      </c>
      <c r="L83" s="1740">
        <f>'2A. Cash Forecast'!BO72</f>
        <v/>
      </c>
      <c r="M83" s="1740">
        <f>'2A. Cash Forecast'!CD72</f>
        <v/>
      </c>
      <c r="N83" s="1720">
        <f>'2A. Cash Forecast'!CS72</f>
        <v/>
      </c>
      <c r="U83" s="383" t="inlineStr">
        <is>
          <t>Strategic Investments</t>
        </is>
      </c>
      <c r="W83" s="681">
        <f>'2A. Cash Forecast'!#REF!/25000000</f>
        <v/>
      </c>
    </row>
    <row r="84" ht="15" customHeight="1" s="1883">
      <c r="D84" s="383" t="n"/>
      <c r="E84" s="383" t="n"/>
      <c r="F84" s="383" t="n"/>
      <c r="G84" s="383" t="n"/>
      <c r="H84" s="383" t="n"/>
      <c r="I84" s="462" t="n"/>
      <c r="J84" s="462">
        <f>K81</f>
        <v/>
      </c>
      <c r="K84" s="462" t="n"/>
      <c r="L84" s="462" t="n"/>
      <c r="M84" s="462" t="n"/>
      <c r="N84" s="462" t="n"/>
      <c r="U84" s="383" t="inlineStr">
        <is>
          <t>One Time Legacy Expenses + Strategic Investments</t>
        </is>
      </c>
      <c r="V84" s="383" t="n"/>
      <c r="W84" s="659">
        <f>('2A. Cash Forecast'!#REF!+'2A. Cash Forecast'!#REF!+'2A. Cash Forecast'!#REF!)/25000000</f>
        <v/>
      </c>
    </row>
    <row r="85" ht="14" customHeight="1" s="1883">
      <c r="B85" s="1444" t="inlineStr">
        <is>
          <t>*</t>
        </is>
      </c>
      <c r="D85" s="726" t="inlineStr">
        <is>
          <t>In Years 1 and 2, it is expected that distribution of proprietary Pure Technology mobile telephones ('Hardware') will be fully funded by early-adopter brands and/or our go to market strategy and that this funding will exceed the Hardware COGS.</t>
        </is>
      </c>
      <c r="W85" s="1862">
        <f>SUM(W73:W81)</f>
        <v/>
      </c>
    </row>
    <row r="86" ht="15" customHeight="1" s="1883">
      <c r="E86" s="726" t="inlineStr">
        <is>
          <t xml:space="preserve">  From Year 3 onward,  legacy users of PT Hardware are provided a new mobile telephone handset at no cost so hardware subsidies become less than hardware COGS from that point onward. </t>
        </is>
      </c>
      <c r="U86" s="383" t="inlineStr">
        <is>
          <t xml:space="preserve">working capital </t>
        </is>
      </c>
      <c r="W86" s="681">
        <f>100%-W82</f>
        <v/>
      </c>
    </row>
    <row r="87">
      <c r="E87" s="1917" t="inlineStr">
        <is>
          <t xml:space="preserve">New subscribers to our system will still receive phones either subsidized via go-to-market (deployment strategy), or other means. </t>
        </is>
      </c>
      <c r="J87" s="1884" t="n"/>
    </row>
    <row r="88" ht="15" customHeight="1" s="1883">
      <c r="E88" s="726" t="inlineStr">
        <is>
          <t xml:space="preserve">Only legacy users will receive free hardware without subsidization aside from what the previous device generated. </t>
        </is>
      </c>
    </row>
    <row r="90">
      <c r="J90" s="1865" t="inlineStr">
        <is>
          <t>Net Hardware Revenue or (Cost)</t>
        </is>
      </c>
    </row>
    <row r="91" ht="15" customHeight="1" s="1883">
      <c r="J91" s="386" t="inlineStr">
        <is>
          <t>Year 1</t>
        </is>
      </c>
      <c r="K91" s="386" t="inlineStr">
        <is>
          <t>Year 2</t>
        </is>
      </c>
      <c r="L91" s="386" t="inlineStr">
        <is>
          <t>Year 3</t>
        </is>
      </c>
      <c r="M91" s="386" t="inlineStr">
        <is>
          <t>Year 4</t>
        </is>
      </c>
      <c r="N91" s="386" t="inlineStr">
        <is>
          <t>Year 5</t>
        </is>
      </c>
    </row>
    <row r="92">
      <c r="J92" s="2007">
        <f>J31-J42</f>
        <v/>
      </c>
      <c r="K92" s="2007">
        <f>K31-K42</f>
        <v/>
      </c>
      <c r="L92" s="2007">
        <f>L31-L42</f>
        <v/>
      </c>
      <c r="M92" s="2007">
        <f>M31-M42</f>
        <v/>
      </c>
      <c r="N92" s="2007">
        <f>N31-N42</f>
        <v/>
      </c>
    </row>
    <row r="95">
      <c r="G95" s="658" t="inlineStr">
        <is>
          <t>Operations Minus People Costs</t>
        </is>
      </c>
      <c r="I95" s="1458">
        <f>I63-I50</f>
        <v/>
      </c>
      <c r="J95" s="1458">
        <f>J63-J50</f>
        <v/>
      </c>
      <c r="K95" s="1458">
        <f>K63-K50</f>
        <v/>
      </c>
      <c r="L95" s="1458">
        <f>L63-L50</f>
        <v/>
      </c>
      <c r="M95" s="1458">
        <f>M63-M50</f>
        <v/>
      </c>
      <c r="N95" s="1458">
        <f>N63-N50</f>
        <v/>
      </c>
      <c r="P95" s="1917" t="inlineStr">
        <is>
          <t>&lt;-- other costs minus salary</t>
        </is>
      </c>
    </row>
    <row r="98" ht="14" customHeight="1" s="1883" thickBot="1"/>
    <row r="99">
      <c r="G99" s="1917" t="n"/>
    </row>
    <row r="102">
      <c r="G102" s="1487" t="inlineStr">
        <is>
          <t>Original Numbers - projects on 7.5 hours per year</t>
        </is>
      </c>
      <c r="H102" s="1488" t="n"/>
      <c r="I102" s="1488" t="n"/>
      <c r="J102" s="1488" t="n"/>
      <c r="K102" s="1488" t="n"/>
      <c r="L102" s="1488" t="n"/>
      <c r="M102" s="1488" t="n"/>
      <c r="N102" s="1489" t="n"/>
    </row>
    <row r="103">
      <c r="G103" s="1490" t="inlineStr">
        <is>
          <t>Revenue Per phone</t>
        </is>
      </c>
      <c r="H103" s="1884" t="n"/>
      <c r="I103" s="1884" t="n"/>
      <c r="J103" s="2008">
        <f>J73</f>
        <v/>
      </c>
      <c r="K103" s="2006">
        <f>J100*1.15</f>
        <v/>
      </c>
      <c r="L103" s="2006">
        <f>K100*1.15</f>
        <v/>
      </c>
      <c r="M103" s="2006">
        <f>L100*1.15</f>
        <v/>
      </c>
      <c r="N103" s="2009">
        <f>M100*1.15</f>
        <v/>
      </c>
    </row>
    <row r="104" ht="14" customHeight="1" s="1883" thickBot="1">
      <c r="G104" s="1490" t="inlineStr">
        <is>
          <t>Internal Expense per phone</t>
        </is>
      </c>
      <c r="H104" s="1884" t="n"/>
      <c r="I104" s="1884" t="n"/>
      <c r="J104" s="2006">
        <f>J72</f>
        <v/>
      </c>
      <c r="K104" s="2006">
        <f>K72</f>
        <v/>
      </c>
      <c r="L104" s="2006">
        <f>L72</f>
        <v/>
      </c>
      <c r="M104" s="2006">
        <f>M72</f>
        <v/>
      </c>
      <c r="N104" s="2009">
        <f>N72</f>
        <v/>
      </c>
    </row>
    <row r="105" ht="14" customHeight="1" s="1883" thickBot="1">
      <c r="G105" s="1490" t="inlineStr">
        <is>
          <t>Revenue share per phone - 10%</t>
        </is>
      </c>
      <c r="H105" s="1884" t="n"/>
      <c r="I105" s="1884" t="n"/>
      <c r="J105" s="2006">
        <f>J100*0.1</f>
        <v/>
      </c>
      <c r="K105" s="2006">
        <f>K100*0.1</f>
        <v/>
      </c>
      <c r="L105" s="2006">
        <f>L100*0.1</f>
        <v/>
      </c>
      <c r="M105" s="2006">
        <f>M100*0.1</f>
        <v/>
      </c>
      <c r="N105" s="2009">
        <f>N100*0.1</f>
        <v/>
      </c>
    </row>
    <row r="106">
      <c r="G106" s="1490" t="inlineStr">
        <is>
          <t>PT's remaining Profit margin per phone</t>
        </is>
      </c>
      <c r="H106" s="1884" t="n"/>
      <c r="I106" s="1884" t="n"/>
      <c r="J106" s="2006">
        <f>J100-(J101+J102)</f>
        <v/>
      </c>
      <c r="K106" s="2006">
        <f>K100-(K101+K102)</f>
        <v/>
      </c>
      <c r="L106" s="2006">
        <f>L100-(L101+L102)</f>
        <v/>
      </c>
      <c r="M106" s="2006">
        <f>M100-(M101+M102)</f>
        <v/>
      </c>
      <c r="N106" s="2009">
        <f>N100-(N101+N102)</f>
        <v/>
      </c>
    </row>
    <row r="107">
      <c r="G107" s="1494" t="inlineStr">
        <is>
          <t>Operating Margin</t>
        </is>
      </c>
      <c r="H107" s="1495" t="n"/>
      <c r="I107" s="1495" t="n"/>
      <c r="J107" s="1496">
        <f>J103/J100</f>
        <v/>
      </c>
      <c r="K107" s="1496">
        <f>K103/K100</f>
        <v/>
      </c>
      <c r="L107" s="1496">
        <f>L103/L100</f>
        <v/>
      </c>
      <c r="M107" s="1496">
        <f>M103/M100</f>
        <v/>
      </c>
      <c r="N107" s="1497">
        <f>N103/N100</f>
        <v/>
      </c>
    </row>
    <row r="109">
      <c r="G109" s="1487" t="inlineStr">
        <is>
          <t>2025 Ed's Numbers - projects on 7.5 hours per year</t>
        </is>
      </c>
      <c r="H109" s="1488" t="n"/>
      <c r="I109" s="1488" t="n"/>
      <c r="J109" s="1488" t="n"/>
      <c r="K109" s="1488" t="n"/>
      <c r="L109" s="1488" t="n"/>
      <c r="M109" s="1488" t="n"/>
      <c r="N109" s="1489" t="n"/>
    </row>
    <row r="110">
      <c r="G110" s="1490" t="inlineStr">
        <is>
          <t>Revenue Per phone</t>
        </is>
      </c>
      <c r="H110" s="1884" t="n"/>
      <c r="I110" s="1884" t="n"/>
      <c r="J110" s="2008" t="n">
        <v>2656.42</v>
      </c>
      <c r="K110" s="2006">
        <f>J107*1.15</f>
        <v/>
      </c>
      <c r="L110" s="2006">
        <f>K107*1.15</f>
        <v/>
      </c>
      <c r="M110" s="2006">
        <f>L107*1.15</f>
        <v/>
      </c>
      <c r="N110" s="2009">
        <f>M107*1.15</f>
        <v/>
      </c>
    </row>
    <row r="111" ht="14" customHeight="1" s="1883" thickBot="1">
      <c r="G111" s="1490" t="inlineStr">
        <is>
          <t>Internal Expense per phone</t>
        </is>
      </c>
      <c r="H111" s="1884" t="n"/>
      <c r="I111" s="1884" t="n"/>
      <c r="J111" s="2006">
        <f>J72</f>
        <v/>
      </c>
      <c r="K111" s="2006">
        <f>K72</f>
        <v/>
      </c>
      <c r="L111" s="2006">
        <f>L72</f>
        <v/>
      </c>
      <c r="M111" s="2006">
        <f>M72</f>
        <v/>
      </c>
      <c r="N111" s="2009">
        <f>N72</f>
        <v/>
      </c>
    </row>
    <row r="112">
      <c r="G112" s="1490" t="inlineStr">
        <is>
          <t>Revenue share per phone - 10%</t>
        </is>
      </c>
      <c r="H112" s="1884" t="n"/>
      <c r="I112" s="1884" t="n"/>
      <c r="J112" s="2006">
        <f>J107*0.1</f>
        <v/>
      </c>
      <c r="K112" s="2006">
        <f>K107*0.1</f>
        <v/>
      </c>
      <c r="L112" s="2006">
        <f>L107*0.1</f>
        <v/>
      </c>
      <c r="M112" s="2006">
        <f>M107*0.1</f>
        <v/>
      </c>
      <c r="N112" s="2009">
        <f>N107*0.1</f>
        <v/>
      </c>
    </row>
    <row r="113">
      <c r="G113" s="1490" t="inlineStr">
        <is>
          <t>PT's remaining Profit margin per phone</t>
        </is>
      </c>
      <c r="H113" s="1884" t="n"/>
      <c r="I113" s="1884" t="n"/>
      <c r="J113" s="2006">
        <f>J107-(J108+J109)</f>
        <v/>
      </c>
      <c r="K113" s="2006">
        <f>K107-(K108+K109)</f>
        <v/>
      </c>
      <c r="L113" s="2006">
        <f>L107-(L108+L109)</f>
        <v/>
      </c>
      <c r="M113" s="2006">
        <f>M107-(M108+M109)</f>
        <v/>
      </c>
      <c r="N113" s="2009">
        <f>N107-(N108+N109)</f>
        <v/>
      </c>
    </row>
    <row r="114">
      <c r="G114" s="1494" t="inlineStr">
        <is>
          <t>Operating Margin</t>
        </is>
      </c>
      <c r="H114" s="1495" t="n"/>
      <c r="I114" s="1495" t="n"/>
      <c r="J114" s="1496">
        <f>J110/J107</f>
        <v/>
      </c>
      <c r="K114" s="1496">
        <f>K110/K107</f>
        <v/>
      </c>
      <c r="L114" s="1496">
        <f>L110/L107</f>
        <v/>
      </c>
      <c r="M114" s="1496">
        <f>M110/M107</f>
        <v/>
      </c>
      <c r="N114" s="1497">
        <f>N110/N107</f>
        <v/>
      </c>
    </row>
    <row r="121" hidden="1" customFormat="1" s="690"/>
    <row r="122" hidden="1" s="1883"/>
    <row r="123" hidden="1" s="1883"/>
    <row r="124" hidden="1" s="1883">
      <c r="G124" s="1504" t="inlineStr">
        <is>
          <t>PURE TECH + VSBLTY</t>
        </is>
      </c>
    </row>
    <row r="125" hidden="1" ht="15" customHeight="1" s="1883">
      <c r="J125" s="1884" t="n"/>
    </row>
    <row r="126" hidden="1" s="1883"/>
    <row r="127" hidden="1" s="1883"/>
    <row r="128" hidden="1" ht="15" customHeight="1" s="1883">
      <c r="B128" s="383" t="n"/>
      <c r="C128" s="383" t="n"/>
      <c r="D128" s="383" t="n"/>
      <c r="E128" s="383" t="n"/>
      <c r="F128" s="383" t="n"/>
      <c r="G128" s="383" t="n"/>
      <c r="H128" s="383" t="n"/>
      <c r="I128" s="386" t="inlineStr">
        <is>
          <t>Pre-Launch</t>
        </is>
      </c>
      <c r="J128" s="1882" t="inlineStr">
        <is>
          <t>Post-Launch</t>
        </is>
      </c>
    </row>
    <row r="129" hidden="1" ht="15" customHeight="1" s="1883">
      <c r="I129" s="628" t="n"/>
      <c r="J129" s="628" t="n"/>
      <c r="K129" s="628" t="n"/>
      <c r="L129" s="628" t="n"/>
      <c r="M129" s="628" t="n"/>
      <c r="N129" s="628" t="n"/>
    </row>
    <row r="130" hidden="1" ht="15" customHeight="1" s="1883"/>
    <row r="131" hidden="1" ht="15" customHeight="1" s="1883">
      <c r="B131" s="383" t="n"/>
      <c r="C131" s="383" t="n"/>
      <c r="D131" s="383" t="n"/>
      <c r="E131" s="383" t="n"/>
      <c r="F131" s="383" t="n"/>
      <c r="G131" s="383" t="n"/>
      <c r="H131" s="383" t="n"/>
      <c r="I131" s="386" t="inlineStr">
        <is>
          <t>Year 0</t>
        </is>
      </c>
      <c r="J131" s="386" t="inlineStr">
        <is>
          <t>Year 1</t>
        </is>
      </c>
      <c r="K131" s="386" t="inlineStr">
        <is>
          <t>Year 2</t>
        </is>
      </c>
      <c r="L131" s="386" t="inlineStr">
        <is>
          <t>Year 3</t>
        </is>
      </c>
      <c r="M131" s="386" t="inlineStr">
        <is>
          <t>Year 4</t>
        </is>
      </c>
      <c r="N131" s="386" t="inlineStr">
        <is>
          <t>Year 5</t>
        </is>
      </c>
    </row>
    <row r="132" hidden="1" ht="15" customHeight="1" s="1883">
      <c r="B132" s="383" t="n"/>
      <c r="C132" s="383" t="n"/>
      <c r="D132" s="383" t="n"/>
      <c r="E132" s="383" t="n"/>
      <c r="F132" s="383" t="n"/>
      <c r="G132" s="383" t="n"/>
      <c r="H132" s="383" t="n"/>
      <c r="I132" s="386" t="inlineStr">
        <is>
          <t>Months -12 to -1</t>
        </is>
      </c>
      <c r="J132" s="386" t="inlineStr">
        <is>
          <t>Months 1 - 12</t>
        </is>
      </c>
      <c r="K132" s="386" t="inlineStr">
        <is>
          <t>Months 13 - 24</t>
        </is>
      </c>
      <c r="L132" s="386" t="inlineStr">
        <is>
          <t>Months 25 - 36</t>
        </is>
      </c>
      <c r="M132" s="386" t="inlineStr">
        <is>
          <t>Months 37 - 48</t>
        </is>
      </c>
      <c r="N132" s="386" t="inlineStr">
        <is>
          <t>Months 49 - 60</t>
        </is>
      </c>
    </row>
    <row r="133" hidden="1" ht="15" customHeight="1" s="1883">
      <c r="B133" s="383" t="n"/>
      <c r="C133" s="383" t="n"/>
      <c r="D133" s="383" t="n"/>
      <c r="E133" s="383" t="n"/>
      <c r="F133" s="383" t="n"/>
      <c r="G133" s="383" t="n"/>
      <c r="H133" s="383" t="n"/>
      <c r="I133" s="387" t="n"/>
      <c r="J133" s="387" t="n"/>
      <c r="K133" s="387" t="n"/>
      <c r="L133" s="387" t="n"/>
      <c r="M133" s="387" t="n"/>
      <c r="N133" s="387" t="n"/>
    </row>
    <row r="134" hidden="1" ht="15" customHeight="1" s="1883">
      <c r="B134" s="383" t="n"/>
      <c r="C134" s="383" t="n"/>
      <c r="D134" s="383" t="n"/>
      <c r="E134" s="383" t="n"/>
      <c r="F134" s="383" t="n"/>
      <c r="G134" s="383" t="n"/>
      <c r="H134" s="383" t="n"/>
      <c r="I134" s="383" t="n"/>
      <c r="J134" s="383" t="n"/>
      <c r="K134" s="383" t="n"/>
      <c r="L134" s="383" t="n"/>
      <c r="M134" s="383" t="n"/>
      <c r="N134" s="383" t="n"/>
    </row>
    <row r="135" hidden="1" ht="15" customHeight="1" s="1883">
      <c r="B135" s="383" t="n"/>
      <c r="C135" s="383" t="n"/>
      <c r="D135" s="383" t="n"/>
      <c r="E135" s="383" t="n"/>
      <c r="F135" s="383" t="n"/>
      <c r="G135" s="383" t="n"/>
      <c r="H135" s="383" t="n"/>
      <c r="I135" s="383" t="n"/>
      <c r="J135" s="383" t="n"/>
      <c r="K135" s="383" t="n"/>
      <c r="L135" s="383" t="n"/>
      <c r="M135" s="383" t="n"/>
      <c r="N135" s="383" t="n"/>
    </row>
    <row r="136" hidden="1" ht="15" customHeight="1" s="1883">
      <c r="B136" s="385" t="inlineStr">
        <is>
          <t>MOBILE TELEPHONES DEPLOYED</t>
        </is>
      </c>
      <c r="C136" s="383" t="n"/>
      <c r="D136" s="383" t="n"/>
      <c r="E136" s="383" t="n"/>
      <c r="F136" s="383" t="n"/>
      <c r="G136" s="383" t="n"/>
      <c r="H136" s="383" t="n"/>
      <c r="I136" s="383" t="n"/>
      <c r="J136" s="383" t="n"/>
      <c r="K136" s="383" t="n"/>
      <c r="L136" s="383" t="n"/>
      <c r="M136" s="383" t="n"/>
      <c r="N136" s="383" t="n"/>
    </row>
    <row r="137" hidden="1" ht="15" customHeight="1" s="1883">
      <c r="B137" s="387" t="n"/>
      <c r="C137" s="387" t="n"/>
      <c r="D137" s="387" t="n"/>
      <c r="E137" s="387" t="n"/>
      <c r="F137" s="387" t="n"/>
      <c r="G137" s="387" t="n"/>
      <c r="H137" s="383" t="n"/>
      <c r="I137" s="383" t="n"/>
      <c r="J137" s="383" t="n"/>
      <c r="K137" s="383" t="n"/>
      <c r="L137" s="383" t="n"/>
      <c r="M137" s="383" t="n"/>
      <c r="N137" s="383" t="n"/>
    </row>
    <row r="138" hidden="1" ht="15" customHeight="1" s="1883">
      <c r="B138" s="383" t="n"/>
      <c r="C138" s="383" t="n"/>
      <c r="D138" s="383" t="n"/>
      <c r="E138" s="383" t="n"/>
      <c r="F138" s="383" t="n"/>
      <c r="G138" s="383" t="n"/>
      <c r="H138" s="383" t="n"/>
      <c r="I138" s="383" t="n"/>
      <c r="J138" s="383" t="n"/>
      <c r="K138" s="383" t="n"/>
      <c r="L138" s="383" t="n"/>
      <c r="M138" s="383" t="n"/>
      <c r="N138" s="383" t="n"/>
    </row>
    <row r="139" hidden="1" ht="15" customHeight="1" s="1883">
      <c r="B139" s="390" t="inlineStr">
        <is>
          <t>●</t>
        </is>
      </c>
      <c r="C139" s="385" t="inlineStr">
        <is>
          <t>Full-Year Average</t>
        </is>
      </c>
      <c r="D139" s="385" t="n"/>
      <c r="E139" s="383" t="n"/>
      <c r="F139" s="383" t="n"/>
      <c r="G139" s="383" t="n"/>
      <c r="H139" s="383" t="n"/>
      <c r="I139" s="1445">
        <f>I26</f>
        <v/>
      </c>
      <c r="J139" s="1445">
        <f>J26</f>
        <v/>
      </c>
      <c r="K139" s="1445">
        <f>K26</f>
        <v/>
      </c>
      <c r="L139" s="1445">
        <f>L26</f>
        <v/>
      </c>
      <c r="M139" s="1445">
        <f>M26</f>
        <v/>
      </c>
      <c r="N139" s="1445">
        <f>N26</f>
        <v/>
      </c>
    </row>
    <row r="140" hidden="1" ht="15" customHeight="1" s="1883">
      <c r="B140" s="390" t="inlineStr">
        <is>
          <t>●</t>
        </is>
      </c>
      <c r="C140" s="385" t="inlineStr">
        <is>
          <t>End of Year</t>
        </is>
      </c>
      <c r="D140" s="385" t="n"/>
      <c r="E140" s="383" t="n"/>
      <c r="F140" s="383" t="n"/>
      <c r="G140" s="383" t="n"/>
      <c r="H140" s="383" t="n"/>
      <c r="I140" s="1445">
        <f>I27</f>
        <v/>
      </c>
      <c r="J140" s="1445">
        <f>J27</f>
        <v/>
      </c>
      <c r="K140" s="1445">
        <f>K27</f>
        <v/>
      </c>
      <c r="L140" s="1445">
        <f>L27</f>
        <v/>
      </c>
      <c r="M140" s="1445">
        <f>M27</f>
        <v/>
      </c>
      <c r="N140" s="1445">
        <f>N27</f>
        <v/>
      </c>
    </row>
    <row r="141" hidden="1" ht="15" customHeight="1" s="1883">
      <c r="B141" s="383" t="n"/>
      <c r="C141" s="383" t="n"/>
      <c r="D141" s="383" t="n"/>
      <c r="E141" s="383" t="n"/>
      <c r="F141" s="383" t="n"/>
      <c r="G141" s="383" t="n"/>
      <c r="H141" s="383" t="n"/>
      <c r="I141" s="1445" t="n"/>
      <c r="J141" s="1445" t="n"/>
      <c r="K141" s="1445" t="n"/>
      <c r="L141" s="1445" t="n"/>
      <c r="M141" s="1445" t="n"/>
      <c r="N141" s="1445" t="n"/>
    </row>
    <row r="142" hidden="1" ht="15" customHeight="1" s="1883">
      <c r="B142" s="385" t="inlineStr">
        <is>
          <t>REVENUE</t>
        </is>
      </c>
      <c r="C142" s="383" t="n"/>
      <c r="D142" s="383" t="n"/>
      <c r="E142" s="383" t="n"/>
      <c r="F142" s="383" t="n"/>
      <c r="G142" s="383" t="n"/>
      <c r="H142" s="383" t="n"/>
      <c r="I142" s="1445" t="n"/>
      <c r="J142" s="1445" t="n"/>
      <c r="K142" s="1445" t="n"/>
      <c r="L142" s="1445" t="n"/>
      <c r="M142" s="1445" t="n"/>
      <c r="N142" s="1445" t="n"/>
    </row>
    <row r="143" hidden="1" ht="15" customHeight="1" s="1883">
      <c r="B143" s="392" t="n"/>
      <c r="C143" s="387" t="n"/>
      <c r="D143" s="387" t="n"/>
      <c r="E143" s="387" t="n"/>
      <c r="F143" s="387" t="n"/>
      <c r="G143" s="387" t="n"/>
      <c r="H143" s="383" t="n"/>
      <c r="I143" s="1445" t="n"/>
      <c r="J143" s="1445" t="n"/>
      <c r="K143" s="1445" t="n"/>
      <c r="L143" s="1445" t="n"/>
      <c r="M143" s="1445" t="n"/>
      <c r="N143" s="1445" t="n"/>
    </row>
    <row r="144" hidden="1" ht="15" customHeight="1" s="1883">
      <c r="B144" s="390" t="inlineStr">
        <is>
          <t>●</t>
        </is>
      </c>
      <c r="C144" s="383" t="inlineStr">
        <is>
          <t>Hardware Subsidies*</t>
        </is>
      </c>
      <c r="D144" s="383" t="n"/>
      <c r="E144" s="383" t="n"/>
      <c r="F144" s="383" t="n"/>
      <c r="G144" s="383" t="n"/>
      <c r="H144" s="383" t="n"/>
      <c r="I144" s="1506">
        <f>I31</f>
        <v/>
      </c>
      <c r="J144" s="1506">
        <f>J31</f>
        <v/>
      </c>
      <c r="K144" s="1506">
        <f>K31</f>
        <v/>
      </c>
      <c r="L144" s="1506">
        <f>L31</f>
        <v/>
      </c>
      <c r="M144" s="1506">
        <f>M31</f>
        <v/>
      </c>
      <c r="N144" s="1506">
        <f>N31</f>
        <v/>
      </c>
    </row>
    <row r="145" hidden="1" ht="15" customHeight="1" s="1883">
      <c r="B145" s="390" t="inlineStr">
        <is>
          <t>●</t>
        </is>
      </c>
      <c r="C145" s="383" t="inlineStr">
        <is>
          <t>Total Gross  Revenue, Market Research Services</t>
        </is>
      </c>
      <c r="D145" s="383" t="n"/>
      <c r="E145" s="383" t="n"/>
      <c r="F145" s="383" t="n"/>
      <c r="G145" s="383" t="n"/>
      <c r="H145" s="383" t="n"/>
      <c r="I145" s="1506">
        <f>I32</f>
        <v/>
      </c>
      <c r="J145" s="1506">
        <f>J32</f>
        <v/>
      </c>
      <c r="K145" s="1506">
        <f>K32</f>
        <v/>
      </c>
      <c r="L145" s="1506">
        <f>L32</f>
        <v/>
      </c>
      <c r="M145" s="1506">
        <f>M32</f>
        <v/>
      </c>
      <c r="N145" s="1506">
        <f>N32</f>
        <v/>
      </c>
    </row>
    <row r="146" hidden="1" ht="15" customHeight="1" s="1883">
      <c r="B146" s="390" t="inlineStr">
        <is>
          <t>●</t>
        </is>
      </c>
      <c r="C146" s="383" t="inlineStr">
        <is>
          <t>Total Gross Revenue, Pure Influence</t>
        </is>
      </c>
      <c r="D146" s="383" t="n"/>
      <c r="E146" s="383" t="n"/>
      <c r="F146" s="383" t="n"/>
      <c r="G146" s="383" t="n"/>
      <c r="H146" s="383" t="n"/>
      <c r="I146" s="1506">
        <f>I33</f>
        <v/>
      </c>
      <c r="J146" s="1506">
        <f>J33</f>
        <v/>
      </c>
      <c r="K146" s="1506">
        <f>K33</f>
        <v/>
      </c>
      <c r="L146" s="1506">
        <f>L33</f>
        <v/>
      </c>
      <c r="M146" s="1506">
        <f>M33</f>
        <v/>
      </c>
      <c r="N146" s="1506">
        <f>N33</f>
        <v/>
      </c>
    </row>
    <row r="147" hidden="1" ht="15" customHeight="1" s="1883">
      <c r="B147" s="390" t="inlineStr">
        <is>
          <t>●</t>
        </is>
      </c>
      <c r="C147" s="383" t="inlineStr">
        <is>
          <t>Total Gross Revenue, Pure Research</t>
        </is>
      </c>
      <c r="D147" s="383" t="n"/>
      <c r="E147" s="383" t="n"/>
      <c r="F147" s="383" t="n"/>
      <c r="G147" s="383" t="n"/>
      <c r="H147" s="383" t="n"/>
      <c r="I147" s="1506">
        <f>I36</f>
        <v/>
      </c>
      <c r="J147" s="1506">
        <f>J36</f>
        <v/>
      </c>
      <c r="K147" s="1506">
        <f>K36</f>
        <v/>
      </c>
      <c r="L147" s="1506">
        <f>L36</f>
        <v/>
      </c>
      <c r="M147" s="1506">
        <f>M36</f>
        <v/>
      </c>
      <c r="N147" s="1506">
        <f>N36</f>
        <v/>
      </c>
    </row>
    <row r="148" hidden="1" ht="15" customHeight="1" s="1883">
      <c r="B148" s="390" t="inlineStr">
        <is>
          <t>●</t>
        </is>
      </c>
      <c r="C148" s="383" t="inlineStr">
        <is>
          <t>Total Gross Revenue, VSBLTY / Pure Vision</t>
        </is>
      </c>
      <c r="D148" s="383" t="n"/>
      <c r="E148" s="383" t="n"/>
      <c r="F148" s="383" t="n"/>
      <c r="G148" s="383" t="n"/>
      <c r="H148" s="383" t="n"/>
      <c r="I148" s="446">
        <f>'[1]P&amp;L Projection Quarterly'!$K$51</f>
        <v/>
      </c>
      <c r="J148" s="446">
        <f>'[1]P&amp;L Projection Quarterly'!$P$51</f>
        <v/>
      </c>
      <c r="K148" s="446">
        <f>J145*1.25</f>
        <v/>
      </c>
      <c r="L148" s="1506">
        <f>K145*1.25</f>
        <v/>
      </c>
      <c r="M148" s="1506">
        <f>L145*1.25</f>
        <v/>
      </c>
      <c r="N148" s="1506">
        <f>M145*1.25</f>
        <v/>
      </c>
    </row>
    <row r="149" hidden="1" ht="15" customHeight="1" s="1883">
      <c r="B149" s="383" t="n"/>
      <c r="C149" s="383" t="n"/>
      <c r="D149" s="383" t="n"/>
      <c r="E149" s="383" t="n"/>
      <c r="F149" s="383" t="n"/>
      <c r="G149" s="383" t="n"/>
      <c r="H149" s="383" t="n"/>
      <c r="I149" s="1445" t="n"/>
      <c r="J149" s="1445" t="n"/>
      <c r="K149" s="1445" t="n"/>
      <c r="L149" s="1445" t="n"/>
      <c r="M149" s="1445" t="n"/>
      <c r="N149" s="1445" t="n"/>
    </row>
    <row r="150" hidden="1" ht="15" customHeight="1" s="1883">
      <c r="B150" s="383" t="n"/>
      <c r="D150" s="385" t="inlineStr">
        <is>
          <t>TOTAL NET REVENUE</t>
        </is>
      </c>
      <c r="E150" s="383" t="n"/>
      <c r="F150" s="383" t="n"/>
      <c r="G150" s="383" t="n"/>
      <c r="H150" s="383" t="n"/>
      <c r="I150" s="1503">
        <f>SUM(I141:I146)</f>
        <v/>
      </c>
      <c r="J150" s="1503">
        <f>SUM(J141:J146)</f>
        <v/>
      </c>
      <c r="K150" s="1503">
        <f>SUM(K141:K146)</f>
        <v/>
      </c>
      <c r="L150" s="1503">
        <f>SUM(L141:L146)</f>
        <v/>
      </c>
      <c r="M150" s="1503">
        <f>SUM(M141:M146)</f>
        <v/>
      </c>
      <c r="N150" s="1503">
        <f>SUM(N141:N146)</f>
        <v/>
      </c>
    </row>
    <row r="151" hidden="1" ht="17" customHeight="1" s="1883">
      <c r="B151" s="383" t="n"/>
      <c r="D151" s="385" t="n"/>
      <c r="E151" s="383" t="n"/>
      <c r="F151" s="383" t="n"/>
      <c r="G151" s="383" t="n"/>
      <c r="H151" s="383" t="n"/>
      <c r="I151" s="1445" t="n"/>
      <c r="J151" s="1445" t="n"/>
      <c r="K151" s="1445" t="n"/>
      <c r="L151" s="1445" t="n"/>
      <c r="M151" s="1445" t="n"/>
      <c r="N151" s="1445" t="n"/>
    </row>
    <row r="152" hidden="1" ht="15" customHeight="1" s="1883">
      <c r="B152" s="385" t="inlineStr">
        <is>
          <t>COST OF GOODS SOLD</t>
        </is>
      </c>
      <c r="I152" s="1445" t="n"/>
      <c r="J152" s="1445" t="n"/>
      <c r="K152" s="1445" t="n"/>
      <c r="L152" s="1445" t="n"/>
      <c r="M152" s="1445" t="n"/>
      <c r="N152" s="1445" t="n"/>
    </row>
    <row r="153" hidden="1" ht="15" customHeight="1" s="1883">
      <c r="B153" s="390" t="inlineStr">
        <is>
          <t>●</t>
        </is>
      </c>
      <c r="C153" s="383" t="inlineStr">
        <is>
          <t>Hardware COGS</t>
        </is>
      </c>
      <c r="I153" s="1506">
        <f>I42</f>
        <v/>
      </c>
      <c r="J153" s="1506">
        <f>J42</f>
        <v/>
      </c>
      <c r="K153" s="1506">
        <f>K42</f>
        <v/>
      </c>
      <c r="L153" s="1506">
        <f>L42</f>
        <v/>
      </c>
      <c r="M153" s="1506">
        <f>M42</f>
        <v/>
      </c>
      <c r="N153" s="1506">
        <f>N42</f>
        <v/>
      </c>
    </row>
    <row r="154" hidden="1" ht="15" customHeight="1" s="1883">
      <c r="B154" s="390" t="inlineStr">
        <is>
          <t>●</t>
        </is>
      </c>
      <c r="C154" s="383" t="inlineStr">
        <is>
          <t>Pure Influence COGS</t>
        </is>
      </c>
      <c r="I154" s="1506">
        <f>I56</f>
        <v/>
      </c>
      <c r="J154" s="1506">
        <f>J56</f>
        <v/>
      </c>
      <c r="K154" s="1506">
        <f>K56</f>
        <v/>
      </c>
      <c r="L154" s="1506">
        <f>L56</f>
        <v/>
      </c>
      <c r="M154" s="1506">
        <f>M56</f>
        <v/>
      </c>
      <c r="N154" s="1506">
        <f>N56</f>
        <v/>
      </c>
    </row>
    <row r="155" hidden="1" ht="15" customHeight="1" s="1883">
      <c r="B155" s="390" t="inlineStr">
        <is>
          <t>●</t>
        </is>
      </c>
      <c r="C155" s="383" t="inlineStr">
        <is>
          <t>VSBLTY / Pure Vision COGS</t>
        </is>
      </c>
      <c r="I155" s="446">
        <f>'[1]P&amp;L Projection Quarterly'!$K$57</f>
        <v/>
      </c>
      <c r="J155" s="446">
        <f>'[1]P&amp;L Projection Quarterly'!$P$57</f>
        <v/>
      </c>
      <c r="K155" s="446">
        <f>J152*1.25</f>
        <v/>
      </c>
      <c r="L155" s="1506">
        <f>K152*1.25</f>
        <v/>
      </c>
      <c r="M155" s="1506">
        <f>L152*1.25</f>
        <v/>
      </c>
      <c r="N155" s="1506">
        <f>M152*1.25</f>
        <v/>
      </c>
    </row>
    <row r="156" hidden="1" ht="15" customHeight="1" s="1883">
      <c r="B156" s="390" t="n"/>
      <c r="C156" s="385" t="inlineStr">
        <is>
          <t>COGS</t>
        </is>
      </c>
      <c r="I156" s="1445">
        <f>I150+I151+(-I152)</f>
        <v/>
      </c>
      <c r="J156" s="1445">
        <f>J150+J151+(-J152)</f>
        <v/>
      </c>
      <c r="K156" s="1445">
        <f>K150+K151+(-K152)</f>
        <v/>
      </c>
      <c r="L156" s="1445">
        <f>L150+L151+(-L152)</f>
        <v/>
      </c>
      <c r="M156" s="1445">
        <f>M150+M151+(-M152)</f>
        <v/>
      </c>
      <c r="N156" s="1445">
        <f>N150+N151+(-N152)</f>
        <v/>
      </c>
    </row>
    <row r="157" hidden="1" ht="15" customHeight="1" s="1883">
      <c r="B157" s="385" t="inlineStr">
        <is>
          <t>NET OPERATING MARGIN</t>
        </is>
      </c>
      <c r="C157" s="383" t="n"/>
      <c r="I157" s="1503">
        <f>I147-I153</f>
        <v/>
      </c>
      <c r="J157" s="1503">
        <f>J147-J153</f>
        <v/>
      </c>
      <c r="K157" s="1503">
        <f>K147-K153</f>
        <v/>
      </c>
      <c r="L157" s="1503">
        <f>L147-L153</f>
        <v/>
      </c>
      <c r="M157" s="1503">
        <f>M147-M153</f>
        <v/>
      </c>
      <c r="N157" s="1503">
        <f>N147-N153</f>
        <v/>
      </c>
    </row>
    <row r="158" hidden="1" ht="15" customHeight="1" s="1883">
      <c r="B158" s="385" t="n"/>
      <c r="C158" s="383" t="n"/>
      <c r="I158" s="1445" t="n"/>
      <c r="J158" s="1445" t="n"/>
      <c r="K158" s="1445" t="n"/>
      <c r="L158" s="1445" t="n"/>
      <c r="M158" s="1445" t="n"/>
      <c r="N158" s="1445" t="n"/>
    </row>
    <row r="159" hidden="1" ht="15" customHeight="1" s="1883">
      <c r="B159" s="385" t="inlineStr">
        <is>
          <t>OPERATING EXPENSES</t>
        </is>
      </c>
      <c r="C159" s="383" t="n"/>
      <c r="D159" s="383" t="n"/>
      <c r="E159" s="383" t="n"/>
      <c r="F159" s="383" t="n"/>
      <c r="G159" s="383" t="n"/>
      <c r="H159" s="383" t="n"/>
      <c r="I159" s="1445" t="n"/>
      <c r="J159" s="1445" t="n"/>
      <c r="K159" s="1445" t="n"/>
      <c r="L159" s="1445" t="n"/>
      <c r="M159" s="1445" t="n"/>
      <c r="N159" s="1445" t="n"/>
    </row>
    <row r="160" hidden="1" ht="15" customHeight="1" s="1883">
      <c r="B160" s="387" t="n"/>
      <c r="C160" s="387" t="n"/>
      <c r="D160" s="387" t="n"/>
      <c r="E160" s="387" t="n"/>
      <c r="F160" s="387" t="n"/>
      <c r="G160" s="387" t="n"/>
      <c r="H160" s="383" t="n"/>
      <c r="I160" s="1445" t="n"/>
      <c r="J160" s="1445" t="n"/>
      <c r="K160" s="1445" t="n"/>
      <c r="L160" s="1445" t="n"/>
      <c r="M160" s="1445" t="n"/>
      <c r="N160" s="1445" t="n"/>
    </row>
    <row r="161" hidden="1" ht="15" customHeight="1" s="1883">
      <c r="B161" s="383" t="n"/>
      <c r="C161" s="383" t="n"/>
      <c r="D161" s="383" t="n"/>
      <c r="E161" s="383" t="n"/>
      <c r="F161" s="383" t="n"/>
      <c r="G161" s="383" t="n"/>
      <c r="H161" s="383" t="n"/>
      <c r="I161" s="1445" t="n"/>
      <c r="J161" s="1445" t="n"/>
      <c r="K161" s="1445" t="n"/>
      <c r="L161" s="1445" t="n"/>
      <c r="M161" s="1445" t="n"/>
      <c r="N161" s="1445" t="n"/>
    </row>
    <row r="162" hidden="1" ht="15" customHeight="1" s="1883">
      <c r="B162" s="390" t="inlineStr">
        <is>
          <t>●</t>
        </is>
      </c>
      <c r="C162" s="383" t="inlineStr">
        <is>
          <t>People Cost (Salaries, ER Taxes, Benefits)</t>
        </is>
      </c>
      <c r="D162" s="383" t="n"/>
      <c r="E162" s="383" t="n"/>
      <c r="F162" s="383" t="n"/>
      <c r="G162" s="383" t="n"/>
      <c r="H162" s="383" t="n"/>
      <c r="I162" s="1506">
        <f>I50</f>
        <v/>
      </c>
      <c r="J162" s="1506">
        <f>J50</f>
        <v/>
      </c>
      <c r="K162" s="1506">
        <f>K50</f>
        <v/>
      </c>
      <c r="L162" s="1506">
        <f>L50</f>
        <v/>
      </c>
      <c r="M162" s="1506">
        <f>M50</f>
        <v/>
      </c>
      <c r="N162" s="1506">
        <f>N50</f>
        <v/>
      </c>
    </row>
    <row r="163" hidden="1" ht="15" customHeight="1" s="1883">
      <c r="B163" s="390" t="inlineStr">
        <is>
          <t>●</t>
        </is>
      </c>
      <c r="C163" s="383" t="inlineStr">
        <is>
          <t>Research and Development</t>
        </is>
      </c>
      <c r="D163" s="383" t="n"/>
      <c r="E163" s="383" t="n"/>
      <c r="F163" s="383" t="n"/>
      <c r="G163" s="383" t="n"/>
      <c r="H163" s="383" t="n"/>
      <c r="I163" s="1506">
        <f>I51</f>
        <v/>
      </c>
      <c r="J163" s="1506">
        <f>J51</f>
        <v/>
      </c>
      <c r="K163" s="1506">
        <f>K51</f>
        <v/>
      </c>
      <c r="L163" s="1506">
        <f>L51</f>
        <v/>
      </c>
      <c r="M163" s="1506">
        <f>M51</f>
        <v/>
      </c>
      <c r="N163" s="1506">
        <f>N51</f>
        <v/>
      </c>
    </row>
    <row r="164" hidden="1" ht="15" customHeight="1" s="1883">
      <c r="B164" s="390" t="inlineStr">
        <is>
          <t>●</t>
        </is>
      </c>
      <c r="C164" s="383" t="inlineStr">
        <is>
          <t>Sales and Marketing</t>
        </is>
      </c>
      <c r="D164" s="383" t="n"/>
      <c r="E164" s="383" t="n"/>
      <c r="F164" s="383" t="n"/>
      <c r="G164" s="383" t="n"/>
      <c r="H164" s="383" t="n"/>
      <c r="I164" s="1506">
        <f>I52</f>
        <v/>
      </c>
      <c r="J164" s="1506">
        <f>J52</f>
        <v/>
      </c>
      <c r="K164" s="1506">
        <f>K52</f>
        <v/>
      </c>
      <c r="L164" s="1506">
        <f>L52</f>
        <v/>
      </c>
      <c r="M164" s="1506">
        <f>M52</f>
        <v/>
      </c>
      <c r="N164" s="1506">
        <f>N52</f>
        <v/>
      </c>
    </row>
    <row r="165" hidden="1" ht="15" customHeight="1" s="1883">
      <c r="B165" s="390" t="inlineStr">
        <is>
          <t>●</t>
        </is>
      </c>
      <c r="C165" s="383" t="inlineStr">
        <is>
          <t>Occupancy</t>
        </is>
      </c>
      <c r="D165" s="383" t="n"/>
      <c r="E165" s="383" t="n"/>
      <c r="F165" s="383" t="n"/>
      <c r="G165" s="383" t="n"/>
      <c r="H165" s="383" t="n"/>
      <c r="I165" s="1506">
        <f>I53</f>
        <v/>
      </c>
      <c r="J165" s="1506">
        <f>J53</f>
        <v/>
      </c>
      <c r="K165" s="1506">
        <f>K53</f>
        <v/>
      </c>
      <c r="L165" s="1506">
        <f>L53</f>
        <v/>
      </c>
      <c r="M165" s="1506">
        <f>M53</f>
        <v/>
      </c>
      <c r="N165" s="1506">
        <f>N53</f>
        <v/>
      </c>
    </row>
    <row r="166" hidden="1" ht="15" customHeight="1" s="1883">
      <c r="B166" s="390" t="inlineStr">
        <is>
          <t>●</t>
        </is>
      </c>
      <c r="C166" s="383" t="inlineStr">
        <is>
          <t>General and Administrative</t>
        </is>
      </c>
      <c r="D166" s="383" t="n"/>
      <c r="E166" s="383" t="n"/>
      <c r="F166" s="383" t="n"/>
      <c r="G166" s="383" t="n"/>
      <c r="H166" s="383" t="n"/>
      <c r="I166" s="1506">
        <f>I60</f>
        <v/>
      </c>
      <c r="J166" s="1506">
        <f>J60</f>
        <v/>
      </c>
      <c r="K166" s="1506">
        <f>K60</f>
        <v/>
      </c>
      <c r="L166" s="1506">
        <f>L60</f>
        <v/>
      </c>
      <c r="M166" s="1506">
        <f>M60</f>
        <v/>
      </c>
      <c r="N166" s="1506">
        <f>N60</f>
        <v/>
      </c>
    </row>
    <row r="167" hidden="1" ht="15" customHeight="1" s="1883">
      <c r="B167" s="390" t="inlineStr">
        <is>
          <t>●</t>
        </is>
      </c>
      <c r="C167" s="383" t="inlineStr">
        <is>
          <t>VSBLTY / Pure Vision Operating Expenses</t>
        </is>
      </c>
      <c r="D167" s="383" t="n"/>
      <c r="E167" s="383" t="n"/>
      <c r="F167" s="383" t="n"/>
      <c r="G167" s="383" t="n"/>
      <c r="H167" s="383" t="n"/>
      <c r="I167" s="446" t="n">
        <v>5928357</v>
      </c>
      <c r="J167" s="446" t="n">
        <v>6243213</v>
      </c>
      <c r="K167" s="446">
        <f>J164*1.15</f>
        <v/>
      </c>
      <c r="L167" s="1506">
        <f>K164*1.15</f>
        <v/>
      </c>
      <c r="M167" s="1506">
        <f>L164*1.15</f>
        <v/>
      </c>
      <c r="N167" s="1506">
        <f>M164*1.15</f>
        <v/>
      </c>
    </row>
    <row r="168" hidden="1" ht="15" customHeight="1" s="1883">
      <c r="B168" s="383" t="n"/>
      <c r="C168" s="383" t="n"/>
      <c r="D168" s="383" t="n"/>
      <c r="E168" s="383" t="n"/>
      <c r="F168" s="383" t="n"/>
      <c r="G168" s="383" t="n"/>
      <c r="H168" s="383" t="n"/>
      <c r="I168" s="462" t="n"/>
      <c r="J168" s="462" t="n"/>
      <c r="K168" s="462" t="n"/>
      <c r="L168" s="462" t="n"/>
      <c r="M168" s="462" t="n"/>
      <c r="N168" s="462" t="n"/>
    </row>
    <row r="169" hidden="1" ht="15" customHeight="1" s="1883">
      <c r="B169" s="383" t="n"/>
      <c r="D169" s="385" t="inlineStr">
        <is>
          <t>TOTAL OPERATING EXPENSES</t>
        </is>
      </c>
      <c r="E169" s="383" t="n"/>
      <c r="F169" s="383" t="n"/>
      <c r="G169" s="655" t="n"/>
      <c r="H169" s="383" t="n"/>
      <c r="I169" s="396">
        <f>SUM(I159:I164)</f>
        <v/>
      </c>
      <c r="J169" s="396">
        <f>SUM(J159:J164)</f>
        <v/>
      </c>
      <c r="K169" s="396">
        <f>SUM(K159:K164)</f>
        <v/>
      </c>
      <c r="L169" s="396">
        <f>SUM(L159:L164)</f>
        <v/>
      </c>
      <c r="M169" s="396">
        <f>SUM(M159:M164)</f>
        <v/>
      </c>
      <c r="N169" s="396">
        <f>SUM(N159:N164)</f>
        <v/>
      </c>
    </row>
    <row r="170" hidden="1" s="1883">
      <c r="I170" s="628" t="n"/>
      <c r="J170" s="628" t="n"/>
      <c r="K170" s="628" t="n"/>
      <c r="L170" s="628" t="n"/>
      <c r="M170" s="628" t="n"/>
      <c r="N170" s="628" t="n"/>
    </row>
    <row r="171" hidden="1" s="1883"/>
    <row r="172" hidden="1" ht="15" customHeight="1" s="1883"/>
    <row r="173" hidden="1" ht="15" customHeight="1" s="1883">
      <c r="I173" s="1451" t="n"/>
      <c r="J173" s="1451" t="n"/>
      <c r="K173" s="1451" t="n"/>
      <c r="L173" s="1451" t="n"/>
      <c r="M173" s="1451" t="n"/>
      <c r="N173" s="1451" t="n"/>
    </row>
    <row r="174" hidden="1" ht="15" customHeight="1" s="1883"/>
    <row r="175" hidden="1" ht="15" customHeight="1" s="1883">
      <c r="E175" s="463" t="inlineStr">
        <is>
          <t>EBITDA/OPERATING INCOME / (LOSS), $</t>
        </is>
      </c>
      <c r="F175" s="464" t="n"/>
      <c r="G175" s="464" t="n"/>
      <c r="H175" s="464" t="n"/>
      <c r="I175" s="465">
        <f>((I154)-(I166))</f>
        <v/>
      </c>
      <c r="J175" s="465">
        <f>((J154)-(J166))</f>
        <v/>
      </c>
      <c r="K175" s="465">
        <f>((K154)-(K166))</f>
        <v/>
      </c>
      <c r="L175" s="465">
        <f>((L154)-(L166))</f>
        <v/>
      </c>
      <c r="M175" s="465">
        <f>((M154)-(M166))</f>
        <v/>
      </c>
      <c r="N175" s="465">
        <f>((N154)-(N166))</f>
        <v/>
      </c>
      <c r="Y175" s="1498" t="n"/>
      <c r="Z175" s="1499" t="n"/>
      <c r="AA175" s="1500" t="n"/>
      <c r="AB175" s="1501" t="n"/>
      <c r="AC175" s="1502" t="n"/>
    </row>
    <row r="176" hidden="1" ht="15" customHeight="1" s="1883">
      <c r="E176" s="463" t="inlineStr">
        <is>
          <t>EBIDA/OPERATING MARGIN, %</t>
        </is>
      </c>
      <c r="F176" s="464" t="n"/>
      <c r="G176" s="464" t="n"/>
      <c r="H176" s="464" t="n"/>
      <c r="I176" s="622" t="inlineStr">
        <is>
          <t>N/A</t>
        </is>
      </c>
      <c r="J176" s="623">
        <f>((J172)/(J147))</f>
        <v/>
      </c>
      <c r="K176" s="623">
        <f>((K172)/(K147))</f>
        <v/>
      </c>
      <c r="L176" s="623">
        <f>((L172)/(L147))</f>
        <v/>
      </c>
      <c r="M176" s="623">
        <f>((M172)/(M147))</f>
        <v/>
      </c>
      <c r="N176" s="623">
        <f>((N172)/(N147))</f>
        <v/>
      </c>
    </row>
    <row r="177" hidden="1" ht="15" customHeight="1" s="1883">
      <c r="D177" s="383" t="n"/>
      <c r="E177" s="383" t="n"/>
      <c r="F177" s="383" t="n"/>
      <c r="G177" s="383" t="n"/>
      <c r="H177" s="383" t="n"/>
      <c r="I177" s="508" t="n"/>
      <c r="J177" s="508" t="n"/>
      <c r="K177" s="508" t="n"/>
      <c r="L177" s="508" t="n"/>
      <c r="M177" s="508" t="n"/>
      <c r="N177" s="508" t="n"/>
    </row>
    <row r="178" hidden="1" ht="15" customHeight="1" s="1883">
      <c r="D178" s="383" t="n"/>
      <c r="E178" s="383" t="n"/>
      <c r="F178" s="383" t="n"/>
      <c r="G178" s="383" t="inlineStr">
        <is>
          <t>Expense per phone</t>
        </is>
      </c>
      <c r="H178" s="383" t="n"/>
      <c r="I178" s="462" t="n"/>
      <c r="J178" s="2010">
        <f>(J163+J162+J161+J159+J160+J150)/J137</f>
        <v/>
      </c>
      <c r="K178" s="2010">
        <f>(K163+K162+K161+K159+K160+K150)/K137</f>
        <v/>
      </c>
      <c r="L178" s="2010">
        <f>(L163+L162+L161+L159+L160+L150)/L137</f>
        <v/>
      </c>
      <c r="M178" s="2010">
        <f>(M163+M162+M161+M159+M160+M150)/M137</f>
        <v/>
      </c>
      <c r="N178" s="2010">
        <f>(N163+N162+N161+N159+N160+N150)/N137</f>
        <v/>
      </c>
    </row>
    <row r="179" hidden="1" ht="15" customHeight="1" s="1883">
      <c r="D179" s="383" t="n"/>
      <c r="E179" s="383" t="n"/>
      <c r="F179" s="383" t="n"/>
      <c r="G179" s="383" t="inlineStr">
        <is>
          <t>Revenue per phone</t>
        </is>
      </c>
      <c r="H179" s="383" t="n"/>
      <c r="I179" s="462" t="n"/>
      <c r="J179" s="2010">
        <f>J147/J137</f>
        <v/>
      </c>
      <c r="K179" s="2010">
        <f>K147/K137</f>
        <v/>
      </c>
      <c r="L179" s="2010">
        <f>L147/L137</f>
        <v/>
      </c>
      <c r="M179" s="2010">
        <f>M147/M137</f>
        <v/>
      </c>
      <c r="N179" s="2010">
        <f>N147/N137</f>
        <v/>
      </c>
    </row>
    <row r="180" hidden="1" ht="15" customHeight="1" s="1883">
      <c r="D180" s="383" t="n"/>
      <c r="E180" s="383" t="n"/>
      <c r="F180" s="383" t="n"/>
      <c r="G180" s="383" t="n"/>
      <c r="H180" s="383" t="n"/>
      <c r="I180" s="462" t="n"/>
      <c r="J180" s="462" t="n"/>
      <c r="K180" s="462" t="n"/>
      <c r="L180" s="462" t="n"/>
      <c r="M180" s="462" t="n"/>
      <c r="N180" s="462" t="n"/>
    </row>
    <row r="181" hidden="1" ht="15" customHeight="1" s="1883">
      <c r="D181" s="624" t="inlineStr">
        <is>
          <t>Check</t>
        </is>
      </c>
      <c r="E181" s="624" t="n"/>
      <c r="F181" s="624" t="n"/>
      <c r="G181" s="624" t="n"/>
      <c r="H181" s="624" t="n"/>
      <c r="I181" s="643">
        <f>(-'[2]6A. Pre-Launch Exps. - Roll-Up'!V192)</f>
        <v/>
      </c>
      <c r="J181" s="625">
        <f>'[2]4A. Tel. - Exps. &amp; OI x Month'!AJ198</f>
        <v/>
      </c>
      <c r="K181" s="625">
        <f>'[2]4A. Tel. - Exps. &amp; OI x Month'!AJ290</f>
        <v/>
      </c>
      <c r="L181" s="625">
        <f>'[2]4A. Tel. - Exps. &amp; OI x Month'!AJ382</f>
        <v/>
      </c>
      <c r="M181" s="625">
        <f>'[2]4A. Tel. - Exps. &amp; OI x Month'!AJ474</f>
        <v/>
      </c>
      <c r="N181" s="625">
        <f>'[2]4A. Tel. - Exps. &amp; OI x Month'!AJ566</f>
        <v/>
      </c>
    </row>
    <row r="182" hidden="1" ht="15" customHeight="1" s="1883">
      <c r="D182" s="383" t="n"/>
      <c r="E182" s="383" t="n"/>
      <c r="F182" s="383" t="n"/>
      <c r="G182" s="383" t="n"/>
      <c r="H182" s="383" t="n"/>
      <c r="I182" s="462" t="n"/>
      <c r="J182" s="462" t="n"/>
      <c r="K182" s="462" t="n"/>
      <c r="L182" s="462" t="n"/>
      <c r="M182" s="462" t="n"/>
      <c r="N182" s="462" t="n"/>
    </row>
    <row r="183" hidden="1" ht="15" customHeight="1" s="1883">
      <c r="D183" s="656" t="inlineStr">
        <is>
          <t>Check</t>
        </is>
      </c>
      <c r="E183" s="637" t="n"/>
      <c r="F183" s="637" t="n"/>
      <c r="G183" s="637" t="n"/>
      <c r="H183" s="637" t="n"/>
      <c r="I183" s="638">
        <f>((I178)+(I143)+(I144))</f>
        <v/>
      </c>
      <c r="J183" s="638">
        <f>((J178)+(J143)+(J144))</f>
        <v/>
      </c>
      <c r="K183" s="638">
        <f>((K178)+(K143)+(K144))</f>
        <v/>
      </c>
      <c r="L183" s="638">
        <f>((L178)+(L143)+(L144))</f>
        <v/>
      </c>
      <c r="M183" s="638">
        <f>((M178)+(M143)+(M144))</f>
        <v/>
      </c>
      <c r="N183" s="638">
        <f>((N178)+(N143)+(N144))</f>
        <v/>
      </c>
    </row>
    <row r="184" hidden="1" s="1883">
      <c r="G184" s="1917" t="inlineStr">
        <is>
          <t>Profit per phone</t>
        </is>
      </c>
      <c r="J184" s="2011">
        <f>J176-J175</f>
        <v/>
      </c>
      <c r="K184" s="2011">
        <f>K176-K175</f>
        <v/>
      </c>
      <c r="L184" s="2011">
        <f>L176-L175</f>
        <v/>
      </c>
      <c r="M184" s="2011">
        <f>M176-M175</f>
        <v/>
      </c>
      <c r="N184" s="2011">
        <f>N176-N175</f>
        <v/>
      </c>
    </row>
    <row r="185" hidden="1" s="1883"/>
    <row r="186" hidden="1" s="1883"/>
    <row r="187" hidden="1" s="1883"/>
    <row r="188" hidden="1" s="1883">
      <c r="J188" s="2011" t="n"/>
    </row>
    <row r="189" hidden="1" s="1883"/>
    <row r="191" ht="21" customFormat="1" customHeight="1" s="1840"/>
    <row r="192" ht="16" customHeight="1" s="1883" thickBot="1"/>
    <row r="193" ht="16" customHeight="1" s="1883" thickTop="1"/>
    <row r="194" ht="15" customHeight="1" s="1883">
      <c r="B194" s="1838" t="n"/>
      <c r="C194" s="1838" t="n"/>
      <c r="D194" s="1838" t="n"/>
      <c r="E194" s="1838" t="n"/>
      <c r="F194" s="1838" t="n"/>
      <c r="G194" s="1838" t="inlineStr">
        <is>
          <t>Standalone Financials - PT (Core Model)</t>
        </is>
      </c>
      <c r="H194" s="1838" t="n"/>
      <c r="I194" s="1838" t="n"/>
      <c r="J194" s="1838" t="n"/>
      <c r="K194" s="1838" t="n"/>
      <c r="L194" s="1838" t="n"/>
      <c r="M194" s="1838" t="n"/>
      <c r="N194" s="1838" t="n"/>
    </row>
    <row r="195" ht="15" customHeight="1" s="1883">
      <c r="B195" s="1885" t="n"/>
      <c r="C195" s="1885" t="n"/>
      <c r="D195" s="1885" t="n"/>
      <c r="E195" s="1885" t="n"/>
      <c r="F195" s="1885" t="n"/>
      <c r="G195" s="1885" t="n"/>
      <c r="H195" s="1885" t="n"/>
      <c r="I195" s="1885" t="n"/>
      <c r="J195" s="1885" t="n"/>
      <c r="K195" s="1886" t="n"/>
      <c r="L195" s="1886" t="n"/>
      <c r="M195" s="1886" t="n"/>
      <c r="N195" s="1886" t="n"/>
    </row>
    <row r="196" ht="3" customHeight="1" s="1883">
      <c r="B196" s="383" t="n"/>
      <c r="C196" s="383" t="n"/>
      <c r="D196" s="383" t="n"/>
      <c r="E196" s="383" t="n"/>
      <c r="F196" s="383" t="n"/>
      <c r="G196" s="383" t="n"/>
      <c r="H196" s="383" t="n"/>
      <c r="I196" s="383" t="n"/>
      <c r="J196" s="383" t="n"/>
      <c r="K196" s="383" t="n"/>
      <c r="L196" s="383" t="n"/>
      <c r="M196" s="383" t="n"/>
      <c r="N196" s="383" t="n"/>
    </row>
    <row r="197" ht="3" customHeight="1" s="1883">
      <c r="B197" s="383" t="n"/>
      <c r="C197" s="383" t="n"/>
      <c r="D197" s="383" t="n"/>
      <c r="E197" s="383" t="n"/>
      <c r="F197" s="383" t="n"/>
      <c r="G197" s="383" t="n"/>
      <c r="H197" s="383" t="n"/>
      <c r="I197" s="383" t="n"/>
      <c r="J197" s="383" t="n"/>
      <c r="K197" s="383" t="n"/>
      <c r="L197" s="383" t="n"/>
      <c r="M197" s="383" t="n"/>
      <c r="N197" s="383" t="n"/>
    </row>
    <row r="198" ht="15" customHeight="1" s="1883">
      <c r="B198" s="383" t="n"/>
      <c r="C198" s="383" t="n"/>
      <c r="D198" s="383" t="n"/>
      <c r="E198" s="383" t="n"/>
      <c r="F198" s="383" t="n"/>
      <c r="G198" s="383" t="n"/>
      <c r="H198" s="383" t="n"/>
      <c r="I198" s="386" t="inlineStr">
        <is>
          <t>Pre-Launch</t>
        </is>
      </c>
      <c r="J198" s="1882" t="inlineStr">
        <is>
          <t>Post-Launch</t>
        </is>
      </c>
    </row>
    <row r="199" ht="15" customHeight="1" s="1883">
      <c r="I199" s="628" t="n"/>
      <c r="J199" s="628" t="n"/>
      <c r="K199" s="628" t="n"/>
      <c r="L199" s="628" t="n"/>
      <c r="M199" s="628" t="n"/>
      <c r="N199" s="628" t="n"/>
    </row>
    <row r="200" ht="3" customHeight="1" s="1883"/>
    <row r="201" ht="3" customHeight="1" s="1883">
      <c r="B201" s="383" t="n"/>
      <c r="C201" s="383" t="n"/>
      <c r="D201" s="383" t="n"/>
      <c r="E201" s="383" t="n"/>
      <c r="F201" s="383" t="n"/>
      <c r="G201" s="383" t="n"/>
      <c r="H201" s="383" t="n"/>
      <c r="I201" s="386" t="inlineStr">
        <is>
          <t>Year 0</t>
        </is>
      </c>
      <c r="J201" s="386" t="inlineStr">
        <is>
          <t>Year 1</t>
        </is>
      </c>
      <c r="K201" s="386" t="inlineStr">
        <is>
          <t>Year 2</t>
        </is>
      </c>
      <c r="L201" s="386" t="inlineStr">
        <is>
          <t>Year 3</t>
        </is>
      </c>
      <c r="M201" s="386" t="inlineStr">
        <is>
          <t>Year 4</t>
        </is>
      </c>
      <c r="N201" s="386" t="inlineStr">
        <is>
          <t>Year 5</t>
        </is>
      </c>
    </row>
    <row r="202" ht="3" customHeight="1" s="1883">
      <c r="B202" s="383" t="n"/>
      <c r="C202" s="383" t="n"/>
      <c r="D202" s="383" t="n"/>
      <c r="E202" s="383" t="n"/>
      <c r="F202" s="383" t="n"/>
      <c r="G202" s="383" t="n"/>
      <c r="H202" s="383" t="n"/>
      <c r="I202" s="386" t="inlineStr">
        <is>
          <t>Months -12 to -1</t>
        </is>
      </c>
      <c r="J202" s="386" t="inlineStr">
        <is>
          <t>Months 1 - 12</t>
        </is>
      </c>
      <c r="K202" s="386" t="inlineStr">
        <is>
          <t>Months 13 - 24</t>
        </is>
      </c>
      <c r="L202" s="386" t="inlineStr">
        <is>
          <t>Months 25 - 36</t>
        </is>
      </c>
      <c r="M202" s="386" t="inlineStr">
        <is>
          <t>Months 37 - 48</t>
        </is>
      </c>
      <c r="N202" s="386" t="inlineStr">
        <is>
          <t>Months 49 - 60</t>
        </is>
      </c>
    </row>
    <row r="203" ht="15" customHeight="1" s="1883">
      <c r="B203" s="383" t="n"/>
      <c r="C203" s="383" t="n"/>
      <c r="D203" s="383" t="n"/>
      <c r="E203" s="383" t="n"/>
      <c r="F203" s="383" t="n"/>
      <c r="G203" s="383" t="n"/>
      <c r="H203" s="383" t="n"/>
      <c r="I203" s="387" t="n"/>
      <c r="J203" s="387" t="n"/>
      <c r="K203" s="387" t="n"/>
      <c r="L203" s="387" t="n"/>
      <c r="M203" s="387" t="n"/>
      <c r="N203" s="387" t="n"/>
    </row>
    <row r="204" ht="3" customHeight="1" s="1883">
      <c r="B204" s="383" t="n"/>
      <c r="C204" s="383" t="n"/>
      <c r="D204" s="383" t="n"/>
      <c r="E204" s="383" t="n"/>
      <c r="F204" s="383" t="n"/>
      <c r="G204" s="383" t="n"/>
      <c r="H204" s="383" t="n"/>
      <c r="I204" s="383">
        <f>I26</f>
        <v/>
      </c>
      <c r="J204" s="383">
        <f>J26</f>
        <v/>
      </c>
      <c r="K204" s="383">
        <f>K26</f>
        <v/>
      </c>
      <c r="L204" s="383">
        <f>L26</f>
        <v/>
      </c>
      <c r="M204" s="383">
        <f>M26</f>
        <v/>
      </c>
      <c r="N204" s="383">
        <f>N26</f>
        <v/>
      </c>
    </row>
    <row r="205" ht="3" customHeight="1" s="1883">
      <c r="B205" s="383" t="n"/>
      <c r="C205" s="383" t="n"/>
      <c r="D205" s="383" t="n"/>
      <c r="E205" s="383" t="n"/>
      <c r="F205" s="383" t="n"/>
      <c r="G205" s="383" t="n"/>
      <c r="H205" s="383" t="n"/>
      <c r="I205" s="383">
        <f>I27</f>
        <v/>
      </c>
      <c r="J205" s="383">
        <f>J27</f>
        <v/>
      </c>
      <c r="K205" s="383">
        <f>K27</f>
        <v/>
      </c>
      <c r="L205" s="383">
        <f>L27</f>
        <v/>
      </c>
      <c r="M205" s="383">
        <f>M27</f>
        <v/>
      </c>
      <c r="N205" s="383">
        <f>N27</f>
        <v/>
      </c>
    </row>
    <row r="206" ht="15" customHeight="1" s="1883">
      <c r="B206" s="385" t="inlineStr">
        <is>
          <t>MOBILE TELEPHONES DEPLOYED</t>
        </is>
      </c>
      <c r="C206" s="383" t="n"/>
      <c r="D206" s="383" t="n"/>
      <c r="E206" s="383" t="n"/>
      <c r="F206" s="383" t="n"/>
      <c r="G206" s="383" t="n"/>
      <c r="H206" s="383" t="n"/>
      <c r="I206" s="383" t="n"/>
      <c r="J206" s="383" t="n"/>
      <c r="K206" s="383" t="n"/>
      <c r="L206" s="383" t="n"/>
      <c r="M206" s="383" t="n"/>
      <c r="N206" s="383" t="n"/>
    </row>
    <row r="207" ht="15" customHeight="1" s="1883">
      <c r="B207" s="387" t="n"/>
      <c r="C207" s="387" t="n"/>
      <c r="D207" s="387" t="n"/>
      <c r="E207" s="387" t="n"/>
      <c r="F207" s="387" t="n"/>
      <c r="G207" s="387" t="n"/>
      <c r="H207" s="383" t="n"/>
      <c r="I207" s="383" t="n"/>
      <c r="J207" s="383" t="n"/>
      <c r="K207" s="383" t="n"/>
      <c r="L207" s="383" t="n"/>
      <c r="M207" s="383" t="n"/>
      <c r="N207" s="383" t="n"/>
    </row>
    <row r="208" ht="15" customHeight="1" s="1883">
      <c r="B208" s="383" t="n"/>
      <c r="C208" s="383" t="n"/>
      <c r="D208" s="383" t="n"/>
      <c r="E208" s="383" t="n"/>
      <c r="F208" s="383" t="n"/>
      <c r="G208" s="383" t="n"/>
      <c r="H208" s="383" t="n"/>
      <c r="I208" s="383" t="n"/>
      <c r="J208" s="383" t="n"/>
      <c r="K208" s="383" t="n"/>
      <c r="L208" s="383" t="n"/>
      <c r="M208" s="383" t="n"/>
      <c r="N208" s="383" t="n"/>
    </row>
    <row r="209" ht="15" customHeight="1" s="1883">
      <c r="B209" s="390" t="inlineStr">
        <is>
          <t>●</t>
        </is>
      </c>
      <c r="C209" s="385" t="inlineStr">
        <is>
          <t>Full-Year Average</t>
        </is>
      </c>
      <c r="D209" s="385" t="n"/>
      <c r="E209" s="383" t="n"/>
      <c r="F209" s="383" t="n"/>
      <c r="G209" s="383" t="n"/>
      <c r="H209" s="383" t="n"/>
      <c r="I209" s="1445">
        <f>I26</f>
        <v/>
      </c>
      <c r="J209" s="447">
        <f>J26</f>
        <v/>
      </c>
      <c r="K209" s="447">
        <f>K26</f>
        <v/>
      </c>
      <c r="L209" s="447">
        <f>L26</f>
        <v/>
      </c>
      <c r="M209" s="447">
        <f>M26</f>
        <v/>
      </c>
      <c r="N209" s="447">
        <f>N26</f>
        <v/>
      </c>
    </row>
    <row r="210" ht="15" customHeight="1" s="1883">
      <c r="B210" s="390" t="inlineStr">
        <is>
          <t>●</t>
        </is>
      </c>
      <c r="C210" s="385" t="inlineStr">
        <is>
          <t>End of Year</t>
        </is>
      </c>
      <c r="D210" s="385" t="n"/>
      <c r="E210" s="383" t="n"/>
      <c r="F210" s="383" t="n"/>
      <c r="G210" s="383" t="n"/>
      <c r="H210" s="383" t="n"/>
      <c r="I210" s="1445">
        <f>I27</f>
        <v/>
      </c>
      <c r="J210" s="447">
        <f>J27</f>
        <v/>
      </c>
      <c r="K210" s="447">
        <f>K27</f>
        <v/>
      </c>
      <c r="L210" s="447">
        <f>L27</f>
        <v/>
      </c>
      <c r="M210" s="447">
        <f>M27</f>
        <v/>
      </c>
      <c r="N210" s="447">
        <f>N27</f>
        <v/>
      </c>
    </row>
    <row r="211" ht="15" customHeight="1" s="1883">
      <c r="B211" s="383" t="n"/>
      <c r="C211" s="383" t="n"/>
      <c r="D211" s="383" t="n"/>
      <c r="E211" s="383" t="n"/>
      <c r="F211" s="383" t="n"/>
      <c r="G211" s="383" t="n"/>
      <c r="H211" s="383" t="n"/>
      <c r="I211" s="383" t="n"/>
      <c r="J211" s="393" t="n"/>
      <c r="K211" s="393" t="n"/>
      <c r="L211" s="383" t="n"/>
      <c r="M211" s="383" t="n"/>
      <c r="N211" s="383" t="n"/>
    </row>
    <row r="212" ht="15" customHeight="1" s="1883">
      <c r="B212" s="385" t="inlineStr">
        <is>
          <t>REVENUE</t>
        </is>
      </c>
      <c r="C212" s="383" t="n"/>
      <c r="D212" s="383" t="n"/>
      <c r="E212" s="383" t="n"/>
      <c r="F212" s="383" t="n"/>
      <c r="G212" s="383" t="n"/>
      <c r="H212" s="383" t="n"/>
      <c r="I212" s="383" t="n"/>
      <c r="J212" s="383" t="n"/>
      <c r="K212" s="383" t="n"/>
      <c r="L212" s="383" t="n"/>
      <c r="M212" s="383" t="n"/>
      <c r="N212" s="383" t="n"/>
    </row>
    <row r="213" ht="15" customHeight="1" s="1883">
      <c r="B213" s="392" t="n"/>
      <c r="C213" s="387" t="n"/>
      <c r="D213" s="387" t="n"/>
      <c r="E213" s="387" t="n"/>
      <c r="F213" s="387" t="n"/>
      <c r="G213" s="387" t="n"/>
      <c r="H213" s="383" t="n"/>
      <c r="I213" s="383" t="n"/>
      <c r="J213" s="383" t="n"/>
      <c r="K213" s="383" t="n"/>
      <c r="L213" s="383" t="n"/>
      <c r="M213" s="383" t="n"/>
      <c r="N213" s="383" t="n"/>
    </row>
    <row r="214" ht="2" customHeight="1" s="1883">
      <c r="B214" s="390" t="inlineStr">
        <is>
          <t>●</t>
        </is>
      </c>
      <c r="C214" s="383" t="inlineStr">
        <is>
          <t>Hardware Subsidies*</t>
        </is>
      </c>
      <c r="D214" s="383" t="n"/>
      <c r="E214" s="383" t="n"/>
      <c r="F214" s="383" t="n"/>
      <c r="G214" s="383" t="n"/>
      <c r="H214" s="383" t="n"/>
      <c r="I214" s="462">
        <f>I31</f>
        <v/>
      </c>
      <c r="J214" s="462">
        <f>J31</f>
        <v/>
      </c>
      <c r="K214" s="462">
        <f>K31</f>
        <v/>
      </c>
      <c r="L214" s="462">
        <f>L31</f>
        <v/>
      </c>
      <c r="M214" s="462">
        <f>M31</f>
        <v/>
      </c>
      <c r="N214" s="462">
        <f>N31</f>
        <v/>
      </c>
    </row>
    <row r="215" ht="3" customHeight="1" s="1883">
      <c r="B215" s="390" t="inlineStr">
        <is>
          <t>●</t>
        </is>
      </c>
      <c r="C215" s="383" t="inlineStr">
        <is>
          <t>Total Revenue, Market Research Services / Core Model</t>
        </is>
      </c>
      <c r="D215" s="383" t="n"/>
      <c r="E215" s="383" t="n"/>
      <c r="F215" s="383" t="n"/>
      <c r="G215" s="383" t="n"/>
      <c r="H215" s="383" t="n"/>
      <c r="I215" s="462">
        <f>I32</f>
        <v/>
      </c>
      <c r="J215" s="462">
        <f>J32</f>
        <v/>
      </c>
      <c r="K215" s="462">
        <f>K32</f>
        <v/>
      </c>
      <c r="L215" s="462">
        <f>L32</f>
        <v/>
      </c>
      <c r="M215" s="462">
        <f>M32</f>
        <v/>
      </c>
      <c r="N215" s="462">
        <f>N32</f>
        <v/>
      </c>
    </row>
    <row r="216" ht="17" customHeight="1" s="1883">
      <c r="B216" s="390" t="inlineStr">
        <is>
          <t>●</t>
        </is>
      </c>
      <c r="C216" s="383" t="inlineStr">
        <is>
          <t>Total Revenue, Pure Research</t>
        </is>
      </c>
      <c r="D216" s="383" t="n"/>
      <c r="E216" s="383" t="n"/>
      <c r="F216" s="383" t="n"/>
      <c r="G216" s="383" t="n"/>
      <c r="H216" s="383" t="n"/>
      <c r="I216" s="462">
        <f>I36</f>
        <v/>
      </c>
      <c r="J216" s="462">
        <f>J36</f>
        <v/>
      </c>
      <c r="K216" s="462">
        <f>K36</f>
        <v/>
      </c>
      <c r="L216" s="462">
        <f>L36</f>
        <v/>
      </c>
      <c r="M216" s="462">
        <f>M36</f>
        <v/>
      </c>
      <c r="N216" s="462">
        <f>N36</f>
        <v/>
      </c>
    </row>
    <row r="217" ht="15" customHeight="1" s="1883">
      <c r="B217" s="383" t="n"/>
      <c r="C217" s="383" t="n"/>
      <c r="D217" s="383" t="n"/>
      <c r="E217" s="383" t="n"/>
      <c r="F217" s="383" t="n"/>
      <c r="G217" s="383" t="n"/>
      <c r="H217" s="383" t="n"/>
      <c r="I217" s="508" t="n"/>
      <c r="J217" s="508" t="n"/>
      <c r="K217" s="508" t="n"/>
      <c r="L217" s="508" t="n"/>
      <c r="M217" s="508" t="n"/>
      <c r="N217" s="508" t="n"/>
    </row>
    <row r="218" ht="15" customHeight="1" s="1883">
      <c r="B218" s="383" t="n"/>
      <c r="C218" s="383" t="n"/>
      <c r="D218" s="383" t="n"/>
      <c r="E218" s="383" t="n"/>
      <c r="F218" s="383" t="n"/>
      <c r="G218" s="383" t="n"/>
      <c r="H218" s="383" t="n"/>
      <c r="I218" s="462" t="n"/>
      <c r="J218" s="462" t="n"/>
      <c r="K218" s="462" t="n"/>
      <c r="L218" s="462" t="n"/>
      <c r="M218" s="462" t="n"/>
      <c r="N218" s="462" t="n"/>
    </row>
    <row r="219" ht="15" customHeight="1" s="1883">
      <c r="B219" s="383" t="n"/>
      <c r="D219" s="385" t="inlineStr">
        <is>
          <t>TOTAL REVENUE</t>
        </is>
      </c>
      <c r="E219" s="383" t="n"/>
      <c r="F219" s="383" t="n"/>
      <c r="G219" s="383" t="n"/>
      <c r="H219" s="383" t="n"/>
      <c r="I219" s="396">
        <f>SUM(I211:I213)</f>
        <v/>
      </c>
      <c r="J219" s="396">
        <f>SUM(J211:J213)</f>
        <v/>
      </c>
      <c r="K219" s="396">
        <f>SUM(K211:K213)</f>
        <v/>
      </c>
      <c r="L219" s="396">
        <f>SUM(L211:L213)</f>
        <v/>
      </c>
      <c r="M219" s="396">
        <f>SUM(M211:M213)</f>
        <v/>
      </c>
      <c r="N219" s="396">
        <f>SUM(N211:N213)</f>
        <v/>
      </c>
    </row>
    <row r="220" ht="15" customHeight="1" s="1883">
      <c r="B220" s="390" t="n"/>
      <c r="C220" s="383" t="n"/>
      <c r="D220" s="383" t="n"/>
      <c r="E220" s="383" t="n"/>
      <c r="F220" s="383" t="n"/>
      <c r="G220" s="383" t="n"/>
      <c r="H220" s="383" t="n"/>
      <c r="I220" s="462" t="n"/>
      <c r="J220" s="462" t="n"/>
      <c r="K220" s="462" t="n"/>
      <c r="L220" s="462" t="n"/>
      <c r="M220" s="462" t="n"/>
      <c r="N220" s="462" t="n"/>
    </row>
    <row r="221" ht="15" customHeight="1" s="1883">
      <c r="B221" s="385" t="inlineStr">
        <is>
          <t>COST OF GOODS SOLD</t>
        </is>
      </c>
      <c r="I221" s="1884" t="n"/>
      <c r="J221" s="1884" t="n"/>
      <c r="K221" s="1884" t="n"/>
      <c r="L221" s="1884" t="n"/>
      <c r="M221" s="1884" t="n"/>
      <c r="N221" s="1884" t="n"/>
    </row>
    <row r="222" ht="15" customHeight="1" s="1883">
      <c r="B222" s="390" t="inlineStr">
        <is>
          <t>●</t>
        </is>
      </c>
      <c r="C222" s="383" t="inlineStr">
        <is>
          <t>Hardware COGS</t>
        </is>
      </c>
      <c r="I222" s="2000">
        <f>I42</f>
        <v/>
      </c>
      <c r="J222" s="2000">
        <f>J42</f>
        <v/>
      </c>
      <c r="K222" s="2000">
        <f>K42</f>
        <v/>
      </c>
      <c r="L222" s="2000">
        <f>L42</f>
        <v/>
      </c>
      <c r="M222" s="2000">
        <f>M42</f>
        <v/>
      </c>
      <c r="N222" s="2000">
        <f>N42</f>
        <v/>
      </c>
    </row>
    <row r="223" ht="15" customHeight="1" s="1883">
      <c r="B223" s="390" t="n"/>
      <c r="C223" s="385" t="inlineStr">
        <is>
          <t>COGS</t>
        </is>
      </c>
      <c r="I223" s="2001">
        <f>I219</f>
        <v/>
      </c>
      <c r="J223" s="2001">
        <f>J219</f>
        <v/>
      </c>
      <c r="K223" s="2001">
        <f>K219</f>
        <v/>
      </c>
      <c r="L223" s="2001">
        <f>L219</f>
        <v/>
      </c>
      <c r="M223" s="2001">
        <f>M219</f>
        <v/>
      </c>
      <c r="N223" s="2001">
        <f>N219</f>
        <v/>
      </c>
    </row>
    <row r="224" ht="15" customHeight="1" s="1883">
      <c r="B224" s="390" t="n"/>
      <c r="C224" s="383" t="n"/>
      <c r="I224" s="628" t="n"/>
      <c r="J224" s="495" t="n"/>
      <c r="K224" s="495" t="n"/>
      <c r="L224" s="495" t="n"/>
      <c r="M224" s="495" t="n"/>
      <c r="N224" s="495" t="n"/>
      <c r="P224" s="1884" t="n"/>
    </row>
    <row r="225" ht="3" customHeight="1" s="1883">
      <c r="B225" s="385" t="inlineStr">
        <is>
          <t>NET OPERATING MARGIN</t>
        </is>
      </c>
      <c r="C225" s="383" t="n"/>
      <c r="I225" s="396">
        <f>I216-I220</f>
        <v/>
      </c>
      <c r="J225" s="396">
        <f>J216-J220</f>
        <v/>
      </c>
      <c r="K225" s="396">
        <f>K216-K220</f>
        <v/>
      </c>
      <c r="L225" s="396">
        <f>L216-L220</f>
        <v/>
      </c>
      <c r="M225" s="396">
        <f>M216-M220</f>
        <v/>
      </c>
      <c r="N225" s="396">
        <f>N216-N220</f>
        <v/>
      </c>
    </row>
    <row r="226" ht="3" customHeight="1" s="1883">
      <c r="B226" s="385" t="n"/>
      <c r="C226" s="383" t="n"/>
      <c r="I226" s="1454" t="n"/>
      <c r="J226" s="1454" t="n"/>
      <c r="K226" s="1454" t="n"/>
      <c r="L226" s="1454" t="n"/>
      <c r="M226" s="1454" t="n"/>
      <c r="N226" s="1454" t="n"/>
    </row>
    <row r="227" ht="15" customHeight="1" s="1883">
      <c r="B227" s="385" t="inlineStr">
        <is>
          <t>OPERATING EXPENSES</t>
        </is>
      </c>
      <c r="C227" s="383" t="n"/>
      <c r="D227" s="383" t="n"/>
      <c r="E227" s="383" t="n"/>
      <c r="F227" s="383" t="n"/>
      <c r="G227" s="383" t="n"/>
      <c r="H227" s="383" t="n"/>
      <c r="I227" s="462" t="n"/>
      <c r="J227" s="462" t="n"/>
      <c r="K227" s="462" t="n"/>
      <c r="L227" s="462" t="n"/>
      <c r="M227" s="462" t="n"/>
      <c r="N227" s="462" t="n"/>
      <c r="P227" s="1865" t="inlineStr">
        <is>
          <t xml:space="preserve"> % of Total Revenue</t>
        </is>
      </c>
    </row>
    <row r="228" ht="15" customHeight="1" s="1883">
      <c r="B228" s="387" t="n"/>
      <c r="C228" s="387" t="n"/>
      <c r="D228" s="387" t="n"/>
      <c r="E228" s="387" t="n"/>
      <c r="F228" s="387" t="n"/>
      <c r="G228" s="387" t="n"/>
      <c r="H228" s="383" t="n"/>
      <c r="I228" s="462" t="n"/>
      <c r="J228" s="462" t="n"/>
      <c r="K228" s="462" t="n"/>
      <c r="L228" s="462" t="n"/>
      <c r="M228" s="462" t="n"/>
      <c r="N228" s="462" t="n"/>
    </row>
    <row r="229" ht="15" customHeight="1" s="1883">
      <c r="B229" s="383" t="n"/>
      <c r="C229" s="383" t="n"/>
      <c r="D229" s="383" t="n"/>
      <c r="E229" s="383" t="n"/>
      <c r="F229" s="383" t="n"/>
      <c r="G229" s="383" t="n"/>
      <c r="H229" s="383" t="n"/>
      <c r="I229" s="462" t="n"/>
      <c r="J229" s="462" t="n"/>
      <c r="K229" s="462" t="n"/>
      <c r="L229" s="462" t="n"/>
      <c r="M229" s="462" t="n"/>
      <c r="N229" s="462" t="n"/>
    </row>
    <row r="230" ht="15" customHeight="1" s="1883">
      <c r="B230" s="390" t="inlineStr">
        <is>
          <t>●</t>
        </is>
      </c>
      <c r="C230" s="383" t="inlineStr">
        <is>
          <t>People Cost (Salaries, ER Taxes, Benefits)</t>
        </is>
      </c>
      <c r="D230" s="383" t="n"/>
      <c r="E230" s="383" t="n"/>
      <c r="F230" s="383" t="n"/>
      <c r="G230" s="383" t="n"/>
      <c r="H230" s="383" t="n"/>
      <c r="I230" s="462">
        <f>I50</f>
        <v/>
      </c>
      <c r="J230" s="395">
        <f>J50</f>
        <v/>
      </c>
      <c r="K230" s="395">
        <f>K50</f>
        <v/>
      </c>
      <c r="L230" s="395">
        <f>L50</f>
        <v/>
      </c>
      <c r="M230" s="395">
        <f>M50</f>
        <v/>
      </c>
      <c r="N230" s="395">
        <f>N50</f>
        <v/>
      </c>
      <c r="P230" s="2012">
        <f>J227/J$39</f>
        <v/>
      </c>
      <c r="Q230" s="2012">
        <f>K227/K$39</f>
        <v/>
      </c>
      <c r="R230" s="2012">
        <f>L227/L$39</f>
        <v/>
      </c>
      <c r="S230" s="2012">
        <f>M227/M$39</f>
        <v/>
      </c>
      <c r="T230" s="2012">
        <f>N227/N$39</f>
        <v/>
      </c>
    </row>
    <row r="231" ht="15" customHeight="1" s="1883">
      <c r="B231" s="390" t="inlineStr">
        <is>
          <t>●</t>
        </is>
      </c>
      <c r="C231" s="383" t="inlineStr">
        <is>
          <t>Research and Development</t>
        </is>
      </c>
      <c r="D231" s="383" t="n"/>
      <c r="E231" s="383" t="n"/>
      <c r="F231" s="383" t="n"/>
      <c r="G231" s="383" t="n"/>
      <c r="H231" s="383" t="n"/>
      <c r="I231" s="462">
        <f>I51</f>
        <v/>
      </c>
      <c r="J231" s="462">
        <f>J51</f>
        <v/>
      </c>
      <c r="K231" s="462">
        <f>K51</f>
        <v/>
      </c>
      <c r="L231" s="462">
        <f>L51</f>
        <v/>
      </c>
      <c r="M231" s="462">
        <f>M51</f>
        <v/>
      </c>
      <c r="N231" s="462">
        <f>N51</f>
        <v/>
      </c>
      <c r="P231" s="2012">
        <f>J228/J$39</f>
        <v/>
      </c>
      <c r="Q231" s="2012">
        <f>K228/K$39</f>
        <v/>
      </c>
      <c r="R231" s="2012">
        <f>L228/L$39</f>
        <v/>
      </c>
      <c r="S231" s="2012">
        <f>M228/M$39</f>
        <v/>
      </c>
      <c r="T231" s="2012">
        <f>N228/N$39</f>
        <v/>
      </c>
    </row>
    <row r="232" ht="15" customHeight="1" s="1883">
      <c r="B232" s="390" t="inlineStr">
        <is>
          <t>●</t>
        </is>
      </c>
      <c r="C232" s="383" t="inlineStr">
        <is>
          <t>Sales and Marketing</t>
        </is>
      </c>
      <c r="D232" s="383" t="n"/>
      <c r="E232" s="383" t="n"/>
      <c r="F232" s="383" t="n"/>
      <c r="G232" s="383" t="n"/>
      <c r="H232" s="383" t="n"/>
      <c r="I232" s="462">
        <f>I52</f>
        <v/>
      </c>
      <c r="J232" s="462">
        <f>J52</f>
        <v/>
      </c>
      <c r="K232" s="462">
        <f>K52</f>
        <v/>
      </c>
      <c r="L232" s="462">
        <f>L52</f>
        <v/>
      </c>
      <c r="M232" s="462">
        <f>M52</f>
        <v/>
      </c>
      <c r="N232" s="462">
        <f>N52</f>
        <v/>
      </c>
      <c r="P232" s="2012">
        <f>J229/J$39</f>
        <v/>
      </c>
      <c r="Q232" s="2012">
        <f>K229/K$39</f>
        <v/>
      </c>
      <c r="R232" s="2012">
        <f>L229/L$39</f>
        <v/>
      </c>
      <c r="S232" s="2012">
        <f>M229/M$39</f>
        <v/>
      </c>
      <c r="T232" s="2012">
        <f>N229/N$39</f>
        <v/>
      </c>
    </row>
    <row r="233" ht="15" customHeight="1" s="1883">
      <c r="B233" s="390" t="inlineStr">
        <is>
          <t>●</t>
        </is>
      </c>
      <c r="C233" s="383" t="inlineStr">
        <is>
          <t>Occupancy</t>
        </is>
      </c>
      <c r="D233" s="383" t="n"/>
      <c r="E233" s="383" t="n"/>
      <c r="F233" s="383" t="n"/>
      <c r="G233" s="383" t="n"/>
      <c r="H233" s="383" t="n"/>
      <c r="I233" s="462">
        <f>I53</f>
        <v/>
      </c>
      <c r="J233" s="462">
        <f>J53</f>
        <v/>
      </c>
      <c r="K233" s="462">
        <f>K53</f>
        <v/>
      </c>
      <c r="L233" s="462">
        <f>L53</f>
        <v/>
      </c>
      <c r="M233" s="462">
        <f>M53</f>
        <v/>
      </c>
      <c r="N233" s="462">
        <f>N53</f>
        <v/>
      </c>
      <c r="P233" s="2012">
        <f>J230/J$39</f>
        <v/>
      </c>
      <c r="Q233" s="2012">
        <f>K230/K$39</f>
        <v/>
      </c>
      <c r="R233" s="2012">
        <f>L230/L$39</f>
        <v/>
      </c>
      <c r="S233" s="2012">
        <f>M230/M$39</f>
        <v/>
      </c>
      <c r="T233" s="2012">
        <f>N230/N$39</f>
        <v/>
      </c>
    </row>
    <row r="234" ht="16" customHeight="1" s="1883">
      <c r="B234" s="390" t="inlineStr">
        <is>
          <t>●</t>
        </is>
      </c>
      <c r="C234" s="383" t="inlineStr">
        <is>
          <t>General and Administrative</t>
        </is>
      </c>
      <c r="D234" s="383" t="n"/>
      <c r="E234" s="383" t="n"/>
      <c r="F234" s="383" t="n"/>
      <c r="G234" s="383" t="n"/>
      <c r="H234" s="383" t="n"/>
      <c r="I234" s="462">
        <f>I54</f>
        <v/>
      </c>
      <c r="J234" s="462">
        <f>J54</f>
        <v/>
      </c>
      <c r="K234" s="462">
        <f>K54</f>
        <v/>
      </c>
      <c r="L234" s="462">
        <f>L54</f>
        <v/>
      </c>
      <c r="M234" s="462">
        <f>M54</f>
        <v/>
      </c>
      <c r="N234" s="462">
        <f>N54</f>
        <v/>
      </c>
      <c r="P234" s="2012">
        <f>J231/J$39</f>
        <v/>
      </c>
      <c r="Q234" s="2012">
        <f>K231/K$39</f>
        <v/>
      </c>
      <c r="R234" s="2012">
        <f>L231/L$39</f>
        <v/>
      </c>
      <c r="S234" s="2012">
        <f>M231/M$39</f>
        <v/>
      </c>
      <c r="T234" s="2012">
        <f>N231/N$39</f>
        <v/>
      </c>
    </row>
    <row r="235" ht="2" customHeight="1" s="1883">
      <c r="B235" s="390" t="inlineStr">
        <is>
          <t>●</t>
        </is>
      </c>
      <c r="C235" s="383" t="inlineStr">
        <is>
          <t>Customer Rewards</t>
        </is>
      </c>
      <c r="D235" s="383" t="n"/>
      <c r="E235" s="383" t="n"/>
      <c r="F235" s="383" t="n"/>
      <c r="G235" s="383" t="n"/>
      <c r="H235" s="383" t="n"/>
      <c r="I235" s="462">
        <f>I55</f>
        <v/>
      </c>
      <c r="J235" s="462">
        <f>J55</f>
        <v/>
      </c>
      <c r="K235" s="462">
        <f>K55</f>
        <v/>
      </c>
      <c r="L235" s="462">
        <f>L55</f>
        <v/>
      </c>
      <c r="M235" s="462">
        <f>M55</f>
        <v/>
      </c>
      <c r="N235" s="462">
        <f>N55</f>
        <v/>
      </c>
      <c r="P235" s="2012">
        <f>J232/J$39</f>
        <v/>
      </c>
      <c r="Q235" s="2012">
        <f>K232/K$39</f>
        <v/>
      </c>
      <c r="R235" s="2012">
        <f>L232/L$39</f>
        <v/>
      </c>
      <c r="S235" s="2012">
        <f>M232/M$39</f>
        <v/>
      </c>
      <c r="T235" s="2012">
        <f>N232/N$39</f>
        <v/>
      </c>
    </row>
    <row r="236" ht="3" customHeight="1" s="1883">
      <c r="B236" s="390" t="inlineStr">
        <is>
          <t>●</t>
        </is>
      </c>
      <c r="C236" s="383" t="inlineStr">
        <is>
          <t>Capital Expenditures</t>
        </is>
      </c>
      <c r="I236" s="462">
        <f>I59</f>
        <v/>
      </c>
      <c r="J236" s="462">
        <f>J59</f>
        <v/>
      </c>
      <c r="K236" s="462">
        <f>K59</f>
        <v/>
      </c>
      <c r="L236" s="462">
        <f>L59</f>
        <v/>
      </c>
      <c r="M236" s="462">
        <f>M59</f>
        <v/>
      </c>
      <c r="N236" s="462">
        <f>N59</f>
        <v/>
      </c>
      <c r="P236" s="2012">
        <f>J233/J$39</f>
        <v/>
      </c>
      <c r="Q236" s="2012">
        <f>K233/K$39</f>
        <v/>
      </c>
      <c r="R236" s="2012">
        <f>L233/L$39</f>
        <v/>
      </c>
      <c r="S236" s="2012">
        <f>M233/M$39</f>
        <v/>
      </c>
      <c r="T236" s="2012">
        <f>N233/N$39</f>
        <v/>
      </c>
    </row>
    <row r="237" ht="14" customHeight="1" s="1883">
      <c r="B237" s="390" t="inlineStr">
        <is>
          <t>●</t>
        </is>
      </c>
      <c r="C237" s="383" t="inlineStr">
        <is>
          <t>One Time Legacy Expenses + Strategic Investments</t>
        </is>
      </c>
      <c r="D237" s="383" t="n"/>
      <c r="E237" s="383" t="n"/>
      <c r="F237" s="383" t="n"/>
      <c r="G237" s="383" t="n"/>
      <c r="H237" s="383" t="n"/>
      <c r="I237" s="462">
        <f>I60</f>
        <v/>
      </c>
      <c r="J237" s="462">
        <f>J60</f>
        <v/>
      </c>
      <c r="K237" s="462">
        <f>K60</f>
        <v/>
      </c>
      <c r="L237" s="462">
        <f>L60</f>
        <v/>
      </c>
      <c r="M237" s="462">
        <f>M60</f>
        <v/>
      </c>
      <c r="N237" s="462">
        <f>N60</f>
        <v/>
      </c>
      <c r="P237" s="2012">
        <f>J234/J$39</f>
        <v/>
      </c>
      <c r="Q237" s="2012">
        <f>K234/K$39</f>
        <v/>
      </c>
      <c r="R237" s="2012">
        <f>L234/L$39</f>
        <v/>
      </c>
      <c r="S237" s="2012">
        <f>M234/M$39</f>
        <v/>
      </c>
      <c r="T237" s="2012">
        <f>N234/N$39</f>
        <v/>
      </c>
    </row>
    <row r="238" ht="3" customHeight="1" s="1883">
      <c r="B238" s="383" t="n"/>
      <c r="C238" s="383" t="n"/>
      <c r="D238" s="383" t="n"/>
      <c r="E238" s="383" t="n"/>
      <c r="F238" s="383" t="n"/>
      <c r="G238" s="383" t="n"/>
      <c r="H238" s="383" t="n"/>
      <c r="I238" s="508" t="n"/>
      <c r="J238" s="508" t="n"/>
      <c r="K238" s="508" t="n"/>
      <c r="L238" s="508" t="n"/>
      <c r="M238" s="508" t="n"/>
      <c r="N238" s="508" t="n"/>
    </row>
    <row r="239" hidden="1" ht="15" customHeight="1" s="1883">
      <c r="B239" s="383" t="n"/>
      <c r="C239" s="383" t="n"/>
      <c r="D239" s="383" t="n"/>
      <c r="E239" s="383" t="n"/>
      <c r="F239" s="383" t="n"/>
      <c r="G239" s="383" t="n"/>
      <c r="H239" s="383" t="n"/>
      <c r="I239" s="462" t="n"/>
      <c r="J239" s="462" t="n"/>
      <c r="K239" s="462" t="n"/>
      <c r="L239" s="462" t="n"/>
      <c r="M239" s="462" t="n"/>
      <c r="N239" s="462" t="n"/>
    </row>
    <row r="240" hidden="1" ht="15" customHeight="1" s="1883">
      <c r="B240" s="383" t="n"/>
      <c r="D240" s="385" t="inlineStr">
        <is>
          <t>TOTAL OPERATING EXPENSES</t>
        </is>
      </c>
      <c r="E240" s="383" t="n"/>
      <c r="F240" s="383" t="n"/>
      <c r="G240" s="655" t="n"/>
      <c r="H240" s="383" t="n"/>
      <c r="I240" s="396">
        <f>SUM(I227:I234)</f>
        <v/>
      </c>
      <c r="J240" s="396">
        <f>SUM(J227:J234)</f>
        <v/>
      </c>
      <c r="K240" s="396">
        <f>SUM(K227:K234)</f>
        <v/>
      </c>
      <c r="L240" s="396">
        <f>SUM(L227:L234)</f>
        <v/>
      </c>
      <c r="M240" s="396">
        <f>SUM(M227:M234)</f>
        <v/>
      </c>
      <c r="N240" s="396">
        <f>SUM(N227:N234)</f>
        <v/>
      </c>
      <c r="P240" s="2003">
        <f>J237/J$39</f>
        <v/>
      </c>
      <c r="Q240" s="2003">
        <f>K237/K$39</f>
        <v/>
      </c>
      <c r="R240" s="2003">
        <f>L237/L$39</f>
        <v/>
      </c>
      <c r="S240" s="2003">
        <f>M237/M$39</f>
        <v/>
      </c>
      <c r="T240" s="2003">
        <f>N237/N$39</f>
        <v/>
      </c>
    </row>
    <row r="241" hidden="1" s="1883">
      <c r="I241" s="628" t="n"/>
      <c r="J241" s="628" t="n"/>
      <c r="K241" s="628" t="n"/>
      <c r="L241" s="628" t="n"/>
      <c r="M241" s="628" t="n"/>
      <c r="N241" s="628" t="n"/>
    </row>
    <row r="243" ht="15" customHeight="1" s="1883"/>
    <row r="244" ht="15" customHeight="1" s="1883">
      <c r="I244" s="1451" t="n"/>
      <c r="J244" s="1451" t="n"/>
      <c r="K244" s="1451" t="n"/>
      <c r="L244" s="1451" t="n"/>
      <c r="M244" s="1451" t="n"/>
      <c r="N244" s="1451" t="n"/>
      <c r="O244" s="1451" t="n"/>
      <c r="P244" s="1451" t="n"/>
      <c r="Q244" s="1451" t="n"/>
    </row>
    <row r="245" ht="3" customHeight="1" s="1883">
      <c r="P245" s="2004">
        <f>SUM(P227:P234)</f>
        <v/>
      </c>
      <c r="Q245" s="2004">
        <f>SUM(Q227:Q234)</f>
        <v/>
      </c>
      <c r="R245" s="2004">
        <f>SUM(R227:R234)</f>
        <v/>
      </c>
      <c r="S245" s="2004">
        <f>SUM(S227:S234)</f>
        <v/>
      </c>
      <c r="T245" s="2004">
        <f>SUM(T227:T234)</f>
        <v/>
      </c>
      <c r="U245" s="658" t="inlineStr">
        <is>
          <t>Checked</t>
        </is>
      </c>
    </row>
    <row r="246" ht="15" customHeight="1" s="1883">
      <c r="E246" s="463" t="inlineStr">
        <is>
          <t>EBITDA/OPERATING INCOME / (LOSS), $</t>
        </is>
      </c>
      <c r="F246" s="464" t="n"/>
      <c r="G246" s="464" t="n"/>
      <c r="H246" s="464" t="n"/>
      <c r="I246" s="465">
        <f>((I222)-(I237))</f>
        <v/>
      </c>
      <c r="J246" s="465">
        <f>((J222)-(J237))</f>
        <v/>
      </c>
      <c r="K246" s="465">
        <f>((K222)-(K237))</f>
        <v/>
      </c>
      <c r="L246" s="465">
        <f>((L222)-(L237))</f>
        <v/>
      </c>
      <c r="M246" s="465">
        <f>((M222)-(M237))</f>
        <v/>
      </c>
      <c r="N246" s="465">
        <f>((N222)-(N237))</f>
        <v/>
      </c>
      <c r="AF246" s="1498" t="n"/>
      <c r="AG246" s="1499" t="n"/>
      <c r="AH246" s="1500" t="n"/>
      <c r="AI246" s="1501" t="n"/>
      <c r="AJ246" s="1502" t="n"/>
    </row>
    <row r="247" ht="15" customHeight="1" s="1883">
      <c r="E247" s="463" t="inlineStr">
        <is>
          <t>EBIDA/OPERATING MARGIN, %</t>
        </is>
      </c>
      <c r="F247" s="464" t="n"/>
      <c r="G247" s="464" t="n"/>
      <c r="H247" s="464" t="n"/>
      <c r="I247" s="622" t="inlineStr">
        <is>
          <t>N/A</t>
        </is>
      </c>
      <c r="J247" s="623">
        <f>((J243)/(J216))</f>
        <v/>
      </c>
      <c r="K247" s="623">
        <f>((K243)/(K216))</f>
        <v/>
      </c>
      <c r="L247" s="623">
        <f>((L243)/(L216))</f>
        <v/>
      </c>
      <c r="M247" s="623">
        <f>((M243)/(M216))</f>
        <v/>
      </c>
      <c r="N247" s="623">
        <f>((N243)/(N216))</f>
        <v/>
      </c>
    </row>
    <row r="248" ht="15" customHeight="1" s="1883">
      <c r="D248" s="383" t="n"/>
      <c r="E248" s="383" t="n"/>
      <c r="F248" s="383" t="n"/>
      <c r="G248" s="383" t="n"/>
      <c r="H248" s="383" t="n"/>
      <c r="I248" s="508" t="n"/>
      <c r="J248" s="508" t="n"/>
      <c r="K248" s="508" t="n"/>
      <c r="L248" s="508" t="n"/>
      <c r="M248" s="508" t="n"/>
      <c r="N248" s="508" t="n"/>
    </row>
    <row r="249" ht="15" customHeight="1" s="1883">
      <c r="D249" s="383" t="n"/>
      <c r="E249" s="383" t="n"/>
      <c r="F249" s="383" t="n"/>
      <c r="G249" s="383" t="inlineStr">
        <is>
          <t>Expense per phone</t>
        </is>
      </c>
      <c r="H249" s="383" t="n"/>
      <c r="I249" s="462" t="n"/>
      <c r="J249" s="2010">
        <f>(J231+J230+J229+J227+J228+J219)/J207</f>
        <v/>
      </c>
      <c r="K249" s="2010">
        <f>(K231+K230+K229+K227+K228+K219)/K207</f>
        <v/>
      </c>
      <c r="L249" s="2010">
        <f>(L231+L230+L229+L227+L228+L219)/L207</f>
        <v/>
      </c>
      <c r="M249" s="2010">
        <f>(M231+M230+M229+M227+M228+M219)/M207</f>
        <v/>
      </c>
      <c r="N249" s="2010">
        <f>(N231+N230+N229+N227+N228+N219)/N207</f>
        <v/>
      </c>
      <c r="U249" s="1917" t="inlineStr">
        <is>
          <t>Use of Funds</t>
        </is>
      </c>
    </row>
    <row r="250" ht="15" customHeight="1" s="1883">
      <c r="D250" s="383" t="n"/>
      <c r="E250" s="383" t="n"/>
      <c r="F250" s="383" t="n"/>
      <c r="G250" s="383" t="inlineStr">
        <is>
          <t>Revenue per phone</t>
        </is>
      </c>
      <c r="H250" s="383" t="n"/>
      <c r="I250" s="462" t="n"/>
      <c r="J250" s="2010">
        <f>J216/J207</f>
        <v/>
      </c>
      <c r="K250" s="2010">
        <f>K216/K207</f>
        <v/>
      </c>
      <c r="L250" s="2010">
        <f>L216/L207</f>
        <v/>
      </c>
      <c r="M250" s="2010">
        <f>M216/M207</f>
        <v/>
      </c>
      <c r="N250" s="2010">
        <f>N216/N207</f>
        <v/>
      </c>
      <c r="P250" s="1917" t="n"/>
      <c r="U250" s="383" t="inlineStr">
        <is>
          <t>People Cost (Salaries, ER Taxes, Benefits)</t>
        </is>
      </c>
      <c r="V250" s="383" t="n"/>
      <c r="W250" s="681">
        <f>I227/25000000</f>
        <v/>
      </c>
    </row>
    <row r="251" ht="15" customHeight="1" s="1883">
      <c r="G251" s="1917" t="inlineStr">
        <is>
          <t>Profit per phone</t>
        </is>
      </c>
      <c r="J251" s="2011">
        <f>J247-J246</f>
        <v/>
      </c>
      <c r="K251" s="2011">
        <f>K247-K246</f>
        <v/>
      </c>
      <c r="L251" s="2011">
        <f>L247-L246</f>
        <v/>
      </c>
      <c r="M251" s="2011">
        <f>M247-M246</f>
        <v/>
      </c>
      <c r="N251" s="2011">
        <f>N247-N246</f>
        <v/>
      </c>
      <c r="U251" s="383" t="inlineStr">
        <is>
          <t>Research and Development</t>
        </is>
      </c>
      <c r="V251" s="383" t="n"/>
      <c r="W251" s="681">
        <f>I228/25000000</f>
        <v/>
      </c>
    </row>
    <row r="252" ht="16" customHeight="1" s="1883" thickBot="1">
      <c r="D252" s="383" t="n"/>
      <c r="E252" s="383" t="n"/>
      <c r="F252" s="383" t="n"/>
      <c r="G252" s="383" t="n"/>
      <c r="H252" s="383" t="n"/>
      <c r="I252" s="462" t="n"/>
      <c r="J252" s="462" t="n"/>
      <c r="K252" s="462" t="n"/>
      <c r="L252" s="462" t="n"/>
      <c r="M252" s="462" t="n"/>
      <c r="N252" s="462" t="n"/>
      <c r="U252" s="383" t="inlineStr">
        <is>
          <t>Sales and Marketing</t>
        </is>
      </c>
      <c r="V252" s="383" t="n"/>
      <c r="W252" s="681">
        <f>I229/25000000</f>
        <v/>
      </c>
    </row>
    <row r="253" ht="16" customHeight="1" s="1883" thickBot="1">
      <c r="D253" s="624" t="inlineStr">
        <is>
          <t>Total Expenses Check</t>
        </is>
      </c>
      <c r="E253" s="624" t="n"/>
      <c r="F253" s="624" t="n"/>
      <c r="G253" s="624" t="n"/>
      <c r="H253" s="624" t="n"/>
      <c r="I253" s="643">
        <f>'6A. Pre-Launch Exps. - Roll-Up'!X94+'2A. Cash Forecast'!V44+'2A. Cash Forecast'!V45+'2A. Cash Forecast'!V46+'2A. Cash Forecast'!V49+'2A. Cash Forecast'!V54+'2A. Cash Forecast'!V55+'2A. Cash Forecast'!V59+'2A. Cash Forecast'!V60</f>
        <v/>
      </c>
      <c r="J253" s="625">
        <f>'4A. Tel. - Exps. &amp; OI x Month'!Y91+'2A. Cash Forecast'!AK44+'2A. Cash Forecast'!AK45+'2A. Cash Forecast'!AK46++'2A. Cash Forecast'!AK49+'2A. Cash Forecast'!AK53+'2A. Cash Forecast'!AK54+'2A. Cash Forecast'!AK55+'2A. Cash Forecast'!AK59+'2A. Cash Forecast'!AK60</f>
        <v/>
      </c>
      <c r="K253" s="625">
        <f>'4A. Tel. - Exps. &amp; OI x Month'!Y183+'2A. Cash Forecast'!AZ44+'2A. Cash Forecast'!AZ45+'2A. Cash Forecast'!AZ46++'2A. Cash Forecast'!AZ49+'2A. Cash Forecast'!AZ54+'2A. Cash Forecast'!AZ55+'2A. Cash Forecast'!AZ59+'2A. Cash Forecast'!AZ60+'2A. Cash Forecast'!AZ53</f>
        <v/>
      </c>
      <c r="L253" s="625">
        <f>'4A. Tel. - Exps. &amp; OI x Month'!Y275+'2A. Cash Forecast'!BO44+'2A. Cash Forecast'!BO45+'2A. Cash Forecast'!BO46+'2A. Cash Forecast'!BO49+'2A. Cash Forecast'!BO54+'2A. Cash Forecast'!BO55+'2A. Cash Forecast'!BO59+'2A. Cash Forecast'!BO60+'2A. Cash Forecast'!BO53</f>
        <v/>
      </c>
      <c r="M253" s="625">
        <f>'4A. Tel. - Exps. &amp; OI x Month'!Y367+'2A. Cash Forecast'!CD44+'2A. Cash Forecast'!CD45+'2A. Cash Forecast'!CD46+'2A. Cash Forecast'!CD49+'2A. Cash Forecast'!CD53+'2A. Cash Forecast'!CD54+'2A. Cash Forecast'!CD55+'2A. Cash Forecast'!CD59+'2A. Cash Forecast'!CD60</f>
        <v/>
      </c>
      <c r="N253" s="625">
        <f>'4A. Tel. - Exps. &amp; OI x Month'!Y459+'2A. Cash Forecast'!CS44+'2A. Cash Forecast'!CS45+'2A. Cash Forecast'!CS46+'2A. Cash Forecast'!CS49+'2A. Cash Forecast'!CS53+'2A. Cash Forecast'!CS55+'2A. Cash Forecast'!CS59+'2A. Cash Forecast'!CS60</f>
        <v/>
      </c>
      <c r="U253" s="383" t="inlineStr">
        <is>
          <t>Occupancy</t>
        </is>
      </c>
      <c r="V253" s="383" t="n"/>
      <c r="W253" s="681">
        <f>I230/25000000</f>
        <v/>
      </c>
    </row>
    <row r="254" ht="16" customHeight="1" s="1883" thickBot="1">
      <c r="D254" s="1744" t="n"/>
      <c r="E254" s="1744" t="n"/>
      <c r="F254" s="1744" t="n"/>
      <c r="G254" s="1744" t="n"/>
      <c r="H254" s="1744" t="n"/>
      <c r="I254" s="1653">
        <f>'2A. Cash Forecast'!V78</f>
        <v/>
      </c>
      <c r="J254" s="1745">
        <f>J237+'2A. Cash Forecast'!AK49</f>
        <v/>
      </c>
      <c r="K254" s="1745">
        <f>K237+'2A. Cash Forecast'!AZ49</f>
        <v/>
      </c>
      <c r="L254" s="1745">
        <f>L237+'2A. Cash Forecast'!BO49</f>
        <v/>
      </c>
      <c r="M254" s="1745">
        <f>M237+'2A. Cash Forecast'!CD49</f>
        <v/>
      </c>
      <c r="N254" s="1745">
        <f>N237+'2A. Cash Forecast'!CS49</f>
        <v/>
      </c>
      <c r="P254" s="1917" t="n"/>
      <c r="U254" s="383" t="inlineStr">
        <is>
          <t>General and Administrative</t>
        </is>
      </c>
      <c r="V254" s="383" t="n"/>
      <c r="W254" s="681">
        <f>I231/25000000</f>
        <v/>
      </c>
    </row>
    <row r="255" ht="15" customHeight="1" s="1883">
      <c r="D255" s="1744" t="n"/>
      <c r="E255" s="1744" t="n"/>
      <c r="F255" s="1744" t="n"/>
      <c r="G255" s="1744" t="n"/>
      <c r="H255" s="1744" t="n"/>
      <c r="I255" s="1653" t="n"/>
      <c r="J255" s="1745">
        <f>'2A. Cash Forecast'!AK78</f>
        <v/>
      </c>
      <c r="K255" s="1749">
        <f>'2A. Cash Forecast'!AZ78</f>
        <v/>
      </c>
      <c r="L255" s="1746">
        <f>'2A. Cash Forecast'!BO78</f>
        <v/>
      </c>
      <c r="M255" s="1746">
        <f>'2A. Cash Forecast'!CD78</f>
        <v/>
      </c>
      <c r="N255" s="1746">
        <f>'2A. Cash Forecast'!CS78</f>
        <v/>
      </c>
      <c r="U255" s="383" t="inlineStr">
        <is>
          <t>Customer Rewards</t>
        </is>
      </c>
      <c r="V255" s="383" t="n"/>
      <c r="W255" s="681">
        <f>I232/25000000</f>
        <v/>
      </c>
    </row>
    <row r="256" ht="14" customHeight="1" s="1883">
      <c r="B256" s="1444" t="inlineStr">
        <is>
          <t>*</t>
        </is>
      </c>
      <c r="D256" s="1736" t="inlineStr">
        <is>
          <t>Total Expenses double checked against forecast</t>
        </is>
      </c>
      <c r="E256" s="1737" t="n"/>
      <c r="F256" s="1737" t="n"/>
      <c r="G256" s="1737" t="n"/>
      <c r="H256" s="1737" t="n"/>
      <c r="I256" s="1738">
        <f>I220+I237</f>
        <v/>
      </c>
      <c r="J256" s="1738">
        <f>J220+J237</f>
        <v/>
      </c>
      <c r="K256" s="1738">
        <f>K220+K237</f>
        <v/>
      </c>
      <c r="L256" s="1738">
        <f>L220+L237</f>
        <v/>
      </c>
      <c r="M256" s="1738">
        <f>M220+M237</f>
        <v/>
      </c>
      <c r="N256" s="1738">
        <f>N220+N237</f>
        <v/>
      </c>
      <c r="U256" s="383" t="inlineStr">
        <is>
          <t>Capital Expenditures</t>
        </is>
      </c>
      <c r="W256" s="681">
        <f>I233/25000000</f>
        <v/>
      </c>
    </row>
    <row r="257" ht="15" customHeight="1" s="1883">
      <c r="D257" s="1718" t="inlineStr">
        <is>
          <t>Total Ops Income/(Loss) checked against forecast</t>
        </is>
      </c>
      <c r="E257" s="1719" t="n"/>
      <c r="F257" s="1719" t="n"/>
      <c r="G257" s="1719" t="n"/>
      <c r="H257" s="1719" t="n"/>
      <c r="I257" s="1740">
        <f>'2A. Cash Forecast'!V81</f>
        <v/>
      </c>
      <c r="J257" s="1740">
        <f>'2A. Cash Forecast'!AK81</f>
        <v/>
      </c>
      <c r="K257" s="1740">
        <f>'2A. Cash Forecast'!AZ81</f>
        <v/>
      </c>
      <c r="L257" s="1740">
        <f>'2A. Cash Forecast'!BO81</f>
        <v/>
      </c>
      <c r="M257" s="1740">
        <f>'2A. Cash Forecast'!CD81</f>
        <v/>
      </c>
      <c r="N257" s="1720">
        <f>'2A. Cash Forecast'!CS81</f>
        <v/>
      </c>
      <c r="U257" s="383" t="inlineStr">
        <is>
          <t>Strategic Investments</t>
        </is>
      </c>
      <c r="W257" s="681">
        <f>'2A. Cash Forecast'!V46/25000000</f>
        <v/>
      </c>
    </row>
    <row r="258" ht="15" customHeight="1" s="1883">
      <c r="D258" s="383" t="n"/>
      <c r="E258" s="383" t="n"/>
      <c r="F258" s="383" t="n"/>
      <c r="G258" s="383" t="n"/>
      <c r="H258" s="383" t="n"/>
      <c r="I258" s="462" t="n"/>
      <c r="J258" s="462">
        <f>K255</f>
        <v/>
      </c>
      <c r="K258" s="462" t="n"/>
      <c r="L258" s="462" t="n"/>
      <c r="M258" s="462" t="n"/>
      <c r="N258" s="462" t="n"/>
      <c r="S258" s="659" t="n"/>
      <c r="U258" s="383" t="inlineStr">
        <is>
          <t>One Time Legacy Expenses + Strategic Investments</t>
        </is>
      </c>
      <c r="V258" s="383" t="n"/>
      <c r="W258" s="659">
        <f>('2A. Cash Forecast'!V44+'2A. Cash Forecast'!V45+'2A. Cash Forecast'!V54)/25000000</f>
        <v/>
      </c>
    </row>
    <row r="259" ht="14" customHeight="1" s="1883">
      <c r="D259" s="726" t="inlineStr">
        <is>
          <t>In Years 1 and 2, it is expected that distribution of proprietary Pure Technology mobile telephones ('Hardware') will be fully funded by early-adopter brands and/or our go to market strategy and that this funding will exceed the Hardware COGS.</t>
        </is>
      </c>
      <c r="W259" s="1862">
        <f>SUM(W247:W255)</f>
        <v/>
      </c>
    </row>
    <row r="260" ht="15" customHeight="1" s="1883">
      <c r="E260" s="726" t="inlineStr">
        <is>
          <t xml:space="preserve">  From Year 3 onward,  legacy users of PT Hardware are provided a new mobile telephone handset at no cost so hardware subsidies become less than hardware COGS from that point onward. </t>
        </is>
      </c>
      <c r="U260" s="383" t="inlineStr">
        <is>
          <t xml:space="preserve">working capital </t>
        </is>
      </c>
      <c r="W260" s="681">
        <f>100%-W256</f>
        <v/>
      </c>
    </row>
    <row r="261">
      <c r="E261" s="1917" t="inlineStr">
        <is>
          <t xml:space="preserve">New subscribers to our system will still receive phones either subsidized via go-to-market (deployment strategy), or other means. </t>
        </is>
      </c>
      <c r="J261" s="1884" t="n"/>
    </row>
    <row r="262" ht="15" customHeight="1" s="1883">
      <c r="E262" s="726" t="inlineStr">
        <is>
          <t xml:space="preserve">Only legacy users will receive free hardware without subsidization aside from what the previous device generated. </t>
        </is>
      </c>
    </row>
    <row r="264">
      <c r="J264" s="1865" t="inlineStr">
        <is>
          <t>Net Hardware Revenue or (Cost)</t>
        </is>
      </c>
    </row>
    <row r="265" ht="15" customHeight="1" s="1883">
      <c r="J265" s="386" t="inlineStr">
        <is>
          <t>Year 1</t>
        </is>
      </c>
      <c r="K265" s="386" t="inlineStr">
        <is>
          <t>Year 2</t>
        </is>
      </c>
      <c r="L265" s="386" t="inlineStr">
        <is>
          <t>Year 3</t>
        </is>
      </c>
      <c r="M265" s="386" t="inlineStr">
        <is>
          <t>Year 4</t>
        </is>
      </c>
      <c r="N265" s="386" t="inlineStr">
        <is>
          <t>Year 5</t>
        </is>
      </c>
    </row>
    <row r="266">
      <c r="J266" s="2007">
        <f>J211-J219</f>
        <v/>
      </c>
      <c r="K266" s="2007">
        <f>K211-K219</f>
        <v/>
      </c>
      <c r="L266" s="2007">
        <f>L211-L219</f>
        <v/>
      </c>
      <c r="M266" s="2007">
        <f>M211-M219</f>
        <v/>
      </c>
      <c r="N266" s="2007">
        <f>N211-N219</f>
        <v/>
      </c>
    </row>
    <row r="269">
      <c r="G269" s="658" t="inlineStr">
        <is>
          <t>Operations Minus People Costs</t>
        </is>
      </c>
      <c r="I269" s="1458">
        <f>I237-I227</f>
        <v/>
      </c>
      <c r="J269" s="1458">
        <f>J237-J227</f>
        <v/>
      </c>
      <c r="K269" s="1458">
        <f>K237-K227</f>
        <v/>
      </c>
      <c r="L269" s="1458">
        <f>L237-L227</f>
        <v/>
      </c>
      <c r="M269" s="1458">
        <f>M237-M227</f>
        <v/>
      </c>
      <c r="N269" s="1458">
        <f>N237-N227</f>
        <v/>
      </c>
      <c r="P269" s="1917" t="inlineStr">
        <is>
          <t>&lt;-- other costs minus salary</t>
        </is>
      </c>
    </row>
    <row r="272" ht="14" customHeight="1" s="1883" thickBot="1"/>
    <row r="273">
      <c r="G273" s="1917" t="n"/>
    </row>
    <row r="276">
      <c r="G276" s="1487" t="inlineStr">
        <is>
          <t>Original Numbers - projects on 7.5 hours per year</t>
        </is>
      </c>
      <c r="H276" s="1488" t="n"/>
      <c r="I276" s="1488" t="n"/>
      <c r="J276" s="1488" t="n"/>
      <c r="K276" s="1488" t="n"/>
      <c r="L276" s="1488" t="n"/>
      <c r="M276" s="1488" t="n"/>
      <c r="N276" s="1489" t="n"/>
    </row>
    <row r="277">
      <c r="G277" s="1490" t="inlineStr">
        <is>
          <t>Revenue Per phone</t>
        </is>
      </c>
      <c r="H277" s="1884" t="n"/>
      <c r="I277" s="1884" t="n"/>
      <c r="J277" s="2008">
        <f>J247</f>
        <v/>
      </c>
      <c r="K277" s="2006">
        <f>J274*1.15</f>
        <v/>
      </c>
      <c r="L277" s="2006">
        <f>K274*1.15</f>
        <v/>
      </c>
      <c r="M277" s="2006">
        <f>L274*1.15</f>
        <v/>
      </c>
      <c r="N277" s="2009">
        <f>M274*1.15</f>
        <v/>
      </c>
    </row>
    <row r="278" ht="14" customHeight="1" s="1883" thickBot="1">
      <c r="G278" s="1490" t="inlineStr">
        <is>
          <t>Internal Expense per phone</t>
        </is>
      </c>
      <c r="H278" s="1884" t="n"/>
      <c r="I278" s="1884" t="n"/>
      <c r="J278" s="2006">
        <f>J246</f>
        <v/>
      </c>
      <c r="K278" s="2006">
        <f>K246</f>
        <v/>
      </c>
      <c r="L278" s="2006">
        <f>L246</f>
        <v/>
      </c>
      <c r="M278" s="2006">
        <f>M246</f>
        <v/>
      </c>
      <c r="N278" s="2009">
        <f>N246</f>
        <v/>
      </c>
    </row>
    <row r="279" ht="14" customHeight="1" s="1883" thickBot="1">
      <c r="G279" s="1490" t="inlineStr">
        <is>
          <t>Revenue share per phone - 10%</t>
        </is>
      </c>
      <c r="H279" s="1884" t="n"/>
      <c r="I279" s="1884" t="n"/>
      <c r="J279" s="2006">
        <f>J274*0.1</f>
        <v/>
      </c>
      <c r="K279" s="2006">
        <f>K274*0.1</f>
        <v/>
      </c>
      <c r="L279" s="2006">
        <f>L274*0.1</f>
        <v/>
      </c>
      <c r="M279" s="2006">
        <f>M274*0.1</f>
        <v/>
      </c>
      <c r="N279" s="2009">
        <f>N274*0.1</f>
        <v/>
      </c>
    </row>
    <row r="280">
      <c r="G280" s="1490" t="inlineStr">
        <is>
          <t>PT's remaining Profit margin per phone</t>
        </is>
      </c>
      <c r="H280" s="1884" t="n"/>
      <c r="I280" s="1884" t="n"/>
      <c r="J280" s="2006">
        <f>J274-(J275+J276)</f>
        <v/>
      </c>
      <c r="K280" s="2006">
        <f>K274-(K275+K276)</f>
        <v/>
      </c>
      <c r="L280" s="2006">
        <f>L274-(L275+L276)</f>
        <v/>
      </c>
      <c r="M280" s="2006">
        <f>M274-(M275+M276)</f>
        <v/>
      </c>
      <c r="N280" s="2009">
        <f>N274-(N275+N276)</f>
        <v/>
      </c>
    </row>
    <row r="281">
      <c r="G281" s="1494" t="inlineStr">
        <is>
          <t>Operating Margin</t>
        </is>
      </c>
      <c r="H281" s="1495" t="n"/>
      <c r="I281" s="1495" t="n"/>
      <c r="J281" s="1496">
        <f>J277/J274</f>
        <v/>
      </c>
      <c r="K281" s="1496">
        <f>K277/K274</f>
        <v/>
      </c>
      <c r="L281" s="1496">
        <f>L277/L274</f>
        <v/>
      </c>
      <c r="M281" s="1496">
        <f>M277/M274</f>
        <v/>
      </c>
      <c r="N281" s="1497">
        <f>N277/N274</f>
        <v/>
      </c>
    </row>
    <row r="283">
      <c r="G283" s="1487" t="inlineStr">
        <is>
          <t>2025 Ed's Numbers - projects on 7.5 hours per year</t>
        </is>
      </c>
      <c r="H283" s="1488" t="n"/>
      <c r="I283" s="1488" t="n"/>
      <c r="J283" s="1488" t="n"/>
      <c r="K283" s="1488" t="n"/>
      <c r="L283" s="1488" t="n"/>
      <c r="M283" s="1488" t="n"/>
      <c r="N283" s="1489" t="n"/>
    </row>
    <row r="284">
      <c r="G284" s="1490" t="inlineStr">
        <is>
          <t>Revenue Per phone</t>
        </is>
      </c>
      <c r="H284" s="1884" t="n"/>
      <c r="I284" s="1884" t="n"/>
      <c r="J284" s="2008" t="n">
        <v>2656.42</v>
      </c>
      <c r="K284" s="2006">
        <f>J281*1.15</f>
        <v/>
      </c>
      <c r="L284" s="2006">
        <f>K281*1.15</f>
        <v/>
      </c>
      <c r="M284" s="2006">
        <f>L281*1.15</f>
        <v/>
      </c>
      <c r="N284" s="2009">
        <f>M281*1.15</f>
        <v/>
      </c>
    </row>
    <row r="285" ht="14" customHeight="1" s="1883" thickBot="1">
      <c r="G285" s="1490" t="inlineStr">
        <is>
          <t>Internal Expense per phone</t>
        </is>
      </c>
      <c r="H285" s="1884" t="n"/>
      <c r="I285" s="1884" t="n"/>
      <c r="J285" s="2006">
        <f>J246</f>
        <v/>
      </c>
      <c r="K285" s="2006">
        <f>K246</f>
        <v/>
      </c>
      <c r="L285" s="2006">
        <f>L246</f>
        <v/>
      </c>
      <c r="M285" s="2006">
        <f>M246</f>
        <v/>
      </c>
      <c r="N285" s="2009">
        <f>N246</f>
        <v/>
      </c>
    </row>
    <row r="286">
      <c r="G286" s="1490" t="inlineStr">
        <is>
          <t>Revenue share per phone - 10%</t>
        </is>
      </c>
      <c r="H286" s="1884" t="n"/>
      <c r="I286" s="1884" t="n"/>
      <c r="J286" s="2006">
        <f>J281*0.1</f>
        <v/>
      </c>
      <c r="K286" s="2006">
        <f>K281*0.1</f>
        <v/>
      </c>
      <c r="L286" s="2006">
        <f>L281*0.1</f>
        <v/>
      </c>
      <c r="M286" s="2006">
        <f>M281*0.1</f>
        <v/>
      </c>
      <c r="N286" s="2009">
        <f>N281*0.1</f>
        <v/>
      </c>
    </row>
    <row r="287">
      <c r="G287" s="1490" t="inlineStr">
        <is>
          <t>PT's remaining Profit margin per phone</t>
        </is>
      </c>
      <c r="H287" s="1884" t="n"/>
      <c r="I287" s="1884" t="n"/>
      <c r="J287" s="2006">
        <f>J281-(J282+J283)</f>
        <v/>
      </c>
      <c r="K287" s="2006">
        <f>K281-(K282+K283)</f>
        <v/>
      </c>
      <c r="L287" s="2006">
        <f>L281-(L282+L283)</f>
        <v/>
      </c>
      <c r="M287" s="2006">
        <f>M281-(M282+M283)</f>
        <v/>
      </c>
      <c r="N287" s="2009">
        <f>N281-(N282+N283)</f>
        <v/>
      </c>
    </row>
    <row r="288">
      <c r="G288" s="1494" t="inlineStr">
        <is>
          <t>Operating Margin</t>
        </is>
      </c>
      <c r="H288" s="1495" t="n"/>
      <c r="I288" s="1495" t="n"/>
      <c r="J288" s="1496">
        <f>J284/J281</f>
        <v/>
      </c>
      <c r="K288" s="1496">
        <f>K284/K281</f>
        <v/>
      </c>
      <c r="L288" s="1496">
        <f>L284/L281</f>
        <v/>
      </c>
      <c r="M288" s="1496">
        <f>M284/M281</f>
        <v/>
      </c>
      <c r="N288" s="1497">
        <f>N284/N281</f>
        <v/>
      </c>
    </row>
  </sheetData>
  <mergeCells count="12">
    <mergeCell ref="P47:T47"/>
    <mergeCell ref="J125:N125"/>
    <mergeCell ref="J261:N261"/>
    <mergeCell ref="B8:N8"/>
    <mergeCell ref="B4:N4"/>
    <mergeCell ref="J15:N15"/>
    <mergeCell ref="J195:N195"/>
    <mergeCell ref="P224:T224"/>
    <mergeCell ref="B6:N6"/>
    <mergeCell ref="B2:N2"/>
    <mergeCell ref="B10:N10"/>
    <mergeCell ref="J87:N87"/>
  </mergeCells>
  <pageMargins left="0.7" right="0.7" top="0.75" bottom="0.75" header="0.3" footer="0.3"/>
  <pageSetup orientation="portrait" horizontalDpi="0" verticalDpi="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tabColor rgb="FFCCFFCC"/>
    <outlinePr summaryBelow="1" summaryRight="1"/>
    <pageSetUpPr/>
  </sheetPr>
  <dimension ref="B2:DB90"/>
  <sheetViews>
    <sheetView topLeftCell="A27" zoomScale="109" zoomScaleNormal="109" workbookViewId="0">
      <selection activeCell="T53" sqref="T53"/>
    </sheetView>
  </sheetViews>
  <sheetFormatPr baseColWidth="10" defaultColWidth="8.6640625" defaultRowHeight="13"/>
  <cols>
    <col width="2.6640625" customWidth="1" style="1883" min="1" max="6"/>
    <col width="39.6640625" customWidth="1" style="1883" min="7" max="7"/>
    <col width="1.5" customWidth="1" style="1883" min="8" max="8"/>
    <col width="15.6640625" customWidth="1" style="1883" min="9" max="20"/>
    <col width="1.6640625" customWidth="1" style="1883" min="21" max="21"/>
    <col width="15.6640625" customWidth="1" style="1883" min="22" max="22"/>
    <col width="4.5" customWidth="1" style="1883" min="23" max="23"/>
    <col width="15.6640625" customWidth="1" style="1883" min="24" max="35"/>
    <col width="1.6640625" customWidth="1" style="1883" min="36" max="36"/>
    <col width="15.6640625" customWidth="1" style="1883" min="37" max="37"/>
    <col width="4.6640625" customWidth="1" style="1883" min="38" max="38"/>
    <col width="15.6640625" customWidth="1" style="1883" min="39" max="50"/>
    <col width="1.6640625" customWidth="1" style="1883" min="51" max="51"/>
    <col width="15.6640625" customWidth="1" style="1883" min="52" max="52"/>
    <col width="4.6640625" customWidth="1" style="1883" min="53" max="53"/>
    <col width="15.6640625" customWidth="1" style="1883" min="54" max="65"/>
    <col width="1.6640625" customWidth="1" style="1883" min="66" max="66"/>
    <col width="15.6640625" customWidth="1" style="1883" min="67" max="67"/>
    <col width="4.6640625" customWidth="1" style="1883" min="68" max="68"/>
    <col width="15.6640625" customWidth="1" style="1883" min="69" max="80"/>
    <col width="2" customWidth="1" style="1883" min="81" max="81"/>
    <col width="15.6640625" customWidth="1" style="1883" min="82" max="82"/>
    <col width="4.6640625" customWidth="1" style="1883" min="83" max="83"/>
    <col width="15.6640625" customWidth="1" style="1883" min="84" max="95"/>
    <col width="1.6640625" customWidth="1" style="1883" min="96" max="96"/>
    <col width="15.6640625" customWidth="1" style="1883" min="97" max="97"/>
    <col width="2.5" customWidth="1" style="1883" min="98" max="98"/>
    <col width="15.6640625" customWidth="1" style="1883" min="99" max="107"/>
  </cols>
  <sheetData>
    <row r="2" ht="15" customHeight="1" s="1883">
      <c r="B2" s="385" t="inlineStr">
        <is>
          <t>PURE TECHNOLOGY INC.</t>
        </is>
      </c>
      <c r="C2" s="383" t="n"/>
      <c r="D2" s="383" t="n"/>
      <c r="E2" s="386" t="n"/>
      <c r="F2" s="386" t="n"/>
      <c r="G2" s="386" t="n"/>
      <c r="H2" s="386" t="n"/>
      <c r="I2" s="386" t="n"/>
      <c r="J2" s="386" t="n"/>
      <c r="K2" s="386" t="n"/>
      <c r="L2" s="386" t="n"/>
      <c r="M2" s="386" t="n"/>
      <c r="N2" s="386" t="n"/>
      <c r="O2" s="386" t="n"/>
      <c r="P2" s="386" t="n"/>
      <c r="Q2" s="386" t="n"/>
      <c r="R2" s="386" t="n"/>
      <c r="S2" s="386" t="n"/>
      <c r="T2" s="386" t="n"/>
      <c r="U2" s="386" t="n"/>
      <c r="V2" s="386" t="n"/>
      <c r="W2" s="386" t="n"/>
      <c r="X2" s="386" t="n"/>
      <c r="Y2" s="386" t="n"/>
      <c r="Z2" s="386" t="n"/>
      <c r="AA2" s="386" t="n"/>
      <c r="AB2" s="386" t="n"/>
      <c r="AC2" s="386" t="n"/>
      <c r="AD2" s="386" t="n"/>
      <c r="AE2" s="386" t="n"/>
      <c r="AF2" s="386" t="n"/>
      <c r="AG2" s="386" t="n"/>
      <c r="AH2" s="386" t="n"/>
      <c r="AI2" s="386" t="n"/>
      <c r="AJ2" s="386" t="n"/>
      <c r="AK2" s="386" t="n"/>
      <c r="AL2" s="386" t="n"/>
      <c r="AM2" s="386" t="n"/>
      <c r="AN2" s="386" t="n"/>
      <c r="AO2" s="386" t="n"/>
    </row>
    <row r="3" ht="4.5" customHeight="1" s="1883">
      <c r="B3" s="385" t="n"/>
      <c r="C3" s="383" t="n"/>
      <c r="D3" s="383" t="n"/>
      <c r="E3" s="386" t="n"/>
      <c r="F3" s="386" t="n"/>
      <c r="G3" s="386" t="n"/>
      <c r="H3" s="386" t="n"/>
      <c r="I3" s="386" t="n"/>
      <c r="J3" s="386" t="n"/>
      <c r="K3" s="386" t="n"/>
      <c r="L3" s="386" t="n"/>
      <c r="M3" s="386" t="n"/>
      <c r="N3" s="386" t="n"/>
      <c r="O3" s="386" t="n"/>
      <c r="P3" s="386" t="n"/>
      <c r="Q3" s="386" t="n"/>
      <c r="R3" s="386" t="n"/>
      <c r="S3" s="386" t="n"/>
      <c r="T3" s="386" t="n"/>
      <c r="U3" s="386" t="n"/>
      <c r="V3" s="386" t="n"/>
      <c r="W3" s="386" t="n"/>
      <c r="X3" s="386" t="n"/>
      <c r="Y3" s="386" t="n"/>
      <c r="Z3" s="386" t="n"/>
      <c r="AA3" s="386" t="n"/>
      <c r="AB3" s="386" t="n"/>
      <c r="AC3" s="386" t="n"/>
      <c r="AD3" s="386" t="n"/>
      <c r="AE3" s="386" t="n"/>
      <c r="AF3" s="386" t="n"/>
      <c r="AG3" s="386" t="n"/>
      <c r="AH3" s="386" t="n"/>
      <c r="AI3" s="386" t="n"/>
      <c r="AJ3" s="386" t="n"/>
      <c r="AK3" s="386" t="n"/>
      <c r="AL3" s="386" t="n"/>
      <c r="AM3" s="386" t="n"/>
      <c r="AN3" s="386" t="n"/>
      <c r="AO3" s="386" t="n"/>
    </row>
    <row r="4" ht="15" customHeight="1" s="1883">
      <c r="B4" s="385" t="inlineStr">
        <is>
          <t>CASH FORECAST</t>
        </is>
      </c>
      <c r="C4" s="383" t="n"/>
      <c r="D4" s="383" t="n"/>
      <c r="E4" s="386" t="n"/>
      <c r="F4" s="386" t="n"/>
      <c r="G4" s="386" t="n"/>
      <c r="H4" s="386" t="n"/>
      <c r="I4" s="386" t="n"/>
      <c r="J4" s="386" t="n"/>
      <c r="K4" s="386" t="n"/>
      <c r="L4" s="386" t="n"/>
      <c r="M4" s="386" t="n"/>
      <c r="N4" s="386" t="n"/>
      <c r="O4" s="386" t="n"/>
      <c r="P4" s="386" t="n"/>
      <c r="Q4" s="386" t="n"/>
      <c r="R4" s="386" t="n"/>
      <c r="S4" s="386" t="n"/>
      <c r="T4" s="386" t="n"/>
      <c r="U4" s="386" t="n"/>
      <c r="V4" s="386" t="n"/>
      <c r="W4" s="386" t="n"/>
      <c r="X4" s="386" t="n"/>
      <c r="Y4" s="386" t="n"/>
      <c r="Z4" s="386" t="n"/>
      <c r="AA4" s="386" t="n"/>
      <c r="AB4" s="386" t="n"/>
      <c r="AC4" s="386" t="n"/>
      <c r="AD4" s="386" t="n"/>
      <c r="AE4" s="386" t="n"/>
      <c r="AF4" s="386" t="n"/>
      <c r="AG4" s="386" t="n"/>
      <c r="AH4" s="386" t="n"/>
      <c r="AI4" s="386" t="n"/>
      <c r="AJ4" s="386" t="n"/>
      <c r="AK4" s="386" t="n"/>
      <c r="AL4" s="386" t="n"/>
      <c r="AM4" s="386" t="n"/>
      <c r="AN4" s="386" t="n"/>
      <c r="AO4" s="386" t="n"/>
    </row>
    <row r="5" ht="4.5" customHeight="1" s="1883">
      <c r="B5" s="385" t="n"/>
      <c r="C5" s="383" t="n"/>
      <c r="D5" s="383" t="n"/>
      <c r="E5" s="386" t="n"/>
      <c r="F5" s="386" t="n"/>
      <c r="G5" s="386" t="n"/>
      <c r="H5" s="386" t="n"/>
      <c r="I5" s="386" t="n"/>
      <c r="J5" s="386" t="n"/>
      <c r="K5" s="386" t="n"/>
      <c r="L5" s="386" t="n"/>
      <c r="M5" s="386" t="n"/>
      <c r="N5" s="386" t="n"/>
      <c r="O5" s="386" t="n"/>
      <c r="P5" s="386" t="n"/>
      <c r="Q5" s="386" t="n"/>
      <c r="R5" s="386" t="n"/>
      <c r="S5" s="386" t="n"/>
      <c r="T5" s="386" t="n"/>
      <c r="U5" s="386" t="n"/>
      <c r="V5" s="386" t="n"/>
      <c r="W5" s="386" t="n"/>
      <c r="X5" s="386" t="n"/>
      <c r="Y5" s="386" t="n"/>
      <c r="Z5" s="386" t="n"/>
      <c r="AA5" s="386" t="n"/>
      <c r="AB5" s="386" t="n"/>
      <c r="AC5" s="386" t="n"/>
      <c r="AD5" s="386" t="n"/>
      <c r="AE5" s="386" t="n"/>
      <c r="AF5" s="386" t="n"/>
      <c r="AG5" s="386" t="n"/>
      <c r="AH5" s="386" t="n"/>
      <c r="AI5" s="386" t="n"/>
      <c r="AJ5" s="386" t="n"/>
      <c r="AK5" s="386" t="n"/>
      <c r="AL5" s="386" t="n"/>
      <c r="AM5" s="386" t="n"/>
      <c r="AN5" s="386" t="n"/>
      <c r="AO5" s="386" t="n"/>
    </row>
    <row r="6" ht="15" customHeight="1" s="1883">
      <c r="B6" s="385" t="inlineStr">
        <is>
          <t>BY MONTH, MONTHS -12 THROUGH -1 AND MONTHS 1 - 60</t>
        </is>
      </c>
      <c r="C6" s="383" t="n"/>
      <c r="D6" s="383" t="n"/>
      <c r="E6" s="386" t="n"/>
      <c r="F6" s="386" t="n"/>
      <c r="G6" s="386" t="n"/>
      <c r="H6" s="386" t="n"/>
      <c r="I6" s="386" t="n"/>
      <c r="J6" s="386" t="n"/>
      <c r="K6" s="386" t="n"/>
      <c r="L6" s="386" t="n"/>
      <c r="M6" s="386" t="n"/>
      <c r="N6" s="386" t="n"/>
      <c r="O6" s="386" t="n"/>
      <c r="P6" s="386" t="n"/>
      <c r="Q6" s="386" t="n"/>
      <c r="R6" s="386" t="n"/>
      <c r="S6" s="386" t="n"/>
      <c r="T6" s="386" t="n"/>
      <c r="U6" s="386" t="n"/>
      <c r="V6" s="386" t="n"/>
      <c r="W6" s="386" t="n"/>
      <c r="X6" s="386" t="n"/>
      <c r="Y6" s="386" t="n"/>
      <c r="Z6" s="386" t="n"/>
      <c r="AA6" s="386" t="n"/>
      <c r="AB6" s="386" t="n"/>
      <c r="AC6" s="386" t="n"/>
      <c r="AD6" s="386" t="n"/>
      <c r="AE6" s="386" t="n"/>
      <c r="AF6" s="386" t="n"/>
      <c r="AG6" s="386" t="n"/>
      <c r="AH6" s="386" t="n"/>
      <c r="AI6" s="386" t="n"/>
      <c r="AJ6" s="386" t="n"/>
      <c r="AK6" s="386" t="n"/>
      <c r="AL6" s="386" t="n"/>
      <c r="AM6" s="386" t="n"/>
      <c r="AN6" s="386" t="n"/>
      <c r="AO6" s="386" t="n"/>
    </row>
    <row r="7" ht="4.5" customHeight="1" s="1883">
      <c r="B7" s="385" t="n"/>
      <c r="C7" s="383" t="n"/>
      <c r="D7" s="383" t="n"/>
      <c r="E7" s="386" t="n"/>
      <c r="F7" s="386" t="n"/>
      <c r="G7" s="386" t="n"/>
      <c r="H7" s="386" t="n"/>
      <c r="I7" s="386" t="n"/>
      <c r="J7" s="386" t="n"/>
      <c r="K7" s="386" t="n"/>
      <c r="L7" s="386" t="n"/>
      <c r="M7" s="386" t="n"/>
      <c r="N7" s="386" t="n"/>
      <c r="O7" s="386" t="n"/>
      <c r="P7" s="386" t="n"/>
      <c r="Q7" s="386" t="n"/>
      <c r="R7" s="386" t="n"/>
      <c r="S7" s="386" t="n"/>
      <c r="T7" s="386" t="n"/>
      <c r="U7" s="386" t="n"/>
      <c r="V7" s="386" t="n"/>
      <c r="W7" s="386" t="n"/>
      <c r="X7" s="386" t="n"/>
      <c r="Y7" s="386" t="n"/>
      <c r="Z7" s="386" t="n"/>
      <c r="AA7" s="386" t="n"/>
      <c r="AB7" s="386" t="n"/>
      <c r="AC7" s="386" t="n"/>
      <c r="AD7" s="386" t="n"/>
      <c r="AE7" s="386" t="n"/>
      <c r="AF7" s="386" t="n"/>
      <c r="AG7" s="386" t="n"/>
      <c r="AH7" s="386" t="n"/>
      <c r="AI7" s="386" t="n"/>
      <c r="AJ7" s="386" t="n"/>
      <c r="AK7" s="386" t="n"/>
      <c r="AL7" s="386" t="n"/>
      <c r="AM7" s="386" t="n"/>
      <c r="AN7" s="386" t="n"/>
      <c r="AO7" s="386" t="n"/>
    </row>
    <row r="8" ht="15" customHeight="1" s="1883">
      <c r="B8" s="385" t="inlineStr">
        <is>
          <t>AT August 25th, 2025</t>
        </is>
      </c>
      <c r="C8" s="383" t="n"/>
      <c r="D8" s="383" t="n"/>
      <c r="E8" s="386" t="n"/>
      <c r="F8" s="386" t="n"/>
      <c r="G8" s="386" t="n"/>
      <c r="H8" s="386" t="n"/>
      <c r="I8" s="386" t="n"/>
      <c r="J8" s="386" t="n"/>
      <c r="K8" s="386" t="n"/>
      <c r="L8" s="386" t="n"/>
      <c r="M8" s="386" t="n"/>
      <c r="N8" s="386" t="n"/>
      <c r="O8" s="386" t="n"/>
      <c r="P8" s="386" t="n"/>
      <c r="Q8" s="386" t="n"/>
      <c r="R8" s="386" t="n"/>
      <c r="S8" s="386" t="n"/>
      <c r="T8" s="386" t="n"/>
      <c r="U8" s="386" t="n"/>
      <c r="V8" s="386" t="n"/>
      <c r="W8" s="386" t="n"/>
      <c r="X8" s="386" t="n"/>
      <c r="Y8" s="386" t="n"/>
      <c r="Z8" s="386" t="n"/>
      <c r="AA8" s="386" t="n"/>
      <c r="AB8" s="386" t="n"/>
      <c r="AC8" s="386" t="n"/>
      <c r="AD8" s="386" t="n"/>
      <c r="AE8" s="386" t="n"/>
      <c r="AF8" s="386" t="n"/>
      <c r="AG8" s="386" t="n"/>
      <c r="AH8" s="386" t="n"/>
      <c r="AI8" s="386" t="n"/>
      <c r="AJ8" s="386" t="n"/>
      <c r="AK8" s="386" t="n"/>
      <c r="AL8" s="386" t="n"/>
      <c r="AM8" s="386" t="n"/>
      <c r="AN8" s="386" t="n"/>
      <c r="AO8" s="386" t="n"/>
    </row>
    <row r="9" ht="15" customHeight="1" s="1883">
      <c r="B9" s="383" t="n"/>
      <c r="C9" s="383" t="n"/>
      <c r="D9" s="383" t="n"/>
      <c r="E9" s="386" t="n"/>
      <c r="F9" s="386" t="n"/>
      <c r="G9" s="386" t="n"/>
      <c r="H9" s="386" t="n"/>
      <c r="I9" s="386" t="n"/>
      <c r="J9" s="386" t="n"/>
      <c r="K9" s="386" t="n"/>
      <c r="L9" s="386" t="n"/>
      <c r="M9" s="386" t="n"/>
      <c r="N9" s="386" t="n"/>
      <c r="O9" s="386" t="n"/>
      <c r="P9" s="386" t="n"/>
      <c r="Q9" s="386" t="n"/>
      <c r="R9" s="386" t="n"/>
      <c r="S9" s="386" t="n"/>
      <c r="T9" s="386" t="n"/>
      <c r="U9" s="386" t="n"/>
      <c r="V9" s="386" t="n"/>
      <c r="W9" s="386" t="n"/>
      <c r="X9" s="386" t="n"/>
      <c r="Y9" s="386" t="n"/>
      <c r="Z9" s="386" t="n"/>
      <c r="AA9" s="386" t="n"/>
      <c r="AB9" s="386" t="n"/>
      <c r="AC9" s="386" t="n"/>
      <c r="AD9" s="386" t="n"/>
      <c r="AE9" s="386" t="n"/>
      <c r="AF9" s="386" t="n"/>
      <c r="AG9" s="386" t="n"/>
      <c r="AH9" s="386" t="n"/>
      <c r="AI9" s="386" t="n"/>
      <c r="AJ9" s="386" t="n"/>
      <c r="AK9" s="386" t="n"/>
      <c r="AL9" s="386" t="n"/>
      <c r="AM9" s="386" t="n"/>
      <c r="AN9" s="386" t="n"/>
      <c r="AO9" s="386" t="n"/>
    </row>
    <row r="10" ht="3" customHeight="1" s="1883" thickBot="1">
      <c r="B10" s="1885" t="n"/>
      <c r="C10" s="1885" t="n"/>
      <c r="D10" s="1885" t="n"/>
      <c r="E10" s="910" t="n"/>
      <c r="F10" s="910" t="n"/>
      <c r="G10" s="910" t="n"/>
      <c r="H10" s="386" t="n"/>
      <c r="I10" s="386" t="n"/>
      <c r="J10" s="386" t="n"/>
      <c r="K10" s="386" t="n"/>
      <c r="L10" s="386" t="n"/>
      <c r="M10" s="386" t="n"/>
      <c r="N10" s="386" t="n"/>
      <c r="O10" s="386" t="n"/>
      <c r="P10" s="386" t="n"/>
      <c r="Q10" s="386" t="n"/>
      <c r="R10" s="386" t="n"/>
      <c r="S10" s="386" t="n"/>
      <c r="T10" s="386" t="n"/>
      <c r="U10" s="386" t="n"/>
      <c r="V10" s="386" t="n"/>
      <c r="W10" s="386" t="n"/>
      <c r="X10" s="386" t="n"/>
      <c r="Y10" s="386" t="n"/>
      <c r="Z10" s="386" t="n"/>
      <c r="AA10" s="386" t="n"/>
      <c r="AB10" s="386" t="n"/>
      <c r="AC10" s="386" t="n"/>
      <c r="AD10" s="386" t="n"/>
      <c r="AE10" s="386" t="n"/>
      <c r="AF10" s="386" t="n"/>
      <c r="AG10" s="386" t="n"/>
      <c r="AH10" s="386" t="n"/>
      <c r="AI10" s="386" t="n"/>
      <c r="AJ10" s="386" t="n"/>
      <c r="AK10" s="386" t="n"/>
      <c r="AL10" s="386" t="n"/>
      <c r="AM10" s="386" t="n"/>
      <c r="AN10" s="386" t="n"/>
      <c r="AO10" s="386" t="n"/>
    </row>
    <row r="11" ht="3" customHeight="1" s="1883" thickTop="1">
      <c r="B11" s="383" t="n"/>
      <c r="C11" s="383" t="n"/>
      <c r="D11" s="383" t="n"/>
      <c r="E11" s="386" t="n"/>
      <c r="F11" s="386" t="n"/>
      <c r="G11" s="386" t="n"/>
      <c r="H11" s="386" t="n"/>
      <c r="I11" s="386" t="n"/>
      <c r="J11" s="386" t="n"/>
      <c r="K11" s="386" t="n"/>
      <c r="L11" s="386" t="n"/>
      <c r="M11" s="386" t="n"/>
      <c r="N11" s="386" t="n"/>
      <c r="O11" s="386" t="n"/>
      <c r="P11" s="386" t="n"/>
      <c r="Q11" s="386" t="n"/>
      <c r="R11" s="386" t="n"/>
      <c r="S11" s="386" t="n"/>
      <c r="T11" s="386" t="n"/>
      <c r="U11" s="386" t="n"/>
      <c r="V11" s="386" t="n"/>
      <c r="W11" s="386" t="n"/>
      <c r="X11" s="386" t="n"/>
      <c r="Y11" s="386" t="n"/>
      <c r="Z11" s="386" t="n"/>
      <c r="AA11" s="386" t="n"/>
      <c r="AB11" s="386" t="n"/>
      <c r="AC11" s="386" t="n"/>
      <c r="AD11" s="386" t="n"/>
      <c r="AE11" s="386" t="n"/>
      <c r="AF11" s="386" t="n"/>
      <c r="AG11" s="386" t="n"/>
      <c r="AH11" s="386" t="n"/>
      <c r="AI11" s="386" t="n"/>
      <c r="AJ11" s="386" t="n"/>
      <c r="AK11" s="386" t="n"/>
      <c r="AL11" s="386" t="n"/>
      <c r="AM11" s="386" t="n"/>
      <c r="AN11" s="386" t="n"/>
      <c r="AO11" s="386" t="n"/>
    </row>
    <row r="12" ht="15" customHeight="1" s="1883">
      <c r="B12" s="383" t="n"/>
      <c r="C12" s="383" t="n"/>
      <c r="D12" s="383" t="n"/>
      <c r="E12" s="386" t="n"/>
      <c r="F12" s="386" t="n"/>
      <c r="G12" s="386" t="n"/>
      <c r="H12" s="386" t="n"/>
      <c r="I12" s="386" t="n"/>
      <c r="J12" s="386" t="n"/>
      <c r="K12" s="386" t="n"/>
      <c r="L12" s="386" t="n"/>
      <c r="M12" s="386" t="n"/>
      <c r="N12" s="386" t="n"/>
      <c r="O12" s="386" t="n"/>
      <c r="P12" s="386" t="n"/>
      <c r="Q12" s="386" t="n"/>
      <c r="R12" s="386" t="n"/>
      <c r="S12" s="386" t="n"/>
      <c r="T12" s="386" t="n"/>
      <c r="U12" s="386" t="n"/>
      <c r="V12" s="386" t="n"/>
      <c r="W12" s="386" t="n"/>
      <c r="X12" s="386" t="n"/>
      <c r="Y12" s="386" t="n"/>
      <c r="Z12" s="386" t="n"/>
      <c r="AA12" s="386" t="n"/>
      <c r="AB12" s="386" t="n"/>
      <c r="AC12" s="386" t="n"/>
      <c r="AD12" s="386" t="n"/>
      <c r="AE12" s="386" t="n"/>
      <c r="AF12" s="386" t="n"/>
      <c r="AG12" s="386" t="n"/>
      <c r="AH12" s="386" t="n"/>
      <c r="AI12" s="386" t="n"/>
      <c r="AJ12" s="386" t="n"/>
      <c r="AK12" s="386" t="n"/>
      <c r="AL12" s="386" t="n"/>
      <c r="AM12" s="386" t="n"/>
      <c r="AN12" s="386" t="n"/>
      <c r="AO12" s="386" t="n"/>
    </row>
    <row r="13" ht="15" customHeight="1" s="1883">
      <c r="B13" s="383" t="n"/>
      <c r="C13" s="383" t="n"/>
      <c r="D13" s="383" t="n"/>
      <c r="E13" s="386" t="n"/>
      <c r="F13" s="386" t="n"/>
      <c r="G13" s="386" t="n"/>
      <c r="H13" s="386" t="n"/>
      <c r="I13" s="1882" t="inlineStr">
        <is>
          <t>Pre-Launch (Twelve Months)</t>
        </is>
      </c>
      <c r="U13" s="385" t="n"/>
      <c r="V13" s="385" t="n"/>
      <c r="W13" s="386" t="n"/>
      <c r="X13" s="1882" t="inlineStr">
        <is>
          <t>Post-Launch</t>
        </is>
      </c>
      <c r="AL13" s="386" t="n"/>
      <c r="AM13" s="1882" t="inlineStr">
        <is>
          <t>Post-Launch</t>
        </is>
      </c>
      <c r="BB13" s="1882" t="inlineStr">
        <is>
          <t>Post-Launch</t>
        </is>
      </c>
      <c r="BQ13" s="1882" t="inlineStr">
        <is>
          <t>Post-Launch</t>
        </is>
      </c>
      <c r="CF13" s="1882" t="inlineStr">
        <is>
          <t>Post-Launch</t>
        </is>
      </c>
    </row>
    <row r="14" ht="3" customHeight="1" s="1883">
      <c r="B14" s="383" t="n"/>
      <c r="C14" s="383" t="n"/>
      <c r="D14" s="383" t="n"/>
      <c r="E14" s="386" t="n"/>
      <c r="F14" s="386" t="n"/>
      <c r="G14" s="386" t="n"/>
      <c r="H14" s="386" t="n"/>
      <c r="I14" s="646" t="n"/>
      <c r="J14" s="646" t="n"/>
      <c r="K14" s="646" t="n"/>
      <c r="L14" s="646" t="n"/>
      <c r="M14" s="646" t="n"/>
      <c r="N14" s="646" t="n"/>
      <c r="O14" s="646" t="n"/>
      <c r="P14" s="646" t="n"/>
      <c r="Q14" s="646" t="n"/>
      <c r="R14" s="646" t="n"/>
      <c r="S14" s="646" t="n"/>
      <c r="T14" s="646" t="n"/>
      <c r="U14" s="646" t="n"/>
      <c r="V14" s="646" t="n"/>
      <c r="W14" s="386" t="n"/>
      <c r="X14" s="646" t="n"/>
      <c r="Y14" s="646" t="n"/>
      <c r="Z14" s="646" t="n"/>
      <c r="AA14" s="646" t="n"/>
      <c r="AB14" s="646" t="n"/>
      <c r="AC14" s="646" t="n"/>
      <c r="AD14" s="646" t="n"/>
      <c r="AE14" s="646" t="n"/>
      <c r="AF14" s="646" t="n"/>
      <c r="AG14" s="646" t="n"/>
      <c r="AH14" s="646" t="n"/>
      <c r="AI14" s="646" t="n"/>
      <c r="AJ14" s="646" t="n"/>
      <c r="AK14" s="646" t="n"/>
      <c r="AL14" s="386" t="n"/>
      <c r="AM14" s="646" t="n"/>
      <c r="AN14" s="646" t="n"/>
      <c r="AO14" s="646" t="n"/>
      <c r="AP14" s="646" t="n"/>
      <c r="AQ14" s="646" t="n"/>
      <c r="AR14" s="646" t="n"/>
      <c r="AS14" s="646" t="n"/>
      <c r="AT14" s="646" t="n"/>
      <c r="AU14" s="646" t="n"/>
      <c r="AV14" s="646" t="n"/>
      <c r="AW14" s="646" t="n"/>
      <c r="AX14" s="646" t="n"/>
      <c r="AY14" s="646" t="n"/>
      <c r="AZ14" s="646" t="n"/>
      <c r="BB14" s="646" t="n"/>
      <c r="BC14" s="646" t="n"/>
      <c r="BD14" s="646" t="n"/>
      <c r="BE14" s="646" t="n"/>
      <c r="BF14" s="646" t="n"/>
      <c r="BG14" s="646" t="n"/>
      <c r="BH14" s="646" t="n"/>
      <c r="BI14" s="646" t="n"/>
      <c r="BJ14" s="646" t="n"/>
      <c r="BK14" s="646" t="n"/>
      <c r="BL14" s="646" t="n"/>
      <c r="BM14" s="646" t="n"/>
      <c r="BN14" s="646" t="n"/>
      <c r="BO14" s="646" t="n"/>
      <c r="BQ14" s="646" t="n"/>
      <c r="BR14" s="646" t="n"/>
      <c r="BS14" s="646" t="n"/>
      <c r="BT14" s="646" t="n"/>
      <c r="BU14" s="646" t="n"/>
      <c r="BV14" s="646" t="n"/>
      <c r="BW14" s="646" t="n"/>
      <c r="BX14" s="646" t="n"/>
      <c r="BY14" s="646" t="n"/>
      <c r="BZ14" s="646" t="n"/>
      <c r="CA14" s="646" t="n"/>
      <c r="CB14" s="646" t="n"/>
      <c r="CC14" s="646" t="n"/>
      <c r="CD14" s="646" t="n"/>
      <c r="CF14" s="646" t="n"/>
      <c r="CG14" s="646" t="n"/>
      <c r="CH14" s="646" t="n"/>
      <c r="CI14" s="646" t="n"/>
      <c r="CJ14" s="646" t="n"/>
      <c r="CK14" s="646" t="n"/>
      <c r="CL14" s="646" t="n"/>
      <c r="CM14" s="646" t="n"/>
      <c r="CN14" s="646" t="n"/>
      <c r="CO14" s="646" t="n"/>
      <c r="CP14" s="646" t="n"/>
      <c r="CQ14" s="646" t="n"/>
      <c r="CR14" s="646" t="n"/>
      <c r="CS14" s="646" t="n"/>
    </row>
    <row r="15" ht="3" customHeight="1" s="1883">
      <c r="B15" s="383" t="n"/>
      <c r="C15" s="383" t="n"/>
      <c r="D15" s="383" t="n"/>
      <c r="E15" s="386" t="n"/>
      <c r="F15" s="386" t="n"/>
      <c r="G15" s="386" t="n"/>
      <c r="H15" s="386" t="n"/>
      <c r="I15" s="386" t="n"/>
      <c r="J15" s="386" t="n"/>
      <c r="K15" s="386" t="n"/>
      <c r="L15" s="386" t="n"/>
      <c r="M15" s="386" t="n"/>
      <c r="N15" s="386" t="n"/>
      <c r="O15" s="386" t="n"/>
      <c r="P15" s="386" t="n"/>
      <c r="Q15" s="386" t="n"/>
      <c r="R15" s="386" t="n"/>
      <c r="S15" s="386" t="n"/>
      <c r="T15" s="386" t="n"/>
      <c r="U15" s="386" t="n"/>
      <c r="V15" s="386" t="n"/>
      <c r="W15" s="386" t="n"/>
      <c r="X15" s="386" t="n"/>
      <c r="Y15" s="386" t="n"/>
      <c r="Z15" s="386" t="n"/>
      <c r="AA15" s="386" t="n"/>
      <c r="AB15" s="386" t="n"/>
      <c r="AC15" s="386" t="n"/>
      <c r="AD15" s="386" t="n"/>
      <c r="AE15" s="386" t="n"/>
      <c r="AF15" s="386" t="n"/>
      <c r="AG15" s="386" t="n"/>
      <c r="AH15" s="386" t="n"/>
      <c r="AI15" s="386" t="n"/>
      <c r="AJ15" s="386" t="n"/>
      <c r="AK15" s="386" t="n"/>
      <c r="AL15" s="386" t="n"/>
      <c r="AM15" s="386" t="n"/>
      <c r="AN15" s="386" t="n"/>
      <c r="AO15" s="386" t="n"/>
      <c r="AP15" s="386" t="n"/>
      <c r="AQ15" s="386" t="n"/>
      <c r="AR15" s="386" t="n"/>
      <c r="AS15" s="386" t="n"/>
      <c r="AT15" s="386" t="n"/>
      <c r="AU15" s="386" t="n"/>
      <c r="AV15" s="386" t="n"/>
      <c r="AW15" s="386" t="n"/>
      <c r="AX15" s="386" t="n"/>
      <c r="AY15" s="386" t="n"/>
      <c r="AZ15" s="386" t="n"/>
      <c r="BB15" s="386" t="n"/>
      <c r="BC15" s="386" t="n"/>
      <c r="BD15" s="386" t="n"/>
      <c r="BE15" s="386" t="n"/>
      <c r="BF15" s="386" t="n"/>
      <c r="BG15" s="386" t="n"/>
      <c r="BH15" s="386" t="n"/>
      <c r="BI15" s="386" t="n"/>
      <c r="BJ15" s="386" t="n"/>
      <c r="BK15" s="386" t="n"/>
      <c r="BL15" s="386" t="n"/>
      <c r="BM15" s="386" t="n"/>
      <c r="BN15" s="386" t="n"/>
      <c r="BO15" s="386" t="n"/>
      <c r="BQ15" s="386" t="n"/>
      <c r="BR15" s="386" t="n"/>
      <c r="BS15" s="386" t="n"/>
      <c r="BT15" s="386" t="n"/>
      <c r="BU15" s="386" t="n"/>
      <c r="BV15" s="386" t="n"/>
      <c r="BW15" s="386" t="n"/>
      <c r="BX15" s="386" t="n"/>
      <c r="BY15" s="386" t="n"/>
      <c r="BZ15" s="386" t="n"/>
      <c r="CA15" s="386" t="n"/>
      <c r="CB15" s="386" t="n"/>
      <c r="CC15" s="386" t="n"/>
      <c r="CD15" s="386" t="n"/>
      <c r="CF15" s="386" t="n"/>
      <c r="CG15" s="386" t="n"/>
      <c r="CH15" s="386" t="n"/>
      <c r="CI15" s="386" t="n"/>
      <c r="CJ15" s="386" t="n"/>
      <c r="CK15" s="386" t="n"/>
      <c r="CL15" s="386" t="n"/>
      <c r="CM15" s="386" t="n"/>
      <c r="CN15" s="386" t="n"/>
      <c r="CO15" s="386" t="n"/>
      <c r="CP15" s="386" t="n"/>
      <c r="CQ15" s="386" t="n"/>
      <c r="CR15" s="386" t="n"/>
      <c r="CS15" s="386" t="n"/>
    </row>
    <row r="16" ht="15" customHeight="1" s="1883">
      <c r="B16" s="383" t="n"/>
      <c r="C16" s="383" t="n"/>
      <c r="D16" s="383" t="n"/>
      <c r="E16" s="386" t="n"/>
      <c r="F16" s="386" t="n"/>
      <c r="G16" s="386" t="n"/>
      <c r="H16" s="386" t="n"/>
      <c r="I16" s="386" t="inlineStr">
        <is>
          <t>Month</t>
        </is>
      </c>
      <c r="J16" s="386" t="inlineStr">
        <is>
          <t>Month</t>
        </is>
      </c>
      <c r="K16" s="386" t="inlineStr">
        <is>
          <t>Month</t>
        </is>
      </c>
      <c r="L16" s="386" t="inlineStr">
        <is>
          <t>Month</t>
        </is>
      </c>
      <c r="M16" s="386" t="inlineStr">
        <is>
          <t>Month</t>
        </is>
      </c>
      <c r="N16" s="386" t="inlineStr">
        <is>
          <t>Month</t>
        </is>
      </c>
      <c r="O16" s="386" t="inlineStr">
        <is>
          <t>Month</t>
        </is>
      </c>
      <c r="P16" s="386" t="inlineStr">
        <is>
          <t>Month</t>
        </is>
      </c>
      <c r="Q16" s="386" t="inlineStr">
        <is>
          <t>Month</t>
        </is>
      </c>
      <c r="R16" s="386" t="inlineStr">
        <is>
          <t>Month</t>
        </is>
      </c>
      <c r="S16" s="386" t="inlineStr">
        <is>
          <t>Month</t>
        </is>
      </c>
      <c r="T16" s="386" t="inlineStr">
        <is>
          <t>Month</t>
        </is>
      </c>
      <c r="U16" s="386" t="n"/>
      <c r="V16" s="386" t="inlineStr">
        <is>
          <t>Total</t>
        </is>
      </c>
      <c r="W16" s="386" t="n"/>
      <c r="X16" s="386" t="inlineStr">
        <is>
          <t>Month</t>
        </is>
      </c>
      <c r="Y16" s="386" t="inlineStr">
        <is>
          <t>Month</t>
        </is>
      </c>
      <c r="Z16" s="386" t="inlineStr">
        <is>
          <t>Month</t>
        </is>
      </c>
      <c r="AA16" s="386" t="inlineStr">
        <is>
          <t>Month</t>
        </is>
      </c>
      <c r="AB16" s="386" t="inlineStr">
        <is>
          <t>Month</t>
        </is>
      </c>
      <c r="AC16" s="386" t="inlineStr">
        <is>
          <t>Month</t>
        </is>
      </c>
      <c r="AD16" s="386" t="inlineStr">
        <is>
          <t>Month</t>
        </is>
      </c>
      <c r="AE16" s="386" t="inlineStr">
        <is>
          <t>Month</t>
        </is>
      </c>
      <c r="AF16" s="386" t="inlineStr">
        <is>
          <t>Month</t>
        </is>
      </c>
      <c r="AG16" s="386" t="inlineStr">
        <is>
          <t>Month</t>
        </is>
      </c>
      <c r="AH16" s="386" t="inlineStr">
        <is>
          <t>Month</t>
        </is>
      </c>
      <c r="AI16" s="386" t="inlineStr">
        <is>
          <t>Month</t>
        </is>
      </c>
      <c r="AJ16" s="386" t="n"/>
      <c r="AK16" s="386" t="inlineStr">
        <is>
          <t>Total</t>
        </is>
      </c>
      <c r="AL16" s="386" t="n"/>
      <c r="AM16" s="386" t="inlineStr">
        <is>
          <t>Month</t>
        </is>
      </c>
      <c r="AN16" s="386" t="inlineStr">
        <is>
          <t>Month</t>
        </is>
      </c>
      <c r="AO16" s="386" t="inlineStr">
        <is>
          <t>Month</t>
        </is>
      </c>
      <c r="AP16" s="386" t="inlineStr">
        <is>
          <t>Month</t>
        </is>
      </c>
      <c r="AQ16" s="386" t="inlineStr">
        <is>
          <t>Month</t>
        </is>
      </c>
      <c r="AR16" s="386" t="inlineStr">
        <is>
          <t>Month</t>
        </is>
      </c>
      <c r="AS16" s="386" t="inlineStr">
        <is>
          <t>Month</t>
        </is>
      </c>
      <c r="AT16" s="386" t="inlineStr">
        <is>
          <t>Month</t>
        </is>
      </c>
      <c r="AU16" s="386" t="inlineStr">
        <is>
          <t>Month</t>
        </is>
      </c>
      <c r="AV16" s="386" t="inlineStr">
        <is>
          <t>Month</t>
        </is>
      </c>
      <c r="AW16" s="386" t="inlineStr">
        <is>
          <t>Month</t>
        </is>
      </c>
      <c r="AX16" s="386" t="inlineStr">
        <is>
          <t>Month</t>
        </is>
      </c>
      <c r="AY16" s="386" t="n"/>
      <c r="AZ16" s="386" t="inlineStr">
        <is>
          <t>Total</t>
        </is>
      </c>
      <c r="BB16" s="386" t="inlineStr">
        <is>
          <t>Month</t>
        </is>
      </c>
      <c r="BC16" s="386" t="inlineStr">
        <is>
          <t>Month</t>
        </is>
      </c>
      <c r="BD16" s="386" t="inlineStr">
        <is>
          <t>Month</t>
        </is>
      </c>
      <c r="BE16" s="386" t="inlineStr">
        <is>
          <t>Month</t>
        </is>
      </c>
      <c r="BF16" s="386" t="inlineStr">
        <is>
          <t>Month</t>
        </is>
      </c>
      <c r="BG16" s="386" t="inlineStr">
        <is>
          <t>Month</t>
        </is>
      </c>
      <c r="BH16" s="386" t="inlineStr">
        <is>
          <t>Month</t>
        </is>
      </c>
      <c r="BI16" s="386" t="inlineStr">
        <is>
          <t>Month</t>
        </is>
      </c>
      <c r="BJ16" s="386" t="inlineStr">
        <is>
          <t>Month</t>
        </is>
      </c>
      <c r="BK16" s="386" t="inlineStr">
        <is>
          <t>Month</t>
        </is>
      </c>
      <c r="BL16" s="386" t="inlineStr">
        <is>
          <t>Month</t>
        </is>
      </c>
      <c r="BM16" s="386" t="inlineStr">
        <is>
          <t>Month</t>
        </is>
      </c>
      <c r="BN16" s="386" t="n"/>
      <c r="BO16" s="386" t="inlineStr">
        <is>
          <t>Total</t>
        </is>
      </c>
      <c r="BQ16" s="386" t="inlineStr">
        <is>
          <t>Month</t>
        </is>
      </c>
      <c r="BR16" s="386" t="inlineStr">
        <is>
          <t>Month</t>
        </is>
      </c>
      <c r="BS16" s="386" t="inlineStr">
        <is>
          <t>Month</t>
        </is>
      </c>
      <c r="BT16" s="386" t="inlineStr">
        <is>
          <t>Month</t>
        </is>
      </c>
      <c r="BU16" s="386" t="inlineStr">
        <is>
          <t>Month</t>
        </is>
      </c>
      <c r="BV16" s="386" t="inlineStr">
        <is>
          <t>Month</t>
        </is>
      </c>
      <c r="BW16" s="386" t="inlineStr">
        <is>
          <t>Month</t>
        </is>
      </c>
      <c r="BX16" s="386" t="inlineStr">
        <is>
          <t>Month</t>
        </is>
      </c>
      <c r="BY16" s="386" t="inlineStr">
        <is>
          <t>Month</t>
        </is>
      </c>
      <c r="BZ16" s="386" t="inlineStr">
        <is>
          <t>Month</t>
        </is>
      </c>
      <c r="CA16" s="386" t="inlineStr">
        <is>
          <t>Month</t>
        </is>
      </c>
      <c r="CB16" s="386" t="inlineStr">
        <is>
          <t>Month</t>
        </is>
      </c>
      <c r="CC16" s="386" t="n"/>
      <c r="CD16" s="386" t="inlineStr">
        <is>
          <t>Total</t>
        </is>
      </c>
      <c r="CF16" s="386" t="inlineStr">
        <is>
          <t>Month</t>
        </is>
      </c>
      <c r="CG16" s="386" t="inlineStr">
        <is>
          <t>Month</t>
        </is>
      </c>
      <c r="CH16" s="386" t="inlineStr">
        <is>
          <t>Month</t>
        </is>
      </c>
      <c r="CI16" s="386" t="inlineStr">
        <is>
          <t>Month</t>
        </is>
      </c>
      <c r="CJ16" s="386" t="inlineStr">
        <is>
          <t>Month</t>
        </is>
      </c>
      <c r="CK16" s="386" t="inlineStr">
        <is>
          <t>Month</t>
        </is>
      </c>
      <c r="CL16" s="386" t="inlineStr">
        <is>
          <t>Month</t>
        </is>
      </c>
      <c r="CM16" s="386" t="inlineStr">
        <is>
          <t>Month</t>
        </is>
      </c>
      <c r="CN16" s="386" t="inlineStr">
        <is>
          <t>Month</t>
        </is>
      </c>
      <c r="CO16" s="386" t="inlineStr">
        <is>
          <t>Month</t>
        </is>
      </c>
      <c r="CP16" s="386" t="inlineStr">
        <is>
          <t>Month</t>
        </is>
      </c>
      <c r="CQ16" s="386" t="inlineStr">
        <is>
          <t>Month</t>
        </is>
      </c>
      <c r="CR16" s="386" t="n"/>
      <c r="CS16" s="386" t="inlineStr">
        <is>
          <t>Total</t>
        </is>
      </c>
    </row>
    <row r="17" ht="15" customHeight="1" s="1883">
      <c r="B17" s="383" t="n"/>
      <c r="C17" s="383" t="n"/>
      <c r="D17" s="383" t="n"/>
      <c r="E17" s="386" t="n"/>
      <c r="F17" s="386" t="n"/>
      <c r="G17" s="386" t="n"/>
      <c r="H17" s="386" t="n"/>
      <c r="I17" s="456" t="n">
        <v>-12</v>
      </c>
      <c r="J17" s="456" t="n">
        <v>-11</v>
      </c>
      <c r="K17" s="456" t="n">
        <v>-10</v>
      </c>
      <c r="L17" s="456" t="n">
        <v>-9</v>
      </c>
      <c r="M17" s="386">
        <f>((L17)+(1))</f>
        <v/>
      </c>
      <c r="N17" s="386">
        <f>((M17)+(1))</f>
        <v/>
      </c>
      <c r="O17" s="386">
        <f>((N17)+(1))</f>
        <v/>
      </c>
      <c r="P17" s="386">
        <f>((O17)+(1))</f>
        <v/>
      </c>
      <c r="Q17" s="386">
        <f>((P17)+(1))</f>
        <v/>
      </c>
      <c r="R17" s="386">
        <f>((Q17)+(1))</f>
        <v/>
      </c>
      <c r="S17" s="386">
        <f>((R17)+(1))</f>
        <v/>
      </c>
      <c r="T17" s="386">
        <f>((S17)+(1))</f>
        <v/>
      </c>
      <c r="U17" s="1882" t="n"/>
      <c r="V17" s="386" t="inlineStr">
        <is>
          <t>Months -12 to -1</t>
        </is>
      </c>
      <c r="W17" s="386" t="n"/>
      <c r="X17" s="386" t="n">
        <v>1</v>
      </c>
      <c r="Y17" s="386">
        <f>((X17)+(1))</f>
        <v/>
      </c>
      <c r="Z17" s="386">
        <f>((Y17)+(1))</f>
        <v/>
      </c>
      <c r="AA17" s="386">
        <f>((Z17)+(1))</f>
        <v/>
      </c>
      <c r="AB17" s="386">
        <f>((AA17)+(1))</f>
        <v/>
      </c>
      <c r="AC17" s="386">
        <f>((AB17)+(1))</f>
        <v/>
      </c>
      <c r="AD17" s="386">
        <f>((AC17)+(1))</f>
        <v/>
      </c>
      <c r="AE17" s="386">
        <f>((AD17)+(1))</f>
        <v/>
      </c>
      <c r="AF17" s="386">
        <f>((AE17)+(1))</f>
        <v/>
      </c>
      <c r="AG17" s="386">
        <f>((AF17)+(1))</f>
        <v/>
      </c>
      <c r="AH17" s="386">
        <f>((AG17)+(1))</f>
        <v/>
      </c>
      <c r="AI17" s="386">
        <f>((AH17)+(1))</f>
        <v/>
      </c>
      <c r="AJ17" s="386" t="n"/>
      <c r="AK17" s="386" t="inlineStr">
        <is>
          <t>Months 1 - 12</t>
        </is>
      </c>
      <c r="AL17" s="386" t="n"/>
      <c r="AM17" s="386" t="n">
        <v>13</v>
      </c>
      <c r="AN17" s="386">
        <f>((AM17)+(1))</f>
        <v/>
      </c>
      <c r="AO17" s="386">
        <f>((AN17)+(1))</f>
        <v/>
      </c>
      <c r="AP17" s="386">
        <f>((AO17)+(1))</f>
        <v/>
      </c>
      <c r="AQ17" s="386">
        <f>((AP17)+(1))</f>
        <v/>
      </c>
      <c r="AR17" s="386">
        <f>((AQ17)+(1))</f>
        <v/>
      </c>
      <c r="AS17" s="386">
        <f>((AR17)+(1))</f>
        <v/>
      </c>
      <c r="AT17" s="386">
        <f>((AS17)+(1))</f>
        <v/>
      </c>
      <c r="AU17" s="386">
        <f>((AT17)+(1))</f>
        <v/>
      </c>
      <c r="AV17" s="386">
        <f>((AU17)+(1))</f>
        <v/>
      </c>
      <c r="AW17" s="386">
        <f>((AV17)+(1))</f>
        <v/>
      </c>
      <c r="AX17" s="386">
        <f>((AW17)+(1))</f>
        <v/>
      </c>
      <c r="AY17" s="386" t="n"/>
      <c r="AZ17" s="386" t="inlineStr">
        <is>
          <t>Months 13 - 24</t>
        </is>
      </c>
      <c r="BB17" s="386" t="n">
        <v>25</v>
      </c>
      <c r="BC17" s="386">
        <f>((BB17)+(1))</f>
        <v/>
      </c>
      <c r="BD17" s="386">
        <f>((BC17)+(1))</f>
        <v/>
      </c>
      <c r="BE17" s="386">
        <f>((BD17)+(1))</f>
        <v/>
      </c>
      <c r="BF17" s="386">
        <f>((BE17)+(1))</f>
        <v/>
      </c>
      <c r="BG17" s="386">
        <f>((BF17)+(1))</f>
        <v/>
      </c>
      <c r="BH17" s="386">
        <f>((BG17)+(1))</f>
        <v/>
      </c>
      <c r="BI17" s="386">
        <f>((BH17)+(1))</f>
        <v/>
      </c>
      <c r="BJ17" s="386">
        <f>((BI17)+(1))</f>
        <v/>
      </c>
      <c r="BK17" s="386">
        <f>((BJ17)+(1))</f>
        <v/>
      </c>
      <c r="BL17" s="386">
        <f>((BK17)+(1))</f>
        <v/>
      </c>
      <c r="BM17" s="386">
        <f>((BL17)+(1))</f>
        <v/>
      </c>
      <c r="BN17" s="386" t="n"/>
      <c r="BO17" s="386" t="inlineStr">
        <is>
          <t>Months 25 - 36</t>
        </is>
      </c>
      <c r="BQ17" s="386" t="n">
        <v>37</v>
      </c>
      <c r="BR17" s="386">
        <f>((BQ17)+(1))</f>
        <v/>
      </c>
      <c r="BS17" s="386">
        <f>((BR17)+(1))</f>
        <v/>
      </c>
      <c r="BT17" s="386">
        <f>((BS17)+(1))</f>
        <v/>
      </c>
      <c r="BU17" s="386">
        <f>((BT17)+(1))</f>
        <v/>
      </c>
      <c r="BV17" s="386">
        <f>((BU17)+(1))</f>
        <v/>
      </c>
      <c r="BW17" s="386">
        <f>((BV17)+(1))</f>
        <v/>
      </c>
      <c r="BX17" s="386">
        <f>((BW17)+(1))</f>
        <v/>
      </c>
      <c r="BY17" s="386">
        <f>((BX17)+(1))</f>
        <v/>
      </c>
      <c r="BZ17" s="386">
        <f>((BY17)+(1))</f>
        <v/>
      </c>
      <c r="CA17" s="386">
        <f>((BZ17)+(1))</f>
        <v/>
      </c>
      <c r="CB17" s="386">
        <f>((CA17)+(1))</f>
        <v/>
      </c>
      <c r="CC17" s="386" t="n"/>
      <c r="CD17" s="386" t="inlineStr">
        <is>
          <t>Months 37 - 48</t>
        </is>
      </c>
      <c r="CF17" s="386" t="n">
        <v>49</v>
      </c>
      <c r="CG17" s="386">
        <f>((CF17)+(1))</f>
        <v/>
      </c>
      <c r="CH17" s="386">
        <f>((CG17)+(1))</f>
        <v/>
      </c>
      <c r="CI17" s="386">
        <f>((CH17)+(1))</f>
        <v/>
      </c>
      <c r="CJ17" s="386">
        <f>((CI17)+(1))</f>
        <v/>
      </c>
      <c r="CK17" s="386">
        <f>((CJ17)+(1))</f>
        <v/>
      </c>
      <c r="CL17" s="386">
        <f>((CK17)+(1))</f>
        <v/>
      </c>
      <c r="CM17" s="386">
        <f>((CL17)+(1))</f>
        <v/>
      </c>
      <c r="CN17" s="386">
        <f>((CM17)+(1))</f>
        <v/>
      </c>
      <c r="CO17" s="386">
        <f>((CN17)+(1))</f>
        <v/>
      </c>
      <c r="CP17" s="386">
        <f>((CO17)+(1))</f>
        <v/>
      </c>
      <c r="CQ17" s="386">
        <f>((CP17)+(1))</f>
        <v/>
      </c>
      <c r="CR17" s="386" t="n"/>
      <c r="CS17" s="386" t="inlineStr">
        <is>
          <t>Months 49 - 60</t>
        </is>
      </c>
    </row>
    <row r="18" ht="3" customHeight="1" s="1883">
      <c r="B18" s="383" t="n"/>
      <c r="C18" s="383" t="n"/>
      <c r="D18" s="383" t="n"/>
      <c r="E18" s="386" t="n"/>
      <c r="F18" s="386" t="n"/>
      <c r="G18" s="386" t="n"/>
      <c r="H18" s="386" t="n"/>
      <c r="I18" s="646" t="n"/>
      <c r="J18" s="646" t="n"/>
      <c r="K18" s="646" t="n"/>
      <c r="L18" s="646" t="n"/>
      <c r="M18" s="646" t="n"/>
      <c r="N18" s="646" t="n"/>
      <c r="O18" s="646" t="n"/>
      <c r="P18" s="646" t="n"/>
      <c r="Q18" s="646" t="n"/>
      <c r="R18" s="646" t="n"/>
      <c r="S18" s="646" t="n"/>
      <c r="T18" s="646" t="n"/>
      <c r="U18" s="1882" t="n"/>
      <c r="V18" s="646" t="n"/>
      <c r="W18" s="386" t="n"/>
      <c r="X18" s="646" t="n"/>
      <c r="Y18" s="646" t="n"/>
      <c r="Z18" s="646" t="n"/>
      <c r="AA18" s="646" t="n"/>
      <c r="AB18" s="646" t="n"/>
      <c r="AC18" s="646" t="n"/>
      <c r="AD18" s="646" t="n"/>
      <c r="AE18" s="646" t="n"/>
      <c r="AF18" s="646" t="n"/>
      <c r="AG18" s="646" t="n"/>
      <c r="AH18" s="646" t="n"/>
      <c r="AI18" s="646" t="n"/>
      <c r="AJ18" s="386" t="n"/>
      <c r="AK18" s="646" t="n"/>
      <c r="AL18" s="386" t="n"/>
      <c r="AM18" s="646" t="n"/>
      <c r="AN18" s="646" t="n"/>
      <c r="AO18" s="646" t="n"/>
      <c r="AP18" s="646" t="n"/>
      <c r="AQ18" s="646" t="n"/>
      <c r="AR18" s="646" t="n"/>
      <c r="AS18" s="646" t="n"/>
      <c r="AT18" s="646" t="n"/>
      <c r="AU18" s="646" t="n"/>
      <c r="AV18" s="646" t="n"/>
      <c r="AW18" s="646" t="n"/>
      <c r="AX18" s="646" t="n"/>
      <c r="AY18" s="386" t="n"/>
      <c r="AZ18" s="646" t="n"/>
      <c r="BB18" s="646" t="n"/>
      <c r="BC18" s="646" t="n"/>
      <c r="BD18" s="646" t="n"/>
      <c r="BE18" s="646" t="n"/>
      <c r="BF18" s="646" t="n"/>
      <c r="BG18" s="646" t="n"/>
      <c r="BH18" s="646" t="n"/>
      <c r="BI18" s="646" t="n"/>
      <c r="BJ18" s="646" t="n"/>
      <c r="BK18" s="646" t="n"/>
      <c r="BL18" s="646" t="n"/>
      <c r="BM18" s="646" t="n"/>
      <c r="BN18" s="386" t="n"/>
      <c r="BO18" s="646" t="n"/>
      <c r="BQ18" s="646" t="n"/>
      <c r="BR18" s="646" t="n"/>
      <c r="BS18" s="646" t="n"/>
      <c r="BT18" s="646" t="n"/>
      <c r="BU18" s="646" t="n"/>
      <c r="BV18" s="646" t="n"/>
      <c r="BW18" s="646" t="n"/>
      <c r="BX18" s="646" t="n"/>
      <c r="BY18" s="646" t="n"/>
      <c r="BZ18" s="646" t="n"/>
      <c r="CA18" s="646" t="n"/>
      <c r="CB18" s="646" t="n"/>
      <c r="CC18" s="386" t="n"/>
      <c r="CD18" s="646" t="n"/>
      <c r="CF18" s="646" t="n"/>
      <c r="CG18" s="646" t="n"/>
      <c r="CH18" s="646" t="n"/>
      <c r="CI18" s="646" t="n"/>
      <c r="CJ18" s="646" t="n"/>
      <c r="CK18" s="646" t="n"/>
      <c r="CL18" s="646" t="n"/>
      <c r="CM18" s="646" t="n"/>
      <c r="CN18" s="646" t="n"/>
      <c r="CO18" s="646" t="n"/>
      <c r="CP18" s="646" t="n"/>
      <c r="CQ18" s="646" t="n"/>
      <c r="CR18" s="386" t="n"/>
      <c r="CS18" s="646" t="n"/>
    </row>
    <row r="19" ht="3" customHeight="1" s="1883">
      <c r="B19" s="383" t="n"/>
      <c r="C19" s="383" t="n"/>
      <c r="D19" s="383" t="n"/>
      <c r="E19" s="386" t="n"/>
      <c r="F19" s="386" t="n"/>
      <c r="G19" s="386" t="n"/>
      <c r="H19" s="386" t="n"/>
      <c r="I19" s="386" t="n"/>
      <c r="J19" s="386" t="n"/>
      <c r="K19" s="386" t="n"/>
      <c r="L19" s="386" t="n"/>
      <c r="M19" s="386" t="n"/>
      <c r="N19" s="386" t="n"/>
      <c r="O19" s="386" t="n"/>
      <c r="P19" s="386" t="n"/>
      <c r="Q19" s="386" t="n"/>
      <c r="R19" s="386" t="n"/>
      <c r="S19" s="386" t="n"/>
      <c r="T19" s="386" t="n"/>
      <c r="U19" s="1882" t="n"/>
      <c r="V19" s="386" t="n"/>
      <c r="W19" s="386" t="n"/>
      <c r="X19" s="386" t="n"/>
      <c r="Y19" s="386" t="n"/>
      <c r="Z19" s="386" t="n"/>
      <c r="AA19" s="386" t="n"/>
      <c r="AB19" s="386" t="n"/>
      <c r="AC19" s="386" t="n"/>
      <c r="AD19" s="386" t="n"/>
      <c r="AE19" s="386" t="n"/>
      <c r="AF19" s="386" t="n"/>
      <c r="AG19" s="386" t="n"/>
      <c r="AH19" s="386" t="n"/>
      <c r="AI19" s="386" t="n"/>
      <c r="AJ19" s="386" t="n"/>
      <c r="AK19" s="386" t="n"/>
      <c r="AL19" s="386" t="n"/>
      <c r="AM19" s="386" t="n"/>
      <c r="AN19" s="386" t="n"/>
      <c r="AO19" s="386" t="n"/>
      <c r="AP19" s="386" t="n"/>
      <c r="AQ19" s="386" t="n"/>
      <c r="AR19" s="386" t="n"/>
      <c r="AS19" s="386" t="n"/>
      <c r="AT19" s="386" t="n"/>
      <c r="AU19" s="386" t="n"/>
      <c r="AV19" s="386" t="n"/>
      <c r="AW19" s="386" t="n"/>
      <c r="AX19" s="386" t="n"/>
      <c r="AY19" s="386" t="n"/>
      <c r="AZ19" s="386" t="n"/>
      <c r="BB19" s="386" t="n"/>
      <c r="BC19" s="386" t="n"/>
      <c r="BD19" s="386" t="n"/>
      <c r="BE19" s="386" t="n"/>
      <c r="BF19" s="386" t="n"/>
      <c r="BG19" s="386" t="n"/>
      <c r="BH19" s="386" t="n"/>
      <c r="BI19" s="386" t="n"/>
      <c r="BJ19" s="386" t="n"/>
      <c r="BK19" s="386" t="n"/>
      <c r="BL19" s="386" t="n"/>
      <c r="BM19" s="386" t="n"/>
      <c r="BN19" s="386" t="n"/>
      <c r="BO19" s="386" t="n"/>
      <c r="BQ19" s="386" t="n"/>
      <c r="BR19" s="386" t="n"/>
      <c r="BS19" s="386" t="n"/>
      <c r="BT19" s="386" t="n"/>
      <c r="BU19" s="386" t="n"/>
      <c r="BV19" s="386" t="n"/>
      <c r="BW19" s="386" t="n"/>
      <c r="BX19" s="386" t="n"/>
      <c r="BY19" s="386" t="n"/>
      <c r="BZ19" s="386" t="n"/>
      <c r="CA19" s="386" t="n"/>
      <c r="CB19" s="386" t="n"/>
      <c r="CC19" s="386" t="n"/>
      <c r="CD19" s="386" t="n"/>
      <c r="CF19" s="386" t="n"/>
      <c r="CG19" s="386" t="n"/>
      <c r="CH19" s="386" t="n"/>
      <c r="CI19" s="386" t="n"/>
      <c r="CJ19" s="386" t="n"/>
      <c r="CK19" s="386" t="n"/>
      <c r="CL19" s="386" t="n"/>
      <c r="CM19" s="386" t="n"/>
      <c r="CN19" s="386" t="n"/>
      <c r="CO19" s="386" t="n"/>
      <c r="CP19" s="386" t="n"/>
      <c r="CQ19" s="386" t="n"/>
      <c r="CR19" s="386" t="n"/>
      <c r="CS19" s="386" t="n"/>
    </row>
    <row r="20" ht="15" customHeight="1" s="1883">
      <c r="B20" s="383" t="n"/>
      <c r="C20" s="383" t="n"/>
      <c r="D20" s="383" t="n"/>
      <c r="E20" s="386" t="n"/>
      <c r="F20" s="386" t="n"/>
      <c r="G20" s="386" t="n"/>
      <c r="H20" s="386" t="n"/>
      <c r="I20" s="831" t="n"/>
      <c r="J20" s="831" t="n"/>
      <c r="K20" s="831" t="n"/>
      <c r="L20" s="831" t="n"/>
      <c r="M20" s="831" t="n"/>
      <c r="N20" s="831" t="n"/>
      <c r="O20" s="831" t="n"/>
      <c r="P20" s="831" t="n"/>
      <c r="Q20" s="831" t="n"/>
      <c r="R20" s="831" t="n"/>
      <c r="S20" s="831" t="n"/>
      <c r="T20" s="831" t="n"/>
      <c r="U20" s="1882" t="n"/>
      <c r="V20" s="386" t="n"/>
      <c r="W20" s="386" t="n"/>
      <c r="X20" s="386" t="n"/>
      <c r="Y20" s="386" t="n"/>
      <c r="Z20" s="386" t="n"/>
      <c r="AA20" s="386" t="n"/>
      <c r="AB20" s="386" t="n"/>
      <c r="AC20" s="386" t="n"/>
      <c r="AD20" s="386" t="n"/>
      <c r="AE20" s="386" t="n"/>
      <c r="AF20" s="386" t="n"/>
      <c r="AG20" s="386" t="n"/>
      <c r="AH20" s="386" t="n"/>
      <c r="AI20" s="386" t="n"/>
      <c r="AJ20" s="386" t="n"/>
      <c r="AK20" s="386" t="n"/>
      <c r="AL20" s="386" t="n"/>
      <c r="AM20" s="386" t="n"/>
      <c r="AN20" s="386" t="n"/>
      <c r="AO20" s="386" t="n"/>
      <c r="AP20" s="386" t="n"/>
      <c r="AQ20" s="386" t="n"/>
      <c r="AR20" s="386" t="n"/>
      <c r="AS20" s="386" t="n"/>
      <c r="AT20" s="386" t="n"/>
      <c r="AU20" s="386" t="n"/>
      <c r="AV20" s="386" t="n"/>
      <c r="AW20" s="386" t="n"/>
      <c r="AX20" s="386" t="n"/>
      <c r="AY20" s="386" t="n"/>
      <c r="AZ20" s="386" t="n"/>
      <c r="BB20" s="386" t="n"/>
      <c r="BC20" s="386" t="n"/>
      <c r="BD20" s="386" t="n"/>
      <c r="BE20" s="386" t="n"/>
      <c r="BF20" s="386" t="n"/>
      <c r="BG20" s="386" t="n"/>
      <c r="BH20" s="386" t="n"/>
      <c r="BI20" s="386" t="n"/>
      <c r="BJ20" s="386" t="n"/>
      <c r="BK20" s="386" t="n"/>
      <c r="BL20" s="386" t="n"/>
      <c r="BM20" s="386" t="n"/>
      <c r="BN20" s="386" t="n"/>
      <c r="BO20" s="386" t="n"/>
      <c r="BQ20" s="386" t="n"/>
      <c r="BR20" s="386" t="n"/>
      <c r="BS20" s="386" t="n"/>
      <c r="BT20" s="386" t="n"/>
      <c r="BU20" s="386" t="n"/>
      <c r="BV20" s="386" t="n"/>
      <c r="BW20" s="386" t="n"/>
      <c r="BX20" s="386" t="n"/>
      <c r="BY20" s="386" t="n"/>
      <c r="BZ20" s="386" t="n"/>
      <c r="CA20" s="386" t="n"/>
      <c r="CB20" s="386" t="n"/>
      <c r="CC20" s="386" t="n"/>
      <c r="CD20" s="386" t="n"/>
      <c r="CF20" s="386" t="n"/>
      <c r="CG20" s="386" t="n"/>
      <c r="CH20" s="386" t="n"/>
      <c r="CI20" s="386" t="n"/>
      <c r="CJ20" s="386" t="n"/>
      <c r="CK20" s="386" t="n"/>
      <c r="CL20" s="386" t="n"/>
      <c r="CM20" s="386" t="n"/>
      <c r="CN20" s="386" t="n"/>
      <c r="CO20" s="386" t="n"/>
      <c r="CP20" s="386" t="n"/>
      <c r="CQ20" s="386" t="n"/>
      <c r="CR20" s="386" t="n"/>
      <c r="CS20" s="386" t="n"/>
    </row>
    <row r="21" ht="15" customHeight="1" s="1883">
      <c r="B21" s="385" t="inlineStr">
        <is>
          <t>Beginning Balance</t>
        </is>
      </c>
      <c r="C21" s="383" t="n"/>
      <c r="D21" s="383" t="n"/>
      <c r="E21" s="386" t="n"/>
      <c r="F21" s="386" t="n"/>
      <c r="G21" s="386" t="n"/>
      <c r="H21" s="386" t="n"/>
      <c r="I21" s="831">
        <f>20000000+1000</f>
        <v/>
      </c>
      <c r="J21" s="831">
        <f>(I73)</f>
        <v/>
      </c>
      <c r="K21" s="831">
        <f>(J73)</f>
        <v/>
      </c>
      <c r="L21" s="831">
        <f>(K73)</f>
        <v/>
      </c>
      <c r="M21" s="831">
        <f>(L73)</f>
        <v/>
      </c>
      <c r="N21" s="831">
        <f>(M73)</f>
        <v/>
      </c>
      <c r="O21" s="831">
        <f>(N73)</f>
        <v/>
      </c>
      <c r="P21" s="831">
        <f>(O73)</f>
        <v/>
      </c>
      <c r="Q21" s="831">
        <f>(P73)</f>
        <v/>
      </c>
      <c r="R21" s="831">
        <f>(Q73)</f>
        <v/>
      </c>
      <c r="S21" s="831">
        <f>(R73)</f>
        <v/>
      </c>
      <c r="T21" s="831">
        <f>(S73)</f>
        <v/>
      </c>
      <c r="U21" s="386" t="n"/>
      <c r="V21" s="831">
        <f>(I21)</f>
        <v/>
      </c>
      <c r="W21" s="386" t="n"/>
      <c r="X21" s="831">
        <f>(T73)</f>
        <v/>
      </c>
      <c r="Y21" s="831">
        <f>(X73)</f>
        <v/>
      </c>
      <c r="Z21" s="831">
        <f>(Y73)</f>
        <v/>
      </c>
      <c r="AA21" s="831">
        <f>(Z73)</f>
        <v/>
      </c>
      <c r="AB21" s="831">
        <f>(AA73)</f>
        <v/>
      </c>
      <c r="AC21" s="831">
        <f>(AB73)</f>
        <v/>
      </c>
      <c r="AD21" s="831">
        <f>(AC73)</f>
        <v/>
      </c>
      <c r="AE21" s="831">
        <f>(AD73)</f>
        <v/>
      </c>
      <c r="AF21" s="831">
        <f>(AE73)</f>
        <v/>
      </c>
      <c r="AG21" s="831">
        <f>(AF73)</f>
        <v/>
      </c>
      <c r="AH21" s="831">
        <f>(AG73)</f>
        <v/>
      </c>
      <c r="AI21" s="831">
        <f>(AH73)</f>
        <v/>
      </c>
      <c r="AJ21" s="386" t="n"/>
      <c r="AK21" s="831">
        <f>(X21)</f>
        <v/>
      </c>
      <c r="AL21" s="386" t="n"/>
      <c r="AM21" s="831">
        <f>(AI73)</f>
        <v/>
      </c>
      <c r="AN21" s="831">
        <f>(AM73)</f>
        <v/>
      </c>
      <c r="AO21" s="831">
        <f>(AN73)</f>
        <v/>
      </c>
      <c r="AP21" s="831">
        <f>(AO73)</f>
        <v/>
      </c>
      <c r="AQ21" s="831">
        <f>(AP73)</f>
        <v/>
      </c>
      <c r="AR21" s="831">
        <f>(AQ73)</f>
        <v/>
      </c>
      <c r="AS21" s="831">
        <f>(AR73)</f>
        <v/>
      </c>
      <c r="AT21" s="831">
        <f>(AS73)</f>
        <v/>
      </c>
      <c r="AU21" s="831">
        <f>(AT73)</f>
        <v/>
      </c>
      <c r="AV21" s="831">
        <f>(AU73)</f>
        <v/>
      </c>
      <c r="AW21" s="831">
        <f>(AV73)</f>
        <v/>
      </c>
      <c r="AX21" s="831">
        <f>(AW73)</f>
        <v/>
      </c>
      <c r="AY21" s="386" t="n"/>
      <c r="AZ21" s="831">
        <f>(AM21)</f>
        <v/>
      </c>
      <c r="BB21" s="831">
        <f>(AX73)</f>
        <v/>
      </c>
      <c r="BC21" s="831">
        <f>(BB73)</f>
        <v/>
      </c>
      <c r="BD21" s="831">
        <f>(BC73)</f>
        <v/>
      </c>
      <c r="BE21" s="831">
        <f>(BD73)</f>
        <v/>
      </c>
      <c r="BF21" s="831">
        <f>(BE73)</f>
        <v/>
      </c>
      <c r="BG21" s="831">
        <f>(BF73)</f>
        <v/>
      </c>
      <c r="BH21" s="831">
        <f>(BG73)</f>
        <v/>
      </c>
      <c r="BI21" s="831">
        <f>(BH73)</f>
        <v/>
      </c>
      <c r="BJ21" s="831">
        <f>(BI73)</f>
        <v/>
      </c>
      <c r="BK21" s="831">
        <f>(BJ73)</f>
        <v/>
      </c>
      <c r="BL21" s="831">
        <f>(BK73)</f>
        <v/>
      </c>
      <c r="BM21" s="831">
        <f>(BL73)</f>
        <v/>
      </c>
      <c r="BN21" s="386" t="n"/>
      <c r="BO21" s="831">
        <f>(BB21)</f>
        <v/>
      </c>
      <c r="BQ21" s="831">
        <f>(BM73)</f>
        <v/>
      </c>
      <c r="BR21" s="831">
        <f>(BQ73)</f>
        <v/>
      </c>
      <c r="BS21" s="831">
        <f>(BR73)</f>
        <v/>
      </c>
      <c r="BT21" s="831">
        <f>(BS73)</f>
        <v/>
      </c>
      <c r="BU21" s="831">
        <f>(BT73)</f>
        <v/>
      </c>
      <c r="BV21" s="831">
        <f>(BU73)</f>
        <v/>
      </c>
      <c r="BW21" s="831">
        <f>(BV73)</f>
        <v/>
      </c>
      <c r="BX21" s="831">
        <f>(BW73)</f>
        <v/>
      </c>
      <c r="BY21" s="831">
        <f>(BX73)</f>
        <v/>
      </c>
      <c r="BZ21" s="831">
        <f>(BY73)</f>
        <v/>
      </c>
      <c r="CA21" s="831">
        <f>(BZ73)</f>
        <v/>
      </c>
      <c r="CB21" s="831">
        <f>(CA73)</f>
        <v/>
      </c>
      <c r="CC21" s="386" t="n"/>
      <c r="CD21" s="831">
        <f>(BQ21)</f>
        <v/>
      </c>
      <c r="CF21" s="831">
        <f>(CB73)</f>
        <v/>
      </c>
      <c r="CG21" s="831">
        <f>(CF73)</f>
        <v/>
      </c>
      <c r="CH21" s="831">
        <f>(CG73)</f>
        <v/>
      </c>
      <c r="CI21" s="831">
        <f>(CH73)</f>
        <v/>
      </c>
      <c r="CJ21" s="831">
        <f>(CI73)</f>
        <v/>
      </c>
      <c r="CK21" s="831">
        <f>(CJ73)</f>
        <v/>
      </c>
      <c r="CL21" s="831">
        <f>(CK73)</f>
        <v/>
      </c>
      <c r="CM21" s="831">
        <f>(CL73)</f>
        <v/>
      </c>
      <c r="CN21" s="831">
        <f>(CM73)</f>
        <v/>
      </c>
      <c r="CO21" s="831">
        <f>(CN73)</f>
        <v/>
      </c>
      <c r="CP21" s="831">
        <f>(CO73)</f>
        <v/>
      </c>
      <c r="CQ21" s="831">
        <f>(CP73)</f>
        <v/>
      </c>
      <c r="CR21" s="386" t="n"/>
      <c r="CS21" s="831">
        <f>(CF21)</f>
        <v/>
      </c>
    </row>
    <row r="22" ht="15" customHeight="1" s="1883">
      <c r="B22" s="383" t="n"/>
      <c r="C22" s="383" t="n"/>
      <c r="D22" s="383" t="n"/>
      <c r="E22" s="386" t="n"/>
      <c r="F22" s="386" t="n"/>
      <c r="G22" s="386" t="n"/>
      <c r="H22" s="386" t="n"/>
      <c r="I22" s="831" t="n"/>
      <c r="J22" s="831" t="n"/>
      <c r="K22" s="831" t="n"/>
      <c r="L22" s="831" t="n"/>
      <c r="M22" s="831" t="n"/>
      <c r="N22" s="831" t="n"/>
      <c r="O22" s="831" t="n"/>
      <c r="P22" s="831" t="n"/>
      <c r="Q22" s="831" t="n"/>
      <c r="R22" s="831" t="n"/>
      <c r="S22" s="831" t="n"/>
      <c r="T22" s="831" t="n"/>
      <c r="U22" s="386" t="n"/>
      <c r="V22" s="386" t="n"/>
      <c r="W22" s="386" t="n"/>
      <c r="X22" s="386" t="n"/>
      <c r="Y22" s="386" t="n"/>
      <c r="Z22" s="386" t="n"/>
      <c r="AA22" s="386" t="n"/>
      <c r="AB22" s="386" t="n"/>
      <c r="AC22" s="386" t="n"/>
      <c r="AD22" s="386" t="n"/>
      <c r="AE22" s="386" t="n"/>
      <c r="AF22" s="386" t="n"/>
      <c r="AG22" s="386" t="n"/>
      <c r="AH22" s="386" t="n"/>
      <c r="AI22" s="386" t="n"/>
      <c r="AJ22" s="386" t="n"/>
      <c r="AK22" s="386" t="n"/>
      <c r="AL22" s="386" t="n"/>
      <c r="AM22" s="386" t="n"/>
      <c r="AN22" s="386" t="n"/>
      <c r="AO22" s="386" t="n"/>
      <c r="AZ22" s="386" t="n"/>
      <c r="BO22" s="386" t="n"/>
      <c r="CD22" s="386" t="n"/>
      <c r="CS22" s="386" t="n"/>
    </row>
    <row r="23" ht="15" customHeight="1" s="1883">
      <c r="B23" s="383" t="n"/>
      <c r="C23" s="383" t="n"/>
      <c r="D23" s="383" t="n"/>
      <c r="E23" s="386" t="n"/>
      <c r="F23" s="386" t="n"/>
      <c r="G23" s="386" t="n"/>
      <c r="H23" s="386" t="n"/>
      <c r="I23" s="831" t="n"/>
      <c r="J23" s="831" t="n"/>
      <c r="K23" s="831" t="n"/>
      <c r="L23" s="831" t="n"/>
      <c r="M23" s="831" t="n"/>
      <c r="N23" s="831" t="n"/>
      <c r="O23" s="831" t="n"/>
      <c r="P23" s="831" t="n"/>
      <c r="Q23" s="831" t="n"/>
      <c r="R23" s="831" t="n"/>
      <c r="S23" s="831" t="n"/>
      <c r="T23" s="831" t="n"/>
      <c r="U23" s="386" t="n"/>
      <c r="V23" s="386" t="n"/>
      <c r="W23" s="386" t="n"/>
      <c r="X23" s="386" t="n"/>
      <c r="Y23" s="386" t="n"/>
      <c r="Z23" s="386" t="n"/>
      <c r="AA23" s="386" t="n"/>
      <c r="AB23" s="386" t="n"/>
      <c r="AC23" s="386" t="n"/>
      <c r="AD23" s="386" t="n"/>
      <c r="AE23" s="386" t="n"/>
      <c r="AF23" s="386" t="n"/>
      <c r="AG23" s="386" t="n"/>
      <c r="AH23" s="386" t="n"/>
      <c r="AI23" s="386" t="n"/>
      <c r="AJ23" s="386" t="n"/>
      <c r="AK23" s="831" t="n"/>
      <c r="AL23" s="386" t="n"/>
      <c r="AM23" s="386" t="n"/>
      <c r="AN23" s="386" t="n"/>
      <c r="AO23" s="386" t="n"/>
      <c r="AZ23" s="386" t="n"/>
      <c r="BO23" s="386" t="n"/>
      <c r="CD23" s="386" t="n"/>
      <c r="CS23" s="386" t="n"/>
    </row>
    <row r="24" ht="15" customHeight="1" s="1883">
      <c r="B24" s="385" t="inlineStr">
        <is>
          <t>Cash Receipts</t>
        </is>
      </c>
      <c r="C24" s="383" t="n"/>
      <c r="D24" s="383" t="n"/>
      <c r="E24" s="386" t="n"/>
      <c r="F24" s="386" t="n"/>
      <c r="G24" s="386" t="n"/>
      <c r="H24" s="386" t="n"/>
      <c r="I24" s="831" t="n"/>
      <c r="J24" s="831" t="n"/>
      <c r="K24" s="831" t="n"/>
      <c r="L24" s="831" t="n"/>
      <c r="M24" s="831" t="n"/>
      <c r="N24" s="831" t="n"/>
      <c r="O24" s="831" t="n"/>
      <c r="P24" s="831" t="n"/>
      <c r="Q24" s="831" t="n"/>
      <c r="R24" s="831" t="n"/>
      <c r="S24" s="831" t="n"/>
      <c r="T24" s="831" t="n"/>
      <c r="U24" s="386" t="n"/>
      <c r="V24" s="386" t="n"/>
      <c r="W24" s="386" t="n"/>
      <c r="X24" s="386" t="n"/>
      <c r="Y24" s="386" t="n"/>
      <c r="Z24" s="386" t="n"/>
      <c r="AA24" s="386" t="n"/>
      <c r="AB24" s="386" t="n"/>
      <c r="AC24" s="386" t="n"/>
      <c r="AD24" s="386" t="n"/>
      <c r="AE24" s="386" t="n"/>
      <c r="AF24" s="386" t="n"/>
      <c r="AG24" s="386" t="n"/>
      <c r="AH24" s="386" t="n"/>
      <c r="AI24" s="386" t="n"/>
      <c r="AJ24" s="386" t="n"/>
      <c r="AK24" s="386" t="n"/>
      <c r="AL24" s="386" t="n"/>
      <c r="AM24" s="386" t="n"/>
      <c r="AN24" s="386" t="n"/>
      <c r="AO24" s="386" t="n"/>
      <c r="AZ24" s="386" t="n"/>
      <c r="BO24" s="386" t="n"/>
      <c r="CD24" s="386" t="n"/>
      <c r="CS24" s="386" t="n"/>
    </row>
    <row r="25" ht="15" customHeight="1" s="1883">
      <c r="B25" s="835" t="inlineStr">
        <is>
          <t>●</t>
        </is>
      </c>
      <c r="C25" s="383" t="inlineStr">
        <is>
          <t>Telephone Sales</t>
        </is>
      </c>
      <c r="D25" s="383" t="n"/>
      <c r="E25" s="386" t="n"/>
      <c r="F25" s="386" t="n"/>
      <c r="G25" s="386" t="n"/>
      <c r="H25" s="386" t="n"/>
      <c r="I25" s="547">
        <f>'2B. Cash Collections'!I20</f>
        <v/>
      </c>
      <c r="J25" s="547">
        <f>'2B. Cash Collections'!J20</f>
        <v/>
      </c>
      <c r="K25" s="547">
        <f>'2B. Cash Collections'!K20</f>
        <v/>
      </c>
      <c r="L25" s="547">
        <f>'2B. Cash Collections'!L20</f>
        <v/>
      </c>
      <c r="M25" s="547">
        <f>'2B. Cash Collections'!M20</f>
        <v/>
      </c>
      <c r="N25" s="547">
        <f>'2B. Cash Collections'!N20</f>
        <v/>
      </c>
      <c r="O25" s="547">
        <f>'2B. Cash Collections'!O20</f>
        <v/>
      </c>
      <c r="P25" s="547">
        <f>'2B. Cash Collections'!P20</f>
        <v/>
      </c>
      <c r="Q25" s="547">
        <f>'2B. Cash Collections'!Q20</f>
        <v/>
      </c>
      <c r="R25" s="547">
        <f>'2B. Cash Collections'!R20</f>
        <v/>
      </c>
      <c r="S25" s="547">
        <f>'2B. Cash Collections'!S20</f>
        <v/>
      </c>
      <c r="T25" s="547">
        <f>'2B. Cash Collections'!T20</f>
        <v/>
      </c>
      <c r="U25" s="386" t="n"/>
      <c r="V25" s="831">
        <f>SUM(I25:T25)</f>
        <v/>
      </c>
      <c r="W25" s="386" t="n"/>
      <c r="X25" s="913">
        <f>'2B. Cash Collections'!X20</f>
        <v/>
      </c>
      <c r="Y25" s="547">
        <f>'2B. Cash Collections'!Y20</f>
        <v/>
      </c>
      <c r="Z25" s="547">
        <f>'2B. Cash Collections'!Z20</f>
        <v/>
      </c>
      <c r="AA25" s="547">
        <f>'2B. Cash Collections'!AA20</f>
        <v/>
      </c>
      <c r="AB25" s="547">
        <f>'2B. Cash Collections'!AB20</f>
        <v/>
      </c>
      <c r="AC25" s="547">
        <f>'2B. Cash Collections'!AC20</f>
        <v/>
      </c>
      <c r="AD25" s="547">
        <f>'2B. Cash Collections'!AD20</f>
        <v/>
      </c>
      <c r="AE25" s="547">
        <f>'2B. Cash Collections'!AE20</f>
        <v/>
      </c>
      <c r="AF25" s="547">
        <f>'2B. Cash Collections'!AF20</f>
        <v/>
      </c>
      <c r="AG25" s="547">
        <f>'2B. Cash Collections'!AG20</f>
        <v/>
      </c>
      <c r="AH25" s="547">
        <f>'2B. Cash Collections'!AH20</f>
        <v/>
      </c>
      <c r="AI25" s="547">
        <f>'2B. Cash Collections'!AI20</f>
        <v/>
      </c>
      <c r="AJ25" s="386" t="n"/>
      <c r="AK25" s="494">
        <f>SUM(X25:AI25)</f>
        <v/>
      </c>
      <c r="AL25" s="386" t="n"/>
      <c r="AM25" s="547">
        <f>'2B. Cash Collections'!AM20</f>
        <v/>
      </c>
      <c r="AN25" s="547">
        <f>'2B. Cash Collections'!AN20</f>
        <v/>
      </c>
      <c r="AO25" s="547">
        <f>'2B. Cash Collections'!AO20</f>
        <v/>
      </c>
      <c r="AP25" s="547">
        <f>'2B. Cash Collections'!AP20</f>
        <v/>
      </c>
      <c r="AQ25" s="547">
        <f>'2B. Cash Collections'!AQ20</f>
        <v/>
      </c>
      <c r="AR25" s="547">
        <f>'2B. Cash Collections'!AR20</f>
        <v/>
      </c>
      <c r="AS25" s="547">
        <f>'2B. Cash Collections'!AS20</f>
        <v/>
      </c>
      <c r="AT25" s="547">
        <f>'2B. Cash Collections'!AT20</f>
        <v/>
      </c>
      <c r="AU25" s="547">
        <f>'2B. Cash Collections'!AU20</f>
        <v/>
      </c>
      <c r="AV25" s="547">
        <f>'2B. Cash Collections'!AV20</f>
        <v/>
      </c>
      <c r="AW25" s="547">
        <f>'2B. Cash Collections'!AW20</f>
        <v/>
      </c>
      <c r="AX25" s="547">
        <f>'2B. Cash Collections'!AX20</f>
        <v/>
      </c>
      <c r="AZ25" s="494">
        <f>SUM(AM25:AX25)</f>
        <v/>
      </c>
      <c r="BB25" s="462">
        <f>'2B. Cash Collections'!BB20</f>
        <v/>
      </c>
      <c r="BC25" s="462">
        <f>'2B. Cash Collections'!BC20</f>
        <v/>
      </c>
      <c r="BD25" s="462">
        <f>'2B. Cash Collections'!BD20</f>
        <v/>
      </c>
      <c r="BE25" s="462">
        <f>'2B. Cash Collections'!BE20</f>
        <v/>
      </c>
      <c r="BF25" s="462">
        <f>'2B. Cash Collections'!BF20</f>
        <v/>
      </c>
      <c r="BG25" s="462">
        <f>'2B. Cash Collections'!BG20</f>
        <v/>
      </c>
      <c r="BH25" s="462">
        <f>'2B. Cash Collections'!BH20</f>
        <v/>
      </c>
      <c r="BI25" s="462">
        <f>'2B. Cash Collections'!BI20</f>
        <v/>
      </c>
      <c r="BJ25" s="462">
        <f>'2B. Cash Collections'!BJ20</f>
        <v/>
      </c>
      <c r="BK25" s="462">
        <f>'2B. Cash Collections'!BK20</f>
        <v/>
      </c>
      <c r="BL25" s="462">
        <f>'2B. Cash Collections'!BL20</f>
        <v/>
      </c>
      <c r="BM25" s="462">
        <f>'2B. Cash Collections'!BM20</f>
        <v/>
      </c>
      <c r="BO25" s="494">
        <f>SUM(BB25:BM25)</f>
        <v/>
      </c>
      <c r="BQ25" s="462">
        <f>'2B. Cash Collections'!BQ20</f>
        <v/>
      </c>
      <c r="BR25" s="462">
        <f>'2B. Cash Collections'!BR20</f>
        <v/>
      </c>
      <c r="BS25" s="462">
        <f>'2B. Cash Collections'!BS20</f>
        <v/>
      </c>
      <c r="BT25" s="462">
        <f>'2B. Cash Collections'!BT20</f>
        <v/>
      </c>
      <c r="BU25" s="462">
        <f>'2B. Cash Collections'!BU20</f>
        <v/>
      </c>
      <c r="BV25" s="462">
        <f>'2B. Cash Collections'!BV20</f>
        <v/>
      </c>
      <c r="BW25" s="462">
        <f>'2B. Cash Collections'!BW20</f>
        <v/>
      </c>
      <c r="BX25" s="462">
        <f>'2B. Cash Collections'!BX20</f>
        <v/>
      </c>
      <c r="BY25" s="462">
        <f>'2B. Cash Collections'!BY20</f>
        <v/>
      </c>
      <c r="BZ25" s="462">
        <f>'2B. Cash Collections'!BZ20</f>
        <v/>
      </c>
      <c r="CA25" s="462">
        <f>'2B. Cash Collections'!CA20</f>
        <v/>
      </c>
      <c r="CB25" s="462">
        <f>'2B. Cash Collections'!CB20</f>
        <v/>
      </c>
      <c r="CD25" s="494">
        <f>SUM(BQ25:CB25)</f>
        <v/>
      </c>
      <c r="CF25" s="462">
        <f>'2B. Cash Collections'!CF20</f>
        <v/>
      </c>
      <c r="CG25" s="462">
        <f>'2B. Cash Collections'!CG20</f>
        <v/>
      </c>
      <c r="CH25" s="462">
        <f>'2B. Cash Collections'!CH20</f>
        <v/>
      </c>
      <c r="CI25" s="462">
        <f>'2B. Cash Collections'!CI20</f>
        <v/>
      </c>
      <c r="CJ25" s="462">
        <f>'2B. Cash Collections'!CJ20</f>
        <v/>
      </c>
      <c r="CK25" s="462">
        <f>'2B. Cash Collections'!CK20</f>
        <v/>
      </c>
      <c r="CL25" s="462">
        <f>'2B. Cash Collections'!CL20</f>
        <v/>
      </c>
      <c r="CM25" s="462">
        <f>'2B. Cash Collections'!CM20</f>
        <v/>
      </c>
      <c r="CN25" s="462">
        <f>'2B. Cash Collections'!CN20</f>
        <v/>
      </c>
      <c r="CO25" s="462">
        <f>'2B. Cash Collections'!CO20</f>
        <v/>
      </c>
      <c r="CP25" s="462">
        <f>'2B. Cash Collections'!CP20</f>
        <v/>
      </c>
      <c r="CQ25" s="462">
        <f>'2B. Cash Collections'!CQ20</f>
        <v/>
      </c>
      <c r="CS25" s="494">
        <f>SUM(CF25:CQ25)</f>
        <v/>
      </c>
    </row>
    <row r="26" ht="15" customHeight="1" s="1883">
      <c r="B26" s="835" t="inlineStr">
        <is>
          <t>●</t>
        </is>
      </c>
      <c r="C26" s="383" t="inlineStr">
        <is>
          <t>Market Research Services / Core Model</t>
        </is>
      </c>
      <c r="D26" s="383" t="n"/>
      <c r="E26" s="386" t="n"/>
      <c r="F26" s="386" t="n"/>
      <c r="G26" s="386" t="n"/>
      <c r="H26" s="386" t="n"/>
      <c r="I26" s="547" t="n">
        <v>0</v>
      </c>
      <c r="J26" s="547" t="n">
        <v>0</v>
      </c>
      <c r="K26" s="547" t="n">
        <v>0</v>
      </c>
      <c r="L26" s="547" t="n">
        <v>0</v>
      </c>
      <c r="M26" s="547" t="n">
        <v>0</v>
      </c>
      <c r="N26" s="547" t="n">
        <v>0</v>
      </c>
      <c r="O26" s="547" t="n">
        <v>0</v>
      </c>
      <c r="P26" s="547" t="n">
        <v>0</v>
      </c>
      <c r="Q26" s="547" t="n">
        <v>0</v>
      </c>
      <c r="R26" s="547" t="n">
        <v>0</v>
      </c>
      <c r="S26" s="547" t="n">
        <v>0</v>
      </c>
      <c r="T26" s="547" t="n">
        <v>0</v>
      </c>
      <c r="U26" s="386" t="n"/>
      <c r="V26" s="831">
        <f>SUM(I26:T26)</f>
        <v/>
      </c>
      <c r="W26" s="386" t="n"/>
      <c r="X26" s="547">
        <f>'2B. Cash Collections'!X31</f>
        <v/>
      </c>
      <c r="Y26" s="547">
        <f>'2B. Cash Collections'!Y31</f>
        <v/>
      </c>
      <c r="Z26" s="547">
        <f>'2B. Cash Collections'!Z31</f>
        <v/>
      </c>
      <c r="AA26" s="547">
        <f>'2B. Cash Collections'!AA31</f>
        <v/>
      </c>
      <c r="AB26" s="547">
        <f>'2B. Cash Collections'!AB31</f>
        <v/>
      </c>
      <c r="AC26" s="547">
        <f>'2B. Cash Collections'!AC31</f>
        <v/>
      </c>
      <c r="AD26" s="547">
        <f>'2B. Cash Collections'!AD31</f>
        <v/>
      </c>
      <c r="AE26" s="547">
        <f>'2B. Cash Collections'!AE31</f>
        <v/>
      </c>
      <c r="AF26" s="547">
        <f>'2B. Cash Collections'!AF31</f>
        <v/>
      </c>
      <c r="AG26" s="547">
        <f>'2B. Cash Collections'!AG31</f>
        <v/>
      </c>
      <c r="AH26" s="547">
        <f>'2B. Cash Collections'!AH31</f>
        <v/>
      </c>
      <c r="AI26" s="547">
        <f>'2B. Cash Collections'!AI31</f>
        <v/>
      </c>
      <c r="AJ26" s="386" t="n"/>
      <c r="AK26" s="494">
        <f>SUM(X26:AI26)</f>
        <v/>
      </c>
      <c r="AL26" s="386" t="n"/>
      <c r="AM26" s="547">
        <f>'2B. Cash Collections'!AM31</f>
        <v/>
      </c>
      <c r="AN26" s="547">
        <f>'2B. Cash Collections'!AN31</f>
        <v/>
      </c>
      <c r="AO26" s="547">
        <f>'2B. Cash Collections'!AO31</f>
        <v/>
      </c>
      <c r="AP26" s="547">
        <f>'2B. Cash Collections'!AP31</f>
        <v/>
      </c>
      <c r="AQ26" s="547">
        <f>'2B. Cash Collections'!AQ31</f>
        <v/>
      </c>
      <c r="AR26" s="547">
        <f>'2B. Cash Collections'!AR31</f>
        <v/>
      </c>
      <c r="AS26" s="547">
        <f>'2B. Cash Collections'!AS31</f>
        <v/>
      </c>
      <c r="AT26" s="547">
        <f>'2B. Cash Collections'!AT31</f>
        <v/>
      </c>
      <c r="AU26" s="547">
        <f>'2B. Cash Collections'!AU31</f>
        <v/>
      </c>
      <c r="AV26" s="547">
        <f>'2B. Cash Collections'!AV31</f>
        <v/>
      </c>
      <c r="AW26" s="547">
        <f>'2B. Cash Collections'!AW31</f>
        <v/>
      </c>
      <c r="AX26" s="547">
        <f>'2B. Cash Collections'!AX31</f>
        <v/>
      </c>
      <c r="AZ26" s="494">
        <f>SUM(AM26:AX26)</f>
        <v/>
      </c>
      <c r="BB26" s="462">
        <f>'2B. Cash Collections'!BB31</f>
        <v/>
      </c>
      <c r="BC26" s="462">
        <f>'2B. Cash Collections'!BC31</f>
        <v/>
      </c>
      <c r="BD26" s="462">
        <f>'2B. Cash Collections'!BD31</f>
        <v/>
      </c>
      <c r="BE26" s="462">
        <f>'2B. Cash Collections'!BE31</f>
        <v/>
      </c>
      <c r="BF26" s="462">
        <f>'2B. Cash Collections'!BF31</f>
        <v/>
      </c>
      <c r="BG26" s="462">
        <f>'2B. Cash Collections'!BG31</f>
        <v/>
      </c>
      <c r="BH26" s="462">
        <f>'2B. Cash Collections'!BH31</f>
        <v/>
      </c>
      <c r="BI26" s="462">
        <f>'2B. Cash Collections'!BI31</f>
        <v/>
      </c>
      <c r="BJ26" s="462">
        <f>'2B. Cash Collections'!BJ31</f>
        <v/>
      </c>
      <c r="BK26" s="462">
        <f>'2B. Cash Collections'!BK31</f>
        <v/>
      </c>
      <c r="BL26" s="462">
        <f>'2B. Cash Collections'!BL31</f>
        <v/>
      </c>
      <c r="BM26" s="462">
        <f>'2B. Cash Collections'!BM31</f>
        <v/>
      </c>
      <c r="BO26" s="494">
        <f>SUM(BB26:BM26)</f>
        <v/>
      </c>
      <c r="BQ26" s="462">
        <f>'2B. Cash Collections'!BQ31</f>
        <v/>
      </c>
      <c r="BR26" s="462">
        <f>'2B. Cash Collections'!BR31</f>
        <v/>
      </c>
      <c r="BS26" s="462">
        <f>'2B. Cash Collections'!BS31</f>
        <v/>
      </c>
      <c r="BT26" s="462">
        <f>'2B. Cash Collections'!BT31</f>
        <v/>
      </c>
      <c r="BU26" s="462">
        <f>'2B. Cash Collections'!BU31</f>
        <v/>
      </c>
      <c r="BV26" s="462">
        <f>'2B. Cash Collections'!BV31</f>
        <v/>
      </c>
      <c r="BW26" s="462">
        <f>'2B. Cash Collections'!BW31</f>
        <v/>
      </c>
      <c r="BX26" s="462">
        <f>'2B. Cash Collections'!BX31</f>
        <v/>
      </c>
      <c r="BY26" s="462">
        <f>'2B. Cash Collections'!BY31</f>
        <v/>
      </c>
      <c r="BZ26" s="462">
        <f>'2B. Cash Collections'!BZ31</f>
        <v/>
      </c>
      <c r="CA26" s="462">
        <f>'2B. Cash Collections'!CA31</f>
        <v/>
      </c>
      <c r="CB26" s="462">
        <f>'2B. Cash Collections'!CB31</f>
        <v/>
      </c>
      <c r="CD26" s="494">
        <f>SUM(BQ26:CB26)</f>
        <v/>
      </c>
      <c r="CF26" s="462">
        <f>'2B. Cash Collections'!CF31</f>
        <v/>
      </c>
      <c r="CG26" s="462">
        <f>'2B. Cash Collections'!CG31</f>
        <v/>
      </c>
      <c r="CH26" s="462">
        <f>'2B. Cash Collections'!CH31</f>
        <v/>
      </c>
      <c r="CI26" s="462">
        <f>'2B. Cash Collections'!CI31</f>
        <v/>
      </c>
      <c r="CJ26" s="462">
        <f>'2B. Cash Collections'!CJ31</f>
        <v/>
      </c>
      <c r="CK26" s="462">
        <f>'2B. Cash Collections'!CK31</f>
        <v/>
      </c>
      <c r="CL26" s="462">
        <f>'2B. Cash Collections'!CL31</f>
        <v/>
      </c>
      <c r="CM26" s="462">
        <f>'2B. Cash Collections'!CM31</f>
        <v/>
      </c>
      <c r="CN26" s="462">
        <f>'2B. Cash Collections'!CN31</f>
        <v/>
      </c>
      <c r="CO26" s="462">
        <f>'2B. Cash Collections'!CO31</f>
        <v/>
      </c>
      <c r="CP26" s="462">
        <f>'2B. Cash Collections'!CP31</f>
        <v/>
      </c>
      <c r="CQ26" s="462">
        <f>'2B. Cash Collections'!CQ31</f>
        <v/>
      </c>
      <c r="CS26" s="494">
        <f>SUM(CF26:CQ26)</f>
        <v/>
      </c>
    </row>
    <row r="27" ht="15" customHeight="1" s="1883">
      <c r="B27" s="835" t="inlineStr">
        <is>
          <t>●</t>
        </is>
      </c>
      <c r="C27" s="383" t="inlineStr">
        <is>
          <t>Pure Influence</t>
        </is>
      </c>
      <c r="D27" s="383" t="n"/>
      <c r="E27" s="386" t="n"/>
      <c r="F27" s="386" t="n"/>
      <c r="G27" s="386" t="n"/>
      <c r="H27" s="386" t="n"/>
      <c r="I27" s="547" t="n">
        <v>0</v>
      </c>
      <c r="J27" s="547" t="n">
        <v>0</v>
      </c>
      <c r="K27" s="547" t="n">
        <v>0</v>
      </c>
      <c r="L27" s="547" t="n">
        <v>0</v>
      </c>
      <c r="M27" s="547" t="n">
        <v>0</v>
      </c>
      <c r="N27" s="547" t="n">
        <v>0</v>
      </c>
      <c r="O27" s="547" t="n">
        <v>0</v>
      </c>
      <c r="P27" s="547" t="n">
        <v>0</v>
      </c>
      <c r="Q27" s="1710">
        <f>'7. Pure Influence'!G16</f>
        <v/>
      </c>
      <c r="R27" s="547">
        <f>'7. Pure Influence'!H16</f>
        <v/>
      </c>
      <c r="S27" s="547">
        <f>'7. Pure Influence'!I16</f>
        <v/>
      </c>
      <c r="T27" s="547">
        <f>'7. Pure Influence'!J16</f>
        <v/>
      </c>
      <c r="U27" s="386" t="n"/>
      <c r="V27" s="831">
        <f>SUM(I27:T27)</f>
        <v/>
      </c>
      <c r="W27" s="386" t="n"/>
      <c r="X27" s="547">
        <f>'7. Pure Influence'!K16</f>
        <v/>
      </c>
      <c r="Y27" s="547">
        <f>'7. Pure Influence'!L16</f>
        <v/>
      </c>
      <c r="Z27" s="547">
        <f>'7. Pure Influence'!M16</f>
        <v/>
      </c>
      <c r="AA27" s="547">
        <f>'7. Pure Influence'!N16</f>
        <v/>
      </c>
      <c r="AB27" s="547">
        <f>('7. Pure Influence'!O16)</f>
        <v/>
      </c>
      <c r="AC27" s="547">
        <f>('7. Pure Influence'!P16)</f>
        <v/>
      </c>
      <c r="AD27" s="547">
        <f>('7. Pure Influence'!Q16)</f>
        <v/>
      </c>
      <c r="AE27" s="547">
        <f>('7. Pure Influence'!R16)</f>
        <v/>
      </c>
      <c r="AF27" s="1710">
        <f>'7. Pure Influence'!G33</f>
        <v/>
      </c>
      <c r="AG27" s="547">
        <f>'7. Pure Influence'!H33</f>
        <v/>
      </c>
      <c r="AH27" s="547">
        <f>'7. Pure Influence'!I33</f>
        <v/>
      </c>
      <c r="AI27" s="547">
        <f>'7. Pure Influence'!J33</f>
        <v/>
      </c>
      <c r="AJ27" s="386" t="n"/>
      <c r="AK27" s="494">
        <f>SUM(X27:AI27)</f>
        <v/>
      </c>
      <c r="AL27" s="386" t="n"/>
      <c r="AM27" s="547">
        <f>'7. Pure Influence'!K33</f>
        <v/>
      </c>
      <c r="AN27" s="547">
        <f>'7. Pure Influence'!L33</f>
        <v/>
      </c>
      <c r="AO27" s="547">
        <f>'7. Pure Influence'!M33</f>
        <v/>
      </c>
      <c r="AP27" s="547">
        <f>'7. Pure Influence'!N33</f>
        <v/>
      </c>
      <c r="AQ27" s="547">
        <f>'7. Pure Influence'!O33</f>
        <v/>
      </c>
      <c r="AR27" s="547">
        <f>'7. Pure Influence'!P33</f>
        <v/>
      </c>
      <c r="AS27" s="547">
        <f>'7. Pure Influence'!Q33</f>
        <v/>
      </c>
      <c r="AT27" s="547">
        <f>'7. Pure Influence'!R33</f>
        <v/>
      </c>
      <c r="AU27" s="547">
        <f>'7. Pure Influence'!G50</f>
        <v/>
      </c>
      <c r="AV27" s="1710">
        <f>'7. Pure Influence'!H50</f>
        <v/>
      </c>
      <c r="AW27" s="547">
        <f>'7. Pure Influence'!I50</f>
        <v/>
      </c>
      <c r="AX27" s="547">
        <f>'7. Pure Influence'!J50</f>
        <v/>
      </c>
      <c r="AZ27" s="494">
        <f>SUM(AM27:AX27)</f>
        <v/>
      </c>
      <c r="BB27" s="547">
        <f>'7. Pure Influence'!K50</f>
        <v/>
      </c>
      <c r="BC27" s="547">
        <f>'7. Pure Influence'!L50</f>
        <v/>
      </c>
      <c r="BD27" s="547">
        <f>'7. Pure Influence'!M50</f>
        <v/>
      </c>
      <c r="BE27" s="547">
        <f>'7. Pure Influence'!N50</f>
        <v/>
      </c>
      <c r="BF27" s="547">
        <f>'7. Pure Influence'!O50</f>
        <v/>
      </c>
      <c r="BG27" s="547">
        <f>'7. Pure Influence'!P50</f>
        <v/>
      </c>
      <c r="BH27" s="547">
        <f>'7. Pure Influence'!Q50</f>
        <v/>
      </c>
      <c r="BI27" s="547">
        <f>'7. Pure Influence'!R50</f>
        <v/>
      </c>
      <c r="BJ27" s="1710">
        <f>'7. Pure Influence'!G67</f>
        <v/>
      </c>
      <c r="BK27" s="547">
        <f>'7. Pure Influence'!H67</f>
        <v/>
      </c>
      <c r="BL27" s="547">
        <f>'7. Pure Influence'!I67</f>
        <v/>
      </c>
      <c r="BM27" s="547">
        <f>'7. Pure Influence'!J67</f>
        <v/>
      </c>
      <c r="BO27" s="494">
        <f>SUM(BB27:BM27)</f>
        <v/>
      </c>
      <c r="BQ27" s="547">
        <f>'7. Pure Influence'!K67</f>
        <v/>
      </c>
      <c r="BR27" s="547">
        <f>'7. Pure Influence'!L67</f>
        <v/>
      </c>
      <c r="BS27" s="547">
        <f>'7. Pure Influence'!M67</f>
        <v/>
      </c>
      <c r="BT27" s="547">
        <f>'7. Pure Influence'!N67</f>
        <v/>
      </c>
      <c r="BU27" s="547">
        <f>'7. Pure Influence'!O67</f>
        <v/>
      </c>
      <c r="BV27" s="547">
        <f>'7. Pure Influence'!P67</f>
        <v/>
      </c>
      <c r="BW27" s="547">
        <f>'7. Pure Influence'!Q67</f>
        <v/>
      </c>
      <c r="BX27" s="547">
        <f>'7. Pure Influence'!R67</f>
        <v/>
      </c>
      <c r="BY27" s="1710">
        <f>'7. Pure Influence'!G84</f>
        <v/>
      </c>
      <c r="BZ27" s="547">
        <f>'7. Pure Influence'!H84</f>
        <v/>
      </c>
      <c r="CA27" s="547">
        <f>'7. Pure Influence'!I84</f>
        <v/>
      </c>
      <c r="CB27" s="547">
        <f>'7. Pure Influence'!J84</f>
        <v/>
      </c>
      <c r="CD27" s="494">
        <f>SUM(BQ27:CB27)</f>
        <v/>
      </c>
      <c r="CF27" s="2013">
        <f>'7. Pure Influence'!K84</f>
        <v/>
      </c>
      <c r="CG27" s="547">
        <f>'7. Pure Influence'!L84</f>
        <v/>
      </c>
      <c r="CH27" s="547">
        <f>'7. Pure Influence'!M84</f>
        <v/>
      </c>
      <c r="CI27" s="547">
        <f>'7. Pure Influence'!N84</f>
        <v/>
      </c>
      <c r="CJ27" s="547">
        <f>'7. Pure Influence'!O84</f>
        <v/>
      </c>
      <c r="CK27" s="547">
        <f>'7. Pure Influence'!P84</f>
        <v/>
      </c>
      <c r="CL27" s="547">
        <f>'7. Pure Influence'!Q84</f>
        <v/>
      </c>
      <c r="CM27" s="547">
        <f>'7. Pure Influence'!R84</f>
        <v/>
      </c>
      <c r="CN27" s="1710">
        <f>'7. Pure Influence'!G101</f>
        <v/>
      </c>
      <c r="CO27" s="547">
        <f>'7. Pure Influence'!H101</f>
        <v/>
      </c>
      <c r="CP27" s="547">
        <f>'7. Pure Influence'!I101</f>
        <v/>
      </c>
      <c r="CQ27" s="547">
        <f>'7. Pure Influence'!J101</f>
        <v/>
      </c>
      <c r="CS27" s="494">
        <f>SUM(CF27:CQ27)</f>
        <v/>
      </c>
      <c r="CU27" s="547">
        <f>'7. Pure Influence'!K101</f>
        <v/>
      </c>
      <c r="CV27" s="547">
        <f>'7. Pure Influence'!L101</f>
        <v/>
      </c>
      <c r="CW27" s="547">
        <f>'7. Pure Influence'!M101</f>
        <v/>
      </c>
      <c r="CX27" s="547">
        <f>'7. Pure Influence'!N101</f>
        <v/>
      </c>
      <c r="CY27" s="547">
        <f>'7. Pure Influence'!O101</f>
        <v/>
      </c>
      <c r="CZ27" s="547">
        <f>'7. Pure Influence'!P101</f>
        <v/>
      </c>
      <c r="DA27" s="547">
        <f>'7. Pure Influence'!Q101</f>
        <v/>
      </c>
      <c r="DB27" s="547">
        <f>'7. Pure Influence'!R101</f>
        <v/>
      </c>
    </row>
    <row r="28" ht="15" customHeight="1" s="1883">
      <c r="B28" s="835" t="inlineStr">
        <is>
          <t>●</t>
        </is>
      </c>
      <c r="C28" s="383" t="inlineStr">
        <is>
          <t>Pure Research - this is part of lead gen to distribute phones</t>
        </is>
      </c>
      <c r="D28" s="383" t="n"/>
      <c r="E28" s="386" t="n"/>
      <c r="F28" s="386" t="n"/>
      <c r="G28" s="386" t="n"/>
      <c r="H28" s="386" t="n"/>
      <c r="I28" s="547" t="n">
        <v>0</v>
      </c>
      <c r="J28" s="547" t="n">
        <v>0</v>
      </c>
      <c r="K28" s="547" t="n">
        <v>0</v>
      </c>
      <c r="L28" s="547" t="n">
        <v>0</v>
      </c>
      <c r="M28" s="547" t="n">
        <v>0</v>
      </c>
      <c r="N28" s="547" t="n">
        <v>0</v>
      </c>
      <c r="O28" s="547">
        <f>('8. Pure Research - 1 of 2'!$I$40)</f>
        <v/>
      </c>
      <c r="P28" s="547">
        <f>('8. Pure Research - 1 of 2'!$I$40)</f>
        <v/>
      </c>
      <c r="Q28" s="547">
        <f>('8. Pure Research - 1 of 2'!$I$40)</f>
        <v/>
      </c>
      <c r="R28" s="547">
        <f>('8. Pure Research - 1 of 2'!$I$40)</f>
        <v/>
      </c>
      <c r="S28" s="547">
        <f>('8. Pure Research - 1 of 2'!$I$40)</f>
        <v/>
      </c>
      <c r="T28" s="547">
        <f>('8. Pure Research - 1 of 2'!$I$40)</f>
        <v/>
      </c>
      <c r="U28" s="386" t="n"/>
      <c r="V28" s="831">
        <f>SUM(I28:T28)</f>
        <v/>
      </c>
      <c r="W28" s="386" t="n"/>
      <c r="X28" s="547">
        <f>'8. Pure Research - 1 of 2'!$N$40</f>
        <v/>
      </c>
      <c r="Y28" s="547">
        <f>'8. Pure Research - 1 of 2'!$N$40</f>
        <v/>
      </c>
      <c r="Z28" s="547">
        <f>'8. Pure Research - 1 of 2'!$N$40</f>
        <v/>
      </c>
      <c r="AA28" s="547">
        <f>'8. Pure Research - 1 of 2'!$N$40</f>
        <v/>
      </c>
      <c r="AB28" s="547">
        <f>'8. Pure Research - 1 of 2'!$N$40</f>
        <v/>
      </c>
      <c r="AC28" s="547">
        <f>'8. Pure Research - 1 of 2'!$N$40</f>
        <v/>
      </c>
      <c r="AD28" s="547">
        <f>'8. Pure Research - 1 of 2'!$N$40</f>
        <v/>
      </c>
      <c r="AE28" s="547">
        <f>'8. Pure Research - 1 of 2'!$N$40</f>
        <v/>
      </c>
      <c r="AF28" s="547">
        <f>'8. Pure Research - 1 of 2'!$N$40</f>
        <v/>
      </c>
      <c r="AG28" s="547">
        <f>'8. Pure Research - 1 of 2'!$N$40</f>
        <v/>
      </c>
      <c r="AH28" s="547">
        <f>'8. Pure Research - 1 of 2'!$N$40</f>
        <v/>
      </c>
      <c r="AI28" s="547">
        <f>'8. Pure Research - 1 of 2'!$N$40</f>
        <v/>
      </c>
      <c r="AJ28" s="386" t="n"/>
      <c r="AK28" s="494">
        <f>SUM(X28:AI28)</f>
        <v/>
      </c>
      <c r="AL28" s="386" t="n"/>
      <c r="AM28" s="547">
        <f>'8. Pure Research - 1 of 2'!$S$40</f>
        <v/>
      </c>
      <c r="AN28" s="547">
        <f>'8. Pure Research - 1 of 2'!$S$40</f>
        <v/>
      </c>
      <c r="AO28" s="547">
        <f>'8. Pure Research - 1 of 2'!$S$40</f>
        <v/>
      </c>
      <c r="AP28" s="547">
        <f>'8. Pure Research - 1 of 2'!$S$40</f>
        <v/>
      </c>
      <c r="AQ28" s="547">
        <f>'8. Pure Research - 1 of 2'!$S$40</f>
        <v/>
      </c>
      <c r="AR28" s="547">
        <f>'8. Pure Research - 1 of 2'!$S$40</f>
        <v/>
      </c>
      <c r="AS28" s="547">
        <f>'8. Pure Research - 1 of 2'!$S$40</f>
        <v/>
      </c>
      <c r="AT28" s="547">
        <f>'8. Pure Research - 1 of 2'!$S$40</f>
        <v/>
      </c>
      <c r="AU28" s="547">
        <f>'8. Pure Research - 1 of 2'!$S$40</f>
        <v/>
      </c>
      <c r="AV28" s="547">
        <f>'8. Pure Research - 1 of 2'!$S$40</f>
        <v/>
      </c>
      <c r="AW28" s="547">
        <f>'8. Pure Research - 1 of 2'!$S$40</f>
        <v/>
      </c>
      <c r="AX28" s="547">
        <f>'8. Pure Research - 1 of 2'!$S$40</f>
        <v/>
      </c>
      <c r="AZ28" s="494">
        <f>SUM(AM28:AX28)</f>
        <v/>
      </c>
      <c r="BB28" s="462">
        <f>'8. Pure Research - 1 of 2'!$X$40</f>
        <v/>
      </c>
      <c r="BC28" s="462">
        <f>'8. Pure Research - 1 of 2'!$X$40</f>
        <v/>
      </c>
      <c r="BD28" s="462">
        <f>'8. Pure Research - 1 of 2'!$X$40</f>
        <v/>
      </c>
      <c r="BE28" s="462">
        <f>'8. Pure Research - 1 of 2'!$X$40</f>
        <v/>
      </c>
      <c r="BF28" s="462">
        <f>'8. Pure Research - 1 of 2'!$X$40</f>
        <v/>
      </c>
      <c r="BG28" s="462">
        <f>'8. Pure Research - 1 of 2'!$X$40</f>
        <v/>
      </c>
      <c r="BH28" s="462">
        <f>'8. Pure Research - 1 of 2'!$X$40</f>
        <v/>
      </c>
      <c r="BI28" s="462">
        <f>'8. Pure Research - 1 of 2'!$X$40</f>
        <v/>
      </c>
      <c r="BJ28" s="462">
        <f>'8. Pure Research - 1 of 2'!$X$40</f>
        <v/>
      </c>
      <c r="BK28" s="462">
        <f>'8. Pure Research - 1 of 2'!$X$40</f>
        <v/>
      </c>
      <c r="BL28" s="462">
        <f>'8. Pure Research - 1 of 2'!$X$40</f>
        <v/>
      </c>
      <c r="BM28" s="462">
        <f>'8. Pure Research - 1 of 2'!$X$40</f>
        <v/>
      </c>
      <c r="BO28" s="494">
        <f>SUM(BB28:BM28)</f>
        <v/>
      </c>
      <c r="BQ28" s="462">
        <f>'8. Pure Research - 1 of 2'!$AC$40</f>
        <v/>
      </c>
      <c r="BR28" s="462">
        <f>'8. Pure Research - 1 of 2'!$AC$40</f>
        <v/>
      </c>
      <c r="BS28" s="462">
        <f>'8. Pure Research - 1 of 2'!$AC$40</f>
        <v/>
      </c>
      <c r="BT28" s="462">
        <f>'8. Pure Research - 1 of 2'!$AC$40</f>
        <v/>
      </c>
      <c r="BU28" s="462">
        <f>'8. Pure Research - 1 of 2'!$AC$40</f>
        <v/>
      </c>
      <c r="BV28" s="462">
        <f>'8. Pure Research - 1 of 2'!$AC$40</f>
        <v/>
      </c>
      <c r="BW28" s="462">
        <f>'8. Pure Research - 1 of 2'!$AC$40</f>
        <v/>
      </c>
      <c r="BX28" s="462">
        <f>'8. Pure Research - 1 of 2'!$AC$40</f>
        <v/>
      </c>
      <c r="BY28" s="462">
        <f>'8. Pure Research - 1 of 2'!$AC$40</f>
        <v/>
      </c>
      <c r="BZ28" s="462">
        <f>'8. Pure Research - 1 of 2'!$AC$40</f>
        <v/>
      </c>
      <c r="CA28" s="462">
        <f>'8. Pure Research - 1 of 2'!$AC$40</f>
        <v/>
      </c>
      <c r="CB28" s="462">
        <f>'8. Pure Research - 1 of 2'!$AC$40</f>
        <v/>
      </c>
      <c r="CD28" s="494">
        <f>SUM(BQ28:CB28)</f>
        <v/>
      </c>
      <c r="CF28" s="462">
        <f>'8. Pure Research - 1 of 2'!$AH$40</f>
        <v/>
      </c>
      <c r="CG28" s="462">
        <f>'8. Pure Research - 1 of 2'!$AH$40</f>
        <v/>
      </c>
      <c r="CH28" s="462">
        <f>'8. Pure Research - 1 of 2'!$AH$40</f>
        <v/>
      </c>
      <c r="CI28" s="462">
        <f>'8. Pure Research - 1 of 2'!$AH$40</f>
        <v/>
      </c>
      <c r="CJ28" s="462">
        <f>'8. Pure Research - 1 of 2'!$AH$40</f>
        <v/>
      </c>
      <c r="CK28" s="462">
        <f>'8. Pure Research - 1 of 2'!$AH$40</f>
        <v/>
      </c>
      <c r="CL28" s="462">
        <f>'8. Pure Research - 1 of 2'!$AH$40</f>
        <v/>
      </c>
      <c r="CM28" s="462">
        <f>'8. Pure Research - 1 of 2'!$AH$40</f>
        <v/>
      </c>
      <c r="CN28" s="462">
        <f>'8. Pure Research - 1 of 2'!$AH$40</f>
        <v/>
      </c>
      <c r="CO28" s="462">
        <f>'8. Pure Research - 1 of 2'!$AH$40</f>
        <v/>
      </c>
      <c r="CP28" s="462">
        <f>'8. Pure Research - 1 of 2'!$AH$40</f>
        <v/>
      </c>
      <c r="CQ28" s="462">
        <f>'8. Pure Research - 1 of 2'!$AH$40</f>
        <v/>
      </c>
      <c r="CS28" s="494">
        <f>SUM(CF28:CQ28)</f>
        <v/>
      </c>
      <c r="CU28" s="547" t="n"/>
      <c r="CV28" s="547" t="n"/>
      <c r="CW28" s="547" t="n"/>
      <c r="CX28" s="547" t="n"/>
    </row>
    <row r="29" ht="15" customHeight="1" s="1883">
      <c r="B29" s="835" t="inlineStr">
        <is>
          <t>●</t>
        </is>
      </c>
      <c r="C29" s="383" t="inlineStr">
        <is>
          <t>Crowd Funding / Pre Sales / Program Opt Ins</t>
        </is>
      </c>
      <c r="D29" s="383" t="n"/>
      <c r="E29" s="386" t="n"/>
      <c r="F29" s="386" t="n"/>
      <c r="G29" s="386" t="n"/>
      <c r="H29" s="386" t="n"/>
      <c r="I29" s="547" t="n">
        <v>0</v>
      </c>
      <c r="J29" s="547" t="n">
        <v>0</v>
      </c>
      <c r="K29" s="547" t="n">
        <v>0</v>
      </c>
      <c r="L29" s="547" t="n">
        <v>0</v>
      </c>
      <c r="M29" s="547" t="n">
        <v>0</v>
      </c>
      <c r="N29" s="547" t="n">
        <v>0</v>
      </c>
      <c r="O29" s="547" t="n">
        <v>0</v>
      </c>
      <c r="P29" s="547" t="n">
        <v>0</v>
      </c>
      <c r="Q29" s="547" t="n">
        <v>0</v>
      </c>
      <c r="R29" s="547" t="n">
        <v>0</v>
      </c>
      <c r="S29" s="914">
        <f>'2D. Crowd Funding'!G13</f>
        <v/>
      </c>
      <c r="T29" s="547" t="n">
        <v>0</v>
      </c>
      <c r="U29" s="386" t="n"/>
      <c r="V29" s="831">
        <f>SUM(I29:T29)</f>
        <v/>
      </c>
      <c r="W29" s="386" t="n"/>
      <c r="X29" s="547" t="n">
        <v>0</v>
      </c>
      <c r="Y29" s="547" t="n">
        <v>0</v>
      </c>
      <c r="Z29" s="547" t="n">
        <v>0</v>
      </c>
      <c r="AA29" s="547" t="n">
        <v>0</v>
      </c>
      <c r="AB29" s="547" t="n">
        <v>0</v>
      </c>
      <c r="AC29" s="547" t="n">
        <v>0</v>
      </c>
      <c r="AD29" s="547" t="n">
        <v>0</v>
      </c>
      <c r="AE29" s="547" t="n">
        <v>0</v>
      </c>
      <c r="AF29" s="547" t="n">
        <v>0</v>
      </c>
      <c r="AG29" s="547" t="n">
        <v>0</v>
      </c>
      <c r="AH29" s="547" t="n">
        <v>0</v>
      </c>
      <c r="AI29" s="547" t="n">
        <v>0</v>
      </c>
      <c r="AJ29" s="831" t="n"/>
      <c r="AK29" s="494">
        <f>SUM(X29:AI29)</f>
        <v/>
      </c>
      <c r="AL29" s="831" t="n"/>
      <c r="AM29" s="547" t="n">
        <v>0</v>
      </c>
      <c r="AN29" s="547" t="n">
        <v>0</v>
      </c>
      <c r="AO29" s="547" t="n">
        <v>0</v>
      </c>
      <c r="AP29" s="547" t="n">
        <v>0</v>
      </c>
      <c r="AQ29" s="547" t="n">
        <v>0</v>
      </c>
      <c r="AR29" s="547" t="n">
        <v>0</v>
      </c>
      <c r="AS29" s="547" t="n">
        <v>0</v>
      </c>
      <c r="AT29" s="547" t="n">
        <v>0</v>
      </c>
      <c r="AU29" s="547" t="n">
        <v>0</v>
      </c>
      <c r="AV29" s="547" t="n">
        <v>0</v>
      </c>
      <c r="AW29" s="547" t="n">
        <v>0</v>
      </c>
      <c r="AX29" s="547" t="n">
        <v>0</v>
      </c>
      <c r="AZ29" s="494">
        <f>SUM(AM29:AX29)</f>
        <v/>
      </c>
      <c r="BA29" s="507" t="n"/>
      <c r="BB29" s="547" t="n">
        <v>0</v>
      </c>
      <c r="BC29" s="547" t="n">
        <v>0</v>
      </c>
      <c r="BD29" s="547" t="n">
        <v>0</v>
      </c>
      <c r="BE29" s="547" t="n">
        <v>0</v>
      </c>
      <c r="BF29" s="547" t="n">
        <v>0</v>
      </c>
      <c r="BG29" s="547" t="n">
        <v>0</v>
      </c>
      <c r="BH29" s="547" t="n">
        <v>0</v>
      </c>
      <c r="BI29" s="547" t="n">
        <v>0</v>
      </c>
      <c r="BJ29" s="547" t="n">
        <v>0</v>
      </c>
      <c r="BK29" s="547" t="n">
        <v>0</v>
      </c>
      <c r="BL29" s="547" t="n">
        <v>0</v>
      </c>
      <c r="BM29" s="547" t="n">
        <v>0</v>
      </c>
      <c r="BO29" s="494">
        <f>SUM(BB29:BM29)</f>
        <v/>
      </c>
      <c r="BP29" s="507" t="n"/>
      <c r="BQ29" s="547" t="n">
        <v>0</v>
      </c>
      <c r="BR29" s="547" t="n">
        <v>0</v>
      </c>
      <c r="BS29" s="547" t="n">
        <v>0</v>
      </c>
      <c r="BT29" s="547" t="n">
        <v>0</v>
      </c>
      <c r="BU29" s="547" t="n">
        <v>0</v>
      </c>
      <c r="BV29" s="547" t="n">
        <v>0</v>
      </c>
      <c r="BW29" s="547" t="n">
        <v>0</v>
      </c>
      <c r="BX29" s="547" t="n">
        <v>0</v>
      </c>
      <c r="BY29" s="547" t="n">
        <v>0</v>
      </c>
      <c r="BZ29" s="547" t="n">
        <v>0</v>
      </c>
      <c r="CA29" s="547" t="n">
        <v>0</v>
      </c>
      <c r="CB29" s="547" t="n">
        <v>0</v>
      </c>
      <c r="CD29" s="494">
        <f>SUM(BQ29:CB29)</f>
        <v/>
      </c>
      <c r="CE29" s="507" t="n"/>
      <c r="CF29" s="547" t="n">
        <v>0</v>
      </c>
      <c r="CG29" s="547" t="n">
        <v>0</v>
      </c>
      <c r="CH29" s="547" t="n">
        <v>0</v>
      </c>
      <c r="CI29" s="547" t="n">
        <v>0</v>
      </c>
      <c r="CJ29" s="547" t="n">
        <v>0</v>
      </c>
      <c r="CK29" s="547" t="n">
        <v>0</v>
      </c>
      <c r="CL29" s="547" t="n">
        <v>0</v>
      </c>
      <c r="CM29" s="547" t="n">
        <v>0</v>
      </c>
      <c r="CN29" s="547" t="n">
        <v>0</v>
      </c>
      <c r="CO29" s="547" t="n">
        <v>0</v>
      </c>
      <c r="CP29" s="547" t="n">
        <v>0</v>
      </c>
      <c r="CQ29" s="547" t="n">
        <v>0</v>
      </c>
      <c r="CS29" s="494">
        <f>SUM(CF29:CQ29)</f>
        <v/>
      </c>
      <c r="CU29" s="547" t="n"/>
      <c r="CV29" s="547" t="n"/>
      <c r="CW29" s="547" t="n"/>
      <c r="CX29" s="547" t="n"/>
    </row>
    <row r="30" ht="15" customHeight="1" s="1883">
      <c r="B30" s="835" t="inlineStr">
        <is>
          <t>●</t>
        </is>
      </c>
      <c r="C30" s="383" t="inlineStr">
        <is>
          <t>CPG Model - Revenue</t>
        </is>
      </c>
      <c r="D30" s="383" t="n"/>
      <c r="E30" s="386" t="n"/>
      <c r="F30" s="386" t="n"/>
      <c r="G30" s="386" t="n"/>
      <c r="H30" s="386" t="n"/>
      <c r="I30" s="547" t="n">
        <v>0</v>
      </c>
      <c r="J30" s="547" t="n">
        <v>0</v>
      </c>
      <c r="K30" s="547" t="n">
        <v>0</v>
      </c>
      <c r="L30" s="547" t="n">
        <v>0</v>
      </c>
      <c r="M30" s="547" t="n">
        <v>0</v>
      </c>
      <c r="N30" s="547" t="n">
        <v>0</v>
      </c>
      <c r="O30" s="547" t="n">
        <v>0</v>
      </c>
      <c r="P30" s="547" t="n">
        <v>0</v>
      </c>
      <c r="Q30" s="547" t="n">
        <v>0</v>
      </c>
      <c r="R30" s="547" t="n">
        <v>0</v>
      </c>
      <c r="S30" s="1710">
        <f>Table13[[#Totals],[Month 1]]</f>
        <v/>
      </c>
      <c r="T30" s="547">
        <f>Table13[[#Totals],[Month 2]]</f>
        <v/>
      </c>
      <c r="U30" s="386" t="n"/>
      <c r="V30" s="831">
        <f>SUM(I30:T30)</f>
        <v/>
      </c>
      <c r="W30" s="547" t="n"/>
      <c r="X30" s="547">
        <f>Table13[[#Totals],[Month 3]]</f>
        <v/>
      </c>
      <c r="Y30" s="547">
        <f>Table13[[#Totals],[Month 4]]</f>
        <v/>
      </c>
      <c r="Z30" s="547">
        <f>Table13[[#Totals],[Month 5]]</f>
        <v/>
      </c>
      <c r="AA30" s="547">
        <f>Table13[[#Totals],[Month 6]]</f>
        <v/>
      </c>
      <c r="AB30" s="547">
        <f>Table13[[#Totals],[Month 7]]</f>
        <v/>
      </c>
      <c r="AC30" s="547">
        <f>Table13[[#Totals],[Month 8]]</f>
        <v/>
      </c>
      <c r="AD30" s="547">
        <f>Table13[[#Totals],[Month 9]]</f>
        <v/>
      </c>
      <c r="AE30" s="547">
        <f>Table13[[#Totals],[Month 10]]</f>
        <v/>
      </c>
      <c r="AF30" s="547">
        <f>Table13[[#Totals],[Month 11]]</f>
        <v/>
      </c>
      <c r="AG30" s="547">
        <f>Table13[[#Totals],[Month 12]]</f>
        <v/>
      </c>
      <c r="AH30" s="1710">
        <f>Table13[[#Totals],[Month 13]]</f>
        <v/>
      </c>
      <c r="AI30" s="547">
        <f>Table13[[#Totals],[Month 14]]</f>
        <v/>
      </c>
      <c r="AJ30" s="831" t="n"/>
      <c r="AK30" s="494">
        <f>SUM(X30:AI30)</f>
        <v/>
      </c>
      <c r="AL30" s="831" t="n"/>
      <c r="AM30" s="547">
        <f>Table13[[#Totals],[Month 15]]</f>
        <v/>
      </c>
      <c r="AN30" s="547">
        <f>Table13[[#Totals],[Month 16]]</f>
        <v/>
      </c>
      <c r="AO30" s="547">
        <f>Table13[[#Totals],[Month 17]]</f>
        <v/>
      </c>
      <c r="AP30" s="547">
        <f>Table13[[#Totals],[Month 18]]</f>
        <v/>
      </c>
      <c r="AQ30" s="547">
        <f>Table13[[#Totals],[Month 19]]</f>
        <v/>
      </c>
      <c r="AR30" s="547">
        <f>Table13[[#Totals],[Month 20]]</f>
        <v/>
      </c>
      <c r="AS30" s="547">
        <f>Table13[[#Totals],[Month 21]]</f>
        <v/>
      </c>
      <c r="AT30" s="547">
        <f>Table13[[#Totals],[Month 22]]</f>
        <v/>
      </c>
      <c r="AU30" s="547">
        <f>Table13[[#Totals],[Month 23]]</f>
        <v/>
      </c>
      <c r="AV30" s="547">
        <f>Table13[[#Totals],[Month 24]]</f>
        <v/>
      </c>
      <c r="AW30" s="1710">
        <f>Table13[[#Totals],[Month 25]]</f>
        <v/>
      </c>
      <c r="AX30" s="547">
        <f>Table13[[#Totals],[Month 26]]</f>
        <v/>
      </c>
      <c r="AZ30" s="494">
        <f>SUM(AM30:AX30)</f>
        <v/>
      </c>
      <c r="BA30" s="507" t="n"/>
      <c r="BB30" s="547">
        <f>Table13[[#Totals],[Month 27]]</f>
        <v/>
      </c>
      <c r="BC30" s="547">
        <f>Table13[[#Totals],[Month 28]]</f>
        <v/>
      </c>
      <c r="BD30" s="547">
        <f>Table13[[#Totals],[Month 29]]</f>
        <v/>
      </c>
      <c r="BE30" s="547">
        <f>Table13[[#Totals],[Month 30]]</f>
        <v/>
      </c>
      <c r="BF30" s="547">
        <f>Table13[[#Totals],[Month 31]]</f>
        <v/>
      </c>
      <c r="BG30" s="547">
        <f>Table13[[#Totals],[Month 32]]</f>
        <v/>
      </c>
      <c r="BH30" s="547">
        <f>Table13[[#Totals],[Month 33]]</f>
        <v/>
      </c>
      <c r="BI30" s="547">
        <f>Table13[[#Totals],[Month 34]]</f>
        <v/>
      </c>
      <c r="BJ30" s="547">
        <f>Table13[[#Totals],[Month 35]]</f>
        <v/>
      </c>
      <c r="BK30" s="547">
        <f>Table13[[#Totals],[Month 36]]</f>
        <v/>
      </c>
      <c r="BL30" s="1710">
        <f>Table13[[#Totals],[Month 37]]</f>
        <v/>
      </c>
      <c r="BM30" s="547">
        <f>Table13[[#Totals],[Month 38]]</f>
        <v/>
      </c>
      <c r="BO30" s="494">
        <f>SUM(BB30:BM30)</f>
        <v/>
      </c>
      <c r="BP30" s="507" t="n"/>
      <c r="BQ30" s="547">
        <f>Table13[[#Totals],[Month 39]]</f>
        <v/>
      </c>
      <c r="BR30" s="547">
        <f>Table13[[#Totals],[Month 40]]</f>
        <v/>
      </c>
      <c r="BS30" s="547">
        <f>Table13[[#Totals],[Month 41]]</f>
        <v/>
      </c>
      <c r="BT30" s="547">
        <f>Table13[[#Totals],[Month 42]]</f>
        <v/>
      </c>
      <c r="BU30" s="547">
        <f>Table13[[#Totals],[Month 43]]</f>
        <v/>
      </c>
      <c r="BV30" s="547">
        <f>Table13[[#Totals],[Month 44]]</f>
        <v/>
      </c>
      <c r="BW30" s="547">
        <f>Table13[[#Totals],[Month 45]]</f>
        <v/>
      </c>
      <c r="BX30" s="547">
        <f>Table13[[#Totals],[Month 46]]</f>
        <v/>
      </c>
      <c r="BY30" s="547">
        <f>Table13[[#Totals],[Month 47]]</f>
        <v/>
      </c>
      <c r="BZ30" s="547">
        <f>Table13[[#Totals],[Month 48]]</f>
        <v/>
      </c>
      <c r="CA30" s="1710">
        <f>Table13[[#Totals],[Month 49]]</f>
        <v/>
      </c>
      <c r="CB30" s="1507">
        <f>Table13[[#Totals],[Month 50]]</f>
        <v/>
      </c>
      <c r="CD30" s="494">
        <f>SUM(BQ30:CB30)</f>
        <v/>
      </c>
      <c r="CE30" s="507" t="n"/>
      <c r="CF30" s="1507">
        <f>Table13[[#Totals],[Month 51]]</f>
        <v/>
      </c>
      <c r="CG30" s="1507">
        <f>Table13[[#Totals],[Month 52]]</f>
        <v/>
      </c>
      <c r="CH30" s="1507">
        <f>Table13[[#Totals],[Month 53]]</f>
        <v/>
      </c>
      <c r="CI30" s="1507">
        <f>Table13[[#Totals],[Month 54]]</f>
        <v/>
      </c>
      <c r="CJ30" s="1507">
        <f>Table13[[#Totals],[Month 55]]</f>
        <v/>
      </c>
      <c r="CK30" s="1507">
        <f>Table13[[#Totals],[Month 56]]</f>
        <v/>
      </c>
      <c r="CL30" s="1507">
        <f>Table13[[#Totals],[Month 57]]</f>
        <v/>
      </c>
      <c r="CM30" s="1507">
        <f>Table13[[#Totals],[Month 58]]</f>
        <v/>
      </c>
      <c r="CN30" s="1507">
        <f>Table13[[#Totals],[Month 59]]</f>
        <v/>
      </c>
      <c r="CO30" s="1507">
        <f>Table13[[#Totals],[Month 60]]</f>
        <v/>
      </c>
      <c r="CP30" s="1507" t="n">
        <v>0</v>
      </c>
      <c r="CQ30" s="1507" t="n">
        <v>0</v>
      </c>
      <c r="CS30" s="494">
        <f>SUM(CF30:CQ30)</f>
        <v/>
      </c>
      <c r="CU30" s="547" t="n"/>
      <c r="CV30" s="547" t="n"/>
      <c r="CW30" s="547" t="n"/>
      <c r="CX30" s="547" t="n"/>
    </row>
    <row r="31" ht="15" customHeight="1" s="1883">
      <c r="B31" s="835" t="inlineStr">
        <is>
          <t>●</t>
        </is>
      </c>
      <c r="C31" s="383" t="inlineStr">
        <is>
          <t>Camera Commerce</t>
        </is>
      </c>
      <c r="D31" s="383" t="n"/>
      <c r="E31" s="386" t="n"/>
      <c r="F31" s="386" t="n"/>
      <c r="G31" s="386" t="n"/>
      <c r="H31" s="386" t="n"/>
      <c r="I31" s="547" t="n">
        <v>0</v>
      </c>
      <c r="J31" s="547" t="n">
        <v>0</v>
      </c>
      <c r="K31" s="547" t="n">
        <v>0</v>
      </c>
      <c r="L31" s="547" t="n">
        <v>0</v>
      </c>
      <c r="M31" s="547" t="n">
        <v>0</v>
      </c>
      <c r="N31" s="1710">
        <f>'9. Camera Commerce'!B6</f>
        <v/>
      </c>
      <c r="O31" s="547">
        <f>'9. Camera Commerce'!C6</f>
        <v/>
      </c>
      <c r="P31" s="547">
        <f>'9. Camera Commerce'!D6</f>
        <v/>
      </c>
      <c r="Q31" s="547">
        <f>'9. Camera Commerce'!E6</f>
        <v/>
      </c>
      <c r="R31" s="547">
        <f>'9. Camera Commerce'!F6</f>
        <v/>
      </c>
      <c r="S31" s="547">
        <f>'9. Camera Commerce'!G6</f>
        <v/>
      </c>
      <c r="T31" s="547">
        <f>'9. Camera Commerce'!H6</f>
        <v/>
      </c>
      <c r="U31" s="386" t="n"/>
      <c r="V31" s="831">
        <f>SUM(I31:T31)</f>
        <v/>
      </c>
      <c r="W31" s="547" t="n"/>
      <c r="X31" s="547">
        <f>'9. Camera Commerce'!I6</f>
        <v/>
      </c>
      <c r="Y31" s="547">
        <f>'9. Camera Commerce'!J6</f>
        <v/>
      </c>
      <c r="Z31" s="547">
        <f>'9. Camera Commerce'!K6</f>
        <v/>
      </c>
      <c r="AA31" s="547">
        <f>'9. Camera Commerce'!L6</f>
        <v/>
      </c>
      <c r="AB31" s="547">
        <f>'9. Camera Commerce'!M6</f>
        <v/>
      </c>
      <c r="AC31" s="1710">
        <f>'9. Camera Commerce'!O6</f>
        <v/>
      </c>
      <c r="AD31" s="1507">
        <f>'9. Camera Commerce'!P6</f>
        <v/>
      </c>
      <c r="AE31" s="1507">
        <f>'9. Camera Commerce'!Q6</f>
        <v/>
      </c>
      <c r="AF31" s="1507">
        <f>'9. Camera Commerce'!R6</f>
        <v/>
      </c>
      <c r="AG31" s="1507">
        <f>'9. Camera Commerce'!S6</f>
        <v/>
      </c>
      <c r="AH31" s="1507">
        <f>'9. Camera Commerce'!T6</f>
        <v/>
      </c>
      <c r="AI31" s="1507">
        <f>'9. Camera Commerce'!U6</f>
        <v/>
      </c>
      <c r="AJ31" s="831" t="n"/>
      <c r="AK31" s="494">
        <f>SUM(X31:AI31)</f>
        <v/>
      </c>
      <c r="AL31" s="831" t="n"/>
      <c r="AM31" s="1507">
        <f>'9. Camera Commerce'!V6</f>
        <v/>
      </c>
      <c r="AN31" s="1507">
        <f>'9. Camera Commerce'!W6</f>
        <v/>
      </c>
      <c r="AO31" s="1507">
        <f>'9. Camera Commerce'!X6</f>
        <v/>
      </c>
      <c r="AP31" s="1507">
        <f>'9. Camera Commerce'!Y6</f>
        <v/>
      </c>
      <c r="AQ31" s="1507">
        <f>'9. Camera Commerce'!Z6</f>
        <v/>
      </c>
      <c r="AR31" s="1710">
        <f>'9. Camera Commerce'!AB6</f>
        <v/>
      </c>
      <c r="AS31" s="1507">
        <f>'9. Camera Commerce'!AC6</f>
        <v/>
      </c>
      <c r="AT31" s="1507">
        <f>'9. Camera Commerce'!AD6</f>
        <v/>
      </c>
      <c r="AU31" s="1507">
        <f>'9. Camera Commerce'!AE6</f>
        <v/>
      </c>
      <c r="AV31" s="1507">
        <f>'9. Camera Commerce'!AF6</f>
        <v/>
      </c>
      <c r="AW31" s="1507">
        <f>'9. Camera Commerce'!AG6</f>
        <v/>
      </c>
      <c r="AX31" s="1507">
        <f>'9. Camera Commerce'!AH6</f>
        <v/>
      </c>
      <c r="AZ31" s="494">
        <f>SUM(AM31:AX31)</f>
        <v/>
      </c>
      <c r="BA31" s="507" t="n"/>
      <c r="BB31" s="1507">
        <f>'9. Camera Commerce'!AI6</f>
        <v/>
      </c>
      <c r="BC31" s="1507">
        <f>'9. Camera Commerce'!AJ6</f>
        <v/>
      </c>
      <c r="BD31" s="1507">
        <f>'9. Camera Commerce'!AK6</f>
        <v/>
      </c>
      <c r="BE31" s="1507">
        <f>'9. Camera Commerce'!AL6</f>
        <v/>
      </c>
      <c r="BF31" s="1507">
        <f>'9. Camera Commerce'!AM6</f>
        <v/>
      </c>
      <c r="BG31" s="1710">
        <f>'9. Camera Commerce'!AO6</f>
        <v/>
      </c>
      <c r="BH31" s="1507">
        <f>'9. Camera Commerce'!AP6</f>
        <v/>
      </c>
      <c r="BI31" s="1507">
        <f>'9. Camera Commerce'!AQ6</f>
        <v/>
      </c>
      <c r="BJ31" s="1507">
        <f>'9. Camera Commerce'!AR6</f>
        <v/>
      </c>
      <c r="BK31" s="1507">
        <f>'9. Camera Commerce'!AS6</f>
        <v/>
      </c>
      <c r="BL31" s="1507">
        <f>'9. Camera Commerce'!AT6</f>
        <v/>
      </c>
      <c r="BM31" s="1507">
        <f>'9. Camera Commerce'!AU6</f>
        <v/>
      </c>
      <c r="BO31" s="494">
        <f>SUM(BB31:BM31)</f>
        <v/>
      </c>
      <c r="BP31" s="507" t="n"/>
      <c r="BQ31" s="1507">
        <f>'9. Camera Commerce'!AV6</f>
        <v/>
      </c>
      <c r="BR31" s="1507">
        <f>'9. Camera Commerce'!AW6</f>
        <v/>
      </c>
      <c r="BS31" s="1507">
        <f>'9. Camera Commerce'!AX6</f>
        <v/>
      </c>
      <c r="BT31" s="1507">
        <f>'9. Camera Commerce'!AY6</f>
        <v/>
      </c>
      <c r="BU31" s="1507">
        <f>'9. Camera Commerce'!AZ6</f>
        <v/>
      </c>
      <c r="BV31" s="1710">
        <f>'9. Camera Commerce'!BB6</f>
        <v/>
      </c>
      <c r="BW31" s="1507">
        <f>'9. Camera Commerce'!BC6</f>
        <v/>
      </c>
      <c r="BX31" s="1507">
        <f>'9. Camera Commerce'!BD6</f>
        <v/>
      </c>
      <c r="BY31" s="1507">
        <f>'9. Camera Commerce'!BE6</f>
        <v/>
      </c>
      <c r="BZ31" s="1507">
        <f>'9. Camera Commerce'!BF6</f>
        <v/>
      </c>
      <c r="CA31" s="1507">
        <f>'9. Camera Commerce'!BG6</f>
        <v/>
      </c>
      <c r="CB31" s="1507">
        <f>'9. Camera Commerce'!BH6</f>
        <v/>
      </c>
      <c r="CD31" s="494">
        <f>SUM(BQ31:CB31)</f>
        <v/>
      </c>
      <c r="CE31" s="507" t="n"/>
      <c r="CF31" s="1507">
        <f>'9. Camera Commerce'!BI6</f>
        <v/>
      </c>
      <c r="CG31" s="1507">
        <f>'9. Camera Commerce'!BJ6</f>
        <v/>
      </c>
      <c r="CH31" s="1507">
        <f>'9. Camera Commerce'!BK6</f>
        <v/>
      </c>
      <c r="CI31" s="1507">
        <f>'9. Camera Commerce'!BL6</f>
        <v/>
      </c>
      <c r="CJ31" s="1507">
        <f>'9. Camera Commerce'!BM6</f>
        <v/>
      </c>
      <c r="CS31" s="494">
        <f>SUM(CF31:CQ31)</f>
        <v/>
      </c>
      <c r="CU31" s="547" t="n"/>
      <c r="CV31" s="547" t="n"/>
      <c r="CW31" s="547" t="n"/>
      <c r="CX31" s="547" t="n"/>
    </row>
    <row r="32" ht="15" customHeight="1" s="1883">
      <c r="B32" s="835" t="inlineStr">
        <is>
          <t>●</t>
        </is>
      </c>
      <c r="C32" s="383" t="inlineStr">
        <is>
          <t>Capital Raise</t>
        </is>
      </c>
      <c r="D32" s="383" t="n"/>
      <c r="E32" s="386" t="n"/>
      <c r="F32" s="386" t="n"/>
      <c r="G32" s="386" t="n"/>
      <c r="H32" s="386" t="n"/>
      <c r="I32" s="547" t="n">
        <v>0</v>
      </c>
      <c r="J32" s="547" t="n">
        <v>0</v>
      </c>
      <c r="K32" s="547" t="n">
        <v>0</v>
      </c>
      <c r="L32" s="547" t="n">
        <v>0</v>
      </c>
      <c r="M32" s="547" t="n">
        <v>0</v>
      </c>
      <c r="N32" s="547" t="n">
        <v>5000000</v>
      </c>
      <c r="O32" s="547" t="n">
        <v>0</v>
      </c>
      <c r="P32" s="547" t="n">
        <v>0</v>
      </c>
      <c r="Q32" s="547" t="n">
        <v>0</v>
      </c>
      <c r="R32" s="547" t="n">
        <v>0</v>
      </c>
      <c r="S32" s="547" t="n">
        <v>0</v>
      </c>
      <c r="T32" s="547" t="n">
        <v>0</v>
      </c>
      <c r="U32" s="386" t="n"/>
      <c r="V32" s="831">
        <f>SUM(I32:T32)</f>
        <v/>
      </c>
      <c r="W32" s="547" t="n"/>
      <c r="X32" s="547" t="n">
        <v>0</v>
      </c>
      <c r="Y32" s="547" t="n">
        <v>43000000</v>
      </c>
      <c r="Z32" s="547" t="n">
        <v>0</v>
      </c>
      <c r="AA32" s="547" t="n">
        <v>0</v>
      </c>
      <c r="AB32" s="547" t="n">
        <v>0</v>
      </c>
      <c r="AC32" s="547" t="n">
        <v>0</v>
      </c>
      <c r="AD32" s="547" t="n">
        <v>0</v>
      </c>
      <c r="AE32" s="547" t="n">
        <v>0</v>
      </c>
      <c r="AF32" s="547" t="n">
        <v>0</v>
      </c>
      <c r="AG32" s="547" t="n">
        <v>0</v>
      </c>
      <c r="AH32" s="547" t="n">
        <v>0</v>
      </c>
      <c r="AI32" s="547" t="n">
        <v>0</v>
      </c>
      <c r="AJ32" s="831" t="n"/>
      <c r="AK32" s="494">
        <f>SUM(X32:AI32)</f>
        <v/>
      </c>
      <c r="AL32" s="831" t="n"/>
      <c r="AM32" s="907" t="n">
        <v>0</v>
      </c>
      <c r="AN32" s="547" t="n">
        <v>100000000</v>
      </c>
      <c r="AO32" s="907" t="n">
        <v>0</v>
      </c>
      <c r="AP32" s="907" t="n">
        <v>0</v>
      </c>
      <c r="AQ32" s="907" t="n">
        <v>0</v>
      </c>
      <c r="AR32" s="907" t="n">
        <v>0</v>
      </c>
      <c r="AS32" s="907" t="n">
        <v>0</v>
      </c>
      <c r="AT32" s="907" t="n">
        <v>0</v>
      </c>
      <c r="AU32" s="907" t="n">
        <v>0</v>
      </c>
      <c r="AV32" s="907" t="n">
        <v>0</v>
      </c>
      <c r="AW32" s="907" t="n">
        <v>0</v>
      </c>
      <c r="AX32" s="907" t="n">
        <v>0</v>
      </c>
      <c r="AZ32" s="494">
        <f>SUM(AM32:AX32)</f>
        <v/>
      </c>
      <c r="BA32" s="507" t="n"/>
      <c r="BB32" s="907" t="n">
        <v>0</v>
      </c>
      <c r="BC32" s="547" t="n">
        <v>500000000</v>
      </c>
      <c r="BD32" s="907" t="n">
        <v>0</v>
      </c>
      <c r="BE32" s="907" t="n">
        <v>0</v>
      </c>
      <c r="BF32" s="907" t="n">
        <v>0</v>
      </c>
      <c r="BG32" s="907" t="n">
        <v>0</v>
      </c>
      <c r="BH32" s="907" t="n">
        <v>0</v>
      </c>
      <c r="BI32" s="907" t="n">
        <v>0</v>
      </c>
      <c r="BJ32" s="907" t="n">
        <v>0</v>
      </c>
      <c r="BK32" s="907" t="n">
        <v>0</v>
      </c>
      <c r="BL32" s="907" t="n">
        <v>0</v>
      </c>
      <c r="BM32" s="907" t="n">
        <v>0</v>
      </c>
      <c r="BO32" s="494">
        <f>SUM(BB32:BM32)</f>
        <v/>
      </c>
      <c r="BP32" s="507" t="n"/>
      <c r="BQ32" s="907" t="n">
        <v>0</v>
      </c>
      <c r="BR32" s="907" t="n">
        <v>0</v>
      </c>
      <c r="BS32" s="907" t="n">
        <v>0</v>
      </c>
      <c r="BT32" s="907" t="n">
        <v>0</v>
      </c>
      <c r="BU32" s="907" t="n">
        <v>0</v>
      </c>
      <c r="BV32" s="907" t="n">
        <v>0</v>
      </c>
      <c r="BW32" s="907" t="n">
        <v>0</v>
      </c>
      <c r="BX32" s="907" t="n">
        <v>0</v>
      </c>
      <c r="BY32" s="907" t="n">
        <v>0</v>
      </c>
      <c r="BZ32" s="907" t="n">
        <v>0</v>
      </c>
      <c r="CA32" s="907" t="n">
        <v>0</v>
      </c>
      <c r="CB32" s="907" t="n">
        <v>0</v>
      </c>
      <c r="CD32" s="494">
        <f>SUM(BQ32:CB32)</f>
        <v/>
      </c>
      <c r="CE32" s="507" t="n"/>
      <c r="CF32" s="907" t="n">
        <v>0</v>
      </c>
      <c r="CG32" s="907" t="n">
        <v>0</v>
      </c>
      <c r="CH32" s="907" t="n">
        <v>0</v>
      </c>
      <c r="CI32" s="907" t="n">
        <v>0</v>
      </c>
      <c r="CJ32" s="907" t="n">
        <v>0</v>
      </c>
      <c r="CK32" s="907" t="n">
        <v>0</v>
      </c>
      <c r="CL32" s="907" t="n">
        <v>0</v>
      </c>
      <c r="CM32" s="907" t="n">
        <v>0</v>
      </c>
      <c r="CN32" s="907" t="n">
        <v>0</v>
      </c>
      <c r="CO32" s="907" t="n">
        <v>0</v>
      </c>
      <c r="CP32" s="907" t="n">
        <v>0</v>
      </c>
      <c r="CQ32" s="907" t="n">
        <v>0</v>
      </c>
      <c r="CS32" s="494">
        <f>SUM(CF32:CQ32)</f>
        <v/>
      </c>
      <c r="CU32" s="547" t="n"/>
      <c r="CV32" s="547" t="n"/>
      <c r="CW32" s="547" t="n"/>
      <c r="CX32" s="547" t="n"/>
    </row>
    <row r="33" ht="15" customHeight="1" s="1883">
      <c r="B33" s="835" t="n"/>
      <c r="C33" s="383" t="n"/>
      <c r="D33" s="383" t="n"/>
      <c r="E33" s="386" t="n"/>
      <c r="F33" s="386" t="n"/>
      <c r="G33" s="386" t="n"/>
      <c r="H33" s="386" t="n"/>
      <c r="I33" s="547" t="n"/>
      <c r="J33" s="547" t="n"/>
      <c r="K33" s="547" t="n"/>
      <c r="L33" s="547" t="n"/>
      <c r="M33" s="547" t="n"/>
      <c r="N33" s="547" t="n"/>
      <c r="O33" s="547" t="n"/>
      <c r="P33" s="547" t="n"/>
      <c r="Q33" s="547" t="n"/>
      <c r="R33" s="547" t="n"/>
      <c r="S33" s="547" t="n"/>
      <c r="T33" s="547" t="n"/>
      <c r="U33" s="386" t="n"/>
      <c r="V33" s="831">
        <f>SUM(I33:T33)</f>
        <v/>
      </c>
      <c r="W33" s="547" t="n"/>
      <c r="X33" s="547" t="n"/>
      <c r="Y33" s="547" t="n"/>
      <c r="Z33" s="547" t="n"/>
      <c r="AA33" s="547" t="n"/>
      <c r="AB33" s="547" t="n"/>
      <c r="AC33" s="547" t="n"/>
      <c r="AD33" s="547" t="n">
        <v>0</v>
      </c>
      <c r="AE33" s="547" t="n"/>
      <c r="AF33" s="547" t="n"/>
      <c r="AG33" s="547" t="n"/>
      <c r="AH33" s="547" t="n"/>
      <c r="AI33" s="547" t="n"/>
      <c r="AJ33" s="831" t="n"/>
      <c r="AK33" s="494">
        <f>SUM(X33:AI33)</f>
        <v/>
      </c>
      <c r="AL33" s="831" t="n"/>
      <c r="AM33" s="907" t="n">
        <v>0</v>
      </c>
      <c r="AN33" s="907" t="n">
        <v>0</v>
      </c>
      <c r="AO33" s="907" t="n">
        <v>0</v>
      </c>
      <c r="AP33" s="907" t="n">
        <v>0</v>
      </c>
      <c r="AQ33" s="907" t="n">
        <v>0</v>
      </c>
      <c r="AR33" s="907" t="n">
        <v>0</v>
      </c>
      <c r="AS33" s="547" t="n">
        <v>0</v>
      </c>
      <c r="AT33" s="907" t="n">
        <v>0</v>
      </c>
      <c r="AU33" s="907" t="n">
        <v>0</v>
      </c>
      <c r="AV33" s="907" t="n">
        <v>0</v>
      </c>
      <c r="AW33" s="907" t="n">
        <v>0</v>
      </c>
      <c r="AX33" s="907" t="n">
        <v>0</v>
      </c>
      <c r="AZ33" s="494">
        <f>SUM(AM33:AX33)</f>
        <v/>
      </c>
      <c r="BA33" s="507" t="n"/>
      <c r="BB33" s="907" t="n">
        <v>0</v>
      </c>
      <c r="BC33" s="907" t="n">
        <v>0</v>
      </c>
      <c r="BD33" s="907" t="n">
        <v>0</v>
      </c>
      <c r="BE33" s="907" t="n">
        <v>0</v>
      </c>
      <c r="BF33" s="907" t="n">
        <v>0</v>
      </c>
      <c r="BG33" s="907" t="n">
        <v>0</v>
      </c>
      <c r="BH33" s="547" t="n">
        <v>0</v>
      </c>
      <c r="BI33" s="907" t="n">
        <v>0</v>
      </c>
      <c r="BJ33" s="907" t="n">
        <v>0</v>
      </c>
      <c r="BK33" s="907" t="n">
        <v>0</v>
      </c>
      <c r="BL33" s="907" t="n">
        <v>0</v>
      </c>
      <c r="BM33" s="907" t="n">
        <v>0</v>
      </c>
      <c r="BO33" s="494">
        <f>SUM(BB33:BM33)</f>
        <v/>
      </c>
      <c r="BP33" s="507" t="n"/>
      <c r="BQ33" s="907" t="n">
        <v>0</v>
      </c>
      <c r="BR33" s="907" t="n">
        <v>0</v>
      </c>
      <c r="BS33" s="907" t="n">
        <v>0</v>
      </c>
      <c r="BT33" s="907" t="n">
        <v>0</v>
      </c>
      <c r="BU33" s="907" t="n">
        <v>0</v>
      </c>
      <c r="BV33" s="907" t="n">
        <v>0</v>
      </c>
      <c r="BW33" s="907" t="n">
        <v>0</v>
      </c>
      <c r="BX33" s="907" t="n">
        <v>0</v>
      </c>
      <c r="BY33" s="907" t="n">
        <v>0</v>
      </c>
      <c r="BZ33" s="907" t="n">
        <v>0</v>
      </c>
      <c r="CA33" s="907" t="n">
        <v>0</v>
      </c>
      <c r="CB33" s="907" t="n">
        <v>0</v>
      </c>
      <c r="CD33" s="494">
        <f>SUM(BQ33:CB33)</f>
        <v/>
      </c>
      <c r="CE33" s="507" t="n"/>
      <c r="CF33" s="907" t="n">
        <v>0</v>
      </c>
      <c r="CG33" s="907" t="n">
        <v>0</v>
      </c>
      <c r="CH33" s="907" t="n">
        <v>0</v>
      </c>
      <c r="CI33" s="907" t="n">
        <v>0</v>
      </c>
      <c r="CJ33" s="907" t="n">
        <v>0</v>
      </c>
      <c r="CK33" s="907" t="n">
        <v>0</v>
      </c>
      <c r="CL33" s="907" t="n">
        <v>0</v>
      </c>
      <c r="CM33" s="907" t="n">
        <v>0</v>
      </c>
      <c r="CN33" s="907" t="n">
        <v>0</v>
      </c>
      <c r="CO33" s="907" t="n">
        <v>0</v>
      </c>
      <c r="CP33" s="907" t="n">
        <v>0</v>
      </c>
      <c r="CQ33" s="907" t="n">
        <v>0</v>
      </c>
      <c r="CS33" s="494">
        <f>SUM(CF33:CQ33)</f>
        <v/>
      </c>
      <c r="CU33" s="547" t="n"/>
      <c r="CV33" s="547" t="n"/>
      <c r="CW33" s="547" t="n"/>
      <c r="CX33" s="547" t="n"/>
    </row>
    <row r="34" ht="15" customHeight="1" s="1883">
      <c r="B34" s="835" t="inlineStr">
        <is>
          <t>●</t>
        </is>
      </c>
      <c r="C34" s="383" t="inlineStr">
        <is>
          <t>Working Capital Financing - Borrowings</t>
        </is>
      </c>
      <c r="D34" s="383" t="n"/>
      <c r="E34" s="386" t="n"/>
      <c r="F34" s="386" t="n"/>
      <c r="G34" s="386" t="n"/>
      <c r="H34" s="386" t="n"/>
      <c r="I34" s="547" t="n">
        <v>0</v>
      </c>
      <c r="J34" s="547" t="n">
        <v>0</v>
      </c>
      <c r="K34" s="547" t="n">
        <v>0</v>
      </c>
      <c r="L34" s="547" t="n">
        <v>0</v>
      </c>
      <c r="M34" s="547" t="n">
        <v>0</v>
      </c>
      <c r="N34" s="547" t="n">
        <v>0</v>
      </c>
      <c r="O34" s="547" t="n">
        <v>0</v>
      </c>
      <c r="P34" s="547" t="n">
        <v>0</v>
      </c>
      <c r="Q34" s="547" t="n">
        <v>0</v>
      </c>
      <c r="R34" s="547" t="n">
        <v>0</v>
      </c>
      <c r="S34" s="547" t="n">
        <v>0</v>
      </c>
      <c r="T34" s="547" t="n">
        <v>0</v>
      </c>
      <c r="U34" s="386" t="n"/>
      <c r="V34" s="831">
        <f>SUM(I34:T34)</f>
        <v/>
      </c>
      <c r="W34" s="386" t="n"/>
      <c r="X34" s="547" t="n">
        <v>0</v>
      </c>
      <c r="Y34" s="547" t="n">
        <v>0</v>
      </c>
      <c r="Z34" s="547" t="n">
        <v>0</v>
      </c>
      <c r="AA34" s="547" t="n">
        <v>0</v>
      </c>
      <c r="AB34" s="547" t="n">
        <v>0</v>
      </c>
      <c r="AC34" s="547" t="n">
        <v>0</v>
      </c>
      <c r="AD34" s="547" t="n">
        <v>0</v>
      </c>
      <c r="AE34" s="547" t="n">
        <v>0</v>
      </c>
      <c r="AF34" s="547" t="n">
        <v>0</v>
      </c>
      <c r="AG34" s="547" t="n">
        <v>0</v>
      </c>
      <c r="AH34" s="547" t="n">
        <v>0</v>
      </c>
      <c r="AI34" s="547" t="n">
        <v>0</v>
      </c>
      <c r="AJ34" s="831" t="n"/>
      <c r="AK34" s="494">
        <f>SUM(X34:AI34)</f>
        <v/>
      </c>
      <c r="AL34" s="831" t="n"/>
      <c r="AM34" s="547" t="n">
        <v>0</v>
      </c>
      <c r="AN34" s="547" t="n">
        <v>0</v>
      </c>
      <c r="AO34" s="547" t="n">
        <v>0</v>
      </c>
      <c r="AP34" s="547" t="n">
        <v>0</v>
      </c>
      <c r="AQ34" s="547" t="n">
        <v>0</v>
      </c>
      <c r="AR34" s="547" t="n">
        <v>0</v>
      </c>
      <c r="AS34" s="547" t="n">
        <v>0</v>
      </c>
      <c r="AT34" s="547" t="n">
        <v>0</v>
      </c>
      <c r="AU34" s="547" t="n">
        <v>0</v>
      </c>
      <c r="AV34" s="547" t="n">
        <v>0</v>
      </c>
      <c r="AW34" s="547" t="n">
        <v>0</v>
      </c>
      <c r="AX34" s="547" t="n">
        <v>0</v>
      </c>
      <c r="AZ34" s="494">
        <f>SUM(AM34:AX34)</f>
        <v/>
      </c>
      <c r="BA34" s="507" t="n"/>
      <c r="BB34" s="547" t="n">
        <v>0</v>
      </c>
      <c r="BC34" s="547" t="n">
        <v>0</v>
      </c>
      <c r="BD34" s="547" t="n">
        <v>0</v>
      </c>
      <c r="BE34" s="547" t="n">
        <v>0</v>
      </c>
      <c r="BF34" s="547" t="n">
        <v>0</v>
      </c>
      <c r="BG34" s="547" t="n">
        <v>0</v>
      </c>
      <c r="BH34" s="547" t="n">
        <v>0</v>
      </c>
      <c r="BI34" s="547" t="n">
        <v>0</v>
      </c>
      <c r="BJ34" s="547" t="n">
        <v>0</v>
      </c>
      <c r="BK34" s="547" t="n">
        <v>0</v>
      </c>
      <c r="BL34" s="547" t="n">
        <v>0</v>
      </c>
      <c r="BM34" s="547" t="n">
        <v>0</v>
      </c>
      <c r="BO34" s="494">
        <f>SUM(BB34:BM34)</f>
        <v/>
      </c>
      <c r="BP34" s="507" t="n"/>
      <c r="BQ34" s="547" t="n">
        <v>0</v>
      </c>
      <c r="BR34" s="547" t="n">
        <v>0</v>
      </c>
      <c r="BS34" s="547" t="n">
        <v>0</v>
      </c>
      <c r="BT34" s="547" t="n">
        <v>0</v>
      </c>
      <c r="BU34" s="547" t="n">
        <v>0</v>
      </c>
      <c r="BV34" s="547" t="n">
        <v>0</v>
      </c>
      <c r="BW34" s="547" t="n">
        <v>0</v>
      </c>
      <c r="BX34" s="547" t="n">
        <v>0</v>
      </c>
      <c r="BY34" s="547" t="n">
        <v>0</v>
      </c>
      <c r="BZ34" s="547" t="n">
        <v>0</v>
      </c>
      <c r="CA34" s="547" t="n">
        <v>0</v>
      </c>
      <c r="CB34" s="547" t="n">
        <v>0</v>
      </c>
      <c r="CD34" s="494">
        <f>SUM(BQ34:CB34)</f>
        <v/>
      </c>
      <c r="CE34" s="507" t="n"/>
      <c r="CF34" s="547" t="n">
        <v>0</v>
      </c>
      <c r="CG34" s="547" t="n">
        <v>0</v>
      </c>
      <c r="CH34" s="547" t="n">
        <v>0</v>
      </c>
      <c r="CI34" s="547" t="n">
        <v>0</v>
      </c>
      <c r="CJ34" s="547" t="n">
        <v>0</v>
      </c>
      <c r="CK34" s="547" t="n">
        <v>0</v>
      </c>
      <c r="CL34" s="547" t="n">
        <v>0</v>
      </c>
      <c r="CM34" s="547" t="n">
        <v>0</v>
      </c>
      <c r="CN34" s="547" t="n">
        <v>0</v>
      </c>
      <c r="CO34" s="547" t="n">
        <v>0</v>
      </c>
      <c r="CP34" s="547" t="n">
        <v>0</v>
      </c>
      <c r="CQ34" s="547" t="n">
        <v>0</v>
      </c>
      <c r="CS34" s="494">
        <f>SUM(CF34:CQ34)</f>
        <v/>
      </c>
      <c r="CU34" s="547" t="n"/>
      <c r="CV34" s="547" t="n"/>
      <c r="CW34" s="547" t="n"/>
      <c r="CX34" s="547" t="n"/>
    </row>
    <row r="35" ht="15" customHeight="1" s="1883">
      <c r="V35" s="831">
        <f>SUM(I35:T35)</f>
        <v/>
      </c>
      <c r="AK35" s="494">
        <f>SUM(X35:AI35)</f>
        <v/>
      </c>
      <c r="AZ35" s="494">
        <f>SUM(AM35:AX35)</f>
        <v/>
      </c>
      <c r="BO35" s="494">
        <f>SUM(BB35:BM35)</f>
        <v/>
      </c>
      <c r="CD35" s="494">
        <f>SUM(BQ35:CB35)</f>
        <v/>
      </c>
      <c r="CS35" s="494">
        <f>SUM(CF35:CQ35)</f>
        <v/>
      </c>
      <c r="CU35" s="547" t="n"/>
      <c r="CV35" s="547" t="n"/>
      <c r="CW35" s="547" t="n"/>
      <c r="CX35" s="547" t="n"/>
    </row>
    <row r="36" ht="15" customHeight="1" s="1883">
      <c r="V36" s="831">
        <f>SUM(I36:T36)</f>
        <v/>
      </c>
      <c r="AK36" s="494">
        <f>SUM(X36:AI36)</f>
        <v/>
      </c>
      <c r="AZ36" s="494">
        <f>SUM(AM36:AX36)</f>
        <v/>
      </c>
      <c r="BO36" s="494">
        <f>SUM(BB36:BM36)</f>
        <v/>
      </c>
      <c r="CD36" s="494">
        <f>SUM(BQ36:CB36)</f>
        <v/>
      </c>
      <c r="CS36" s="494">
        <f>SUM(CF36:CQ36)</f>
        <v/>
      </c>
      <c r="CU36" s="547" t="n"/>
      <c r="CV36" s="547" t="n"/>
      <c r="CW36" s="547" t="n"/>
      <c r="CX36" s="547" t="n"/>
    </row>
    <row r="37" ht="15" customHeight="1" s="1883">
      <c r="B37" s="835" t="n"/>
      <c r="C37" s="383" t="n"/>
      <c r="D37" s="385" t="inlineStr">
        <is>
          <t>Total Cash Disbursements</t>
        </is>
      </c>
      <c r="E37" s="386" t="n"/>
      <c r="F37" s="386" t="n"/>
      <c r="G37" s="386" t="n"/>
      <c r="H37" s="386" t="n"/>
      <c r="I37" s="831">
        <f>SUM(I25:I34)</f>
        <v/>
      </c>
      <c r="J37" s="831">
        <f>SUM(J25:J34)</f>
        <v/>
      </c>
      <c r="K37" s="831">
        <f>SUM(K25:K34)</f>
        <v/>
      </c>
      <c r="L37" s="831">
        <f>SUM(L25:L34)</f>
        <v/>
      </c>
      <c r="M37" s="831">
        <f>SUM(M25:M34)</f>
        <v/>
      </c>
      <c r="N37" s="831">
        <f>SUM(N25:N34)</f>
        <v/>
      </c>
      <c r="O37" s="831">
        <f>SUM(O25:O34)</f>
        <v/>
      </c>
      <c r="P37" s="831">
        <f>SUM(P25:P34)</f>
        <v/>
      </c>
      <c r="Q37" s="831">
        <f>SUM(Q25:Q34)</f>
        <v/>
      </c>
      <c r="R37" s="831">
        <f>SUM(R25:R34)</f>
        <v/>
      </c>
      <c r="S37" s="831">
        <f>SUM(S25:S34)</f>
        <v/>
      </c>
      <c r="T37" s="831">
        <f>SUM(T25:T34)</f>
        <v/>
      </c>
      <c r="U37" s="831" t="n"/>
      <c r="V37" s="831">
        <f>SUM(V25:V34)</f>
        <v/>
      </c>
      <c r="W37" s="386" t="n"/>
      <c r="X37" s="831">
        <f>SUM(X25:X34)</f>
        <v/>
      </c>
      <c r="Y37" s="831">
        <f>SUM(Y25:Y34)</f>
        <v/>
      </c>
      <c r="Z37" s="831">
        <f>SUM(Z25:Z34)</f>
        <v/>
      </c>
      <c r="AA37" s="831">
        <f>SUM(AA25:AA34)</f>
        <v/>
      </c>
      <c r="AB37" s="831">
        <f>SUM(AB25:AB34)</f>
        <v/>
      </c>
      <c r="AC37" s="831">
        <f>SUM(AC25:AC34)</f>
        <v/>
      </c>
      <c r="AD37" s="831">
        <f>SUM(AD25:AD34)</f>
        <v/>
      </c>
      <c r="AE37" s="831">
        <f>SUM(AE25:AE34)</f>
        <v/>
      </c>
      <c r="AF37" s="831">
        <f>SUM(AF25:AF34)</f>
        <v/>
      </c>
      <c r="AG37" s="831">
        <f>SUM(AG25:AG34)</f>
        <v/>
      </c>
      <c r="AH37" s="831">
        <f>SUM(AH25:AH34)</f>
        <v/>
      </c>
      <c r="AI37" s="831">
        <f>SUM(AI25:AI34)</f>
        <v/>
      </c>
      <c r="AJ37" s="831" t="n"/>
      <c r="AK37" s="831">
        <f>SUM(AK25:AK34)</f>
        <v/>
      </c>
      <c r="AL37" s="831" t="n"/>
      <c r="AM37" s="831">
        <f>SUM(AM25:AM34)</f>
        <v/>
      </c>
      <c r="AN37" s="831">
        <f>SUM(AN25:AN34)</f>
        <v/>
      </c>
      <c r="AO37" s="831">
        <f>SUM(AO25:AO34)</f>
        <v/>
      </c>
      <c r="AP37" s="831">
        <f>SUM(AP25:AP34)</f>
        <v/>
      </c>
      <c r="AQ37" s="831">
        <f>SUM(AQ25:AQ34)</f>
        <v/>
      </c>
      <c r="AR37" s="831">
        <f>SUM(AR25:AR34)</f>
        <v/>
      </c>
      <c r="AS37" s="831">
        <f>SUM(AS25:AS34)</f>
        <v/>
      </c>
      <c r="AT37" s="831">
        <f>SUM(AT25:AT34)</f>
        <v/>
      </c>
      <c r="AU37" s="831">
        <f>SUM(AU25:AU34)</f>
        <v/>
      </c>
      <c r="AV37" s="831">
        <f>SUM(AV25:AV34)</f>
        <v/>
      </c>
      <c r="AW37" s="831">
        <f>SUM(AW25:AW34)</f>
        <v/>
      </c>
      <c r="AX37" s="831">
        <f>SUM(AX25:AX34)</f>
        <v/>
      </c>
      <c r="AY37" s="831" t="n"/>
      <c r="AZ37" s="831">
        <f>SUM(AZ25:AZ34)</f>
        <v/>
      </c>
      <c r="BA37" s="507" t="n"/>
      <c r="BB37" s="831">
        <f>SUM(BB25:BB34)</f>
        <v/>
      </c>
      <c r="BC37" s="831">
        <f>SUM(BC25:BC34)</f>
        <v/>
      </c>
      <c r="BD37" s="831">
        <f>SUM(BD25:BD34)</f>
        <v/>
      </c>
      <c r="BE37" s="831">
        <f>SUM(BE25:BE34)</f>
        <v/>
      </c>
      <c r="BF37" s="831">
        <f>SUM(BF25:BF34)</f>
        <v/>
      </c>
      <c r="BG37" s="831">
        <f>SUM(BG25:BG34)</f>
        <v/>
      </c>
      <c r="BH37" s="831">
        <f>SUM(BH25:BH34)</f>
        <v/>
      </c>
      <c r="BI37" s="831">
        <f>SUM(BI25:BI34)</f>
        <v/>
      </c>
      <c r="BJ37" s="831">
        <f>SUM(BJ25:BJ34)</f>
        <v/>
      </c>
      <c r="BK37" s="831">
        <f>SUM(BK25:BK34)</f>
        <v/>
      </c>
      <c r="BL37" s="831">
        <f>SUM(BL25:BL34)</f>
        <v/>
      </c>
      <c r="BM37" s="831">
        <f>SUM(BM25:BM34)</f>
        <v/>
      </c>
      <c r="BN37" s="831" t="n"/>
      <c r="BO37" s="831">
        <f>SUM(BO25:BO34)</f>
        <v/>
      </c>
      <c r="BP37" s="507" t="n"/>
      <c r="BQ37" s="831">
        <f>SUM(BQ25:BQ34)</f>
        <v/>
      </c>
      <c r="BR37" s="831">
        <f>SUM(BR25:BR34)</f>
        <v/>
      </c>
      <c r="BS37" s="831">
        <f>SUM(BS25:BS34)</f>
        <v/>
      </c>
      <c r="BT37" s="831">
        <f>SUM(BT25:BT34)</f>
        <v/>
      </c>
      <c r="BU37" s="831">
        <f>SUM(BU25:BU34)</f>
        <v/>
      </c>
      <c r="BV37" s="831">
        <f>SUM(BV25:BV34)</f>
        <v/>
      </c>
      <c r="BW37" s="831">
        <f>SUM(BW25:BW34)</f>
        <v/>
      </c>
      <c r="BX37" s="831">
        <f>SUM(BX25:BX34)</f>
        <v/>
      </c>
      <c r="BY37" s="831">
        <f>SUM(BY25:BY34)</f>
        <v/>
      </c>
      <c r="BZ37" s="831">
        <f>SUM(BZ25:BZ34)</f>
        <v/>
      </c>
      <c r="CA37" s="831">
        <f>SUM(CA25:CA34)</f>
        <v/>
      </c>
      <c r="CB37" s="831">
        <f>SUM(CB25:CB34)</f>
        <v/>
      </c>
      <c r="CC37" s="831" t="n"/>
      <c r="CD37" s="831">
        <f>SUM(CD25:CD34)</f>
        <v/>
      </c>
      <c r="CE37" s="507" t="n"/>
      <c r="CF37" s="831">
        <f>SUM(CF25:CF34)</f>
        <v/>
      </c>
      <c r="CG37" s="831">
        <f>SUM(CG25:CG34)</f>
        <v/>
      </c>
      <c r="CH37" s="831">
        <f>SUM(CH25:CH34)</f>
        <v/>
      </c>
      <c r="CI37" s="831">
        <f>SUM(CI25:CI34)</f>
        <v/>
      </c>
      <c r="CJ37" s="831">
        <f>SUM(CJ25:CJ34)</f>
        <v/>
      </c>
      <c r="CK37" s="831">
        <f>SUM(CK25:CK34)</f>
        <v/>
      </c>
      <c r="CL37" s="831">
        <f>SUM(CL25:CL34)</f>
        <v/>
      </c>
      <c r="CM37" s="831">
        <f>SUM(CM25:CM34)</f>
        <v/>
      </c>
      <c r="CN37" s="831">
        <f>SUM(CN25:CN34)</f>
        <v/>
      </c>
      <c r="CO37" s="831">
        <f>SUM(CO25:CO34)</f>
        <v/>
      </c>
      <c r="CP37" s="831">
        <f>SUM(CP25:CP34)</f>
        <v/>
      </c>
      <c r="CQ37" s="831">
        <f>SUM(CQ25:CQ34)</f>
        <v/>
      </c>
      <c r="CR37" s="831" t="n"/>
      <c r="CS37" s="831">
        <f>SUM(CS25:CS34)</f>
        <v/>
      </c>
      <c r="CU37" s="547" t="n"/>
      <c r="CV37" s="547" t="n"/>
      <c r="CW37" s="547" t="n"/>
      <c r="CX37" s="547" t="n"/>
    </row>
    <row r="38" ht="3" customHeight="1" s="1883">
      <c r="B38" s="835" t="n"/>
      <c r="C38" s="383" t="n"/>
      <c r="D38" s="385" t="n"/>
      <c r="E38" s="386" t="n"/>
      <c r="F38" s="386" t="n"/>
      <c r="G38" s="386" t="n"/>
      <c r="H38" s="386" t="n"/>
      <c r="I38" s="840" t="n"/>
      <c r="J38" s="840" t="n"/>
      <c r="K38" s="840" t="n"/>
      <c r="L38" s="840" t="n"/>
      <c r="M38" s="840" t="n"/>
      <c r="N38" s="840" t="n"/>
      <c r="O38" s="840" t="n"/>
      <c r="P38" s="840" t="n"/>
      <c r="Q38" s="840" t="n"/>
      <c r="R38" s="840" t="n"/>
      <c r="S38" s="840" t="n"/>
      <c r="T38" s="840" t="n"/>
      <c r="U38" s="386" t="n"/>
      <c r="V38" s="840" t="n"/>
      <c r="W38" s="386" t="n"/>
      <c r="X38" s="840" t="n"/>
      <c r="Y38" s="840" t="n"/>
      <c r="Z38" s="840" t="n"/>
      <c r="AA38" s="840" t="n"/>
      <c r="AB38" s="840" t="n"/>
      <c r="AC38" s="840" t="n"/>
      <c r="AD38" s="840" t="n"/>
      <c r="AE38" s="840" t="n"/>
      <c r="AF38" s="840" t="n"/>
      <c r="AG38" s="840" t="n"/>
      <c r="AH38" s="840" t="n"/>
      <c r="AI38" s="840" t="n"/>
      <c r="AJ38" s="831" t="n"/>
      <c r="AK38" s="840" t="n"/>
      <c r="AL38" s="831" t="n"/>
      <c r="AM38" s="840" t="n"/>
      <c r="AN38" s="840" t="n"/>
      <c r="AO38" s="840" t="n"/>
      <c r="AP38" s="840" t="n"/>
      <c r="AQ38" s="840" t="n"/>
      <c r="AR38" s="840" t="n"/>
      <c r="AS38" s="840" t="n"/>
      <c r="AT38" s="840" t="n"/>
      <c r="AU38" s="840" t="n"/>
      <c r="AV38" s="840" t="n"/>
      <c r="AW38" s="840" t="n"/>
      <c r="AX38" s="840" t="n"/>
      <c r="AY38" s="831" t="n"/>
      <c r="AZ38" s="840" t="n"/>
      <c r="BA38" s="507" t="n"/>
      <c r="BB38" s="840" t="n"/>
      <c r="BC38" s="840" t="n"/>
      <c r="BD38" s="840" t="n"/>
      <c r="BE38" s="840" t="n"/>
      <c r="BF38" s="840" t="n"/>
      <c r="BG38" s="840" t="n"/>
      <c r="BH38" s="840" t="n"/>
      <c r="BI38" s="840" t="n"/>
      <c r="BJ38" s="840" t="n"/>
      <c r="BK38" s="840" t="n"/>
      <c r="BL38" s="840" t="n"/>
      <c r="BM38" s="840" t="n"/>
      <c r="BN38" s="831" t="n"/>
      <c r="BO38" s="840" t="n"/>
      <c r="BP38" s="507" t="n"/>
      <c r="BQ38" s="840" t="n"/>
      <c r="BR38" s="840" t="n"/>
      <c r="BS38" s="840" t="n"/>
      <c r="BT38" s="840" t="n"/>
      <c r="BU38" s="840" t="n"/>
      <c r="BV38" s="840" t="n"/>
      <c r="BW38" s="840" t="n"/>
      <c r="BX38" s="840" t="n"/>
      <c r="BY38" s="840" t="n"/>
      <c r="BZ38" s="840" t="n"/>
      <c r="CA38" s="840" t="n"/>
      <c r="CB38" s="840" t="n"/>
      <c r="CC38" s="831" t="n"/>
      <c r="CD38" s="840" t="n"/>
      <c r="CE38" s="507" t="n"/>
      <c r="CF38" s="840" t="n"/>
      <c r="CG38" s="840" t="n"/>
      <c r="CH38" s="840" t="n"/>
      <c r="CI38" s="840" t="n"/>
      <c r="CJ38" s="840" t="n"/>
      <c r="CK38" s="840" t="n"/>
      <c r="CL38" s="840" t="n"/>
      <c r="CM38" s="840" t="n"/>
      <c r="CN38" s="840" t="n"/>
      <c r="CO38" s="840" t="n"/>
      <c r="CP38" s="840" t="n"/>
      <c r="CQ38" s="840" t="n"/>
      <c r="CR38" s="831" t="n"/>
      <c r="CS38" s="840" t="n"/>
      <c r="CU38" s="547" t="n"/>
      <c r="CV38" s="547" t="n"/>
      <c r="CW38" s="547" t="n"/>
      <c r="CX38" s="547" t="n"/>
    </row>
    <row r="39" ht="3" customHeight="1" s="1883">
      <c r="B39" s="835" t="n"/>
      <c r="C39" s="383" t="n"/>
      <c r="D39" s="385" t="n"/>
      <c r="E39" s="386" t="n"/>
      <c r="F39" s="386" t="n"/>
      <c r="G39" s="386" t="n"/>
      <c r="H39" s="386" t="n"/>
      <c r="I39" s="831" t="n"/>
      <c r="J39" s="831" t="n"/>
      <c r="K39" s="831" t="n"/>
      <c r="L39" s="831" t="n"/>
      <c r="M39" s="831" t="n"/>
      <c r="N39" s="831" t="n"/>
      <c r="O39" s="831" t="n"/>
      <c r="P39" s="831" t="n"/>
      <c r="Q39" s="831" t="n"/>
      <c r="R39" s="831" t="n"/>
      <c r="S39" s="831" t="n"/>
      <c r="T39" s="831" t="n"/>
      <c r="U39" s="386" t="n"/>
      <c r="V39" s="831" t="n"/>
      <c r="W39" s="386" t="n"/>
      <c r="X39" s="831" t="n"/>
      <c r="Y39" s="831" t="n"/>
      <c r="Z39" s="831" t="n"/>
      <c r="AA39" s="831" t="n"/>
      <c r="AB39" s="831" t="n"/>
      <c r="AC39" s="831" t="n"/>
      <c r="AD39" s="831" t="n"/>
      <c r="AE39" s="831" t="n"/>
      <c r="AF39" s="831" t="n"/>
      <c r="AG39" s="831" t="n"/>
      <c r="AH39" s="831" t="n"/>
      <c r="AI39" s="831" t="n"/>
      <c r="AJ39" s="831" t="n"/>
      <c r="AK39" s="831" t="n"/>
      <c r="AL39" s="831" t="n"/>
      <c r="AM39" s="831" t="n"/>
      <c r="AN39" s="831" t="n"/>
      <c r="AO39" s="831" t="n"/>
      <c r="AP39" s="831" t="n"/>
      <c r="AQ39" s="831" t="n"/>
      <c r="AR39" s="831" t="n"/>
      <c r="AS39" s="831" t="n"/>
      <c r="AT39" s="831" t="n"/>
      <c r="AU39" s="831" t="n"/>
      <c r="AV39" s="831" t="n"/>
      <c r="AW39" s="831" t="n"/>
      <c r="AX39" s="831" t="n"/>
      <c r="AY39" s="831" t="n"/>
      <c r="AZ39" s="831" t="n"/>
      <c r="BA39" s="507" t="n"/>
      <c r="BB39" s="831" t="n"/>
      <c r="BC39" s="831" t="n"/>
      <c r="BD39" s="831" t="n"/>
      <c r="BE39" s="831" t="n"/>
      <c r="BF39" s="831" t="n"/>
      <c r="BG39" s="831" t="n"/>
      <c r="BH39" s="831" t="n"/>
      <c r="BI39" s="831" t="n"/>
      <c r="BJ39" s="831" t="n"/>
      <c r="BK39" s="831" t="n"/>
      <c r="BL39" s="831" t="n"/>
      <c r="BM39" s="831" t="n"/>
      <c r="BN39" s="831" t="n"/>
      <c r="BO39" s="831" t="n"/>
      <c r="BP39" s="507" t="n"/>
      <c r="BQ39" s="831" t="n"/>
      <c r="BR39" s="831" t="n"/>
      <c r="BS39" s="831" t="n"/>
      <c r="BT39" s="831" t="n"/>
      <c r="BU39" s="831" t="n"/>
      <c r="BV39" s="831" t="n"/>
      <c r="BW39" s="831" t="n"/>
      <c r="BX39" s="831" t="n"/>
      <c r="BY39" s="831" t="n"/>
      <c r="BZ39" s="831" t="n"/>
      <c r="CA39" s="831" t="n"/>
      <c r="CB39" s="831" t="n"/>
      <c r="CC39" s="831" t="n"/>
      <c r="CD39" s="831" t="n"/>
      <c r="CE39" s="507" t="n"/>
      <c r="CF39" s="831" t="n"/>
      <c r="CG39" s="831" t="n"/>
      <c r="CH39" s="831" t="n"/>
      <c r="CI39" s="831" t="n"/>
      <c r="CJ39" s="831" t="n"/>
      <c r="CK39" s="831" t="n"/>
      <c r="CL39" s="831" t="n"/>
      <c r="CM39" s="831" t="n"/>
      <c r="CN39" s="831" t="n"/>
      <c r="CO39" s="831" t="n"/>
      <c r="CP39" s="831" t="n"/>
      <c r="CQ39" s="831" t="n"/>
      <c r="CR39" s="831" t="n"/>
      <c r="CS39" s="831" t="n"/>
      <c r="CU39" s="547" t="n"/>
      <c r="CV39" s="547" t="n"/>
      <c r="CW39" s="547" t="n"/>
      <c r="CX39" s="547" t="n"/>
    </row>
    <row r="40" ht="15" customHeight="1" s="1883">
      <c r="B40" s="835" t="n"/>
      <c r="C40" s="383" t="n"/>
      <c r="D40" s="383" t="n"/>
      <c r="E40" s="386" t="n"/>
      <c r="F40" s="386" t="n"/>
      <c r="G40" s="386" t="n"/>
      <c r="H40" s="386" t="n"/>
      <c r="I40" s="831" t="n"/>
      <c r="J40" s="831" t="n"/>
      <c r="K40" s="831" t="n"/>
      <c r="L40" s="831" t="n"/>
      <c r="M40" s="831" t="n"/>
      <c r="N40" s="831" t="n"/>
      <c r="O40" s="831" t="n"/>
      <c r="P40" s="831" t="n"/>
      <c r="Q40" s="831" t="n"/>
      <c r="R40" s="831" t="n"/>
      <c r="S40" s="831" t="n"/>
      <c r="T40" s="831" t="n"/>
      <c r="U40" s="386" t="n"/>
      <c r="V40" s="1721">
        <f>V37-5000000</f>
        <v/>
      </c>
      <c r="W40" s="386" t="n"/>
      <c r="X40" s="831" t="n"/>
      <c r="Y40" s="831" t="n"/>
      <c r="Z40" s="831" t="n"/>
      <c r="AA40" s="831" t="n"/>
      <c r="AB40" s="831" t="n"/>
      <c r="AC40" s="831" t="n"/>
      <c r="AD40" s="831" t="n"/>
      <c r="AE40" s="831" t="n"/>
      <c r="AF40" s="831" t="n"/>
      <c r="AG40" s="831" t="n"/>
      <c r="AH40" s="831" t="n"/>
      <c r="AI40" s="831" t="n"/>
      <c r="AJ40" s="831" t="n"/>
      <c r="AK40" s="1721">
        <f>AK37-(Y32)+'2D. Crowd Funding'!G40</f>
        <v/>
      </c>
      <c r="AL40" s="831" t="n"/>
      <c r="AM40" s="831" t="n"/>
      <c r="AN40" s="831" t="n"/>
      <c r="AO40" s="831" t="n"/>
      <c r="AP40" s="831" t="n"/>
      <c r="AQ40" s="831" t="n"/>
      <c r="AR40" s="831" t="n"/>
      <c r="AS40" s="831" t="n"/>
      <c r="AT40" s="831" t="n"/>
      <c r="AU40" s="831" t="n"/>
      <c r="AV40" s="831" t="n"/>
      <c r="AW40" s="831" t="n"/>
      <c r="AX40" s="831" t="n"/>
      <c r="AY40" s="831" t="n"/>
      <c r="AZ40" s="1721">
        <f>AZ37-AN32</f>
        <v/>
      </c>
      <c r="BA40" s="507" t="n"/>
      <c r="BB40" s="831" t="n"/>
      <c r="BC40" s="831" t="n"/>
      <c r="BD40" s="831" t="n"/>
      <c r="BE40" s="831" t="n"/>
      <c r="BF40" s="831" t="n"/>
      <c r="BG40" s="831" t="n"/>
      <c r="BH40" s="831" t="n"/>
      <c r="BI40" s="831" t="n"/>
      <c r="BJ40" s="831" t="n"/>
      <c r="BK40" s="831" t="n"/>
      <c r="BL40" s="831" t="n"/>
      <c r="BM40" s="831" t="n"/>
      <c r="BN40" s="831" t="n"/>
      <c r="BO40" s="1721">
        <f>BO37-BC32</f>
        <v/>
      </c>
      <c r="BP40" s="507" t="n"/>
      <c r="BQ40" s="831" t="n"/>
      <c r="BR40" s="831" t="n"/>
      <c r="BS40" s="831" t="n"/>
      <c r="BT40" s="831" t="n"/>
      <c r="BU40" s="831" t="n"/>
      <c r="BV40" s="831" t="n"/>
      <c r="BW40" s="831" t="n"/>
      <c r="BX40" s="831" t="n"/>
      <c r="BY40" s="831" t="n"/>
      <c r="BZ40" s="831" t="n"/>
      <c r="CA40" s="831" t="n"/>
      <c r="CB40" s="831" t="n"/>
      <c r="CC40" s="831" t="n"/>
      <c r="CD40" s="1721">
        <f>CD37-BR32</f>
        <v/>
      </c>
      <c r="CE40" s="507" t="n"/>
      <c r="CF40" s="831" t="n"/>
      <c r="CG40" s="831" t="n"/>
      <c r="CH40" s="831" t="n"/>
      <c r="CI40" s="831" t="n"/>
      <c r="CJ40" s="831" t="n"/>
      <c r="CK40" s="831" t="n"/>
      <c r="CL40" s="831" t="n"/>
      <c r="CM40" s="831" t="n"/>
      <c r="CN40" s="831" t="n"/>
      <c r="CO40" s="831" t="n"/>
      <c r="CP40" s="831" t="n"/>
      <c r="CQ40" s="831" t="n"/>
      <c r="CR40" s="831" t="n"/>
      <c r="CS40" s="1721">
        <f>CS37-CG32</f>
        <v/>
      </c>
      <c r="CU40" s="547" t="n"/>
      <c r="CV40" s="547" t="n"/>
      <c r="CW40" s="547" t="n"/>
      <c r="CX40" s="547" t="n"/>
    </row>
    <row r="41" ht="15" customHeight="1" s="1883">
      <c r="B41" s="383" t="n"/>
      <c r="C41" s="383" t="n"/>
      <c r="D41" s="383" t="n"/>
      <c r="E41" s="386" t="n"/>
      <c r="F41" s="386" t="n"/>
      <c r="G41" s="386" t="n"/>
      <c r="H41" s="386" t="n"/>
      <c r="I41" s="831" t="n"/>
      <c r="J41" s="831" t="n"/>
      <c r="K41" s="831" t="n"/>
      <c r="L41" s="831" t="n"/>
      <c r="M41" s="831" t="n"/>
      <c r="N41" s="831" t="n"/>
      <c r="O41" s="831" t="n"/>
      <c r="P41" s="831" t="n"/>
      <c r="Q41" s="831" t="n"/>
      <c r="R41" s="831" t="n"/>
      <c r="S41" s="831" t="n"/>
      <c r="T41" s="831" t="inlineStr">
        <is>
          <t>Core Model</t>
        </is>
      </c>
      <c r="U41" s="386" t="n"/>
      <c r="V41" s="1721">
        <f>V25+V29+V26+V28</f>
        <v/>
      </c>
      <c r="W41" s="386" t="n"/>
      <c r="X41" s="831" t="n"/>
      <c r="Y41" s="831" t="n"/>
      <c r="Z41" s="831" t="n"/>
      <c r="AA41" s="831" t="n"/>
      <c r="AB41" s="831" t="n"/>
      <c r="AC41" s="831" t="n"/>
      <c r="AD41" s="831" t="n"/>
      <c r="AE41" s="831" t="n"/>
      <c r="AF41" s="831" t="n"/>
      <c r="AG41" s="831" t="n"/>
      <c r="AH41" s="831" t="n"/>
      <c r="AI41" s="831" t="inlineStr">
        <is>
          <t>Core Model</t>
        </is>
      </c>
      <c r="AJ41" s="386" t="n"/>
      <c r="AK41" s="1721">
        <f>AK25+AK29+AK26+AK28+'2D. Crowd Funding'!G40</f>
        <v/>
      </c>
      <c r="AL41" s="831" t="n"/>
      <c r="AM41" s="831" t="n"/>
      <c r="AN41" s="831" t="n"/>
      <c r="AO41" s="831" t="n"/>
      <c r="AP41" s="507" t="n"/>
      <c r="AQ41" s="507" t="n"/>
      <c r="AR41" s="507" t="n"/>
      <c r="AS41" s="507" t="n"/>
      <c r="AT41" s="507" t="n"/>
      <c r="AU41" s="507" t="n"/>
      <c r="AV41" s="507" t="n"/>
      <c r="AW41" s="507" t="n"/>
      <c r="AX41" s="831" t="inlineStr">
        <is>
          <t>Core Model</t>
        </is>
      </c>
      <c r="AY41" s="386" t="n"/>
      <c r="AZ41" s="1721">
        <f>AZ25+AZ29+AZ26+AZ28</f>
        <v/>
      </c>
      <c r="BA41" s="507" t="n"/>
      <c r="BB41" s="507" t="n"/>
      <c r="BC41" s="507" t="n"/>
      <c r="BD41" s="507" t="n"/>
      <c r="BE41" s="507" t="n"/>
      <c r="BF41" s="507" t="n"/>
      <c r="BG41" s="507" t="n"/>
      <c r="BH41" s="507" t="n"/>
      <c r="BI41" s="507" t="n"/>
      <c r="BJ41" s="507" t="n"/>
      <c r="BK41" s="507" t="n"/>
      <c r="BL41" s="507" t="n"/>
      <c r="BM41" s="831" t="inlineStr">
        <is>
          <t>Core Model</t>
        </is>
      </c>
      <c r="BN41" s="386" t="n"/>
      <c r="BO41" s="1721">
        <f>BO25+BO29+BO26+BO28</f>
        <v/>
      </c>
      <c r="BP41" s="507" t="n"/>
      <c r="BQ41" s="507" t="n"/>
      <c r="BR41" s="507" t="n"/>
      <c r="BS41" s="507" t="n"/>
      <c r="BT41" s="507" t="n"/>
      <c r="BU41" s="507" t="n"/>
      <c r="BV41" s="507" t="n"/>
      <c r="BW41" s="507" t="n"/>
      <c r="BX41" s="507" t="n"/>
      <c r="BY41" s="507" t="n"/>
      <c r="BZ41" s="507" t="n"/>
      <c r="CA41" s="507" t="n"/>
      <c r="CB41" s="831" t="inlineStr">
        <is>
          <t>Core Model</t>
        </is>
      </c>
      <c r="CC41" s="386" t="n"/>
      <c r="CD41" s="1721">
        <f>CD25+CD29+CD26+CD28</f>
        <v/>
      </c>
      <c r="CE41" s="507" t="n"/>
      <c r="CF41" s="507" t="n"/>
      <c r="CG41" s="507" t="n"/>
      <c r="CH41" s="507" t="n"/>
      <c r="CI41" s="507" t="n"/>
      <c r="CJ41" s="507" t="n"/>
      <c r="CK41" s="507" t="n"/>
      <c r="CL41" s="507" t="n"/>
      <c r="CM41" s="507" t="n"/>
      <c r="CN41" s="507" t="n"/>
      <c r="CO41" s="507" t="n"/>
      <c r="CP41" s="507" t="n"/>
      <c r="CQ41" s="831" t="inlineStr">
        <is>
          <t>Core Model</t>
        </is>
      </c>
      <c r="CR41" s="386" t="n"/>
      <c r="CS41" s="1721">
        <f>CS25+CS29+CS26+CS28</f>
        <v/>
      </c>
      <c r="CU41" s="547" t="n"/>
      <c r="CV41" s="547" t="n"/>
      <c r="CW41" s="547" t="n"/>
      <c r="CX41" s="547" t="n"/>
    </row>
    <row r="42" ht="15" customHeight="1" s="1883">
      <c r="B42" s="385" t="inlineStr">
        <is>
          <t>Cash Disbursements</t>
        </is>
      </c>
      <c r="C42" s="383" t="n"/>
      <c r="D42" s="383" t="n"/>
      <c r="E42" s="386" t="n"/>
      <c r="F42" s="386" t="n"/>
      <c r="G42" s="386" t="n"/>
      <c r="H42" s="386" t="n"/>
      <c r="I42" s="831" t="n"/>
      <c r="J42" s="831" t="n"/>
      <c r="K42" s="831" t="n"/>
      <c r="L42" s="831" t="n"/>
      <c r="M42" s="831" t="n"/>
      <c r="N42" s="831" t="n"/>
      <c r="O42" s="831" t="n"/>
      <c r="P42" s="831" t="n"/>
      <c r="Q42" s="831" t="n"/>
      <c r="R42" s="831" t="n"/>
      <c r="S42" s="831" t="n"/>
      <c r="T42" s="831" t="n"/>
      <c r="U42" s="386" t="n"/>
      <c r="V42" s="386" t="n"/>
      <c r="W42" s="386" t="n"/>
      <c r="X42" s="831" t="n"/>
      <c r="Y42" s="831" t="n"/>
      <c r="Z42" s="831" t="n"/>
      <c r="AA42" s="831" t="n"/>
      <c r="AB42" s="831" t="n"/>
      <c r="AC42" s="831" t="n"/>
      <c r="AD42" s="831" t="n"/>
      <c r="AE42" s="831" t="n"/>
      <c r="AF42" s="831" t="n"/>
      <c r="AG42" s="831" t="n"/>
      <c r="AH42" s="831" t="n"/>
      <c r="AI42" s="831" t="n"/>
      <c r="AJ42" s="831" t="n"/>
      <c r="AK42" s="831" t="n"/>
      <c r="AL42" s="831" t="n"/>
      <c r="AM42" s="831" t="n"/>
      <c r="AN42" s="831" t="n"/>
      <c r="AO42" s="831" t="n"/>
      <c r="AP42" s="507" t="n"/>
      <c r="AQ42" s="507" t="n"/>
      <c r="AR42" s="507" t="n"/>
      <c r="AS42" s="507" t="n"/>
      <c r="AT42" s="507" t="n"/>
      <c r="AU42" s="507" t="n"/>
      <c r="AV42" s="507" t="n"/>
      <c r="AW42" s="507" t="n"/>
      <c r="AX42" s="507" t="n"/>
      <c r="AY42" s="507" t="n"/>
      <c r="AZ42" s="831" t="n"/>
      <c r="BA42" s="507" t="n"/>
      <c r="BB42" s="507" t="n"/>
      <c r="BC42" s="507" t="n"/>
      <c r="BD42" s="507" t="n"/>
      <c r="BE42" s="507" t="n"/>
      <c r="BF42" s="507" t="n"/>
      <c r="BG42" s="507" t="n"/>
      <c r="BH42" s="507" t="n"/>
      <c r="BI42" s="507" t="n"/>
      <c r="BJ42" s="507" t="n"/>
      <c r="BK42" s="507" t="n"/>
      <c r="BL42" s="507" t="n"/>
      <c r="BM42" s="507" t="n"/>
      <c r="BN42" s="507" t="n"/>
      <c r="BO42" s="831" t="n"/>
      <c r="BP42" s="507" t="n"/>
      <c r="BQ42" s="507" t="n"/>
      <c r="BR42" s="507" t="n"/>
      <c r="BS42" s="507" t="n"/>
      <c r="BT42" s="507" t="n"/>
      <c r="BU42" s="507" t="n"/>
      <c r="BV42" s="507" t="n"/>
      <c r="BW42" s="507" t="n"/>
      <c r="BX42" s="507" t="n"/>
      <c r="BY42" s="507" t="n"/>
      <c r="BZ42" s="507" t="n"/>
      <c r="CA42" s="507" t="n"/>
      <c r="CB42" s="507" t="n"/>
      <c r="CC42" s="507" t="n"/>
      <c r="CD42" s="831" t="n"/>
      <c r="CE42" s="507" t="n"/>
      <c r="CF42" s="507" t="n"/>
      <c r="CG42" s="507" t="n"/>
      <c r="CH42" s="507" t="n"/>
      <c r="CI42" s="507" t="n"/>
      <c r="CJ42" s="507" t="n"/>
      <c r="CK42" s="507" t="n"/>
      <c r="CL42" s="507" t="n"/>
      <c r="CM42" s="507" t="n"/>
      <c r="CN42" s="507" t="n"/>
      <c r="CO42" s="507" t="n"/>
      <c r="CP42" s="507" t="n"/>
      <c r="CQ42" s="507" t="n"/>
      <c r="CR42" s="507" t="n"/>
      <c r="CS42" s="831" t="n"/>
      <c r="CU42" s="547" t="n"/>
      <c r="CV42" s="547" t="n"/>
      <c r="CW42" s="547" t="n"/>
      <c r="CX42" s="547" t="n"/>
    </row>
    <row r="43" ht="15" customHeight="1" s="1883">
      <c r="B43" s="835" t="inlineStr">
        <is>
          <t>●</t>
        </is>
      </c>
      <c r="C43" s="514" t="inlineStr">
        <is>
          <t>People Cost: Salaries, ER Payroll Taxes and EE Benefits</t>
        </is>
      </c>
      <c r="D43" s="514" t="n"/>
      <c r="E43" s="1728" t="n"/>
      <c r="F43" s="1728" t="n"/>
      <c r="G43" s="1728" t="n"/>
      <c r="H43" s="386" t="n"/>
      <c r="I43" s="547">
        <f>'6A. Pre-Launch Exps. - Roll-Up'!K35</f>
        <v/>
      </c>
      <c r="J43" s="547">
        <f>'6A. Pre-Launch Exps. - Roll-Up'!L35</f>
        <v/>
      </c>
      <c r="K43" s="547">
        <f>'6A. Pre-Launch Exps. - Roll-Up'!M35</f>
        <v/>
      </c>
      <c r="L43" s="547">
        <f>'6A. Pre-Launch Exps. - Roll-Up'!N35</f>
        <v/>
      </c>
      <c r="M43" s="547">
        <f>'6A. Pre-Launch Exps. - Roll-Up'!O35</f>
        <v/>
      </c>
      <c r="N43" s="547">
        <f>'6A. Pre-Launch Exps. - Roll-Up'!P35</f>
        <v/>
      </c>
      <c r="O43" s="547">
        <f>'6A. Pre-Launch Exps. - Roll-Up'!Q35</f>
        <v/>
      </c>
      <c r="P43" s="547">
        <f>'6A. Pre-Launch Exps. - Roll-Up'!R35</f>
        <v/>
      </c>
      <c r="Q43" s="547">
        <f>'6A. Pre-Launch Exps. - Roll-Up'!S35</f>
        <v/>
      </c>
      <c r="R43" s="547">
        <f>'6A. Pre-Launch Exps. - Roll-Up'!T35</f>
        <v/>
      </c>
      <c r="S43" s="547">
        <f>'6A. Pre-Launch Exps. - Roll-Up'!U35</f>
        <v/>
      </c>
      <c r="T43" s="547">
        <f>'6A. Pre-Launch Exps. - Roll-Up'!V35</f>
        <v/>
      </c>
      <c r="U43" s="386" t="n"/>
      <c r="V43" s="1716">
        <f>SUM(I43:T43)</f>
        <v/>
      </c>
      <c r="W43" s="386" t="n"/>
      <c r="X43" s="547">
        <f>'4A. Tel. - Exps. &amp; OI x Month'!$L41</f>
        <v/>
      </c>
      <c r="Y43" s="547">
        <f>'4A. Tel. - Exps. &amp; OI x Month'!$M41</f>
        <v/>
      </c>
      <c r="Z43" s="547">
        <f>'4A. Tel. - Exps. &amp; OI x Month'!$N41</f>
        <v/>
      </c>
      <c r="AA43" s="547">
        <f>'4A. Tel. - Exps. &amp; OI x Month'!$O41</f>
        <v/>
      </c>
      <c r="AB43" s="547">
        <f>'4A. Tel. - Exps. &amp; OI x Month'!$P41</f>
        <v/>
      </c>
      <c r="AC43" s="547">
        <f>'4A. Tel. - Exps. &amp; OI x Month'!$Q41</f>
        <v/>
      </c>
      <c r="AD43" s="547">
        <f>'4A. Tel. - Exps. &amp; OI x Month'!$R41</f>
        <v/>
      </c>
      <c r="AE43" s="547">
        <f>'4A. Tel. - Exps. &amp; OI x Month'!$S41</f>
        <v/>
      </c>
      <c r="AF43" s="547">
        <f>'4A. Tel. - Exps. &amp; OI x Month'!$T41</f>
        <v/>
      </c>
      <c r="AG43" s="547">
        <f>'4A. Tel. - Exps. &amp; OI x Month'!$U41</f>
        <v/>
      </c>
      <c r="AH43" s="547">
        <f>'4A. Tel. - Exps. &amp; OI x Month'!$V41</f>
        <v/>
      </c>
      <c r="AI43" s="547">
        <f>'4A. Tel. - Exps. &amp; OI x Month'!$W41</f>
        <v/>
      </c>
      <c r="AJ43" s="386" t="n"/>
      <c r="AK43" s="1716">
        <f>SUM(X43:AI43)</f>
        <v/>
      </c>
      <c r="AL43" s="386" t="n"/>
      <c r="AM43" s="547">
        <f>'4A. Tel. - Exps. &amp; OI x Month'!$L133</f>
        <v/>
      </c>
      <c r="AN43" s="547">
        <f>'4A. Tel. - Exps. &amp; OI x Month'!$M133</f>
        <v/>
      </c>
      <c r="AO43" s="547">
        <f>'4A. Tel. - Exps. &amp; OI x Month'!$N133</f>
        <v/>
      </c>
      <c r="AP43" s="547">
        <f>'4A. Tel. - Exps. &amp; OI x Month'!$O133</f>
        <v/>
      </c>
      <c r="AQ43" s="547">
        <f>'4A. Tel. - Exps. &amp; OI x Month'!$P133</f>
        <v/>
      </c>
      <c r="AR43" s="547">
        <f>'4A. Tel. - Exps. &amp; OI x Month'!$Q133</f>
        <v/>
      </c>
      <c r="AS43" s="547">
        <f>'4A. Tel. - Exps. &amp; OI x Month'!$R133</f>
        <v/>
      </c>
      <c r="AT43" s="547">
        <f>'4A. Tel. - Exps. &amp; OI x Month'!$S133</f>
        <v/>
      </c>
      <c r="AU43" s="547">
        <f>'4A. Tel. - Exps. &amp; OI x Month'!$T133</f>
        <v/>
      </c>
      <c r="AV43" s="547">
        <f>'4A. Tel. - Exps. &amp; OI x Month'!$U133</f>
        <v/>
      </c>
      <c r="AW43" s="547">
        <f>'4A. Tel. - Exps. &amp; OI x Month'!$V133</f>
        <v/>
      </c>
      <c r="AX43" s="547">
        <f>'4A. Tel. - Exps. &amp; OI x Month'!$W133</f>
        <v/>
      </c>
      <c r="AZ43" s="1716">
        <f>SUM(AM43:AX43)</f>
        <v/>
      </c>
      <c r="BB43" s="547">
        <f>'4A. Tel. - Exps. &amp; OI x Month'!$L225</f>
        <v/>
      </c>
      <c r="BC43" s="547">
        <f>'4A. Tel. - Exps. &amp; OI x Month'!$M225</f>
        <v/>
      </c>
      <c r="BD43" s="547">
        <f>'4A. Tel. - Exps. &amp; OI x Month'!$N225</f>
        <v/>
      </c>
      <c r="BE43" s="547">
        <f>'4A. Tel. - Exps. &amp; OI x Month'!$O225</f>
        <v/>
      </c>
      <c r="BF43" s="547">
        <f>'4A. Tel. - Exps. &amp; OI x Month'!$P225</f>
        <v/>
      </c>
      <c r="BG43" s="547">
        <f>'4A. Tel. - Exps. &amp; OI x Month'!$Q225</f>
        <v/>
      </c>
      <c r="BH43" s="547">
        <f>'4A. Tel. - Exps. &amp; OI x Month'!$R225</f>
        <v/>
      </c>
      <c r="BI43" s="547">
        <f>'4A. Tel. - Exps. &amp; OI x Month'!$S225</f>
        <v/>
      </c>
      <c r="BJ43" s="547">
        <f>'4A. Tel. - Exps. &amp; OI x Month'!$T225</f>
        <v/>
      </c>
      <c r="BK43" s="547">
        <f>'4A. Tel. - Exps. &amp; OI x Month'!$U225</f>
        <v/>
      </c>
      <c r="BL43" s="547">
        <f>'4A. Tel. - Exps. &amp; OI x Month'!$V225</f>
        <v/>
      </c>
      <c r="BM43" s="547">
        <f>'4A. Tel. - Exps. &amp; OI x Month'!$W225</f>
        <v/>
      </c>
      <c r="BO43" s="1716">
        <f>SUM(BB43:BM43)</f>
        <v/>
      </c>
      <c r="BQ43" s="547">
        <f>'4A. Tel. - Exps. &amp; OI x Month'!L317</f>
        <v/>
      </c>
      <c r="BR43" s="547">
        <f>'4A. Tel. - Exps. &amp; OI x Month'!M317</f>
        <v/>
      </c>
      <c r="BS43" s="547">
        <f>'4A. Tel. - Exps. &amp; OI x Month'!N317</f>
        <v/>
      </c>
      <c r="BT43" s="547">
        <f>'4A. Tel. - Exps. &amp; OI x Month'!O317</f>
        <v/>
      </c>
      <c r="BU43" s="547">
        <f>'4A. Tel. - Exps. &amp; OI x Month'!P317</f>
        <v/>
      </c>
      <c r="BV43" s="547">
        <f>'4A. Tel. - Exps. &amp; OI x Month'!Q317</f>
        <v/>
      </c>
      <c r="BW43" s="547">
        <f>'4A. Tel. - Exps. &amp; OI x Month'!R317</f>
        <v/>
      </c>
      <c r="BX43" s="547">
        <f>'4A. Tel. - Exps. &amp; OI x Month'!S317</f>
        <v/>
      </c>
      <c r="BY43" s="547">
        <f>'4A. Tel. - Exps. &amp; OI x Month'!T317</f>
        <v/>
      </c>
      <c r="BZ43" s="547">
        <f>'4A. Tel. - Exps. &amp; OI x Month'!U317</f>
        <v/>
      </c>
      <c r="CA43" s="547">
        <f>'4A. Tel. - Exps. &amp; OI x Month'!V317</f>
        <v/>
      </c>
      <c r="CB43" s="547">
        <f>'4A. Tel. - Exps. &amp; OI x Month'!W317</f>
        <v/>
      </c>
      <c r="CD43" s="1716">
        <f>SUM(BQ43:CB43)</f>
        <v/>
      </c>
      <c r="CF43" s="547">
        <f>'4A. Tel. - Exps. &amp; OI x Month'!L409</f>
        <v/>
      </c>
      <c r="CG43" s="547">
        <f>'4A. Tel. - Exps. &amp; OI x Month'!M409</f>
        <v/>
      </c>
      <c r="CH43" s="547">
        <f>'4A. Tel. - Exps. &amp; OI x Month'!N409</f>
        <v/>
      </c>
      <c r="CI43" s="547">
        <f>'4A. Tel. - Exps. &amp; OI x Month'!O409</f>
        <v/>
      </c>
      <c r="CJ43" s="547">
        <f>'4A. Tel. - Exps. &amp; OI x Month'!P409</f>
        <v/>
      </c>
      <c r="CK43" s="547">
        <f>'4A. Tel. - Exps. &amp; OI x Month'!Q409</f>
        <v/>
      </c>
      <c r="CL43" s="547">
        <f>'4A. Tel. - Exps. &amp; OI x Month'!R409</f>
        <v/>
      </c>
      <c r="CM43" s="547">
        <f>'4A. Tel. - Exps. &amp; OI x Month'!S409</f>
        <v/>
      </c>
      <c r="CN43" s="547">
        <f>'4A. Tel. - Exps. &amp; OI x Month'!T409</f>
        <v/>
      </c>
      <c r="CO43" s="547">
        <f>'4A. Tel. - Exps. &amp; OI x Month'!U409</f>
        <v/>
      </c>
      <c r="CP43" s="547">
        <f>'4A. Tel. - Exps. &amp; OI x Month'!V409</f>
        <v/>
      </c>
      <c r="CQ43" s="547">
        <f>'4A. Tel. - Exps. &amp; OI x Month'!W409</f>
        <v/>
      </c>
      <c r="CS43" s="1716">
        <f>SUM(CF43:CQ43)</f>
        <v/>
      </c>
      <c r="CU43" s="547" t="inlineStr">
        <is>
          <t>&lt;--</t>
        </is>
      </c>
      <c r="CV43" s="547" t="n"/>
      <c r="CW43" s="547" t="n"/>
      <c r="CX43" s="547" t="n"/>
    </row>
    <row r="44" ht="15" customHeight="1" s="1883">
      <c r="B44" s="835" t="inlineStr">
        <is>
          <t>●</t>
        </is>
      </c>
      <c r="C44" s="1722" t="inlineStr">
        <is>
          <t>Legacy Accrued Payroll</t>
        </is>
      </c>
      <c r="D44" s="1722" t="n"/>
      <c r="E44" s="1722" t="n"/>
      <c r="F44" s="1722" t="n"/>
      <c r="G44" s="1722" t="n"/>
      <c r="H44" s="386" t="n"/>
      <c r="I44" s="547">
        <f>'[3]$25M Investment'!$M$82</f>
        <v/>
      </c>
      <c r="J44" s="547">
        <f>'[3]$25M Investment'!$M$149</f>
        <v/>
      </c>
      <c r="K44" s="547" t="n">
        <v>0</v>
      </c>
      <c r="L44" s="547" t="n">
        <v>0</v>
      </c>
      <c r="M44" s="547" t="n">
        <v>0</v>
      </c>
      <c r="N44" s="547" t="n">
        <v>0</v>
      </c>
      <c r="O44" s="547" t="n">
        <v>0</v>
      </c>
      <c r="P44" s="547">
        <f>'[4]$25M Investment'!$M$551</f>
        <v/>
      </c>
      <c r="Q44" s="547" t="n">
        <v>0</v>
      </c>
      <c r="R44" s="547" t="n">
        <v>0</v>
      </c>
      <c r="S44" s="547" t="n">
        <v>0</v>
      </c>
      <c r="T44" s="547" t="n">
        <v>0</v>
      </c>
      <c r="U44" s="386" t="n"/>
      <c r="V44" s="1717">
        <f>SUM(I44:T44)</f>
        <v/>
      </c>
      <c r="W44" s="386" t="n"/>
      <c r="X44" s="907" t="n">
        <v>0</v>
      </c>
      <c r="Y44" s="907" t="n">
        <v>0</v>
      </c>
      <c r="Z44" s="907" t="n">
        <v>0</v>
      </c>
      <c r="AA44" s="907" t="n">
        <v>0</v>
      </c>
      <c r="AB44" s="907" t="n">
        <v>0</v>
      </c>
      <c r="AC44" s="907" t="n">
        <v>0</v>
      </c>
      <c r="AD44" s="907" t="n">
        <v>0</v>
      </c>
      <c r="AE44" s="907" t="n">
        <v>0</v>
      </c>
      <c r="AF44" s="907" t="n">
        <v>0</v>
      </c>
      <c r="AG44" s="907" t="n">
        <v>0</v>
      </c>
      <c r="AH44" s="907" t="n">
        <v>0</v>
      </c>
      <c r="AI44" s="907" t="n">
        <v>0</v>
      </c>
      <c r="AJ44" s="908" t="n"/>
      <c r="AK44" s="1717">
        <f>SUM(X44:AI44)</f>
        <v/>
      </c>
      <c r="AL44" s="831" t="n"/>
      <c r="AM44" s="907" t="n">
        <v>0</v>
      </c>
      <c r="AN44" s="907" t="n">
        <v>0</v>
      </c>
      <c r="AO44" s="907" t="n">
        <v>0</v>
      </c>
      <c r="AP44" s="907" t="n">
        <v>0</v>
      </c>
      <c r="AQ44" s="907" t="n">
        <v>0</v>
      </c>
      <c r="AR44" s="907" t="n">
        <v>0</v>
      </c>
      <c r="AS44" s="907" t="n">
        <v>0</v>
      </c>
      <c r="AT44" s="907" t="n">
        <v>0</v>
      </c>
      <c r="AU44" s="907" t="n">
        <v>0</v>
      </c>
      <c r="AV44" s="907" t="n">
        <v>0</v>
      </c>
      <c r="AW44" s="907" t="n">
        <v>0</v>
      </c>
      <c r="AX44" s="907" t="n">
        <v>0</v>
      </c>
      <c r="AY44" s="908" t="n"/>
      <c r="AZ44" s="1717">
        <f>SUM(AM44:AX44)</f>
        <v/>
      </c>
      <c r="BA44" s="507" t="n"/>
      <c r="BB44" s="907" t="n">
        <v>0</v>
      </c>
      <c r="BC44" s="907" t="n">
        <v>0</v>
      </c>
      <c r="BD44" s="907" t="n">
        <v>0</v>
      </c>
      <c r="BE44" s="907" t="n">
        <v>0</v>
      </c>
      <c r="BF44" s="907" t="n">
        <v>0</v>
      </c>
      <c r="BG44" s="907" t="n">
        <v>0</v>
      </c>
      <c r="BH44" s="907" t="n">
        <v>0</v>
      </c>
      <c r="BI44" s="907" t="n">
        <v>0</v>
      </c>
      <c r="BJ44" s="907" t="n">
        <v>0</v>
      </c>
      <c r="BK44" s="907" t="n">
        <v>0</v>
      </c>
      <c r="BL44" s="907" t="n">
        <v>0</v>
      </c>
      <c r="BM44" s="907" t="n">
        <v>0</v>
      </c>
      <c r="BN44" s="908" t="n"/>
      <c r="BO44" s="1717">
        <f>SUM(BB44:BM44)</f>
        <v/>
      </c>
      <c r="BP44" s="507" t="n"/>
      <c r="BQ44" s="907" t="n">
        <v>0</v>
      </c>
      <c r="BR44" s="907" t="n">
        <v>0</v>
      </c>
      <c r="BS44" s="907" t="n">
        <v>0</v>
      </c>
      <c r="BT44" s="907" t="n">
        <v>0</v>
      </c>
      <c r="BU44" s="907" t="n">
        <v>0</v>
      </c>
      <c r="BV44" s="907" t="n">
        <v>0</v>
      </c>
      <c r="BW44" s="907" t="n">
        <v>0</v>
      </c>
      <c r="BX44" s="907" t="n">
        <v>0</v>
      </c>
      <c r="BY44" s="907" t="n">
        <v>0</v>
      </c>
      <c r="BZ44" s="907" t="n">
        <v>0</v>
      </c>
      <c r="CA44" s="907" t="n">
        <v>0</v>
      </c>
      <c r="CB44" s="907" t="n">
        <v>0</v>
      </c>
      <c r="CC44" s="908" t="n"/>
      <c r="CD44" s="1717">
        <f>SUM(BQ44:CB44)</f>
        <v/>
      </c>
      <c r="CE44" s="507" t="n"/>
      <c r="CF44" s="907" t="n">
        <v>0</v>
      </c>
      <c r="CG44" s="907" t="n">
        <v>0</v>
      </c>
      <c r="CH44" s="907" t="n">
        <v>0</v>
      </c>
      <c r="CI44" s="907" t="n">
        <v>0</v>
      </c>
      <c r="CJ44" s="907" t="n">
        <v>0</v>
      </c>
      <c r="CK44" s="907" t="n">
        <v>0</v>
      </c>
      <c r="CL44" s="907" t="n">
        <v>0</v>
      </c>
      <c r="CM44" s="907" t="n">
        <v>0</v>
      </c>
      <c r="CN44" s="907" t="n">
        <v>0</v>
      </c>
      <c r="CO44" s="907" t="n">
        <v>0</v>
      </c>
      <c r="CP44" s="907" t="n">
        <v>0</v>
      </c>
      <c r="CQ44" s="907" t="n">
        <v>0</v>
      </c>
      <c r="CR44" s="908" t="n"/>
      <c r="CS44" s="1717">
        <f>SUM(CF44:CQ44)</f>
        <v/>
      </c>
      <c r="CU44" s="547" t="n"/>
      <c r="CV44" s="547" t="n"/>
      <c r="CW44" s="547" t="n"/>
      <c r="CX44" s="547" t="n"/>
    </row>
    <row r="45" ht="15" customHeight="1" s="1883">
      <c r="B45" s="835" t="inlineStr">
        <is>
          <t>●</t>
        </is>
      </c>
      <c r="C45" s="1722" t="inlineStr">
        <is>
          <t>Other Legacy/Pre-Funding Liabilities, Estimate</t>
        </is>
      </c>
      <c r="D45" s="1722" t="n"/>
      <c r="E45" s="1722" t="n"/>
      <c r="F45" s="1722" t="n"/>
      <c r="G45" s="1722" t="n"/>
      <c r="H45" s="386" t="n"/>
      <c r="I45" s="547">
        <f>'[3]$25M Investment'!$M$80</f>
        <v/>
      </c>
      <c r="J45" s="547">
        <f>'[3]$25M Investment'!$M$147</f>
        <v/>
      </c>
      <c r="K45" s="547">
        <f>'[4]$25M Investment'!$M$214</f>
        <v/>
      </c>
      <c r="L45" s="547">
        <f>'[4]$25M Investment'!$M$281</f>
        <v/>
      </c>
      <c r="M45" s="547">
        <f>'[4]$25M Investment'!$M$348</f>
        <v/>
      </c>
      <c r="N45" s="547">
        <f>'[4]$25M Investment'!$M$415</f>
        <v/>
      </c>
      <c r="O45" s="547">
        <f>'[4]$25M Investment'!$M$482</f>
        <v/>
      </c>
      <c r="P45" s="547" t="n">
        <v>0</v>
      </c>
      <c r="Q45" s="547" t="n">
        <v>0</v>
      </c>
      <c r="R45" s="547" t="n">
        <v>0</v>
      </c>
      <c r="S45" s="547" t="n">
        <v>0</v>
      </c>
      <c r="T45" s="547" t="n">
        <v>0</v>
      </c>
      <c r="U45" s="386" t="n"/>
      <c r="V45" s="1717">
        <f>SUM(I45:T45)</f>
        <v/>
      </c>
      <c r="W45" s="386" t="n"/>
      <c r="X45" s="907" t="n">
        <v>0</v>
      </c>
      <c r="Y45" s="907" t="n">
        <v>0</v>
      </c>
      <c r="Z45" s="907" t="n">
        <v>0</v>
      </c>
      <c r="AA45" s="907" t="n">
        <v>0</v>
      </c>
      <c r="AB45" s="907" t="n">
        <v>0</v>
      </c>
      <c r="AC45" s="907" t="n">
        <v>0</v>
      </c>
      <c r="AD45" s="907" t="n">
        <v>0</v>
      </c>
      <c r="AE45" s="907" t="n">
        <v>0</v>
      </c>
      <c r="AF45" s="907" t="n">
        <v>0</v>
      </c>
      <c r="AG45" s="907" t="n">
        <v>0</v>
      </c>
      <c r="AH45" s="907" t="n">
        <v>0</v>
      </c>
      <c r="AI45" s="907" t="n">
        <v>0</v>
      </c>
      <c r="AJ45" s="908" t="n"/>
      <c r="AK45" s="1717">
        <f>SUM(X45:AI45)</f>
        <v/>
      </c>
      <c r="AL45" s="831" t="n"/>
      <c r="AM45" s="907" t="n">
        <v>0</v>
      </c>
      <c r="AN45" s="907" t="n">
        <v>0</v>
      </c>
      <c r="AO45" s="907" t="n">
        <v>0</v>
      </c>
      <c r="AP45" s="907" t="n">
        <v>0</v>
      </c>
      <c r="AQ45" s="907" t="n">
        <v>0</v>
      </c>
      <c r="AR45" s="907" t="n">
        <v>0</v>
      </c>
      <c r="AS45" s="907" t="n">
        <v>0</v>
      </c>
      <c r="AT45" s="907" t="n">
        <v>0</v>
      </c>
      <c r="AU45" s="907" t="n">
        <v>0</v>
      </c>
      <c r="AV45" s="907" t="n">
        <v>0</v>
      </c>
      <c r="AW45" s="907" t="n">
        <v>0</v>
      </c>
      <c r="AX45" s="907" t="n">
        <v>0</v>
      </c>
      <c r="AY45" s="908" t="n"/>
      <c r="AZ45" s="1717">
        <f>SUM(AM45:AX45)</f>
        <v/>
      </c>
      <c r="BA45" s="507" t="n"/>
      <c r="BB45" s="907" t="n">
        <v>0</v>
      </c>
      <c r="BC45" s="907" t="n">
        <v>0</v>
      </c>
      <c r="BD45" s="907" t="n">
        <v>0</v>
      </c>
      <c r="BE45" s="907" t="n">
        <v>0</v>
      </c>
      <c r="BF45" s="907" t="n">
        <v>0</v>
      </c>
      <c r="BG45" s="907" t="n">
        <v>0</v>
      </c>
      <c r="BH45" s="907" t="n">
        <v>0</v>
      </c>
      <c r="BI45" s="907" t="n">
        <v>0</v>
      </c>
      <c r="BJ45" s="907" t="n">
        <v>0</v>
      </c>
      <c r="BK45" s="907" t="n">
        <v>0</v>
      </c>
      <c r="BL45" s="907" t="n">
        <v>0</v>
      </c>
      <c r="BM45" s="907" t="n">
        <v>0</v>
      </c>
      <c r="BN45" s="908" t="n"/>
      <c r="BO45" s="1717">
        <f>SUM(BB45:BM45)</f>
        <v/>
      </c>
      <c r="BP45" s="507" t="n"/>
      <c r="BQ45" s="907" t="n">
        <v>0</v>
      </c>
      <c r="BR45" s="907" t="n">
        <v>0</v>
      </c>
      <c r="BS45" s="907" t="n">
        <v>0</v>
      </c>
      <c r="BT45" s="907" t="n">
        <v>0</v>
      </c>
      <c r="BU45" s="907" t="n">
        <v>0</v>
      </c>
      <c r="BV45" s="907" t="n">
        <v>0</v>
      </c>
      <c r="BW45" s="907" t="n">
        <v>0</v>
      </c>
      <c r="BX45" s="907" t="n">
        <v>0</v>
      </c>
      <c r="BY45" s="907" t="n">
        <v>0</v>
      </c>
      <c r="BZ45" s="907" t="n">
        <v>0</v>
      </c>
      <c r="CA45" s="907" t="n">
        <v>0</v>
      </c>
      <c r="CB45" s="907" t="n">
        <v>0</v>
      </c>
      <c r="CC45" s="908" t="n"/>
      <c r="CD45" s="1717">
        <f>SUM(BQ45:CB45)</f>
        <v/>
      </c>
      <c r="CE45" s="507" t="n"/>
      <c r="CF45" s="907" t="n">
        <v>0</v>
      </c>
      <c r="CG45" s="907" t="n">
        <v>0</v>
      </c>
      <c r="CH45" s="907" t="n">
        <v>0</v>
      </c>
      <c r="CI45" s="907" t="n">
        <v>0</v>
      </c>
      <c r="CJ45" s="907" t="n">
        <v>0</v>
      </c>
      <c r="CK45" s="907" t="n">
        <v>0</v>
      </c>
      <c r="CL45" s="907" t="n">
        <v>0</v>
      </c>
      <c r="CM45" s="907" t="n">
        <v>0</v>
      </c>
      <c r="CN45" s="907" t="n">
        <v>0</v>
      </c>
      <c r="CO45" s="907" t="n">
        <v>0</v>
      </c>
      <c r="CP45" s="907" t="n">
        <v>0</v>
      </c>
      <c r="CQ45" s="907" t="n">
        <v>0</v>
      </c>
      <c r="CR45" s="908" t="n"/>
      <c r="CS45" s="1717">
        <f>SUM(CF45:CQ45)</f>
        <v/>
      </c>
      <c r="CU45" s="547" t="n"/>
      <c r="CV45" s="547" t="n"/>
      <c r="CW45" s="547" t="n"/>
      <c r="CX45" s="547" t="n"/>
    </row>
    <row r="46" ht="15" customHeight="1" s="1883">
      <c r="B46" s="835" t="inlineStr">
        <is>
          <t>●</t>
        </is>
      </c>
      <c r="C46" s="1722" t="inlineStr">
        <is>
          <t>Strategic Investments</t>
        </is>
      </c>
      <c r="D46" s="1722" t="n"/>
      <c r="E46" s="1722" t="n"/>
      <c r="F46" s="1722" t="n"/>
      <c r="G46" s="1722" t="n"/>
      <c r="H46" s="386" t="n"/>
      <c r="I46" s="547" t="n">
        <v>0</v>
      </c>
      <c r="J46" s="547">
        <f>'[4]$25M Investment'!$M$150</f>
        <v/>
      </c>
      <c r="K46" s="547">
        <f>'[4]$25M Investment'!$M$217</f>
        <v/>
      </c>
      <c r="L46" s="547">
        <f>'[4]$25M Investment'!$M$284</f>
        <v/>
      </c>
      <c r="M46" s="547">
        <f>'[4]$25M Investment'!$M$351</f>
        <v/>
      </c>
      <c r="N46" s="547">
        <f>'[4]$25M Investment'!$M$418</f>
        <v/>
      </c>
      <c r="O46" s="547">
        <f>'[4]$25M Investment'!$M$485</f>
        <v/>
      </c>
      <c r="P46" s="547">
        <f>'[4]$25M Investment'!$M$552</f>
        <v/>
      </c>
      <c r="Q46" s="547">
        <f>'[4]$25M Investment'!$M$619</f>
        <v/>
      </c>
      <c r="R46" s="547">
        <f>'[4]$25M Investment'!$M$686</f>
        <v/>
      </c>
      <c r="S46" s="547">
        <f>'[4]$25M Investment'!$M$753</f>
        <v/>
      </c>
      <c r="T46" s="547">
        <f>'[4]$25M Investment'!$M$820</f>
        <v/>
      </c>
      <c r="U46" s="386" t="n"/>
      <c r="V46" s="1717">
        <f>SUM(I46:T46)</f>
        <v/>
      </c>
      <c r="W46" s="386" t="n"/>
      <c r="X46" s="547">
        <f>'[4]$25M Investment'!$M$820</f>
        <v/>
      </c>
      <c r="Y46" s="547">
        <f>'[4]$25M Investment'!$M$820</f>
        <v/>
      </c>
      <c r="Z46" s="547">
        <f>'[4]$25M Investment'!$M$820</f>
        <v/>
      </c>
      <c r="AA46" s="547">
        <f>'[4]$25M Investment'!$M$820</f>
        <v/>
      </c>
      <c r="AB46" s="547">
        <f>'[4]$25M Investment'!$M$820</f>
        <v/>
      </c>
      <c r="AC46" s="547">
        <f>'[4]$25M Investment'!$M$820</f>
        <v/>
      </c>
      <c r="AD46" s="547">
        <f>'[4]$25M Investment'!$M$820</f>
        <v/>
      </c>
      <c r="AE46" s="547">
        <f>'[4]$25M Investment'!$M$820</f>
        <v/>
      </c>
      <c r="AF46" s="547">
        <f>'[4]$25M Investment'!$M$820</f>
        <v/>
      </c>
      <c r="AG46" s="547">
        <f>'[4]$25M Investment'!$M$820</f>
        <v/>
      </c>
      <c r="AH46" s="547">
        <f>'[4]$25M Investment'!$M$820</f>
        <v/>
      </c>
      <c r="AI46" s="547">
        <f>'[4]$25M Investment'!$M$820</f>
        <v/>
      </c>
      <c r="AJ46" s="547" t="n"/>
      <c r="AK46" s="1717">
        <f>SUM(X46:AI46)</f>
        <v/>
      </c>
      <c r="AL46" s="831" t="n"/>
      <c r="AM46" s="547">
        <f>'[4]$25M Investment'!$M$820</f>
        <v/>
      </c>
      <c r="AN46" s="547">
        <f>'[4]$25M Investment'!$M$820</f>
        <v/>
      </c>
      <c r="AO46" s="547">
        <f>'[4]$25M Investment'!$M$820</f>
        <v/>
      </c>
      <c r="AP46" s="547">
        <f>'[4]$25M Investment'!$M$820</f>
        <v/>
      </c>
      <c r="AQ46" s="547">
        <f>'[4]$25M Investment'!$M$820</f>
        <v/>
      </c>
      <c r="AR46" s="547">
        <f>'[4]$25M Investment'!$M$820</f>
        <v/>
      </c>
      <c r="AS46" s="547">
        <f>'[4]$25M Investment'!$M$820</f>
        <v/>
      </c>
      <c r="AT46" s="547">
        <f>'[4]$25M Investment'!$M$820+10000</f>
        <v/>
      </c>
      <c r="AU46" s="547">
        <f>'[4]$25M Investment'!$M$820+10000</f>
        <v/>
      </c>
      <c r="AV46" s="547">
        <f>'[4]$25M Investment'!$M$820+10000</f>
        <v/>
      </c>
      <c r="AW46" s="547">
        <f>'[4]$25M Investment'!$M$820+10000</f>
        <v/>
      </c>
      <c r="AX46" s="547">
        <f>'[4]$25M Investment'!$M$820+10000</f>
        <v/>
      </c>
      <c r="AY46" s="908" t="n"/>
      <c r="AZ46" s="1717">
        <f>SUM(AM46:AX46)</f>
        <v/>
      </c>
      <c r="BA46" s="507" t="n"/>
      <c r="BB46" s="547">
        <f>'[4]$25M Investment'!$M$820+10000</f>
        <v/>
      </c>
      <c r="BC46" s="547">
        <f>'[4]$25M Investment'!$M$820+10000</f>
        <v/>
      </c>
      <c r="BD46" s="547">
        <f>'[4]$25M Investment'!$M$820+10000</f>
        <v/>
      </c>
      <c r="BE46" s="547">
        <f>'[4]$25M Investment'!$M$820+10000</f>
        <v/>
      </c>
      <c r="BF46" s="547">
        <f>'[4]$25M Investment'!$M$820+10000</f>
        <v/>
      </c>
      <c r="BG46" s="547">
        <f>'[4]$25M Investment'!$M$820+10000</f>
        <v/>
      </c>
      <c r="BH46" s="547">
        <f>'[4]$25M Investment'!$M$820+10000</f>
        <v/>
      </c>
      <c r="BI46" s="547">
        <f>'[4]$25M Investment'!$M$820+10000</f>
        <v/>
      </c>
      <c r="BJ46" s="547">
        <f>'[4]$25M Investment'!$M$820+10000</f>
        <v/>
      </c>
      <c r="BK46" s="547">
        <f>'[4]$25M Investment'!$M$820+10000</f>
        <v/>
      </c>
      <c r="BL46" s="547">
        <f>'[4]$25M Investment'!$M$820+10000</f>
        <v/>
      </c>
      <c r="BM46" s="547">
        <f>'[4]$25M Investment'!$M$820+10000</f>
        <v/>
      </c>
      <c r="BN46" s="908" t="n"/>
      <c r="BO46" s="1717">
        <f>SUM(BB46:BM46)</f>
        <v/>
      </c>
      <c r="BP46" s="507" t="n"/>
      <c r="BQ46" s="547">
        <f>'[4]$25M Investment'!$M$820+10000</f>
        <v/>
      </c>
      <c r="BR46" s="547">
        <f>'[4]$25M Investment'!$M$820+10000</f>
        <v/>
      </c>
      <c r="BS46" s="547">
        <f>'[4]$25M Investment'!$M$820+10000</f>
        <v/>
      </c>
      <c r="BT46" s="547">
        <f>'[4]$25M Investment'!$M$820+10000</f>
        <v/>
      </c>
      <c r="BU46" s="547">
        <f>'[4]$25M Investment'!$M$820+10000</f>
        <v/>
      </c>
      <c r="BV46" s="547">
        <f>'[4]$25M Investment'!$M$820+10000</f>
        <v/>
      </c>
      <c r="BW46" s="547">
        <f>'[4]$25M Investment'!$M$820+10000</f>
        <v/>
      </c>
      <c r="BX46" s="907" t="n">
        <v>0</v>
      </c>
      <c r="BY46" s="907" t="n">
        <v>0</v>
      </c>
      <c r="BZ46" s="907" t="n">
        <v>0</v>
      </c>
      <c r="CA46" s="907" t="n">
        <v>0</v>
      </c>
      <c r="CB46" s="907" t="n">
        <v>0</v>
      </c>
      <c r="CC46" s="908" t="n"/>
      <c r="CD46" s="1717">
        <f>SUM(BQ46:CB46)</f>
        <v/>
      </c>
      <c r="CE46" s="507" t="n"/>
      <c r="CF46" s="907" t="n">
        <v>0</v>
      </c>
      <c r="CG46" s="907" t="n">
        <v>0</v>
      </c>
      <c r="CH46" s="907" t="n">
        <v>0</v>
      </c>
      <c r="CI46" s="907" t="n">
        <v>0</v>
      </c>
      <c r="CJ46" s="907" t="n">
        <v>0</v>
      </c>
      <c r="CK46" s="907" t="n">
        <v>0</v>
      </c>
      <c r="CL46" s="907" t="n">
        <v>0</v>
      </c>
      <c r="CM46" s="907" t="n">
        <v>0</v>
      </c>
      <c r="CN46" s="907" t="n">
        <v>0</v>
      </c>
      <c r="CO46" s="907" t="n">
        <v>0</v>
      </c>
      <c r="CP46" s="907" t="n">
        <v>0</v>
      </c>
      <c r="CQ46" s="907" t="n">
        <v>0</v>
      </c>
      <c r="CR46" s="908" t="n"/>
      <c r="CS46" s="1717">
        <f>SUM(CF46:CQ46)</f>
        <v/>
      </c>
      <c r="CU46" s="547" t="n"/>
      <c r="CV46" s="547" t="n"/>
      <c r="CW46" s="547" t="n"/>
      <c r="CX46" s="547" t="n"/>
    </row>
    <row r="47" ht="15" customHeight="1" s="1883">
      <c r="B47" s="835" t="inlineStr">
        <is>
          <t>●</t>
        </is>
      </c>
      <c r="C47" s="514" t="inlineStr">
        <is>
          <t>Research and Development</t>
        </is>
      </c>
      <c r="D47" s="514" t="n"/>
      <c r="E47" s="1728" t="n"/>
      <c r="F47" s="1728" t="n"/>
      <c r="G47" s="1728" t="n"/>
      <c r="H47" s="386" t="n"/>
      <c r="I47" s="547">
        <f>'6A. Pre-Launch Exps. - Roll-Up'!K39</f>
        <v/>
      </c>
      <c r="J47" s="547">
        <f>'6A. Pre-Launch Exps. - Roll-Up'!L39</f>
        <v/>
      </c>
      <c r="K47" s="547">
        <f>'6A. Pre-Launch Exps. - Roll-Up'!M39</f>
        <v/>
      </c>
      <c r="L47" s="547">
        <f>'6A. Pre-Launch Exps. - Roll-Up'!N39</f>
        <v/>
      </c>
      <c r="M47" s="547">
        <f>'6A. Pre-Launch Exps. - Roll-Up'!O39</f>
        <v/>
      </c>
      <c r="N47" s="547">
        <f>'6A. Pre-Launch Exps. - Roll-Up'!P39</f>
        <v/>
      </c>
      <c r="O47" s="547">
        <f>'6A. Pre-Launch Exps. - Roll-Up'!Q39</f>
        <v/>
      </c>
      <c r="P47" s="547">
        <f>'6A. Pre-Launch Exps. - Roll-Up'!R39</f>
        <v/>
      </c>
      <c r="Q47" s="547">
        <f>'6A. Pre-Launch Exps. - Roll-Up'!S39</f>
        <v/>
      </c>
      <c r="R47" s="547">
        <f>'6A. Pre-Launch Exps. - Roll-Up'!T39</f>
        <v/>
      </c>
      <c r="S47" s="547">
        <f>'6A. Pre-Launch Exps. - Roll-Up'!U39</f>
        <v/>
      </c>
      <c r="T47" s="547">
        <f>'6A. Pre-Launch Exps. - Roll-Up'!V39</f>
        <v/>
      </c>
      <c r="U47" s="386" t="n"/>
      <c r="V47" s="1716">
        <f>SUM(I47:T47)</f>
        <v/>
      </c>
      <c r="W47" s="386" t="n"/>
      <c r="X47" s="547">
        <f>'4A. Tel. - Exps. &amp; OI x Month'!$L45</f>
        <v/>
      </c>
      <c r="Y47" s="547">
        <f>'4A. Tel. - Exps. &amp; OI x Month'!$M45</f>
        <v/>
      </c>
      <c r="Z47" s="547">
        <f>'4A. Tel. - Exps. &amp; OI x Month'!$N45</f>
        <v/>
      </c>
      <c r="AA47" s="547">
        <f>'4A. Tel. - Exps. &amp; OI x Month'!$O45</f>
        <v/>
      </c>
      <c r="AB47" s="547">
        <f>'4A. Tel. - Exps. &amp; OI x Month'!$P45</f>
        <v/>
      </c>
      <c r="AC47" s="547">
        <f>'4A. Tel. - Exps. &amp; OI x Month'!$Q45</f>
        <v/>
      </c>
      <c r="AD47" s="547">
        <f>'4A. Tel. - Exps. &amp; OI x Month'!$R45</f>
        <v/>
      </c>
      <c r="AE47" s="547">
        <f>'4A. Tel. - Exps. &amp; OI x Month'!$S45</f>
        <v/>
      </c>
      <c r="AF47" s="547">
        <f>'4A. Tel. - Exps. &amp; OI x Month'!T45</f>
        <v/>
      </c>
      <c r="AG47" s="547">
        <f>'4A. Tel. - Exps. &amp; OI x Month'!$U45</f>
        <v/>
      </c>
      <c r="AH47" s="547">
        <f>'4A. Tel. - Exps. &amp; OI x Month'!$V45</f>
        <v/>
      </c>
      <c r="AI47" s="547">
        <f>'4A. Tel. - Exps. &amp; OI x Month'!$W45</f>
        <v/>
      </c>
      <c r="AJ47" s="547" t="n"/>
      <c r="AK47" s="1716">
        <f>SUM(X47:AI47)</f>
        <v/>
      </c>
      <c r="AL47" s="831" t="n"/>
      <c r="AM47" s="547">
        <f>'4A. Tel. - Exps. &amp; OI x Month'!L137</f>
        <v/>
      </c>
      <c r="AN47" s="547">
        <f>'4A. Tel. - Exps. &amp; OI x Month'!M137</f>
        <v/>
      </c>
      <c r="AO47" s="547">
        <f>'4A. Tel. - Exps. &amp; OI x Month'!N137</f>
        <v/>
      </c>
      <c r="AP47" s="547">
        <f>'4A. Tel. - Exps. &amp; OI x Month'!O137</f>
        <v/>
      </c>
      <c r="AQ47" s="547">
        <f>'4A. Tel. - Exps. &amp; OI x Month'!P137</f>
        <v/>
      </c>
      <c r="AR47" s="547">
        <f>'4A. Tel. - Exps. &amp; OI x Month'!Q137</f>
        <v/>
      </c>
      <c r="AS47" s="547">
        <f>'4A. Tel. - Exps. &amp; OI x Month'!R137</f>
        <v/>
      </c>
      <c r="AT47" s="547">
        <f>'4A. Tel. - Exps. &amp; OI x Month'!S137</f>
        <v/>
      </c>
      <c r="AU47" s="547">
        <f>'4A. Tel. - Exps. &amp; OI x Month'!T137</f>
        <v/>
      </c>
      <c r="AV47" s="547">
        <f>'4A. Tel. - Exps. &amp; OI x Month'!U137</f>
        <v/>
      </c>
      <c r="AW47" s="547">
        <f>'4A. Tel. - Exps. &amp; OI x Month'!V137</f>
        <v/>
      </c>
      <c r="AX47" s="547">
        <f>'4A. Tel. - Exps. &amp; OI x Month'!W137</f>
        <v/>
      </c>
      <c r="AY47" s="507" t="n"/>
      <c r="AZ47" s="1716">
        <f>SUM(AM47:AX47)</f>
        <v/>
      </c>
      <c r="BA47" s="507" t="n"/>
      <c r="BB47" s="547">
        <f>'4A. Tel. - Exps. &amp; OI x Month'!L229</f>
        <v/>
      </c>
      <c r="BC47" s="547">
        <f>'4A. Tel. - Exps. &amp; OI x Month'!M229</f>
        <v/>
      </c>
      <c r="BD47" s="547">
        <f>'4A. Tel. - Exps. &amp; OI x Month'!N229</f>
        <v/>
      </c>
      <c r="BE47" s="547">
        <f>'4A. Tel. - Exps. &amp; OI x Month'!O229</f>
        <v/>
      </c>
      <c r="BF47" s="547">
        <f>'4A. Tel. - Exps. &amp; OI x Month'!P229</f>
        <v/>
      </c>
      <c r="BG47" s="547">
        <f>'4A. Tel. - Exps. &amp; OI x Month'!Q229</f>
        <v/>
      </c>
      <c r="BH47" s="547">
        <f>'4A. Tel. - Exps. &amp; OI x Month'!R229</f>
        <v/>
      </c>
      <c r="BI47" s="547">
        <f>'4A. Tel. - Exps. &amp; OI x Month'!S229</f>
        <v/>
      </c>
      <c r="BJ47" s="547">
        <f>'4A. Tel. - Exps. &amp; OI x Month'!T229</f>
        <v/>
      </c>
      <c r="BK47" s="547">
        <f>'4A. Tel. - Exps. &amp; OI x Month'!U229</f>
        <v/>
      </c>
      <c r="BL47" s="547">
        <f>'4A. Tel. - Exps. &amp; OI x Month'!V229</f>
        <v/>
      </c>
      <c r="BM47" s="547">
        <f>'4A. Tel. - Exps. &amp; OI x Month'!W229</f>
        <v/>
      </c>
      <c r="BN47" s="507" t="n"/>
      <c r="BO47" s="1716">
        <f>SUM(BB47:BM47)</f>
        <v/>
      </c>
      <c r="BP47" s="507" t="n"/>
      <c r="BQ47" s="547">
        <f>'4A. Tel. - Exps. &amp; OI x Month'!L321</f>
        <v/>
      </c>
      <c r="BR47" s="547">
        <f>'4A. Tel. - Exps. &amp; OI x Month'!M321</f>
        <v/>
      </c>
      <c r="BS47" s="547">
        <f>'4A. Tel. - Exps. &amp; OI x Month'!N321</f>
        <v/>
      </c>
      <c r="BT47" s="547">
        <f>'4A. Tel. - Exps. &amp; OI x Month'!O321</f>
        <v/>
      </c>
      <c r="BU47" s="547">
        <f>'4A. Tel. - Exps. &amp; OI x Month'!P321</f>
        <v/>
      </c>
      <c r="BV47" s="547">
        <f>'4A. Tel. - Exps. &amp; OI x Month'!Q321</f>
        <v/>
      </c>
      <c r="BW47" s="547">
        <f>'4A. Tel. - Exps. &amp; OI x Month'!R321</f>
        <v/>
      </c>
      <c r="BX47" s="547">
        <f>'4A. Tel. - Exps. &amp; OI x Month'!S321</f>
        <v/>
      </c>
      <c r="BY47" s="547">
        <f>'4A. Tel. - Exps. &amp; OI x Month'!T321</f>
        <v/>
      </c>
      <c r="BZ47" s="547">
        <f>'4A. Tel. - Exps. &amp; OI x Month'!U321</f>
        <v/>
      </c>
      <c r="CA47" s="547">
        <f>'4A. Tel. - Exps. &amp; OI x Month'!V321</f>
        <v/>
      </c>
      <c r="CB47" s="547">
        <f>'4A. Tel. - Exps. &amp; OI x Month'!W321</f>
        <v/>
      </c>
      <c r="CC47" s="507" t="n"/>
      <c r="CD47" s="1716">
        <f>SUM(BQ47:CB47)</f>
        <v/>
      </c>
      <c r="CE47" s="507" t="n"/>
      <c r="CF47" s="547">
        <f>'4A. Tel. - Exps. &amp; OI x Month'!L413</f>
        <v/>
      </c>
      <c r="CG47" s="547">
        <f>'4A. Tel. - Exps. &amp; OI x Month'!M413</f>
        <v/>
      </c>
      <c r="CH47" s="547">
        <f>'4A. Tel. - Exps. &amp; OI x Month'!N413</f>
        <v/>
      </c>
      <c r="CI47" s="547">
        <f>'4A. Tel. - Exps. &amp; OI x Month'!O413</f>
        <v/>
      </c>
      <c r="CJ47" s="547">
        <f>'4A. Tel. - Exps. &amp; OI x Month'!P413</f>
        <v/>
      </c>
      <c r="CK47" s="547">
        <f>'4A. Tel. - Exps. &amp; OI x Month'!Q413</f>
        <v/>
      </c>
      <c r="CL47" s="547">
        <f>'4A. Tel. - Exps. &amp; OI x Month'!R413</f>
        <v/>
      </c>
      <c r="CM47" s="547">
        <f>'4A. Tel. - Exps. &amp; OI x Month'!S413</f>
        <v/>
      </c>
      <c r="CN47" s="547">
        <f>'4A. Tel. - Exps. &amp; OI x Month'!T413</f>
        <v/>
      </c>
      <c r="CO47" s="547">
        <f>'4A. Tel. - Exps. &amp; OI x Month'!U413</f>
        <v/>
      </c>
      <c r="CP47" s="547">
        <f>'4A. Tel. - Exps. &amp; OI x Month'!V413</f>
        <v/>
      </c>
      <c r="CQ47" s="547">
        <f>'4A. Tel. - Exps. &amp; OI x Month'!W413</f>
        <v/>
      </c>
      <c r="CS47" s="1716">
        <f>SUM(CF47:CQ47)</f>
        <v/>
      </c>
      <c r="CU47" s="547" t="n"/>
      <c r="CV47" s="547" t="n"/>
      <c r="CW47" s="547" t="n"/>
      <c r="CX47" s="547" t="n"/>
    </row>
    <row r="48" ht="15" customHeight="1" s="1883">
      <c r="B48" s="835" t="inlineStr">
        <is>
          <t>●</t>
        </is>
      </c>
      <c r="C48" s="514" t="inlineStr">
        <is>
          <t>Pre-Launch Telephone Inventory Investment</t>
        </is>
      </c>
      <c r="D48" s="514" t="n"/>
      <c r="E48" s="1728" t="n"/>
      <c r="F48" s="1728" t="n"/>
      <c r="G48" s="1728" t="n"/>
      <c r="H48" s="386" t="n"/>
      <c r="I48" s="547">
        <f>'6A. Pre-Launch Exps. - Roll-Up'!K41</f>
        <v/>
      </c>
      <c r="J48" s="547">
        <f>'6A. Pre-Launch Exps. - Roll-Up'!L41</f>
        <v/>
      </c>
      <c r="K48" s="547">
        <f>'6A. Pre-Launch Exps. - Roll-Up'!M41</f>
        <v/>
      </c>
      <c r="L48" s="547">
        <f>'6A. Pre-Launch Exps. - Roll-Up'!N41</f>
        <v/>
      </c>
      <c r="M48" s="547">
        <f>'6A. Pre-Launch Exps. - Roll-Up'!O41</f>
        <v/>
      </c>
      <c r="N48" s="547">
        <f>'6A. Pre-Launch Exps. - Roll-Up'!P41</f>
        <v/>
      </c>
      <c r="O48" s="547">
        <f>'6A. Pre-Launch Exps. - Roll-Up'!Q41</f>
        <v/>
      </c>
      <c r="P48" s="547">
        <f>'6A. Pre-Launch Exps. - Roll-Up'!R41</f>
        <v/>
      </c>
      <c r="Q48" s="547">
        <f>'6A. Pre-Launch Exps. - Roll-Up'!S41</f>
        <v/>
      </c>
      <c r="R48" s="547">
        <f>'6A. Pre-Launch Exps. - Roll-Up'!T41</f>
        <v/>
      </c>
      <c r="S48" s="547">
        <f>'6A. Pre-Launch Exps. - Roll-Up'!U41</f>
        <v/>
      </c>
      <c r="T48" s="547">
        <f>'6A. Pre-Launch Exps. - Roll-Up'!V41</f>
        <v/>
      </c>
      <c r="U48" s="386" t="n"/>
      <c r="V48" s="1716">
        <f>SUM(I48:T48)</f>
        <v/>
      </c>
      <c r="W48" s="386" t="n"/>
      <c r="X48" s="907" t="n">
        <v>0</v>
      </c>
      <c r="Y48" s="907" t="n">
        <v>0</v>
      </c>
      <c r="Z48" s="907" t="n">
        <v>0</v>
      </c>
      <c r="AA48" s="907" t="n">
        <v>0</v>
      </c>
      <c r="AB48" s="907" t="n">
        <v>0</v>
      </c>
      <c r="AC48" s="907" t="n">
        <v>0</v>
      </c>
      <c r="AD48" s="907" t="n">
        <v>0</v>
      </c>
      <c r="AE48" s="907" t="n">
        <v>0</v>
      </c>
      <c r="AF48" s="907" t="n">
        <v>0</v>
      </c>
      <c r="AG48" s="907" t="n">
        <v>0</v>
      </c>
      <c r="AH48" s="907" t="n">
        <v>0</v>
      </c>
      <c r="AI48" s="907" t="n">
        <v>0</v>
      </c>
      <c r="AJ48" s="908" t="n"/>
      <c r="AK48" s="1716">
        <f>SUM(X48:AI48)</f>
        <v/>
      </c>
      <c r="AL48" s="831" t="n"/>
      <c r="AM48" s="907" t="n">
        <v>0</v>
      </c>
      <c r="AN48" s="907" t="n">
        <v>0</v>
      </c>
      <c r="AO48" s="907" t="n">
        <v>0</v>
      </c>
      <c r="AP48" s="907" t="n">
        <v>0</v>
      </c>
      <c r="AQ48" s="907" t="n">
        <v>0</v>
      </c>
      <c r="AR48" s="907" t="n">
        <v>0</v>
      </c>
      <c r="AS48" s="907" t="n">
        <v>0</v>
      </c>
      <c r="AT48" s="907" t="n">
        <v>0</v>
      </c>
      <c r="AU48" s="907" t="n">
        <v>0</v>
      </c>
      <c r="AV48" s="907" t="n">
        <v>0</v>
      </c>
      <c r="AW48" s="907" t="n">
        <v>0</v>
      </c>
      <c r="AX48" s="907" t="n">
        <v>0</v>
      </c>
      <c r="AY48" s="908" t="n"/>
      <c r="AZ48" s="1716">
        <f>SUM(AM48:AX48)</f>
        <v/>
      </c>
      <c r="BA48" s="507" t="n"/>
      <c r="BB48" s="907" t="n">
        <v>0</v>
      </c>
      <c r="BC48" s="907" t="n">
        <v>0</v>
      </c>
      <c r="BD48" s="907" t="n">
        <v>0</v>
      </c>
      <c r="BE48" s="907" t="n">
        <v>0</v>
      </c>
      <c r="BF48" s="907" t="n">
        <v>0</v>
      </c>
      <c r="BG48" s="907" t="n">
        <v>0</v>
      </c>
      <c r="BH48" s="907" t="n">
        <v>0</v>
      </c>
      <c r="BI48" s="907" t="n">
        <v>0</v>
      </c>
      <c r="BJ48" s="907" t="n">
        <v>0</v>
      </c>
      <c r="BK48" s="907" t="n">
        <v>0</v>
      </c>
      <c r="BL48" s="907" t="n">
        <v>0</v>
      </c>
      <c r="BM48" s="907" t="n">
        <v>0</v>
      </c>
      <c r="BN48" s="908" t="n"/>
      <c r="BO48" s="1716">
        <f>SUM(BB48:BM48)</f>
        <v/>
      </c>
      <c r="BP48" s="507" t="n"/>
      <c r="BQ48" s="907" t="n">
        <v>0</v>
      </c>
      <c r="BR48" s="907" t="n">
        <v>0</v>
      </c>
      <c r="BS48" s="907" t="n">
        <v>0</v>
      </c>
      <c r="BT48" s="907" t="n">
        <v>0</v>
      </c>
      <c r="BU48" s="907" t="n">
        <v>0</v>
      </c>
      <c r="BV48" s="907" t="n">
        <v>0</v>
      </c>
      <c r="BW48" s="907" t="n">
        <v>0</v>
      </c>
      <c r="BX48" s="907" t="n">
        <v>0</v>
      </c>
      <c r="BY48" s="907" t="n">
        <v>0</v>
      </c>
      <c r="BZ48" s="907" t="n">
        <v>0</v>
      </c>
      <c r="CA48" s="907" t="n">
        <v>0</v>
      </c>
      <c r="CB48" s="907" t="n">
        <v>0</v>
      </c>
      <c r="CC48" s="908" t="n"/>
      <c r="CD48" s="1716">
        <f>SUM(BQ48:CB48)</f>
        <v/>
      </c>
      <c r="CE48" s="507" t="n"/>
      <c r="CF48" s="907" t="n">
        <v>0</v>
      </c>
      <c r="CG48" s="907" t="n">
        <v>0</v>
      </c>
      <c r="CH48" s="907" t="n">
        <v>0</v>
      </c>
      <c r="CI48" s="907" t="n">
        <v>0</v>
      </c>
      <c r="CJ48" s="907" t="n">
        <v>0</v>
      </c>
      <c r="CK48" s="907" t="n">
        <v>0</v>
      </c>
      <c r="CL48" s="907" t="n">
        <v>0</v>
      </c>
      <c r="CM48" s="907" t="n">
        <v>0</v>
      </c>
      <c r="CN48" s="907" t="n">
        <v>0</v>
      </c>
      <c r="CO48" s="907" t="n">
        <v>0</v>
      </c>
      <c r="CP48" s="907" t="n">
        <v>0</v>
      </c>
      <c r="CQ48" s="907" t="n">
        <v>0</v>
      </c>
      <c r="CR48" s="908" t="n"/>
      <c r="CS48" s="1716">
        <f>SUM(CF48:CQ48)</f>
        <v/>
      </c>
      <c r="CU48" s="547" t="n"/>
      <c r="CV48" s="547" t="n"/>
      <c r="CW48" s="547" t="n"/>
      <c r="CX48" s="547" t="n"/>
    </row>
    <row r="49" ht="15" customHeight="1" s="1883">
      <c r="B49" s="835" t="inlineStr">
        <is>
          <t>●</t>
        </is>
      </c>
      <c r="C49" s="526" t="inlineStr">
        <is>
          <t>Post-Lauch Telephone Inventory Purchases</t>
        </is>
      </c>
      <c r="D49" s="526" t="n"/>
      <c r="E49" s="1729" t="n"/>
      <c r="F49" s="1729" t="n"/>
      <c r="G49" s="1729" t="n"/>
      <c r="H49" s="386" t="n"/>
      <c r="I49" s="547">
        <f>'2C. Inventory Cash Disburse.'!G40</f>
        <v/>
      </c>
      <c r="J49" s="547">
        <f>'2C. Inventory Cash Disburse.'!H40</f>
        <v/>
      </c>
      <c r="K49" s="547">
        <f>'2C. Inventory Cash Disburse.'!I40</f>
        <v/>
      </c>
      <c r="L49" s="547">
        <f>'2C. Inventory Cash Disburse.'!M40</f>
        <v/>
      </c>
      <c r="M49" s="547">
        <f>'2C. Inventory Cash Disburse.'!N40</f>
        <v/>
      </c>
      <c r="N49" s="547">
        <f>'2C. Inventory Cash Disburse.'!O40</f>
        <v/>
      </c>
      <c r="O49" s="547">
        <f>'2C. Inventory Cash Disburse.'!P40</f>
        <v/>
      </c>
      <c r="P49" s="547">
        <f>'2C. Inventory Cash Disburse.'!Q40</f>
        <v/>
      </c>
      <c r="Q49" s="547">
        <f>'2C. Inventory Cash Disburse.'!R40</f>
        <v/>
      </c>
      <c r="R49" s="547">
        <f>'2C. Inventory Cash Disburse.'!S40</f>
        <v/>
      </c>
      <c r="S49" s="547">
        <f>'2C. Inventory Cash Disburse.'!T40</f>
        <v/>
      </c>
      <c r="T49" s="845">
        <f>'2C. Inventory Cash Disburse.'!U40</f>
        <v/>
      </c>
      <c r="U49" s="386" t="n"/>
      <c r="V49" s="1723">
        <f>SUM(I49:T49)</f>
        <v/>
      </c>
      <c r="W49" s="386" t="n"/>
      <c r="X49" s="547">
        <f>'2C. Inventory Cash Disburse.'!Y40</f>
        <v/>
      </c>
      <c r="Y49" s="547">
        <f>'2C. Inventory Cash Disburse.'!Z40</f>
        <v/>
      </c>
      <c r="Z49" s="547">
        <f>'2C. Inventory Cash Disburse.'!AA40</f>
        <v/>
      </c>
      <c r="AA49" s="547">
        <f>'2C. Inventory Cash Disburse.'!AB40</f>
        <v/>
      </c>
      <c r="AB49" s="547">
        <f>'2C. Inventory Cash Disburse.'!AC40</f>
        <v/>
      </c>
      <c r="AC49" s="547">
        <f>'2C. Inventory Cash Disburse.'!AD40</f>
        <v/>
      </c>
      <c r="AD49" s="547">
        <f>'2C. Inventory Cash Disburse.'!AE40</f>
        <v/>
      </c>
      <c r="AE49" s="547">
        <f>'2C. Inventory Cash Disburse.'!AF40</f>
        <v/>
      </c>
      <c r="AF49" s="547">
        <f>'2C. Inventory Cash Disburse.'!AG40</f>
        <v/>
      </c>
      <c r="AG49" s="547">
        <f>'2C. Inventory Cash Disburse.'!AH40</f>
        <v/>
      </c>
      <c r="AH49" s="547">
        <f>'2C. Inventory Cash Disburse.'!AI40</f>
        <v/>
      </c>
      <c r="AI49" s="547">
        <f>'2C. Inventory Cash Disburse.'!AJ40</f>
        <v/>
      </c>
      <c r="AJ49" s="831" t="n"/>
      <c r="AK49" s="1723">
        <f>SUM(X49:AI49)</f>
        <v/>
      </c>
      <c r="AL49" s="831" t="n"/>
      <c r="AM49" s="547">
        <f>'2C. Inventory Cash Disburse.'!AN40</f>
        <v/>
      </c>
      <c r="AN49" s="547">
        <f>'2C. Inventory Cash Disburse.'!AO40</f>
        <v/>
      </c>
      <c r="AO49" s="547">
        <f>'2C. Inventory Cash Disburse.'!AP40</f>
        <v/>
      </c>
      <c r="AP49" s="547">
        <f>'2C. Inventory Cash Disburse.'!AQ40</f>
        <v/>
      </c>
      <c r="AQ49" s="547">
        <f>'2C. Inventory Cash Disburse.'!AR40</f>
        <v/>
      </c>
      <c r="AR49" s="547">
        <f>'2C. Inventory Cash Disburse.'!AS40</f>
        <v/>
      </c>
      <c r="AS49" s="547">
        <f>'2C. Inventory Cash Disburse.'!AT40</f>
        <v/>
      </c>
      <c r="AT49" s="547">
        <f>'2C. Inventory Cash Disburse.'!AU40</f>
        <v/>
      </c>
      <c r="AU49" s="547">
        <f>'2C. Inventory Cash Disburse.'!AV40</f>
        <v/>
      </c>
      <c r="AV49" s="547">
        <f>'2C. Inventory Cash Disburse.'!AW40</f>
        <v/>
      </c>
      <c r="AW49" s="547">
        <f>'2C. Inventory Cash Disburse.'!AX40</f>
        <v/>
      </c>
      <c r="AX49" s="547">
        <f>'2C. Inventory Cash Disburse.'!AY40</f>
        <v/>
      </c>
      <c r="AY49" s="507" t="n"/>
      <c r="AZ49" s="1723">
        <f>SUM(AM49:AX49)</f>
        <v/>
      </c>
      <c r="BA49" s="507" t="n"/>
      <c r="BB49" s="462">
        <f>'2C. Inventory Cash Disburse.'!BC40</f>
        <v/>
      </c>
      <c r="BC49" s="462">
        <f>'2C. Inventory Cash Disburse.'!BD40</f>
        <v/>
      </c>
      <c r="BD49" s="462">
        <f>'2C. Inventory Cash Disburse.'!BE40</f>
        <v/>
      </c>
      <c r="BE49" s="462">
        <f>'2C. Inventory Cash Disburse.'!BF40</f>
        <v/>
      </c>
      <c r="BF49" s="462">
        <f>'2C. Inventory Cash Disburse.'!BG40</f>
        <v/>
      </c>
      <c r="BG49" s="462">
        <f>'2C. Inventory Cash Disburse.'!BH40</f>
        <v/>
      </c>
      <c r="BH49" s="462">
        <f>'2C. Inventory Cash Disburse.'!BI40</f>
        <v/>
      </c>
      <c r="BI49" s="462">
        <f>'2C. Inventory Cash Disburse.'!BJ40</f>
        <v/>
      </c>
      <c r="BJ49" s="462">
        <f>'2C. Inventory Cash Disburse.'!BK40</f>
        <v/>
      </c>
      <c r="BK49" s="462">
        <f>'2C. Inventory Cash Disburse.'!BL40</f>
        <v/>
      </c>
      <c r="BL49" s="462">
        <f>'2C. Inventory Cash Disburse.'!BM40</f>
        <v/>
      </c>
      <c r="BM49" s="462">
        <f>'2C. Inventory Cash Disburse.'!BN40</f>
        <v/>
      </c>
      <c r="BN49" s="507" t="n"/>
      <c r="BO49" s="1723">
        <f>SUM(BB49:BM49)</f>
        <v/>
      </c>
      <c r="BP49" s="507" t="n"/>
      <c r="BQ49" s="462">
        <f>'2C. Inventory Cash Disburse.'!BR40</f>
        <v/>
      </c>
      <c r="BR49" s="462">
        <f>'2C. Inventory Cash Disburse.'!BS40</f>
        <v/>
      </c>
      <c r="BS49" s="462">
        <f>'2C. Inventory Cash Disburse.'!BT40</f>
        <v/>
      </c>
      <c r="BT49" s="462">
        <f>'2C. Inventory Cash Disburse.'!BU40</f>
        <v/>
      </c>
      <c r="BU49" s="462">
        <f>'2C. Inventory Cash Disburse.'!BV40</f>
        <v/>
      </c>
      <c r="BV49" s="462">
        <f>'2C. Inventory Cash Disburse.'!BW40</f>
        <v/>
      </c>
      <c r="BW49" s="462">
        <f>'2C. Inventory Cash Disburse.'!BX40</f>
        <v/>
      </c>
      <c r="BX49" s="462">
        <f>'2C. Inventory Cash Disburse.'!BY40</f>
        <v/>
      </c>
      <c r="BY49" s="462">
        <f>'2C. Inventory Cash Disburse.'!BZ40</f>
        <v/>
      </c>
      <c r="BZ49" s="462">
        <f>'2C. Inventory Cash Disburse.'!CA40</f>
        <v/>
      </c>
      <c r="CA49" s="462">
        <f>'2C. Inventory Cash Disburse.'!CB40</f>
        <v/>
      </c>
      <c r="CB49" s="462">
        <f>'2C. Inventory Cash Disburse.'!CC40</f>
        <v/>
      </c>
      <c r="CC49" s="507" t="n"/>
      <c r="CD49" s="1723">
        <f>SUM(BQ49:CB49)</f>
        <v/>
      </c>
      <c r="CE49" s="507" t="n"/>
      <c r="CF49" s="462">
        <f>'2C. Inventory Cash Disburse.'!CG40</f>
        <v/>
      </c>
      <c r="CG49" s="462">
        <f>'2C. Inventory Cash Disburse.'!CH40</f>
        <v/>
      </c>
      <c r="CH49" s="462">
        <f>'2C. Inventory Cash Disburse.'!CI40</f>
        <v/>
      </c>
      <c r="CI49" s="462">
        <f>'2C. Inventory Cash Disburse.'!CJ40</f>
        <v/>
      </c>
      <c r="CJ49" s="462">
        <f>'2C. Inventory Cash Disburse.'!CK40</f>
        <v/>
      </c>
      <c r="CK49" s="462">
        <f>'2C. Inventory Cash Disburse.'!CL40</f>
        <v/>
      </c>
      <c r="CL49" s="462">
        <f>'2C. Inventory Cash Disburse.'!CM40</f>
        <v/>
      </c>
      <c r="CM49" s="462">
        <f>'2C. Inventory Cash Disburse.'!CN40</f>
        <v/>
      </c>
      <c r="CN49" s="462">
        <f>'2C. Inventory Cash Disburse.'!CO40</f>
        <v/>
      </c>
      <c r="CO49" s="462">
        <f>'2C. Inventory Cash Disburse.'!CP40</f>
        <v/>
      </c>
      <c r="CP49" s="462">
        <f>'2C. Inventory Cash Disburse.'!CQ40</f>
        <v/>
      </c>
      <c r="CQ49" s="462">
        <f>'2C. Inventory Cash Disburse.'!CR40</f>
        <v/>
      </c>
      <c r="CS49" s="1723">
        <f>SUM(CF49:CQ49)</f>
        <v/>
      </c>
      <c r="CU49" s="547" t="n"/>
      <c r="CV49" s="547" t="n"/>
      <c r="CW49" s="547" t="n"/>
      <c r="CX49" s="547" t="n"/>
    </row>
    <row r="50" ht="15" customHeight="1" s="1883">
      <c r="B50" s="835" t="inlineStr">
        <is>
          <t>●</t>
        </is>
      </c>
      <c r="C50" s="514" t="inlineStr">
        <is>
          <t>Sales and Marketing</t>
        </is>
      </c>
      <c r="D50" s="514" t="n"/>
      <c r="E50" s="1728" t="n"/>
      <c r="F50" s="1728" t="n"/>
      <c r="G50" s="1728" t="n"/>
      <c r="H50" s="386" t="n"/>
      <c r="I50" s="547">
        <f>'6A. Pre-Launch Exps. - Roll-Up'!K53</f>
        <v/>
      </c>
      <c r="J50" s="547">
        <f>'6A. Pre-Launch Exps. - Roll-Up'!L53</f>
        <v/>
      </c>
      <c r="K50" s="547">
        <f>'6A. Pre-Launch Exps. - Roll-Up'!M53</f>
        <v/>
      </c>
      <c r="L50" s="547">
        <f>'6A. Pre-Launch Exps. - Roll-Up'!N53</f>
        <v/>
      </c>
      <c r="M50" s="547">
        <f>'6A. Pre-Launch Exps. - Roll-Up'!O53</f>
        <v/>
      </c>
      <c r="N50" s="547">
        <f>'6A. Pre-Launch Exps. - Roll-Up'!P53</f>
        <v/>
      </c>
      <c r="O50" s="547">
        <f>'6A. Pre-Launch Exps. - Roll-Up'!Q53</f>
        <v/>
      </c>
      <c r="P50" s="547">
        <f>'6A. Pre-Launch Exps. - Roll-Up'!R53</f>
        <v/>
      </c>
      <c r="Q50" s="547">
        <f>'6A. Pre-Launch Exps. - Roll-Up'!S53</f>
        <v/>
      </c>
      <c r="R50" s="547">
        <f>'6A. Pre-Launch Exps. - Roll-Up'!T53</f>
        <v/>
      </c>
      <c r="S50" s="547">
        <f>'6A. Pre-Launch Exps. - Roll-Up'!U53</f>
        <v/>
      </c>
      <c r="T50" s="547">
        <f>'6A. Pre-Launch Exps. - Roll-Up'!V53</f>
        <v/>
      </c>
      <c r="U50" s="386" t="n"/>
      <c r="V50" s="1716">
        <f>SUM(I50:T50)</f>
        <v/>
      </c>
      <c r="W50" s="386" t="n"/>
      <c r="X50" s="547">
        <f>'4A. Tel. - Exps. &amp; OI x Month'!$L54</f>
        <v/>
      </c>
      <c r="Y50" s="547">
        <f>'4A. Tel. - Exps. &amp; OI x Month'!$M54</f>
        <v/>
      </c>
      <c r="Z50" s="547">
        <f>'4A. Tel. - Exps. &amp; OI x Month'!$N54</f>
        <v/>
      </c>
      <c r="AA50" s="547">
        <f>'4A. Tel. - Exps. &amp; OI x Month'!$O54</f>
        <v/>
      </c>
      <c r="AB50" s="547">
        <f>'4A. Tel. - Exps. &amp; OI x Month'!$P54</f>
        <v/>
      </c>
      <c r="AC50" s="547">
        <f>'4A. Tel. - Exps. &amp; OI x Month'!$Q54</f>
        <v/>
      </c>
      <c r="AD50" s="547">
        <f>'4A. Tel. - Exps. &amp; OI x Month'!$R54</f>
        <v/>
      </c>
      <c r="AE50" s="547">
        <f>'4A. Tel. - Exps. &amp; OI x Month'!$S54</f>
        <v/>
      </c>
      <c r="AF50" s="547">
        <f>'4A. Tel. - Exps. &amp; OI x Month'!$T54</f>
        <v/>
      </c>
      <c r="AG50" s="547">
        <f>'4A. Tel. - Exps. &amp; OI x Month'!$U54</f>
        <v/>
      </c>
      <c r="AH50" s="547">
        <f>'4A. Tel. - Exps. &amp; OI x Month'!$V54</f>
        <v/>
      </c>
      <c r="AI50" s="547">
        <f>'4A. Tel. - Exps. &amp; OI x Month'!$W54</f>
        <v/>
      </c>
      <c r="AJ50" s="831" t="n"/>
      <c r="AK50" s="1716">
        <f>SUM(X50:AI50)</f>
        <v/>
      </c>
      <c r="AL50" s="831" t="n"/>
      <c r="AM50" s="547">
        <f>'4A. Tel. - Exps. &amp; OI x Month'!L$146</f>
        <v/>
      </c>
      <c r="AN50" s="547">
        <f>'4A. Tel. - Exps. &amp; OI x Month'!M$146</f>
        <v/>
      </c>
      <c r="AO50" s="547">
        <f>'4A. Tel. - Exps. &amp; OI x Month'!N$146</f>
        <v/>
      </c>
      <c r="AP50" s="547">
        <f>'4A. Tel. - Exps. &amp; OI x Month'!O$146</f>
        <v/>
      </c>
      <c r="AQ50" s="547">
        <f>'4A. Tel. - Exps. &amp; OI x Month'!P$146</f>
        <v/>
      </c>
      <c r="AR50" s="547">
        <f>'4A. Tel. - Exps. &amp; OI x Month'!Q$146</f>
        <v/>
      </c>
      <c r="AS50" s="547">
        <f>'4A. Tel. - Exps. &amp; OI x Month'!R$146</f>
        <v/>
      </c>
      <c r="AT50" s="547">
        <f>'4A. Tel. - Exps. &amp; OI x Month'!S$146</f>
        <v/>
      </c>
      <c r="AU50" s="547">
        <f>'4A. Tel. - Exps. &amp; OI x Month'!T$146</f>
        <v/>
      </c>
      <c r="AV50" s="547">
        <f>'4A. Tel. - Exps. &amp; OI x Month'!U$146</f>
        <v/>
      </c>
      <c r="AW50" s="547">
        <f>'4A. Tel. - Exps. &amp; OI x Month'!V$146</f>
        <v/>
      </c>
      <c r="AX50" s="547">
        <f>'4A. Tel. - Exps. &amp; OI x Month'!W$146</f>
        <v/>
      </c>
      <c r="AY50" s="507" t="n"/>
      <c r="AZ50" s="1716">
        <f>SUM(AM50:AX50)</f>
        <v/>
      </c>
      <c r="BA50" s="507" t="n"/>
      <c r="BB50" s="547">
        <f>'4A. Tel. - Exps. &amp; OI x Month'!L238</f>
        <v/>
      </c>
      <c r="BC50" s="547">
        <f>'4A. Tel. - Exps. &amp; OI x Month'!M238</f>
        <v/>
      </c>
      <c r="BD50" s="547">
        <f>'4A. Tel. - Exps. &amp; OI x Month'!N238</f>
        <v/>
      </c>
      <c r="BE50" s="547">
        <f>'4A. Tel. - Exps. &amp; OI x Month'!O238</f>
        <v/>
      </c>
      <c r="BF50" s="547">
        <f>'4A. Tel. - Exps. &amp; OI x Month'!P238</f>
        <v/>
      </c>
      <c r="BG50" s="547">
        <f>'4A. Tel. - Exps. &amp; OI x Month'!Q238</f>
        <v/>
      </c>
      <c r="BH50" s="547">
        <f>'4A. Tel. - Exps. &amp; OI x Month'!R238</f>
        <v/>
      </c>
      <c r="BI50" s="547">
        <f>'4A. Tel. - Exps. &amp; OI x Month'!S238</f>
        <v/>
      </c>
      <c r="BJ50" s="547">
        <f>'4A. Tel. - Exps. &amp; OI x Month'!T238</f>
        <v/>
      </c>
      <c r="BK50" s="547">
        <f>'4A. Tel. - Exps. &amp; OI x Month'!U238</f>
        <v/>
      </c>
      <c r="BL50" s="547">
        <f>'4A. Tel. - Exps. &amp; OI x Month'!V238</f>
        <v/>
      </c>
      <c r="BM50" s="547">
        <f>'4A. Tel. - Exps. &amp; OI x Month'!W238</f>
        <v/>
      </c>
      <c r="BN50" s="507" t="n"/>
      <c r="BO50" s="1716">
        <f>SUM(BB50:BM50)</f>
        <v/>
      </c>
      <c r="BP50" s="507" t="n"/>
      <c r="BQ50" s="507">
        <f>'4A. Tel. - Exps. &amp; OI x Month'!L330</f>
        <v/>
      </c>
      <c r="BR50" s="507">
        <f>'4A. Tel. - Exps. &amp; OI x Month'!M330</f>
        <v/>
      </c>
      <c r="BS50" s="507">
        <f>'4A. Tel. - Exps. &amp; OI x Month'!N330</f>
        <v/>
      </c>
      <c r="BT50" s="507">
        <f>'4A. Tel. - Exps. &amp; OI x Month'!O330</f>
        <v/>
      </c>
      <c r="BU50" s="507">
        <f>'4A. Tel. - Exps. &amp; OI x Month'!P330</f>
        <v/>
      </c>
      <c r="BV50" s="507">
        <f>'4A. Tel. - Exps. &amp; OI x Month'!Q330</f>
        <v/>
      </c>
      <c r="BW50" s="507">
        <f>'4A. Tel. - Exps. &amp; OI x Month'!R330</f>
        <v/>
      </c>
      <c r="BX50" s="507">
        <f>'4A. Tel. - Exps. &amp; OI x Month'!S330</f>
        <v/>
      </c>
      <c r="BY50" s="507">
        <f>'4A. Tel. - Exps. &amp; OI x Month'!T330</f>
        <v/>
      </c>
      <c r="BZ50" s="507">
        <f>'4A. Tel. - Exps. &amp; OI x Month'!U330</f>
        <v/>
      </c>
      <c r="CA50" s="507">
        <f>'4A. Tel. - Exps. &amp; OI x Month'!V330</f>
        <v/>
      </c>
      <c r="CB50" s="507">
        <f>'4A. Tel. - Exps. &amp; OI x Month'!W330</f>
        <v/>
      </c>
      <c r="CC50" s="507" t="n"/>
      <c r="CD50" s="1716">
        <f>SUM(BQ50:CB50)</f>
        <v/>
      </c>
      <c r="CE50" s="507" t="n"/>
      <c r="CF50" s="507">
        <f>'4A. Tel. - Exps. &amp; OI x Month'!L422</f>
        <v/>
      </c>
      <c r="CG50" s="507">
        <f>'4A. Tel. - Exps. &amp; OI x Month'!M422</f>
        <v/>
      </c>
      <c r="CH50" s="507">
        <f>'4A. Tel. - Exps. &amp; OI x Month'!N422</f>
        <v/>
      </c>
      <c r="CI50" s="507">
        <f>'4A. Tel. - Exps. &amp; OI x Month'!O422</f>
        <v/>
      </c>
      <c r="CJ50" s="507">
        <f>'4A. Tel. - Exps. &amp; OI x Month'!P422</f>
        <v/>
      </c>
      <c r="CK50" s="507">
        <f>'4A. Tel. - Exps. &amp; OI x Month'!Q422</f>
        <v/>
      </c>
      <c r="CL50" s="507">
        <f>'4A. Tel. - Exps. &amp; OI x Month'!R422</f>
        <v/>
      </c>
      <c r="CM50" s="507">
        <f>'4A. Tel. - Exps. &amp; OI x Month'!S422</f>
        <v/>
      </c>
      <c r="CN50" s="507">
        <f>'4A. Tel. - Exps. &amp; OI x Month'!T422</f>
        <v/>
      </c>
      <c r="CO50" s="507">
        <f>'4A. Tel. - Exps. &amp; OI x Month'!U422</f>
        <v/>
      </c>
      <c r="CP50" s="507">
        <f>'4A. Tel. - Exps. &amp; OI x Month'!V422</f>
        <v/>
      </c>
      <c r="CQ50" s="507">
        <f>'4A. Tel. - Exps. &amp; OI x Month'!W422</f>
        <v/>
      </c>
      <c r="CS50" s="1716">
        <f>SUM(CF50:CQ50)</f>
        <v/>
      </c>
      <c r="CU50" s="547" t="n"/>
      <c r="CV50" s="547" t="n"/>
      <c r="CW50" s="547" t="n"/>
      <c r="CX50" s="547" t="n"/>
    </row>
    <row r="51" ht="15" customHeight="1" s="1883">
      <c r="B51" s="835" t="inlineStr">
        <is>
          <t>●</t>
        </is>
      </c>
      <c r="C51" s="514" t="inlineStr">
        <is>
          <t>Occupancy</t>
        </is>
      </c>
      <c r="D51" s="514" t="n"/>
      <c r="E51" s="1728" t="n"/>
      <c r="F51" s="1728" t="n"/>
      <c r="G51" s="1728" t="n"/>
      <c r="H51" s="386" t="n"/>
      <c r="I51" s="547">
        <f>'6A. Pre-Launch Exps. - Roll-Up'!K62</f>
        <v/>
      </c>
      <c r="J51" s="547">
        <f>'6A. Pre-Launch Exps. - Roll-Up'!L62</f>
        <v/>
      </c>
      <c r="K51" s="547">
        <f>'6A. Pre-Launch Exps. - Roll-Up'!M62</f>
        <v/>
      </c>
      <c r="L51" s="547">
        <f>'6A. Pre-Launch Exps. - Roll-Up'!N62</f>
        <v/>
      </c>
      <c r="M51" s="547">
        <f>'6A. Pre-Launch Exps. - Roll-Up'!O62</f>
        <v/>
      </c>
      <c r="N51" s="547">
        <f>'6A. Pre-Launch Exps. - Roll-Up'!P62</f>
        <v/>
      </c>
      <c r="O51" s="547">
        <f>'6A. Pre-Launch Exps. - Roll-Up'!Q62</f>
        <v/>
      </c>
      <c r="P51" s="547">
        <f>'6A. Pre-Launch Exps. - Roll-Up'!R62</f>
        <v/>
      </c>
      <c r="Q51" s="547">
        <f>'6A. Pre-Launch Exps. - Roll-Up'!S62</f>
        <v/>
      </c>
      <c r="R51" s="547">
        <f>'6A. Pre-Launch Exps. - Roll-Up'!T62</f>
        <v/>
      </c>
      <c r="S51" s="547">
        <f>'6A. Pre-Launch Exps. - Roll-Up'!U62</f>
        <v/>
      </c>
      <c r="T51" s="547">
        <f>'6A. Pre-Launch Exps. - Roll-Up'!V62</f>
        <v/>
      </c>
      <c r="U51" s="386" t="n"/>
      <c r="V51" s="1716">
        <f>SUM(I51:T51)</f>
        <v/>
      </c>
      <c r="W51" s="386" t="n"/>
      <c r="X51" s="547">
        <f>'4A. Tel. - Exps. &amp; OI x Month'!$L63</f>
        <v/>
      </c>
      <c r="Y51" s="547">
        <f>'4A. Tel. - Exps. &amp; OI x Month'!$M63</f>
        <v/>
      </c>
      <c r="Z51" s="547">
        <f>'4A. Tel. - Exps. &amp; OI x Month'!$N63</f>
        <v/>
      </c>
      <c r="AA51" s="547">
        <f>'4A. Tel. - Exps. &amp; OI x Month'!$O63</f>
        <v/>
      </c>
      <c r="AB51" s="547">
        <f>'4A. Tel. - Exps. &amp; OI x Month'!$P63</f>
        <v/>
      </c>
      <c r="AC51" s="547">
        <f>'4A. Tel. - Exps. &amp; OI x Month'!$Q63</f>
        <v/>
      </c>
      <c r="AD51" s="547">
        <f>'4A. Tel. - Exps. &amp; OI x Month'!$R63</f>
        <v/>
      </c>
      <c r="AE51" s="547">
        <f>'4A. Tel. - Exps. &amp; OI x Month'!$S63</f>
        <v/>
      </c>
      <c r="AF51" s="547">
        <f>'4A. Tel. - Exps. &amp; OI x Month'!$T63</f>
        <v/>
      </c>
      <c r="AG51" s="547">
        <f>'4A. Tel. - Exps. &amp; OI x Month'!$U63</f>
        <v/>
      </c>
      <c r="AH51" s="547">
        <f>'4A. Tel. - Exps. &amp; OI x Month'!$V63</f>
        <v/>
      </c>
      <c r="AI51" s="547">
        <f>'4A. Tel. - Exps. &amp; OI x Month'!$W63</f>
        <v/>
      </c>
      <c r="AJ51" s="831" t="n"/>
      <c r="AK51" s="1716">
        <f>SUM(X51:AI51)</f>
        <v/>
      </c>
      <c r="AL51" s="831" t="n"/>
      <c r="AM51" s="547">
        <f>'4A. Tel. - Exps. &amp; OI x Month'!L155</f>
        <v/>
      </c>
      <c r="AN51" s="547">
        <f>'4A. Tel. - Exps. &amp; OI x Month'!M155</f>
        <v/>
      </c>
      <c r="AO51" s="547">
        <f>'4A. Tel. - Exps. &amp; OI x Month'!N155</f>
        <v/>
      </c>
      <c r="AP51" s="547">
        <f>'4A. Tel. - Exps. &amp; OI x Month'!O155</f>
        <v/>
      </c>
      <c r="AQ51" s="547">
        <f>'4A. Tel. - Exps. &amp; OI x Month'!P155</f>
        <v/>
      </c>
      <c r="AR51" s="547">
        <f>'4A. Tel. - Exps. &amp; OI x Month'!Q155</f>
        <v/>
      </c>
      <c r="AS51" s="547">
        <f>'4A. Tel. - Exps. &amp; OI x Month'!R155</f>
        <v/>
      </c>
      <c r="AT51" s="547">
        <f>'4A. Tel. - Exps. &amp; OI x Month'!S155</f>
        <v/>
      </c>
      <c r="AU51" s="547">
        <f>'4A. Tel. - Exps. &amp; OI x Month'!T155</f>
        <v/>
      </c>
      <c r="AV51" s="547">
        <f>'4A. Tel. - Exps. &amp; OI x Month'!U155</f>
        <v/>
      </c>
      <c r="AW51" s="547">
        <f>'4A. Tel. - Exps. &amp; OI x Month'!V155</f>
        <v/>
      </c>
      <c r="AX51" s="547">
        <f>'4A. Tel. - Exps. &amp; OI x Month'!W155</f>
        <v/>
      </c>
      <c r="AY51" s="507" t="n"/>
      <c r="AZ51" s="1716">
        <f>SUM(AM51:AX51)</f>
        <v/>
      </c>
      <c r="BA51" s="507" t="n"/>
      <c r="BB51" s="547">
        <f>'4A. Tel. - Exps. &amp; OI x Month'!L247</f>
        <v/>
      </c>
      <c r="BC51" s="547">
        <f>'4A. Tel. - Exps. &amp; OI x Month'!M247</f>
        <v/>
      </c>
      <c r="BD51" s="547">
        <f>'4A. Tel. - Exps. &amp; OI x Month'!N247</f>
        <v/>
      </c>
      <c r="BE51" s="547">
        <f>'4A. Tel. - Exps. &amp; OI x Month'!O247</f>
        <v/>
      </c>
      <c r="BF51" s="547">
        <f>'4A. Tel. - Exps. &amp; OI x Month'!P247</f>
        <v/>
      </c>
      <c r="BG51" s="547">
        <f>'4A. Tel. - Exps. &amp; OI x Month'!Q247</f>
        <v/>
      </c>
      <c r="BH51" s="547">
        <f>'4A. Tel. - Exps. &amp; OI x Month'!R247</f>
        <v/>
      </c>
      <c r="BI51" s="547">
        <f>'4A. Tel. - Exps. &amp; OI x Month'!S247</f>
        <v/>
      </c>
      <c r="BJ51" s="547">
        <f>'4A. Tel. - Exps. &amp; OI x Month'!T247</f>
        <v/>
      </c>
      <c r="BK51" s="547">
        <f>'4A. Tel. - Exps. &amp; OI x Month'!U247</f>
        <v/>
      </c>
      <c r="BL51" s="547">
        <f>'4A. Tel. - Exps. &amp; OI x Month'!V247</f>
        <v/>
      </c>
      <c r="BM51" s="547">
        <f>'4A. Tel. - Exps. &amp; OI x Month'!W247</f>
        <v/>
      </c>
      <c r="BN51" s="507" t="n"/>
      <c r="BO51" s="1716">
        <f>SUM(BB51:BM51)</f>
        <v/>
      </c>
      <c r="BP51" s="507" t="n"/>
      <c r="BQ51" s="547">
        <f>'4A. Tel. - Exps. &amp; OI x Month'!L339</f>
        <v/>
      </c>
      <c r="BR51" s="547">
        <f>'4A. Tel. - Exps. &amp; OI x Month'!M339</f>
        <v/>
      </c>
      <c r="BS51" s="547">
        <f>'4A. Tel. - Exps. &amp; OI x Month'!N339</f>
        <v/>
      </c>
      <c r="BT51" s="547">
        <f>'4A. Tel. - Exps. &amp; OI x Month'!O339</f>
        <v/>
      </c>
      <c r="BU51" s="547">
        <f>'4A. Tel. - Exps. &amp; OI x Month'!P339</f>
        <v/>
      </c>
      <c r="BV51" s="547">
        <f>'4A. Tel. - Exps. &amp; OI x Month'!Q339</f>
        <v/>
      </c>
      <c r="BW51" s="547">
        <f>'4A. Tel. - Exps. &amp; OI x Month'!R339</f>
        <v/>
      </c>
      <c r="BX51" s="547">
        <f>'4A. Tel. - Exps. &amp; OI x Month'!S339</f>
        <v/>
      </c>
      <c r="BY51" s="547">
        <f>'4A. Tel. - Exps. &amp; OI x Month'!T339</f>
        <v/>
      </c>
      <c r="BZ51" s="547">
        <f>'4A. Tel. - Exps. &amp; OI x Month'!U339</f>
        <v/>
      </c>
      <c r="CA51" s="547">
        <f>'4A. Tel. - Exps. &amp; OI x Month'!V339</f>
        <v/>
      </c>
      <c r="CB51" s="547">
        <f>'4A. Tel. - Exps. &amp; OI x Month'!W339</f>
        <v/>
      </c>
      <c r="CC51" s="507" t="n"/>
      <c r="CD51" s="1716">
        <f>SUM(BQ51:CB51)</f>
        <v/>
      </c>
      <c r="CE51" s="507" t="n"/>
      <c r="CF51" s="547">
        <f>'4A. Tel. - Exps. &amp; OI x Month'!L431</f>
        <v/>
      </c>
      <c r="CG51" s="547">
        <f>'4A. Tel. - Exps. &amp; OI x Month'!M431</f>
        <v/>
      </c>
      <c r="CH51" s="547">
        <f>'4A. Tel. - Exps. &amp; OI x Month'!N431</f>
        <v/>
      </c>
      <c r="CI51" s="547">
        <f>'4A. Tel. - Exps. &amp; OI x Month'!O431</f>
        <v/>
      </c>
      <c r="CJ51" s="547">
        <f>'4A. Tel. - Exps. &amp; OI x Month'!P431</f>
        <v/>
      </c>
      <c r="CK51" s="547">
        <f>'4A. Tel. - Exps. &amp; OI x Month'!Q431</f>
        <v/>
      </c>
      <c r="CL51" s="547">
        <f>'4A. Tel. - Exps. &amp; OI x Month'!R431</f>
        <v/>
      </c>
      <c r="CM51" s="547">
        <f>'4A. Tel. - Exps. &amp; OI x Month'!S431</f>
        <v/>
      </c>
      <c r="CN51" s="547">
        <f>'4A. Tel. - Exps. &amp; OI x Month'!T431</f>
        <v/>
      </c>
      <c r="CO51" s="547">
        <f>'4A. Tel. - Exps. &amp; OI x Month'!U431</f>
        <v/>
      </c>
      <c r="CP51" s="547">
        <f>'4A. Tel. - Exps. &amp; OI x Month'!V431</f>
        <v/>
      </c>
      <c r="CQ51" s="547">
        <f>'4A. Tel. - Exps. &amp; OI x Month'!W431</f>
        <v/>
      </c>
      <c r="CS51" s="1716">
        <f>SUM(CF51:CQ51)</f>
        <v/>
      </c>
      <c r="CU51" s="547" t="n"/>
      <c r="CV51" s="547" t="n"/>
      <c r="CW51" s="547" t="n"/>
      <c r="CX51" s="547" t="n"/>
    </row>
    <row r="52" ht="15" customHeight="1" s="1883">
      <c r="B52" s="835" t="inlineStr">
        <is>
          <t>●</t>
        </is>
      </c>
      <c r="C52" s="514" t="inlineStr">
        <is>
          <t>General and Administrative</t>
        </is>
      </c>
      <c r="D52" s="514" t="n"/>
      <c r="E52" s="1728" t="n"/>
      <c r="F52" s="1728" t="n"/>
      <c r="G52" s="1728" t="n"/>
      <c r="H52" s="386" t="n"/>
      <c r="I52" s="547">
        <f>'6A. Pre-Launch Exps. - Roll-Up'!K87</f>
        <v/>
      </c>
      <c r="J52" s="547">
        <f>'6A. Pre-Launch Exps. - Roll-Up'!L87</f>
        <v/>
      </c>
      <c r="K52" s="547">
        <f>'6A. Pre-Launch Exps. - Roll-Up'!M87</f>
        <v/>
      </c>
      <c r="L52" s="547">
        <f>'6A. Pre-Launch Exps. - Roll-Up'!N87</f>
        <v/>
      </c>
      <c r="M52" s="547">
        <f>'6A. Pre-Launch Exps. - Roll-Up'!O87</f>
        <v/>
      </c>
      <c r="N52" s="547">
        <f>'6A. Pre-Launch Exps. - Roll-Up'!P87</f>
        <v/>
      </c>
      <c r="O52" s="547">
        <f>'6A. Pre-Launch Exps. - Roll-Up'!Q87</f>
        <v/>
      </c>
      <c r="P52" s="547">
        <f>'6A. Pre-Launch Exps. - Roll-Up'!R87</f>
        <v/>
      </c>
      <c r="Q52" s="547">
        <f>'6A. Pre-Launch Exps. - Roll-Up'!S87</f>
        <v/>
      </c>
      <c r="R52" s="547">
        <f>'6A. Pre-Launch Exps. - Roll-Up'!T87</f>
        <v/>
      </c>
      <c r="S52" s="547">
        <f>'6A. Pre-Launch Exps. - Roll-Up'!U87</f>
        <v/>
      </c>
      <c r="T52" s="547">
        <f>'6A. Pre-Launch Exps. - Roll-Up'!V87</f>
        <v/>
      </c>
      <c r="U52" s="386" t="n"/>
      <c r="V52" s="1716">
        <f>SUM(I52:T52)</f>
        <v/>
      </c>
      <c r="W52" s="386" t="n"/>
      <c r="X52" s="547">
        <f>'4A. Tel. - Exps. &amp; OI x Month'!$L84</f>
        <v/>
      </c>
      <c r="Y52" s="547">
        <f>'4A. Tel. - Exps. &amp; OI x Month'!$M84</f>
        <v/>
      </c>
      <c r="Z52" s="547">
        <f>'4A. Tel. - Exps. &amp; OI x Month'!$N84</f>
        <v/>
      </c>
      <c r="AA52" s="547">
        <f>'4A. Tel. - Exps. &amp; OI x Month'!$O84</f>
        <v/>
      </c>
      <c r="AB52" s="547">
        <f>'4A. Tel. - Exps. &amp; OI x Month'!$P84</f>
        <v/>
      </c>
      <c r="AC52" s="547">
        <f>'4A. Tel. - Exps. &amp; OI x Month'!$Q84</f>
        <v/>
      </c>
      <c r="AD52" s="547">
        <f>'4A. Tel. - Exps. &amp; OI x Month'!$R84</f>
        <v/>
      </c>
      <c r="AE52" s="547">
        <f>'4A. Tel. - Exps. &amp; OI x Month'!$S84</f>
        <v/>
      </c>
      <c r="AF52" s="547">
        <f>'4A. Tel. - Exps. &amp; OI x Month'!$T84</f>
        <v/>
      </c>
      <c r="AG52" s="547">
        <f>'4A. Tel. - Exps. &amp; OI x Month'!$U84</f>
        <v/>
      </c>
      <c r="AH52" s="547">
        <f>'4A. Tel. - Exps. &amp; OI x Month'!$V84</f>
        <v/>
      </c>
      <c r="AI52" s="547">
        <f>'4A. Tel. - Exps. &amp; OI x Month'!$W84</f>
        <v/>
      </c>
      <c r="AJ52" s="831" t="n"/>
      <c r="AK52" s="1716">
        <f>SUM(X52:AI52)</f>
        <v/>
      </c>
      <c r="AL52" s="831" t="n"/>
      <c r="AM52" s="547">
        <f>'4A. Tel. - Exps. &amp; OI x Month'!L176</f>
        <v/>
      </c>
      <c r="AN52" s="547">
        <f>'4A. Tel. - Exps. &amp; OI x Month'!M176</f>
        <v/>
      </c>
      <c r="AO52" s="547">
        <f>'4A. Tel. - Exps. &amp; OI x Month'!N176</f>
        <v/>
      </c>
      <c r="AP52" s="547">
        <f>'4A. Tel. - Exps. &amp; OI x Month'!O176</f>
        <v/>
      </c>
      <c r="AQ52" s="547">
        <f>'4A. Tel. - Exps. &amp; OI x Month'!P176</f>
        <v/>
      </c>
      <c r="AR52" s="547">
        <f>'4A. Tel. - Exps. &amp; OI x Month'!Q176</f>
        <v/>
      </c>
      <c r="AS52" s="547">
        <f>'4A. Tel. - Exps. &amp; OI x Month'!R176</f>
        <v/>
      </c>
      <c r="AT52" s="547">
        <f>'4A. Tel. - Exps. &amp; OI x Month'!S176</f>
        <v/>
      </c>
      <c r="AU52" s="547">
        <f>'4A. Tel. - Exps. &amp; OI x Month'!T176</f>
        <v/>
      </c>
      <c r="AV52" s="547">
        <f>'4A. Tel. - Exps. &amp; OI x Month'!U176</f>
        <v/>
      </c>
      <c r="AW52" s="547">
        <f>'4A. Tel. - Exps. &amp; OI x Month'!V176</f>
        <v/>
      </c>
      <c r="AX52" s="547">
        <f>'4A. Tel. - Exps. &amp; OI x Month'!W176</f>
        <v/>
      </c>
      <c r="AY52" s="507" t="n"/>
      <c r="AZ52" s="1716">
        <f>SUM(AM52:AX52)</f>
        <v/>
      </c>
      <c r="BA52" s="507" t="n"/>
      <c r="BB52" s="547">
        <f>'4A. Tel. - Exps. &amp; OI x Month'!L268</f>
        <v/>
      </c>
      <c r="BC52" s="547">
        <f>'4A. Tel. - Exps. &amp; OI x Month'!M268</f>
        <v/>
      </c>
      <c r="BD52" s="547">
        <f>'4A. Tel. - Exps. &amp; OI x Month'!N268</f>
        <v/>
      </c>
      <c r="BE52" s="547">
        <f>'4A. Tel. - Exps. &amp; OI x Month'!O268</f>
        <v/>
      </c>
      <c r="BF52" s="547">
        <f>'4A. Tel. - Exps. &amp; OI x Month'!P268</f>
        <v/>
      </c>
      <c r="BG52" s="547">
        <f>'4A. Tel. - Exps. &amp; OI x Month'!Q268</f>
        <v/>
      </c>
      <c r="BH52" s="547">
        <f>'4A. Tel. - Exps. &amp; OI x Month'!R268</f>
        <v/>
      </c>
      <c r="BI52" s="547">
        <f>'4A. Tel. - Exps. &amp; OI x Month'!S268</f>
        <v/>
      </c>
      <c r="BJ52" s="547">
        <f>'4A. Tel. - Exps. &amp; OI x Month'!T268</f>
        <v/>
      </c>
      <c r="BK52" s="547">
        <f>'4A. Tel. - Exps. &amp; OI x Month'!U268</f>
        <v/>
      </c>
      <c r="BL52" s="547">
        <f>'4A. Tel. - Exps. &amp; OI x Month'!V268</f>
        <v/>
      </c>
      <c r="BM52" s="547">
        <f>'4A. Tel. - Exps. &amp; OI x Month'!W268</f>
        <v/>
      </c>
      <c r="BN52" s="507" t="n"/>
      <c r="BO52" s="1716">
        <f>SUM(BB52:BM52)</f>
        <v/>
      </c>
      <c r="BP52" s="507" t="n"/>
      <c r="BQ52" s="547">
        <f>'4A. Tel. - Exps. &amp; OI x Month'!L360</f>
        <v/>
      </c>
      <c r="BR52" s="547">
        <f>'4A. Tel. - Exps. &amp; OI x Month'!M360</f>
        <v/>
      </c>
      <c r="BS52" s="547">
        <f>'4A. Tel. - Exps. &amp; OI x Month'!N360</f>
        <v/>
      </c>
      <c r="BT52" s="547">
        <f>'4A. Tel. - Exps. &amp; OI x Month'!O360</f>
        <v/>
      </c>
      <c r="BU52" s="547">
        <f>'4A. Tel. - Exps. &amp; OI x Month'!P360</f>
        <v/>
      </c>
      <c r="BV52" s="547">
        <f>'4A. Tel. - Exps. &amp; OI x Month'!Q360</f>
        <v/>
      </c>
      <c r="BW52" s="547">
        <f>'4A. Tel. - Exps. &amp; OI x Month'!R360</f>
        <v/>
      </c>
      <c r="BX52" s="547">
        <f>'4A. Tel. - Exps. &amp; OI x Month'!S360</f>
        <v/>
      </c>
      <c r="BY52" s="547">
        <f>'4A. Tel. - Exps. &amp; OI x Month'!T360</f>
        <v/>
      </c>
      <c r="BZ52" s="547">
        <f>'4A. Tel. - Exps. &amp; OI x Month'!U360</f>
        <v/>
      </c>
      <c r="CA52" s="547">
        <f>'4A. Tel. - Exps. &amp; OI x Month'!V360</f>
        <v/>
      </c>
      <c r="CB52" s="547">
        <f>'4A. Tel. - Exps. &amp; OI x Month'!W360</f>
        <v/>
      </c>
      <c r="CC52" s="507" t="n"/>
      <c r="CD52" s="1716">
        <f>SUM(BQ52:CB52)</f>
        <v/>
      </c>
      <c r="CE52" s="507" t="n"/>
      <c r="CF52" s="547">
        <f>'4A. Tel. - Exps. &amp; OI x Month'!L452</f>
        <v/>
      </c>
      <c r="CG52" s="547">
        <f>'4A. Tel. - Exps. &amp; OI x Month'!M452</f>
        <v/>
      </c>
      <c r="CH52" s="547">
        <f>'4A. Tel. - Exps. &amp; OI x Month'!N452</f>
        <v/>
      </c>
      <c r="CI52" s="547">
        <f>'4A. Tel. - Exps. &amp; OI x Month'!O452</f>
        <v/>
      </c>
      <c r="CJ52" s="547">
        <f>'4A. Tel. - Exps. &amp; OI x Month'!P452</f>
        <v/>
      </c>
      <c r="CK52" s="547">
        <f>'4A. Tel. - Exps. &amp; OI x Month'!Q452</f>
        <v/>
      </c>
      <c r="CL52" s="547">
        <f>'4A. Tel. - Exps. &amp; OI x Month'!R452</f>
        <v/>
      </c>
      <c r="CM52" s="547">
        <f>'4A. Tel. - Exps. &amp; OI x Month'!S452</f>
        <v/>
      </c>
      <c r="CN52" s="547">
        <f>'4A. Tel. - Exps. &amp; OI x Month'!T452</f>
        <v/>
      </c>
      <c r="CO52" s="547">
        <f>'4A. Tel. - Exps. &amp; OI x Month'!U452</f>
        <v/>
      </c>
      <c r="CP52" s="547">
        <f>'4A. Tel. - Exps. &amp; OI x Month'!V452</f>
        <v/>
      </c>
      <c r="CQ52" s="547">
        <f>'4A. Tel. - Exps. &amp; OI x Month'!W452</f>
        <v/>
      </c>
      <c r="CS52" s="1716">
        <f>SUM(CF52:CQ52)</f>
        <v/>
      </c>
      <c r="CU52" s="547" t="n"/>
      <c r="CV52" s="547" t="n"/>
      <c r="CW52" s="547" t="n"/>
      <c r="CX52" s="547" t="n"/>
    </row>
    <row r="53" ht="15" customHeight="1" s="1883">
      <c r="B53" s="835" t="inlineStr">
        <is>
          <t>●</t>
        </is>
      </c>
      <c r="C53" s="560" t="inlineStr">
        <is>
          <t>Customer Rewards</t>
        </is>
      </c>
      <c r="D53" s="560" t="n"/>
      <c r="E53" s="1742" t="n"/>
      <c r="F53" s="1742" t="n"/>
      <c r="G53" s="1742" t="n"/>
      <c r="H53" s="386" t="n"/>
      <c r="I53" s="547" t="n">
        <v>0</v>
      </c>
      <c r="J53" s="547" t="n">
        <v>0</v>
      </c>
      <c r="K53" s="547" t="n">
        <v>0</v>
      </c>
      <c r="L53" s="547" t="n">
        <v>0</v>
      </c>
      <c r="M53" s="547" t="n">
        <v>0</v>
      </c>
      <c r="N53" s="547" t="n">
        <v>0</v>
      </c>
      <c r="O53" s="547" t="n">
        <v>0</v>
      </c>
      <c r="P53" s="547" t="n">
        <v>0</v>
      </c>
      <c r="Q53" s="547" t="n">
        <v>0</v>
      </c>
      <c r="R53" s="547" t="n">
        <v>0</v>
      </c>
      <c r="S53" s="547" t="n">
        <v>0</v>
      </c>
      <c r="T53" s="547" t="n">
        <v>0</v>
      </c>
      <c r="U53" s="386" t="n"/>
      <c r="V53" s="1743">
        <f>SUM(I53:T53)</f>
        <v/>
      </c>
      <c r="W53" s="386" t="n"/>
      <c r="X53" s="547">
        <f>'3B. Tel. - Rev. Detail x Month'!$J300</f>
        <v/>
      </c>
      <c r="Y53" s="547">
        <f>'3B. Tel. - Rev. Detail x Month'!$K300</f>
        <v/>
      </c>
      <c r="Z53" s="547">
        <f>'3B. Tel. - Rev. Detail x Month'!$L300</f>
        <v/>
      </c>
      <c r="AA53" s="547">
        <f>'3B. Tel. - Rev. Detail x Month'!$M300</f>
        <v/>
      </c>
      <c r="AB53" s="547">
        <f>'3B. Tel. - Rev. Detail x Month'!$N300</f>
        <v/>
      </c>
      <c r="AC53" s="547">
        <f>'3B. Tel. - Rev. Detail x Month'!$O300</f>
        <v/>
      </c>
      <c r="AD53" s="547">
        <f>'3B. Tel. - Rev. Detail x Month'!$P300</f>
        <v/>
      </c>
      <c r="AE53" s="547">
        <f>'3B. Tel. - Rev. Detail x Month'!$Q300</f>
        <v/>
      </c>
      <c r="AF53" s="547">
        <f>'3B. Tel. - Rev. Detail x Month'!$R300</f>
        <v/>
      </c>
      <c r="AG53" s="547">
        <f>'3B. Tel. - Rev. Detail x Month'!$S300</f>
        <v/>
      </c>
      <c r="AH53" s="547">
        <f>'3B. Tel. - Rev. Detail x Month'!$T300</f>
        <v/>
      </c>
      <c r="AI53" s="547">
        <f>'3B. Tel. - Rev. Detail x Month'!$U300</f>
        <v/>
      </c>
      <c r="AJ53" s="831" t="n"/>
      <c r="AK53" s="1743">
        <f>SUM(X53:AI53)</f>
        <v/>
      </c>
      <c r="AL53" s="831" t="n"/>
      <c r="AM53" s="547">
        <f>'3B. Tel. - Rev. Detail x Month'!J332</f>
        <v/>
      </c>
      <c r="AN53" s="547">
        <f>'3B. Tel. - Rev. Detail x Month'!K332</f>
        <v/>
      </c>
      <c r="AO53" s="547">
        <f>'3B. Tel. - Rev. Detail x Month'!L332</f>
        <v/>
      </c>
      <c r="AP53" s="547">
        <f>'3B. Tel. - Rev. Detail x Month'!M332</f>
        <v/>
      </c>
      <c r="AQ53" s="547">
        <f>'3B. Tel. - Rev. Detail x Month'!N332</f>
        <v/>
      </c>
      <c r="AR53" s="547">
        <f>'3B. Tel. - Rev. Detail x Month'!O332</f>
        <v/>
      </c>
      <c r="AS53" s="547">
        <f>'3B. Tel. - Rev. Detail x Month'!P332</f>
        <v/>
      </c>
      <c r="AT53" s="547">
        <f>'3B. Tel. - Rev. Detail x Month'!Q332</f>
        <v/>
      </c>
      <c r="AU53" s="547">
        <f>'3B. Tel. - Rev. Detail x Month'!R332</f>
        <v/>
      </c>
      <c r="AV53" s="547">
        <f>'3B. Tel. - Rev. Detail x Month'!S332</f>
        <v/>
      </c>
      <c r="AW53" s="547">
        <f>'3B. Tel. - Rev. Detail x Month'!T332</f>
        <v/>
      </c>
      <c r="AX53" s="547">
        <f>'3B. Tel. - Rev. Detail x Month'!U332</f>
        <v/>
      </c>
      <c r="AY53" s="507" t="n"/>
      <c r="AZ53" s="1743">
        <f>SUM(AM53:AX53)</f>
        <v/>
      </c>
      <c r="BA53" s="507" t="n"/>
      <c r="BB53" s="547">
        <f>'3B. Tel. - Rev. Detail x Month'!J364</f>
        <v/>
      </c>
      <c r="BC53" s="547">
        <f>'3B. Tel. - Rev. Detail x Month'!K364</f>
        <v/>
      </c>
      <c r="BD53" s="547">
        <f>'3B. Tel. - Rev. Detail x Month'!L364</f>
        <v/>
      </c>
      <c r="BE53" s="547">
        <f>'3B. Tel. - Rev. Detail x Month'!M364</f>
        <v/>
      </c>
      <c r="BF53" s="547">
        <f>'3B. Tel. - Rev. Detail x Month'!N364</f>
        <v/>
      </c>
      <c r="BG53" s="547">
        <f>'3B. Tel. - Rev. Detail x Month'!O364</f>
        <v/>
      </c>
      <c r="BH53" s="547">
        <f>'3B. Tel. - Rev. Detail x Month'!P364</f>
        <v/>
      </c>
      <c r="BI53" s="547">
        <f>'3B. Tel. - Rev. Detail x Month'!Q364</f>
        <v/>
      </c>
      <c r="BJ53" s="547">
        <f>'3B. Tel. - Rev. Detail x Month'!R364</f>
        <v/>
      </c>
      <c r="BK53" s="547">
        <f>'3B. Tel. - Rev. Detail x Month'!S364</f>
        <v/>
      </c>
      <c r="BL53" s="547">
        <f>'3B. Tel. - Rev. Detail x Month'!T364</f>
        <v/>
      </c>
      <c r="BM53" s="547">
        <f>'3B. Tel. - Rev. Detail x Month'!U364</f>
        <v/>
      </c>
      <c r="BN53" s="507" t="n"/>
      <c r="BO53" s="1743">
        <f>SUM(BB53:BM53)</f>
        <v/>
      </c>
      <c r="BP53" s="507" t="n"/>
      <c r="BQ53" s="547">
        <f>'3B. Tel. - Rev. Detail x Month'!J396</f>
        <v/>
      </c>
      <c r="BR53" s="547">
        <f>'3B. Tel. - Rev. Detail x Month'!K396</f>
        <v/>
      </c>
      <c r="BS53" s="547">
        <f>'3B. Tel. - Rev. Detail x Month'!L396</f>
        <v/>
      </c>
      <c r="BT53" s="547">
        <f>'3B. Tel. - Rev. Detail x Month'!M396</f>
        <v/>
      </c>
      <c r="BU53" s="547">
        <f>'3B. Tel. - Rev. Detail x Month'!N396</f>
        <v/>
      </c>
      <c r="BV53" s="547">
        <f>'3B. Tel. - Rev. Detail x Month'!O396</f>
        <v/>
      </c>
      <c r="BW53" s="547">
        <f>'3B. Tel. - Rev. Detail x Month'!P396</f>
        <v/>
      </c>
      <c r="BX53" s="547">
        <f>'3B. Tel. - Rev. Detail x Month'!Q396</f>
        <v/>
      </c>
      <c r="BY53" s="547">
        <f>'3B. Tel. - Rev. Detail x Month'!R396</f>
        <v/>
      </c>
      <c r="BZ53" s="547">
        <f>'3B. Tel. - Rev. Detail x Month'!S396</f>
        <v/>
      </c>
      <c r="CA53" s="547">
        <f>'3B. Tel. - Rev. Detail x Month'!T396</f>
        <v/>
      </c>
      <c r="CB53" s="547">
        <f>'3B. Tel. - Rev. Detail x Month'!U396</f>
        <v/>
      </c>
      <c r="CC53" s="507" t="n"/>
      <c r="CD53" s="1743">
        <f>SUM(BQ53:CB53)</f>
        <v/>
      </c>
      <c r="CE53" s="507" t="n"/>
      <c r="CF53" s="547">
        <f>'3B. Tel. - Rev. Detail x Month'!J428</f>
        <v/>
      </c>
      <c r="CG53" s="547">
        <f>'3B. Tel. - Rev. Detail x Month'!K428</f>
        <v/>
      </c>
      <c r="CH53" s="547">
        <f>'3B. Tel. - Rev. Detail x Month'!L428</f>
        <v/>
      </c>
      <c r="CI53" s="547">
        <f>'3B. Tel. - Rev. Detail x Month'!M428</f>
        <v/>
      </c>
      <c r="CJ53" s="547">
        <f>'3B. Tel. - Rev. Detail x Month'!N428</f>
        <v/>
      </c>
      <c r="CK53" s="547">
        <f>'3B. Tel. - Rev. Detail x Month'!O428</f>
        <v/>
      </c>
      <c r="CL53" s="547">
        <f>'3B. Tel. - Rev. Detail x Month'!P428</f>
        <v/>
      </c>
      <c r="CM53" s="547">
        <f>'3B. Tel. - Rev. Detail x Month'!Q428</f>
        <v/>
      </c>
      <c r="CN53" s="547">
        <f>'3B. Tel. - Rev. Detail x Month'!R428</f>
        <v/>
      </c>
      <c r="CO53" s="547">
        <f>'3B. Tel. - Rev. Detail x Month'!S428</f>
        <v/>
      </c>
      <c r="CP53" s="547">
        <f>'3B. Tel. - Rev. Detail x Month'!T428</f>
        <v/>
      </c>
      <c r="CQ53" s="547">
        <f>'3B. Tel. - Rev. Detail x Month'!U428</f>
        <v/>
      </c>
      <c r="CS53" s="1743">
        <f>SUM(CF53:CQ53)</f>
        <v/>
      </c>
      <c r="CU53" s="547" t="n"/>
      <c r="CV53" s="547" t="n"/>
      <c r="CW53" s="547" t="n"/>
      <c r="CX53" s="547" t="n"/>
    </row>
    <row r="54" ht="15" customHeight="1" s="1883">
      <c r="B54" s="835" t="inlineStr">
        <is>
          <t>●</t>
        </is>
      </c>
      <c r="C54" s="1722" t="inlineStr">
        <is>
          <t>Melanie Salvador Commission (paid based on tranches)</t>
        </is>
      </c>
      <c r="D54" s="1722" t="n"/>
      <c r="E54" s="1730" t="n"/>
      <c r="F54" s="1730" t="n"/>
      <c r="G54" s="1730" t="n"/>
      <c r="H54" s="386" t="n"/>
      <c r="I54" s="547" t="n">
        <v>0</v>
      </c>
      <c r="J54" s="547">
        <f>'[4]$25M Investment'!$H$153</f>
        <v/>
      </c>
      <c r="K54" s="547" t="n">
        <v>0</v>
      </c>
      <c r="L54" s="547" t="n">
        <v>0</v>
      </c>
      <c r="M54" s="547" t="n">
        <v>250000</v>
      </c>
      <c r="N54" s="547" t="n"/>
      <c r="O54" s="547" t="n"/>
      <c r="P54" s="547" t="n"/>
      <c r="Q54" s="547" t="n">
        <v>0</v>
      </c>
      <c r="R54" s="547" t="n">
        <v>0</v>
      </c>
      <c r="S54" s="547" t="n">
        <v>0</v>
      </c>
      <c r="T54" s="547" t="n">
        <v>0</v>
      </c>
      <c r="U54" s="386" t="n"/>
      <c r="V54" s="1717">
        <f>SUM(I54:T54)</f>
        <v/>
      </c>
      <c r="W54" s="386" t="n"/>
      <c r="X54" s="907" t="n">
        <v>0</v>
      </c>
      <c r="Y54" s="907" t="n">
        <v>0</v>
      </c>
      <c r="Z54" s="907" t="n">
        <v>0</v>
      </c>
      <c r="AA54" s="907" t="n">
        <v>0</v>
      </c>
      <c r="AB54" s="907" t="n">
        <v>0</v>
      </c>
      <c r="AC54" s="907" t="n">
        <v>0</v>
      </c>
      <c r="AD54" s="907" t="n">
        <v>0</v>
      </c>
      <c r="AE54" s="907" t="n">
        <v>0</v>
      </c>
      <c r="AF54" s="907" t="n">
        <v>0</v>
      </c>
      <c r="AG54" s="907" t="n">
        <v>0</v>
      </c>
      <c r="AH54" s="907" t="n">
        <v>0</v>
      </c>
      <c r="AI54" s="907" t="n">
        <v>0</v>
      </c>
      <c r="AJ54" s="908" t="n"/>
      <c r="AK54" s="1717">
        <f>SUM(X54:AI54)</f>
        <v/>
      </c>
      <c r="AL54" s="831" t="n"/>
      <c r="AM54" s="907" t="n">
        <v>0</v>
      </c>
      <c r="AN54" s="907" t="n">
        <v>0</v>
      </c>
      <c r="AO54" s="907" t="n">
        <v>0</v>
      </c>
      <c r="AP54" s="907" t="n">
        <v>0</v>
      </c>
      <c r="AQ54" s="907" t="n">
        <v>0</v>
      </c>
      <c r="AR54" s="907" t="n">
        <v>0</v>
      </c>
      <c r="AS54" s="907" t="n">
        <v>0</v>
      </c>
      <c r="AT54" s="907" t="n">
        <v>0</v>
      </c>
      <c r="AU54" s="907" t="n">
        <v>0</v>
      </c>
      <c r="AV54" s="907" t="n">
        <v>0</v>
      </c>
      <c r="AW54" s="907" t="n">
        <v>0</v>
      </c>
      <c r="AX54" s="907" t="n">
        <v>0</v>
      </c>
      <c r="AY54" s="908" t="n"/>
      <c r="AZ54" s="1717">
        <f>SUM(AM54:AX54)</f>
        <v/>
      </c>
      <c r="BA54" s="507" t="n"/>
      <c r="BB54" s="907" t="n">
        <v>0</v>
      </c>
      <c r="BC54" s="907" t="n">
        <v>0</v>
      </c>
      <c r="BD54" s="907" t="n">
        <v>0</v>
      </c>
      <c r="BE54" s="907" t="n">
        <v>0</v>
      </c>
      <c r="BF54" s="907" t="n">
        <v>0</v>
      </c>
      <c r="BG54" s="907" t="n">
        <v>0</v>
      </c>
      <c r="BH54" s="907" t="n">
        <v>0</v>
      </c>
      <c r="BI54" s="907" t="n">
        <v>0</v>
      </c>
      <c r="BJ54" s="907" t="n">
        <v>0</v>
      </c>
      <c r="BK54" s="907" t="n">
        <v>0</v>
      </c>
      <c r="BL54" s="907" t="n">
        <v>0</v>
      </c>
      <c r="BM54" s="907" t="n">
        <v>0</v>
      </c>
      <c r="BN54" s="908" t="n"/>
      <c r="BO54" s="1717">
        <f>SUM(BB54:BM54)</f>
        <v/>
      </c>
      <c r="BP54" s="507" t="n"/>
      <c r="BQ54" s="907" t="n">
        <v>0</v>
      </c>
      <c r="BR54" s="907" t="n">
        <v>0</v>
      </c>
      <c r="BS54" s="907" t="n">
        <v>0</v>
      </c>
      <c r="BT54" s="907" t="n">
        <v>0</v>
      </c>
      <c r="BU54" s="907" t="n">
        <v>0</v>
      </c>
      <c r="BV54" s="907" t="n">
        <v>0</v>
      </c>
      <c r="BW54" s="907" t="n">
        <v>0</v>
      </c>
      <c r="BX54" s="907" t="n">
        <v>0</v>
      </c>
      <c r="BY54" s="907" t="n">
        <v>0</v>
      </c>
      <c r="BZ54" s="907" t="n">
        <v>0</v>
      </c>
      <c r="CA54" s="907" t="n">
        <v>0</v>
      </c>
      <c r="CB54" s="907" t="n">
        <v>0</v>
      </c>
      <c r="CC54" s="908" t="n"/>
      <c r="CD54" s="1717">
        <f>SUM(BQ54:CB54)</f>
        <v/>
      </c>
      <c r="CE54" s="507" t="n"/>
      <c r="CF54" s="907" t="n">
        <v>0</v>
      </c>
      <c r="CG54" s="907" t="n">
        <v>0</v>
      </c>
      <c r="CH54" s="907" t="n">
        <v>0</v>
      </c>
      <c r="CI54" s="907" t="n">
        <v>0</v>
      </c>
      <c r="CJ54" s="907" t="n">
        <v>0</v>
      </c>
      <c r="CK54" s="907" t="n">
        <v>0</v>
      </c>
      <c r="CL54" s="907" t="n">
        <v>0</v>
      </c>
      <c r="CM54" s="907" t="n">
        <v>0</v>
      </c>
      <c r="CN54" s="907" t="n">
        <v>0</v>
      </c>
      <c r="CO54" s="907" t="n">
        <v>0</v>
      </c>
      <c r="CP54" s="907" t="n">
        <v>0</v>
      </c>
      <c r="CQ54" s="907" t="n">
        <v>0</v>
      </c>
      <c r="CR54" s="908" t="n"/>
      <c r="CS54" s="1717">
        <f>SUM(CF54:CQ54)</f>
        <v/>
      </c>
      <c r="CU54" s="547" t="n"/>
      <c r="CV54" s="547" t="n"/>
      <c r="CW54" s="547" t="n"/>
      <c r="CX54" s="547" t="n"/>
    </row>
    <row r="55" ht="15" customHeight="1" s="1883">
      <c r="B55" s="835" t="inlineStr">
        <is>
          <t>●</t>
        </is>
      </c>
      <c r="C55" s="1725" t="inlineStr">
        <is>
          <t>Capital Expenditures</t>
        </is>
      </c>
      <c r="D55" s="1725" t="n"/>
      <c r="E55" s="1731" t="n"/>
      <c r="F55" s="1731" t="n"/>
      <c r="G55" s="1731" t="n"/>
      <c r="H55" s="386" t="n"/>
      <c r="I55" s="547">
        <f>'6B. Pre-Launch Exps. - Detail'!F130</f>
        <v/>
      </c>
      <c r="J55" s="547">
        <f>'6B. Pre-Launch Exps. - Detail'!G130</f>
        <v/>
      </c>
      <c r="K55" s="547">
        <f>'6B. Pre-Launch Exps. - Detail'!H130</f>
        <v/>
      </c>
      <c r="L55" s="547">
        <f>'6B. Pre-Launch Exps. - Detail'!I130</f>
        <v/>
      </c>
      <c r="M55" s="547">
        <f>'6B. Pre-Launch Exps. - Detail'!J130</f>
        <v/>
      </c>
      <c r="N55" s="547">
        <f>'6B. Pre-Launch Exps. - Detail'!K130</f>
        <v/>
      </c>
      <c r="O55" s="547">
        <f>'6B. Pre-Launch Exps. - Detail'!L130</f>
        <v/>
      </c>
      <c r="P55" s="547">
        <f>'6B. Pre-Launch Exps. - Detail'!M130</f>
        <v/>
      </c>
      <c r="Q55" s="547">
        <f>'6B. Pre-Launch Exps. - Detail'!N130</f>
        <v/>
      </c>
      <c r="R55" s="547">
        <f>'6B. Pre-Launch Exps. - Detail'!O130</f>
        <v/>
      </c>
      <c r="S55" s="547">
        <f>'6B. Pre-Launch Exps. - Detail'!P130</f>
        <v/>
      </c>
      <c r="T55" s="547">
        <f>'6B. Pre-Launch Exps. - Detail'!Q130</f>
        <v/>
      </c>
      <c r="U55" s="386" t="n"/>
      <c r="V55" s="1724">
        <f>SUM(I55:T55)</f>
        <v/>
      </c>
      <c r="W55" s="386" t="n"/>
      <c r="X55" s="547">
        <f>ABS(+'4B. Tel. Expense Assumptions'!F394-'4B. Tel. Expense Assumptions'!G394)</f>
        <v/>
      </c>
      <c r="Y55" s="547">
        <f>ABS(+'4B. Tel. Expense Assumptions'!G394-'4B. Tel. Expense Assumptions'!H394)</f>
        <v/>
      </c>
      <c r="Z55" s="547">
        <f>ABS(+'4B. Tel. Expense Assumptions'!H394-'4B. Tel. Expense Assumptions'!I394)</f>
        <v/>
      </c>
      <c r="AA55" s="547">
        <f>ABS(+'4B. Tel. Expense Assumptions'!I394-'4B. Tel. Expense Assumptions'!J394)</f>
        <v/>
      </c>
      <c r="AB55" s="547">
        <f>ABS(+'4B. Tel. Expense Assumptions'!J394-'4B. Tel. Expense Assumptions'!K394)</f>
        <v/>
      </c>
      <c r="AC55" s="547">
        <f>ABS(+'4B. Tel. Expense Assumptions'!K394-'4B. Tel. Expense Assumptions'!L394)</f>
        <v/>
      </c>
      <c r="AD55" s="547">
        <f>ABS(+'4B. Tel. Expense Assumptions'!L394-'4B. Tel. Expense Assumptions'!M394)</f>
        <v/>
      </c>
      <c r="AE55" s="547">
        <f>ABS(+'4B. Tel. Expense Assumptions'!M394-'4B. Tel. Expense Assumptions'!N394)</f>
        <v/>
      </c>
      <c r="AF55" s="547">
        <f>ABS(+'4B. Tel. Expense Assumptions'!N394-'4B. Tel. Expense Assumptions'!O394)</f>
        <v/>
      </c>
      <c r="AG55" s="547">
        <f>ABS(+'4B. Tel. Expense Assumptions'!O394-'4B. Tel. Expense Assumptions'!P394)</f>
        <v/>
      </c>
      <c r="AH55" s="547">
        <f>ABS(+'4B. Tel. Expense Assumptions'!P394-'4B. Tel. Expense Assumptions'!Q394)</f>
        <v/>
      </c>
      <c r="AI55" s="547">
        <f>ABS(+'4B. Tel. Expense Assumptions'!Q394-'4B. Tel. Expense Assumptions'!R394)</f>
        <v/>
      </c>
      <c r="AJ55" s="831" t="n"/>
      <c r="AK55" s="1724">
        <f>SUM(X55:AI55)</f>
        <v/>
      </c>
      <c r="AL55" s="831" t="n"/>
      <c r="AM55" s="547">
        <f>ABS(+'4B. Tel. Expense Assumptions'!R394-'4B. Tel. Expense Assumptions'!S394)</f>
        <v/>
      </c>
      <c r="AN55" s="547">
        <f>ABS(+'4B. Tel. Expense Assumptions'!S394-'4B. Tel. Expense Assumptions'!T394)</f>
        <v/>
      </c>
      <c r="AO55" s="547">
        <f>ABS(+'4B. Tel. Expense Assumptions'!T394-'4B. Tel. Expense Assumptions'!U394)</f>
        <v/>
      </c>
      <c r="AP55" s="547">
        <f>ABS(+'4B. Tel. Expense Assumptions'!U394-'4B. Tel. Expense Assumptions'!V394)</f>
        <v/>
      </c>
      <c r="AQ55" s="547">
        <f>ABS(+'4B. Tel. Expense Assumptions'!V394-'4B. Tel. Expense Assumptions'!W394)</f>
        <v/>
      </c>
      <c r="AR55" s="547">
        <f>ABS(+'4B. Tel. Expense Assumptions'!W394-'4B. Tel. Expense Assumptions'!X394)</f>
        <v/>
      </c>
      <c r="AS55" s="547">
        <f>ABS(+'4B. Tel. Expense Assumptions'!X394-'4B. Tel. Expense Assumptions'!Y394)</f>
        <v/>
      </c>
      <c r="AT55" s="547">
        <f>ABS(+'4B. Tel. Expense Assumptions'!Y394-'4B. Tel. Expense Assumptions'!Z394)</f>
        <v/>
      </c>
      <c r="AU55" s="547">
        <f>ABS(+'4B. Tel. Expense Assumptions'!Z394-'4B. Tel. Expense Assumptions'!AA394)</f>
        <v/>
      </c>
      <c r="AV55" s="547">
        <f>ABS(+'4B. Tel. Expense Assumptions'!AA394-'4B. Tel. Expense Assumptions'!AB394)</f>
        <v/>
      </c>
      <c r="AW55" s="547">
        <f>ABS(+'4B. Tel. Expense Assumptions'!AB394-'4B. Tel. Expense Assumptions'!AC394)</f>
        <v/>
      </c>
      <c r="AX55" s="547">
        <f>ABS(+'4B. Tel. Expense Assumptions'!AC394-'4B. Tel. Expense Assumptions'!AD394)</f>
        <v/>
      </c>
      <c r="AY55" s="507" t="n"/>
      <c r="AZ55" s="1724">
        <f>SUM(AM55:AX55)</f>
        <v/>
      </c>
      <c r="BA55" s="507" t="n"/>
      <c r="BB55" s="462">
        <f>ABS(+'4B. Tel. Expense Assumptions'!AD394-'4B. Tel. Expense Assumptions'!AE394)</f>
        <v/>
      </c>
      <c r="BC55" s="462">
        <f>ABS(+'4B. Tel. Expense Assumptions'!AE394-'4B. Tel. Expense Assumptions'!AF394)</f>
        <v/>
      </c>
      <c r="BD55" s="462">
        <f>ABS(+'4B. Tel. Expense Assumptions'!AF394-'4B. Tel. Expense Assumptions'!AG394)</f>
        <v/>
      </c>
      <c r="BE55" s="462">
        <f>ABS(+'4B. Tel. Expense Assumptions'!AG394-'4B. Tel. Expense Assumptions'!AH394)</f>
        <v/>
      </c>
      <c r="BF55" s="462">
        <f>ABS(+'4B. Tel. Expense Assumptions'!AH394-'4B. Tel. Expense Assumptions'!AI394)</f>
        <v/>
      </c>
      <c r="BG55" s="462">
        <f>ABS(+'4B. Tel. Expense Assumptions'!AI394-'4B. Tel. Expense Assumptions'!AJ394)</f>
        <v/>
      </c>
      <c r="BH55" s="462">
        <f>ABS(+'4B. Tel. Expense Assumptions'!AJ394-'4B. Tel. Expense Assumptions'!AK394)</f>
        <v/>
      </c>
      <c r="BI55" s="462">
        <f>ABS(+'4B. Tel. Expense Assumptions'!AK394-'4B. Tel. Expense Assumptions'!AL394)</f>
        <v/>
      </c>
      <c r="BJ55" s="462">
        <f>ABS(+'4B. Tel. Expense Assumptions'!AL394-'4B. Tel. Expense Assumptions'!AM394)</f>
        <v/>
      </c>
      <c r="BK55" s="462">
        <f>ABS(+'4B. Tel. Expense Assumptions'!AM394-'4B. Tel. Expense Assumptions'!AN394)</f>
        <v/>
      </c>
      <c r="BL55" s="462">
        <f>ABS(+'4B. Tel. Expense Assumptions'!AN394-'4B. Tel. Expense Assumptions'!AO394)</f>
        <v/>
      </c>
      <c r="BM55" s="462">
        <f>ABS(+'4B. Tel. Expense Assumptions'!AO394-'4B. Tel. Expense Assumptions'!AP394)</f>
        <v/>
      </c>
      <c r="BN55" s="507" t="n"/>
      <c r="BO55" s="1724">
        <f>SUM(BB55:BM55)</f>
        <v/>
      </c>
      <c r="BP55" s="507" t="n"/>
      <c r="BQ55" s="462">
        <f>ABS(+'4B. Tel. Expense Assumptions'!AP394-'4B. Tel. Expense Assumptions'!AQ394)</f>
        <v/>
      </c>
      <c r="BR55" s="462">
        <f>ABS(+'4B. Tel. Expense Assumptions'!AQ394-'4B. Tel. Expense Assumptions'!AR394)</f>
        <v/>
      </c>
      <c r="BS55" s="462">
        <f>ABS(+'4B. Tel. Expense Assumptions'!AR394-'4B. Tel. Expense Assumptions'!AS394)</f>
        <v/>
      </c>
      <c r="BT55" s="462">
        <f>ABS(+'4B. Tel. Expense Assumptions'!AS394-'4B. Tel. Expense Assumptions'!AT394)</f>
        <v/>
      </c>
      <c r="BU55" s="462">
        <f>ABS(+'4B. Tel. Expense Assumptions'!AT394-'4B. Tel. Expense Assumptions'!AU394)</f>
        <v/>
      </c>
      <c r="BV55" s="462">
        <f>ABS(+'4B. Tel. Expense Assumptions'!AU394-'4B. Tel. Expense Assumptions'!AV394)</f>
        <v/>
      </c>
      <c r="BW55" s="462">
        <f>ABS(+'4B. Tel. Expense Assumptions'!AV394-'4B. Tel. Expense Assumptions'!AW394)</f>
        <v/>
      </c>
      <c r="BX55" s="462">
        <f>ABS(+'4B. Tel. Expense Assumptions'!AW394-'4B. Tel. Expense Assumptions'!AX394)</f>
        <v/>
      </c>
      <c r="BY55" s="462">
        <f>ABS(+'4B. Tel. Expense Assumptions'!AX394-'4B. Tel. Expense Assumptions'!AY394)</f>
        <v/>
      </c>
      <c r="BZ55" s="462">
        <f>ABS(+'4B. Tel. Expense Assumptions'!AY394-'4B. Tel. Expense Assumptions'!AZ394)</f>
        <v/>
      </c>
      <c r="CA55" s="462">
        <f>ABS(+'4B. Tel. Expense Assumptions'!AZ394-'4B. Tel. Expense Assumptions'!BA394)</f>
        <v/>
      </c>
      <c r="CB55" s="462">
        <f>ABS(+'4B. Tel. Expense Assumptions'!BA394-'4B. Tel. Expense Assumptions'!BB394)</f>
        <v/>
      </c>
      <c r="CC55" s="507" t="n"/>
      <c r="CD55" s="1724">
        <f>SUM(BQ55:CB55)</f>
        <v/>
      </c>
      <c r="CE55" s="507" t="n"/>
      <c r="CF55" s="462">
        <f>ABS(+'4B. Tel. Expense Assumptions'!BB394-'4B. Tel. Expense Assumptions'!BC394)</f>
        <v/>
      </c>
      <c r="CG55" s="462">
        <f>ABS(+'4B. Tel. Expense Assumptions'!BC394-'4B. Tel. Expense Assumptions'!BD394)</f>
        <v/>
      </c>
      <c r="CH55" s="462">
        <f>ABS(+'4B. Tel. Expense Assumptions'!BD394-'4B. Tel. Expense Assumptions'!BE394)</f>
        <v/>
      </c>
      <c r="CI55" s="462">
        <f>ABS(+'4B. Tel. Expense Assumptions'!BE394-'4B. Tel. Expense Assumptions'!BF394)</f>
        <v/>
      </c>
      <c r="CJ55" s="462">
        <f>ABS(+'4B. Tel. Expense Assumptions'!BF394-'4B. Tel. Expense Assumptions'!BG394)</f>
        <v/>
      </c>
      <c r="CK55" s="462">
        <f>ABS(+'4B. Tel. Expense Assumptions'!BG394-'4B. Tel. Expense Assumptions'!BH394)</f>
        <v/>
      </c>
      <c r="CL55" s="462">
        <f>ABS(+'4B. Tel. Expense Assumptions'!BH394-'4B. Tel. Expense Assumptions'!BI394)</f>
        <v/>
      </c>
      <c r="CM55" s="462">
        <f>ABS(+'4B. Tel. Expense Assumptions'!BI394-'4B. Tel. Expense Assumptions'!BJ394)</f>
        <v/>
      </c>
      <c r="CN55" s="462">
        <f>ABS(+'4B. Tel. Expense Assumptions'!BJ394-'4B. Tel. Expense Assumptions'!BK394)</f>
        <v/>
      </c>
      <c r="CO55" s="462">
        <f>ABS(+'4B. Tel. Expense Assumptions'!BK394-'4B. Tel. Expense Assumptions'!BL394)</f>
        <v/>
      </c>
      <c r="CP55" s="462">
        <f>ABS(+'4B. Tel. Expense Assumptions'!BL394-'4B. Tel. Expense Assumptions'!BM394)</f>
        <v/>
      </c>
      <c r="CQ55" s="462">
        <f>ABS(+'4B. Tel. Expense Assumptions'!BM394-'4B. Tel. Expense Assumptions'!BN394)</f>
        <v/>
      </c>
      <c r="CS55" s="1724">
        <f>SUM(CF55:CQ55)</f>
        <v/>
      </c>
      <c r="CU55" s="547" t="n"/>
      <c r="CV55" s="547" t="n"/>
      <c r="CW55" s="547" t="n"/>
      <c r="CX55" s="547" t="n"/>
    </row>
    <row r="56" ht="15" customHeight="1" s="1883">
      <c r="B56" s="835" t="inlineStr">
        <is>
          <t>●</t>
        </is>
      </c>
      <c r="C56" s="1726" t="inlineStr">
        <is>
          <t>Pure Influence - Expenditures</t>
        </is>
      </c>
      <c r="D56" s="1726" t="n"/>
      <c r="E56" s="1732" t="n"/>
      <c r="F56" s="1732" t="n"/>
      <c r="G56" s="1732" t="n"/>
      <c r="H56" s="386" t="n"/>
      <c r="I56" s="547" t="n"/>
      <c r="J56" s="547" t="n"/>
      <c r="K56" s="547" t="n"/>
      <c r="L56" s="547" t="n"/>
      <c r="Q56" s="1710">
        <f>'7. Pure Influence'!G18</f>
        <v/>
      </c>
      <c r="R56" s="547">
        <f>'7. Pure Influence'!H18</f>
        <v/>
      </c>
      <c r="S56" s="547">
        <f>'7. Pure Influence'!I18</f>
        <v/>
      </c>
      <c r="T56" s="547">
        <f>'7. Pure Influence'!J18</f>
        <v/>
      </c>
      <c r="U56" s="386" t="n"/>
      <c r="V56" s="913">
        <f>SUM(I56:T56)</f>
        <v/>
      </c>
      <c r="W56" s="386" t="n"/>
      <c r="X56" s="547">
        <f>'7. Pure Influence'!K18</f>
        <v/>
      </c>
      <c r="Y56" s="547">
        <f>'7. Pure Influence'!L18</f>
        <v/>
      </c>
      <c r="Z56" s="547">
        <f>'7. Pure Influence'!M18</f>
        <v/>
      </c>
      <c r="AA56" s="547">
        <f>'7. Pure Influence'!N18</f>
        <v/>
      </c>
      <c r="AB56" s="547">
        <f>('7. Pure Influence'!O18)</f>
        <v/>
      </c>
      <c r="AC56" s="547">
        <f>('7. Pure Influence'!P18)</f>
        <v/>
      </c>
      <c r="AD56" s="547">
        <f>('7. Pure Influence'!Q18)</f>
        <v/>
      </c>
      <c r="AE56" s="547">
        <f>('7. Pure Influence'!R18)</f>
        <v/>
      </c>
      <c r="AF56" s="1710">
        <f>'7. Pure Influence'!G35</f>
        <v/>
      </c>
      <c r="AG56" s="547">
        <f>'7. Pure Influence'!H35</f>
        <v/>
      </c>
      <c r="AH56" s="547">
        <f>'7. Pure Influence'!I35</f>
        <v/>
      </c>
      <c r="AI56" s="547">
        <f>'7. Pure Influence'!J35</f>
        <v/>
      </c>
      <c r="AJ56" s="831" t="n"/>
      <c r="AK56" s="913">
        <f>SUM(X56:AI56)</f>
        <v/>
      </c>
      <c r="AL56" s="831" t="n"/>
      <c r="AM56" s="547">
        <f>'7. Pure Influence'!K35</f>
        <v/>
      </c>
      <c r="AN56" s="547">
        <f>'7. Pure Influence'!L35</f>
        <v/>
      </c>
      <c r="AO56" s="547">
        <f>'7. Pure Influence'!M35</f>
        <v/>
      </c>
      <c r="AP56" s="547">
        <f>'7. Pure Influence'!N35</f>
        <v/>
      </c>
      <c r="AQ56" s="547">
        <f>'7. Pure Influence'!O35</f>
        <v/>
      </c>
      <c r="AR56" s="547">
        <f>'7. Pure Influence'!P35</f>
        <v/>
      </c>
      <c r="AS56" s="547">
        <f>'7. Pure Influence'!Q35</f>
        <v/>
      </c>
      <c r="AT56" s="547">
        <f>'7. Pure Influence'!R35</f>
        <v/>
      </c>
      <c r="AU56" s="547">
        <f>'7. Pure Influence'!G52</f>
        <v/>
      </c>
      <c r="AV56" s="1710">
        <f>'7. Pure Influence'!H52</f>
        <v/>
      </c>
      <c r="AW56" s="547">
        <f>'7. Pure Influence'!I52</f>
        <v/>
      </c>
      <c r="AX56" s="547">
        <f>'7. Pure Influence'!J52</f>
        <v/>
      </c>
      <c r="AZ56" s="913">
        <f>SUM(AM56:AX56)</f>
        <v/>
      </c>
      <c r="BA56" s="507" t="n"/>
      <c r="BB56" s="547">
        <f>'7. Pure Influence'!K52</f>
        <v/>
      </c>
      <c r="BC56" s="547">
        <f>'7. Pure Influence'!L52</f>
        <v/>
      </c>
      <c r="BD56" s="547">
        <f>'7. Pure Influence'!M52</f>
        <v/>
      </c>
      <c r="BE56" s="547">
        <f>'7. Pure Influence'!N52</f>
        <v/>
      </c>
      <c r="BF56" s="462">
        <f>'7. Pure Influence'!O52</f>
        <v/>
      </c>
      <c r="BG56" s="462">
        <f>'7. Pure Influence'!P52</f>
        <v/>
      </c>
      <c r="BH56" s="462">
        <f>'7. Pure Influence'!Q52</f>
        <v/>
      </c>
      <c r="BI56" s="462">
        <f>'7. Pure Influence'!R52</f>
        <v/>
      </c>
      <c r="BJ56" s="853">
        <f>'7. Pure Influence'!G69</f>
        <v/>
      </c>
      <c r="BK56" s="462">
        <f>'7. Pure Influence'!H69</f>
        <v/>
      </c>
      <c r="BL56" s="462">
        <f>'7. Pure Influence'!I69</f>
        <v/>
      </c>
      <c r="BM56" s="462">
        <f>'7. Pure Influence'!J69</f>
        <v/>
      </c>
      <c r="BO56" s="913">
        <f>SUM(BB56:BM56)</f>
        <v/>
      </c>
      <c r="BP56" s="507" t="n"/>
      <c r="BQ56" s="462">
        <f>'7. Pure Influence'!K69</f>
        <v/>
      </c>
      <c r="BR56" s="462">
        <f>'7. Pure Influence'!L69</f>
        <v/>
      </c>
      <c r="BS56" s="462">
        <f>'7. Pure Influence'!M69</f>
        <v/>
      </c>
      <c r="BT56" s="462">
        <f>'7. Pure Influence'!N69</f>
        <v/>
      </c>
      <c r="BU56" s="462">
        <f>'7. Pure Influence'!O69</f>
        <v/>
      </c>
      <c r="BV56" s="462">
        <f>'7. Pure Influence'!P69</f>
        <v/>
      </c>
      <c r="BW56" s="462">
        <f>'7. Pure Influence'!Q69</f>
        <v/>
      </c>
      <c r="BX56" s="462">
        <f>'7. Pure Influence'!R69</f>
        <v/>
      </c>
      <c r="BY56" s="853">
        <f>'7. Pure Influence'!G86</f>
        <v/>
      </c>
      <c r="BZ56" s="462">
        <f>'7. Pure Influence'!H86</f>
        <v/>
      </c>
      <c r="CA56" s="462">
        <f>'7. Pure Influence'!I86</f>
        <v/>
      </c>
      <c r="CB56" s="462">
        <f>'7. Pure Influence'!J86</f>
        <v/>
      </c>
      <c r="CD56" s="913">
        <f>SUM(BQ56:CB56)</f>
        <v/>
      </c>
      <c r="CE56" s="507" t="n"/>
      <c r="CF56" s="462">
        <f>'7. Pure Influence'!K86</f>
        <v/>
      </c>
      <c r="CG56" s="462">
        <f>'7. Pure Influence'!L86</f>
        <v/>
      </c>
      <c r="CH56" s="462">
        <f>'7. Pure Influence'!M86</f>
        <v/>
      </c>
      <c r="CI56" s="462">
        <f>'7. Pure Influence'!N86</f>
        <v/>
      </c>
      <c r="CJ56" s="462">
        <f>'7. Pure Influence'!O86</f>
        <v/>
      </c>
      <c r="CK56" s="462">
        <f>'7. Pure Influence'!P86</f>
        <v/>
      </c>
      <c r="CL56" s="462">
        <f>'7. Pure Influence'!Q86</f>
        <v/>
      </c>
      <c r="CM56" s="462">
        <f>'7. Pure Influence'!R86</f>
        <v/>
      </c>
      <c r="CN56" s="853">
        <f>'7. Pure Influence'!G103</f>
        <v/>
      </c>
      <c r="CO56" s="462">
        <f>'7. Pure Influence'!H103</f>
        <v/>
      </c>
      <c r="CP56" s="462">
        <f>'7. Pure Influence'!I103</f>
        <v/>
      </c>
      <c r="CQ56" s="462">
        <f>'7. Pure Influence'!J103</f>
        <v/>
      </c>
      <c r="CS56" s="913">
        <f>SUM(CF56:CQ56)</f>
        <v/>
      </c>
      <c r="CU56" s="462">
        <f>'7. Pure Influence'!K103</f>
        <v/>
      </c>
      <c r="CV56" s="462">
        <f>'7. Pure Influence'!L103</f>
        <v/>
      </c>
      <c r="CW56" s="462">
        <f>'7. Pure Influence'!M103</f>
        <v/>
      </c>
      <c r="CX56" s="462">
        <f>'7. Pure Influence'!N103</f>
        <v/>
      </c>
      <c r="CY56" s="547">
        <f>'7. Pure Influence'!O103</f>
        <v/>
      </c>
      <c r="CZ56" s="547">
        <f>'7. Pure Influence'!P103</f>
        <v/>
      </c>
      <c r="DA56" s="547">
        <f>'7. Pure Influence'!Q103</f>
        <v/>
      </c>
      <c r="DB56" s="547">
        <f>'7. Pure Influence'!R103</f>
        <v/>
      </c>
    </row>
    <row r="57" ht="15" customHeight="1" s="1883">
      <c r="B57" s="835" t="inlineStr">
        <is>
          <t>●</t>
        </is>
      </c>
      <c r="C57" s="1726" t="inlineStr">
        <is>
          <t>CPG Model - Expenditures</t>
        </is>
      </c>
      <c r="D57" s="1726" t="n"/>
      <c r="E57" s="1732" t="n"/>
      <c r="F57" s="1732" t="n"/>
      <c r="G57" s="1732" t="n"/>
      <c r="H57" s="386" t="n"/>
      <c r="I57" s="547" t="n"/>
      <c r="J57" s="547" t="n"/>
      <c r="K57" s="547" t="n"/>
      <c r="L57" s="547" t="n"/>
      <c r="M57" s="547" t="n"/>
      <c r="N57" s="547" t="n"/>
      <c r="O57" s="547" t="n"/>
      <c r="P57" s="547" t="n"/>
      <c r="Q57" s="547" t="n"/>
      <c r="R57" s="547" t="n"/>
      <c r="S57" s="1710">
        <f>'10. CPG Projections'!B24</f>
        <v/>
      </c>
      <c r="T57" s="547">
        <f>'10. CPG Projections'!C24</f>
        <v/>
      </c>
      <c r="U57" s="1711" t="n"/>
      <c r="V57" s="913">
        <f>SUM(I57:T57)</f>
        <v/>
      </c>
      <c r="W57" s="1712" t="n"/>
      <c r="X57" s="547">
        <f>'10. CPG Projections'!D24</f>
        <v/>
      </c>
      <c r="Y57" s="547">
        <f>'10. CPG Projections'!E24</f>
        <v/>
      </c>
      <c r="Z57" s="547">
        <f>'10. CPG Projections'!F24</f>
        <v/>
      </c>
      <c r="AA57" s="547">
        <f>'10. CPG Projections'!G24</f>
        <v/>
      </c>
      <c r="AB57" s="547">
        <f>'10. CPG Projections'!H24</f>
        <v/>
      </c>
      <c r="AC57" s="547">
        <f>'10. CPG Projections'!I24</f>
        <v/>
      </c>
      <c r="AD57" s="547">
        <f>'10. CPG Projections'!J24</f>
        <v/>
      </c>
      <c r="AE57" s="547">
        <f>'10. CPG Projections'!K24</f>
        <v/>
      </c>
      <c r="AF57" s="547">
        <f>'10. CPG Projections'!L24</f>
        <v/>
      </c>
      <c r="AG57" s="547">
        <f>'10. CPG Projections'!M24</f>
        <v/>
      </c>
      <c r="AH57" s="1710">
        <f>'10. CPG Projections'!O24</f>
        <v/>
      </c>
      <c r="AI57" s="1507">
        <f>'10. CPG Projections'!P24</f>
        <v/>
      </c>
      <c r="AJ57" s="831" t="n"/>
      <c r="AK57" s="913">
        <f>SUM(X57:AI57)</f>
        <v/>
      </c>
      <c r="AL57" s="831" t="n"/>
      <c r="AM57" s="547">
        <f>'10. CPG Projections'!Q24</f>
        <v/>
      </c>
      <c r="AN57" s="547">
        <f>'10. CPG Projections'!R24</f>
        <v/>
      </c>
      <c r="AO57" s="547">
        <f>'10. CPG Projections'!S24</f>
        <v/>
      </c>
      <c r="AP57" s="547">
        <f>'10. CPG Projections'!T24</f>
        <v/>
      </c>
      <c r="AQ57" s="547">
        <f>'10. CPG Projections'!U24</f>
        <v/>
      </c>
      <c r="AR57" s="547">
        <f>'10. CPG Projections'!V24</f>
        <v/>
      </c>
      <c r="AS57" s="547">
        <f>'10. CPG Projections'!W24</f>
        <v/>
      </c>
      <c r="AT57" s="547">
        <f>'10. CPG Projections'!X24</f>
        <v/>
      </c>
      <c r="AU57" s="547">
        <f>'10. CPG Projections'!Y24</f>
        <v/>
      </c>
      <c r="AV57" s="547">
        <f>'10. CPG Projections'!Z24</f>
        <v/>
      </c>
      <c r="AW57" s="1710">
        <f>'10. CPG Projections'!AB24</f>
        <v/>
      </c>
      <c r="AX57" s="547">
        <f>'10. CPG Projections'!AC24</f>
        <v/>
      </c>
      <c r="AY57" s="831" t="n"/>
      <c r="AZ57" s="913">
        <f>SUM(AM57:AX57)</f>
        <v/>
      </c>
      <c r="BA57" s="507" t="n"/>
      <c r="BB57" s="462">
        <f>'10. CPG Projections'!AD24</f>
        <v/>
      </c>
      <c r="BC57" s="462">
        <f>'10. CPG Projections'!AE24</f>
        <v/>
      </c>
      <c r="BD57" s="462">
        <f>'10. CPG Projections'!AF24</f>
        <v/>
      </c>
      <c r="BE57" s="462">
        <f>'10. CPG Projections'!AG24</f>
        <v/>
      </c>
      <c r="BF57" s="462">
        <f>'10. CPG Projections'!AH24</f>
        <v/>
      </c>
      <c r="BG57" s="462">
        <f>'10. CPG Projections'!AI24</f>
        <v/>
      </c>
      <c r="BH57" s="462">
        <f>'10. CPG Projections'!AJ24</f>
        <v/>
      </c>
      <c r="BI57" s="462">
        <f>'10. CPG Projections'!AK24</f>
        <v/>
      </c>
      <c r="BJ57" s="462">
        <f>'10. CPG Projections'!AL24</f>
        <v/>
      </c>
      <c r="BK57" s="462">
        <f>'10. CPG Projections'!AM24</f>
        <v/>
      </c>
      <c r="BL57" s="853">
        <f>'10. CPG Projections'!AO24</f>
        <v/>
      </c>
      <c r="BM57" s="462">
        <f>'10. CPG Projections'!AP24</f>
        <v/>
      </c>
      <c r="BN57" s="831" t="n"/>
      <c r="BO57" s="913">
        <f>SUM(BB57:BM57)</f>
        <v/>
      </c>
      <c r="BP57" s="507" t="n"/>
      <c r="BQ57" s="462">
        <f>'10. CPG Projections'!AQ24</f>
        <v/>
      </c>
      <c r="BR57" s="462">
        <f>'10. CPG Projections'!AR24</f>
        <v/>
      </c>
      <c r="BS57" s="462">
        <f>'10. CPG Projections'!AS24</f>
        <v/>
      </c>
      <c r="BT57" s="462">
        <f>'10. CPG Projections'!AT24</f>
        <v/>
      </c>
      <c r="BU57" s="462">
        <f>'10. CPG Projections'!AU24</f>
        <v/>
      </c>
      <c r="BV57" s="462">
        <f>'10. CPG Projections'!AV24</f>
        <v/>
      </c>
      <c r="BW57" s="462">
        <f>'10. CPG Projections'!AW24</f>
        <v/>
      </c>
      <c r="BX57" s="462">
        <f>'10. CPG Projections'!AX24</f>
        <v/>
      </c>
      <c r="BY57" s="462">
        <f>'10. CPG Projections'!AY24</f>
        <v/>
      </c>
      <c r="BZ57" s="462">
        <f>'10. CPG Projections'!AZ24</f>
        <v/>
      </c>
      <c r="CA57" s="853">
        <f>'10. CPG Projections'!BB24</f>
        <v/>
      </c>
      <c r="CB57" s="462">
        <f>'10. CPG Projections'!BC24</f>
        <v/>
      </c>
      <c r="CC57" s="831" t="n"/>
      <c r="CD57" s="913">
        <f>SUM(BQ57:CB57)</f>
        <v/>
      </c>
      <c r="CE57" s="507" t="n"/>
      <c r="CF57" s="462">
        <f>'10. CPG Projections'!BD24</f>
        <v/>
      </c>
      <c r="CG57" s="462">
        <f>'10. CPG Projections'!BE24</f>
        <v/>
      </c>
      <c r="CH57" s="462">
        <f>'10. CPG Projections'!BF24</f>
        <v/>
      </c>
      <c r="CI57" s="462">
        <f>'10. CPG Projections'!BG24</f>
        <v/>
      </c>
      <c r="CJ57" s="462">
        <f>'10. CPG Projections'!BH24</f>
        <v/>
      </c>
      <c r="CK57" s="462">
        <f>'10. CPG Projections'!BI24</f>
        <v/>
      </c>
      <c r="CL57" s="462">
        <f>'10. CPG Projections'!BJ24</f>
        <v/>
      </c>
      <c r="CM57" s="462">
        <f>'10. CPG Projections'!BK24</f>
        <v/>
      </c>
      <c r="CN57" s="462">
        <f>'10. CPG Projections'!BL24</f>
        <v/>
      </c>
      <c r="CO57" s="462">
        <f>'10. CPG Projections'!BM24</f>
        <v/>
      </c>
      <c r="CP57" s="462" t="n">
        <v>0</v>
      </c>
      <c r="CQ57" s="462" t="n">
        <v>0</v>
      </c>
      <c r="CR57" s="831" t="n"/>
      <c r="CS57" s="913">
        <f>SUM(CF57:CQ57)</f>
        <v/>
      </c>
    </row>
    <row r="58" ht="15" customHeight="1" s="1883">
      <c r="B58" s="835" t="inlineStr">
        <is>
          <t>●</t>
        </is>
      </c>
      <c r="C58" s="1727" t="inlineStr">
        <is>
          <t>Camera Commerce - Expenditures</t>
        </is>
      </c>
      <c r="D58" s="1726" t="n"/>
      <c r="E58" s="1732" t="n"/>
      <c r="F58" s="1732" t="n"/>
      <c r="G58" s="1732" t="n"/>
      <c r="H58" s="386" t="n"/>
      <c r="I58" s="547" t="n"/>
      <c r="J58" s="547" t="n"/>
      <c r="K58" s="547" t="n"/>
      <c r="L58" s="547" t="n"/>
      <c r="M58" s="547" t="n"/>
      <c r="N58" s="1710">
        <f>'9. Camera Commerce'!B17</f>
        <v/>
      </c>
      <c r="O58" s="547">
        <f>'9. Camera Commerce'!C17</f>
        <v/>
      </c>
      <c r="P58" s="547">
        <f>'9. Camera Commerce'!D17</f>
        <v/>
      </c>
      <c r="Q58" s="547">
        <f>'9. Camera Commerce'!E17</f>
        <v/>
      </c>
      <c r="R58" s="547">
        <f>'9. Camera Commerce'!F17</f>
        <v/>
      </c>
      <c r="S58" s="547">
        <f>'9. Camera Commerce'!G17</f>
        <v/>
      </c>
      <c r="T58" s="547">
        <f>'9. Camera Commerce'!H17</f>
        <v/>
      </c>
      <c r="U58" s="386" t="n"/>
      <c r="V58" s="913">
        <f>SUM(I58:T58)</f>
        <v/>
      </c>
      <c r="W58" s="386" t="n"/>
      <c r="X58" s="547">
        <f>'9. Camera Commerce'!I17</f>
        <v/>
      </c>
      <c r="Y58" s="547">
        <f>'9. Camera Commerce'!J17</f>
        <v/>
      </c>
      <c r="Z58" s="547">
        <f>'9. Camera Commerce'!K17</f>
        <v/>
      </c>
      <c r="AA58" s="547">
        <f>'9. Camera Commerce'!L17</f>
        <v/>
      </c>
      <c r="AB58" s="547">
        <f>'9. Camera Commerce'!M17</f>
        <v/>
      </c>
      <c r="AC58" s="1710">
        <f>'9. Camera Commerce'!O17</f>
        <v/>
      </c>
      <c r="AD58" s="547">
        <f>'9. Camera Commerce'!P17</f>
        <v/>
      </c>
      <c r="AE58" s="547">
        <f>'9. Camera Commerce'!Q17</f>
        <v/>
      </c>
      <c r="AF58" s="547">
        <f>'9. Camera Commerce'!R17</f>
        <v/>
      </c>
      <c r="AG58" s="547">
        <f>'9. Camera Commerce'!S17</f>
        <v/>
      </c>
      <c r="AH58" s="547">
        <f>'9. Camera Commerce'!T17</f>
        <v/>
      </c>
      <c r="AI58" s="547">
        <f>'9. Camera Commerce'!U17</f>
        <v/>
      </c>
      <c r="AJ58" s="831" t="n"/>
      <c r="AK58" s="913">
        <f>SUM(X58:AI58)</f>
        <v/>
      </c>
      <c r="AL58" s="831" t="n"/>
      <c r="AM58" s="547">
        <f>'9. Camera Commerce'!V17</f>
        <v/>
      </c>
      <c r="AN58" s="547">
        <f>'9. Camera Commerce'!W17</f>
        <v/>
      </c>
      <c r="AO58" s="547">
        <f>'9. Camera Commerce'!X17</f>
        <v/>
      </c>
      <c r="AP58" s="1507">
        <f>'9. Camera Commerce'!Y17</f>
        <v/>
      </c>
      <c r="AQ58" s="547">
        <f>'9. Camera Commerce'!Z17</f>
        <v/>
      </c>
      <c r="AR58" s="853">
        <f>'9. Camera Commerce'!AB17</f>
        <v/>
      </c>
      <c r="AS58" s="462">
        <f>'9. Camera Commerce'!AC17</f>
        <v/>
      </c>
      <c r="AT58" s="462">
        <f>'9. Camera Commerce'!AD17</f>
        <v/>
      </c>
      <c r="AU58" s="462">
        <f>'9. Camera Commerce'!AE17</f>
        <v/>
      </c>
      <c r="AV58" s="462">
        <f>'9. Camera Commerce'!AF17</f>
        <v/>
      </c>
      <c r="AW58" s="462">
        <f>'9. Camera Commerce'!AG17</f>
        <v/>
      </c>
      <c r="AX58" s="462">
        <f>'9. Camera Commerce'!AH17</f>
        <v/>
      </c>
      <c r="AY58" s="831" t="n"/>
      <c r="AZ58" s="913">
        <f>SUM(AM58:AX58)</f>
        <v/>
      </c>
      <c r="BA58" s="507" t="n"/>
      <c r="BB58" s="462">
        <f>'9. Camera Commerce'!AI17</f>
        <v/>
      </c>
      <c r="BC58" s="462">
        <f>'9. Camera Commerce'!AJ17</f>
        <v/>
      </c>
      <c r="BD58" s="462">
        <f>'9. Camera Commerce'!AK17</f>
        <v/>
      </c>
      <c r="BE58" s="462">
        <f>'9. Camera Commerce'!AL17</f>
        <v/>
      </c>
      <c r="BF58" s="462">
        <f>'9. Camera Commerce'!AM17</f>
        <v/>
      </c>
      <c r="BG58" s="853">
        <f>'9. Camera Commerce'!AO17</f>
        <v/>
      </c>
      <c r="BH58" s="462">
        <f>'9. Camera Commerce'!AP17</f>
        <v/>
      </c>
      <c r="BI58" s="462">
        <f>'9. Camera Commerce'!AQ17</f>
        <v/>
      </c>
      <c r="BJ58" s="462">
        <f>'9. Camera Commerce'!AR17</f>
        <v/>
      </c>
      <c r="BK58" s="462">
        <f>'9. Camera Commerce'!AS17</f>
        <v/>
      </c>
      <c r="BL58" s="462">
        <f>'9. Camera Commerce'!AT17</f>
        <v/>
      </c>
      <c r="BM58" s="462">
        <f>'9. Camera Commerce'!AU17</f>
        <v/>
      </c>
      <c r="BN58" s="831" t="n"/>
      <c r="BO58" s="913">
        <f>SUM(BB58:BM58)</f>
        <v/>
      </c>
      <c r="BP58" s="507" t="n"/>
      <c r="BQ58" s="462">
        <f>'9. Camera Commerce'!AV17</f>
        <v/>
      </c>
      <c r="BR58" s="462">
        <f>'9. Camera Commerce'!AW17</f>
        <v/>
      </c>
      <c r="BS58" s="462">
        <f>'9. Camera Commerce'!AX17</f>
        <v/>
      </c>
      <c r="BT58" s="462">
        <f>'9. Camera Commerce'!AY17</f>
        <v/>
      </c>
      <c r="BU58" s="462">
        <f>'9. Camera Commerce'!AZ17</f>
        <v/>
      </c>
      <c r="BV58" s="1710">
        <f>'9. Camera Commerce'!BB17</f>
        <v/>
      </c>
      <c r="BW58" s="462">
        <f>'9. Camera Commerce'!BC17</f>
        <v/>
      </c>
      <c r="BX58" s="462">
        <f>'9. Camera Commerce'!BD17</f>
        <v/>
      </c>
      <c r="BY58" s="462">
        <f>'9. Camera Commerce'!BE17</f>
        <v/>
      </c>
      <c r="BZ58" s="462">
        <f>'9. Camera Commerce'!BF17</f>
        <v/>
      </c>
      <c r="CA58" s="462">
        <f>'9. Camera Commerce'!BG17</f>
        <v/>
      </c>
      <c r="CB58" s="462">
        <f>'9. Camera Commerce'!BH17</f>
        <v/>
      </c>
      <c r="CC58" s="831" t="n"/>
      <c r="CD58" s="913">
        <f>SUM(BQ58:CB58)</f>
        <v/>
      </c>
      <c r="CE58" s="507" t="n"/>
      <c r="CF58" s="462">
        <f>'9. Camera Commerce'!BI17</f>
        <v/>
      </c>
      <c r="CG58" s="462">
        <f>'9. Camera Commerce'!BJ17</f>
        <v/>
      </c>
      <c r="CH58" s="462">
        <f>'9. Camera Commerce'!BK17</f>
        <v/>
      </c>
      <c r="CI58" s="462">
        <f>'9. Camera Commerce'!BL17</f>
        <v/>
      </c>
      <c r="CJ58" s="462">
        <f>'9. Camera Commerce'!BM17</f>
        <v/>
      </c>
      <c r="CR58" s="831" t="n"/>
      <c r="CS58" s="913">
        <f>SUM(CF58:CQ58)</f>
        <v/>
      </c>
    </row>
    <row r="59" ht="15" customHeight="1" s="1883">
      <c r="B59" s="835" t="inlineStr">
        <is>
          <t>●</t>
        </is>
      </c>
      <c r="C59" s="1733" t="inlineStr">
        <is>
          <t xml:space="preserve">Token Raise Expenses </t>
        </is>
      </c>
      <c r="D59" s="1733" t="n"/>
      <c r="E59" s="1734" t="n"/>
      <c r="F59" s="1734" t="n"/>
      <c r="G59" s="1734" t="n"/>
      <c r="H59" s="386" t="n"/>
      <c r="I59" s="547" t="n">
        <v>0</v>
      </c>
      <c r="J59" s="547" t="n">
        <v>0</v>
      </c>
      <c r="K59" s="547" t="n">
        <v>0</v>
      </c>
      <c r="L59" s="547" t="n">
        <v>0</v>
      </c>
      <c r="M59" s="547" t="n">
        <v>0</v>
      </c>
      <c r="N59" s="547" t="n">
        <v>0</v>
      </c>
      <c r="O59" s="547" t="n">
        <v>0</v>
      </c>
      <c r="P59" s="547" t="n">
        <v>0</v>
      </c>
      <c r="Q59" s="547" t="n">
        <v>0</v>
      </c>
      <c r="R59" s="547" t="n">
        <v>0</v>
      </c>
      <c r="S59" s="547" t="n">
        <v>0</v>
      </c>
      <c r="T59" s="547" t="n">
        <v>0</v>
      </c>
      <c r="U59" s="386" t="n"/>
      <c r="V59" s="1735">
        <f>SUM(I59:T59)</f>
        <v/>
      </c>
      <c r="W59" s="386" t="n"/>
      <c r="X59" s="907" t="n">
        <v>0</v>
      </c>
      <c r="Y59" s="907" t="n">
        <v>0</v>
      </c>
      <c r="Z59" s="907" t="n">
        <v>0</v>
      </c>
      <c r="AA59" s="907" t="n">
        <v>0</v>
      </c>
      <c r="AB59" s="907" t="n">
        <v>0</v>
      </c>
      <c r="AC59" s="907" t="n">
        <v>0</v>
      </c>
      <c r="AD59" s="907" t="n">
        <v>0</v>
      </c>
      <c r="AE59" s="907" t="n">
        <v>0</v>
      </c>
      <c r="AF59" s="907" t="n">
        <v>0</v>
      </c>
      <c r="AG59" s="907" t="n">
        <v>0</v>
      </c>
      <c r="AH59" s="907" t="n">
        <v>0</v>
      </c>
      <c r="AI59" s="907" t="n">
        <v>0</v>
      </c>
      <c r="AJ59" s="908" t="n"/>
      <c r="AK59" s="1735">
        <f>SUM(X59:AI59)</f>
        <v/>
      </c>
      <c r="AL59" s="831" t="n"/>
      <c r="AM59" s="547" t="n">
        <v>0</v>
      </c>
      <c r="AN59" s="547" t="n">
        <v>0</v>
      </c>
      <c r="AO59" s="547" t="n">
        <v>0</v>
      </c>
      <c r="AP59" s="547" t="n">
        <v>0</v>
      </c>
      <c r="AQ59" s="547" t="n">
        <v>0</v>
      </c>
      <c r="AR59" s="547">
        <f>((10000000)/(7))</f>
        <v/>
      </c>
      <c r="AS59" s="547">
        <f>((10000000)/(7))</f>
        <v/>
      </c>
      <c r="AT59" s="547">
        <f>((10000000)/(7))</f>
        <v/>
      </c>
      <c r="AU59" s="547">
        <f>((10000000)/(7))</f>
        <v/>
      </c>
      <c r="AV59" s="547">
        <f>((10000000)/(7))</f>
        <v/>
      </c>
      <c r="AW59" s="547">
        <f>((10000000)/(7))</f>
        <v/>
      </c>
      <c r="AX59" s="547">
        <f>((10000000)/(7))</f>
        <v/>
      </c>
      <c r="AY59" s="908" t="n"/>
      <c r="AZ59" s="1735">
        <f>SUM(AM59:AX59)</f>
        <v/>
      </c>
      <c r="BA59" s="507" t="n"/>
      <c r="BB59" s="907" t="n">
        <v>0</v>
      </c>
      <c r="BC59" s="907" t="n">
        <v>0</v>
      </c>
      <c r="BD59" s="907" t="n">
        <v>0</v>
      </c>
      <c r="BE59" s="907" t="n">
        <v>0</v>
      </c>
      <c r="BF59" s="907" t="n">
        <v>0</v>
      </c>
      <c r="BG59" s="907" t="n">
        <v>0</v>
      </c>
      <c r="BH59" s="907" t="n">
        <v>0</v>
      </c>
      <c r="BI59" s="907" t="n">
        <v>0</v>
      </c>
      <c r="BJ59" s="907" t="n">
        <v>0</v>
      </c>
      <c r="BK59" s="907" t="n">
        <v>0</v>
      </c>
      <c r="BL59" s="907" t="n">
        <v>0</v>
      </c>
      <c r="BM59" s="907" t="n">
        <v>0</v>
      </c>
      <c r="BN59" s="908" t="n"/>
      <c r="BO59" s="1735">
        <f>SUM(BB59:BM59)</f>
        <v/>
      </c>
      <c r="BP59" s="507" t="n"/>
      <c r="BQ59" s="907" t="n">
        <v>0</v>
      </c>
      <c r="BR59" s="907" t="n">
        <v>0</v>
      </c>
      <c r="BS59" s="907" t="n">
        <v>0</v>
      </c>
      <c r="BT59" s="907" t="n">
        <v>0</v>
      </c>
      <c r="BU59" s="907" t="n">
        <v>0</v>
      </c>
      <c r="BV59" s="907" t="n">
        <v>0</v>
      </c>
      <c r="BW59" s="907" t="n">
        <v>0</v>
      </c>
      <c r="BX59" s="907" t="n">
        <v>0</v>
      </c>
      <c r="BY59" s="907" t="n">
        <v>0</v>
      </c>
      <c r="BZ59" s="907" t="n">
        <v>0</v>
      </c>
      <c r="CA59" s="907" t="n">
        <v>0</v>
      </c>
      <c r="CB59" s="907" t="n">
        <v>0</v>
      </c>
      <c r="CC59" s="908" t="n"/>
      <c r="CD59" s="1735">
        <f>SUM(BQ59:CB59)</f>
        <v/>
      </c>
      <c r="CE59" s="507" t="n"/>
      <c r="CF59" s="907" t="n">
        <v>0</v>
      </c>
      <c r="CG59" s="907" t="n">
        <v>0</v>
      </c>
      <c r="CH59" s="907" t="n">
        <v>0</v>
      </c>
      <c r="CI59" s="907" t="n">
        <v>0</v>
      </c>
      <c r="CJ59" s="907" t="n">
        <v>0</v>
      </c>
      <c r="CK59" s="907" t="n">
        <v>0</v>
      </c>
      <c r="CL59" s="907" t="n">
        <v>0</v>
      </c>
      <c r="CM59" s="907" t="n">
        <v>0</v>
      </c>
      <c r="CN59" s="907" t="n">
        <v>0</v>
      </c>
      <c r="CO59" s="907" t="n">
        <v>0</v>
      </c>
      <c r="CP59" s="907" t="n">
        <v>0</v>
      </c>
      <c r="CQ59" s="907" t="n">
        <v>0</v>
      </c>
      <c r="CR59" s="908" t="n"/>
      <c r="CS59" s="1735">
        <f>SUM(CF59:CQ59)</f>
        <v/>
      </c>
    </row>
    <row r="60" ht="15" customHeight="1" s="1883">
      <c r="B60" s="835" t="inlineStr">
        <is>
          <t>●</t>
        </is>
      </c>
      <c r="C60" s="1733" t="inlineStr">
        <is>
          <t>Working Capital Financing - Repayments</t>
        </is>
      </c>
      <c r="D60" s="1733" t="n"/>
      <c r="E60" s="1734" t="n"/>
      <c r="F60" s="1734" t="n"/>
      <c r="G60" s="1734" t="n"/>
      <c r="H60" s="386" t="n"/>
      <c r="I60" s="547" t="n">
        <v>0</v>
      </c>
      <c r="J60" s="547" t="n">
        <v>0</v>
      </c>
      <c r="K60" s="547" t="n">
        <v>0</v>
      </c>
      <c r="L60" s="547" t="n">
        <v>0</v>
      </c>
      <c r="M60" s="547" t="n">
        <v>0</v>
      </c>
      <c r="N60" s="547" t="n">
        <v>0</v>
      </c>
      <c r="O60" s="547" t="n">
        <v>0</v>
      </c>
      <c r="P60" s="547" t="n">
        <v>0</v>
      </c>
      <c r="Q60" s="547" t="n">
        <v>0</v>
      </c>
      <c r="R60" s="547" t="n">
        <v>0</v>
      </c>
      <c r="S60" s="547" t="n">
        <v>0</v>
      </c>
      <c r="T60" s="547" t="n">
        <v>0</v>
      </c>
      <c r="U60" s="386" t="n"/>
      <c r="V60" s="1735">
        <f>SUM(I60:T60)</f>
        <v/>
      </c>
      <c r="W60" s="386" t="n"/>
      <c r="X60" s="907" t="n">
        <v>0</v>
      </c>
      <c r="Y60" s="907" t="n">
        <v>0</v>
      </c>
      <c r="Z60" s="907" t="n">
        <v>0</v>
      </c>
      <c r="AA60" s="907" t="n">
        <v>0</v>
      </c>
      <c r="AB60" s="907" t="n">
        <v>0</v>
      </c>
      <c r="AC60" s="907" t="n">
        <v>0</v>
      </c>
      <c r="AD60" s="907" t="n">
        <v>0</v>
      </c>
      <c r="AE60" s="907" t="n">
        <v>0</v>
      </c>
      <c r="AF60" s="907" t="n">
        <v>0</v>
      </c>
      <c r="AG60" s="907" t="n">
        <v>0</v>
      </c>
      <c r="AH60" s="907" t="n">
        <v>0</v>
      </c>
      <c r="AI60" s="907" t="n">
        <v>0</v>
      </c>
      <c r="AJ60" s="908" t="n"/>
      <c r="AK60" s="1735">
        <f>SUM(X60:AI60)</f>
        <v/>
      </c>
      <c r="AL60" s="831" t="n"/>
      <c r="AM60" s="547" t="n">
        <v>0</v>
      </c>
      <c r="AN60" s="547" t="n">
        <v>0</v>
      </c>
      <c r="AO60" s="547" t="n">
        <v>0</v>
      </c>
      <c r="AP60" s="547" t="n">
        <v>0</v>
      </c>
      <c r="AQ60" s="547" t="n">
        <v>0</v>
      </c>
      <c r="AR60" s="547" t="n">
        <v>0</v>
      </c>
      <c r="AS60" s="547" t="n">
        <v>0</v>
      </c>
      <c r="AT60" s="547" t="n">
        <v>0</v>
      </c>
      <c r="AU60" s="547" t="n">
        <v>0</v>
      </c>
      <c r="AV60" s="547" t="n">
        <v>0</v>
      </c>
      <c r="AW60" s="547" t="n">
        <v>0</v>
      </c>
      <c r="AX60" s="547" t="n">
        <v>0</v>
      </c>
      <c r="AY60" s="507" t="n"/>
      <c r="AZ60" s="1735">
        <f>SUM(AM60:AX60)</f>
        <v/>
      </c>
      <c r="BA60" s="507" t="n"/>
      <c r="BB60" s="507" t="n"/>
      <c r="BC60" s="507" t="n"/>
      <c r="BD60" s="507" t="n"/>
      <c r="BE60" s="507" t="n"/>
      <c r="BF60" s="507" t="n"/>
      <c r="BG60" s="507" t="n"/>
      <c r="BH60" s="507" t="n"/>
      <c r="BI60" s="507" t="n"/>
      <c r="BJ60" s="507" t="n"/>
      <c r="BK60" s="507" t="n"/>
      <c r="BL60" s="507" t="n"/>
      <c r="BM60" s="507" t="n"/>
      <c r="BN60" s="507" t="n"/>
      <c r="BO60" s="1735">
        <f>SUM(BB60:BM60)</f>
        <v/>
      </c>
      <c r="BP60" s="507" t="n"/>
      <c r="BQ60" s="507" t="n"/>
      <c r="BR60" s="507" t="n"/>
      <c r="BS60" s="507" t="n"/>
      <c r="BT60" s="507" t="n"/>
      <c r="BU60" s="507" t="n"/>
      <c r="BV60" s="507" t="n"/>
      <c r="BW60" s="507" t="n"/>
      <c r="BX60" s="507" t="n"/>
      <c r="BY60" s="507" t="n"/>
      <c r="BZ60" s="507" t="n"/>
      <c r="CA60" s="507" t="n"/>
      <c r="CB60" s="507" t="n"/>
      <c r="CC60" s="507" t="n"/>
      <c r="CD60" s="1735">
        <f>SUM(BQ60:CB60)</f>
        <v/>
      </c>
      <c r="CE60" s="507" t="n"/>
      <c r="CF60" s="507" t="n"/>
      <c r="CG60" s="507" t="n"/>
      <c r="CH60" s="507" t="n"/>
      <c r="CI60" s="507" t="n"/>
      <c r="CJ60" s="507" t="n"/>
      <c r="CK60" s="507" t="n"/>
      <c r="CL60" s="507" t="n"/>
      <c r="CM60" s="507" t="n"/>
      <c r="CS60" s="1735">
        <f>SUM(CF60:CQ60)</f>
        <v/>
      </c>
    </row>
    <row r="61" ht="3" customHeight="1" s="1883">
      <c r="B61" s="383" t="n"/>
      <c r="C61" s="383" t="n"/>
      <c r="D61" s="383" t="n"/>
      <c r="E61" s="386" t="n"/>
      <c r="F61" s="386" t="n"/>
      <c r="G61" s="386" t="n"/>
      <c r="H61" s="386" t="n"/>
      <c r="I61" s="840" t="n"/>
      <c r="J61" s="840" t="n"/>
      <c r="K61" s="840" t="n"/>
      <c r="L61" s="840" t="n"/>
      <c r="M61" s="840" t="n"/>
      <c r="N61" s="840" t="n"/>
      <c r="O61" s="840" t="n"/>
      <c r="P61" s="840" t="n"/>
      <c r="Q61" s="841" t="n"/>
      <c r="R61" s="841" t="n"/>
      <c r="S61" s="841" t="n"/>
      <c r="T61" s="841" t="n"/>
      <c r="U61" s="386" t="n"/>
      <c r="V61" s="646" t="n"/>
      <c r="W61" s="386" t="n"/>
      <c r="X61" s="840" t="n"/>
      <c r="Y61" s="840" t="n"/>
      <c r="Z61" s="840" t="n"/>
      <c r="AA61" s="840" t="n"/>
      <c r="AB61" s="840" t="n"/>
      <c r="AC61" s="840" t="n"/>
      <c r="AD61" s="840" t="n"/>
      <c r="AE61" s="840" t="n"/>
      <c r="AF61" s="840" t="n"/>
      <c r="AG61" s="840" t="n"/>
      <c r="AH61" s="840" t="n"/>
      <c r="AI61" s="840" t="n"/>
      <c r="AJ61" s="831" t="n"/>
      <c r="AK61" s="840" t="n"/>
      <c r="AL61" s="831" t="n"/>
      <c r="AM61" s="840" t="n"/>
      <c r="AN61" s="840" t="n"/>
      <c r="AO61" s="840" t="n"/>
      <c r="AP61" s="840" t="n"/>
      <c r="AQ61" s="840" t="n"/>
      <c r="AR61" s="840" t="n"/>
      <c r="AS61" s="840" t="n"/>
      <c r="AT61" s="840" t="n"/>
      <c r="AU61" s="840" t="n"/>
      <c r="AV61" s="840" t="n"/>
      <c r="AW61" s="840" t="n"/>
      <c r="AX61" s="840" t="n"/>
      <c r="AY61" s="831" t="n"/>
      <c r="AZ61" s="840" t="n"/>
      <c r="BA61" s="507" t="n"/>
      <c r="BB61" s="840" t="n"/>
      <c r="BC61" s="840" t="n"/>
      <c r="BD61" s="840" t="n"/>
      <c r="BE61" s="840" t="n"/>
      <c r="BF61" s="840" t="n"/>
      <c r="BG61" s="840" t="n"/>
      <c r="BH61" s="840" t="n"/>
      <c r="BI61" s="840" t="n"/>
      <c r="BJ61" s="840" t="n"/>
      <c r="BK61" s="840" t="n"/>
      <c r="BL61" s="840" t="n"/>
      <c r="BM61" s="840" t="n"/>
      <c r="BN61" s="831" t="n"/>
      <c r="BO61" s="840" t="n"/>
      <c r="BP61" s="507" t="n"/>
      <c r="BQ61" s="840" t="n"/>
      <c r="BR61" s="840" t="n"/>
      <c r="BS61" s="840" t="n"/>
      <c r="BT61" s="840" t="n"/>
      <c r="BU61" s="840" t="n"/>
      <c r="BV61" s="840" t="n"/>
      <c r="BW61" s="840" t="n"/>
      <c r="BX61" s="840" t="n"/>
      <c r="BY61" s="840" t="n"/>
      <c r="BZ61" s="840" t="n"/>
      <c r="CA61" s="840" t="n"/>
      <c r="CB61" s="840" t="n"/>
      <c r="CC61" s="831" t="n"/>
      <c r="CD61" s="840" t="n"/>
      <c r="CE61" s="507" t="n"/>
      <c r="CF61" s="840" t="n"/>
      <c r="CG61" s="840" t="n"/>
      <c r="CH61" s="840" t="n"/>
      <c r="CI61" s="840" t="n"/>
      <c r="CJ61" s="840" t="n"/>
      <c r="CK61" s="840" t="n"/>
      <c r="CL61" s="840" t="n"/>
      <c r="CM61" s="840" t="n"/>
      <c r="CN61" s="840" t="n"/>
      <c r="CO61" s="840" t="n"/>
      <c r="CP61" s="840" t="n"/>
      <c r="CQ61" s="840" t="n"/>
      <c r="CR61" s="831" t="n"/>
      <c r="CS61" s="840" t="n"/>
    </row>
    <row r="62" ht="3" customHeight="1" s="1883">
      <c r="B62" s="383" t="n"/>
      <c r="C62" s="383" t="n"/>
      <c r="D62" s="383" t="n"/>
      <c r="E62" s="386" t="n"/>
      <c r="F62" s="386" t="n"/>
      <c r="G62" s="386" t="n"/>
      <c r="H62" s="386" t="n"/>
      <c r="I62" s="831" t="n"/>
      <c r="J62" s="831" t="n"/>
      <c r="K62" s="831" t="n"/>
      <c r="L62" s="831" t="n"/>
      <c r="M62" s="831" t="n"/>
      <c r="N62" s="831" t="n"/>
      <c r="O62" s="831" t="n"/>
      <c r="P62" s="831" t="n"/>
      <c r="Q62" s="831" t="n"/>
      <c r="R62" s="831" t="n"/>
      <c r="S62" s="831" t="n"/>
      <c r="T62" s="831" t="n"/>
      <c r="U62" s="386" t="n"/>
      <c r="V62" s="386" t="n"/>
      <c r="W62" s="386" t="n"/>
      <c r="X62" s="831" t="n"/>
      <c r="Y62" s="831" t="n"/>
      <c r="Z62" s="831" t="n"/>
      <c r="AA62" s="831" t="n"/>
      <c r="AB62" s="831" t="n"/>
      <c r="AC62" s="831" t="n"/>
      <c r="AD62" s="831" t="n"/>
      <c r="AE62" s="831" t="n"/>
      <c r="AF62" s="831" t="n"/>
      <c r="AG62" s="831" t="n"/>
      <c r="AH62" s="831" t="n"/>
      <c r="AI62" s="831" t="n"/>
      <c r="AJ62" s="831" t="n"/>
      <c r="AK62" s="831" t="n"/>
      <c r="AL62" s="831" t="n"/>
      <c r="AM62" s="831" t="n"/>
      <c r="AN62" s="831" t="n"/>
      <c r="AO62" s="831" t="n"/>
      <c r="AP62" s="831" t="n"/>
      <c r="AQ62" s="831" t="n"/>
      <c r="AR62" s="831" t="n"/>
      <c r="AS62" s="831" t="n"/>
      <c r="AT62" s="831" t="n"/>
      <c r="AU62" s="831" t="n"/>
      <c r="AV62" s="831" t="n"/>
      <c r="AW62" s="831" t="n"/>
      <c r="AX62" s="831" t="n"/>
      <c r="AY62" s="831" t="n"/>
      <c r="AZ62" s="831" t="n"/>
      <c r="BA62" s="507" t="n"/>
      <c r="BB62" s="831" t="n"/>
      <c r="BC62" s="831" t="n"/>
      <c r="BD62" s="831" t="n"/>
      <c r="BE62" s="831" t="n"/>
      <c r="BF62" s="831" t="n"/>
      <c r="BG62" s="831" t="n"/>
      <c r="BH62" s="831" t="n"/>
      <c r="BI62" s="831" t="n"/>
      <c r="BJ62" s="831" t="n"/>
      <c r="BK62" s="831" t="n"/>
      <c r="BL62" s="831" t="n"/>
      <c r="BM62" s="831" t="n"/>
      <c r="BN62" s="831" t="n"/>
      <c r="BO62" s="831" t="n"/>
      <c r="BP62" s="507" t="n"/>
      <c r="BQ62" s="831" t="n"/>
      <c r="BR62" s="831" t="n"/>
      <c r="BS62" s="831" t="n"/>
      <c r="BT62" s="831" t="n"/>
      <c r="BU62" s="831" t="n"/>
      <c r="BV62" s="831" t="n"/>
      <c r="BW62" s="831" t="n"/>
      <c r="BX62" s="831" t="n"/>
      <c r="BY62" s="831" t="n"/>
      <c r="BZ62" s="831" t="n"/>
      <c r="CA62" s="831" t="n"/>
      <c r="CB62" s="831" t="n"/>
      <c r="CC62" s="831" t="n"/>
      <c r="CD62" s="831" t="n"/>
      <c r="CE62" s="507" t="n"/>
      <c r="CF62" s="831" t="n"/>
      <c r="CG62" s="831" t="n"/>
      <c r="CH62" s="831" t="n"/>
      <c r="CI62" s="831" t="n"/>
      <c r="CJ62" s="831" t="n"/>
      <c r="CK62" s="831" t="n"/>
      <c r="CL62" s="831" t="n"/>
      <c r="CM62" s="831" t="n"/>
      <c r="CN62" s="831" t="n"/>
      <c r="CO62" s="831" t="n"/>
      <c r="CP62" s="831" t="n"/>
      <c r="CQ62" s="831" t="n"/>
      <c r="CR62" s="831" t="n"/>
      <c r="CS62" s="831" t="n"/>
    </row>
    <row r="63" ht="15" customHeight="1" s="1883">
      <c r="B63" s="383" t="n"/>
      <c r="C63" s="383" t="n"/>
      <c r="D63" s="385" t="inlineStr">
        <is>
          <t>Total Cash Disbursements</t>
        </is>
      </c>
      <c r="E63" s="386" t="n"/>
      <c r="F63" s="386" t="n"/>
      <c r="G63" s="386" t="n"/>
      <c r="H63" s="386" t="n"/>
      <c r="I63" s="831">
        <f>SUM(I43:I60)</f>
        <v/>
      </c>
      <c r="J63" s="831">
        <f>SUM(J43:J60)</f>
        <v/>
      </c>
      <c r="K63" s="831">
        <f>SUM(K43:K60)</f>
        <v/>
      </c>
      <c r="L63" s="831">
        <f>SUM(L43:L60)</f>
        <v/>
      </c>
      <c r="M63" s="831">
        <f>SUM(M43:M60)</f>
        <v/>
      </c>
      <c r="N63" s="831">
        <f>SUM(N43:N60)</f>
        <v/>
      </c>
      <c r="O63" s="831">
        <f>SUM(O43:O60)</f>
        <v/>
      </c>
      <c r="P63" s="831">
        <f>SUM(P43:P60)</f>
        <v/>
      </c>
      <c r="Q63" s="831">
        <f>SUM(Q43:Q60)</f>
        <v/>
      </c>
      <c r="R63" s="831">
        <f>SUM(R43:R60)</f>
        <v/>
      </c>
      <c r="S63" s="831">
        <f>SUM(S43:S60)</f>
        <v/>
      </c>
      <c r="T63" s="831">
        <f>SUM(T43:T60)</f>
        <v/>
      </c>
      <c r="U63" s="386" t="n"/>
      <c r="V63" s="831">
        <f>SUM(V43:V60)</f>
        <v/>
      </c>
      <c r="W63" s="386" t="n"/>
      <c r="X63" s="831">
        <f>SUM(X43:X60)</f>
        <v/>
      </c>
      <c r="Y63" s="831">
        <f>SUM(Y43:Y60)</f>
        <v/>
      </c>
      <c r="Z63" s="831">
        <f>SUM(Z43:Z60)</f>
        <v/>
      </c>
      <c r="AA63" s="831">
        <f>SUM(AA43:AA60)</f>
        <v/>
      </c>
      <c r="AB63" s="831">
        <f>SUM(AB43:AB60)</f>
        <v/>
      </c>
      <c r="AC63" s="831">
        <f>SUM(AC43:AC60)</f>
        <v/>
      </c>
      <c r="AD63" s="831">
        <f>SUM(AD43:AD60)</f>
        <v/>
      </c>
      <c r="AE63" s="831">
        <f>SUM(AE43:AE60)</f>
        <v/>
      </c>
      <c r="AF63" s="831">
        <f>SUM(AF43:AF60)</f>
        <v/>
      </c>
      <c r="AG63" s="831">
        <f>SUM(AG43:AG60)</f>
        <v/>
      </c>
      <c r="AH63" s="831">
        <f>SUM(AH43:AH60)</f>
        <v/>
      </c>
      <c r="AI63" s="831">
        <f>SUM(AI43:AI60)</f>
        <v/>
      </c>
      <c r="AJ63" s="831" t="n"/>
      <c r="AK63" s="831">
        <f>SUM(AK43:AK60)</f>
        <v/>
      </c>
      <c r="AL63" s="831" t="n"/>
      <c r="AM63" s="831">
        <f>SUM(AM43:AM60)</f>
        <v/>
      </c>
      <c r="AN63" s="831">
        <f>SUM(AN43:AN60)</f>
        <v/>
      </c>
      <c r="AO63" s="831">
        <f>SUM(AO43:AO60)</f>
        <v/>
      </c>
      <c r="AP63" s="831">
        <f>SUM(AP43:AP60)</f>
        <v/>
      </c>
      <c r="AQ63" s="831">
        <f>SUM(AQ43:AQ60)</f>
        <v/>
      </c>
      <c r="AR63" s="831">
        <f>SUM(AR43:AR60)</f>
        <v/>
      </c>
      <c r="AS63" s="831">
        <f>SUM(AS43:AS60)</f>
        <v/>
      </c>
      <c r="AT63" s="831">
        <f>SUM(AT43:AT60)</f>
        <v/>
      </c>
      <c r="AU63" s="831">
        <f>SUM(AU43:AU60)</f>
        <v/>
      </c>
      <c r="AV63" s="831">
        <f>SUM(AV43:AV60)</f>
        <v/>
      </c>
      <c r="AW63" s="831">
        <f>SUM(AW43:AW60)</f>
        <v/>
      </c>
      <c r="AX63" s="831">
        <f>SUM(AX43:AX60)</f>
        <v/>
      </c>
      <c r="AY63" s="831" t="n"/>
      <c r="AZ63" s="831">
        <f>SUM(AZ43:AZ60)</f>
        <v/>
      </c>
      <c r="BA63" s="507" t="n"/>
      <c r="BB63" s="831">
        <f>SUM(BB43:BB60)</f>
        <v/>
      </c>
      <c r="BC63" s="831">
        <f>SUM(BC43:BC60)</f>
        <v/>
      </c>
      <c r="BD63" s="831">
        <f>SUM(BD43:BD60)</f>
        <v/>
      </c>
      <c r="BE63" s="831">
        <f>SUM(BE43:BE60)</f>
        <v/>
      </c>
      <c r="BF63" s="831">
        <f>SUM(BF43:BF60)</f>
        <v/>
      </c>
      <c r="BG63" s="831">
        <f>SUM(BG43:BG60)</f>
        <v/>
      </c>
      <c r="BH63" s="831">
        <f>SUM(BH43:BH60)</f>
        <v/>
      </c>
      <c r="BI63" s="831">
        <f>SUM(BI43:BI60)</f>
        <v/>
      </c>
      <c r="BJ63" s="831">
        <f>SUM(BJ43:BJ60)</f>
        <v/>
      </c>
      <c r="BK63" s="831">
        <f>SUM(BK43:BK60)</f>
        <v/>
      </c>
      <c r="BL63" s="831">
        <f>SUM(BL43:BL60)</f>
        <v/>
      </c>
      <c r="BM63" s="831">
        <f>SUM(BM43:BM60)</f>
        <v/>
      </c>
      <c r="BN63" s="831" t="n"/>
      <c r="BO63" s="831">
        <f>SUM(BO43:BO60)</f>
        <v/>
      </c>
      <c r="BP63" s="507" t="n"/>
      <c r="BQ63" s="831">
        <f>SUM(BQ43:BQ60)</f>
        <v/>
      </c>
      <c r="BR63" s="831">
        <f>SUM(BR43:BR60)</f>
        <v/>
      </c>
      <c r="BS63" s="831">
        <f>SUM(BS43:BS60)</f>
        <v/>
      </c>
      <c r="BT63" s="831">
        <f>SUM(BT43:BT60)</f>
        <v/>
      </c>
      <c r="BU63" s="831">
        <f>SUM(BU43:BU60)</f>
        <v/>
      </c>
      <c r="BV63" s="831">
        <f>SUM(BV43:BV60)</f>
        <v/>
      </c>
      <c r="BW63" s="831">
        <f>SUM(BW43:BW60)</f>
        <v/>
      </c>
      <c r="BX63" s="831">
        <f>SUM(BX43:BX60)</f>
        <v/>
      </c>
      <c r="BY63" s="831">
        <f>SUM(BY43:BY60)</f>
        <v/>
      </c>
      <c r="BZ63" s="831">
        <f>SUM(BZ43:BZ60)</f>
        <v/>
      </c>
      <c r="CA63" s="831">
        <f>SUM(CA43:CA60)</f>
        <v/>
      </c>
      <c r="CB63" s="831">
        <f>SUM(CB43:CB60)</f>
        <v/>
      </c>
      <c r="CC63" s="831" t="n"/>
      <c r="CD63" s="831">
        <f>SUM(CD43:CD60)</f>
        <v/>
      </c>
      <c r="CE63" s="507" t="n"/>
      <c r="CF63" s="831">
        <f>SUM(CF43:CF60)</f>
        <v/>
      </c>
      <c r="CG63" s="831">
        <f>SUM(CG43:CG60)</f>
        <v/>
      </c>
      <c r="CH63" s="831">
        <f>SUM(CH43:CH60)</f>
        <v/>
      </c>
      <c r="CI63" s="831">
        <f>SUM(CI43:CI60)</f>
        <v/>
      </c>
      <c r="CJ63" s="831">
        <f>SUM(CJ43:CJ60)</f>
        <v/>
      </c>
      <c r="CK63" s="831">
        <f>SUM(CK43:CK60)</f>
        <v/>
      </c>
      <c r="CL63" s="831">
        <f>SUM(CL43:CL60)</f>
        <v/>
      </c>
      <c r="CM63" s="831">
        <f>SUM(CM43:CM60)</f>
        <v/>
      </c>
      <c r="CN63" s="831">
        <f>SUM(CN43:CN60)</f>
        <v/>
      </c>
      <c r="CO63" s="831">
        <f>SUM(CO43:CO60)</f>
        <v/>
      </c>
      <c r="CP63" s="831">
        <f>SUM(CP43:CP60)</f>
        <v/>
      </c>
      <c r="CQ63" s="831">
        <f>SUM(CQ43:CQ60)</f>
        <v/>
      </c>
      <c r="CR63" s="831" t="n"/>
      <c r="CS63" s="831">
        <f>SUM(CS43:CS60)</f>
        <v/>
      </c>
      <c r="CU63" s="507">
        <f>SUM(CF63:CQ63)</f>
        <v/>
      </c>
      <c r="CV63" s="1917" t="inlineStr">
        <is>
          <t>checked</t>
        </is>
      </c>
    </row>
    <row r="64" ht="3" customHeight="1" s="1883">
      <c r="B64" s="383" t="n"/>
      <c r="C64" s="383" t="n"/>
      <c r="D64" s="383" t="n"/>
      <c r="E64" s="386" t="n"/>
      <c r="F64" s="386" t="n"/>
      <c r="G64" s="386" t="n"/>
      <c r="H64" s="386" t="n"/>
      <c r="I64" s="840" t="n"/>
      <c r="J64" s="840" t="n"/>
      <c r="K64" s="840" t="n"/>
      <c r="L64" s="840" t="n"/>
      <c r="M64" s="840" t="n"/>
      <c r="N64" s="840" t="n"/>
      <c r="O64" s="840" t="n"/>
      <c r="P64" s="840" t="n"/>
      <c r="Q64" s="840" t="n"/>
      <c r="R64" s="840" t="n"/>
      <c r="S64" s="840" t="n"/>
      <c r="T64" s="840" t="n"/>
      <c r="U64" s="386" t="n"/>
      <c r="V64" s="646" t="n"/>
      <c r="W64" s="386" t="n"/>
      <c r="X64" s="840" t="n"/>
      <c r="Y64" s="840" t="n"/>
      <c r="Z64" s="840" t="n"/>
      <c r="AA64" s="840" t="n"/>
      <c r="AB64" s="840" t="n"/>
      <c r="AC64" s="840" t="n"/>
      <c r="AD64" s="840" t="n"/>
      <c r="AE64" s="840" t="n"/>
      <c r="AF64" s="840" t="n"/>
      <c r="AG64" s="840" t="n"/>
      <c r="AH64" s="840" t="n"/>
      <c r="AI64" s="840" t="n"/>
      <c r="AJ64" s="831" t="n"/>
      <c r="AK64" s="840" t="n"/>
      <c r="AL64" s="831" t="n"/>
      <c r="AM64" s="840" t="n"/>
      <c r="AN64" s="840" t="n"/>
      <c r="AO64" s="840" t="n"/>
      <c r="AP64" s="840" t="n"/>
      <c r="AQ64" s="840" t="n"/>
      <c r="AR64" s="840" t="n"/>
      <c r="AS64" s="840" t="n"/>
      <c r="AT64" s="840" t="n"/>
      <c r="AU64" s="840" t="n"/>
      <c r="AV64" s="840" t="n"/>
      <c r="AW64" s="840" t="n"/>
      <c r="AX64" s="840" t="n"/>
      <c r="AY64" s="831" t="n"/>
      <c r="AZ64" s="840" t="n"/>
      <c r="BA64" s="507" t="n"/>
      <c r="BB64" s="840" t="n"/>
      <c r="BC64" s="840" t="n"/>
      <c r="BD64" s="840" t="n"/>
      <c r="BE64" s="840" t="n"/>
      <c r="BF64" s="840" t="n"/>
      <c r="BG64" s="840" t="n"/>
      <c r="BH64" s="840" t="n"/>
      <c r="BI64" s="840" t="n"/>
      <c r="BJ64" s="840" t="n"/>
      <c r="BK64" s="840" t="n"/>
      <c r="BL64" s="840" t="n"/>
      <c r="BM64" s="840" t="n"/>
      <c r="BN64" s="831" t="n"/>
      <c r="BO64" s="840" t="n"/>
      <c r="BP64" s="507" t="n"/>
      <c r="BQ64" s="840" t="n"/>
      <c r="BR64" s="840" t="n"/>
      <c r="BS64" s="840" t="n"/>
      <c r="BT64" s="840" t="n"/>
      <c r="BU64" s="840" t="n"/>
      <c r="BV64" s="840" t="n"/>
      <c r="BW64" s="840" t="n"/>
      <c r="BX64" s="840" t="n"/>
      <c r="BY64" s="840" t="n"/>
      <c r="BZ64" s="840" t="n"/>
      <c r="CA64" s="840" t="n"/>
      <c r="CB64" s="840" t="n"/>
      <c r="CC64" s="831" t="n"/>
      <c r="CD64" s="840" t="n"/>
      <c r="CE64" s="507" t="n"/>
      <c r="CF64" s="840" t="n"/>
      <c r="CG64" s="840" t="n"/>
      <c r="CH64" s="840" t="n"/>
      <c r="CI64" s="840" t="n"/>
      <c r="CJ64" s="840" t="n"/>
      <c r="CK64" s="840" t="n"/>
      <c r="CL64" s="840" t="n"/>
      <c r="CM64" s="840" t="n"/>
      <c r="CN64" s="840" t="n"/>
      <c r="CO64" s="840" t="n"/>
      <c r="CP64" s="840" t="n"/>
      <c r="CQ64" s="840" t="n"/>
      <c r="CR64" s="831" t="n"/>
      <c r="CS64" s="840" t="n"/>
    </row>
    <row r="65" ht="3" customHeight="1" s="1883">
      <c r="B65" s="383" t="n"/>
      <c r="C65" s="383" t="n"/>
      <c r="D65" s="383" t="n"/>
      <c r="E65" s="386" t="n"/>
      <c r="F65" s="386" t="n"/>
      <c r="G65" s="386" t="n"/>
      <c r="H65" s="386" t="n"/>
      <c r="I65" s="831" t="n"/>
      <c r="J65" s="831" t="n"/>
      <c r="K65" s="831" t="n"/>
      <c r="L65" s="831" t="n"/>
      <c r="M65" s="831" t="n"/>
      <c r="N65" s="831" t="n"/>
      <c r="O65" s="831" t="n"/>
      <c r="P65" s="831" t="n"/>
      <c r="Q65" s="831" t="n"/>
      <c r="R65" s="831" t="n"/>
      <c r="S65" s="831" t="n"/>
      <c r="T65" s="831" t="n"/>
      <c r="U65" s="386" t="n"/>
      <c r="V65" s="386" t="n"/>
      <c r="W65" s="386" t="n"/>
      <c r="X65" s="831" t="n"/>
      <c r="Y65" s="831" t="n"/>
      <c r="Z65" s="831" t="n"/>
      <c r="AA65" s="831" t="n"/>
      <c r="AB65" s="831" t="n"/>
      <c r="AC65" s="831" t="n"/>
      <c r="AD65" s="831" t="n"/>
      <c r="AE65" s="831" t="n"/>
      <c r="AF65" s="831" t="n"/>
      <c r="AG65" s="831" t="n"/>
      <c r="AH65" s="831" t="n"/>
      <c r="AI65" s="831" t="n"/>
      <c r="AJ65" s="831" t="n"/>
      <c r="AK65" s="831" t="n"/>
      <c r="AL65" s="831" t="n"/>
      <c r="AM65" s="831" t="n"/>
      <c r="AN65" s="831" t="n"/>
      <c r="AO65" s="831" t="n"/>
      <c r="AP65" s="831" t="n"/>
      <c r="AQ65" s="831" t="n"/>
      <c r="AR65" s="831" t="n"/>
      <c r="AS65" s="831" t="n"/>
      <c r="AT65" s="831" t="n"/>
      <c r="AU65" s="831" t="n"/>
      <c r="AV65" s="831" t="n"/>
      <c r="AW65" s="831" t="n"/>
      <c r="AX65" s="831" t="n"/>
      <c r="AY65" s="831" t="n"/>
      <c r="AZ65" s="831" t="n"/>
      <c r="BA65" s="507" t="n"/>
      <c r="BB65" s="831" t="n"/>
      <c r="BC65" s="831" t="n"/>
      <c r="BD65" s="831" t="n"/>
      <c r="BE65" s="831" t="n"/>
      <c r="BF65" s="831" t="n"/>
      <c r="BG65" s="831" t="n"/>
      <c r="BH65" s="831" t="n"/>
      <c r="BI65" s="831" t="n"/>
      <c r="BJ65" s="831" t="n"/>
      <c r="BK65" s="831" t="n"/>
      <c r="BL65" s="831" t="n"/>
      <c r="BM65" s="831" t="n"/>
      <c r="BN65" s="831" t="n"/>
      <c r="BO65" s="831" t="n"/>
      <c r="BP65" s="507" t="n"/>
      <c r="BQ65" s="831" t="n"/>
      <c r="BR65" s="831" t="n"/>
      <c r="BS65" s="831" t="n"/>
      <c r="BT65" s="831" t="n"/>
      <c r="BU65" s="831" t="n"/>
      <c r="BV65" s="831" t="n"/>
      <c r="BW65" s="831" t="n"/>
      <c r="BX65" s="831" t="n"/>
      <c r="BY65" s="831" t="n"/>
      <c r="BZ65" s="831" t="n"/>
      <c r="CA65" s="831" t="n"/>
      <c r="CB65" s="831" t="n"/>
      <c r="CC65" s="831" t="n"/>
      <c r="CD65" s="831" t="n"/>
      <c r="CE65" s="507" t="n"/>
      <c r="CF65" s="831" t="n"/>
      <c r="CG65" s="831" t="n"/>
      <c r="CH65" s="831" t="n"/>
      <c r="CI65" s="831" t="n"/>
      <c r="CJ65" s="831" t="n"/>
      <c r="CK65" s="831" t="n"/>
      <c r="CL65" s="831" t="n"/>
      <c r="CM65" s="831" t="n"/>
      <c r="CN65" s="831" t="n"/>
      <c r="CO65" s="831" t="n"/>
      <c r="CP65" s="831" t="n"/>
      <c r="CQ65" s="831" t="n"/>
      <c r="CR65" s="831" t="n"/>
      <c r="CS65" s="831" t="n"/>
    </row>
    <row r="66" ht="15" customHeight="1" s="1883">
      <c r="B66" s="383" t="n"/>
      <c r="C66" s="383" t="n"/>
      <c r="D66" s="383" t="n"/>
      <c r="E66" s="386" t="n"/>
      <c r="F66" s="386" t="n"/>
      <c r="G66" s="386" t="n"/>
      <c r="H66" s="386" t="n"/>
      <c r="I66" s="831" t="n"/>
      <c r="J66" s="831" t="n"/>
      <c r="K66" s="831" t="n"/>
      <c r="L66" s="831" t="n"/>
      <c r="M66" s="831" t="n"/>
      <c r="N66" s="831" t="n"/>
      <c r="O66" s="831" t="n"/>
      <c r="P66" s="831" t="n"/>
      <c r="Q66" s="831" t="n"/>
      <c r="R66" s="831" t="n"/>
      <c r="S66" s="831" t="n"/>
      <c r="T66" s="831" t="n"/>
      <c r="U66" s="386" t="n"/>
      <c r="V66" s="386" t="n"/>
      <c r="W66" s="386" t="n"/>
      <c r="X66" s="831" t="n"/>
      <c r="Y66" s="831" t="n"/>
      <c r="Z66" s="831" t="n"/>
      <c r="AA66" s="831" t="n"/>
      <c r="AB66" s="831" t="n"/>
      <c r="AC66" s="831" t="n"/>
      <c r="AD66" s="831" t="n"/>
      <c r="AE66" s="831" t="n"/>
      <c r="AF66" s="831" t="n"/>
      <c r="AG66" s="831" t="n"/>
      <c r="AH66" s="831" t="n"/>
      <c r="AI66" s="831" t="n"/>
      <c r="AJ66" s="831" t="n"/>
      <c r="AK66" s="831" t="n"/>
      <c r="AL66" s="831" t="n"/>
      <c r="AM66" s="831" t="n"/>
      <c r="AN66" s="831" t="n"/>
      <c r="AO66" s="831" t="n"/>
      <c r="AP66" s="831" t="n"/>
      <c r="AQ66" s="831" t="n"/>
      <c r="AR66" s="831" t="n"/>
      <c r="AS66" s="831" t="n"/>
      <c r="AT66" s="831" t="n"/>
      <c r="AU66" s="831" t="n"/>
      <c r="AV66" s="831" t="n"/>
      <c r="AW66" s="831" t="n"/>
      <c r="AX66" s="831" t="n"/>
      <c r="AY66" s="831" t="n"/>
      <c r="AZ66" s="831" t="n"/>
      <c r="BA66" s="507" t="n"/>
      <c r="BB66" s="831" t="n"/>
      <c r="BC66" s="831" t="n"/>
      <c r="BD66" s="831" t="n"/>
      <c r="BE66" s="831" t="n"/>
      <c r="BF66" s="831" t="n"/>
      <c r="BG66" s="831" t="n"/>
      <c r="BH66" s="831" t="n"/>
      <c r="BI66" s="831" t="n"/>
      <c r="BJ66" s="831" t="n"/>
      <c r="BK66" s="831" t="n"/>
      <c r="BL66" s="831" t="n"/>
      <c r="BM66" s="831" t="n"/>
      <c r="BN66" s="831" t="n"/>
      <c r="BO66" s="831" t="n"/>
      <c r="BP66" s="507" t="n"/>
      <c r="BQ66" s="831" t="n"/>
      <c r="BR66" s="831" t="n"/>
      <c r="BS66" s="831" t="n"/>
      <c r="BT66" s="831" t="n"/>
      <c r="BU66" s="831" t="n"/>
      <c r="BV66" s="831" t="n"/>
      <c r="BW66" s="831" t="n"/>
      <c r="BX66" s="831" t="n"/>
      <c r="BY66" s="831" t="n"/>
      <c r="BZ66" s="831" t="n"/>
      <c r="CA66" s="831" t="n"/>
      <c r="CB66" s="831" t="n"/>
      <c r="CC66" s="831" t="n"/>
      <c r="CD66" s="831" t="n"/>
      <c r="CE66" s="507" t="n"/>
      <c r="CF66" s="831" t="n"/>
      <c r="CG66" s="831" t="n"/>
      <c r="CH66" s="831" t="n"/>
      <c r="CI66" s="831" t="n"/>
      <c r="CJ66" s="831" t="n"/>
      <c r="CK66" s="831" t="n"/>
      <c r="CL66" s="831" t="n"/>
      <c r="CM66" s="831" t="n"/>
      <c r="CN66" s="831" t="n"/>
      <c r="CO66" s="831" t="n"/>
      <c r="CP66" s="831" t="n"/>
      <c r="CQ66" s="831" t="n"/>
      <c r="CR66" s="831" t="n"/>
      <c r="CS66" s="831" t="n"/>
    </row>
    <row r="67" ht="15" customHeight="1" s="1883">
      <c r="B67" s="383" t="n"/>
      <c r="C67" s="383" t="n"/>
      <c r="D67" s="383" t="n"/>
      <c r="E67" s="386" t="n"/>
      <c r="F67" s="386" t="n"/>
      <c r="G67" s="386" t="n"/>
      <c r="H67" s="386" t="n"/>
      <c r="I67" s="831" t="n"/>
      <c r="J67" s="831" t="n"/>
      <c r="K67" s="831" t="n"/>
      <c r="L67" s="831" t="n"/>
      <c r="M67" s="831" t="n"/>
      <c r="N67" s="831" t="n"/>
      <c r="O67" s="831" t="n"/>
      <c r="P67" s="831" t="n"/>
      <c r="Q67" s="831" t="n"/>
      <c r="R67" s="831" t="n"/>
      <c r="S67" s="831" t="n"/>
      <c r="T67" s="831" t="n"/>
      <c r="U67" s="386" t="n"/>
      <c r="V67" s="386" t="n"/>
      <c r="W67" s="386" t="n"/>
      <c r="X67" s="831" t="n"/>
      <c r="Y67" s="831" t="n"/>
      <c r="Z67" s="831" t="n"/>
      <c r="AA67" s="831" t="n"/>
      <c r="AB67" s="831" t="n"/>
      <c r="AC67" s="831" t="n"/>
      <c r="AD67" s="831" t="n"/>
      <c r="AE67" s="831" t="n"/>
      <c r="AF67" s="831" t="n"/>
      <c r="AG67" s="831" t="n"/>
      <c r="AH67" s="831" t="n"/>
      <c r="AI67" s="831" t="n"/>
      <c r="AJ67" s="831" t="n"/>
      <c r="AK67" s="831" t="n"/>
      <c r="AL67" s="831" t="n"/>
      <c r="AM67" s="831" t="n"/>
      <c r="AN67" s="831" t="n"/>
      <c r="AO67" s="831" t="n"/>
      <c r="AP67" s="831" t="n"/>
      <c r="AQ67" s="831" t="n"/>
      <c r="AR67" s="831" t="n"/>
      <c r="AS67" s="831" t="n"/>
      <c r="AT67" s="831" t="n"/>
      <c r="AU67" s="831" t="n"/>
      <c r="AV67" s="831" t="n"/>
      <c r="AW67" s="831" t="n"/>
      <c r="AX67" s="831" t="n"/>
      <c r="AY67" s="831" t="n"/>
      <c r="AZ67" s="831" t="n"/>
      <c r="BA67" s="507" t="n"/>
      <c r="BB67" s="831" t="n"/>
      <c r="BC67" s="831" t="n"/>
      <c r="BD67" s="831" t="n"/>
      <c r="BE67" s="831" t="n"/>
      <c r="BF67" s="831" t="n"/>
      <c r="BG67" s="831" t="n"/>
      <c r="BH67" s="831" t="n"/>
      <c r="BI67" s="831" t="n"/>
      <c r="BJ67" s="831" t="n"/>
      <c r="BK67" s="831" t="n"/>
      <c r="BL67" s="831" t="n"/>
      <c r="BM67" s="831" t="n"/>
      <c r="BN67" s="831" t="n"/>
      <c r="BO67" s="831" t="n"/>
      <c r="BP67" s="507" t="n"/>
      <c r="BQ67" s="831" t="n"/>
      <c r="BR67" s="831" t="n"/>
      <c r="BS67" s="831" t="n"/>
      <c r="BT67" s="831" t="n"/>
      <c r="BU67" s="831" t="n"/>
      <c r="BV67" s="831" t="n"/>
      <c r="BW67" s="831" t="n"/>
      <c r="BX67" s="831" t="n"/>
      <c r="BY67" s="831" t="n"/>
      <c r="BZ67" s="831" t="n"/>
      <c r="CA67" s="831" t="n"/>
      <c r="CB67" s="831" t="n"/>
      <c r="CC67" s="831" t="n"/>
      <c r="CD67" s="831" t="n"/>
      <c r="CE67" s="507" t="n"/>
      <c r="CF67" s="831" t="n"/>
      <c r="CG67" s="831" t="n"/>
      <c r="CH67" s="831" t="n"/>
      <c r="CI67" s="831" t="n"/>
      <c r="CJ67" s="831" t="n"/>
      <c r="CK67" s="831" t="n"/>
      <c r="CL67" s="831" t="n"/>
      <c r="CM67" s="831" t="n"/>
      <c r="CN67" s="831" t="n"/>
      <c r="CO67" s="831" t="n"/>
      <c r="CP67" s="831" t="n"/>
      <c r="CQ67" s="831" t="n"/>
      <c r="CR67" s="831" t="n"/>
      <c r="CS67" s="831" t="n"/>
    </row>
    <row r="68" ht="15" customHeight="1" s="1883">
      <c r="B68" s="463" t="inlineStr">
        <is>
          <t>Cash Generated / (Used)</t>
        </is>
      </c>
      <c r="C68" s="464" t="n"/>
      <c r="D68" s="464" t="n"/>
      <c r="E68" s="431" t="n"/>
      <c r="F68" s="431" t="n"/>
      <c r="G68" s="431" t="n"/>
      <c r="H68" s="431" t="n"/>
      <c r="I68" s="842">
        <f>((I37)-(I63))</f>
        <v/>
      </c>
      <c r="J68" s="842">
        <f>((J37)-(J63))</f>
        <v/>
      </c>
      <c r="K68" s="842">
        <f>((K37)-(K63))</f>
        <v/>
      </c>
      <c r="L68" s="842">
        <f>((L37)-(L63))</f>
        <v/>
      </c>
      <c r="M68" s="842">
        <f>((M37)-(M63))</f>
        <v/>
      </c>
      <c r="N68" s="842">
        <f>((N37)-(N63))</f>
        <v/>
      </c>
      <c r="O68" s="842">
        <f>((O37)-(O63))</f>
        <v/>
      </c>
      <c r="P68" s="842">
        <f>((P37)-(P63))</f>
        <v/>
      </c>
      <c r="Q68" s="842">
        <f>((Q37)-(Q63))</f>
        <v/>
      </c>
      <c r="R68" s="842">
        <f>((R37)-(R63))</f>
        <v/>
      </c>
      <c r="S68" s="842">
        <f>((S37)-(S63))</f>
        <v/>
      </c>
      <c r="T68" s="842">
        <f>((T37)-(T63))</f>
        <v/>
      </c>
      <c r="U68" s="431" t="n"/>
      <c r="V68" s="842">
        <f>((V37)-(V63))</f>
        <v/>
      </c>
      <c r="W68" s="386" t="n"/>
      <c r="X68" s="842">
        <f>((X37)-(X63))</f>
        <v/>
      </c>
      <c r="Y68" s="842">
        <f>((Y37)-(Y63))</f>
        <v/>
      </c>
      <c r="Z68" s="842">
        <f>((Z37)-(Z63))</f>
        <v/>
      </c>
      <c r="AA68" s="842">
        <f>((AA37)-(AA63))</f>
        <v/>
      </c>
      <c r="AB68" s="842">
        <f>((AB37)-(AB63))</f>
        <v/>
      </c>
      <c r="AC68" s="842">
        <f>((AC37)-(AC63))</f>
        <v/>
      </c>
      <c r="AD68" s="842">
        <f>((AD37)-(AD63))</f>
        <v/>
      </c>
      <c r="AE68" s="842">
        <f>((AE37)-(AE63))</f>
        <v/>
      </c>
      <c r="AF68" s="842">
        <f>((AF37)-(AF63))</f>
        <v/>
      </c>
      <c r="AG68" s="842">
        <f>((AG37)-(AG63))</f>
        <v/>
      </c>
      <c r="AH68" s="842">
        <f>((AH37)-(AH63))</f>
        <v/>
      </c>
      <c r="AI68" s="842">
        <f>((AI37)-(AI63))</f>
        <v/>
      </c>
      <c r="AJ68" s="831" t="n"/>
      <c r="AK68" s="842">
        <f>((AK37)-(AK63))</f>
        <v/>
      </c>
      <c r="AL68" s="831" t="n"/>
      <c r="AM68" s="842">
        <f>((AM37)-(AM63))</f>
        <v/>
      </c>
      <c r="AN68" s="842">
        <f>((AN37)-(AN63))</f>
        <v/>
      </c>
      <c r="AO68" s="842">
        <f>((AO37)-(AO63))</f>
        <v/>
      </c>
      <c r="AP68" s="842">
        <f>((AP37)-(AP63))</f>
        <v/>
      </c>
      <c r="AQ68" s="842">
        <f>((AQ37)-(AQ63))</f>
        <v/>
      </c>
      <c r="AR68" s="842">
        <f>((AR37)-(AR63))</f>
        <v/>
      </c>
      <c r="AS68" s="842">
        <f>((AS37)-(AS63))</f>
        <v/>
      </c>
      <c r="AT68" s="842">
        <f>((AT37)-(AT63))</f>
        <v/>
      </c>
      <c r="AU68" s="842">
        <f>((AU37)-(AU63))</f>
        <v/>
      </c>
      <c r="AV68" s="842">
        <f>((AV37)-(AV63))</f>
        <v/>
      </c>
      <c r="AW68" s="842">
        <f>((AW37)-(AW63))</f>
        <v/>
      </c>
      <c r="AX68" s="842">
        <f>((AX37)-(AX63))</f>
        <v/>
      </c>
      <c r="AY68" s="831" t="n"/>
      <c r="AZ68" s="842">
        <f>((AZ37)-(AZ63))</f>
        <v/>
      </c>
      <c r="BA68" s="507" t="n"/>
      <c r="BB68" s="842">
        <f>((BB37)-(BB63))</f>
        <v/>
      </c>
      <c r="BC68" s="842">
        <f>((BC37)-(BC63))</f>
        <v/>
      </c>
      <c r="BD68" s="842">
        <f>((BD37)-(BD63))</f>
        <v/>
      </c>
      <c r="BE68" s="842">
        <f>((BE37)-(BE63))</f>
        <v/>
      </c>
      <c r="BF68" s="842">
        <f>((BF37)-(BF63))</f>
        <v/>
      </c>
      <c r="BG68" s="842">
        <f>((BG37)-(BG63))</f>
        <v/>
      </c>
      <c r="BH68" s="842">
        <f>((BH37)-(BH63))</f>
        <v/>
      </c>
      <c r="BI68" s="842">
        <f>((BI37)-(BI63))</f>
        <v/>
      </c>
      <c r="BJ68" s="842">
        <f>((BJ37)-(BJ63))</f>
        <v/>
      </c>
      <c r="BK68" s="842">
        <f>((BK37)-(BK63))</f>
        <v/>
      </c>
      <c r="BL68" s="842">
        <f>((BL37)-(BL63))</f>
        <v/>
      </c>
      <c r="BM68" s="842">
        <f>((BM37)-(BM63))</f>
        <v/>
      </c>
      <c r="BN68" s="831" t="n"/>
      <c r="BO68" s="842">
        <f>((BO37)-(BO63))</f>
        <v/>
      </c>
      <c r="BP68" s="507" t="n"/>
      <c r="BQ68" s="842">
        <f>((BQ37)-(BQ63))</f>
        <v/>
      </c>
      <c r="BR68" s="842">
        <f>((BR37)-(BR63))</f>
        <v/>
      </c>
      <c r="BS68" s="842">
        <f>((BS37)-(BS63))</f>
        <v/>
      </c>
      <c r="BT68" s="842">
        <f>((BT37)-(BT63))</f>
        <v/>
      </c>
      <c r="BU68" s="842">
        <f>((BU37)-(BU63))</f>
        <v/>
      </c>
      <c r="BV68" s="842">
        <f>((BV37)-(BV63))</f>
        <v/>
      </c>
      <c r="BW68" s="842">
        <f>((BW37)-(BW63))</f>
        <v/>
      </c>
      <c r="BX68" s="842">
        <f>((BX37)-(BX63))</f>
        <v/>
      </c>
      <c r="BY68" s="842">
        <f>((BY37)-(BY63))</f>
        <v/>
      </c>
      <c r="BZ68" s="842">
        <f>((BZ37)-(BZ63))</f>
        <v/>
      </c>
      <c r="CA68" s="842">
        <f>((CA37)-(CA63))</f>
        <v/>
      </c>
      <c r="CB68" s="842">
        <f>((CB37)-(CB63))</f>
        <v/>
      </c>
      <c r="CC68" s="831" t="n"/>
      <c r="CD68" s="842">
        <f>((CD37)-(CD63))</f>
        <v/>
      </c>
      <c r="CE68" s="507" t="n"/>
      <c r="CF68" s="842">
        <f>((CF37)-(CF63))</f>
        <v/>
      </c>
      <c r="CG68" s="842">
        <f>((CG37)-(CG63))</f>
        <v/>
      </c>
      <c r="CH68" s="842">
        <f>((CH37)-(CH63))</f>
        <v/>
      </c>
      <c r="CI68" s="842">
        <f>((CI37)-(CI63))</f>
        <v/>
      </c>
      <c r="CJ68" s="842">
        <f>((CJ37)-(CJ63))</f>
        <v/>
      </c>
      <c r="CK68" s="842">
        <f>((CK37)-(CK63))</f>
        <v/>
      </c>
      <c r="CL68" s="842">
        <f>((CL37)-(CL63))</f>
        <v/>
      </c>
      <c r="CM68" s="842">
        <f>((CM37)-(CM63))</f>
        <v/>
      </c>
      <c r="CN68" s="842">
        <f>((CN37)-(CN63))</f>
        <v/>
      </c>
      <c r="CO68" s="842">
        <f>((CO37)-(CO63))</f>
        <v/>
      </c>
      <c r="CP68" s="842">
        <f>((CP37)-(CP63))</f>
        <v/>
      </c>
      <c r="CQ68" s="842">
        <f>((CQ37)-(CQ63))</f>
        <v/>
      </c>
      <c r="CR68" s="831" t="n"/>
      <c r="CS68" s="842">
        <f>((CS37)-(CS63))</f>
        <v/>
      </c>
    </row>
    <row r="69">
      <c r="T69" s="1917" t="n"/>
      <c r="V69" s="1741" t="n"/>
      <c r="AI69" s="1917" t="inlineStr">
        <is>
          <t>Double Checked</t>
        </is>
      </c>
      <c r="AK69" s="1741">
        <f>AK63-AK49+'1A. Consolidated - FY P&amp;L'!J42</f>
        <v/>
      </c>
      <c r="AX69" s="1917" t="inlineStr">
        <is>
          <t>Double Checked</t>
        </is>
      </c>
      <c r="AZ69" s="1741">
        <f>(AZ63-AZ49)+'1A. Consolidated - FY P&amp;L'!K42</f>
        <v/>
      </c>
      <c r="BM69" s="1917" t="inlineStr">
        <is>
          <t>Double Checked</t>
        </is>
      </c>
      <c r="BO69" s="1741">
        <f>(BO63-BO49)+'1A. Consolidated - FY P&amp;L'!L42</f>
        <v/>
      </c>
      <c r="CB69" s="1917" t="inlineStr">
        <is>
          <t>Double Checked</t>
        </is>
      </c>
      <c r="CD69" s="1741">
        <f>(CD63-CD49)+'1A. Consolidated - FY P&amp;L'!M42</f>
        <v/>
      </c>
      <c r="CQ69" s="1917" t="inlineStr">
        <is>
          <t>Double Checked</t>
        </is>
      </c>
      <c r="CS69" s="1741">
        <f>(CS63-CS49)+'1A. Consolidated - FY P&amp;L'!N42</f>
        <v/>
      </c>
      <c r="CU69" s="1917" t="inlineStr">
        <is>
          <t>Check all of the numbers in this final column from 69-73</t>
        </is>
      </c>
    </row>
    <row r="70">
      <c r="T70" s="1917" t="n"/>
      <c r="V70" s="1748" t="n"/>
      <c r="AI70" s="1917" t="inlineStr">
        <is>
          <t>Double Checked</t>
        </is>
      </c>
      <c r="AK70" s="1748">
        <f>'3B. Tel. - Rev. Detail x Month'!W62+'3B. Tel. - Rev. Detail x Month'!W75</f>
        <v/>
      </c>
      <c r="AX70" s="1917" t="inlineStr">
        <is>
          <t>Double Checked</t>
        </is>
      </c>
      <c r="AZ70" s="1748">
        <f>'3B. Tel. - Rev. Detail x Month'!W100+'3B. Tel. - Rev. Detail x Month'!W109+'3B. Tel. - Rev. Detail x Month'!W113</f>
        <v/>
      </c>
      <c r="BM70" s="1917" t="inlineStr">
        <is>
          <t>Double Checked</t>
        </is>
      </c>
      <c r="BO70" s="1748">
        <f>'3B. Tel. - Rev. Detail x Month'!W138+'3B. Tel. - Rev. Detail x Month'!W147+'3B. Tel. - Rev. Detail x Month'!W151</f>
        <v/>
      </c>
      <c r="CB70" s="1917" t="inlineStr">
        <is>
          <t>Double Checked</t>
        </is>
      </c>
      <c r="CD70" s="1748">
        <f>'3B. Tel. - Rev. Detail x Month'!W176+'3B. Tel. - Rev. Detail x Month'!W185+'3B. Tel. - Rev. Detail x Month'!W189</f>
        <v/>
      </c>
      <c r="CQ70" s="1917" t="inlineStr">
        <is>
          <t>Double Checked</t>
        </is>
      </c>
      <c r="CS70" s="1748">
        <f>'3B. Tel. - Rev. Detail x Month'!W214+'3B. Tel. - Rev. Detail x Month'!W223+'3B. Tel. - Rev. Detail x Month'!W227</f>
        <v/>
      </c>
    </row>
    <row r="71">
      <c r="T71" s="1917" t="n"/>
      <c r="V71" s="1748" t="n"/>
      <c r="AH71" s="507" t="n"/>
      <c r="AI71" s="1917" t="inlineStr">
        <is>
          <t>Double Checked</t>
        </is>
      </c>
      <c r="AK71" s="1748">
        <f>AK63-AK49</f>
        <v/>
      </c>
      <c r="AX71" s="1917" t="inlineStr">
        <is>
          <t>Double Checked</t>
        </is>
      </c>
      <c r="AZ71" s="507">
        <f>AZ63-(AZ49)</f>
        <v/>
      </c>
      <c r="BM71" s="1917" t="inlineStr">
        <is>
          <t>Double Checked</t>
        </is>
      </c>
      <c r="BO71" s="507">
        <f>BO63-(BO49)</f>
        <v/>
      </c>
      <c r="CB71" s="1917" t="inlineStr">
        <is>
          <t>Double Checked</t>
        </is>
      </c>
      <c r="CD71" s="507">
        <f>CD63-(CD49)</f>
        <v/>
      </c>
      <c r="CQ71" s="1917" t="inlineStr">
        <is>
          <t>Double Checked</t>
        </is>
      </c>
      <c r="CS71" s="507">
        <f>CS63-(CS49)</f>
        <v/>
      </c>
      <c r="CU71" s="1458">
        <f>'1A. Consolidated - FY P&amp;L'!N63-'2A. Cash Forecast'!CS71</f>
        <v/>
      </c>
    </row>
    <row r="72" ht="15" customHeight="1" s="1883">
      <c r="T72" s="1917" t="inlineStr">
        <is>
          <t>Double Checked</t>
        </is>
      </c>
      <c r="V72" s="1714">
        <f>V68-5000000</f>
        <v/>
      </c>
      <c r="AI72" s="1917" t="inlineStr">
        <is>
          <t>Double Checked</t>
        </is>
      </c>
      <c r="AK72" s="1747">
        <f>AK40-AK70-AK71</f>
        <v/>
      </c>
      <c r="AX72" s="1917" t="inlineStr">
        <is>
          <t>Double Checked</t>
        </is>
      </c>
      <c r="AZ72" s="1747">
        <f>AZ40-AZ70-AZ71</f>
        <v/>
      </c>
      <c r="BM72" s="1917" t="inlineStr">
        <is>
          <t>Double Checked</t>
        </is>
      </c>
      <c r="BO72" s="1747">
        <f>BO40-BO70-BO71</f>
        <v/>
      </c>
      <c r="CB72" s="1917" t="inlineStr">
        <is>
          <t>Double Checked</t>
        </is>
      </c>
      <c r="CD72" s="1747">
        <f>CD40-CD70-CD71</f>
        <v/>
      </c>
      <c r="CQ72" s="1917" t="inlineStr">
        <is>
          <t>Double Checked</t>
        </is>
      </c>
      <c r="CS72" s="1747">
        <f>CS40-CS70-CS71</f>
        <v/>
      </c>
    </row>
    <row r="73" ht="15" customHeight="1" s="1883">
      <c r="C73" s="656" t="inlineStr">
        <is>
          <t>Ending Balance</t>
        </is>
      </c>
      <c r="D73" s="637" t="n"/>
      <c r="E73" s="843" t="n"/>
      <c r="F73" s="843" t="n"/>
      <c r="G73" s="843" t="n"/>
      <c r="H73" s="843" t="n"/>
      <c r="I73" s="844">
        <f>((I21)+(I68))</f>
        <v/>
      </c>
      <c r="J73" s="844">
        <f>((J21)+(J68))</f>
        <v/>
      </c>
      <c r="K73" s="844">
        <f>((K21)+(K68))</f>
        <v/>
      </c>
      <c r="L73" s="844">
        <f>((L21)+(L68))</f>
        <v/>
      </c>
      <c r="M73" s="844">
        <f>((M21)+(M68))</f>
        <v/>
      </c>
      <c r="N73" s="844">
        <f>((N21)+(N68))</f>
        <v/>
      </c>
      <c r="O73" s="844">
        <f>((O21)+(O68))</f>
        <v/>
      </c>
      <c r="P73" s="844">
        <f>((P21)+(P68))</f>
        <v/>
      </c>
      <c r="Q73" s="844">
        <f>((Q21)+(Q68))</f>
        <v/>
      </c>
      <c r="R73" s="844">
        <f>((R21)+(R68))</f>
        <v/>
      </c>
      <c r="S73" s="844">
        <f>((S21)+(S68))</f>
        <v/>
      </c>
      <c r="T73" s="844">
        <f>((T21)+(T68))</f>
        <v/>
      </c>
      <c r="U73" s="843" t="n"/>
      <c r="V73" s="844">
        <f>((V21)+(V68))</f>
        <v/>
      </c>
      <c r="W73" s="386" t="n"/>
      <c r="X73" s="844">
        <f>((X21)+(X68))</f>
        <v/>
      </c>
      <c r="Y73" s="844">
        <f>((Y21)+(Y68))</f>
        <v/>
      </c>
      <c r="Z73" s="844">
        <f>((Z21)+(Z68))</f>
        <v/>
      </c>
      <c r="AA73" s="844">
        <f>((AA21)+(AA68))</f>
        <v/>
      </c>
      <c r="AB73" s="844">
        <f>((AB21)+(AB68))</f>
        <v/>
      </c>
      <c r="AC73" s="844">
        <f>((AC21)+(AC68))</f>
        <v/>
      </c>
      <c r="AD73" s="844">
        <f>((AD21)+(AD68))</f>
        <v/>
      </c>
      <c r="AE73" s="844">
        <f>((AE21)+(AE68))</f>
        <v/>
      </c>
      <c r="AF73" s="844">
        <f>((AF21)+(AF68))</f>
        <v/>
      </c>
      <c r="AG73" s="844">
        <f>((AG21)+(AG68))</f>
        <v/>
      </c>
      <c r="AH73" s="844">
        <f>((AH21)+(AH68))</f>
        <v/>
      </c>
      <c r="AI73" s="844">
        <f>((AI21)+(AI68))</f>
        <v/>
      </c>
      <c r="AJ73" s="831" t="n"/>
      <c r="AK73" s="844">
        <f>((AK21)+(AK68))</f>
        <v/>
      </c>
      <c r="AM73" s="844">
        <f>((AM21)+(AM68))</f>
        <v/>
      </c>
      <c r="AN73" s="844">
        <f>((AN21)+(AN68))</f>
        <v/>
      </c>
      <c r="AO73" s="844">
        <f>((AO21)+(AO68))</f>
        <v/>
      </c>
      <c r="AP73" s="844">
        <f>((AP21)+(AP68))</f>
        <v/>
      </c>
      <c r="AQ73" s="844">
        <f>((AQ21)+(AQ68))</f>
        <v/>
      </c>
      <c r="AR73" s="844">
        <f>((AR21)+(AR68))</f>
        <v/>
      </c>
      <c r="AS73" s="844">
        <f>((AS21)+(AS68))</f>
        <v/>
      </c>
      <c r="AT73" s="844">
        <f>((AT21)+(AT68))</f>
        <v/>
      </c>
      <c r="AU73" s="844">
        <f>((AU21)+(AU68))</f>
        <v/>
      </c>
      <c r="AV73" s="844">
        <f>((AV21)+(AV68))</f>
        <v/>
      </c>
      <c r="AW73" s="844">
        <f>((AW21)+(AW68))</f>
        <v/>
      </c>
      <c r="AX73" s="844">
        <f>((AX21)+(AX68))</f>
        <v/>
      </c>
      <c r="AY73" s="831" t="n"/>
      <c r="AZ73" s="844">
        <f>((AZ21)+(AZ68))</f>
        <v/>
      </c>
      <c r="BB73" s="844">
        <f>((BB21)+(BB68))</f>
        <v/>
      </c>
      <c r="BC73" s="844">
        <f>((BC21)+(BC68))</f>
        <v/>
      </c>
      <c r="BD73" s="844">
        <f>((BD21)+(BD68))</f>
        <v/>
      </c>
      <c r="BE73" s="844">
        <f>((BE21)+(BE68))</f>
        <v/>
      </c>
      <c r="BF73" s="844">
        <f>((BF21)+(BF68))</f>
        <v/>
      </c>
      <c r="BG73" s="844">
        <f>((BG21)+(BG68))</f>
        <v/>
      </c>
      <c r="BH73" s="844">
        <f>((BH21)+(BH68))</f>
        <v/>
      </c>
      <c r="BI73" s="844">
        <f>((BI21)+(BI68))</f>
        <v/>
      </c>
      <c r="BJ73" s="844">
        <f>((BJ21)+(BJ68))</f>
        <v/>
      </c>
      <c r="BK73" s="844">
        <f>((BK21)+(BK68))</f>
        <v/>
      </c>
      <c r="BL73" s="844">
        <f>((BL21)+(BL68))</f>
        <v/>
      </c>
      <c r="BM73" s="844">
        <f>((BM21)+(BM68))</f>
        <v/>
      </c>
      <c r="BN73" s="831" t="n"/>
      <c r="BO73" s="844">
        <f>((BO21)+(BO68))</f>
        <v/>
      </c>
      <c r="BQ73" s="844">
        <f>((BQ21)+(BQ68))</f>
        <v/>
      </c>
      <c r="BR73" s="844">
        <f>((BR21)+(BR68))</f>
        <v/>
      </c>
      <c r="BS73" s="844">
        <f>((BS21)+(BS68))</f>
        <v/>
      </c>
      <c r="BT73" s="844">
        <f>((BT21)+(BT68))</f>
        <v/>
      </c>
      <c r="BU73" s="844">
        <f>((BU21)+(BU68))</f>
        <v/>
      </c>
      <c r="BV73" s="844">
        <f>((BV21)+(BV68))</f>
        <v/>
      </c>
      <c r="BW73" s="844">
        <f>((BW21)+(BW68))</f>
        <v/>
      </c>
      <c r="BX73" s="844">
        <f>((BX21)+(BX68))</f>
        <v/>
      </c>
      <c r="BY73" s="844">
        <f>((BY21)+(BY68))</f>
        <v/>
      </c>
      <c r="BZ73" s="844">
        <f>((BZ21)+(BZ68))</f>
        <v/>
      </c>
      <c r="CA73" s="844">
        <f>((CA21)+(CA68))</f>
        <v/>
      </c>
      <c r="CB73" s="844">
        <f>((CB21)+(CB68))</f>
        <v/>
      </c>
      <c r="CC73" s="831" t="n"/>
      <c r="CD73" s="844">
        <f>((CD21)+(CD68))</f>
        <v/>
      </c>
      <c r="CF73" s="844">
        <f>((CF21)+(CF68))</f>
        <v/>
      </c>
      <c r="CG73" s="844">
        <f>((CG21)+(CG68))</f>
        <v/>
      </c>
      <c r="CH73" s="844">
        <f>((CH21)+(CH68))</f>
        <v/>
      </c>
      <c r="CI73" s="844">
        <f>((CI21)+(CI68))</f>
        <v/>
      </c>
      <c r="CJ73" s="844">
        <f>((CJ21)+(CJ68))</f>
        <v/>
      </c>
      <c r="CK73" s="844">
        <f>((CK21)+(CK68))</f>
        <v/>
      </c>
      <c r="CL73" s="844">
        <f>((CL21)+(CL68))</f>
        <v/>
      </c>
      <c r="CM73" s="844">
        <f>((CM21)+(CM68))</f>
        <v/>
      </c>
      <c r="CN73" s="844">
        <f>((CN21)+(CN68))</f>
        <v/>
      </c>
      <c r="CO73" s="844">
        <f>((CO21)+(CO68))</f>
        <v/>
      </c>
      <c r="CP73" s="844">
        <f>((CP21)+(CP68))</f>
        <v/>
      </c>
      <c r="CQ73" s="844">
        <f>((CQ21)+(CQ68))</f>
        <v/>
      </c>
      <c r="CR73" s="831" t="n"/>
      <c r="CS73" s="844">
        <f>((CS21)+(CS68))</f>
        <v/>
      </c>
    </row>
    <row r="76">
      <c r="X76" s="1652" t="n"/>
      <c r="AI76" s="1917" t="n"/>
    </row>
    <row r="77">
      <c r="T77" s="658" t="inlineStr">
        <is>
          <t>Core Model</t>
        </is>
      </c>
      <c r="AI77" s="658" t="inlineStr">
        <is>
          <t>Core Model</t>
        </is>
      </c>
      <c r="AX77" s="658" t="inlineStr">
        <is>
          <t>Core Model</t>
        </is>
      </c>
      <c r="BM77" s="658" t="inlineStr">
        <is>
          <t>Core Model</t>
        </is>
      </c>
      <c r="CB77" s="658" t="inlineStr">
        <is>
          <t>Core Model</t>
        </is>
      </c>
      <c r="CQ77" s="658" t="inlineStr">
        <is>
          <t>Core Model</t>
        </is>
      </c>
    </row>
    <row r="78">
      <c r="T78" s="1917" t="inlineStr">
        <is>
          <t>Double Checked</t>
        </is>
      </c>
      <c r="V78" s="1741">
        <f>V63-(V56+V57)</f>
        <v/>
      </c>
      <c r="AI78" s="1917" t="inlineStr">
        <is>
          <t>Double Checked</t>
        </is>
      </c>
      <c r="AK78" s="1741">
        <f>AK63-(AK56+AK57+AK58+AK49)+'3B. Tel. - Rev. Detail x Month'!W62+'3B. Tel. - Rev. Detail x Month'!W75</f>
        <v/>
      </c>
      <c r="AX78" s="1917" t="inlineStr">
        <is>
          <t>Double Checked</t>
        </is>
      </c>
      <c r="AZ78" s="1741">
        <f>AZ63-(AZ56+AZ57+AZ58+AZ49)+'3B. Tel. - Rev. Detail x Month'!W100+'3B. Tel. - Rev. Detail x Month'!W109+'3B. Tel. - Rev. Detail x Month'!W113</f>
        <v/>
      </c>
      <c r="BM78" s="1917" t="inlineStr">
        <is>
          <t>Double Checked</t>
        </is>
      </c>
      <c r="BO78" s="1741">
        <f>BO63-(BO56+BO57+BO58+BO49)+'3B. Tel. - Rev. Detail x Month'!W138+'3B. Tel. - Rev. Detail x Month'!W147+'3B. Tel. - Rev. Detail x Month'!W151</f>
        <v/>
      </c>
      <c r="CB78" s="1917" t="inlineStr">
        <is>
          <t>Double Checked</t>
        </is>
      </c>
      <c r="CD78" s="1741">
        <f>CD63-(CD56+CD57+CD58+CD49)+'3B. Tel. - Rev. Detail x Month'!W176+'3B. Tel. - Rev. Detail x Month'!W185+'3B. Tel. - Rev. Detail x Month'!W189</f>
        <v/>
      </c>
      <c r="CF78" s="1917" t="n"/>
      <c r="CQ78" s="1917" t="inlineStr">
        <is>
          <t>Double Checked</t>
        </is>
      </c>
      <c r="CS78" s="1741">
        <f>CS63-(CS56+CS57+CS58+CS49)+'3B. Tel. - Rev. Detail x Month'!W214+'3B. Tel. - Rev. Detail x Month'!W223+'3B. Tel. - Rev. Detail x Month'!W227</f>
        <v/>
      </c>
    </row>
    <row r="79">
      <c r="T79" s="1917" t="inlineStr">
        <is>
          <t>Double Checked</t>
        </is>
      </c>
      <c r="V79" s="1748" t="n"/>
      <c r="AI79" s="1917" t="inlineStr">
        <is>
          <t>Double Checked</t>
        </is>
      </c>
      <c r="AK79" s="1748">
        <f>'3B. Tel. - Rev. Detail x Month'!W62+'3B. Tel. - Rev. Detail x Month'!W75</f>
        <v/>
      </c>
      <c r="AX79" s="1917" t="inlineStr">
        <is>
          <t>Double Checked</t>
        </is>
      </c>
      <c r="AZ79" s="1748">
        <f>'3B. Tel. - Rev. Detail x Month'!W100+'3B. Tel. - Rev. Detail x Month'!W109+'3B. Tel. - Rev. Detail x Month'!W113</f>
        <v/>
      </c>
      <c r="BM79" s="1917" t="inlineStr">
        <is>
          <t>Double Checked</t>
        </is>
      </c>
      <c r="BO79" s="1748">
        <f>'3B. Tel. - Rev. Detail x Month'!W138+'3B. Tel. - Rev. Detail x Month'!W147+'3B. Tel. - Rev. Detail x Month'!W151</f>
        <v/>
      </c>
      <c r="CB79" s="1917" t="inlineStr">
        <is>
          <t>Double Checked</t>
        </is>
      </c>
      <c r="CD79" s="1748">
        <f>'3B. Tel. - Rev. Detail x Month'!W176+'3B. Tel. - Rev. Detail x Month'!W185+'3B. Tel. - Rev. Detail x Month'!W189</f>
        <v/>
      </c>
      <c r="CQ79" s="1917" t="inlineStr">
        <is>
          <t>Double Checked</t>
        </is>
      </c>
      <c r="CS79" s="1748">
        <f>'3B. Tel. - Rev. Detail x Month'!W214+'3B. Tel. - Rev. Detail x Month'!W223+'3B. Tel. - Rev. Detail x Month'!W227</f>
        <v/>
      </c>
    </row>
    <row r="80">
      <c r="L80" s="1917" t="n"/>
      <c r="T80" s="1917" t="inlineStr">
        <is>
          <t>Double Checked</t>
        </is>
      </c>
      <c r="V80" s="1748" t="n"/>
      <c r="AI80" s="1917" t="inlineStr">
        <is>
          <t>Double Checked</t>
        </is>
      </c>
      <c r="AK80" s="1748">
        <f>AK63-AK49-AK56-AK57-AK58</f>
        <v/>
      </c>
      <c r="AX80" s="1917" t="inlineStr">
        <is>
          <t>Double Checked</t>
        </is>
      </c>
      <c r="AZ80" s="1748">
        <f>AZ63-AZ49-AZ56-AZ57-AZ58</f>
        <v/>
      </c>
      <c r="BM80" s="1917" t="inlineStr">
        <is>
          <t>Double Checked</t>
        </is>
      </c>
      <c r="BO80" s="1748">
        <f>BO63-BO49-BO56-BO57-BO58</f>
        <v/>
      </c>
      <c r="CB80" s="1917" t="inlineStr">
        <is>
          <t>Double Checked</t>
        </is>
      </c>
      <c r="CD80" s="1748">
        <f>CD63-CD49-CD56-CD57-CD58</f>
        <v/>
      </c>
      <c r="CQ80" s="1917" t="inlineStr">
        <is>
          <t>Double Checked</t>
        </is>
      </c>
      <c r="CS80" s="1748">
        <f>CS63-CS49-CS56-CS57-CS58</f>
        <v/>
      </c>
    </row>
    <row r="81">
      <c r="L81" s="1917" t="n"/>
      <c r="T81" s="1917" t="inlineStr">
        <is>
          <t>Double Checked</t>
        </is>
      </c>
      <c r="V81" s="1747">
        <f>V41-V78</f>
        <v/>
      </c>
      <c r="AI81" s="1917" t="inlineStr">
        <is>
          <t>Double Checked</t>
        </is>
      </c>
      <c r="AK81" s="1747">
        <f>AK41-AK79-AK80</f>
        <v/>
      </c>
      <c r="AX81" s="1917" t="inlineStr">
        <is>
          <t>Double Checked</t>
        </is>
      </c>
      <c r="AZ81" s="1747">
        <f>AZ41-AZ79-AZ80</f>
        <v/>
      </c>
      <c r="BM81" s="1917" t="inlineStr">
        <is>
          <t>Double Checked</t>
        </is>
      </c>
      <c r="BO81" s="1747">
        <f>BO41-BO79-BO80</f>
        <v/>
      </c>
      <c r="CB81" s="1917" t="inlineStr">
        <is>
          <t>Double Checked</t>
        </is>
      </c>
      <c r="CD81" s="1747">
        <f>CD41-CD79-CD80</f>
        <v/>
      </c>
      <c r="CQ81" s="1917" t="inlineStr">
        <is>
          <t>Double Checked</t>
        </is>
      </c>
      <c r="CS81" s="1747">
        <f>CS41-CS79-CS80</f>
        <v/>
      </c>
    </row>
    <row r="82">
      <c r="AK82" s="507" t="n"/>
      <c r="AU82" s="1917" t="n"/>
    </row>
    <row r="88">
      <c r="T88" s="1917" t="inlineStr">
        <is>
          <t>Total Ops Expense</t>
        </is>
      </c>
      <c r="V88" s="1638">
        <f>'6A. Pre-Launch Exps. - Roll-Up'!X94</f>
        <v/>
      </c>
    </row>
    <row r="89">
      <c r="T89" s="1917" t="inlineStr">
        <is>
          <t>Difference</t>
        </is>
      </c>
      <c r="V89" s="507">
        <f>V63-V88</f>
        <v/>
      </c>
    </row>
    <row r="90">
      <c r="T90" s="1917" t="n"/>
      <c r="V90" s="507" t="n"/>
    </row>
  </sheetData>
  <mergeCells count="6">
    <mergeCell ref="AM13:AZ13"/>
    <mergeCell ref="X13:AK13"/>
    <mergeCell ref="I13:T13"/>
    <mergeCell ref="CF13:CS13"/>
    <mergeCell ref="BQ13:CD13"/>
    <mergeCell ref="BB13:BO13"/>
  </mergeCells>
  <pageMargins left="0.7" right="0.7" top="0.75" bottom="0.75" header="0.3" footer="0.3"/>
  <pageSetup orientation="portrait" horizontalDpi="0" verticalDpi="0"/>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CI39"/>
  <sheetViews>
    <sheetView showGridLines="0" workbookViewId="0">
      <selection activeCell="R24" sqref="R24"/>
    </sheetView>
  </sheetViews>
  <sheetFormatPr baseColWidth="10" defaultColWidth="17.33203125" defaultRowHeight="15" customHeight="1"/>
  <cols>
    <col width="2.5" customWidth="1" style="1883" min="1" max="1"/>
    <col width="2.6640625" customWidth="1" style="1883" min="2" max="2"/>
    <col width="29" customWidth="1" style="1883" min="3" max="3"/>
    <col width="5" customWidth="1" style="1883" min="4" max="4"/>
    <col width="13.6640625" customWidth="1" style="1883" min="5" max="47"/>
    <col width="16.33203125" customWidth="1" style="1883" min="48" max="76"/>
    <col width="8" customWidth="1" style="1883" min="77" max="80"/>
    <col width="19.33203125" customWidth="1" style="1883" min="81" max="82"/>
    <col width="19.5" customWidth="1" style="1883" min="83" max="83"/>
    <col width="23.1640625" customWidth="1" style="1883" min="84" max="84"/>
    <col width="25.5" customWidth="1" style="1883" min="85" max="85"/>
    <col width="25.33203125" customWidth="1" style="1883" min="86" max="86"/>
    <col width="26.5" customWidth="1" style="1883" min="87" max="87"/>
    <col width="8" customWidth="1" style="1883" min="88" max="97"/>
  </cols>
  <sheetData>
    <row r="1" ht="12.75" customHeight="1" s="1883">
      <c r="A1" s="210">
        <f>Summary!A1</f>
        <v/>
      </c>
      <c r="B1" s="290" t="n"/>
      <c r="C1" s="7" t="n"/>
      <c r="D1" s="7" t="n"/>
      <c r="E1" s="626" t="n"/>
      <c r="F1" s="626" t="n"/>
      <c r="G1" s="626" t="n"/>
      <c r="H1" s="626" t="n"/>
      <c r="I1" s="626" t="n"/>
      <c r="J1" s="626" t="n"/>
      <c r="K1" s="7" t="n"/>
      <c r="L1" s="7" t="n"/>
      <c r="M1" s="7" t="n"/>
      <c r="N1" s="7" t="n"/>
      <c r="O1" s="7" t="n"/>
      <c r="P1" s="7" t="n"/>
      <c r="Q1" s="33" t="n"/>
      <c r="R1" s="33" t="n"/>
      <c r="S1" s="33" t="n"/>
      <c r="T1" s="33" t="n"/>
      <c r="U1" s="33" t="n"/>
      <c r="V1" s="33" t="n"/>
      <c r="W1" s="33" t="n"/>
      <c r="X1" s="33" t="n"/>
      <c r="Y1" s="33" t="n"/>
      <c r="Z1" s="33" t="n"/>
      <c r="AA1" s="33" t="n"/>
      <c r="AB1" s="33" t="n"/>
      <c r="AC1" s="33" t="n"/>
      <c r="AD1" s="33" t="n"/>
      <c r="AE1" s="33" t="n"/>
      <c r="AF1" s="33" t="n"/>
      <c r="AG1" s="33" t="n"/>
      <c r="AH1" s="33" t="n"/>
      <c r="AI1" s="33" t="n"/>
      <c r="AJ1" s="33" t="n"/>
      <c r="AK1" s="33" t="n"/>
      <c r="AL1" s="33" t="n"/>
      <c r="AM1" s="33" t="n"/>
      <c r="AN1" s="33" t="n"/>
      <c r="AO1" s="33" t="n"/>
      <c r="AP1" s="33" t="n"/>
      <c r="AQ1" s="33" t="n"/>
      <c r="AR1" s="33" t="n"/>
      <c r="AS1" s="33" t="n"/>
      <c r="AT1" s="33" t="n"/>
      <c r="AU1" s="33" t="n"/>
      <c r="AV1" s="33" t="n"/>
      <c r="AW1" s="33" t="n"/>
      <c r="AX1" s="33" t="n"/>
      <c r="AY1" s="33" t="n"/>
      <c r="AZ1" s="33" t="n"/>
      <c r="BA1" s="33" t="n"/>
      <c r="BB1" s="33" t="n"/>
      <c r="BC1" s="33" t="n"/>
      <c r="BD1" s="33" t="n"/>
      <c r="BE1" s="33" t="n"/>
      <c r="BF1" s="33" t="n"/>
      <c r="BG1" s="33" t="n"/>
      <c r="BH1" s="33" t="n"/>
      <c r="BI1" s="33" t="n"/>
      <c r="BJ1" s="33" t="n"/>
      <c r="BK1" s="33" t="n"/>
      <c r="BL1" s="33" t="n"/>
      <c r="BM1" s="33" t="n"/>
      <c r="BN1" s="33" t="n"/>
      <c r="BO1" s="33" t="n"/>
      <c r="BP1" s="33" t="n"/>
      <c r="BQ1" s="33" t="n"/>
      <c r="BR1" s="33" t="n"/>
      <c r="BS1" s="33" t="n"/>
      <c r="BT1" s="33" t="n"/>
      <c r="BU1" s="33" t="n"/>
      <c r="BV1" s="33" t="n"/>
      <c r="BW1" s="33" t="n"/>
      <c r="BX1" s="33" t="n"/>
      <c r="BY1" s="33" t="n"/>
      <c r="BZ1" s="12" t="n"/>
      <c r="CA1" s="12" t="n"/>
      <c r="CB1" s="12" t="n"/>
      <c r="CC1" s="12" t="n"/>
      <c r="CD1" s="12" t="n"/>
      <c r="CE1" s="12" t="n"/>
      <c r="CF1" s="12" t="n"/>
      <c r="CG1" s="12" t="n"/>
      <c r="CH1" s="12" t="n"/>
      <c r="CI1" s="12" t="n"/>
    </row>
    <row r="2" ht="12.75" customHeight="1" s="1883">
      <c r="A2" s="1" t="n"/>
      <c r="B2" s="291" t="n"/>
      <c r="C2" s="1" t="n"/>
      <c r="D2" s="1" t="n"/>
      <c r="E2" s="626" t="n"/>
      <c r="F2" s="626" t="n"/>
      <c r="G2" s="626" t="n"/>
      <c r="H2" s="626" t="n"/>
      <c r="I2" s="626" t="n"/>
      <c r="J2" s="626" t="n"/>
      <c r="K2" s="1" t="n"/>
      <c r="L2" s="1" t="n"/>
      <c r="M2" s="1" t="n"/>
      <c r="N2" s="1" t="n"/>
      <c r="O2" s="1" t="n"/>
      <c r="P2" s="1" t="n"/>
      <c r="Q2" s="352" t="n"/>
      <c r="R2" s="352" t="n"/>
      <c r="S2" s="352" t="n"/>
      <c r="T2" s="352" t="n"/>
      <c r="U2" s="352" t="n"/>
      <c r="V2" s="352" t="n"/>
      <c r="W2" s="352" t="n"/>
      <c r="X2" s="352" t="n"/>
      <c r="Y2" s="352" t="n"/>
      <c r="Z2" s="352" t="n"/>
      <c r="AA2" s="352" t="n"/>
      <c r="AB2" s="352" t="n"/>
      <c r="AC2" s="352" t="n"/>
      <c r="AD2" s="352" t="n"/>
      <c r="AE2" s="352" t="n"/>
      <c r="AF2" s="352" t="n"/>
      <c r="AG2" s="352" t="n"/>
      <c r="AH2" s="352" t="n"/>
      <c r="AI2" s="352" t="n"/>
      <c r="AJ2" s="352" t="n"/>
      <c r="AK2" s="352" t="n"/>
      <c r="AL2" s="352" t="n"/>
      <c r="AM2" s="352" t="n"/>
      <c r="AN2" s="352" t="n"/>
      <c r="AO2" s="352" t="n"/>
      <c r="AP2" s="352" t="n"/>
      <c r="AQ2" s="352" t="n"/>
      <c r="AR2" s="352" t="n"/>
      <c r="AS2" s="352" t="n"/>
      <c r="AT2" s="352" t="n"/>
      <c r="AU2" s="352" t="n"/>
      <c r="AV2" s="352" t="n"/>
      <c r="AW2" s="352" t="n"/>
      <c r="AX2" s="352" t="n"/>
      <c r="AY2" s="352" t="n"/>
      <c r="AZ2" s="352" t="n"/>
      <c r="BA2" s="352" t="n"/>
      <c r="BB2" s="352" t="n"/>
      <c r="BC2" s="352" t="n"/>
      <c r="BD2" s="352" t="n"/>
      <c r="BE2" s="352" t="n"/>
      <c r="BF2" s="352" t="n"/>
      <c r="BG2" s="352" t="n"/>
      <c r="BH2" s="352" t="n"/>
      <c r="BI2" s="352" t="n"/>
      <c r="BJ2" s="352" t="n"/>
      <c r="BK2" s="352" t="n"/>
      <c r="BL2" s="352" t="n"/>
      <c r="BM2" s="352" t="n"/>
      <c r="BN2" s="352" t="n"/>
      <c r="BO2" s="352" t="n"/>
      <c r="BP2" s="352" t="n"/>
      <c r="BQ2" s="352" t="n"/>
      <c r="BR2" s="352" t="n"/>
      <c r="BS2" s="352" t="n"/>
      <c r="BT2" s="352" t="n"/>
      <c r="BU2" s="352" t="n"/>
      <c r="BV2" s="352" t="n"/>
      <c r="BW2" s="352" t="n"/>
      <c r="BX2" s="352" t="n"/>
      <c r="BY2" s="352" t="n"/>
      <c r="BZ2" s="1" t="n"/>
      <c r="CA2" s="1" t="n"/>
      <c r="CB2" s="1" t="n"/>
      <c r="CC2" s="1" t="n"/>
      <c r="CD2" s="1" t="n"/>
      <c r="CE2" s="1" t="n"/>
      <c r="CF2" s="1" t="n"/>
      <c r="CG2" s="1" t="n"/>
      <c r="CH2" s="1" t="n"/>
      <c r="CI2" s="1" t="n"/>
    </row>
    <row r="3" ht="25" customHeight="1" s="1883">
      <c r="A3" s="1" t="n"/>
      <c r="B3" s="214" t="inlineStr">
        <is>
          <t>Cash Flow Projections</t>
        </is>
      </c>
      <c r="C3" s="3" t="n"/>
      <c r="D3" s="1" t="n"/>
      <c r="E3" s="626" t="n"/>
      <c r="F3" s="626" t="n"/>
      <c r="G3" s="626" t="n"/>
      <c r="H3" s="626" t="n"/>
      <c r="I3" s="626" t="n"/>
      <c r="J3" s="626" t="n"/>
      <c r="K3" s="1" t="n"/>
      <c r="L3" s="1" t="n"/>
      <c r="M3" s="1" t="n"/>
      <c r="N3" s="1" t="n"/>
      <c r="O3" s="1" t="n"/>
      <c r="P3" s="1" t="n"/>
      <c r="Q3" s="352" t="n"/>
      <c r="R3" s="352" t="n"/>
      <c r="S3" s="352" t="n"/>
      <c r="T3" s="352" t="n"/>
      <c r="U3" s="352" t="n"/>
      <c r="V3" s="352" t="n"/>
      <c r="W3" s="352" t="n"/>
      <c r="X3" s="352" t="n"/>
      <c r="Y3" s="352" t="n"/>
      <c r="Z3" s="352" t="n"/>
      <c r="AA3" s="352" t="n"/>
      <c r="AB3" s="352" t="n"/>
      <c r="AC3" s="352" t="n"/>
      <c r="AD3" s="352" t="n"/>
      <c r="AE3" s="352" t="n"/>
      <c r="AF3" s="352" t="n"/>
      <c r="AG3" s="352" t="n"/>
      <c r="AH3" s="352" t="n"/>
      <c r="AI3" s="352" t="n"/>
      <c r="AJ3" s="352" t="n"/>
      <c r="AK3" s="352" t="n"/>
      <c r="AL3" s="352" t="n"/>
      <c r="AM3" s="352" t="n"/>
      <c r="AN3" s="352" t="n"/>
      <c r="AO3" s="352" t="n"/>
      <c r="AP3" s="352" t="n"/>
      <c r="AQ3" s="352" t="n"/>
      <c r="AR3" s="352" t="n"/>
      <c r="AS3" s="352" t="n"/>
      <c r="AT3" s="352" t="n"/>
      <c r="AU3" s="352" t="n"/>
      <c r="AV3" s="352" t="n"/>
      <c r="AW3" s="352" t="n"/>
      <c r="AX3" s="352" t="n"/>
      <c r="AY3" s="352" t="n"/>
      <c r="AZ3" s="352" t="n"/>
      <c r="BA3" s="352" t="n"/>
      <c r="BB3" s="352" t="n"/>
      <c r="BC3" s="352" t="n"/>
      <c r="BD3" s="352" t="n"/>
      <c r="BE3" s="352" t="n"/>
      <c r="BF3" s="352" t="n"/>
      <c r="BG3" s="352" t="n"/>
      <c r="BH3" s="352" t="n"/>
      <c r="BI3" s="352" t="n"/>
      <c r="BJ3" s="352" t="n"/>
      <c r="BK3" s="352" t="n"/>
      <c r="BL3" s="352" t="n"/>
      <c r="BM3" s="352" t="n"/>
      <c r="BN3" s="352" t="n"/>
      <c r="BO3" s="352" t="n"/>
      <c r="BP3" s="352" t="n"/>
      <c r="BQ3" s="352" t="n"/>
      <c r="BR3" s="352" t="n"/>
      <c r="BS3" s="352" t="n"/>
      <c r="BT3" s="352" t="n"/>
      <c r="BU3" s="352" t="n"/>
      <c r="BV3" s="352" t="n"/>
      <c r="BW3" s="352" t="n"/>
      <c r="BX3" s="352" t="n"/>
      <c r="BY3" s="352" t="n"/>
      <c r="BZ3" s="1" t="n"/>
      <c r="CA3" s="1" t="n"/>
      <c r="CB3" s="1" t="n"/>
      <c r="CC3" s="1" t="n"/>
      <c r="CD3" s="1" t="n"/>
      <c r="CE3" s="1" t="n"/>
      <c r="CF3" s="1" t="n"/>
      <c r="CG3" s="1" t="n"/>
      <c r="CH3" s="1" t="n"/>
      <c r="CI3" s="1" t="n"/>
    </row>
    <row r="4" ht="20" customHeight="1" s="1883">
      <c r="A4" s="7" t="n"/>
      <c r="B4" s="8" t="n"/>
      <c r="C4" s="217" t="inlineStr">
        <is>
          <t>Monthly</t>
        </is>
      </c>
      <c r="D4" s="7" t="n"/>
      <c r="E4" s="626" t="n"/>
      <c r="F4" s="626" t="n"/>
      <c r="G4" s="626" t="n"/>
      <c r="H4" s="626" t="n"/>
      <c r="I4" s="626" t="n"/>
      <c r="J4" s="626" t="n"/>
      <c r="K4" s="7" t="n"/>
      <c r="L4" s="7" t="n"/>
      <c r="M4" s="7" t="n"/>
      <c r="N4" s="7" t="n"/>
      <c r="O4" s="7" t="n"/>
      <c r="P4" s="7" t="n"/>
      <c r="Q4" s="294" t="n"/>
      <c r="R4" s="294" t="n"/>
      <c r="S4" s="294" t="n"/>
      <c r="T4" s="294" t="n"/>
      <c r="U4" s="294" t="n"/>
      <c r="V4" s="294" t="n"/>
      <c r="W4" s="294" t="n"/>
      <c r="X4" s="294" t="n"/>
      <c r="Y4" s="294" t="n"/>
      <c r="Z4" s="294" t="n"/>
      <c r="AA4" s="294" t="n"/>
      <c r="AB4" s="294" t="n"/>
      <c r="AC4" s="294" t="n"/>
      <c r="AD4" s="294" t="n"/>
      <c r="AE4" s="294" t="n"/>
      <c r="AF4" s="294" t="n"/>
      <c r="AG4" s="294" t="n"/>
      <c r="AH4" s="294" t="n"/>
      <c r="AI4" s="294" t="n"/>
      <c r="AJ4" s="294" t="n"/>
      <c r="AK4" s="294" t="n"/>
      <c r="AL4" s="294" t="n"/>
      <c r="AM4" s="294" t="n"/>
      <c r="AN4" s="294" t="n"/>
      <c r="AO4" s="294" t="n"/>
      <c r="AP4" s="294" t="n"/>
      <c r="AQ4" s="294" t="n"/>
      <c r="AR4" s="294" t="n"/>
      <c r="AS4" s="294" t="n"/>
      <c r="AT4" s="294" t="n"/>
      <c r="AU4" s="294" t="n"/>
      <c r="AV4" s="294" t="n"/>
      <c r="AW4" s="294" t="n"/>
      <c r="AX4" s="294" t="n"/>
      <c r="AY4" s="294" t="n"/>
      <c r="AZ4" s="294" t="n"/>
      <c r="BA4" s="294" t="n"/>
      <c r="BB4" s="294" t="n"/>
      <c r="BC4" s="294" t="n"/>
      <c r="BD4" s="294" t="n"/>
      <c r="BE4" s="294" t="n"/>
      <c r="BF4" s="294" t="n"/>
      <c r="BG4" s="294" t="n"/>
      <c r="BH4" s="294" t="n"/>
      <c r="BI4" s="294" t="n"/>
      <c r="BJ4" s="294" t="n"/>
      <c r="BK4" s="294" t="n"/>
      <c r="BL4" s="294" t="n"/>
      <c r="BM4" s="294" t="n"/>
      <c r="BN4" s="294" t="n"/>
      <c r="BO4" s="294" t="n"/>
      <c r="BP4" s="294" t="n"/>
      <c r="BQ4" s="294" t="n"/>
      <c r="BR4" s="294" t="n"/>
      <c r="BS4" s="294" t="n"/>
      <c r="BT4" s="294" t="n"/>
      <c r="BU4" s="294" t="n"/>
      <c r="BV4" s="294" t="n"/>
      <c r="BW4" s="294" t="n"/>
      <c r="BX4" s="294" t="n"/>
      <c r="BY4" s="294" t="n"/>
      <c r="BZ4" s="7" t="n"/>
      <c r="CA4" s="7" t="n"/>
      <c r="CB4" s="7" t="n"/>
      <c r="CC4" s="7" t="n"/>
      <c r="CD4" s="7" t="n"/>
      <c r="CE4" s="7" t="n"/>
      <c r="CF4" s="7" t="n"/>
      <c r="CG4" s="7" t="n"/>
      <c r="CH4" s="7" t="n"/>
      <c r="CI4" s="7" t="n"/>
    </row>
    <row r="5" ht="12.75" customHeight="1" s="1883">
      <c r="A5" s="7" t="n"/>
      <c r="B5" s="8" t="n"/>
      <c r="C5" s="9" t="n"/>
      <c r="D5" s="7" t="n"/>
      <c r="E5" s="1968" t="n"/>
      <c r="F5" s="1968" t="n"/>
      <c r="G5" s="1968" t="n"/>
      <c r="H5" s="1968" t="n"/>
      <c r="I5" s="1968" t="n"/>
      <c r="J5" s="1968" t="n"/>
      <c r="K5" s="7" t="n"/>
      <c r="L5" s="7" t="n"/>
      <c r="M5" s="7" t="n"/>
      <c r="N5" s="7" t="n"/>
      <c r="O5" s="7" t="n"/>
      <c r="P5" s="7" t="n"/>
      <c r="Q5" s="1889" t="inlineStr">
        <is>
          <t>For the Year Ended</t>
        </is>
      </c>
      <c r="AC5" s="1889" t="inlineStr">
        <is>
          <t>For the Year Ended</t>
        </is>
      </c>
      <c r="AO5" s="1889" t="inlineStr">
        <is>
          <t>For the Year Ended</t>
        </is>
      </c>
      <c r="BA5" s="1889" t="inlineStr">
        <is>
          <t>For the Year Ended</t>
        </is>
      </c>
      <c r="BM5" s="1889" t="inlineStr">
        <is>
          <t>For the Year Ended</t>
        </is>
      </c>
      <c r="BY5" s="11" t="n"/>
      <c r="BZ5" s="7" t="n"/>
      <c r="CA5" s="7" t="n"/>
      <c r="CB5" s="7" t="n"/>
      <c r="CC5" s="7" t="n"/>
      <c r="CD5" s="7" t="n"/>
      <c r="CE5" s="7" t="n"/>
      <c r="CF5" s="7" t="n"/>
      <c r="CG5" s="7" t="n"/>
      <c r="CH5" s="7" t="n"/>
      <c r="CI5" s="7" t="n"/>
    </row>
    <row r="6" ht="12.75" customHeight="1" s="1883">
      <c r="A6" s="7" t="n"/>
      <c r="B6" s="1350" t="n"/>
      <c r="C6" s="1350" t="n"/>
      <c r="D6" s="1351" t="n"/>
      <c r="E6" s="1376" t="n"/>
      <c r="F6" s="1376" t="n"/>
      <c r="G6" s="1376" t="n"/>
      <c r="H6" s="1376" t="n"/>
      <c r="I6" s="1376" t="n"/>
      <c r="J6" s="1376" t="n"/>
      <c r="K6" s="1351" t="n"/>
      <c r="L6" s="1351" t="n"/>
      <c r="M6" s="1351" t="n"/>
      <c r="N6" s="1351" t="n"/>
      <c r="O6" s="1351" t="n"/>
      <c r="P6" s="1351" t="n"/>
      <c r="Q6" s="1888" t="inlineStr">
        <is>
          <t>FY1</t>
        </is>
      </c>
      <c r="AC6" s="1888" t="inlineStr">
        <is>
          <t>FY2</t>
        </is>
      </c>
      <c r="AO6" s="1888" t="inlineStr">
        <is>
          <t>FY3</t>
        </is>
      </c>
      <c r="BA6" s="1888" t="inlineStr">
        <is>
          <t>FY4</t>
        </is>
      </c>
      <c r="BM6" s="1888" t="inlineStr">
        <is>
          <t>FY5</t>
        </is>
      </c>
      <c r="BY6" s="1888" t="n"/>
      <c r="BZ6" s="1350" t="n"/>
      <c r="CA6" s="1350" t="n"/>
      <c r="CB6" s="1350" t="n"/>
      <c r="CC6" s="1887" t="inlineStr">
        <is>
          <t>Five Year Projections</t>
        </is>
      </c>
    </row>
    <row r="7" ht="12.75" customHeight="1" s="1883">
      <c r="A7" s="25" t="n"/>
      <c r="B7" s="1350" t="n"/>
      <c r="C7" s="1350" t="n"/>
      <c r="D7" s="1350" t="n"/>
      <c r="E7" s="1987" t="n">
        <v>-12</v>
      </c>
      <c r="F7" s="1987" t="n">
        <v>-11</v>
      </c>
      <c r="G7" s="1987" t="n">
        <v>-10</v>
      </c>
      <c r="H7" s="1987" t="n">
        <v>-9</v>
      </c>
      <c r="I7" s="1987" t="n">
        <v>-8</v>
      </c>
      <c r="J7" s="1987" t="n">
        <v>-7</v>
      </c>
      <c r="K7" s="1987" t="n">
        <v>-6</v>
      </c>
      <c r="L7" s="1987" t="n">
        <v>-5</v>
      </c>
      <c r="M7" s="1987" t="n">
        <v>-4</v>
      </c>
      <c r="N7" s="1987" t="n">
        <v>-3</v>
      </c>
      <c r="O7" s="1987" t="n">
        <v>-2</v>
      </c>
      <c r="P7" s="1987" t="n">
        <v>-1</v>
      </c>
      <c r="Q7" s="1888">
        <f>'Income Statement'!Q6</f>
        <v/>
      </c>
      <c r="R7" s="1888">
        <f>'Income Statement'!R6</f>
        <v/>
      </c>
      <c r="S7" s="1888">
        <f>'Income Statement'!S6</f>
        <v/>
      </c>
      <c r="T7" s="1888">
        <f>'Income Statement'!T6</f>
        <v/>
      </c>
      <c r="U7" s="1888">
        <f>'Income Statement'!U6</f>
        <v/>
      </c>
      <c r="V7" s="1888">
        <f>'Income Statement'!V6</f>
        <v/>
      </c>
      <c r="W7" s="1888">
        <f>'Income Statement'!W6</f>
        <v/>
      </c>
      <c r="X7" s="1888">
        <f>'Income Statement'!X6</f>
        <v/>
      </c>
      <c r="Y7" s="1888">
        <f>'Income Statement'!Y6</f>
        <v/>
      </c>
      <c r="Z7" s="1888">
        <f>'Income Statement'!Z6</f>
        <v/>
      </c>
      <c r="AA7" s="1888">
        <f>'Income Statement'!AA6</f>
        <v/>
      </c>
      <c r="AB7" s="1888">
        <f>'Income Statement'!AB6</f>
        <v/>
      </c>
      <c r="AC7" s="1888">
        <f>'Income Statement'!AC6</f>
        <v/>
      </c>
      <c r="AD7" s="1888">
        <f>'Income Statement'!AD6</f>
        <v/>
      </c>
      <c r="AE7" s="1888">
        <f>'Income Statement'!AE6</f>
        <v/>
      </c>
      <c r="AF7" s="1888">
        <f>'Income Statement'!AF6</f>
        <v/>
      </c>
      <c r="AG7" s="1888">
        <f>'Income Statement'!AG6</f>
        <v/>
      </c>
      <c r="AH7" s="1888">
        <f>'Income Statement'!AH6</f>
        <v/>
      </c>
      <c r="AI7" s="1888">
        <f>'Income Statement'!AI6</f>
        <v/>
      </c>
      <c r="AJ7" s="1888">
        <f>'Income Statement'!AJ6</f>
        <v/>
      </c>
      <c r="AK7" s="1888">
        <f>'Income Statement'!AK6</f>
        <v/>
      </c>
      <c r="AL7" s="1888">
        <f>'Income Statement'!AL6</f>
        <v/>
      </c>
      <c r="AM7" s="1888">
        <f>'Income Statement'!AM6</f>
        <v/>
      </c>
      <c r="AN7" s="1888">
        <f>'Income Statement'!AN6</f>
        <v/>
      </c>
      <c r="AO7" s="1888">
        <f>'Income Statement'!AO6</f>
        <v/>
      </c>
      <c r="AP7" s="1888">
        <f>'Income Statement'!AP6</f>
        <v/>
      </c>
      <c r="AQ7" s="1888">
        <f>'Income Statement'!AQ6</f>
        <v/>
      </c>
      <c r="AR7" s="1888">
        <f>'Income Statement'!AR6</f>
        <v/>
      </c>
      <c r="AS7" s="1888">
        <f>'Income Statement'!AS6</f>
        <v/>
      </c>
      <c r="AT7" s="1888">
        <f>'Income Statement'!AT6</f>
        <v/>
      </c>
      <c r="AU7" s="1888">
        <f>'Income Statement'!AU6</f>
        <v/>
      </c>
      <c r="AV7" s="1888">
        <f>'Income Statement'!AV6</f>
        <v/>
      </c>
      <c r="AW7" s="1888">
        <f>'Income Statement'!AW6</f>
        <v/>
      </c>
      <c r="AX7" s="1888">
        <f>'Income Statement'!AX6</f>
        <v/>
      </c>
      <c r="AY7" s="1888">
        <f>'Income Statement'!AY6</f>
        <v/>
      </c>
      <c r="AZ7" s="1888">
        <f>'Income Statement'!AZ6</f>
        <v/>
      </c>
      <c r="BA7" s="1888">
        <f>'Income Statement'!BA6</f>
        <v/>
      </c>
      <c r="BB7" s="1888">
        <f>'Income Statement'!BB6</f>
        <v/>
      </c>
      <c r="BC7" s="1888">
        <f>'Income Statement'!BC6</f>
        <v/>
      </c>
      <c r="BD7" s="1888">
        <f>'Income Statement'!BD6</f>
        <v/>
      </c>
      <c r="BE7" s="1888">
        <f>'Income Statement'!BE6</f>
        <v/>
      </c>
      <c r="BF7" s="1888">
        <f>'Income Statement'!BF6</f>
        <v/>
      </c>
      <c r="BG7" s="1888">
        <f>'Income Statement'!BG6</f>
        <v/>
      </c>
      <c r="BH7" s="1888">
        <f>'Income Statement'!BH6</f>
        <v/>
      </c>
      <c r="BI7" s="1888">
        <f>'Income Statement'!BI6</f>
        <v/>
      </c>
      <c r="BJ7" s="1888">
        <f>'Income Statement'!BJ6</f>
        <v/>
      </c>
      <c r="BK7" s="1888">
        <f>'Income Statement'!BK6</f>
        <v/>
      </c>
      <c r="BL7" s="1888">
        <f>'Income Statement'!BL6</f>
        <v/>
      </c>
      <c r="BM7" s="1888">
        <f>'Income Statement'!BM6</f>
        <v/>
      </c>
      <c r="BN7" s="1888">
        <f>'Income Statement'!BN6</f>
        <v/>
      </c>
      <c r="BO7" s="1888">
        <f>'Income Statement'!BO6</f>
        <v/>
      </c>
      <c r="BP7" s="1888">
        <f>'Income Statement'!BP6</f>
        <v/>
      </c>
      <c r="BQ7" s="1888">
        <f>'Income Statement'!BQ6</f>
        <v/>
      </c>
      <c r="BR7" s="1888">
        <f>'Income Statement'!BR6</f>
        <v/>
      </c>
      <c r="BS7" s="1888">
        <f>'Income Statement'!BS6</f>
        <v/>
      </c>
      <c r="BT7" s="1888">
        <f>'Income Statement'!BT6</f>
        <v/>
      </c>
      <c r="BU7" s="1888">
        <f>'Income Statement'!BU6</f>
        <v/>
      </c>
      <c r="BV7" s="1888">
        <f>'Income Statement'!BV6</f>
        <v/>
      </c>
      <c r="BW7" s="1888">
        <f>'Income Statement'!BW6</f>
        <v/>
      </c>
      <c r="BX7" s="1888">
        <f>'Income Statement'!BX6</f>
        <v/>
      </c>
      <c r="BY7" s="1888" t="n"/>
      <c r="BZ7" s="1888" t="n"/>
      <c r="CA7" s="1987" t="n"/>
      <c r="CB7" s="1888" t="n"/>
      <c r="CC7" s="1887" t="n"/>
      <c r="CD7" s="1356" t="inlineStr">
        <is>
          <t>Ramp Up Year</t>
        </is>
      </c>
      <c r="CE7" s="1887" t="inlineStr">
        <is>
          <t>Year 1</t>
        </is>
      </c>
      <c r="CF7" s="1887" t="inlineStr">
        <is>
          <t>Year 2</t>
        </is>
      </c>
      <c r="CG7" s="1887" t="inlineStr">
        <is>
          <t>Year 3</t>
        </is>
      </c>
      <c r="CH7" s="1887" t="inlineStr">
        <is>
          <t>Year 4</t>
        </is>
      </c>
      <c r="CI7" s="1887" t="inlineStr">
        <is>
          <t>Year 5</t>
        </is>
      </c>
    </row>
    <row r="8" ht="12.75" customHeight="1" s="1883">
      <c r="A8" s="7" t="n"/>
      <c r="B8" s="312" t="inlineStr">
        <is>
          <t>CASH FLOW FROM OPERATIONS</t>
        </is>
      </c>
      <c r="C8" s="7" t="n"/>
      <c r="D8" s="7" t="n"/>
      <c r="E8" s="1377" t="n"/>
      <c r="F8" s="1377" t="n"/>
      <c r="G8" s="1377" t="n"/>
      <c r="H8" s="1377" t="n"/>
      <c r="I8" s="1377" t="n"/>
      <c r="J8" s="1377" t="n"/>
      <c r="K8" s="353" t="n"/>
      <c r="L8" s="353" t="n"/>
      <c r="M8" s="353" t="n"/>
      <c r="N8" s="353" t="n"/>
      <c r="O8" s="353" t="n"/>
      <c r="P8" s="353" t="n"/>
      <c r="Q8" s="353" t="n"/>
      <c r="R8" s="353" t="n"/>
      <c r="S8" s="353" t="n"/>
      <c r="T8" s="353" t="n"/>
      <c r="U8" s="353" t="n"/>
      <c r="V8" s="353" t="n"/>
      <c r="W8" s="353" t="n"/>
      <c r="X8" s="353" t="n"/>
      <c r="Y8" s="353" t="n"/>
      <c r="Z8" s="353" t="n"/>
      <c r="AA8" s="353" t="n"/>
      <c r="AB8" s="353" t="n"/>
      <c r="AC8" s="353" t="n"/>
      <c r="AD8" s="353" t="n"/>
      <c r="AE8" s="353" t="n"/>
      <c r="AF8" s="353" t="n"/>
      <c r="AG8" s="353" t="n"/>
      <c r="AH8" s="353" t="n"/>
      <c r="AI8" s="353" t="n"/>
      <c r="AJ8" s="353" t="n"/>
      <c r="AK8" s="353" t="n"/>
      <c r="AL8" s="353" t="n"/>
      <c r="AM8" s="353" t="n"/>
      <c r="AN8" s="353" t="n"/>
      <c r="AO8" s="353" t="n"/>
      <c r="AP8" s="353" t="n"/>
      <c r="AQ8" s="353" t="n"/>
      <c r="AR8" s="353" t="n"/>
      <c r="AS8" s="353" t="n"/>
      <c r="AT8" s="353" t="n"/>
      <c r="AU8" s="353" t="n"/>
      <c r="AV8" s="353" t="n"/>
      <c r="AW8" s="353" t="n"/>
      <c r="AX8" s="353" t="n"/>
      <c r="AY8" s="353" t="n"/>
      <c r="AZ8" s="353" t="n"/>
      <c r="BA8" s="353" t="n"/>
      <c r="BB8" s="353" t="n"/>
      <c r="BC8" s="353" t="n"/>
      <c r="BD8" s="353" t="n"/>
      <c r="BE8" s="353" t="n"/>
      <c r="BF8" s="353" t="n"/>
      <c r="BG8" s="353" t="n"/>
      <c r="BH8" s="353" t="n"/>
      <c r="BI8" s="353" t="n"/>
      <c r="BJ8" s="353" t="n"/>
      <c r="BK8" s="353" t="n"/>
      <c r="BL8" s="353" t="n"/>
      <c r="BM8" s="353" t="n"/>
      <c r="BN8" s="353" t="n"/>
      <c r="BO8" s="353" t="n"/>
      <c r="BP8" s="353" t="n"/>
      <c r="BQ8" s="353" t="n"/>
      <c r="BR8" s="353" t="n"/>
      <c r="BS8" s="353" t="n"/>
      <c r="BT8" s="353" t="n"/>
      <c r="BU8" s="353" t="n"/>
      <c r="BV8" s="353" t="n"/>
      <c r="BW8" s="353" t="n"/>
      <c r="BX8" s="353" t="n"/>
      <c r="BY8" s="626" t="n"/>
      <c r="BZ8" s="320" t="inlineStr">
        <is>
          <t>CASH FLOW FROM OPERATIONS</t>
        </is>
      </c>
      <c r="CA8" s="297" t="n"/>
      <c r="CB8" s="297" t="n"/>
      <c r="CC8" s="297" t="n"/>
      <c r="CD8" s="1357" t="n"/>
      <c r="CE8" s="2014" t="n"/>
      <c r="CF8" s="2014" t="n"/>
      <c r="CG8" s="2014" t="n"/>
      <c r="CH8" s="2014" t="n"/>
      <c r="CI8" s="2014" t="n"/>
    </row>
    <row r="9" ht="12.75" customHeight="1" s="1883">
      <c r="A9" s="7" t="n"/>
      <c r="B9" s="25" t="n"/>
      <c r="C9" s="7" t="inlineStr">
        <is>
          <t>Net Income (Loss)</t>
        </is>
      </c>
      <c r="D9" s="7" t="n"/>
      <c r="E9" s="20">
        <f>+'Income Statement'!E39</f>
        <v/>
      </c>
      <c r="F9" s="20">
        <f>+'Income Statement'!F39</f>
        <v/>
      </c>
      <c r="G9" s="20">
        <f>+'Income Statement'!G39</f>
        <v/>
      </c>
      <c r="H9" s="20">
        <f>+'Income Statement'!H39</f>
        <v/>
      </c>
      <c r="I9" s="20">
        <f>+'Income Statement'!I39</f>
        <v/>
      </c>
      <c r="J9" s="20">
        <f>+'Income Statement'!J39</f>
        <v/>
      </c>
      <c r="K9" s="20">
        <f>+'Income Statement'!K39</f>
        <v/>
      </c>
      <c r="L9" s="20">
        <f>+'Income Statement'!L39</f>
        <v/>
      </c>
      <c r="M9" s="20">
        <f>+'Income Statement'!M39</f>
        <v/>
      </c>
      <c r="N9" s="20">
        <f>+'Income Statement'!N39</f>
        <v/>
      </c>
      <c r="O9" s="20">
        <f>+'Income Statement'!O39</f>
        <v/>
      </c>
      <c r="P9" s="20">
        <f>+'Income Statement'!P39</f>
        <v/>
      </c>
      <c r="Q9" s="20">
        <f>+'Income Statement'!Q39</f>
        <v/>
      </c>
      <c r="R9" s="20">
        <f>+'Income Statement'!R39</f>
        <v/>
      </c>
      <c r="S9" s="20">
        <f>+'Income Statement'!S39</f>
        <v/>
      </c>
      <c r="T9" s="20">
        <f>+'Income Statement'!T39</f>
        <v/>
      </c>
      <c r="U9" s="20">
        <f>+'Income Statement'!U39</f>
        <v/>
      </c>
      <c r="V9" s="20">
        <f>+'Income Statement'!V39</f>
        <v/>
      </c>
      <c r="W9" s="20">
        <f>+'Income Statement'!W39</f>
        <v/>
      </c>
      <c r="X9" s="20">
        <f>+'Income Statement'!X39</f>
        <v/>
      </c>
      <c r="Y9" s="20">
        <f>+'Income Statement'!Y39</f>
        <v/>
      </c>
      <c r="Z9" s="20">
        <f>+'Income Statement'!Z39</f>
        <v/>
      </c>
      <c r="AA9" s="20">
        <f>+'Income Statement'!AA39</f>
        <v/>
      </c>
      <c r="AB9" s="20">
        <f>+'Income Statement'!AB39</f>
        <v/>
      </c>
      <c r="AC9" s="20">
        <f>+'Income Statement'!AC39</f>
        <v/>
      </c>
      <c r="AD9" s="20">
        <f>+'Income Statement'!AD39</f>
        <v/>
      </c>
      <c r="AE9" s="20">
        <f>+'Income Statement'!AE39</f>
        <v/>
      </c>
      <c r="AF9" s="20">
        <f>+'Income Statement'!AF39</f>
        <v/>
      </c>
      <c r="AG9" s="20">
        <f>+'Income Statement'!AG39</f>
        <v/>
      </c>
      <c r="AH9" s="20">
        <f>+'Income Statement'!AH39</f>
        <v/>
      </c>
      <c r="AI9" s="20">
        <f>+'Income Statement'!AI39</f>
        <v/>
      </c>
      <c r="AJ9" s="20">
        <f>+'Income Statement'!AJ39</f>
        <v/>
      </c>
      <c r="AK9" s="20">
        <f>+'Income Statement'!AK39</f>
        <v/>
      </c>
      <c r="AL9" s="20">
        <f>+'Income Statement'!AL39</f>
        <v/>
      </c>
      <c r="AM9" s="20">
        <f>+'Income Statement'!AM39</f>
        <v/>
      </c>
      <c r="AN9" s="20">
        <f>+'Income Statement'!AN39</f>
        <v/>
      </c>
      <c r="AO9" s="20">
        <f>+'Income Statement'!AO39</f>
        <v/>
      </c>
      <c r="AP9" s="20">
        <f>+'Income Statement'!AP39</f>
        <v/>
      </c>
      <c r="AQ9" s="20">
        <f>+'Income Statement'!AQ39</f>
        <v/>
      </c>
      <c r="AR9" s="20">
        <f>+'Income Statement'!AR39</f>
        <v/>
      </c>
      <c r="AS9" s="20">
        <f>+'Income Statement'!AS39</f>
        <v/>
      </c>
      <c r="AT9" s="20">
        <f>+'Income Statement'!AT39</f>
        <v/>
      </c>
      <c r="AU9" s="20">
        <f>+'Income Statement'!AU39</f>
        <v/>
      </c>
      <c r="AV9" s="20">
        <f>+'Income Statement'!AV39</f>
        <v/>
      </c>
      <c r="AW9" s="20">
        <f>+'Income Statement'!AW39</f>
        <v/>
      </c>
      <c r="AX9" s="20">
        <f>+'Income Statement'!AX39</f>
        <v/>
      </c>
      <c r="AY9" s="20">
        <f>+'Income Statement'!AY39</f>
        <v/>
      </c>
      <c r="AZ9" s="20">
        <f>+'Income Statement'!AZ39</f>
        <v/>
      </c>
      <c r="BA9" s="20">
        <f>+'Income Statement'!BA39</f>
        <v/>
      </c>
      <c r="BB9" s="20">
        <f>+'Income Statement'!BB39</f>
        <v/>
      </c>
      <c r="BC9" s="20">
        <f>+'Income Statement'!BC39</f>
        <v/>
      </c>
      <c r="BD9" s="20">
        <f>+'Income Statement'!BD39</f>
        <v/>
      </c>
      <c r="BE9" s="20">
        <f>+'Income Statement'!BE39</f>
        <v/>
      </c>
      <c r="BF9" s="20">
        <f>+'Income Statement'!BF39</f>
        <v/>
      </c>
      <c r="BG9" s="20">
        <f>+'Income Statement'!BG39</f>
        <v/>
      </c>
      <c r="BH9" s="20">
        <f>+'Income Statement'!BH39</f>
        <v/>
      </c>
      <c r="BI9" s="20">
        <f>+'Income Statement'!BI39</f>
        <v/>
      </c>
      <c r="BJ9" s="20">
        <f>+'Income Statement'!BJ39</f>
        <v/>
      </c>
      <c r="BK9" s="20">
        <f>+'Income Statement'!BK39</f>
        <v/>
      </c>
      <c r="BL9" s="20">
        <f>+'Income Statement'!BL39</f>
        <v/>
      </c>
      <c r="BM9" s="20">
        <f>+'Income Statement'!BM39</f>
        <v/>
      </c>
      <c r="BN9" s="20">
        <f>+'Income Statement'!BN39</f>
        <v/>
      </c>
      <c r="BO9" s="20">
        <f>+'Income Statement'!BO39</f>
        <v/>
      </c>
      <c r="BP9" s="20">
        <f>+'Income Statement'!BP39</f>
        <v/>
      </c>
      <c r="BQ9" s="20">
        <f>+'Income Statement'!BQ39</f>
        <v/>
      </c>
      <c r="BR9" s="20">
        <f>+'Income Statement'!BR39</f>
        <v/>
      </c>
      <c r="BS9" s="20">
        <f>+'Income Statement'!BS39</f>
        <v/>
      </c>
      <c r="BT9" s="20">
        <f>+'Income Statement'!BT39</f>
        <v/>
      </c>
      <c r="BU9" s="20">
        <f>+'Income Statement'!BU39</f>
        <v/>
      </c>
      <c r="BV9" s="20">
        <f>+'Income Statement'!BV39</f>
        <v/>
      </c>
      <c r="BW9" s="20">
        <f>+'Income Statement'!BW39</f>
        <v/>
      </c>
      <c r="BX9" s="20">
        <f>+'Income Statement'!BX39</f>
        <v/>
      </c>
      <c r="BY9" s="626" t="n"/>
      <c r="BZ9" s="295" t="n"/>
      <c r="CA9" s="297" t="inlineStr">
        <is>
          <t>Net Income (Loss)</t>
        </is>
      </c>
      <c r="CB9" s="297" t="n"/>
      <c r="CC9" s="297" t="n"/>
      <c r="CD9" s="2015">
        <f>SUM(E9:P9)</f>
        <v/>
      </c>
      <c r="CE9" s="2014">
        <f>SUM(Q9:AB9)</f>
        <v/>
      </c>
      <c r="CF9" s="2014">
        <f>SUM(AC9:AN9)</f>
        <v/>
      </c>
      <c r="CG9" s="2014">
        <f>SUM(AO9:AZ9)</f>
        <v/>
      </c>
      <c r="CH9" s="2014">
        <f>SUM(BA9:BL9)</f>
        <v/>
      </c>
      <c r="CI9" s="2014">
        <f>SUM(BM9:BX9)</f>
        <v/>
      </c>
    </row>
    <row r="10" ht="12.75" customHeight="1" s="1883">
      <c r="A10" s="7" t="n"/>
      <c r="B10" s="25" t="n"/>
      <c r="C10" s="7" t="inlineStr">
        <is>
          <t>Plus Amortization</t>
        </is>
      </c>
      <c r="D10" s="7" t="n"/>
      <c r="E10" s="20">
        <f>+'Income Statement'!K28</f>
        <v/>
      </c>
      <c r="F10" s="20">
        <f>+'Income Statement'!L28</f>
        <v/>
      </c>
      <c r="G10" s="20">
        <f>+'Income Statement'!M28</f>
        <v/>
      </c>
      <c r="H10" s="20">
        <f>+'Income Statement'!N28</f>
        <v/>
      </c>
      <c r="I10" s="20">
        <f>+'Income Statement'!O28</f>
        <v/>
      </c>
      <c r="J10" s="20">
        <f>+'Income Statement'!P28</f>
        <v/>
      </c>
      <c r="K10" s="20">
        <f>+'Income Statement'!K28</f>
        <v/>
      </c>
      <c r="L10" s="20">
        <f>+'Income Statement'!L28</f>
        <v/>
      </c>
      <c r="M10" s="20">
        <f>+'Income Statement'!M28</f>
        <v/>
      </c>
      <c r="N10" s="20">
        <f>+'Income Statement'!N28</f>
        <v/>
      </c>
      <c r="O10" s="20">
        <f>+'Income Statement'!O28</f>
        <v/>
      </c>
      <c r="P10" s="20">
        <f>+'Income Statement'!P28</f>
        <v/>
      </c>
      <c r="Q10" s="20">
        <f>+'Income Statement'!Q28</f>
        <v/>
      </c>
      <c r="R10" s="20">
        <f>+'Income Statement'!R28</f>
        <v/>
      </c>
      <c r="S10" s="20">
        <f>+'Income Statement'!S28</f>
        <v/>
      </c>
      <c r="T10" s="20">
        <f>+'Income Statement'!T28</f>
        <v/>
      </c>
      <c r="U10" s="20">
        <f>+'Income Statement'!U28</f>
        <v/>
      </c>
      <c r="V10" s="20">
        <f>+'Income Statement'!V28</f>
        <v/>
      </c>
      <c r="W10" s="20">
        <f>+'Income Statement'!W28</f>
        <v/>
      </c>
      <c r="X10" s="20">
        <f>+'Income Statement'!X28</f>
        <v/>
      </c>
      <c r="Y10" s="20">
        <f>+'Income Statement'!Y28</f>
        <v/>
      </c>
      <c r="Z10" s="20">
        <f>+'Income Statement'!Z28</f>
        <v/>
      </c>
      <c r="AA10" s="20">
        <f>+'Income Statement'!AA28</f>
        <v/>
      </c>
      <c r="AB10" s="20">
        <f>+'Income Statement'!AB28</f>
        <v/>
      </c>
      <c r="AC10" s="20">
        <f>+'Income Statement'!AC28</f>
        <v/>
      </c>
      <c r="AD10" s="20">
        <f>+'Income Statement'!AD28</f>
        <v/>
      </c>
      <c r="AE10" s="20">
        <f>+'Income Statement'!AE28</f>
        <v/>
      </c>
      <c r="AF10" s="20">
        <f>+'Income Statement'!AF28</f>
        <v/>
      </c>
      <c r="AG10" s="20">
        <f>+'Income Statement'!AG28</f>
        <v/>
      </c>
      <c r="AH10" s="20">
        <f>+'Income Statement'!AH28</f>
        <v/>
      </c>
      <c r="AI10" s="20">
        <f>+'Income Statement'!AI28</f>
        <v/>
      </c>
      <c r="AJ10" s="20">
        <f>+'Income Statement'!AJ28</f>
        <v/>
      </c>
      <c r="AK10" s="20">
        <f>+'Income Statement'!AK28</f>
        <v/>
      </c>
      <c r="AL10" s="20">
        <f>+'Income Statement'!AL28</f>
        <v/>
      </c>
      <c r="AM10" s="20">
        <f>+'Income Statement'!AM28</f>
        <v/>
      </c>
      <c r="AN10" s="20">
        <f>+'Income Statement'!AN28</f>
        <v/>
      </c>
      <c r="AO10" s="20">
        <f>+'Income Statement'!AO28</f>
        <v/>
      </c>
      <c r="AP10" s="20">
        <f>+'Income Statement'!AP28</f>
        <v/>
      </c>
      <c r="AQ10" s="20">
        <f>+'Income Statement'!AQ28</f>
        <v/>
      </c>
      <c r="AR10" s="20">
        <f>+'Income Statement'!AR28</f>
        <v/>
      </c>
      <c r="AS10" s="20">
        <f>+'Income Statement'!AS28</f>
        <v/>
      </c>
      <c r="AT10" s="20">
        <f>+'Income Statement'!AT28</f>
        <v/>
      </c>
      <c r="AU10" s="20">
        <f>+'Income Statement'!AU28</f>
        <v/>
      </c>
      <c r="AV10" s="20">
        <f>+'Income Statement'!AV28</f>
        <v/>
      </c>
      <c r="AW10" s="20">
        <f>+'Income Statement'!AW28</f>
        <v/>
      </c>
      <c r="AX10" s="20">
        <f>+'Income Statement'!AX28</f>
        <v/>
      </c>
      <c r="AY10" s="20">
        <f>+'Income Statement'!AY28</f>
        <v/>
      </c>
      <c r="AZ10" s="20">
        <f>+'Income Statement'!AZ28</f>
        <v/>
      </c>
      <c r="BA10" s="20">
        <f>+'Income Statement'!BA28</f>
        <v/>
      </c>
      <c r="BB10" s="20">
        <f>+'Income Statement'!BB28</f>
        <v/>
      </c>
      <c r="BC10" s="20">
        <f>+'Income Statement'!BC28</f>
        <v/>
      </c>
      <c r="BD10" s="20">
        <f>+'Income Statement'!BD28</f>
        <v/>
      </c>
      <c r="BE10" s="20">
        <f>+'Income Statement'!BE28</f>
        <v/>
      </c>
      <c r="BF10" s="20">
        <f>+'Income Statement'!BF28</f>
        <v/>
      </c>
      <c r="BG10" s="20">
        <f>+'Income Statement'!BG28</f>
        <v/>
      </c>
      <c r="BH10" s="20">
        <f>+'Income Statement'!BH28</f>
        <v/>
      </c>
      <c r="BI10" s="20">
        <f>+'Income Statement'!BI28</f>
        <v/>
      </c>
      <c r="BJ10" s="20">
        <f>+'Income Statement'!BJ28</f>
        <v/>
      </c>
      <c r="BK10" s="20">
        <f>+'Income Statement'!BK28</f>
        <v/>
      </c>
      <c r="BL10" s="20">
        <f>+'Income Statement'!BL28</f>
        <v/>
      </c>
      <c r="BM10" s="20">
        <f>+'Income Statement'!BM28</f>
        <v/>
      </c>
      <c r="BN10" s="20">
        <f>+'Income Statement'!BN28</f>
        <v/>
      </c>
      <c r="BO10" s="20">
        <f>+'Income Statement'!BO28</f>
        <v/>
      </c>
      <c r="BP10" s="20">
        <f>+'Income Statement'!BP28</f>
        <v/>
      </c>
      <c r="BQ10" s="20">
        <f>+'Income Statement'!BQ28</f>
        <v/>
      </c>
      <c r="BR10" s="20">
        <f>+'Income Statement'!BR28</f>
        <v/>
      </c>
      <c r="BS10" s="20">
        <f>+'Income Statement'!BS28</f>
        <v/>
      </c>
      <c r="BT10" s="20">
        <f>+'Income Statement'!BT28</f>
        <v/>
      </c>
      <c r="BU10" s="20">
        <f>+'Income Statement'!BU28</f>
        <v/>
      </c>
      <c r="BV10" s="20">
        <f>+'Income Statement'!BV28</f>
        <v/>
      </c>
      <c r="BW10" s="20">
        <f>+'Income Statement'!BW28</f>
        <v/>
      </c>
      <c r="BX10" s="20">
        <f>+'Income Statement'!BX28</f>
        <v/>
      </c>
      <c r="BY10" s="626" t="n"/>
      <c r="BZ10" s="295" t="n"/>
      <c r="CA10" s="297" t="inlineStr">
        <is>
          <t>Plus Amortization</t>
        </is>
      </c>
      <c r="CB10" s="297" t="n"/>
      <c r="CC10" s="297" t="n"/>
      <c r="CD10" s="2015">
        <f>SUM(E10:P10)</f>
        <v/>
      </c>
      <c r="CE10" s="2014">
        <f>SUM(Q10:AB10)</f>
        <v/>
      </c>
      <c r="CF10" s="2014">
        <f>SUM(AC10:AN10)</f>
        <v/>
      </c>
      <c r="CG10" s="2014">
        <f>SUM(AO10:AZ10)</f>
        <v/>
      </c>
      <c r="CH10" s="2014">
        <f>SUM(BA10:BL10)</f>
        <v/>
      </c>
      <c r="CI10" s="2014">
        <f>SUM(BM10:BX10)</f>
        <v/>
      </c>
    </row>
    <row r="11" ht="12.75" customHeight="1" s="1883">
      <c r="A11" s="19" t="n"/>
      <c r="B11" s="25" t="n"/>
      <c r="C11" s="7" t="n"/>
      <c r="D11" s="7" t="n"/>
      <c r="E11" s="20"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c r="AA11" s="20" t="n"/>
      <c r="AB11" s="20" t="n"/>
      <c r="AC11" s="20" t="n"/>
      <c r="AD11" s="20" t="n"/>
      <c r="AE11" s="20" t="n"/>
      <c r="AF11" s="20" t="n"/>
      <c r="AG11" s="20" t="n"/>
      <c r="AH11" s="20" t="n"/>
      <c r="AI11" s="20" t="n"/>
      <c r="AJ11" s="20" t="n"/>
      <c r="AK11" s="20" t="n"/>
      <c r="AL11" s="20" t="n"/>
      <c r="AM11" s="20" t="n"/>
      <c r="AN11" s="20" t="n"/>
      <c r="AO11" s="20" t="n"/>
      <c r="AP11" s="20" t="n"/>
      <c r="AQ11" s="20" t="n"/>
      <c r="AR11" s="20" t="n"/>
      <c r="AS11" s="20" t="n"/>
      <c r="AT11" s="20" t="n"/>
      <c r="AU11" s="20" t="n"/>
      <c r="AV11" s="20" t="n"/>
      <c r="AW11" s="20" t="n"/>
      <c r="AX11" s="20" t="n"/>
      <c r="AY11" s="20" t="n"/>
      <c r="AZ11" s="20" t="n"/>
      <c r="BA11" s="20" t="n"/>
      <c r="BB11" s="20" t="n"/>
      <c r="BC11" s="20" t="n"/>
      <c r="BD11" s="20" t="n"/>
      <c r="BE11" s="20" t="n"/>
      <c r="BF11" s="20" t="n"/>
      <c r="BG11" s="20" t="n"/>
      <c r="BH11" s="20" t="n"/>
      <c r="BI11" s="20" t="n"/>
      <c r="BJ11" s="20" t="n"/>
      <c r="BK11" s="20" t="n"/>
      <c r="BL11" s="20" t="n"/>
      <c r="BM11" s="20" t="n"/>
      <c r="BN11" s="20" t="n"/>
      <c r="BO11" s="20" t="n"/>
      <c r="BP11" s="20" t="n"/>
      <c r="BQ11" s="20" t="n"/>
      <c r="BR11" s="20" t="n"/>
      <c r="BS11" s="20" t="n"/>
      <c r="BT11" s="20" t="n"/>
      <c r="BU11" s="20" t="n"/>
      <c r="BV11" s="20" t="n"/>
      <c r="BW11" s="20" t="n"/>
      <c r="BX11" s="20" t="n"/>
      <c r="BY11" s="626" t="n"/>
      <c r="BZ11" s="295" t="n"/>
      <c r="CA11" s="297" t="n"/>
      <c r="CB11" s="304" t="n"/>
      <c r="CC11" s="304" t="n"/>
      <c r="CD11" s="2016" t="n"/>
      <c r="CE11" s="2017" t="n"/>
      <c r="CF11" s="2017" t="n"/>
      <c r="CG11" s="2014" t="n"/>
      <c r="CH11" s="2014" t="n"/>
      <c r="CI11" s="2017" t="n"/>
    </row>
    <row r="12" ht="12.75" customHeight="1" s="1883">
      <c r="A12" s="19" t="n"/>
      <c r="B12" s="12" t="n"/>
      <c r="C12" s="25" t="inlineStr">
        <is>
          <t xml:space="preserve">Changes in Working Capital </t>
        </is>
      </c>
      <c r="D12" s="7"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20" t="n"/>
      <c r="AN12" s="20" t="n"/>
      <c r="AO12" s="20" t="n"/>
      <c r="AP12" s="20" t="n"/>
      <c r="AQ12" s="20" t="n"/>
      <c r="AR12" s="20" t="n"/>
      <c r="AS12" s="20" t="n"/>
      <c r="AT12" s="20" t="n"/>
      <c r="AU12" s="20" t="n"/>
      <c r="AV12" s="20" t="n"/>
      <c r="AW12" s="20" t="n"/>
      <c r="AX12" s="20" t="n"/>
      <c r="AY12" s="20" t="n"/>
      <c r="AZ12" s="20" t="n"/>
      <c r="BA12" s="20" t="n"/>
      <c r="BB12" s="20" t="n"/>
      <c r="BC12" s="20" t="n"/>
      <c r="BD12" s="20" t="n"/>
      <c r="BE12" s="20" t="n"/>
      <c r="BF12" s="20" t="n"/>
      <c r="BG12" s="20" t="n"/>
      <c r="BH12" s="20" t="n"/>
      <c r="BI12" s="20" t="n"/>
      <c r="BJ12" s="20" t="n"/>
      <c r="BK12" s="20" t="n"/>
      <c r="BL12" s="20" t="n"/>
      <c r="BM12" s="20" t="n"/>
      <c r="BN12" s="20" t="n"/>
      <c r="BO12" s="20" t="n"/>
      <c r="BP12" s="20" t="n"/>
      <c r="BQ12" s="20" t="n"/>
      <c r="BR12" s="20" t="n"/>
      <c r="BS12" s="20" t="n"/>
      <c r="BT12" s="20" t="n"/>
      <c r="BU12" s="20" t="n"/>
      <c r="BV12" s="20" t="n"/>
      <c r="BW12" s="20" t="n"/>
      <c r="BX12" s="20" t="n"/>
      <c r="BY12" s="626" t="n"/>
      <c r="BZ12" s="307" t="n"/>
      <c r="CA12" s="295" t="inlineStr">
        <is>
          <t xml:space="preserve">Changes in Working Capital </t>
        </is>
      </c>
      <c r="CB12" s="304" t="n"/>
      <c r="CC12" s="304" t="n"/>
      <c r="CD12" s="2015" t="n"/>
      <c r="CE12" s="2014" t="n"/>
      <c r="CF12" s="2014" t="n"/>
      <c r="CG12" s="2014" t="n"/>
      <c r="CH12" s="2014" t="n"/>
      <c r="CI12" s="2014" t="n"/>
    </row>
    <row r="13" ht="12.75" customHeight="1" s="1883">
      <c r="A13" s="19" t="n"/>
      <c r="B13" s="25" t="n"/>
      <c r="C13" s="49" t="inlineStr">
        <is>
          <t>Changes inventory</t>
        </is>
      </c>
      <c r="D13" s="7" t="n"/>
      <c r="E13" s="20">
        <f>+'Balance Sheet'!D10-'Balance Sheet'!E10</f>
        <v/>
      </c>
      <c r="F13" s="20">
        <f>+'Balance Sheet'!E10-'Balance Sheet'!F10</f>
        <v/>
      </c>
      <c r="G13" s="20">
        <f>+'Balance Sheet'!F10-'Balance Sheet'!G10</f>
        <v/>
      </c>
      <c r="H13" s="20">
        <f>+'Balance Sheet'!G10-'Balance Sheet'!H10</f>
        <v/>
      </c>
      <c r="I13" s="20">
        <f>+'Balance Sheet'!H10-'Balance Sheet'!I10</f>
        <v/>
      </c>
      <c r="J13" s="20">
        <f>+'Balance Sheet'!I10-'Balance Sheet'!J10</f>
        <v/>
      </c>
      <c r="K13" s="20">
        <f>+'Balance Sheet'!J10-'Balance Sheet'!K10</f>
        <v/>
      </c>
      <c r="L13" s="20">
        <f>+'Balance Sheet'!K10-'Balance Sheet'!L10</f>
        <v/>
      </c>
      <c r="M13" s="20">
        <f>+'Balance Sheet'!L10-'Balance Sheet'!M10</f>
        <v/>
      </c>
      <c r="N13" s="20">
        <f>+'Balance Sheet'!M10-'Balance Sheet'!N10</f>
        <v/>
      </c>
      <c r="O13" s="20">
        <f>+'Balance Sheet'!N10-'Balance Sheet'!O10</f>
        <v/>
      </c>
      <c r="P13" s="20">
        <f>+'Balance Sheet'!O10-'Balance Sheet'!P10</f>
        <v/>
      </c>
      <c r="Q13" s="20">
        <f>+'Balance Sheet'!P10-'Balance Sheet'!Q10</f>
        <v/>
      </c>
      <c r="R13" s="20">
        <f>+'Balance Sheet'!Q10-'Balance Sheet'!R10</f>
        <v/>
      </c>
      <c r="S13" s="20">
        <f>+'Balance Sheet'!R10-'Balance Sheet'!S10</f>
        <v/>
      </c>
      <c r="T13" s="20">
        <f>+'Balance Sheet'!S10-'Balance Sheet'!T10</f>
        <v/>
      </c>
      <c r="U13" s="20">
        <f>+'Balance Sheet'!T10-'Balance Sheet'!U10</f>
        <v/>
      </c>
      <c r="V13" s="20">
        <f>+'Balance Sheet'!U10-'Balance Sheet'!V10</f>
        <v/>
      </c>
      <c r="W13" s="20">
        <f>+'Balance Sheet'!V10-'Balance Sheet'!W10</f>
        <v/>
      </c>
      <c r="X13" s="20">
        <f>+'Balance Sheet'!W10-'Balance Sheet'!X10</f>
        <v/>
      </c>
      <c r="Y13" s="20">
        <f>+'Balance Sheet'!X10-'Balance Sheet'!Y10</f>
        <v/>
      </c>
      <c r="Z13" s="20">
        <f>+'Balance Sheet'!Y10-'Balance Sheet'!Z10</f>
        <v/>
      </c>
      <c r="AA13" s="20">
        <f>+'Balance Sheet'!Z10-'Balance Sheet'!AA10</f>
        <v/>
      </c>
      <c r="AB13" s="20">
        <f>+'Balance Sheet'!AA10-'Balance Sheet'!AB10</f>
        <v/>
      </c>
      <c r="AC13" s="20">
        <f>+'Balance Sheet'!AB10-'Balance Sheet'!AC10</f>
        <v/>
      </c>
      <c r="AD13" s="20">
        <f>+'Balance Sheet'!AC10-'Balance Sheet'!AD10</f>
        <v/>
      </c>
      <c r="AE13" s="20">
        <f>+'Balance Sheet'!AD10-'Balance Sheet'!AE10</f>
        <v/>
      </c>
      <c r="AF13" s="20">
        <f>+'Balance Sheet'!AE10-'Balance Sheet'!AF10</f>
        <v/>
      </c>
      <c r="AG13" s="20">
        <f>+'Balance Sheet'!AF10-'Balance Sheet'!AG10</f>
        <v/>
      </c>
      <c r="AH13" s="20">
        <f>+'Balance Sheet'!AG10-'Balance Sheet'!AH10</f>
        <v/>
      </c>
      <c r="AI13" s="20">
        <f>+'Balance Sheet'!AH10-'Balance Sheet'!AI10</f>
        <v/>
      </c>
      <c r="AJ13" s="20">
        <f>+'Balance Sheet'!AI10-'Balance Sheet'!AJ10</f>
        <v/>
      </c>
      <c r="AK13" s="20">
        <f>+'Balance Sheet'!AJ10-'Balance Sheet'!AK10</f>
        <v/>
      </c>
      <c r="AL13" s="20">
        <f>+'Balance Sheet'!AK10-'Balance Sheet'!AL10</f>
        <v/>
      </c>
      <c r="AM13" s="20">
        <f>+'Balance Sheet'!AL10-'Balance Sheet'!AM10</f>
        <v/>
      </c>
      <c r="AN13" s="20">
        <f>+'Balance Sheet'!AM10-'Balance Sheet'!AN10</f>
        <v/>
      </c>
      <c r="AO13" s="20">
        <f>+'Balance Sheet'!AN10-'Balance Sheet'!AO10</f>
        <v/>
      </c>
      <c r="AP13" s="20">
        <f>+'Balance Sheet'!AO10-'Balance Sheet'!AP10</f>
        <v/>
      </c>
      <c r="AQ13" s="20">
        <f>+'Balance Sheet'!AP10-'Balance Sheet'!AQ10</f>
        <v/>
      </c>
      <c r="AR13" s="20">
        <f>+'Balance Sheet'!AQ10-'Balance Sheet'!AR10</f>
        <v/>
      </c>
      <c r="AS13" s="20">
        <f>+'Balance Sheet'!AR10-'Balance Sheet'!AS10</f>
        <v/>
      </c>
      <c r="AT13" s="20">
        <f>+'Balance Sheet'!AS10-'Balance Sheet'!AT10</f>
        <v/>
      </c>
      <c r="AU13" s="20">
        <f>+'Balance Sheet'!AT10-'Balance Sheet'!AU10</f>
        <v/>
      </c>
      <c r="AV13" s="20">
        <f>+'Balance Sheet'!AU10-'Balance Sheet'!AV10</f>
        <v/>
      </c>
      <c r="AW13" s="20">
        <f>+'Balance Sheet'!AV10-'Balance Sheet'!AW10</f>
        <v/>
      </c>
      <c r="AX13" s="20">
        <f>+'Balance Sheet'!AW10-'Balance Sheet'!AX10</f>
        <v/>
      </c>
      <c r="AY13" s="20">
        <f>+'Balance Sheet'!AX10-'Balance Sheet'!AY10</f>
        <v/>
      </c>
      <c r="AZ13" s="20">
        <f>+'Balance Sheet'!AY10-'Balance Sheet'!AZ10</f>
        <v/>
      </c>
      <c r="BA13" s="20">
        <f>+'Balance Sheet'!AZ10-'Balance Sheet'!BA10</f>
        <v/>
      </c>
      <c r="BB13" s="20">
        <f>+'Balance Sheet'!BA10-'Balance Sheet'!BB10</f>
        <v/>
      </c>
      <c r="BC13" s="20">
        <f>+'Balance Sheet'!BB10-'Balance Sheet'!BC10</f>
        <v/>
      </c>
      <c r="BD13" s="20">
        <f>+'Balance Sheet'!BC10-'Balance Sheet'!BD10</f>
        <v/>
      </c>
      <c r="BE13" s="20">
        <f>+'Balance Sheet'!BD10-'Balance Sheet'!BE10</f>
        <v/>
      </c>
      <c r="BF13" s="20">
        <f>+'Balance Sheet'!BE10-'Balance Sheet'!BF10</f>
        <v/>
      </c>
      <c r="BG13" s="20">
        <f>+'Balance Sheet'!BF10-'Balance Sheet'!BG10</f>
        <v/>
      </c>
      <c r="BH13" s="20">
        <f>+'Balance Sheet'!BG10-'Balance Sheet'!BH10</f>
        <v/>
      </c>
      <c r="BI13" s="20">
        <f>+'Balance Sheet'!BH10-'Balance Sheet'!BI10</f>
        <v/>
      </c>
      <c r="BJ13" s="20">
        <f>+'Balance Sheet'!BI10-'Balance Sheet'!BJ10</f>
        <v/>
      </c>
      <c r="BK13" s="20">
        <f>+'Balance Sheet'!BJ10-'Balance Sheet'!BK10</f>
        <v/>
      </c>
      <c r="BL13" s="20">
        <f>+'Balance Sheet'!BK10-'Balance Sheet'!BL10</f>
        <v/>
      </c>
      <c r="BM13" s="20">
        <f>+'Balance Sheet'!BL10-'Balance Sheet'!BM10</f>
        <v/>
      </c>
      <c r="BN13" s="20">
        <f>+'Balance Sheet'!BM10-'Balance Sheet'!BN10</f>
        <v/>
      </c>
      <c r="BO13" s="20">
        <f>+'Balance Sheet'!BN10-'Balance Sheet'!BO10</f>
        <v/>
      </c>
      <c r="BP13" s="20">
        <f>+'Balance Sheet'!BO10-'Balance Sheet'!BP10</f>
        <v/>
      </c>
      <c r="BQ13" s="20">
        <f>+'Balance Sheet'!BP10-'Balance Sheet'!BQ10</f>
        <v/>
      </c>
      <c r="BR13" s="20">
        <f>+'Balance Sheet'!BQ10-'Balance Sheet'!BR10</f>
        <v/>
      </c>
      <c r="BS13" s="20">
        <f>+'Balance Sheet'!BR10-'Balance Sheet'!BS10</f>
        <v/>
      </c>
      <c r="BT13" s="20">
        <f>+'Balance Sheet'!BS10-'Balance Sheet'!BT10</f>
        <v/>
      </c>
      <c r="BU13" s="20">
        <f>+'Balance Sheet'!BT10-'Balance Sheet'!BU10</f>
        <v/>
      </c>
      <c r="BV13" s="20">
        <f>+'Balance Sheet'!BU10-'Balance Sheet'!BV10</f>
        <v/>
      </c>
      <c r="BW13" s="20">
        <f>+'Balance Sheet'!BV10-'Balance Sheet'!BW10</f>
        <v/>
      </c>
      <c r="BX13" s="20">
        <f>+'Balance Sheet'!BW10-'Balance Sheet'!BX10</f>
        <v/>
      </c>
      <c r="BY13" s="626" t="n"/>
      <c r="BZ13" s="295" t="n"/>
      <c r="CA13" s="299" t="inlineStr">
        <is>
          <t>Changes inventory</t>
        </is>
      </c>
      <c r="CB13" s="304" t="n"/>
      <c r="CC13" s="304" t="n"/>
      <c r="CD13" s="2015">
        <f>SUM(E13:P13)</f>
        <v/>
      </c>
      <c r="CE13" s="2014">
        <f>SUM(Q13:AB13)</f>
        <v/>
      </c>
      <c r="CF13" s="2014">
        <f>SUM(AC13:AN13)</f>
        <v/>
      </c>
      <c r="CG13" s="2014">
        <f>SUM(AO13:AZ13)</f>
        <v/>
      </c>
      <c r="CH13" s="2014">
        <f>SUM(BA13:BL13)</f>
        <v/>
      </c>
      <c r="CI13" s="2014">
        <f>SUM(BM13:BX13)</f>
        <v/>
      </c>
    </row>
    <row r="14" ht="12.75" customHeight="1" s="1883">
      <c r="A14" s="19" t="n"/>
      <c r="B14" s="25" t="n"/>
      <c r="C14" s="49" t="inlineStr">
        <is>
          <t>Changes in Prepaid Expenses</t>
        </is>
      </c>
      <c r="D14" s="7" t="n"/>
      <c r="E14" s="20">
        <f>+'Balance Sheet'!D12-'Balance Sheet'!E12</f>
        <v/>
      </c>
      <c r="F14" s="20">
        <f>+'Balance Sheet'!E12-'Balance Sheet'!F12</f>
        <v/>
      </c>
      <c r="G14" s="20">
        <f>+'Balance Sheet'!F12-'Balance Sheet'!G12</f>
        <v/>
      </c>
      <c r="H14" s="20">
        <f>+'Balance Sheet'!G12-'Balance Sheet'!H12</f>
        <v/>
      </c>
      <c r="I14" s="20">
        <f>+'Balance Sheet'!H12-'Balance Sheet'!I12</f>
        <v/>
      </c>
      <c r="J14" s="20">
        <f>+'Balance Sheet'!I12-'Balance Sheet'!J12</f>
        <v/>
      </c>
      <c r="K14" s="20">
        <f>+'Balance Sheet'!J12-'Balance Sheet'!K12</f>
        <v/>
      </c>
      <c r="L14" s="20">
        <f>+'Balance Sheet'!K12-'Balance Sheet'!L12</f>
        <v/>
      </c>
      <c r="M14" s="20">
        <f>+'Balance Sheet'!L12-'Balance Sheet'!M12</f>
        <v/>
      </c>
      <c r="N14" s="20">
        <f>+'Balance Sheet'!M12-'Balance Sheet'!N12</f>
        <v/>
      </c>
      <c r="O14" s="20">
        <f>+'Balance Sheet'!N12-'Balance Sheet'!O12</f>
        <v/>
      </c>
      <c r="P14" s="20">
        <f>+'Balance Sheet'!O12-'Balance Sheet'!P12</f>
        <v/>
      </c>
      <c r="Q14" s="20">
        <f>+'Balance Sheet'!P12-'Balance Sheet'!Q12</f>
        <v/>
      </c>
      <c r="R14" s="20">
        <f>+'Balance Sheet'!Q12-'Balance Sheet'!R12</f>
        <v/>
      </c>
      <c r="S14" s="20">
        <f>+'Balance Sheet'!R12-'Balance Sheet'!S12</f>
        <v/>
      </c>
      <c r="T14" s="20">
        <f>+'Balance Sheet'!S12-'Balance Sheet'!T12</f>
        <v/>
      </c>
      <c r="U14" s="20">
        <f>+'Balance Sheet'!T12-'Balance Sheet'!U12</f>
        <v/>
      </c>
      <c r="V14" s="20">
        <f>+'Balance Sheet'!U12-'Balance Sheet'!V12</f>
        <v/>
      </c>
      <c r="W14" s="20">
        <f>+'Balance Sheet'!V12-'Balance Sheet'!W12</f>
        <v/>
      </c>
      <c r="X14" s="20">
        <f>+'Balance Sheet'!W12-'Balance Sheet'!X12</f>
        <v/>
      </c>
      <c r="Y14" s="20">
        <f>+'Balance Sheet'!X12-'Balance Sheet'!Y12</f>
        <v/>
      </c>
      <c r="Z14" s="20">
        <f>+'Balance Sheet'!Y12-'Balance Sheet'!Z12</f>
        <v/>
      </c>
      <c r="AA14" s="20">
        <f>+'Balance Sheet'!Z12-'Balance Sheet'!AA12</f>
        <v/>
      </c>
      <c r="AB14" s="20">
        <f>+'Balance Sheet'!AA12-'Balance Sheet'!AB12</f>
        <v/>
      </c>
      <c r="AC14" s="20">
        <f>+'Balance Sheet'!AB12-'Balance Sheet'!AC12</f>
        <v/>
      </c>
      <c r="AD14" s="20">
        <f>+'Balance Sheet'!AC12-'Balance Sheet'!AD12</f>
        <v/>
      </c>
      <c r="AE14" s="20">
        <f>+'Balance Sheet'!AD12-'Balance Sheet'!AE12</f>
        <v/>
      </c>
      <c r="AF14" s="20">
        <f>+'Balance Sheet'!AE12-'Balance Sheet'!AF12</f>
        <v/>
      </c>
      <c r="AG14" s="20">
        <f>+'Balance Sheet'!AF12-'Balance Sheet'!AG12</f>
        <v/>
      </c>
      <c r="AH14" s="20">
        <f>+'Balance Sheet'!AG12-'Balance Sheet'!AH12</f>
        <v/>
      </c>
      <c r="AI14" s="20">
        <f>+'Balance Sheet'!AH12-'Balance Sheet'!AI12</f>
        <v/>
      </c>
      <c r="AJ14" s="20">
        <f>+'Balance Sheet'!AI12-'Balance Sheet'!AJ12</f>
        <v/>
      </c>
      <c r="AK14" s="20">
        <f>+'Balance Sheet'!AJ12-'Balance Sheet'!AK12</f>
        <v/>
      </c>
      <c r="AL14" s="20">
        <f>+'Balance Sheet'!AK12-'Balance Sheet'!AL12</f>
        <v/>
      </c>
      <c r="AM14" s="20">
        <f>+'Balance Sheet'!AL12-'Balance Sheet'!AM12</f>
        <v/>
      </c>
      <c r="AN14" s="20">
        <f>+'Balance Sheet'!AM12-'Balance Sheet'!AN12</f>
        <v/>
      </c>
      <c r="AO14" s="20">
        <f>+'Balance Sheet'!AN12-'Balance Sheet'!AO12</f>
        <v/>
      </c>
      <c r="AP14" s="20">
        <f>+'Balance Sheet'!AO12-'Balance Sheet'!AP12</f>
        <v/>
      </c>
      <c r="AQ14" s="20">
        <f>+'Balance Sheet'!AP12-'Balance Sheet'!AQ12</f>
        <v/>
      </c>
      <c r="AR14" s="20">
        <f>+'Balance Sheet'!AQ12-'Balance Sheet'!AR12</f>
        <v/>
      </c>
      <c r="AS14" s="20">
        <f>+'Balance Sheet'!AR12-'Balance Sheet'!AS12</f>
        <v/>
      </c>
      <c r="AT14" s="20">
        <f>+'Balance Sheet'!AS12-'Balance Sheet'!AT12</f>
        <v/>
      </c>
      <c r="AU14" s="20">
        <f>+'Balance Sheet'!AT12-'Balance Sheet'!AU12</f>
        <v/>
      </c>
      <c r="AV14" s="20">
        <f>+'Balance Sheet'!AU12-'Balance Sheet'!AV12</f>
        <v/>
      </c>
      <c r="AW14" s="20">
        <f>+'Balance Sheet'!AV12-'Balance Sheet'!AW12</f>
        <v/>
      </c>
      <c r="AX14" s="20">
        <f>+'Balance Sheet'!AW12-'Balance Sheet'!AX12</f>
        <v/>
      </c>
      <c r="AY14" s="20">
        <f>+'Balance Sheet'!AX12-'Balance Sheet'!AY12</f>
        <v/>
      </c>
      <c r="AZ14" s="20">
        <f>+'Balance Sheet'!AY12-'Balance Sheet'!AZ12</f>
        <v/>
      </c>
      <c r="BA14" s="20">
        <f>+'Balance Sheet'!AZ12-'Balance Sheet'!BA12</f>
        <v/>
      </c>
      <c r="BB14" s="20">
        <f>+'Balance Sheet'!BA12-'Balance Sheet'!BB12</f>
        <v/>
      </c>
      <c r="BC14" s="20">
        <f>+'Balance Sheet'!BB12-'Balance Sheet'!BC12</f>
        <v/>
      </c>
      <c r="BD14" s="20">
        <f>+'Balance Sheet'!BC12-'Balance Sheet'!BD12</f>
        <v/>
      </c>
      <c r="BE14" s="20">
        <f>+'Balance Sheet'!BD12-'Balance Sheet'!BE12</f>
        <v/>
      </c>
      <c r="BF14" s="20">
        <f>+'Balance Sheet'!BE12-'Balance Sheet'!BF12</f>
        <v/>
      </c>
      <c r="BG14" s="20">
        <f>+'Balance Sheet'!BF12-'Balance Sheet'!BG12</f>
        <v/>
      </c>
      <c r="BH14" s="20">
        <f>+'Balance Sheet'!BG12-'Balance Sheet'!BH12</f>
        <v/>
      </c>
      <c r="BI14" s="20">
        <f>+'Balance Sheet'!BH12-'Balance Sheet'!BI12</f>
        <v/>
      </c>
      <c r="BJ14" s="20">
        <f>+'Balance Sheet'!BI12-'Balance Sheet'!BJ12</f>
        <v/>
      </c>
      <c r="BK14" s="20">
        <f>+'Balance Sheet'!BJ12-'Balance Sheet'!BK12</f>
        <v/>
      </c>
      <c r="BL14" s="20">
        <f>+'Balance Sheet'!BK12-'Balance Sheet'!BL12</f>
        <v/>
      </c>
      <c r="BM14" s="20">
        <f>+'Balance Sheet'!BL12-'Balance Sheet'!BM12</f>
        <v/>
      </c>
      <c r="BN14" s="20">
        <f>+'Balance Sheet'!BM12-'Balance Sheet'!BN12</f>
        <v/>
      </c>
      <c r="BO14" s="20">
        <f>+'Balance Sheet'!BN12-'Balance Sheet'!BO12</f>
        <v/>
      </c>
      <c r="BP14" s="20">
        <f>+'Balance Sheet'!BO12-'Balance Sheet'!BP12</f>
        <v/>
      </c>
      <c r="BQ14" s="20">
        <f>+'Balance Sheet'!BP12-'Balance Sheet'!BQ12</f>
        <v/>
      </c>
      <c r="BR14" s="20">
        <f>+'Balance Sheet'!BQ12-'Balance Sheet'!BR12</f>
        <v/>
      </c>
      <c r="BS14" s="20">
        <f>+'Balance Sheet'!BR12-'Balance Sheet'!BS12</f>
        <v/>
      </c>
      <c r="BT14" s="20">
        <f>+'Balance Sheet'!BS12-'Balance Sheet'!BT12</f>
        <v/>
      </c>
      <c r="BU14" s="20">
        <f>+'Balance Sheet'!BT12-'Balance Sheet'!BU12</f>
        <v/>
      </c>
      <c r="BV14" s="20">
        <f>+'Balance Sheet'!BU12-'Balance Sheet'!BV12</f>
        <v/>
      </c>
      <c r="BW14" s="20">
        <f>+'Balance Sheet'!BV12-'Balance Sheet'!BW12</f>
        <v/>
      </c>
      <c r="BX14" s="20">
        <f>+'Balance Sheet'!BW12-'Balance Sheet'!BX12</f>
        <v/>
      </c>
      <c r="BY14" s="626" t="n"/>
      <c r="BZ14" s="295" t="n"/>
      <c r="CA14" s="299" t="inlineStr">
        <is>
          <t>Changes in Prepaid Expenses</t>
        </is>
      </c>
      <c r="CB14" s="304" t="n"/>
      <c r="CC14" s="304" t="n"/>
      <c r="CD14" s="2015">
        <f>SUM(E14:P14)</f>
        <v/>
      </c>
      <c r="CE14" s="2014">
        <f>SUM(Q14:AB14)</f>
        <v/>
      </c>
      <c r="CF14" s="2014">
        <f>SUM(AC14:AN14)</f>
        <v/>
      </c>
      <c r="CG14" s="2014">
        <f>SUM(AO14:AZ14)</f>
        <v/>
      </c>
      <c r="CH14" s="2014">
        <f>SUM(BA14:BL14)</f>
        <v/>
      </c>
      <c r="CI14" s="2014">
        <f>SUM(BM14:BX14)</f>
        <v/>
      </c>
    </row>
    <row r="15" ht="12.75" customHeight="1" s="1883">
      <c r="A15" s="19" t="n"/>
      <c r="B15" s="25" t="n"/>
      <c r="C15" s="49" t="inlineStr">
        <is>
          <t>Changes in CMO Deposits</t>
        </is>
      </c>
      <c r="D15" s="7" t="n"/>
      <c r="E15" s="20">
        <f>+'Balance Sheet'!D11-'Balance Sheet'!E11</f>
        <v/>
      </c>
      <c r="F15" s="20">
        <f>+'Balance Sheet'!E11-'Balance Sheet'!F11</f>
        <v/>
      </c>
      <c r="G15" s="20">
        <f>+'Balance Sheet'!F11-'Balance Sheet'!G11</f>
        <v/>
      </c>
      <c r="H15" s="20">
        <f>+'Balance Sheet'!G11-'Balance Sheet'!H11</f>
        <v/>
      </c>
      <c r="I15" s="20">
        <f>+'Balance Sheet'!H11-'Balance Sheet'!I11</f>
        <v/>
      </c>
      <c r="J15" s="20">
        <f>+'Balance Sheet'!I11-'Balance Sheet'!J11</f>
        <v/>
      </c>
      <c r="K15" s="20">
        <f>+'Balance Sheet'!J11-'Balance Sheet'!K11</f>
        <v/>
      </c>
      <c r="L15" s="20">
        <f>+'Balance Sheet'!K11-'Balance Sheet'!L11</f>
        <v/>
      </c>
      <c r="M15" s="20">
        <f>+'Balance Sheet'!L11-'Balance Sheet'!M11</f>
        <v/>
      </c>
      <c r="N15" s="20">
        <f>+'Balance Sheet'!M11-'Balance Sheet'!N11</f>
        <v/>
      </c>
      <c r="O15" s="20">
        <f>+'Balance Sheet'!N11-'Balance Sheet'!O11</f>
        <v/>
      </c>
      <c r="P15" s="20">
        <f>+'Balance Sheet'!O11-'Balance Sheet'!P11</f>
        <v/>
      </c>
      <c r="Q15" s="20">
        <f>+'Balance Sheet'!P11-'Balance Sheet'!Q11</f>
        <v/>
      </c>
      <c r="R15" s="20">
        <f>+'Balance Sheet'!Q11-'Balance Sheet'!R11</f>
        <v/>
      </c>
      <c r="S15" s="20">
        <f>+'Balance Sheet'!R11-'Balance Sheet'!S11</f>
        <v/>
      </c>
      <c r="T15" s="20">
        <f>+'Balance Sheet'!S11-'Balance Sheet'!T11</f>
        <v/>
      </c>
      <c r="U15" s="20">
        <f>+'Balance Sheet'!T11-'Balance Sheet'!U11</f>
        <v/>
      </c>
      <c r="V15" s="20">
        <f>+'Balance Sheet'!U11-'Balance Sheet'!V11</f>
        <v/>
      </c>
      <c r="W15" s="20">
        <f>+'Balance Sheet'!V11-'Balance Sheet'!W11</f>
        <v/>
      </c>
      <c r="X15" s="20">
        <f>+'Balance Sheet'!W11-'Balance Sheet'!X11</f>
        <v/>
      </c>
      <c r="Y15" s="20">
        <f>+'Balance Sheet'!X11-'Balance Sheet'!Y11</f>
        <v/>
      </c>
      <c r="Z15" s="20">
        <f>+'Balance Sheet'!Y11-'Balance Sheet'!Z11</f>
        <v/>
      </c>
      <c r="AA15" s="20">
        <f>+'Balance Sheet'!Z11-'Balance Sheet'!AA11</f>
        <v/>
      </c>
      <c r="AB15" s="20">
        <f>+'Balance Sheet'!AA11-'Balance Sheet'!AB11</f>
        <v/>
      </c>
      <c r="AC15" s="20">
        <f>+'Balance Sheet'!AB11-'Balance Sheet'!AC11</f>
        <v/>
      </c>
      <c r="AD15" s="20">
        <f>+'Balance Sheet'!AC11-'Balance Sheet'!AD11</f>
        <v/>
      </c>
      <c r="AE15" s="20">
        <f>+'Balance Sheet'!AD11-'Balance Sheet'!AE11</f>
        <v/>
      </c>
      <c r="AF15" s="20">
        <f>+'Balance Sheet'!AE11-'Balance Sheet'!AF11</f>
        <v/>
      </c>
      <c r="AG15" s="20">
        <f>+'Balance Sheet'!AF11-'Balance Sheet'!AG11</f>
        <v/>
      </c>
      <c r="AH15" s="20">
        <f>+'Balance Sheet'!AG11-'Balance Sheet'!AH11</f>
        <v/>
      </c>
      <c r="AI15" s="20">
        <f>+'Balance Sheet'!AH11-'Balance Sheet'!AI11</f>
        <v/>
      </c>
      <c r="AJ15" s="20">
        <f>+'Balance Sheet'!AI11-'Balance Sheet'!AJ11</f>
        <v/>
      </c>
      <c r="AK15" s="20">
        <f>+'Balance Sheet'!AJ11-'Balance Sheet'!AK11</f>
        <v/>
      </c>
      <c r="AL15" s="20">
        <f>+'Balance Sheet'!AK11-'Balance Sheet'!AL11</f>
        <v/>
      </c>
      <c r="AM15" s="20">
        <f>+'Balance Sheet'!AL11-'Balance Sheet'!AM11</f>
        <v/>
      </c>
      <c r="AN15" s="20">
        <f>+'Balance Sheet'!AM11-'Balance Sheet'!AN11</f>
        <v/>
      </c>
      <c r="AO15" s="20">
        <f>+'Balance Sheet'!AN11-'Balance Sheet'!AO11</f>
        <v/>
      </c>
      <c r="AP15" s="20">
        <f>+'Balance Sheet'!AO11-'Balance Sheet'!AP11</f>
        <v/>
      </c>
      <c r="AQ15" s="20">
        <f>+'Balance Sheet'!AP11-'Balance Sheet'!AQ11</f>
        <v/>
      </c>
      <c r="AR15" s="20">
        <f>+'Balance Sheet'!AQ11-'Balance Sheet'!AR11</f>
        <v/>
      </c>
      <c r="AS15" s="20">
        <f>+'Balance Sheet'!AR11-'Balance Sheet'!AS11</f>
        <v/>
      </c>
      <c r="AT15" s="20">
        <f>+'Balance Sheet'!AS11-'Balance Sheet'!AT11</f>
        <v/>
      </c>
      <c r="AU15" s="20">
        <f>+'Balance Sheet'!AT11-'Balance Sheet'!AU11</f>
        <v/>
      </c>
      <c r="AV15" s="20">
        <f>+'Balance Sheet'!AU11-'Balance Sheet'!AV11</f>
        <v/>
      </c>
      <c r="AW15" s="20">
        <f>+'Balance Sheet'!AV11-'Balance Sheet'!AW11</f>
        <v/>
      </c>
      <c r="AX15" s="20">
        <f>+'Balance Sheet'!AW11-'Balance Sheet'!AX11</f>
        <v/>
      </c>
      <c r="AY15" s="20">
        <f>+'Balance Sheet'!AX11-'Balance Sheet'!AY11</f>
        <v/>
      </c>
      <c r="AZ15" s="20">
        <f>+'Balance Sheet'!AY11-'Balance Sheet'!AZ11</f>
        <v/>
      </c>
      <c r="BA15" s="20">
        <f>+'Balance Sheet'!AZ11-'Balance Sheet'!BA11</f>
        <v/>
      </c>
      <c r="BB15" s="20">
        <f>+'Balance Sheet'!BA11-'Balance Sheet'!BB11</f>
        <v/>
      </c>
      <c r="BC15" s="20">
        <f>+'Balance Sheet'!BB11-'Balance Sheet'!BC11</f>
        <v/>
      </c>
      <c r="BD15" s="20">
        <f>+'Balance Sheet'!BC11-'Balance Sheet'!BD11</f>
        <v/>
      </c>
      <c r="BE15" s="20">
        <f>+'Balance Sheet'!BD11-'Balance Sheet'!BE11</f>
        <v/>
      </c>
      <c r="BF15" s="20">
        <f>+'Balance Sheet'!BE11-'Balance Sheet'!BF11</f>
        <v/>
      </c>
      <c r="BG15" s="20">
        <f>+'Balance Sheet'!BF11-'Balance Sheet'!BG11</f>
        <v/>
      </c>
      <c r="BH15" s="20">
        <f>+'Balance Sheet'!BG11-'Balance Sheet'!BH11</f>
        <v/>
      </c>
      <c r="BI15" s="20">
        <f>+'Balance Sheet'!BH11-'Balance Sheet'!BI11</f>
        <v/>
      </c>
      <c r="BJ15" s="20">
        <f>+'Balance Sheet'!BI11-'Balance Sheet'!BJ11</f>
        <v/>
      </c>
      <c r="BK15" s="20">
        <f>+'Balance Sheet'!BJ11-'Balance Sheet'!BK11</f>
        <v/>
      </c>
      <c r="BL15" s="20">
        <f>+'Balance Sheet'!BK11-'Balance Sheet'!BL11</f>
        <v/>
      </c>
      <c r="BM15" s="20">
        <f>+'Balance Sheet'!BL11-'Balance Sheet'!BM11</f>
        <v/>
      </c>
      <c r="BN15" s="20">
        <f>+'Balance Sheet'!BM11-'Balance Sheet'!BN11</f>
        <v/>
      </c>
      <c r="BO15" s="20">
        <f>+'Balance Sheet'!BN11-'Balance Sheet'!BO11</f>
        <v/>
      </c>
      <c r="BP15" s="20">
        <f>+'Balance Sheet'!BO11-'Balance Sheet'!BP11</f>
        <v/>
      </c>
      <c r="BQ15" s="20">
        <f>+'Balance Sheet'!BP11-'Balance Sheet'!BQ11</f>
        <v/>
      </c>
      <c r="BR15" s="20">
        <f>+'Balance Sheet'!BQ11-'Balance Sheet'!BR11</f>
        <v/>
      </c>
      <c r="BS15" s="20">
        <f>+'Balance Sheet'!BR11-'Balance Sheet'!BS11</f>
        <v/>
      </c>
      <c r="BT15" s="20">
        <f>+'Balance Sheet'!BS11-'Balance Sheet'!BT11</f>
        <v/>
      </c>
      <c r="BU15" s="20">
        <f>+'Balance Sheet'!BT11-'Balance Sheet'!BU11</f>
        <v/>
      </c>
      <c r="BV15" s="20">
        <f>+'Balance Sheet'!BU11-'Balance Sheet'!BV11</f>
        <v/>
      </c>
      <c r="BW15" s="20">
        <f>+'Balance Sheet'!BV11-'Balance Sheet'!BW11</f>
        <v/>
      </c>
      <c r="BX15" s="20">
        <f>+'Balance Sheet'!BW11-'Balance Sheet'!BX11</f>
        <v/>
      </c>
      <c r="BY15" s="626" t="n"/>
      <c r="BZ15" s="295" t="n"/>
      <c r="CA15" s="299" t="inlineStr">
        <is>
          <t>Changes in CMO Deposits</t>
        </is>
      </c>
      <c r="CB15" s="304" t="n"/>
      <c r="CC15" s="304" t="n"/>
      <c r="CD15" s="2015">
        <f>SUM(E15:P15)</f>
        <v/>
      </c>
      <c r="CE15" s="2014">
        <f>SUM(Q15:AB15)</f>
        <v/>
      </c>
      <c r="CF15" s="2014">
        <f>SUM(AC15:AN15)</f>
        <v/>
      </c>
      <c r="CG15" s="2014">
        <f>SUM(AO15:AZ15)</f>
        <v/>
      </c>
      <c r="CH15" s="2014">
        <f>SUM(BA15:BL15)</f>
        <v/>
      </c>
      <c r="CI15" s="2014">
        <f>SUM(BM15:BX15)</f>
        <v/>
      </c>
    </row>
    <row r="16" ht="12.75" customHeight="1" s="1883">
      <c r="A16" s="19" t="n"/>
      <c r="B16" s="25" t="n"/>
      <c r="C16" s="49" t="inlineStr">
        <is>
          <t>Changes in Inventory Held for Warranty</t>
        </is>
      </c>
      <c r="D16" s="7" t="n"/>
      <c r="E16" s="20">
        <f>+'Balance Sheet'!D13-'Balance Sheet'!E13</f>
        <v/>
      </c>
      <c r="F16" s="20">
        <f>+'Balance Sheet'!K13-'Balance Sheet'!L13</f>
        <v/>
      </c>
      <c r="G16" s="20">
        <f>+'Balance Sheet'!L13-'Balance Sheet'!M13</f>
        <v/>
      </c>
      <c r="H16" s="20">
        <f>+'Balance Sheet'!M13-'Balance Sheet'!N13</f>
        <v/>
      </c>
      <c r="I16" s="20">
        <f>+'Balance Sheet'!N13-'Balance Sheet'!O13</f>
        <v/>
      </c>
      <c r="J16" s="20">
        <f>+'Balance Sheet'!O13-'Balance Sheet'!P13</f>
        <v/>
      </c>
      <c r="K16" s="20">
        <f>+'Balance Sheet'!D13-'Balance Sheet'!K13</f>
        <v/>
      </c>
      <c r="L16" s="20">
        <f>+'Balance Sheet'!K13-'Balance Sheet'!L13</f>
        <v/>
      </c>
      <c r="M16" s="20">
        <f>+'Balance Sheet'!L13-'Balance Sheet'!M13</f>
        <v/>
      </c>
      <c r="N16" s="20">
        <f>+'Balance Sheet'!M13-'Balance Sheet'!N13</f>
        <v/>
      </c>
      <c r="O16" s="20">
        <f>+'Balance Sheet'!N13-'Balance Sheet'!O13</f>
        <v/>
      </c>
      <c r="P16" s="20">
        <f>+'Balance Sheet'!O13-'Balance Sheet'!P13</f>
        <v/>
      </c>
      <c r="Q16" s="20">
        <f>+'Balance Sheet'!P13-'Balance Sheet'!Q13</f>
        <v/>
      </c>
      <c r="R16" s="20">
        <f>+'Balance Sheet'!Q13-'Balance Sheet'!R13</f>
        <v/>
      </c>
      <c r="S16" s="20">
        <f>+'Balance Sheet'!R13-'Balance Sheet'!S13</f>
        <v/>
      </c>
      <c r="T16" s="20">
        <f>+'Balance Sheet'!S13-'Balance Sheet'!T13</f>
        <v/>
      </c>
      <c r="U16" s="20">
        <f>+'Balance Sheet'!T13-'Balance Sheet'!U13</f>
        <v/>
      </c>
      <c r="V16" s="20">
        <f>+'Balance Sheet'!U13-'Balance Sheet'!V13</f>
        <v/>
      </c>
      <c r="W16" s="20">
        <f>+'Balance Sheet'!V13-'Balance Sheet'!W13</f>
        <v/>
      </c>
      <c r="X16" s="20">
        <f>+'Balance Sheet'!W13-'Balance Sheet'!X13</f>
        <v/>
      </c>
      <c r="Y16" s="20">
        <f>+'Balance Sheet'!X13-'Balance Sheet'!Y13</f>
        <v/>
      </c>
      <c r="Z16" s="20">
        <f>+'Balance Sheet'!Y13-'Balance Sheet'!Z13</f>
        <v/>
      </c>
      <c r="AA16" s="20">
        <f>+'Balance Sheet'!Z13-'Balance Sheet'!AA13</f>
        <v/>
      </c>
      <c r="AB16" s="20">
        <f>+'Balance Sheet'!AA13-'Balance Sheet'!AB13</f>
        <v/>
      </c>
      <c r="AC16" s="20">
        <f>+'Balance Sheet'!AB13-'Balance Sheet'!AC13</f>
        <v/>
      </c>
      <c r="AD16" s="20">
        <f>+'Balance Sheet'!AC13-'Balance Sheet'!AD13</f>
        <v/>
      </c>
      <c r="AE16" s="20">
        <f>+'Balance Sheet'!AD13-'Balance Sheet'!AE13</f>
        <v/>
      </c>
      <c r="AF16" s="20">
        <f>+'Balance Sheet'!AE13-'Balance Sheet'!AF13</f>
        <v/>
      </c>
      <c r="AG16" s="20">
        <f>+'Balance Sheet'!AF13-'Balance Sheet'!AG13</f>
        <v/>
      </c>
      <c r="AH16" s="20">
        <f>+'Balance Sheet'!AG13-'Balance Sheet'!AH13</f>
        <v/>
      </c>
      <c r="AI16" s="20">
        <f>+'Balance Sheet'!AH13-'Balance Sheet'!AI13</f>
        <v/>
      </c>
      <c r="AJ16" s="20">
        <f>+'Balance Sheet'!AI13-'Balance Sheet'!AJ13</f>
        <v/>
      </c>
      <c r="AK16" s="20">
        <f>+'Balance Sheet'!AJ13-'Balance Sheet'!AK13</f>
        <v/>
      </c>
      <c r="AL16" s="20">
        <f>+'Balance Sheet'!AK13-'Balance Sheet'!AL13</f>
        <v/>
      </c>
      <c r="AM16" s="20">
        <f>+'Balance Sheet'!AL13-'Balance Sheet'!AM13</f>
        <v/>
      </c>
      <c r="AN16" s="20">
        <f>+'Balance Sheet'!AM13-'Balance Sheet'!AN13</f>
        <v/>
      </c>
      <c r="AO16" s="20">
        <f>+'Balance Sheet'!AN13-'Balance Sheet'!AO13</f>
        <v/>
      </c>
      <c r="AP16" s="20">
        <f>+'Balance Sheet'!AO13-'Balance Sheet'!AP13</f>
        <v/>
      </c>
      <c r="AQ16" s="20">
        <f>+'Balance Sheet'!AP13-'Balance Sheet'!AQ13</f>
        <v/>
      </c>
      <c r="AR16" s="20">
        <f>+'Balance Sheet'!AQ13-'Balance Sheet'!AR13</f>
        <v/>
      </c>
      <c r="AS16" s="20">
        <f>+'Balance Sheet'!AR13-'Balance Sheet'!AS13</f>
        <v/>
      </c>
      <c r="AT16" s="20">
        <f>+'Balance Sheet'!AS13-'Balance Sheet'!AT13</f>
        <v/>
      </c>
      <c r="AU16" s="20">
        <f>+'Balance Sheet'!AT13-'Balance Sheet'!AU13</f>
        <v/>
      </c>
      <c r="AV16" s="20">
        <f>+'Balance Sheet'!AU13-'Balance Sheet'!AV13</f>
        <v/>
      </c>
      <c r="AW16" s="20">
        <f>+'Balance Sheet'!AV13-'Balance Sheet'!AW13</f>
        <v/>
      </c>
      <c r="AX16" s="20">
        <f>+'Balance Sheet'!AW13-'Balance Sheet'!AX13</f>
        <v/>
      </c>
      <c r="AY16" s="20">
        <f>+'Balance Sheet'!AX13-'Balance Sheet'!AY13</f>
        <v/>
      </c>
      <c r="AZ16" s="20">
        <f>+'Balance Sheet'!AY13-'Balance Sheet'!AZ13</f>
        <v/>
      </c>
      <c r="BA16" s="20">
        <f>+'Balance Sheet'!AZ13-'Balance Sheet'!BA13</f>
        <v/>
      </c>
      <c r="BB16" s="20">
        <f>+'Balance Sheet'!BA13-'Balance Sheet'!BB13</f>
        <v/>
      </c>
      <c r="BC16" s="20">
        <f>+'Balance Sheet'!BB13-'Balance Sheet'!BC13</f>
        <v/>
      </c>
      <c r="BD16" s="20">
        <f>+'Balance Sheet'!BC13-'Balance Sheet'!BD13</f>
        <v/>
      </c>
      <c r="BE16" s="20">
        <f>+'Balance Sheet'!BD13-'Balance Sheet'!BE13</f>
        <v/>
      </c>
      <c r="BF16" s="20">
        <f>+'Balance Sheet'!BE13-'Balance Sheet'!BF13</f>
        <v/>
      </c>
      <c r="BG16" s="20">
        <f>+'Balance Sheet'!BF13-'Balance Sheet'!BG13</f>
        <v/>
      </c>
      <c r="BH16" s="20">
        <f>+'Balance Sheet'!BG13-'Balance Sheet'!BH13</f>
        <v/>
      </c>
      <c r="BI16" s="20">
        <f>+'Balance Sheet'!BH13-'Balance Sheet'!BI13</f>
        <v/>
      </c>
      <c r="BJ16" s="20">
        <f>+'Balance Sheet'!BI13-'Balance Sheet'!BJ13</f>
        <v/>
      </c>
      <c r="BK16" s="20">
        <f>+'Balance Sheet'!BJ13-'Balance Sheet'!BK13</f>
        <v/>
      </c>
      <c r="BL16" s="20">
        <f>+'Balance Sheet'!BK13-'Balance Sheet'!BL13</f>
        <v/>
      </c>
      <c r="BM16" s="20">
        <f>+'Balance Sheet'!BL13-'Balance Sheet'!BM13</f>
        <v/>
      </c>
      <c r="BN16" s="20">
        <f>+'Balance Sheet'!BM13-'Balance Sheet'!BN13</f>
        <v/>
      </c>
      <c r="BO16" s="20">
        <f>+'Balance Sheet'!BN13-'Balance Sheet'!BO13</f>
        <v/>
      </c>
      <c r="BP16" s="20">
        <f>+'Balance Sheet'!BO13-'Balance Sheet'!BP13</f>
        <v/>
      </c>
      <c r="BQ16" s="20">
        <f>+'Balance Sheet'!BP13-'Balance Sheet'!BQ13</f>
        <v/>
      </c>
      <c r="BR16" s="20">
        <f>+'Balance Sheet'!BQ13-'Balance Sheet'!BR13</f>
        <v/>
      </c>
      <c r="BS16" s="20">
        <f>+'Balance Sheet'!BR13-'Balance Sheet'!BS13</f>
        <v/>
      </c>
      <c r="BT16" s="20">
        <f>+'Balance Sheet'!BS13-'Balance Sheet'!BT13</f>
        <v/>
      </c>
      <c r="BU16" s="20">
        <f>+'Balance Sheet'!BT13-'Balance Sheet'!BU13</f>
        <v/>
      </c>
      <c r="BV16" s="20">
        <f>+'Balance Sheet'!BU13-'Balance Sheet'!BV13</f>
        <v/>
      </c>
      <c r="BW16" s="20">
        <f>+'Balance Sheet'!BV13-'Balance Sheet'!BW13</f>
        <v/>
      </c>
      <c r="BX16" s="20">
        <f>+'Balance Sheet'!BW13-'Balance Sheet'!BX13</f>
        <v/>
      </c>
      <c r="BY16" s="626" t="n"/>
      <c r="BZ16" s="295" t="n"/>
      <c r="CA16" s="299" t="inlineStr">
        <is>
          <t>Changes in Inventory Held for Warranty</t>
        </is>
      </c>
      <c r="CB16" s="304" t="n"/>
      <c r="CC16" s="304" t="n"/>
      <c r="CD16" s="2015">
        <f>SUM(E16:P16)</f>
        <v/>
      </c>
      <c r="CE16" s="2014">
        <f>SUM(Q16:AB16)</f>
        <v/>
      </c>
      <c r="CF16" s="2014">
        <f>SUM(AC16:AN16)</f>
        <v/>
      </c>
      <c r="CG16" s="2014">
        <f>SUM(AO16:AZ16)</f>
        <v/>
      </c>
      <c r="CH16" s="2014">
        <f>SUM(BA16:BL16)</f>
        <v/>
      </c>
      <c r="CI16" s="2014">
        <f>SUM(BM16:BX16)</f>
        <v/>
      </c>
    </row>
    <row r="17" ht="12.75" customHeight="1" s="1883">
      <c r="A17" s="19" t="n"/>
      <c r="B17" s="25" t="n"/>
      <c r="C17" s="49" t="inlineStr">
        <is>
          <t>Changes in Accrued Expenses</t>
        </is>
      </c>
      <c r="D17" s="7" t="n"/>
      <c r="E17" s="20">
        <f>+'Balance Sheet'!E28-'Balance Sheet'!D28</f>
        <v/>
      </c>
      <c r="F17" s="20">
        <f>+'Balance Sheet'!F28-'Balance Sheet'!E28</f>
        <v/>
      </c>
      <c r="G17" s="20">
        <f>+'Balance Sheet'!G28-'Balance Sheet'!F28</f>
        <v/>
      </c>
      <c r="H17" s="20">
        <f>+'Balance Sheet'!H28-'Balance Sheet'!G28</f>
        <v/>
      </c>
      <c r="I17" s="20">
        <f>+'Balance Sheet'!I28-'Balance Sheet'!H28</f>
        <v/>
      </c>
      <c r="J17" s="20">
        <f>+'Balance Sheet'!J28-'Balance Sheet'!I28</f>
        <v/>
      </c>
      <c r="K17" s="20" t="n">
        <v>124969</v>
      </c>
      <c r="L17" s="20">
        <f>+'Balance Sheet'!L28-'Balance Sheet'!K28</f>
        <v/>
      </c>
      <c r="M17" s="20">
        <f>+'Balance Sheet'!M28-'Balance Sheet'!L28</f>
        <v/>
      </c>
      <c r="N17" s="20">
        <f>+'Balance Sheet'!N28-'Balance Sheet'!M28</f>
        <v/>
      </c>
      <c r="O17" s="20">
        <f>+'Balance Sheet'!O28-'Balance Sheet'!N28</f>
        <v/>
      </c>
      <c r="P17" s="20">
        <f>+'Balance Sheet'!P28-'Balance Sheet'!O28</f>
        <v/>
      </c>
      <c r="Q17" s="20">
        <f>+'Balance Sheet'!Q28-'Balance Sheet'!P28</f>
        <v/>
      </c>
      <c r="R17" s="20">
        <f>+'Balance Sheet'!R28-'Balance Sheet'!Q28</f>
        <v/>
      </c>
      <c r="S17" s="20">
        <f>+'Balance Sheet'!S28-'Balance Sheet'!R28</f>
        <v/>
      </c>
      <c r="T17" s="20">
        <f>+'Balance Sheet'!T28-'Balance Sheet'!S28</f>
        <v/>
      </c>
      <c r="U17" s="20">
        <f>+'Balance Sheet'!U28-'Balance Sheet'!T28</f>
        <v/>
      </c>
      <c r="V17" s="20">
        <f>+'Balance Sheet'!V28-'Balance Sheet'!U28</f>
        <v/>
      </c>
      <c r="W17" s="20">
        <f>+'Balance Sheet'!W28-'Balance Sheet'!V28</f>
        <v/>
      </c>
      <c r="X17" s="20">
        <f>+'Balance Sheet'!X28-'Balance Sheet'!W28</f>
        <v/>
      </c>
      <c r="Y17" s="20">
        <f>+'Balance Sheet'!Y28-'Balance Sheet'!X28</f>
        <v/>
      </c>
      <c r="Z17" s="20">
        <f>+'Balance Sheet'!Z28-'Balance Sheet'!Y28</f>
        <v/>
      </c>
      <c r="AA17" s="20">
        <f>+'Balance Sheet'!AA28-'Balance Sheet'!Z28</f>
        <v/>
      </c>
      <c r="AB17" s="20">
        <f>+'Balance Sheet'!AB28-'Balance Sheet'!AA28</f>
        <v/>
      </c>
      <c r="AC17" s="20">
        <f>+'Balance Sheet'!AC28-'Balance Sheet'!AB28</f>
        <v/>
      </c>
      <c r="AD17" s="20">
        <f>+'Balance Sheet'!AD28-'Balance Sheet'!AC28</f>
        <v/>
      </c>
      <c r="AE17" s="20">
        <f>+'Balance Sheet'!AE28-'Balance Sheet'!AD28</f>
        <v/>
      </c>
      <c r="AF17" s="20">
        <f>+'Balance Sheet'!AF28-'Balance Sheet'!AE28</f>
        <v/>
      </c>
      <c r="AG17" s="20">
        <f>+'Balance Sheet'!AG28-'Balance Sheet'!AF28</f>
        <v/>
      </c>
      <c r="AH17" s="20">
        <f>+'Balance Sheet'!AH28-'Balance Sheet'!AG28</f>
        <v/>
      </c>
      <c r="AI17" s="20">
        <f>+'Balance Sheet'!AI28-'Balance Sheet'!AH28</f>
        <v/>
      </c>
      <c r="AJ17" s="20">
        <f>+'Balance Sheet'!AJ28-'Balance Sheet'!AI28</f>
        <v/>
      </c>
      <c r="AK17" s="20">
        <f>+'Balance Sheet'!AK28-'Balance Sheet'!AJ28</f>
        <v/>
      </c>
      <c r="AL17" s="20">
        <f>+'Balance Sheet'!AL28-'Balance Sheet'!AK28</f>
        <v/>
      </c>
      <c r="AM17" s="20">
        <f>+'Balance Sheet'!AM28-'Balance Sheet'!AL28</f>
        <v/>
      </c>
      <c r="AN17" s="20">
        <f>+'Balance Sheet'!AN28-'Balance Sheet'!AM28</f>
        <v/>
      </c>
      <c r="AO17" s="20">
        <f>+'Balance Sheet'!AO28-'Balance Sheet'!AN28</f>
        <v/>
      </c>
      <c r="AP17" s="20">
        <f>+'Balance Sheet'!AP28-'Balance Sheet'!AO28</f>
        <v/>
      </c>
      <c r="AQ17" s="20">
        <f>+'Balance Sheet'!AQ28-'Balance Sheet'!AP28</f>
        <v/>
      </c>
      <c r="AR17" s="20">
        <f>+'Balance Sheet'!AR28-'Balance Sheet'!AQ28</f>
        <v/>
      </c>
      <c r="AS17" s="20">
        <f>+'Balance Sheet'!AS28-'Balance Sheet'!AR28</f>
        <v/>
      </c>
      <c r="AT17" s="20">
        <f>+'Balance Sheet'!AT28-'Balance Sheet'!AS28</f>
        <v/>
      </c>
      <c r="AU17" s="20">
        <f>+'Balance Sheet'!AU28-'Balance Sheet'!AT28</f>
        <v/>
      </c>
      <c r="AV17" s="20">
        <f>+'Balance Sheet'!AV28-'Balance Sheet'!AU28</f>
        <v/>
      </c>
      <c r="AW17" s="20">
        <f>+'Balance Sheet'!AW28-'Balance Sheet'!AV28</f>
        <v/>
      </c>
      <c r="AX17" s="20">
        <f>+'Balance Sheet'!AX28-'Balance Sheet'!AW28</f>
        <v/>
      </c>
      <c r="AY17" s="20">
        <f>+'Balance Sheet'!AY28-'Balance Sheet'!AX28</f>
        <v/>
      </c>
      <c r="AZ17" s="20">
        <f>+'Balance Sheet'!AZ28-'Balance Sheet'!AY28</f>
        <v/>
      </c>
      <c r="BA17" s="20">
        <f>+'Balance Sheet'!BA28-'Balance Sheet'!AZ28</f>
        <v/>
      </c>
      <c r="BB17" s="20">
        <f>+'Balance Sheet'!BB28-'Balance Sheet'!BA28</f>
        <v/>
      </c>
      <c r="BC17" s="20">
        <f>+'Balance Sheet'!BC28-'Balance Sheet'!BB28</f>
        <v/>
      </c>
      <c r="BD17" s="20">
        <f>+'Balance Sheet'!BD28-'Balance Sheet'!BC28</f>
        <v/>
      </c>
      <c r="BE17" s="20">
        <f>+'Balance Sheet'!BE28-'Balance Sheet'!BD28</f>
        <v/>
      </c>
      <c r="BF17" s="20">
        <f>+'Balance Sheet'!BF28-'Balance Sheet'!BE28</f>
        <v/>
      </c>
      <c r="BG17" s="20">
        <f>+'Balance Sheet'!BG28-'Balance Sheet'!BF28</f>
        <v/>
      </c>
      <c r="BH17" s="20">
        <f>+'Balance Sheet'!BH28-'Balance Sheet'!BG28</f>
        <v/>
      </c>
      <c r="BI17" s="20">
        <f>+'Balance Sheet'!BI28-'Balance Sheet'!BH28</f>
        <v/>
      </c>
      <c r="BJ17" s="20">
        <f>+'Balance Sheet'!BJ28-'Balance Sheet'!BI28</f>
        <v/>
      </c>
      <c r="BK17" s="20">
        <f>+'Balance Sheet'!BK28-'Balance Sheet'!BJ28</f>
        <v/>
      </c>
      <c r="BL17" s="20">
        <f>+'Balance Sheet'!BL28-'Balance Sheet'!BK28</f>
        <v/>
      </c>
      <c r="BM17" s="20">
        <f>+'Balance Sheet'!BM28-'Balance Sheet'!BL28</f>
        <v/>
      </c>
      <c r="BN17" s="20">
        <f>+'Balance Sheet'!BN28-'Balance Sheet'!BM28</f>
        <v/>
      </c>
      <c r="BO17" s="20">
        <f>+'Balance Sheet'!BO28-'Balance Sheet'!BN28</f>
        <v/>
      </c>
      <c r="BP17" s="20">
        <f>+'Balance Sheet'!BP28-'Balance Sheet'!BO28</f>
        <v/>
      </c>
      <c r="BQ17" s="20">
        <f>+'Balance Sheet'!BQ28-'Balance Sheet'!BP28</f>
        <v/>
      </c>
      <c r="BR17" s="20">
        <f>+'Balance Sheet'!BR28-'Balance Sheet'!BQ28</f>
        <v/>
      </c>
      <c r="BS17" s="20">
        <f>+'Balance Sheet'!BS28-'Balance Sheet'!BR28</f>
        <v/>
      </c>
      <c r="BT17" s="20">
        <f>+'Balance Sheet'!BT28-'Balance Sheet'!BS28</f>
        <v/>
      </c>
      <c r="BU17" s="20">
        <f>+'Balance Sheet'!BU28-'Balance Sheet'!BT28</f>
        <v/>
      </c>
      <c r="BV17" s="20">
        <f>+'Balance Sheet'!BV28-'Balance Sheet'!BU28</f>
        <v/>
      </c>
      <c r="BW17" s="20">
        <f>+'Balance Sheet'!BW28-'Balance Sheet'!BV28</f>
        <v/>
      </c>
      <c r="BX17" s="20">
        <f>+'Balance Sheet'!BX28-'Balance Sheet'!BW28</f>
        <v/>
      </c>
      <c r="BY17" s="626" t="n"/>
      <c r="BZ17" s="295" t="n"/>
      <c r="CA17" s="299" t="inlineStr">
        <is>
          <t>Changes in Accrued Expenses</t>
        </is>
      </c>
      <c r="CB17" s="304" t="n"/>
      <c r="CC17" s="304" t="n"/>
      <c r="CD17" s="2015">
        <f>SUM(E17:P17)</f>
        <v/>
      </c>
      <c r="CE17" s="2014">
        <f>SUM(Q17:AB17)</f>
        <v/>
      </c>
      <c r="CF17" s="2014">
        <f>SUM(AC17:AN17)</f>
        <v/>
      </c>
      <c r="CG17" s="2014">
        <f>SUM(AO17:AZ17)</f>
        <v/>
      </c>
      <c r="CH17" s="2014">
        <f>SUM(BA17:BL17)</f>
        <v/>
      </c>
      <c r="CI17" s="2014">
        <f>SUM(BM17:BX17)</f>
        <v/>
      </c>
    </row>
    <row r="18" ht="12.75" customHeight="1" s="1883">
      <c r="A18" s="19" t="n"/>
      <c r="B18" s="25" t="n"/>
      <c r="C18" s="49" t="inlineStr">
        <is>
          <t>Changes in Customer Deposits</t>
        </is>
      </c>
      <c r="D18" s="7" t="n"/>
      <c r="E18" s="1372">
        <f>+'Balance Sheet'!E29-'Balance Sheet'!D29</f>
        <v/>
      </c>
      <c r="F18" s="1372">
        <f>+'Balance Sheet'!F29-'Balance Sheet'!E29</f>
        <v/>
      </c>
      <c r="G18" s="1372">
        <f>+'Balance Sheet'!G29-'Balance Sheet'!F29</f>
        <v/>
      </c>
      <c r="H18" s="1372">
        <f>+'Balance Sheet'!H29-'Balance Sheet'!G29</f>
        <v/>
      </c>
      <c r="I18" s="1372">
        <f>+'Balance Sheet'!I29-'Balance Sheet'!H29</f>
        <v/>
      </c>
      <c r="J18" s="1372">
        <f>+'Balance Sheet'!J29-'Balance Sheet'!I29</f>
        <v/>
      </c>
      <c r="K18" s="1372">
        <f>+'Balance Sheet'!K29-'Balance Sheet'!J29</f>
        <v/>
      </c>
      <c r="L18" s="1372">
        <f>+'Balance Sheet'!L29-'Balance Sheet'!K29</f>
        <v/>
      </c>
      <c r="M18" s="1372">
        <f>+'Balance Sheet'!M29-'Balance Sheet'!L29</f>
        <v/>
      </c>
      <c r="N18" s="1372">
        <f>+'Balance Sheet'!N29-'Balance Sheet'!M29</f>
        <v/>
      </c>
      <c r="O18" s="1372">
        <f>+'Balance Sheet'!O29-'Balance Sheet'!N29</f>
        <v/>
      </c>
      <c r="P18" s="1372">
        <f>+'Balance Sheet'!P29-'Balance Sheet'!O29</f>
        <v/>
      </c>
      <c r="Q18" s="20">
        <f>+'Balance Sheet'!Q29-'Balance Sheet'!P29</f>
        <v/>
      </c>
      <c r="R18" s="20">
        <f>+'Balance Sheet'!R29-'Balance Sheet'!Q29</f>
        <v/>
      </c>
      <c r="S18" s="20">
        <f>+'Balance Sheet'!S29-'Balance Sheet'!R29</f>
        <v/>
      </c>
      <c r="T18" s="20">
        <f>+'Balance Sheet'!T29-'Balance Sheet'!S29</f>
        <v/>
      </c>
      <c r="U18" s="20">
        <f>+'Balance Sheet'!U29-'Balance Sheet'!T29</f>
        <v/>
      </c>
      <c r="V18" s="20">
        <f>+'Balance Sheet'!V29-'Balance Sheet'!U29</f>
        <v/>
      </c>
      <c r="W18" s="20">
        <f>+'Balance Sheet'!W29-'Balance Sheet'!V29</f>
        <v/>
      </c>
      <c r="X18" s="20">
        <f>+'Balance Sheet'!X29-'Balance Sheet'!W29</f>
        <v/>
      </c>
      <c r="Y18" s="20">
        <f>+'Balance Sheet'!Y29-'Balance Sheet'!X29</f>
        <v/>
      </c>
      <c r="Z18" s="20">
        <f>+'Balance Sheet'!Z29-'Balance Sheet'!Y29</f>
        <v/>
      </c>
      <c r="AA18" s="20">
        <f>+'Balance Sheet'!AA29-'Balance Sheet'!Z29</f>
        <v/>
      </c>
      <c r="AB18" s="20">
        <f>+'Balance Sheet'!AB29-'Balance Sheet'!AA29</f>
        <v/>
      </c>
      <c r="AC18" s="20">
        <f>+'Balance Sheet'!AC29-'Balance Sheet'!AB29</f>
        <v/>
      </c>
      <c r="AD18" s="20">
        <f>+'Balance Sheet'!AD29-'Balance Sheet'!AC29</f>
        <v/>
      </c>
      <c r="AE18" s="20">
        <f>+'Balance Sheet'!AE29-'Balance Sheet'!AD29</f>
        <v/>
      </c>
      <c r="AF18" s="20">
        <f>+'Balance Sheet'!AF29-'Balance Sheet'!AE29</f>
        <v/>
      </c>
      <c r="AG18" s="20">
        <f>+'Balance Sheet'!AG29-'Balance Sheet'!AF29</f>
        <v/>
      </c>
      <c r="AH18" s="20">
        <f>+'Balance Sheet'!AH29-'Balance Sheet'!AG29</f>
        <v/>
      </c>
      <c r="AI18" s="20">
        <f>+'Balance Sheet'!AI29-'Balance Sheet'!AH29</f>
        <v/>
      </c>
      <c r="AJ18" s="20">
        <f>+'Balance Sheet'!AJ29-'Balance Sheet'!AI29</f>
        <v/>
      </c>
      <c r="AK18" s="20">
        <f>+'Balance Sheet'!AK29-'Balance Sheet'!AJ29</f>
        <v/>
      </c>
      <c r="AL18" s="20">
        <f>+'Balance Sheet'!AL29-'Balance Sheet'!AK29</f>
        <v/>
      </c>
      <c r="AM18" s="20">
        <f>+'Balance Sheet'!AM29-'Balance Sheet'!AL29</f>
        <v/>
      </c>
      <c r="AN18" s="20">
        <f>+'Balance Sheet'!AN29-'Balance Sheet'!AM29</f>
        <v/>
      </c>
      <c r="AO18" s="20">
        <f>+'Balance Sheet'!AO29-'Balance Sheet'!AN29</f>
        <v/>
      </c>
      <c r="AP18" s="20">
        <f>+'Balance Sheet'!AP29-'Balance Sheet'!AO29</f>
        <v/>
      </c>
      <c r="AQ18" s="20">
        <f>+'Balance Sheet'!AQ29-'Balance Sheet'!AP29</f>
        <v/>
      </c>
      <c r="AR18" s="20">
        <f>+'Balance Sheet'!AR29-'Balance Sheet'!AQ29</f>
        <v/>
      </c>
      <c r="AS18" s="20">
        <f>+'Balance Sheet'!AS29-'Balance Sheet'!AR29</f>
        <v/>
      </c>
      <c r="AT18" s="20">
        <f>+'Balance Sheet'!AT29-'Balance Sheet'!AS29</f>
        <v/>
      </c>
      <c r="AU18" s="20">
        <f>+'Balance Sheet'!AU29-'Balance Sheet'!AT29</f>
        <v/>
      </c>
      <c r="AV18" s="20">
        <f>+'Balance Sheet'!AV29-'Balance Sheet'!AU29</f>
        <v/>
      </c>
      <c r="AW18" s="20">
        <f>+'Balance Sheet'!AW29-'Balance Sheet'!AV29</f>
        <v/>
      </c>
      <c r="AX18" s="20">
        <f>+'Balance Sheet'!AX29-'Balance Sheet'!AW29</f>
        <v/>
      </c>
      <c r="AY18" s="20">
        <f>+'Balance Sheet'!AY29-'Balance Sheet'!AX29</f>
        <v/>
      </c>
      <c r="AZ18" s="20">
        <f>+'Balance Sheet'!AZ29-'Balance Sheet'!AY29</f>
        <v/>
      </c>
      <c r="BA18" s="20">
        <f>+'Balance Sheet'!BA29-'Balance Sheet'!AZ29</f>
        <v/>
      </c>
      <c r="BB18" s="20">
        <f>+'Balance Sheet'!BB29-'Balance Sheet'!BA29</f>
        <v/>
      </c>
      <c r="BC18" s="20">
        <f>+'Balance Sheet'!BC29-'Balance Sheet'!BB29</f>
        <v/>
      </c>
      <c r="BD18" s="20">
        <f>+'Balance Sheet'!BD29-'Balance Sheet'!BC29</f>
        <v/>
      </c>
      <c r="BE18" s="20">
        <f>+'Balance Sheet'!BE29-'Balance Sheet'!BD29</f>
        <v/>
      </c>
      <c r="BF18" s="20">
        <f>+'Balance Sheet'!BF29-'Balance Sheet'!BE29</f>
        <v/>
      </c>
      <c r="BG18" s="20">
        <f>+'Balance Sheet'!BG29-'Balance Sheet'!BF29</f>
        <v/>
      </c>
      <c r="BH18" s="20">
        <f>+'Balance Sheet'!BH29-'Balance Sheet'!BG29</f>
        <v/>
      </c>
      <c r="BI18" s="20">
        <f>+'Balance Sheet'!BI29-'Balance Sheet'!BH29</f>
        <v/>
      </c>
      <c r="BJ18" s="20">
        <f>+'Balance Sheet'!BJ29-'Balance Sheet'!BI29</f>
        <v/>
      </c>
      <c r="BK18" s="20">
        <f>+'Balance Sheet'!BK29-'Balance Sheet'!BJ29</f>
        <v/>
      </c>
      <c r="BL18" s="20">
        <f>+'Balance Sheet'!BL29-'Balance Sheet'!BK29</f>
        <v/>
      </c>
      <c r="BM18" s="20">
        <f>+'Balance Sheet'!BM29-'Balance Sheet'!BL29</f>
        <v/>
      </c>
      <c r="BN18" s="20">
        <f>+'Balance Sheet'!BN29-'Balance Sheet'!BM29</f>
        <v/>
      </c>
      <c r="BO18" s="20">
        <f>+'Balance Sheet'!BO29-'Balance Sheet'!BN29</f>
        <v/>
      </c>
      <c r="BP18" s="20">
        <f>+'Balance Sheet'!BP29-'Balance Sheet'!BO29</f>
        <v/>
      </c>
      <c r="BQ18" s="20">
        <f>+'Balance Sheet'!BQ29-'Balance Sheet'!BP29</f>
        <v/>
      </c>
      <c r="BR18" s="20">
        <f>+'Balance Sheet'!BR29-'Balance Sheet'!BQ29</f>
        <v/>
      </c>
      <c r="BS18" s="20">
        <f>+'Balance Sheet'!BS29-'Balance Sheet'!BR29</f>
        <v/>
      </c>
      <c r="BT18" s="20">
        <f>+'Balance Sheet'!BT29-'Balance Sheet'!BS29</f>
        <v/>
      </c>
      <c r="BU18" s="20">
        <f>+'Balance Sheet'!BU29-'Balance Sheet'!BT29</f>
        <v/>
      </c>
      <c r="BV18" s="20">
        <f>+'Balance Sheet'!BV29-'Balance Sheet'!BU29</f>
        <v/>
      </c>
      <c r="BW18" s="20">
        <f>+'Balance Sheet'!BW29-'Balance Sheet'!BV29</f>
        <v/>
      </c>
      <c r="BX18" s="20">
        <f>+'Balance Sheet'!BX29-'Balance Sheet'!BW29</f>
        <v/>
      </c>
      <c r="BY18" s="626" t="n"/>
      <c r="BZ18" s="295" t="n"/>
      <c r="CA18" s="299" t="inlineStr">
        <is>
          <t>Changes in Customer Deposits</t>
        </is>
      </c>
      <c r="CB18" s="304" t="n"/>
      <c r="CC18" s="304" t="n"/>
      <c r="CD18" s="2015">
        <f>SUM(E18:P18)</f>
        <v/>
      </c>
      <c r="CE18" s="2014">
        <f>SUM(Q18:AB18)</f>
        <v/>
      </c>
      <c r="CF18" s="2014">
        <f>SUM(AC18:AN18)</f>
        <v/>
      </c>
      <c r="CG18" s="2014">
        <f>SUM(AO18:AZ18)</f>
        <v/>
      </c>
      <c r="CH18" s="2014">
        <f>SUM(BA18:BL18)</f>
        <v/>
      </c>
      <c r="CI18" s="2014">
        <f>SUM(BM18:BX18)</f>
        <v/>
      </c>
    </row>
    <row r="19" ht="12.75" customHeight="1" s="1883">
      <c r="A19" s="19" t="n"/>
      <c r="B19" s="25" t="n"/>
      <c r="C19" s="25" t="inlineStr">
        <is>
          <t>Net Change in Working Capital</t>
        </is>
      </c>
      <c r="D19" s="25" t="n"/>
      <c r="E19" s="1372">
        <f>SUM(E13:E18)</f>
        <v/>
      </c>
      <c r="F19" s="1372">
        <f>SUM(F13:F18)</f>
        <v/>
      </c>
      <c r="G19" s="1372">
        <f>SUM(G13:G18)</f>
        <v/>
      </c>
      <c r="H19" s="1372">
        <f>SUM(H13:H18)</f>
        <v/>
      </c>
      <c r="I19" s="1372">
        <f>SUM(I13:I18)</f>
        <v/>
      </c>
      <c r="J19" s="1372">
        <f>SUM(J13:J18)</f>
        <v/>
      </c>
      <c r="K19" s="1359">
        <f>SUM(K13:K18)</f>
        <v/>
      </c>
      <c r="L19" s="1359">
        <f>SUM(L13:L18)</f>
        <v/>
      </c>
      <c r="M19" s="1359">
        <f>SUM(M13:M18)</f>
        <v/>
      </c>
      <c r="N19" s="1359">
        <f>SUM(N13:N18)</f>
        <v/>
      </c>
      <c r="O19" s="1359">
        <f>SUM(O13:O18)</f>
        <v/>
      </c>
      <c r="P19" s="1359">
        <f>SUM(P13:P18)</f>
        <v/>
      </c>
      <c r="Q19" s="1359">
        <f>SUM(Q13:Q18)</f>
        <v/>
      </c>
      <c r="R19" s="1359">
        <f>SUM(R13:R18)</f>
        <v/>
      </c>
      <c r="S19" s="1359">
        <f>SUM(S13:S18)</f>
        <v/>
      </c>
      <c r="T19" s="1359">
        <f>SUM(T13:T18)</f>
        <v/>
      </c>
      <c r="U19" s="1359">
        <f>SUM(U13:U18)</f>
        <v/>
      </c>
      <c r="V19" s="1359">
        <f>SUM(V13:V18)</f>
        <v/>
      </c>
      <c r="W19" s="1359">
        <f>SUM(W13:W18)</f>
        <v/>
      </c>
      <c r="X19" s="1359">
        <f>SUM(X13:X18)</f>
        <v/>
      </c>
      <c r="Y19" s="1359">
        <f>SUM(Y13:Y18)</f>
        <v/>
      </c>
      <c r="Z19" s="1359">
        <f>SUM(Z13:Z18)</f>
        <v/>
      </c>
      <c r="AA19" s="1359">
        <f>SUM(AA13:AA18)</f>
        <v/>
      </c>
      <c r="AB19" s="1359">
        <f>SUM(AB13:AB18)</f>
        <v/>
      </c>
      <c r="AC19" s="1359">
        <f>SUM(AC13:AC18)</f>
        <v/>
      </c>
      <c r="AD19" s="1359">
        <f>SUM(AD13:AD18)</f>
        <v/>
      </c>
      <c r="AE19" s="1359">
        <f>SUM(AE13:AE18)</f>
        <v/>
      </c>
      <c r="AF19" s="1359">
        <f>SUM(AF13:AF18)</f>
        <v/>
      </c>
      <c r="AG19" s="1359">
        <f>SUM(AG13:AG18)</f>
        <v/>
      </c>
      <c r="AH19" s="1359">
        <f>SUM(AH13:AH18)</f>
        <v/>
      </c>
      <c r="AI19" s="1359">
        <f>SUM(AI13:AI18)</f>
        <v/>
      </c>
      <c r="AJ19" s="1359">
        <f>SUM(AJ13:AJ18)</f>
        <v/>
      </c>
      <c r="AK19" s="1359">
        <f>SUM(AK13:AK18)</f>
        <v/>
      </c>
      <c r="AL19" s="1359">
        <f>SUM(AL13:AL18)</f>
        <v/>
      </c>
      <c r="AM19" s="1359">
        <f>SUM(AM13:AM18)</f>
        <v/>
      </c>
      <c r="AN19" s="1359">
        <f>SUM(AN13:AN18)</f>
        <v/>
      </c>
      <c r="AO19" s="1359">
        <f>SUM(AO13:AO18)</f>
        <v/>
      </c>
      <c r="AP19" s="1359">
        <f>SUM(AP13:AP18)</f>
        <v/>
      </c>
      <c r="AQ19" s="1359">
        <f>SUM(AQ13:AQ18)</f>
        <v/>
      </c>
      <c r="AR19" s="1359">
        <f>SUM(AR13:AR18)</f>
        <v/>
      </c>
      <c r="AS19" s="1359">
        <f>SUM(AS13:AS18)</f>
        <v/>
      </c>
      <c r="AT19" s="1359">
        <f>SUM(AT13:AT18)</f>
        <v/>
      </c>
      <c r="AU19" s="1359">
        <f>SUM(AU13:AU18)</f>
        <v/>
      </c>
      <c r="AV19" s="1359">
        <f>SUM(AV13:AV18)</f>
        <v/>
      </c>
      <c r="AW19" s="1359">
        <f>SUM(AW13:AW18)</f>
        <v/>
      </c>
      <c r="AX19" s="1359">
        <f>SUM(AX13:AX18)</f>
        <v/>
      </c>
      <c r="AY19" s="1359">
        <f>SUM(AY13:AY18)</f>
        <v/>
      </c>
      <c r="AZ19" s="1359">
        <f>SUM(AZ13:AZ18)</f>
        <v/>
      </c>
      <c r="BA19" s="1359">
        <f>SUM(BA13:BA18)</f>
        <v/>
      </c>
      <c r="BB19" s="1359">
        <f>SUM(BB13:BB18)</f>
        <v/>
      </c>
      <c r="BC19" s="1359">
        <f>SUM(BC13:BC18)</f>
        <v/>
      </c>
      <c r="BD19" s="1359">
        <f>SUM(BD13:BD18)</f>
        <v/>
      </c>
      <c r="BE19" s="1359">
        <f>SUM(BE13:BE18)</f>
        <v/>
      </c>
      <c r="BF19" s="1359">
        <f>SUM(BF13:BF18)</f>
        <v/>
      </c>
      <c r="BG19" s="1359">
        <f>SUM(BG13:BG18)</f>
        <v/>
      </c>
      <c r="BH19" s="1359">
        <f>SUM(BH13:BH18)</f>
        <v/>
      </c>
      <c r="BI19" s="1359">
        <f>SUM(BI13:BI18)</f>
        <v/>
      </c>
      <c r="BJ19" s="1359">
        <f>SUM(BJ13:BJ18)</f>
        <v/>
      </c>
      <c r="BK19" s="1359">
        <f>SUM(BK13:BK18)</f>
        <v/>
      </c>
      <c r="BL19" s="1359">
        <f>SUM(BL13:BL18)</f>
        <v/>
      </c>
      <c r="BM19" s="1359">
        <f>SUM(BM13:BM18)</f>
        <v/>
      </c>
      <c r="BN19" s="1359">
        <f>SUM(BN13:BN18)</f>
        <v/>
      </c>
      <c r="BO19" s="1359">
        <f>SUM(BO13:BO18)</f>
        <v/>
      </c>
      <c r="BP19" s="1359">
        <f>SUM(BP13:BP18)</f>
        <v/>
      </c>
      <c r="BQ19" s="1359">
        <f>SUM(BQ13:BQ18)</f>
        <v/>
      </c>
      <c r="BR19" s="1359">
        <f>SUM(BR13:BR18)</f>
        <v/>
      </c>
      <c r="BS19" s="1359">
        <f>SUM(BS13:BS18)</f>
        <v/>
      </c>
      <c r="BT19" s="1359">
        <f>SUM(BT13:BT18)</f>
        <v/>
      </c>
      <c r="BU19" s="1359">
        <f>SUM(BU13:BU18)</f>
        <v/>
      </c>
      <c r="BV19" s="1359">
        <f>SUM(BV13:BV18)</f>
        <v/>
      </c>
      <c r="BW19" s="1359">
        <f>SUM(BW13:BW18)</f>
        <v/>
      </c>
      <c r="BX19" s="1359">
        <f>SUM(BX13:BX18)</f>
        <v/>
      </c>
      <c r="BY19" s="626" t="n"/>
      <c r="BZ19" s="295" t="n"/>
      <c r="CA19" s="295" t="inlineStr">
        <is>
          <t>Net Change in Working Capital</t>
        </is>
      </c>
      <c r="CB19" s="304" t="n"/>
      <c r="CC19" s="304" t="n"/>
      <c r="CD19" s="2016">
        <f>SUM(E19:P19)</f>
        <v/>
      </c>
      <c r="CE19" s="2017">
        <f>SUM(Q19:AB19)</f>
        <v/>
      </c>
      <c r="CF19" s="2017">
        <f>SUM(AC19:AN19)</f>
        <v/>
      </c>
      <c r="CG19" s="2017">
        <f>SUM(AO19:AZ19)</f>
        <v/>
      </c>
      <c r="CH19" s="2017">
        <f>SUM(BA19:BL19)</f>
        <v/>
      </c>
      <c r="CI19" s="2017">
        <f>SUM(BM19:BX19)</f>
        <v/>
      </c>
    </row>
    <row r="20" ht="12.75" customHeight="1" s="1883">
      <c r="A20" s="19" t="n"/>
      <c r="B20" s="25" t="inlineStr">
        <is>
          <t>Net Cash Flow from Operations</t>
        </is>
      </c>
      <c r="C20" s="19" t="n"/>
      <c r="D20" s="25" t="n"/>
      <c r="E20" s="354">
        <f>+E9+E10+E19</f>
        <v/>
      </c>
      <c r="F20" s="354">
        <f>+F9+F10+F19</f>
        <v/>
      </c>
      <c r="G20" s="354">
        <f>+G9+G10+G19</f>
        <v/>
      </c>
      <c r="H20" s="354">
        <f>+H9+H10+H19</f>
        <v/>
      </c>
      <c r="I20" s="354">
        <f>+I9+I10+I19</f>
        <v/>
      </c>
      <c r="J20" s="354">
        <f>+J9+J10+J19</f>
        <v/>
      </c>
      <c r="K20" s="1378">
        <f>+K9+K10+K19</f>
        <v/>
      </c>
      <c r="L20" s="1378">
        <f>+L9+L10+L19</f>
        <v/>
      </c>
      <c r="M20" s="1378">
        <f>+M9+M10+M19</f>
        <v/>
      </c>
      <c r="N20" s="1378">
        <f>+N9+N10+N19</f>
        <v/>
      </c>
      <c r="O20" s="1378">
        <f>+O9+O10+O19</f>
        <v/>
      </c>
      <c r="P20" s="1378">
        <f>+P9+P10+P19</f>
        <v/>
      </c>
      <c r="Q20" s="1378">
        <f>+Q9+Q10+Q19</f>
        <v/>
      </c>
      <c r="R20" s="1378">
        <f>+R9+R10+R19</f>
        <v/>
      </c>
      <c r="S20" s="1378">
        <f>+S9+S10+S19</f>
        <v/>
      </c>
      <c r="T20" s="1378">
        <f>+T9+T10+T19</f>
        <v/>
      </c>
      <c r="U20" s="1378">
        <f>+U9+U10+U19</f>
        <v/>
      </c>
      <c r="V20" s="1378">
        <f>+V9+V10+V19</f>
        <v/>
      </c>
      <c r="W20" s="1378">
        <f>+W9+W10+W19</f>
        <v/>
      </c>
      <c r="X20" s="1378">
        <f>+X9+X10+X19</f>
        <v/>
      </c>
      <c r="Y20" s="1378">
        <f>+Y9+Y10+Y19</f>
        <v/>
      </c>
      <c r="Z20" s="1378">
        <f>+Z9+Z10+Z19</f>
        <v/>
      </c>
      <c r="AA20" s="1378">
        <f>+AA9+AA10+AA19</f>
        <v/>
      </c>
      <c r="AB20" s="1378">
        <f>+AB9+AB10+AB19</f>
        <v/>
      </c>
      <c r="AC20" s="1378">
        <f>+AC9+AC10+AC19</f>
        <v/>
      </c>
      <c r="AD20" s="1378">
        <f>+AD9+AD10+AD19</f>
        <v/>
      </c>
      <c r="AE20" s="1378">
        <f>+AE9+AE10+AE19</f>
        <v/>
      </c>
      <c r="AF20" s="1378">
        <f>+AF9+AF10+AF19</f>
        <v/>
      </c>
      <c r="AG20" s="1378">
        <f>+AG9+AG10+AG19</f>
        <v/>
      </c>
      <c r="AH20" s="1378">
        <f>+AH9+AH10+AH19</f>
        <v/>
      </c>
      <c r="AI20" s="1378">
        <f>+AI9+AI10+AI19</f>
        <v/>
      </c>
      <c r="AJ20" s="1378">
        <f>+AJ9+AJ10+AJ19</f>
        <v/>
      </c>
      <c r="AK20" s="1378">
        <f>+AK9+AK10+AK19</f>
        <v/>
      </c>
      <c r="AL20" s="1378">
        <f>+AL9+AL10+AL19</f>
        <v/>
      </c>
      <c r="AM20" s="1378">
        <f>+AM9+AM10+AM19</f>
        <v/>
      </c>
      <c r="AN20" s="1378">
        <f>+AN9+AN10+AN19</f>
        <v/>
      </c>
      <c r="AO20" s="1378">
        <f>+AO9+AO10+AO19</f>
        <v/>
      </c>
      <c r="AP20" s="1378">
        <f>+AP9+AP10+AP19</f>
        <v/>
      </c>
      <c r="AQ20" s="1378">
        <f>+AQ9+AQ10+AQ19</f>
        <v/>
      </c>
      <c r="AR20" s="1378">
        <f>+AR9+AR10+AR19</f>
        <v/>
      </c>
      <c r="AS20" s="1378">
        <f>+AS9+AS10+AS19</f>
        <v/>
      </c>
      <c r="AT20" s="1378">
        <f>+AT9+AT10+AT19</f>
        <v/>
      </c>
      <c r="AU20" s="1378">
        <f>+AU9+AU10+AU19</f>
        <v/>
      </c>
      <c r="AV20" s="1378">
        <f>+AV9+AV10+AV19</f>
        <v/>
      </c>
      <c r="AW20" s="1378">
        <f>+AW9+AW10+AW19</f>
        <v/>
      </c>
      <c r="AX20" s="1378">
        <f>+AX9+AX10+AX19</f>
        <v/>
      </c>
      <c r="AY20" s="1378">
        <f>+AY9+AY10+AY19</f>
        <v/>
      </c>
      <c r="AZ20" s="1378">
        <f>+AZ9+AZ10+AZ19</f>
        <v/>
      </c>
      <c r="BA20" s="1378">
        <f>+BA9+BA10+BA19</f>
        <v/>
      </c>
      <c r="BB20" s="1378">
        <f>+BB9+BB10+BB19</f>
        <v/>
      </c>
      <c r="BC20" s="1378">
        <f>+BC9+BC10+BC19</f>
        <v/>
      </c>
      <c r="BD20" s="1378">
        <f>+BD9+BD10+BD19</f>
        <v/>
      </c>
      <c r="BE20" s="1378">
        <f>+BE9+BE10+BE19</f>
        <v/>
      </c>
      <c r="BF20" s="1378">
        <f>+BF9+BF10+BF19</f>
        <v/>
      </c>
      <c r="BG20" s="1378">
        <f>+BG9+BG10+BG19</f>
        <v/>
      </c>
      <c r="BH20" s="1378">
        <f>+BH9+BH10+BH19</f>
        <v/>
      </c>
      <c r="BI20" s="1378">
        <f>+BI9+BI10+BI19</f>
        <v/>
      </c>
      <c r="BJ20" s="1378">
        <f>+BJ9+BJ10+BJ19</f>
        <v/>
      </c>
      <c r="BK20" s="1378">
        <f>+BK9+BK10+BK19</f>
        <v/>
      </c>
      <c r="BL20" s="1378">
        <f>+BL9+BL10+BL19</f>
        <v/>
      </c>
      <c r="BM20" s="1378">
        <f>+BM9+BM10+BM19</f>
        <v/>
      </c>
      <c r="BN20" s="1378">
        <f>+BN9+BN10+BN19</f>
        <v/>
      </c>
      <c r="BO20" s="1378">
        <f>+BO9+BO10+BO19</f>
        <v/>
      </c>
      <c r="BP20" s="1378">
        <f>+BP9+BP10+BP19</f>
        <v/>
      </c>
      <c r="BQ20" s="1378">
        <f>+BQ9+BQ10+BQ19</f>
        <v/>
      </c>
      <c r="BR20" s="1378">
        <f>+BR9+BR10+BR19</f>
        <v/>
      </c>
      <c r="BS20" s="1378">
        <f>+BS9+BS10+BS19</f>
        <v/>
      </c>
      <c r="BT20" s="1378">
        <f>+BT9+BT10+BT19</f>
        <v/>
      </c>
      <c r="BU20" s="1378">
        <f>+BU9+BU10+BU19</f>
        <v/>
      </c>
      <c r="BV20" s="1378">
        <f>+BV9+BV10+BV19</f>
        <v/>
      </c>
      <c r="BW20" s="1378">
        <f>+BW9+BW10+BW19</f>
        <v/>
      </c>
      <c r="BX20" s="1378">
        <f>+BX9+BX10+BX19</f>
        <v/>
      </c>
      <c r="BY20" s="626" t="n"/>
      <c r="BZ20" s="295" t="inlineStr">
        <is>
          <t>Net Cash Flow from Operations</t>
        </is>
      </c>
      <c r="CA20" s="304" t="n"/>
      <c r="CB20" s="304" t="n"/>
      <c r="CC20" s="304" t="n"/>
      <c r="CD20" s="2016">
        <f>SUM(E20:P20)</f>
        <v/>
      </c>
      <c r="CE20" s="2017">
        <f>SUM(Q20:AB20)</f>
        <v/>
      </c>
      <c r="CF20" s="2017">
        <f>SUM(AC20:AN20)</f>
        <v/>
      </c>
      <c r="CG20" s="2017">
        <f>SUM(AO20:AZ20)</f>
        <v/>
      </c>
      <c r="CH20" s="2017">
        <f>SUM(BA20:BL20)</f>
        <v/>
      </c>
      <c r="CI20" s="2017">
        <f>SUM(BM20:BX20)</f>
        <v/>
      </c>
    </row>
    <row r="21" ht="12.75" customHeight="1" s="1883">
      <c r="A21" s="19" t="n"/>
      <c r="B21" s="25" t="n"/>
      <c r="C21" s="7" t="n"/>
      <c r="D21" s="7"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c r="AN21" s="20" t="n"/>
      <c r="AO21" s="20" t="n"/>
      <c r="AP21" s="20" t="n"/>
      <c r="AQ21" s="20" t="n"/>
      <c r="AR21" s="20" t="n"/>
      <c r="AS21" s="20" t="n"/>
      <c r="AT21" s="20" t="n"/>
      <c r="AU21" s="20" t="n"/>
      <c r="AV21" s="20" t="n"/>
      <c r="AW21" s="20" t="n"/>
      <c r="AX21" s="20" t="n"/>
      <c r="AY21" s="20" t="n"/>
      <c r="AZ21" s="20" t="n"/>
      <c r="BA21" s="20" t="n"/>
      <c r="BB21" s="20" t="n"/>
      <c r="BC21" s="20" t="n"/>
      <c r="BD21" s="20" t="n"/>
      <c r="BE21" s="20" t="n"/>
      <c r="BF21" s="20" t="n"/>
      <c r="BG21" s="20" t="n"/>
      <c r="BH21" s="20" t="n"/>
      <c r="BI21" s="20" t="n"/>
      <c r="BJ21" s="20" t="n"/>
      <c r="BK21" s="20" t="n"/>
      <c r="BL21" s="20" t="n"/>
      <c r="BM21" s="20" t="n"/>
      <c r="BN21" s="20" t="n"/>
      <c r="BO21" s="20" t="n"/>
      <c r="BP21" s="20" t="n"/>
      <c r="BQ21" s="20" t="n"/>
      <c r="BR21" s="20" t="n"/>
      <c r="BS21" s="20" t="n"/>
      <c r="BT21" s="20" t="n"/>
      <c r="BU21" s="20" t="n"/>
      <c r="BV21" s="20" t="n"/>
      <c r="BW21" s="20" t="n"/>
      <c r="BX21" s="20" t="n"/>
      <c r="BY21" s="626" t="n"/>
      <c r="BZ21" s="295" t="n"/>
      <c r="CA21" s="297" t="n"/>
      <c r="CB21" s="304" t="n"/>
      <c r="CC21" s="304" t="n"/>
      <c r="CD21" s="2015" t="n"/>
      <c r="CE21" s="2014" t="n"/>
      <c r="CF21" s="2014" t="n"/>
      <c r="CG21" s="2014" t="n"/>
      <c r="CH21" s="2014" t="n"/>
      <c r="CI21" s="2014" t="n"/>
    </row>
    <row r="22" ht="12.75" customHeight="1" s="1883">
      <c r="A22" s="19" t="n"/>
      <c r="B22" s="312" t="inlineStr">
        <is>
          <t>CASH FLOW FROM INVESTMENTS</t>
        </is>
      </c>
      <c r="C22" s="7" t="n"/>
      <c r="D22" s="7"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c r="AN22" s="20" t="n"/>
      <c r="AO22" s="20" t="n"/>
      <c r="AP22" s="20" t="n"/>
      <c r="AQ22" s="20" t="n"/>
      <c r="AR22" s="20" t="n"/>
      <c r="AS22" s="20" t="n"/>
      <c r="AT22" s="20" t="n"/>
      <c r="AU22" s="20" t="n"/>
      <c r="AV22" s="20" t="n"/>
      <c r="AW22" s="20" t="n"/>
      <c r="AX22" s="20" t="n"/>
      <c r="AY22" s="20" t="n"/>
      <c r="AZ22" s="20" t="n"/>
      <c r="BA22" s="20" t="n"/>
      <c r="BB22" s="20" t="n"/>
      <c r="BC22" s="20" t="n"/>
      <c r="BD22" s="20" t="n"/>
      <c r="BE22" s="20" t="n"/>
      <c r="BF22" s="20" t="n"/>
      <c r="BG22" s="20" t="n"/>
      <c r="BH22" s="20" t="n"/>
      <c r="BI22" s="20" t="n"/>
      <c r="BJ22" s="20" t="n"/>
      <c r="BK22" s="20" t="n"/>
      <c r="BL22" s="20" t="n"/>
      <c r="BM22" s="20" t="n"/>
      <c r="BN22" s="20" t="n"/>
      <c r="BO22" s="20" t="n"/>
      <c r="BP22" s="20" t="n"/>
      <c r="BQ22" s="20" t="n"/>
      <c r="BR22" s="20" t="n"/>
      <c r="BS22" s="20" t="n"/>
      <c r="BT22" s="20" t="n"/>
      <c r="BU22" s="20" t="n"/>
      <c r="BV22" s="20" t="n"/>
      <c r="BW22" s="20" t="n"/>
      <c r="BX22" s="20" t="n"/>
      <c r="BY22" s="626" t="n"/>
      <c r="BZ22" s="320" t="inlineStr">
        <is>
          <t>CASH FLOW FROM INVESTMENTS</t>
        </is>
      </c>
      <c r="CA22" s="297" t="n"/>
      <c r="CB22" s="304" t="n"/>
      <c r="CC22" s="304" t="n"/>
      <c r="CD22" s="2015" t="n"/>
      <c r="CE22" s="2014" t="n"/>
      <c r="CF22" s="2014" t="n"/>
      <c r="CG22" s="2014" t="n"/>
      <c r="CH22" s="2014" t="n"/>
      <c r="CI22" s="2014" t="n"/>
    </row>
    <row r="23" ht="12.75" customHeight="1" s="1883">
      <c r="A23" s="12" t="n"/>
      <c r="B23" s="312" t="n"/>
      <c r="C23" s="355" t="inlineStr">
        <is>
          <t>Purchase of Intangibles &amp; Other Assets</t>
        </is>
      </c>
      <c r="D23" s="7" t="n"/>
      <c r="E23" s="20">
        <f>-'6B. Pre-Launch Exps. - Detail'!L122-'6B. Pre-Launch Exps. - Detail'!L123</f>
        <v/>
      </c>
      <c r="F23" s="20">
        <f>-'6B. Pre-Launch Exps. - Detail'!M122-'6B. Pre-Launch Exps. - Detail'!M123</f>
        <v/>
      </c>
      <c r="G23" s="20">
        <f>-'6B. Pre-Launch Exps. - Detail'!N122-'6B. Pre-Launch Exps. - Detail'!N123</f>
        <v/>
      </c>
      <c r="H23" s="20">
        <f>-'6B. Pre-Launch Exps. - Detail'!O122-'6B. Pre-Launch Exps. - Detail'!O123</f>
        <v/>
      </c>
      <c r="I23" s="20">
        <f>-'6B. Pre-Launch Exps. - Detail'!O122-'6B. Pre-Launch Exps. - Detail'!O123</f>
        <v/>
      </c>
      <c r="J23" s="20">
        <f>-'6B. Pre-Launch Exps. - Detail'!Q122-'6B. Pre-Launch Exps. - Detail'!Q123</f>
        <v/>
      </c>
      <c r="K23" s="20">
        <f>-'6B. Pre-Launch Exps. - Detail'!L122-'6B. Pre-Launch Exps. - Detail'!L123</f>
        <v/>
      </c>
      <c r="L23" s="20">
        <f>-'6B. Pre-Launch Exps. - Detail'!M122-'6B. Pre-Launch Exps. - Detail'!M123</f>
        <v/>
      </c>
      <c r="M23" s="20">
        <f>-'6B. Pre-Launch Exps. - Detail'!N122-'6B. Pre-Launch Exps. - Detail'!N123</f>
        <v/>
      </c>
      <c r="N23" s="20">
        <f>-'6B. Pre-Launch Exps. - Detail'!O122-'6B. Pre-Launch Exps. - Detail'!O123</f>
        <v/>
      </c>
      <c r="O23" s="20">
        <f>-'6B. Pre-Launch Exps. - Detail'!O122-'6B. Pre-Launch Exps. - Detail'!O123</f>
        <v/>
      </c>
      <c r="P23" s="20">
        <f>-'6B. Pre-Launch Exps. - Detail'!Q122-'6B. Pre-Launch Exps. - Detail'!Q123</f>
        <v/>
      </c>
      <c r="Q23" s="20">
        <f>-'4B. Tel. Expense Assumptions'!G406</f>
        <v/>
      </c>
      <c r="R23" s="20">
        <f>-'4B. Tel. Expense Assumptions'!H406</f>
        <v/>
      </c>
      <c r="S23" s="20">
        <f>-'4B. Tel. Expense Assumptions'!I406</f>
        <v/>
      </c>
      <c r="T23" s="20">
        <f>-'4B. Tel. Expense Assumptions'!J406</f>
        <v/>
      </c>
      <c r="U23" s="20">
        <f>-'4B. Tel. Expense Assumptions'!K406</f>
        <v/>
      </c>
      <c r="V23" s="20">
        <f>-'4B. Tel. Expense Assumptions'!L406</f>
        <v/>
      </c>
      <c r="W23" s="20">
        <f>-'4B. Tel. Expense Assumptions'!M406</f>
        <v/>
      </c>
      <c r="X23" s="20">
        <f>-'4B. Tel. Expense Assumptions'!N406</f>
        <v/>
      </c>
      <c r="Y23" s="20">
        <f>-'4B. Tel. Expense Assumptions'!O406</f>
        <v/>
      </c>
      <c r="Z23" s="20">
        <f>-'4B. Tel. Expense Assumptions'!P406</f>
        <v/>
      </c>
      <c r="AA23" s="20">
        <f>-'4B. Tel. Expense Assumptions'!Q406</f>
        <v/>
      </c>
      <c r="AB23" s="20">
        <f>-'4B. Tel. Expense Assumptions'!R406</f>
        <v/>
      </c>
      <c r="AC23" s="20">
        <f>-'4B. Tel. Expense Assumptions'!S406</f>
        <v/>
      </c>
      <c r="AD23" s="20">
        <f>-'4B. Tel. Expense Assumptions'!T406</f>
        <v/>
      </c>
      <c r="AE23" s="20">
        <f>-'4B. Tel. Expense Assumptions'!U406</f>
        <v/>
      </c>
      <c r="AF23" s="20">
        <f>-'4B. Tel. Expense Assumptions'!V406</f>
        <v/>
      </c>
      <c r="AG23" s="20">
        <f>-'4B. Tel. Expense Assumptions'!W406</f>
        <v/>
      </c>
      <c r="AH23" s="20">
        <f>-'4B. Tel. Expense Assumptions'!X406</f>
        <v/>
      </c>
      <c r="AI23" s="20">
        <f>-'4B. Tel. Expense Assumptions'!Y406</f>
        <v/>
      </c>
      <c r="AJ23" s="20">
        <f>-'4B. Tel. Expense Assumptions'!Z406</f>
        <v/>
      </c>
      <c r="AK23" s="20">
        <f>-'4B. Tel. Expense Assumptions'!AA406</f>
        <v/>
      </c>
      <c r="AL23" s="20">
        <f>-'4B. Tel. Expense Assumptions'!AB406</f>
        <v/>
      </c>
      <c r="AM23" s="20">
        <f>-'4B. Tel. Expense Assumptions'!AC406</f>
        <v/>
      </c>
      <c r="AN23" s="20">
        <f>-'4B. Tel. Expense Assumptions'!AD406</f>
        <v/>
      </c>
      <c r="AO23" s="20">
        <f>-'4B. Tel. Expense Assumptions'!AE406</f>
        <v/>
      </c>
      <c r="AP23" s="20">
        <f>-'4B. Tel. Expense Assumptions'!AF406</f>
        <v/>
      </c>
      <c r="AQ23" s="20">
        <f>-'4B. Tel. Expense Assumptions'!AG406</f>
        <v/>
      </c>
      <c r="AR23" s="20">
        <f>-'4B. Tel. Expense Assumptions'!AH406</f>
        <v/>
      </c>
      <c r="AS23" s="20">
        <f>-'4B. Tel. Expense Assumptions'!AI406</f>
        <v/>
      </c>
      <c r="AT23" s="20">
        <f>-'4B. Tel. Expense Assumptions'!AJ406</f>
        <v/>
      </c>
      <c r="AU23" s="20">
        <f>-'4B. Tel. Expense Assumptions'!AK406</f>
        <v/>
      </c>
      <c r="AV23" s="20">
        <f>-'4B. Tel. Expense Assumptions'!AL406</f>
        <v/>
      </c>
      <c r="AW23" s="20">
        <f>-'4B. Tel. Expense Assumptions'!AM406</f>
        <v/>
      </c>
      <c r="AX23" s="20">
        <f>-'4B. Tel. Expense Assumptions'!AN406</f>
        <v/>
      </c>
      <c r="AY23" s="20">
        <f>-'4B. Tel. Expense Assumptions'!AO406</f>
        <v/>
      </c>
      <c r="AZ23" s="20">
        <f>-'4B. Tel. Expense Assumptions'!AP406</f>
        <v/>
      </c>
      <c r="BA23" s="20">
        <f>-'4B. Tel. Expense Assumptions'!AQ406</f>
        <v/>
      </c>
      <c r="BB23" s="20">
        <f>-'4B. Tel. Expense Assumptions'!AR406</f>
        <v/>
      </c>
      <c r="BC23" s="20">
        <f>-'4B. Tel. Expense Assumptions'!AS406</f>
        <v/>
      </c>
      <c r="BD23" s="20">
        <f>-'4B. Tel. Expense Assumptions'!AT406</f>
        <v/>
      </c>
      <c r="BE23" s="20">
        <f>-'4B. Tel. Expense Assumptions'!AU406</f>
        <v/>
      </c>
      <c r="BF23" s="20">
        <f>-'4B. Tel. Expense Assumptions'!AV406</f>
        <v/>
      </c>
      <c r="BG23" s="20">
        <f>-'4B. Tel. Expense Assumptions'!AW406</f>
        <v/>
      </c>
      <c r="BH23" s="20">
        <f>-'4B. Tel. Expense Assumptions'!AX406</f>
        <v/>
      </c>
      <c r="BI23" s="20">
        <f>-'4B. Tel. Expense Assumptions'!AY406</f>
        <v/>
      </c>
      <c r="BJ23" s="20">
        <f>-'4B. Tel. Expense Assumptions'!AZ406</f>
        <v/>
      </c>
      <c r="BK23" s="20">
        <f>-'4B. Tel. Expense Assumptions'!BA406</f>
        <v/>
      </c>
      <c r="BL23" s="20">
        <f>-'4B. Tel. Expense Assumptions'!BB406</f>
        <v/>
      </c>
      <c r="BM23" s="20">
        <f>-'4B. Tel. Expense Assumptions'!BC406</f>
        <v/>
      </c>
      <c r="BN23" s="20">
        <f>-'4B. Tel. Expense Assumptions'!BD406</f>
        <v/>
      </c>
      <c r="BO23" s="20">
        <f>-'4B. Tel. Expense Assumptions'!BE406</f>
        <v/>
      </c>
      <c r="BP23" s="20">
        <f>-'4B. Tel. Expense Assumptions'!BF406</f>
        <v/>
      </c>
      <c r="BQ23" s="20">
        <f>-'4B. Tel. Expense Assumptions'!BG406</f>
        <v/>
      </c>
      <c r="BR23" s="20">
        <f>-'4B. Tel. Expense Assumptions'!BH406</f>
        <v/>
      </c>
      <c r="BS23" s="20">
        <f>-'4B. Tel. Expense Assumptions'!BI406</f>
        <v/>
      </c>
      <c r="BT23" s="20">
        <f>-'4B. Tel. Expense Assumptions'!BJ406</f>
        <v/>
      </c>
      <c r="BU23" s="20">
        <f>-'4B. Tel. Expense Assumptions'!BK406</f>
        <v/>
      </c>
      <c r="BV23" s="20">
        <f>-'4B. Tel. Expense Assumptions'!BL406</f>
        <v/>
      </c>
      <c r="BW23" s="20">
        <f>-'4B. Tel. Expense Assumptions'!BM406</f>
        <v/>
      </c>
      <c r="BX23" s="20">
        <f>-'4B. Tel. Expense Assumptions'!BN406</f>
        <v/>
      </c>
      <c r="BY23" s="626" t="n"/>
      <c r="BZ23" s="320" t="n"/>
      <c r="CA23" s="356" t="inlineStr">
        <is>
          <t>Purchase of Intangibles &amp; Other Assets</t>
        </is>
      </c>
      <c r="CB23" s="304" t="n"/>
      <c r="CC23" s="304" t="n"/>
      <c r="CD23" s="2015">
        <f>SUM(E23:P23)</f>
        <v/>
      </c>
      <c r="CE23" s="2014">
        <f>SUM(Q23:AB23)</f>
        <v/>
      </c>
      <c r="CF23" s="2014">
        <f>SUM(AC23:AN23)</f>
        <v/>
      </c>
      <c r="CG23" s="2014">
        <f>SUM(AO23:AZ23)</f>
        <v/>
      </c>
      <c r="CH23" s="2014">
        <f>SUM(BA23:BL23)</f>
        <v/>
      </c>
      <c r="CI23" s="2014">
        <f>SUM(BM23:BX23)</f>
        <v/>
      </c>
    </row>
    <row r="24" ht="12.75" customHeight="1" s="1883">
      <c r="A24" s="12" t="n"/>
      <c r="B24" s="25" t="n"/>
      <c r="C24" s="821" t="inlineStr">
        <is>
          <t>Fixed Assets</t>
        </is>
      </c>
      <c r="D24" s="822" t="n"/>
      <c r="E24" s="1379">
        <f>-'6B. Pre-Launch Exps. - Detail'!F120-'6B. Pre-Launch Exps. - Detail'!F128</f>
        <v/>
      </c>
      <c r="F24" s="1379">
        <f>-'6B. Pre-Launch Exps. - Detail'!G120-'6B. Pre-Launch Exps. - Detail'!G128</f>
        <v/>
      </c>
      <c r="G24" s="1379">
        <f>-'6B. Pre-Launch Exps. - Detail'!H120-'6B. Pre-Launch Exps. - Detail'!H128</f>
        <v/>
      </c>
      <c r="H24" s="1379" t="n">
        <v>0</v>
      </c>
      <c r="I24" s="1379">
        <f>-'6B. Pre-Launch Exps. - Detail'!J120-'6B. Pre-Launch Exps. - Detail'!J128</f>
        <v/>
      </c>
      <c r="J24" s="1379">
        <f>-'6B. Pre-Launch Exps. - Detail'!K120-'6B. Pre-Launch Exps. - Detail'!K128</f>
        <v/>
      </c>
      <c r="K24" s="1379">
        <f>-'6B. Pre-Launch Exps. - Detail'!L120-'6B. Pre-Launch Exps. - Detail'!L128</f>
        <v/>
      </c>
      <c r="L24" s="823">
        <f>-'6B. Pre-Launch Exps. - Detail'!M120-'6B. Pre-Launch Exps. - Detail'!M128</f>
        <v/>
      </c>
      <c r="M24" s="823">
        <f>-'6B. Pre-Launch Exps. - Detail'!N120-'6B. Pre-Launch Exps. - Detail'!N128</f>
        <v/>
      </c>
      <c r="N24" s="823">
        <f>-'6B. Pre-Launch Exps. - Detail'!O120-'6B. Pre-Launch Exps. - Detail'!O128</f>
        <v/>
      </c>
      <c r="O24" s="823">
        <f>-'6B. Pre-Launch Exps. - Detail'!P120-'6B. Pre-Launch Exps. - Detail'!P128</f>
        <v/>
      </c>
      <c r="P24" s="823">
        <f>-'6B. Pre-Launch Exps. - Detail'!Q120-'6B. Pre-Launch Exps. - Detail'!Q128</f>
        <v/>
      </c>
      <c r="Q24" s="823">
        <f>+'4B. Tel. Expense Assumptions'!F394-'4B. Tel. Expense Assumptions'!G394</f>
        <v/>
      </c>
      <c r="R24" s="823">
        <f>+'4B. Tel. Expense Assumptions'!G394-'4B. Tel. Expense Assumptions'!H394</f>
        <v/>
      </c>
      <c r="S24" s="823">
        <f>+'4B. Tel. Expense Assumptions'!H394-'4B. Tel. Expense Assumptions'!I394</f>
        <v/>
      </c>
      <c r="T24" s="823">
        <f>+'4B. Tel. Expense Assumptions'!I394-'4B. Tel. Expense Assumptions'!J394</f>
        <v/>
      </c>
      <c r="U24" s="823">
        <f>+'4B. Tel. Expense Assumptions'!J394-'4B. Tel. Expense Assumptions'!K394</f>
        <v/>
      </c>
      <c r="V24" s="823">
        <f>+'4B. Tel. Expense Assumptions'!K394-'4B. Tel. Expense Assumptions'!L394</f>
        <v/>
      </c>
      <c r="W24" s="823">
        <f>+'4B. Tel. Expense Assumptions'!L394-'4B. Tel. Expense Assumptions'!M394</f>
        <v/>
      </c>
      <c r="X24" s="823">
        <f>+'4B. Tel. Expense Assumptions'!M394-'4B. Tel. Expense Assumptions'!N394</f>
        <v/>
      </c>
      <c r="Y24" s="823">
        <f>+'4B. Tel. Expense Assumptions'!N394-'4B. Tel. Expense Assumptions'!O394</f>
        <v/>
      </c>
      <c r="Z24" s="823">
        <f>+'4B. Tel. Expense Assumptions'!O394-'4B. Tel. Expense Assumptions'!P394</f>
        <v/>
      </c>
      <c r="AA24" s="823">
        <f>+'4B. Tel. Expense Assumptions'!P394-'4B. Tel. Expense Assumptions'!Q394</f>
        <v/>
      </c>
      <c r="AB24" s="823">
        <f>+'4B. Tel. Expense Assumptions'!Q394-'4B. Tel. Expense Assumptions'!R394</f>
        <v/>
      </c>
      <c r="AC24" s="823">
        <f>+'4B. Tel. Expense Assumptions'!R394-'4B. Tel. Expense Assumptions'!S394</f>
        <v/>
      </c>
      <c r="AD24" s="823">
        <f>+'4B. Tel. Expense Assumptions'!S394-'4B. Tel. Expense Assumptions'!T394</f>
        <v/>
      </c>
      <c r="AE24" s="823">
        <f>+'4B. Tel. Expense Assumptions'!T394-'4B. Tel. Expense Assumptions'!U394</f>
        <v/>
      </c>
      <c r="AF24" s="823">
        <f>+'4B. Tel. Expense Assumptions'!U394-'4B. Tel. Expense Assumptions'!V394</f>
        <v/>
      </c>
      <c r="AG24" s="823">
        <f>+'4B. Tel. Expense Assumptions'!V394-'4B. Tel. Expense Assumptions'!W394</f>
        <v/>
      </c>
      <c r="AH24" s="823">
        <f>+'4B. Tel. Expense Assumptions'!W394-'4B. Tel. Expense Assumptions'!X394</f>
        <v/>
      </c>
      <c r="AI24" s="823">
        <f>+'4B. Tel. Expense Assumptions'!X394-'4B. Tel. Expense Assumptions'!Y394</f>
        <v/>
      </c>
      <c r="AJ24" s="823">
        <f>+'4B. Tel. Expense Assumptions'!Y394-'4B. Tel. Expense Assumptions'!Z394</f>
        <v/>
      </c>
      <c r="AK24" s="823">
        <f>+'4B. Tel. Expense Assumptions'!Z394-'4B. Tel. Expense Assumptions'!AA394</f>
        <v/>
      </c>
      <c r="AL24" s="823">
        <f>+'4B. Tel. Expense Assumptions'!AA394-'4B. Tel. Expense Assumptions'!AB394</f>
        <v/>
      </c>
      <c r="AM24" s="823">
        <f>+'4B. Tel. Expense Assumptions'!AB394-'4B. Tel. Expense Assumptions'!AC394</f>
        <v/>
      </c>
      <c r="AN24" s="823">
        <f>+'4B. Tel. Expense Assumptions'!AC394-'4B. Tel. Expense Assumptions'!AD394</f>
        <v/>
      </c>
      <c r="AO24" s="823">
        <f>+'4B. Tel. Expense Assumptions'!AD394-'4B. Tel. Expense Assumptions'!AE394</f>
        <v/>
      </c>
      <c r="AP24" s="823">
        <f>+'4B. Tel. Expense Assumptions'!AE394-'4B. Tel. Expense Assumptions'!AF394</f>
        <v/>
      </c>
      <c r="AQ24" s="823">
        <f>+'4B. Tel. Expense Assumptions'!AF394-'4B. Tel. Expense Assumptions'!AG394</f>
        <v/>
      </c>
      <c r="AR24" s="823">
        <f>+'4B. Tel. Expense Assumptions'!AG394-'4B. Tel. Expense Assumptions'!AH394</f>
        <v/>
      </c>
      <c r="AS24" s="823">
        <f>+'4B. Tel. Expense Assumptions'!AH394-'4B. Tel. Expense Assumptions'!AI394</f>
        <v/>
      </c>
      <c r="AT24" s="823">
        <f>+'4B. Tel. Expense Assumptions'!AI394-'4B. Tel. Expense Assumptions'!AJ394</f>
        <v/>
      </c>
      <c r="AU24" s="823">
        <f>+'4B. Tel. Expense Assumptions'!AJ394-'4B. Tel. Expense Assumptions'!AK394</f>
        <v/>
      </c>
      <c r="AV24" s="823">
        <f>+'4B. Tel. Expense Assumptions'!AK394-'4B. Tel. Expense Assumptions'!AL394</f>
        <v/>
      </c>
      <c r="AW24" s="823">
        <f>+'4B. Tel. Expense Assumptions'!AL394-'4B. Tel. Expense Assumptions'!AM394</f>
        <v/>
      </c>
      <c r="AX24" s="823">
        <f>+'4B. Tel. Expense Assumptions'!AM394-'4B. Tel. Expense Assumptions'!AN394</f>
        <v/>
      </c>
      <c r="AY24" s="823">
        <f>+'4B. Tel. Expense Assumptions'!AN394-'4B. Tel. Expense Assumptions'!AO394</f>
        <v/>
      </c>
      <c r="AZ24" s="823">
        <f>+'4B. Tel. Expense Assumptions'!AO394-'4B. Tel. Expense Assumptions'!AP394</f>
        <v/>
      </c>
      <c r="BA24" s="823">
        <f>+'4B. Tel. Expense Assumptions'!AP394-'4B. Tel. Expense Assumptions'!AQ394</f>
        <v/>
      </c>
      <c r="BB24" s="823">
        <f>+'4B. Tel. Expense Assumptions'!AQ394-'4B. Tel. Expense Assumptions'!AR394</f>
        <v/>
      </c>
      <c r="BC24" s="823">
        <f>+'4B. Tel. Expense Assumptions'!AR394-'4B. Tel. Expense Assumptions'!AS394</f>
        <v/>
      </c>
      <c r="BD24" s="823">
        <f>+'4B. Tel. Expense Assumptions'!AS394-'4B. Tel. Expense Assumptions'!AT394</f>
        <v/>
      </c>
      <c r="BE24" s="823">
        <f>+'4B. Tel. Expense Assumptions'!AT394-'4B. Tel. Expense Assumptions'!AU394</f>
        <v/>
      </c>
      <c r="BF24" s="823">
        <f>+'4B. Tel. Expense Assumptions'!AU394-'4B. Tel. Expense Assumptions'!AV394</f>
        <v/>
      </c>
      <c r="BG24" s="823">
        <f>+'4B. Tel. Expense Assumptions'!AV394-'4B. Tel. Expense Assumptions'!AW394</f>
        <v/>
      </c>
      <c r="BH24" s="823">
        <f>+'4B. Tel. Expense Assumptions'!AW394-'4B. Tel. Expense Assumptions'!AX394</f>
        <v/>
      </c>
      <c r="BI24" s="823">
        <f>+'4B. Tel. Expense Assumptions'!AX394-'4B. Tel. Expense Assumptions'!AY394</f>
        <v/>
      </c>
      <c r="BJ24" s="823">
        <f>+'4B. Tel. Expense Assumptions'!AY394-'4B. Tel. Expense Assumptions'!AZ394</f>
        <v/>
      </c>
      <c r="BK24" s="823">
        <f>+'4B. Tel. Expense Assumptions'!AZ394-'4B. Tel. Expense Assumptions'!BA394</f>
        <v/>
      </c>
      <c r="BL24" s="823">
        <f>+'4B. Tel. Expense Assumptions'!BA394-'4B. Tel. Expense Assumptions'!BB394</f>
        <v/>
      </c>
      <c r="BM24" s="823">
        <f>+'4B. Tel. Expense Assumptions'!BB394-'4B. Tel. Expense Assumptions'!BC394</f>
        <v/>
      </c>
      <c r="BN24" s="823">
        <f>+'4B. Tel. Expense Assumptions'!BC394-'4B. Tel. Expense Assumptions'!BD394</f>
        <v/>
      </c>
      <c r="BO24" s="823">
        <f>+'4B. Tel. Expense Assumptions'!BD394-'4B. Tel. Expense Assumptions'!BE394</f>
        <v/>
      </c>
      <c r="BP24" s="823">
        <f>+'4B. Tel. Expense Assumptions'!BE394-'4B. Tel. Expense Assumptions'!BF394</f>
        <v/>
      </c>
      <c r="BQ24" s="823">
        <f>+'4B. Tel. Expense Assumptions'!BF394-'4B. Tel. Expense Assumptions'!BG394</f>
        <v/>
      </c>
      <c r="BR24" s="823">
        <f>+'4B. Tel. Expense Assumptions'!BG394-'4B. Tel. Expense Assumptions'!BH394</f>
        <v/>
      </c>
      <c r="BS24" s="823">
        <f>+'4B. Tel. Expense Assumptions'!BH394-'4B. Tel. Expense Assumptions'!BI394</f>
        <v/>
      </c>
      <c r="BT24" s="823">
        <f>+'4B. Tel. Expense Assumptions'!BI394-'4B. Tel. Expense Assumptions'!BJ394</f>
        <v/>
      </c>
      <c r="BU24" s="823">
        <f>+'4B. Tel. Expense Assumptions'!BJ394-'4B. Tel. Expense Assumptions'!BK394</f>
        <v/>
      </c>
      <c r="BV24" s="823">
        <f>+'4B. Tel. Expense Assumptions'!BK394-'4B. Tel. Expense Assumptions'!BL394</f>
        <v/>
      </c>
      <c r="BW24" s="823">
        <f>+'4B. Tel. Expense Assumptions'!BL394-'4B. Tel. Expense Assumptions'!BM394</f>
        <v/>
      </c>
      <c r="BX24" s="823">
        <f>+'4B. Tel. Expense Assumptions'!BM394-'4B. Tel. Expense Assumptions'!BN394</f>
        <v/>
      </c>
      <c r="BY24" s="626" t="n"/>
      <c r="BZ24" s="295" t="n"/>
      <c r="CA24" s="356" t="inlineStr">
        <is>
          <t>Fixed Assets</t>
        </is>
      </c>
      <c r="CB24" s="307" t="n"/>
      <c r="CC24" s="307" t="n"/>
      <c r="CD24" s="2015">
        <f>SUM(E24:P24)</f>
        <v/>
      </c>
      <c r="CE24" s="2014">
        <f>SUM(Q24:AB24)</f>
        <v/>
      </c>
      <c r="CF24" s="2014">
        <f>SUM(AC24:AN24)</f>
        <v/>
      </c>
      <c r="CG24" s="2014">
        <f>SUM(AO24:AZ24)</f>
        <v/>
      </c>
      <c r="CH24" s="2014">
        <f>SUM(BA24:BL24)</f>
        <v/>
      </c>
      <c r="CI24" s="2014">
        <f>SUM(BM24:BX24)</f>
        <v/>
      </c>
    </row>
    <row r="25" ht="12.75" customHeight="1" s="1883">
      <c r="A25" s="12" t="n"/>
      <c r="B25" s="25" t="n"/>
      <c r="C25" s="25" t="inlineStr">
        <is>
          <t>Net Cash Flow from Investments</t>
        </is>
      </c>
      <c r="D25" s="25" t="n"/>
      <c r="E25" s="354">
        <f>SUM(E23:E24)</f>
        <v/>
      </c>
      <c r="F25" s="354">
        <f>SUM(F23:F24)</f>
        <v/>
      </c>
      <c r="G25" s="354">
        <f>SUM(G23:G24)</f>
        <v/>
      </c>
      <c r="H25" s="354">
        <f>SUM(H23:H24)</f>
        <v/>
      </c>
      <c r="I25" s="354">
        <f>SUM(I23:I24)</f>
        <v/>
      </c>
      <c r="J25" s="354">
        <f>SUM(J23:J24)</f>
        <v/>
      </c>
      <c r="K25" s="1378">
        <f>SUM(K23:K24)</f>
        <v/>
      </c>
      <c r="L25" s="1378">
        <f>SUM(L23:L24)</f>
        <v/>
      </c>
      <c r="M25" s="1378">
        <f>SUM(M23:M24)</f>
        <v/>
      </c>
      <c r="N25" s="1378">
        <f>SUM(N23:N24)</f>
        <v/>
      </c>
      <c r="O25" s="1378">
        <f>SUM(O23:O24)</f>
        <v/>
      </c>
      <c r="P25" s="1378">
        <f>SUM(P23:P24)</f>
        <v/>
      </c>
      <c r="Q25" s="1378">
        <f>SUM(Q23:Q24)</f>
        <v/>
      </c>
      <c r="R25" s="1378">
        <f>SUM(R23:R24)</f>
        <v/>
      </c>
      <c r="S25" s="1378">
        <f>SUM(S23:S24)</f>
        <v/>
      </c>
      <c r="T25" s="1378">
        <f>SUM(T23:T24)</f>
        <v/>
      </c>
      <c r="U25" s="1378">
        <f>SUM(U23:U24)</f>
        <v/>
      </c>
      <c r="V25" s="1378">
        <f>SUM(V23:V24)</f>
        <v/>
      </c>
      <c r="W25" s="1378">
        <f>SUM(W23:W24)</f>
        <v/>
      </c>
      <c r="X25" s="1378">
        <f>SUM(X23:X24)</f>
        <v/>
      </c>
      <c r="Y25" s="1378">
        <f>SUM(Y23:Y24)</f>
        <v/>
      </c>
      <c r="Z25" s="1378">
        <f>SUM(Z23:Z24)</f>
        <v/>
      </c>
      <c r="AA25" s="1378">
        <f>SUM(AA23:AA24)</f>
        <v/>
      </c>
      <c r="AB25" s="1378">
        <f>SUM(AB23:AB24)</f>
        <v/>
      </c>
      <c r="AC25" s="1378">
        <f>SUM(AC23:AC24)</f>
        <v/>
      </c>
      <c r="AD25" s="1378">
        <f>SUM(AD23:AD24)</f>
        <v/>
      </c>
      <c r="AE25" s="1378">
        <f>SUM(AE23:AE24)</f>
        <v/>
      </c>
      <c r="AF25" s="1378">
        <f>SUM(AF23:AF24)</f>
        <v/>
      </c>
      <c r="AG25" s="1378">
        <f>SUM(AG23:AG24)</f>
        <v/>
      </c>
      <c r="AH25" s="1378">
        <f>SUM(AH23:AH24)</f>
        <v/>
      </c>
      <c r="AI25" s="1378">
        <f>SUM(AI23:AI24)</f>
        <v/>
      </c>
      <c r="AJ25" s="1378">
        <f>SUM(AJ23:AJ24)</f>
        <v/>
      </c>
      <c r="AK25" s="1378">
        <f>SUM(AK23:AK24)</f>
        <v/>
      </c>
      <c r="AL25" s="1378">
        <f>SUM(AL23:AL24)</f>
        <v/>
      </c>
      <c r="AM25" s="1378">
        <f>SUM(AM23:AM24)</f>
        <v/>
      </c>
      <c r="AN25" s="1378">
        <f>SUM(AN23:AN24)</f>
        <v/>
      </c>
      <c r="AO25" s="1378">
        <f>SUM(AO23:AO24)</f>
        <v/>
      </c>
      <c r="AP25" s="1378">
        <f>SUM(AP23:AP24)</f>
        <v/>
      </c>
      <c r="AQ25" s="1378">
        <f>SUM(AQ23:AQ24)</f>
        <v/>
      </c>
      <c r="AR25" s="1378">
        <f>SUM(AR23:AR24)</f>
        <v/>
      </c>
      <c r="AS25" s="1378">
        <f>SUM(AS23:AS24)</f>
        <v/>
      </c>
      <c r="AT25" s="1378">
        <f>SUM(AT23:AT24)</f>
        <v/>
      </c>
      <c r="AU25" s="1378">
        <f>SUM(AU23:AU24)</f>
        <v/>
      </c>
      <c r="AV25" s="1378">
        <f>SUM(AV23:AV24)</f>
        <v/>
      </c>
      <c r="AW25" s="1378">
        <f>SUM(AW23:AW24)</f>
        <v/>
      </c>
      <c r="AX25" s="1378">
        <f>SUM(AX23:AX24)</f>
        <v/>
      </c>
      <c r="AY25" s="1378">
        <f>SUM(AY23:AY24)</f>
        <v/>
      </c>
      <c r="AZ25" s="1378">
        <f>SUM(AZ23:AZ24)</f>
        <v/>
      </c>
      <c r="BA25" s="1378">
        <f>SUM(BA23:BA24)</f>
        <v/>
      </c>
      <c r="BB25" s="1378">
        <f>SUM(BB23:BB24)</f>
        <v/>
      </c>
      <c r="BC25" s="1378">
        <f>SUM(BC23:BC24)</f>
        <v/>
      </c>
      <c r="BD25" s="1378">
        <f>SUM(BD23:BD24)</f>
        <v/>
      </c>
      <c r="BE25" s="1378">
        <f>SUM(BE23:BE24)</f>
        <v/>
      </c>
      <c r="BF25" s="1378">
        <f>SUM(BF23:BF24)</f>
        <v/>
      </c>
      <c r="BG25" s="1378">
        <f>SUM(BG23:BG24)</f>
        <v/>
      </c>
      <c r="BH25" s="1378">
        <f>SUM(BH23:BH24)</f>
        <v/>
      </c>
      <c r="BI25" s="1378">
        <f>SUM(BI23:BI24)</f>
        <v/>
      </c>
      <c r="BJ25" s="1378">
        <f>SUM(BJ23:BJ24)</f>
        <v/>
      </c>
      <c r="BK25" s="1378">
        <f>SUM(BK23:BK24)</f>
        <v/>
      </c>
      <c r="BL25" s="1378">
        <f>SUM(BL23:BL24)</f>
        <v/>
      </c>
      <c r="BM25" s="1378">
        <f>SUM(BM23:BM24)</f>
        <v/>
      </c>
      <c r="BN25" s="1378">
        <f>SUM(BN23:BN24)</f>
        <v/>
      </c>
      <c r="BO25" s="1378">
        <f>SUM(BO23:BO24)</f>
        <v/>
      </c>
      <c r="BP25" s="1378">
        <f>SUM(BP23:BP24)</f>
        <v/>
      </c>
      <c r="BQ25" s="1378">
        <f>SUM(BQ23:BQ24)</f>
        <v/>
      </c>
      <c r="BR25" s="1378">
        <f>SUM(BR23:BR24)</f>
        <v/>
      </c>
      <c r="BS25" s="1378">
        <f>SUM(BS23:BS24)</f>
        <v/>
      </c>
      <c r="BT25" s="1378">
        <f>SUM(BT23:BT24)</f>
        <v/>
      </c>
      <c r="BU25" s="1378">
        <f>SUM(BU23:BU24)</f>
        <v/>
      </c>
      <c r="BV25" s="1378">
        <f>SUM(BV23:BV24)</f>
        <v/>
      </c>
      <c r="BW25" s="1378">
        <f>SUM(BW23:BW24)</f>
        <v/>
      </c>
      <c r="BX25" s="1378">
        <f>SUM(BX23:BX24)</f>
        <v/>
      </c>
      <c r="BY25" s="626" t="n"/>
      <c r="BZ25" s="295" t="n"/>
      <c r="CA25" s="295" t="inlineStr">
        <is>
          <t>Net Cash Flow from Investments</t>
        </is>
      </c>
      <c r="CB25" s="307" t="n"/>
      <c r="CC25" s="307" t="n"/>
      <c r="CD25" s="2016">
        <f>SUM(E25:P25)</f>
        <v/>
      </c>
      <c r="CE25" s="2017">
        <f>SUM(Q25:AB25)</f>
        <v/>
      </c>
      <c r="CF25" s="2017">
        <f>SUM(AC25:AN25)</f>
        <v/>
      </c>
      <c r="CG25" s="2017">
        <f>SUM(AO25:AZ25)</f>
        <v/>
      </c>
      <c r="CH25" s="2017">
        <f>SUM(BA25:BL25)</f>
        <v/>
      </c>
      <c r="CI25" s="2017">
        <f>SUM(BM25:BX25)</f>
        <v/>
      </c>
    </row>
    <row r="26" ht="12.75" customHeight="1" s="1883">
      <c r="A26" s="19" t="n"/>
      <c r="B26" s="25" t="n"/>
      <c r="C26" s="7" t="n"/>
      <c r="D26" s="7"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c r="AN26" s="20" t="n"/>
      <c r="AO26" s="20" t="n"/>
      <c r="AP26" s="20" t="n"/>
      <c r="AQ26" s="20" t="n"/>
      <c r="AR26" s="20" t="n"/>
      <c r="AS26" s="20" t="n"/>
      <c r="AT26" s="20" t="n"/>
      <c r="AU26" s="20" t="n"/>
      <c r="AV26" s="20" t="n"/>
      <c r="AW26" s="20" t="n"/>
      <c r="AX26" s="20" t="n"/>
      <c r="AY26" s="20" t="n"/>
      <c r="AZ26" s="20" t="n"/>
      <c r="BA26" s="20" t="n"/>
      <c r="BB26" s="20" t="n"/>
      <c r="BC26" s="20" t="n"/>
      <c r="BD26" s="20" t="n"/>
      <c r="BE26" s="20" t="n"/>
      <c r="BF26" s="20" t="n"/>
      <c r="BG26" s="20" t="n"/>
      <c r="BH26" s="20" t="n"/>
      <c r="BI26" s="20" t="n"/>
      <c r="BJ26" s="20" t="n"/>
      <c r="BK26" s="20" t="n"/>
      <c r="BL26" s="20" t="n"/>
      <c r="BM26" s="20" t="n"/>
      <c r="BN26" s="20" t="n"/>
      <c r="BO26" s="20" t="n"/>
      <c r="BP26" s="20" t="n"/>
      <c r="BQ26" s="20" t="n"/>
      <c r="BR26" s="20" t="n"/>
      <c r="BS26" s="20" t="n"/>
      <c r="BT26" s="20" t="n"/>
      <c r="BU26" s="20" t="n"/>
      <c r="BV26" s="20" t="n"/>
      <c r="BW26" s="20" t="n"/>
      <c r="BX26" s="20" t="n"/>
      <c r="BY26" s="626" t="n"/>
      <c r="BZ26" s="295" t="n"/>
      <c r="CA26" s="297" t="n"/>
      <c r="CB26" s="307" t="n"/>
      <c r="CC26" s="307" t="n"/>
      <c r="CD26" s="2015" t="n"/>
      <c r="CE26" s="2014" t="n"/>
      <c r="CF26" s="2014" t="n"/>
      <c r="CG26" s="2014" t="n"/>
      <c r="CH26" s="2014" t="n"/>
      <c r="CI26" s="2014" t="n"/>
    </row>
    <row r="27" ht="12.75" customHeight="1" s="1883">
      <c r="A27" s="12" t="n"/>
      <c r="B27" s="312" t="inlineStr">
        <is>
          <t>CASH FLOW FROM FINANCING</t>
        </is>
      </c>
      <c r="C27" s="7" t="n"/>
      <c r="D27" s="7"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c r="AE27" s="20" t="n"/>
      <c r="AF27" s="20" t="n"/>
      <c r="AG27" s="20" t="n"/>
      <c r="AH27" s="20" t="n"/>
      <c r="AI27" s="20" t="n"/>
      <c r="AJ27" s="20" t="n"/>
      <c r="AK27" s="20" t="n"/>
      <c r="AL27" s="20" t="n"/>
      <c r="AM27" s="20" t="n"/>
      <c r="AN27" s="20" t="n"/>
      <c r="AO27" s="20" t="n"/>
      <c r="AP27" s="20" t="n"/>
      <c r="AQ27" s="20" t="n"/>
      <c r="AR27" s="20" t="n"/>
      <c r="AS27" s="20" t="n"/>
      <c r="AT27" s="20" t="n"/>
      <c r="AU27" s="20" t="n"/>
      <c r="AV27" s="20" t="n"/>
      <c r="AW27" s="20" t="n"/>
      <c r="AX27" s="20" t="n"/>
      <c r="AY27" s="20" t="n"/>
      <c r="AZ27" s="20" t="n"/>
      <c r="BA27" s="20" t="n"/>
      <c r="BB27" s="20" t="n"/>
      <c r="BC27" s="20" t="n"/>
      <c r="BD27" s="20" t="n"/>
      <c r="BE27" s="20" t="n"/>
      <c r="BF27" s="20" t="n"/>
      <c r="BG27" s="20" t="n"/>
      <c r="BH27" s="20" t="n"/>
      <c r="BI27" s="20" t="n"/>
      <c r="BJ27" s="20" t="n"/>
      <c r="BK27" s="20" t="n"/>
      <c r="BL27" s="20" t="n"/>
      <c r="BM27" s="20" t="n"/>
      <c r="BN27" s="20" t="n"/>
      <c r="BO27" s="20" t="n"/>
      <c r="BP27" s="20" t="n"/>
      <c r="BQ27" s="20" t="n"/>
      <c r="BR27" s="20" t="n"/>
      <c r="BS27" s="20" t="n"/>
      <c r="BT27" s="20" t="n"/>
      <c r="BU27" s="20" t="n"/>
      <c r="BV27" s="20" t="n"/>
      <c r="BW27" s="20" t="n"/>
      <c r="BX27" s="20" t="n"/>
      <c r="BY27" s="626" t="n"/>
      <c r="BZ27" s="320" t="inlineStr">
        <is>
          <t>CASH FLOW FROM FINANCING</t>
        </is>
      </c>
      <c r="CA27" s="297" t="n"/>
      <c r="CB27" s="307" t="n"/>
      <c r="CC27" s="307" t="n"/>
      <c r="CD27" s="2015" t="n"/>
      <c r="CE27" s="2014" t="n"/>
      <c r="CF27" s="2014" t="n"/>
      <c r="CG27" s="2014" t="n"/>
      <c r="CH27" s="2014" t="n"/>
      <c r="CI27" s="2014" t="n"/>
    </row>
    <row r="28" ht="12.75" customHeight="1" s="1883">
      <c r="A28" s="12" t="n"/>
      <c r="B28" s="312" t="n"/>
      <c r="C28" s="7" t="inlineStr">
        <is>
          <t>Debt</t>
        </is>
      </c>
      <c r="D28" s="7" t="n"/>
      <c r="E28" s="20">
        <f>+'6B. Pre-Launch Exps. - Detail'!L233-'6B. Pre-Launch Exps. - Detail'!E233</f>
        <v/>
      </c>
      <c r="F28" s="20">
        <f>+'6B. Pre-Launch Exps. - Detail'!M233-'6B. Pre-Launch Exps. - Detail'!L233</f>
        <v/>
      </c>
      <c r="G28" s="20">
        <f>+'6B. Pre-Launch Exps. - Detail'!N233-'6B. Pre-Launch Exps. - Detail'!M233</f>
        <v/>
      </c>
      <c r="H28" s="20">
        <f>+'6B. Pre-Launch Exps. - Detail'!O233-'6B. Pre-Launch Exps. - Detail'!N233</f>
        <v/>
      </c>
      <c r="I28" s="20">
        <f>+'6B. Pre-Launch Exps. - Detail'!P233-'6B. Pre-Launch Exps. - Detail'!O233</f>
        <v/>
      </c>
      <c r="J28" s="20">
        <f>+'6B. Pre-Launch Exps. - Detail'!Q233-'6B. Pre-Launch Exps. - Detail'!P233</f>
        <v/>
      </c>
      <c r="K28" s="20">
        <f>+'6B. Pre-Launch Exps. - Detail'!L233-'6B. Pre-Launch Exps. - Detail'!E233</f>
        <v/>
      </c>
      <c r="L28" s="20">
        <f>+'6B. Pre-Launch Exps. - Detail'!M233-'6B. Pre-Launch Exps. - Detail'!L233</f>
        <v/>
      </c>
      <c r="M28" s="20">
        <f>+'6B. Pre-Launch Exps. - Detail'!N233-'6B. Pre-Launch Exps. - Detail'!M233</f>
        <v/>
      </c>
      <c r="N28" s="20">
        <f>+'6B. Pre-Launch Exps. - Detail'!O233-'6B. Pre-Launch Exps. - Detail'!N233</f>
        <v/>
      </c>
      <c r="O28" s="20">
        <f>+'6B. Pre-Launch Exps. - Detail'!P233-'6B. Pre-Launch Exps. - Detail'!O233</f>
        <v/>
      </c>
      <c r="P28" s="20">
        <f>+'6B. Pre-Launch Exps. - Detail'!Q233-'6B. Pre-Launch Exps. - Detail'!P233</f>
        <v/>
      </c>
      <c r="Q28" s="20">
        <f>+'4B. Tel. Expense Assumptions'!G452-'4B. Tel. Expense Assumptions'!F452</f>
        <v/>
      </c>
      <c r="R28" s="20">
        <f>+'4B. Tel. Expense Assumptions'!H452-'4B. Tel. Expense Assumptions'!G452</f>
        <v/>
      </c>
      <c r="S28" s="20">
        <f>+'4B. Tel. Expense Assumptions'!I452-'4B. Tel. Expense Assumptions'!H452</f>
        <v/>
      </c>
      <c r="T28" s="20">
        <f>+'4B. Tel. Expense Assumptions'!J452-'4B. Tel. Expense Assumptions'!I452</f>
        <v/>
      </c>
      <c r="U28" s="20">
        <f>+'4B. Tel. Expense Assumptions'!K452-'4B. Tel. Expense Assumptions'!J452</f>
        <v/>
      </c>
      <c r="V28" s="20">
        <f>+'4B. Tel. Expense Assumptions'!L452-'4B. Tel. Expense Assumptions'!K452</f>
        <v/>
      </c>
      <c r="W28" s="20">
        <f>+'4B. Tel. Expense Assumptions'!M452-'4B. Tel. Expense Assumptions'!L452</f>
        <v/>
      </c>
      <c r="X28" s="20">
        <f>+'4B. Tel. Expense Assumptions'!N452-'4B. Tel. Expense Assumptions'!M452</f>
        <v/>
      </c>
      <c r="Y28" s="20">
        <f>+'4B. Tel. Expense Assumptions'!O452-'4B. Tel. Expense Assumptions'!N452</f>
        <v/>
      </c>
      <c r="Z28" s="20">
        <f>+'4B. Tel. Expense Assumptions'!P452-'4B. Tel. Expense Assumptions'!O452</f>
        <v/>
      </c>
      <c r="AA28" s="20">
        <f>+'4B. Tel. Expense Assumptions'!Q452-'4B. Tel. Expense Assumptions'!P452</f>
        <v/>
      </c>
      <c r="AB28" s="20">
        <f>+'4B. Tel. Expense Assumptions'!R452-'4B. Tel. Expense Assumptions'!Q452</f>
        <v/>
      </c>
      <c r="AC28" s="20">
        <f>+'4B. Tel. Expense Assumptions'!S452-'4B. Tel. Expense Assumptions'!R452</f>
        <v/>
      </c>
      <c r="AD28" s="20">
        <f>+'4B. Tel. Expense Assumptions'!T452-'4B. Tel. Expense Assumptions'!S452</f>
        <v/>
      </c>
      <c r="AE28" s="20">
        <f>+'4B. Tel. Expense Assumptions'!U452-'4B. Tel. Expense Assumptions'!T452</f>
        <v/>
      </c>
      <c r="AF28" s="20">
        <f>+'4B. Tel. Expense Assumptions'!V452-'4B. Tel. Expense Assumptions'!U452</f>
        <v/>
      </c>
      <c r="AG28" s="20">
        <f>+'4B. Tel. Expense Assumptions'!W452-'4B. Tel. Expense Assumptions'!V452</f>
        <v/>
      </c>
      <c r="AH28" s="20">
        <f>+'4B. Tel. Expense Assumptions'!X452-'4B. Tel. Expense Assumptions'!W452</f>
        <v/>
      </c>
      <c r="AI28" s="20">
        <f>+'4B. Tel. Expense Assumptions'!Y452-'4B. Tel. Expense Assumptions'!X452</f>
        <v/>
      </c>
      <c r="AJ28" s="20">
        <f>+'4B. Tel. Expense Assumptions'!Z452-'4B. Tel. Expense Assumptions'!Y452</f>
        <v/>
      </c>
      <c r="AK28" s="20">
        <f>+'4B. Tel. Expense Assumptions'!AA452-'4B. Tel. Expense Assumptions'!Z452</f>
        <v/>
      </c>
      <c r="AL28" s="20">
        <f>+'4B. Tel. Expense Assumptions'!AB452-'4B. Tel. Expense Assumptions'!AA452</f>
        <v/>
      </c>
      <c r="AM28" s="20">
        <f>+'4B. Tel. Expense Assumptions'!AC452-'4B. Tel. Expense Assumptions'!AB452</f>
        <v/>
      </c>
      <c r="AN28" s="20">
        <f>+'4B. Tel. Expense Assumptions'!AD452-'4B. Tel. Expense Assumptions'!AC452</f>
        <v/>
      </c>
      <c r="AO28" s="20">
        <f>+'4B. Tel. Expense Assumptions'!AE452-'4B. Tel. Expense Assumptions'!AD452</f>
        <v/>
      </c>
      <c r="AP28" s="20">
        <f>+'4B. Tel. Expense Assumptions'!AF452-'4B. Tel. Expense Assumptions'!AE452</f>
        <v/>
      </c>
      <c r="AQ28" s="20">
        <f>+'4B. Tel. Expense Assumptions'!AG452-'4B. Tel. Expense Assumptions'!AF452</f>
        <v/>
      </c>
      <c r="AR28" s="20">
        <f>+'4B. Tel. Expense Assumptions'!AH452-'4B. Tel. Expense Assumptions'!AG452</f>
        <v/>
      </c>
      <c r="AS28" s="20">
        <f>+'4B. Tel. Expense Assumptions'!AI452-'4B. Tel. Expense Assumptions'!AH452</f>
        <v/>
      </c>
      <c r="AT28" s="20">
        <f>+'4B. Tel. Expense Assumptions'!AJ452-'4B. Tel. Expense Assumptions'!AI452</f>
        <v/>
      </c>
      <c r="AU28" s="20">
        <f>+'4B. Tel. Expense Assumptions'!AK452-'4B. Tel. Expense Assumptions'!AJ452</f>
        <v/>
      </c>
      <c r="AV28" s="20">
        <f>+'4B. Tel. Expense Assumptions'!AL452-'4B. Tel. Expense Assumptions'!AK452</f>
        <v/>
      </c>
      <c r="AW28" s="20">
        <f>+'4B. Tel. Expense Assumptions'!AM452-'4B. Tel. Expense Assumptions'!AL452</f>
        <v/>
      </c>
      <c r="AX28" s="20">
        <f>+'4B. Tel. Expense Assumptions'!AN452-'4B. Tel. Expense Assumptions'!AM452</f>
        <v/>
      </c>
      <c r="AY28" s="20">
        <f>+'4B. Tel. Expense Assumptions'!AO452-'4B. Tel. Expense Assumptions'!AN452</f>
        <v/>
      </c>
      <c r="AZ28" s="20">
        <f>+'4B. Tel. Expense Assumptions'!AP452-'4B. Tel. Expense Assumptions'!AO452</f>
        <v/>
      </c>
      <c r="BA28" s="20">
        <f>+'4B. Tel. Expense Assumptions'!AQ452-'4B. Tel. Expense Assumptions'!AP452</f>
        <v/>
      </c>
      <c r="BB28" s="20">
        <f>+'4B. Tel. Expense Assumptions'!AR452-'4B. Tel. Expense Assumptions'!AQ452</f>
        <v/>
      </c>
      <c r="BC28" s="20">
        <f>+'4B. Tel. Expense Assumptions'!AS452-'4B. Tel. Expense Assumptions'!AR452</f>
        <v/>
      </c>
      <c r="BD28" s="20">
        <f>+'4B. Tel. Expense Assumptions'!AT452-'4B. Tel. Expense Assumptions'!AS452</f>
        <v/>
      </c>
      <c r="BE28" s="20">
        <f>+'4B. Tel. Expense Assumptions'!AU452-'4B. Tel. Expense Assumptions'!AT452</f>
        <v/>
      </c>
      <c r="BF28" s="20">
        <f>+'4B. Tel. Expense Assumptions'!AV452-'4B. Tel. Expense Assumptions'!AU452</f>
        <v/>
      </c>
      <c r="BG28" s="20">
        <f>+'4B. Tel. Expense Assumptions'!AW452-'4B. Tel. Expense Assumptions'!AV452</f>
        <v/>
      </c>
      <c r="BH28" s="20">
        <f>+'4B. Tel. Expense Assumptions'!AX452-'4B. Tel. Expense Assumptions'!AW452</f>
        <v/>
      </c>
      <c r="BI28" s="20">
        <f>+'4B. Tel. Expense Assumptions'!AY452-'4B. Tel. Expense Assumptions'!AX452</f>
        <v/>
      </c>
      <c r="BJ28" s="20">
        <f>+'4B. Tel. Expense Assumptions'!AZ452-'4B. Tel. Expense Assumptions'!AY452</f>
        <v/>
      </c>
      <c r="BK28" s="20">
        <f>+'4B. Tel. Expense Assumptions'!BA452-'4B. Tel. Expense Assumptions'!AZ452</f>
        <v/>
      </c>
      <c r="BL28" s="20">
        <f>+'4B. Tel. Expense Assumptions'!BB452-'4B. Tel. Expense Assumptions'!BA452</f>
        <v/>
      </c>
      <c r="BM28" s="20">
        <f>+'4B. Tel. Expense Assumptions'!BC452-'4B. Tel. Expense Assumptions'!BB452</f>
        <v/>
      </c>
      <c r="BN28" s="20">
        <f>+'4B. Tel. Expense Assumptions'!BD452-'4B. Tel. Expense Assumptions'!BC452</f>
        <v/>
      </c>
      <c r="BO28" s="20">
        <f>+'4B. Tel. Expense Assumptions'!BE452-'4B. Tel. Expense Assumptions'!BD452</f>
        <v/>
      </c>
      <c r="BP28" s="20">
        <f>+'4B. Tel. Expense Assumptions'!BF452-'4B. Tel. Expense Assumptions'!BE452</f>
        <v/>
      </c>
      <c r="BQ28" s="20">
        <f>+'4B. Tel. Expense Assumptions'!BG452-'4B. Tel. Expense Assumptions'!BF452</f>
        <v/>
      </c>
      <c r="BR28" s="20">
        <f>+'4B. Tel. Expense Assumptions'!BH452-'4B. Tel. Expense Assumptions'!BG452</f>
        <v/>
      </c>
      <c r="BS28" s="20">
        <f>+'4B. Tel. Expense Assumptions'!BI452-'4B. Tel. Expense Assumptions'!BH452</f>
        <v/>
      </c>
      <c r="BT28" s="20">
        <f>+'4B. Tel. Expense Assumptions'!BJ452-'4B. Tel. Expense Assumptions'!BI452</f>
        <v/>
      </c>
      <c r="BU28" s="20">
        <f>+'4B. Tel. Expense Assumptions'!BK452-'4B. Tel. Expense Assumptions'!BJ452</f>
        <v/>
      </c>
      <c r="BV28" s="20">
        <f>+'4B. Tel. Expense Assumptions'!BL452-'4B. Tel. Expense Assumptions'!BK452</f>
        <v/>
      </c>
      <c r="BW28" s="20">
        <f>+'4B. Tel. Expense Assumptions'!BM452-'4B. Tel. Expense Assumptions'!BL452</f>
        <v/>
      </c>
      <c r="BX28" s="20">
        <f>+'4B. Tel. Expense Assumptions'!BN452-'4B. Tel. Expense Assumptions'!BM452</f>
        <v/>
      </c>
      <c r="BY28" s="626" t="n"/>
      <c r="BZ28" s="320" t="n"/>
      <c r="CA28" s="297" t="inlineStr">
        <is>
          <t>Debt</t>
        </is>
      </c>
      <c r="CB28" s="307" t="n"/>
      <c r="CC28" s="307" t="n"/>
      <c r="CD28" s="2015">
        <f>SUM(E28:P28)</f>
        <v/>
      </c>
      <c r="CE28" s="2014">
        <f>SUM(P28:AA28)</f>
        <v/>
      </c>
      <c r="CF28" s="2014">
        <f>SUM(AC28:AN28)</f>
        <v/>
      </c>
      <c r="CG28" s="2014">
        <f>SUM(AN28:AY28)</f>
        <v/>
      </c>
      <c r="CH28" s="2014">
        <f>SUM(AZ28:BK28)</f>
        <v/>
      </c>
      <c r="CI28" s="2014">
        <f>SUM(BL28:BW28)</f>
        <v/>
      </c>
    </row>
    <row r="29" ht="12.75" customHeight="1" s="1883">
      <c r="A29" s="12" t="n"/>
      <c r="B29" s="312" t="n"/>
      <c r="C29" s="7" t="inlineStr">
        <is>
          <t>Equity Investment</t>
        </is>
      </c>
      <c r="D29" s="7" t="n"/>
      <c r="E29" s="20">
        <f>+'6B. Pre-Launch Exps. - Detail'!L221</f>
        <v/>
      </c>
      <c r="F29" s="20">
        <f>+'6B. Pre-Launch Exps. - Detail'!M221</f>
        <v/>
      </c>
      <c r="G29" s="20">
        <f>+'6B. Pre-Launch Exps. - Detail'!N221</f>
        <v/>
      </c>
      <c r="H29" s="20">
        <f>+'6B. Pre-Launch Exps. - Detail'!O221</f>
        <v/>
      </c>
      <c r="I29" s="20">
        <f>+'6B. Pre-Launch Exps. - Detail'!P221</f>
        <v/>
      </c>
      <c r="J29" s="20">
        <f>+'6B. Pre-Launch Exps. - Detail'!Q221</f>
        <v/>
      </c>
      <c r="K29" s="20">
        <f>+'6B. Pre-Launch Exps. - Detail'!L221</f>
        <v/>
      </c>
      <c r="L29" s="20">
        <f>+'6B. Pre-Launch Exps. - Detail'!M221</f>
        <v/>
      </c>
      <c r="M29" s="20">
        <f>+'6B. Pre-Launch Exps. - Detail'!N221</f>
        <v/>
      </c>
      <c r="N29" s="20">
        <f>+'6B. Pre-Launch Exps. - Detail'!O221</f>
        <v/>
      </c>
      <c r="O29" s="20">
        <f>+'6B. Pre-Launch Exps. - Detail'!P221</f>
        <v/>
      </c>
      <c r="P29" s="20">
        <f>+'6B. Pre-Launch Exps. - Detail'!Q221</f>
        <v/>
      </c>
      <c r="Q29" s="20">
        <f>+'4B. Tel. Expense Assumptions'!G442</f>
        <v/>
      </c>
      <c r="R29" s="20">
        <f>+'4B. Tel. Expense Assumptions'!H442</f>
        <v/>
      </c>
      <c r="S29" s="20">
        <f>+'4B. Tel. Expense Assumptions'!I442</f>
        <v/>
      </c>
      <c r="T29" s="20">
        <f>+'4B. Tel. Expense Assumptions'!J442</f>
        <v/>
      </c>
      <c r="U29" s="20">
        <f>+'4B. Tel. Expense Assumptions'!K442</f>
        <v/>
      </c>
      <c r="V29" s="20">
        <f>+'4B. Tel. Expense Assumptions'!L442</f>
        <v/>
      </c>
      <c r="W29" s="20">
        <f>+'4B. Tel. Expense Assumptions'!M442</f>
        <v/>
      </c>
      <c r="X29" s="20">
        <f>+'4B. Tel. Expense Assumptions'!N442</f>
        <v/>
      </c>
      <c r="Y29" s="20">
        <f>+'4B. Tel. Expense Assumptions'!O442</f>
        <v/>
      </c>
      <c r="Z29" s="20">
        <f>+'4B. Tel. Expense Assumptions'!P442</f>
        <v/>
      </c>
      <c r="AA29" s="20">
        <f>+'4B. Tel. Expense Assumptions'!Q442</f>
        <v/>
      </c>
      <c r="AB29" s="20">
        <f>+'4B. Tel. Expense Assumptions'!R442</f>
        <v/>
      </c>
      <c r="AC29" s="20">
        <f>+'4B. Tel. Expense Assumptions'!S442</f>
        <v/>
      </c>
      <c r="AD29" s="20">
        <f>+'4B. Tel. Expense Assumptions'!T442</f>
        <v/>
      </c>
      <c r="AE29" s="20">
        <f>+'4B. Tel. Expense Assumptions'!U442</f>
        <v/>
      </c>
      <c r="AF29" s="20">
        <f>+'4B. Tel. Expense Assumptions'!V442</f>
        <v/>
      </c>
      <c r="AG29" s="20">
        <f>+'4B. Tel. Expense Assumptions'!W442</f>
        <v/>
      </c>
      <c r="AH29" s="20">
        <f>+'4B. Tel. Expense Assumptions'!X442</f>
        <v/>
      </c>
      <c r="AI29" s="20">
        <f>+'4B. Tel. Expense Assumptions'!Y442</f>
        <v/>
      </c>
      <c r="AJ29" s="20">
        <f>+'4B. Tel. Expense Assumptions'!Z442</f>
        <v/>
      </c>
      <c r="AK29" s="20">
        <f>+'4B. Tel. Expense Assumptions'!AA442</f>
        <v/>
      </c>
      <c r="AL29" s="20">
        <f>+'4B. Tel. Expense Assumptions'!AB442</f>
        <v/>
      </c>
      <c r="AM29" s="20">
        <f>+'4B. Tel. Expense Assumptions'!AC442</f>
        <v/>
      </c>
      <c r="AN29" s="20">
        <f>+'4B. Tel. Expense Assumptions'!AD442</f>
        <v/>
      </c>
      <c r="AO29" s="20">
        <f>+'4B. Tel. Expense Assumptions'!AE442</f>
        <v/>
      </c>
      <c r="AP29" s="20">
        <f>+'4B. Tel. Expense Assumptions'!AF442</f>
        <v/>
      </c>
      <c r="AQ29" s="20">
        <f>+'4B. Tel. Expense Assumptions'!AG442</f>
        <v/>
      </c>
      <c r="AR29" s="20">
        <f>+'4B. Tel. Expense Assumptions'!AH442</f>
        <v/>
      </c>
      <c r="AS29" s="20">
        <f>+'4B. Tel. Expense Assumptions'!AI442</f>
        <v/>
      </c>
      <c r="AT29" s="20">
        <f>+'4B. Tel. Expense Assumptions'!AJ442</f>
        <v/>
      </c>
      <c r="AU29" s="20">
        <f>+'4B. Tel. Expense Assumptions'!AK442</f>
        <v/>
      </c>
      <c r="AV29" s="20">
        <f>+'4B. Tel. Expense Assumptions'!AL442</f>
        <v/>
      </c>
      <c r="AW29" s="20">
        <f>+'4B. Tel. Expense Assumptions'!AM442</f>
        <v/>
      </c>
      <c r="AX29" s="20">
        <f>+'4B. Tel. Expense Assumptions'!AN442</f>
        <v/>
      </c>
      <c r="AY29" s="20">
        <f>+'4B. Tel. Expense Assumptions'!AO442</f>
        <v/>
      </c>
      <c r="AZ29" s="20">
        <f>+'4B. Tel. Expense Assumptions'!AP442</f>
        <v/>
      </c>
      <c r="BA29" s="20">
        <f>+'4B. Tel. Expense Assumptions'!AQ442</f>
        <v/>
      </c>
      <c r="BB29" s="20">
        <f>+'4B. Tel. Expense Assumptions'!AR442</f>
        <v/>
      </c>
      <c r="BC29" s="20">
        <f>+'4B. Tel. Expense Assumptions'!AS442</f>
        <v/>
      </c>
      <c r="BD29" s="20">
        <f>+'4B. Tel. Expense Assumptions'!AT442</f>
        <v/>
      </c>
      <c r="BE29" s="20">
        <f>+'4B. Tel. Expense Assumptions'!AU442</f>
        <v/>
      </c>
      <c r="BF29" s="20">
        <f>+'4B. Tel. Expense Assumptions'!AV442</f>
        <v/>
      </c>
      <c r="BG29" s="20">
        <f>+'4B. Tel. Expense Assumptions'!AW442</f>
        <v/>
      </c>
      <c r="BH29" s="20">
        <f>+'4B. Tel. Expense Assumptions'!AX442</f>
        <v/>
      </c>
      <c r="BI29" s="20">
        <f>+'4B. Tel. Expense Assumptions'!AY442</f>
        <v/>
      </c>
      <c r="BJ29" s="20">
        <f>+'4B. Tel. Expense Assumptions'!AZ442</f>
        <v/>
      </c>
      <c r="BK29" s="20">
        <f>+'4B. Tel. Expense Assumptions'!BA442</f>
        <v/>
      </c>
      <c r="BL29" s="20">
        <f>+'4B. Tel. Expense Assumptions'!BB442</f>
        <v/>
      </c>
      <c r="BM29" s="20">
        <f>+'4B. Tel. Expense Assumptions'!BC442</f>
        <v/>
      </c>
      <c r="BN29" s="20">
        <f>+'4B. Tel. Expense Assumptions'!BD442</f>
        <v/>
      </c>
      <c r="BO29" s="20">
        <f>+'4B. Tel. Expense Assumptions'!BE442</f>
        <v/>
      </c>
      <c r="BP29" s="20">
        <f>+'4B. Tel. Expense Assumptions'!BF442</f>
        <v/>
      </c>
      <c r="BQ29" s="20">
        <f>+'4B. Tel. Expense Assumptions'!BG442</f>
        <v/>
      </c>
      <c r="BR29" s="20">
        <f>+'4B. Tel. Expense Assumptions'!BH442</f>
        <v/>
      </c>
      <c r="BS29" s="20">
        <f>+'4B. Tel. Expense Assumptions'!BI442</f>
        <v/>
      </c>
      <c r="BT29" s="20">
        <f>+'4B. Tel. Expense Assumptions'!BJ442</f>
        <v/>
      </c>
      <c r="BU29" s="20">
        <f>+'4B. Tel. Expense Assumptions'!BK442</f>
        <v/>
      </c>
      <c r="BV29" s="20">
        <f>+'4B. Tel. Expense Assumptions'!BL442</f>
        <v/>
      </c>
      <c r="BW29" s="20">
        <f>+'4B. Tel. Expense Assumptions'!BM442</f>
        <v/>
      </c>
      <c r="BX29" s="20">
        <f>+'4B. Tel. Expense Assumptions'!BN442</f>
        <v/>
      </c>
      <c r="BY29" s="626" t="n"/>
      <c r="BZ29" s="320" t="n"/>
      <c r="CA29" s="297" t="inlineStr">
        <is>
          <t>Equity Investment</t>
        </is>
      </c>
      <c r="CB29" s="307" t="n"/>
      <c r="CC29" s="307" t="n"/>
      <c r="CD29" s="2015">
        <f>SUM(E29:P29)</f>
        <v/>
      </c>
      <c r="CE29" s="2014">
        <f>SUM(P29:AA29)</f>
        <v/>
      </c>
      <c r="CF29" s="2014">
        <f>SUM(AC29:AN29)</f>
        <v/>
      </c>
      <c r="CG29" s="2014">
        <f>SUM(AN29:AY29)</f>
        <v/>
      </c>
      <c r="CH29" s="2014">
        <f>SUM(AZ29:BK29)</f>
        <v/>
      </c>
      <c r="CI29" s="2014">
        <f>SUM(BL29:BW29)</f>
        <v/>
      </c>
    </row>
    <row r="30" ht="12.75" customHeight="1" s="1883">
      <c r="A30" s="12" t="n"/>
      <c r="B30" s="312" t="n"/>
      <c r="C30" s="7" t="inlineStr">
        <is>
          <t>Trade Finance</t>
        </is>
      </c>
      <c r="D30" s="7" t="n"/>
      <c r="E30" s="1372" t="n">
        <v>0</v>
      </c>
      <c r="F30" s="1372" t="n">
        <v>0</v>
      </c>
      <c r="G30" s="1372" t="n">
        <v>0</v>
      </c>
      <c r="H30" s="1372" t="n">
        <v>0</v>
      </c>
      <c r="I30" s="1372">
        <f>+'4B. Tel. Expense Assumptions'!E422-'4B. Tel. Expense Assumptions'!D422</f>
        <v/>
      </c>
      <c r="J30" s="1372">
        <f>+'4B. Tel. Expense Assumptions'!F422-'4B. Tel. Expense Assumptions'!E422</f>
        <v/>
      </c>
      <c r="K30" s="20" t="n">
        <v>0</v>
      </c>
      <c r="L30" s="20" t="n">
        <v>0</v>
      </c>
      <c r="M30" s="20" t="n">
        <v>0</v>
      </c>
      <c r="N30" s="20" t="n">
        <v>0</v>
      </c>
      <c r="O30" s="20">
        <f>+'4B. Tel. Expense Assumptions'!E422-'4B. Tel. Expense Assumptions'!D422</f>
        <v/>
      </c>
      <c r="P30" s="20">
        <f>+'4B. Tel. Expense Assumptions'!F422-'4B. Tel. Expense Assumptions'!E422</f>
        <v/>
      </c>
      <c r="Q30" s="20">
        <f>+'4B. Tel. Expense Assumptions'!G422-'4B. Tel. Expense Assumptions'!F422</f>
        <v/>
      </c>
      <c r="R30" s="20">
        <f>+'4B. Tel. Expense Assumptions'!H422-'4B. Tel. Expense Assumptions'!G422</f>
        <v/>
      </c>
      <c r="S30" s="20">
        <f>+'4B. Tel. Expense Assumptions'!I422-'4B. Tel. Expense Assumptions'!H422</f>
        <v/>
      </c>
      <c r="T30" s="20">
        <f>+'4B. Tel. Expense Assumptions'!J422-'4B. Tel. Expense Assumptions'!I422</f>
        <v/>
      </c>
      <c r="U30" s="20">
        <f>+'4B. Tel. Expense Assumptions'!K422-'4B. Tel. Expense Assumptions'!J422</f>
        <v/>
      </c>
      <c r="V30" s="20">
        <f>+'4B. Tel. Expense Assumptions'!L422-'4B. Tel. Expense Assumptions'!K422</f>
        <v/>
      </c>
      <c r="W30" s="20">
        <f>+'4B. Tel. Expense Assumptions'!M422-'4B. Tel. Expense Assumptions'!L422</f>
        <v/>
      </c>
      <c r="X30" s="20">
        <f>+'4B. Tel. Expense Assumptions'!N422-'4B. Tel. Expense Assumptions'!M422</f>
        <v/>
      </c>
      <c r="Y30" s="20">
        <f>+'4B. Tel. Expense Assumptions'!O422-'4B. Tel. Expense Assumptions'!N422</f>
        <v/>
      </c>
      <c r="Z30" s="20">
        <f>+'4B. Tel. Expense Assumptions'!P422-'4B. Tel. Expense Assumptions'!O422</f>
        <v/>
      </c>
      <c r="AA30" s="20">
        <f>+'4B. Tel. Expense Assumptions'!Q422-'4B. Tel. Expense Assumptions'!P422</f>
        <v/>
      </c>
      <c r="AB30" s="20">
        <f>+'4B. Tel. Expense Assumptions'!R422-'4B. Tel. Expense Assumptions'!Q422</f>
        <v/>
      </c>
      <c r="AC30" s="20">
        <f>+'4B. Tel. Expense Assumptions'!S422-'4B. Tel. Expense Assumptions'!R422</f>
        <v/>
      </c>
      <c r="AD30" s="20">
        <f>+'4B. Tel. Expense Assumptions'!T422-'4B. Tel. Expense Assumptions'!S422</f>
        <v/>
      </c>
      <c r="AE30" s="20">
        <f>+'4B. Tel. Expense Assumptions'!U422-'4B. Tel. Expense Assumptions'!T422</f>
        <v/>
      </c>
      <c r="AF30" s="20">
        <f>+'4B. Tel. Expense Assumptions'!V422-'4B. Tel. Expense Assumptions'!U422</f>
        <v/>
      </c>
      <c r="AG30" s="20">
        <f>+'4B. Tel. Expense Assumptions'!W422-'4B. Tel. Expense Assumptions'!V422</f>
        <v/>
      </c>
      <c r="AH30" s="20">
        <f>+'4B. Tel. Expense Assumptions'!X422-'4B. Tel. Expense Assumptions'!W422</f>
        <v/>
      </c>
      <c r="AI30" s="20">
        <f>+'4B. Tel. Expense Assumptions'!Y422-'4B. Tel. Expense Assumptions'!X422</f>
        <v/>
      </c>
      <c r="AJ30" s="20">
        <f>+'4B. Tel. Expense Assumptions'!Z422-'4B. Tel. Expense Assumptions'!Y422</f>
        <v/>
      </c>
      <c r="AK30" s="20">
        <f>+'4B. Tel. Expense Assumptions'!AA422-'4B. Tel. Expense Assumptions'!Z422</f>
        <v/>
      </c>
      <c r="AL30" s="20">
        <f>+'4B. Tel. Expense Assumptions'!AB422-'4B. Tel. Expense Assumptions'!AA422</f>
        <v/>
      </c>
      <c r="AM30" s="20">
        <f>+'4B. Tel. Expense Assumptions'!AC422-'4B. Tel. Expense Assumptions'!AB422</f>
        <v/>
      </c>
      <c r="AN30" s="20">
        <f>+'4B. Tel. Expense Assumptions'!AD422-'4B. Tel. Expense Assumptions'!AC422</f>
        <v/>
      </c>
      <c r="AO30" s="20">
        <f>+'4B. Tel. Expense Assumptions'!AE422-'4B. Tel. Expense Assumptions'!AD422</f>
        <v/>
      </c>
      <c r="AP30" s="20">
        <f>+'4B. Tel. Expense Assumptions'!AF422-'4B. Tel. Expense Assumptions'!AE422</f>
        <v/>
      </c>
      <c r="AQ30" s="20">
        <f>+'4B. Tel. Expense Assumptions'!AG422-'4B. Tel. Expense Assumptions'!AF422</f>
        <v/>
      </c>
      <c r="AR30" s="20">
        <f>+'4B. Tel. Expense Assumptions'!AH422-'4B. Tel. Expense Assumptions'!AG422</f>
        <v/>
      </c>
      <c r="AS30" s="20">
        <f>+'4B. Tel. Expense Assumptions'!AI422-'4B. Tel. Expense Assumptions'!AH422</f>
        <v/>
      </c>
      <c r="AT30" s="20">
        <f>+'4B. Tel. Expense Assumptions'!AJ422-'4B. Tel. Expense Assumptions'!AI422</f>
        <v/>
      </c>
      <c r="AU30" s="20">
        <f>+'4B. Tel. Expense Assumptions'!AK422-'4B. Tel. Expense Assumptions'!AJ422</f>
        <v/>
      </c>
      <c r="AV30" s="20">
        <f>+'4B. Tel. Expense Assumptions'!AL422-'4B. Tel. Expense Assumptions'!AK422</f>
        <v/>
      </c>
      <c r="AW30" s="20">
        <f>+'4B. Tel. Expense Assumptions'!AM422-'4B. Tel. Expense Assumptions'!AL422</f>
        <v/>
      </c>
      <c r="AX30" s="20">
        <f>+'4B. Tel. Expense Assumptions'!AN422-'4B. Tel. Expense Assumptions'!AM422</f>
        <v/>
      </c>
      <c r="AY30" s="20">
        <f>+'4B. Tel. Expense Assumptions'!AO422-'4B. Tel. Expense Assumptions'!AN422</f>
        <v/>
      </c>
      <c r="AZ30" s="20">
        <f>+'4B. Tel. Expense Assumptions'!AP422-'4B. Tel. Expense Assumptions'!AO422</f>
        <v/>
      </c>
      <c r="BA30" s="20">
        <f>+'4B. Tel. Expense Assumptions'!AQ422-'4B. Tel. Expense Assumptions'!AP422</f>
        <v/>
      </c>
      <c r="BB30" s="20">
        <f>+'4B. Tel. Expense Assumptions'!AR422-'4B. Tel. Expense Assumptions'!AQ422</f>
        <v/>
      </c>
      <c r="BC30" s="20">
        <f>+'4B. Tel. Expense Assumptions'!AS422-'4B. Tel. Expense Assumptions'!AR422</f>
        <v/>
      </c>
      <c r="BD30" s="20">
        <f>+'4B. Tel. Expense Assumptions'!AT422-'4B. Tel. Expense Assumptions'!AS422</f>
        <v/>
      </c>
      <c r="BE30" s="20">
        <f>+'4B. Tel. Expense Assumptions'!AU422-'4B. Tel. Expense Assumptions'!AT422</f>
        <v/>
      </c>
      <c r="BF30" s="20">
        <f>+'4B. Tel. Expense Assumptions'!AV422-'4B. Tel. Expense Assumptions'!AU422</f>
        <v/>
      </c>
      <c r="BG30" s="20">
        <f>+'4B. Tel. Expense Assumptions'!AW422-'4B. Tel. Expense Assumptions'!AV422</f>
        <v/>
      </c>
      <c r="BH30" s="20">
        <f>+'4B. Tel. Expense Assumptions'!AX422-'4B. Tel. Expense Assumptions'!AW422</f>
        <v/>
      </c>
      <c r="BI30" s="20">
        <f>+'4B. Tel. Expense Assumptions'!AY422-'4B. Tel. Expense Assumptions'!AX422</f>
        <v/>
      </c>
      <c r="BJ30" s="20">
        <f>+'4B. Tel. Expense Assumptions'!AZ422-'4B. Tel. Expense Assumptions'!AY422</f>
        <v/>
      </c>
      <c r="BK30" s="20">
        <f>+'4B. Tel. Expense Assumptions'!BA422-'4B. Tel. Expense Assumptions'!AZ422</f>
        <v/>
      </c>
      <c r="BL30" s="20">
        <f>+'4B. Tel. Expense Assumptions'!BB422-'4B. Tel. Expense Assumptions'!BA422</f>
        <v/>
      </c>
      <c r="BM30" s="20">
        <f>+'4B. Tel. Expense Assumptions'!BC422-'4B. Tel. Expense Assumptions'!BB422</f>
        <v/>
      </c>
      <c r="BN30" s="20">
        <f>+'4B. Tel. Expense Assumptions'!BD422-'4B. Tel. Expense Assumptions'!BC422</f>
        <v/>
      </c>
      <c r="BO30" s="20">
        <f>+'4B. Tel. Expense Assumptions'!BE422-'4B. Tel. Expense Assumptions'!BD422</f>
        <v/>
      </c>
      <c r="BP30" s="20">
        <f>+'4B. Tel. Expense Assumptions'!BF422-'4B. Tel. Expense Assumptions'!BE422</f>
        <v/>
      </c>
      <c r="BQ30" s="20">
        <f>+'4B. Tel. Expense Assumptions'!BG422-'4B. Tel. Expense Assumptions'!BF422</f>
        <v/>
      </c>
      <c r="BR30" s="20">
        <f>+'4B. Tel. Expense Assumptions'!BH422-'4B. Tel. Expense Assumptions'!BG422</f>
        <v/>
      </c>
      <c r="BS30" s="20">
        <f>+'4B. Tel. Expense Assumptions'!BI422-'4B. Tel. Expense Assumptions'!BH422</f>
        <v/>
      </c>
      <c r="BT30" s="20">
        <f>+'4B. Tel. Expense Assumptions'!BJ422-'4B. Tel. Expense Assumptions'!BI422</f>
        <v/>
      </c>
      <c r="BU30" s="20">
        <f>+'4B. Tel. Expense Assumptions'!BK422-'4B. Tel. Expense Assumptions'!BJ422</f>
        <v/>
      </c>
      <c r="BV30" s="20">
        <f>+'4B. Tel. Expense Assumptions'!BL422-'4B. Tel. Expense Assumptions'!BK422</f>
        <v/>
      </c>
      <c r="BW30" s="20">
        <f>+'4B. Tel. Expense Assumptions'!BM422-'4B. Tel. Expense Assumptions'!BL422</f>
        <v/>
      </c>
      <c r="BX30" s="20">
        <f>+'4B. Tel. Expense Assumptions'!BN422-'4B. Tel. Expense Assumptions'!BM422</f>
        <v/>
      </c>
      <c r="BY30" s="626" t="n"/>
      <c r="BZ30" s="320" t="n"/>
      <c r="CA30" s="297" t="inlineStr">
        <is>
          <t>Trade Finance</t>
        </is>
      </c>
      <c r="CB30" s="307" t="n"/>
      <c r="CC30" s="307" t="n"/>
      <c r="CD30" s="2015">
        <f>SUM(E30:Z30)</f>
        <v/>
      </c>
      <c r="CE30" s="2014">
        <f>SUM(P30:AA30)</f>
        <v/>
      </c>
      <c r="CF30" s="2014">
        <f>SUM(AC30:AN30)</f>
        <v/>
      </c>
      <c r="CG30" s="2014">
        <f>SUM(AN30:AY30)</f>
        <v/>
      </c>
      <c r="CH30" s="2014">
        <f>SUM(AZ30:BK30)</f>
        <v/>
      </c>
      <c r="CI30" s="2014">
        <f>SUM(BL30:BW30)</f>
        <v/>
      </c>
    </row>
    <row r="31" ht="12.75" customHeight="1" s="1883">
      <c r="A31" s="12" t="n"/>
      <c r="B31" s="25" t="n"/>
      <c r="C31" s="25" t="inlineStr">
        <is>
          <t>Net Cash Flow from Financing</t>
        </is>
      </c>
      <c r="D31" s="25" t="n"/>
      <c r="E31" s="1378">
        <f>SUM(E28:E30)</f>
        <v/>
      </c>
      <c r="F31" s="354">
        <f>SUM(F28:F30)</f>
        <v/>
      </c>
      <c r="G31" s="354">
        <f>SUM(G28:G30)</f>
        <v/>
      </c>
      <c r="H31" s="354">
        <f>SUM(H28:H30)</f>
        <v/>
      </c>
      <c r="I31" s="354">
        <f>SUM(I28:I30)</f>
        <v/>
      </c>
      <c r="J31" s="354">
        <f>SUM(J28:J30)</f>
        <v/>
      </c>
      <c r="K31" s="1378">
        <f>SUM(K28:K30)</f>
        <v/>
      </c>
      <c r="L31" s="1378">
        <f>SUM(L28:L30)</f>
        <v/>
      </c>
      <c r="M31" s="1378">
        <f>SUM(M28:M30)</f>
        <v/>
      </c>
      <c r="N31" s="1378">
        <f>SUM(N28:N30)</f>
        <v/>
      </c>
      <c r="O31" s="1378">
        <f>SUM(O28:O30)</f>
        <v/>
      </c>
      <c r="P31" s="1378">
        <f>SUM(P28:P30)</f>
        <v/>
      </c>
      <c r="Q31" s="1378">
        <f>SUM(Q28:Q30)</f>
        <v/>
      </c>
      <c r="R31" s="1378">
        <f>SUM(R28:R30)</f>
        <v/>
      </c>
      <c r="S31" s="1378">
        <f>SUM(S28:S30)</f>
        <v/>
      </c>
      <c r="T31" s="1378">
        <f>SUM(T28:T30)</f>
        <v/>
      </c>
      <c r="U31" s="1378">
        <f>SUM(U28:U30)</f>
        <v/>
      </c>
      <c r="V31" s="1378">
        <f>SUM(V28:V30)</f>
        <v/>
      </c>
      <c r="W31" s="1378">
        <f>SUM(W28:W30)</f>
        <v/>
      </c>
      <c r="X31" s="1378">
        <f>SUM(X28:X30)</f>
        <v/>
      </c>
      <c r="Y31" s="1378">
        <f>SUM(Y28:Y30)</f>
        <v/>
      </c>
      <c r="Z31" s="1378">
        <f>SUM(Z28:Z30)</f>
        <v/>
      </c>
      <c r="AA31" s="1378">
        <f>SUM(AA28:AA30)</f>
        <v/>
      </c>
      <c r="AB31" s="1378">
        <f>SUM(AB28:AB30)</f>
        <v/>
      </c>
      <c r="AC31" s="1378">
        <f>SUM(AC28:AC30)</f>
        <v/>
      </c>
      <c r="AD31" s="1378">
        <f>SUM(AD28:AD30)</f>
        <v/>
      </c>
      <c r="AE31" s="1378">
        <f>SUM(AE28:AE30)</f>
        <v/>
      </c>
      <c r="AF31" s="1378">
        <f>SUM(AF28:AF30)</f>
        <v/>
      </c>
      <c r="AG31" s="1378">
        <f>SUM(AG28:AG30)</f>
        <v/>
      </c>
      <c r="AH31" s="1378">
        <f>SUM(AH28:AH30)</f>
        <v/>
      </c>
      <c r="AI31" s="1378">
        <f>SUM(AI28:AI30)</f>
        <v/>
      </c>
      <c r="AJ31" s="1378">
        <f>SUM(AJ28:AJ30)</f>
        <v/>
      </c>
      <c r="AK31" s="1378">
        <f>SUM(AK28:AK30)</f>
        <v/>
      </c>
      <c r="AL31" s="1378">
        <f>SUM(AL28:AL30)</f>
        <v/>
      </c>
      <c r="AM31" s="1378">
        <f>SUM(AM28:AM30)</f>
        <v/>
      </c>
      <c r="AN31" s="1378">
        <f>SUM(AN28:AN30)</f>
        <v/>
      </c>
      <c r="AO31" s="1378">
        <f>SUM(AO28:AO30)</f>
        <v/>
      </c>
      <c r="AP31" s="1378">
        <f>SUM(AP28:AP30)</f>
        <v/>
      </c>
      <c r="AQ31" s="1378">
        <f>SUM(AQ28:AQ30)</f>
        <v/>
      </c>
      <c r="AR31" s="1378">
        <f>SUM(AR28:AR30)</f>
        <v/>
      </c>
      <c r="AS31" s="1378">
        <f>SUM(AS28:AS30)</f>
        <v/>
      </c>
      <c r="AT31" s="1378">
        <f>SUM(AT28:AT30)</f>
        <v/>
      </c>
      <c r="AU31" s="1378">
        <f>SUM(AU28:AU30)</f>
        <v/>
      </c>
      <c r="AV31" s="1378">
        <f>SUM(AV28:AV30)</f>
        <v/>
      </c>
      <c r="AW31" s="1378">
        <f>SUM(AW28:AW30)</f>
        <v/>
      </c>
      <c r="AX31" s="1378">
        <f>SUM(AX28:AX30)</f>
        <v/>
      </c>
      <c r="AY31" s="1378">
        <f>SUM(AY28:AY30)</f>
        <v/>
      </c>
      <c r="AZ31" s="1378">
        <f>SUM(AZ28:AZ30)</f>
        <v/>
      </c>
      <c r="BA31" s="1378">
        <f>SUM(BA28:BA30)</f>
        <v/>
      </c>
      <c r="BB31" s="1378">
        <f>SUM(BB28:BB30)</f>
        <v/>
      </c>
      <c r="BC31" s="1378">
        <f>SUM(BC28:BC30)</f>
        <v/>
      </c>
      <c r="BD31" s="1378">
        <f>SUM(BD28:BD30)</f>
        <v/>
      </c>
      <c r="BE31" s="1378">
        <f>SUM(BE28:BE30)</f>
        <v/>
      </c>
      <c r="BF31" s="1378">
        <f>SUM(BF28:BF30)</f>
        <v/>
      </c>
      <c r="BG31" s="1378">
        <f>SUM(BG28:BG30)</f>
        <v/>
      </c>
      <c r="BH31" s="1378">
        <f>SUM(BH28:BH30)</f>
        <v/>
      </c>
      <c r="BI31" s="1378">
        <f>SUM(BI28:BI30)</f>
        <v/>
      </c>
      <c r="BJ31" s="1378">
        <f>SUM(BJ28:BJ30)</f>
        <v/>
      </c>
      <c r="BK31" s="1378">
        <f>SUM(BK28:BK30)</f>
        <v/>
      </c>
      <c r="BL31" s="1378">
        <f>SUM(BL28:BL30)</f>
        <v/>
      </c>
      <c r="BM31" s="1378">
        <f>SUM(BM28:BM30)</f>
        <v/>
      </c>
      <c r="BN31" s="1378">
        <f>SUM(BN28:BN30)</f>
        <v/>
      </c>
      <c r="BO31" s="1378">
        <f>SUM(BO28:BO30)</f>
        <v/>
      </c>
      <c r="BP31" s="1378">
        <f>SUM(BP28:BP30)</f>
        <v/>
      </c>
      <c r="BQ31" s="1378">
        <f>SUM(BQ28:BQ30)</f>
        <v/>
      </c>
      <c r="BR31" s="1378">
        <f>SUM(BR28:BR30)</f>
        <v/>
      </c>
      <c r="BS31" s="1378">
        <f>SUM(BS28:BS30)</f>
        <v/>
      </c>
      <c r="BT31" s="1378">
        <f>SUM(BT28:BT30)</f>
        <v/>
      </c>
      <c r="BU31" s="1378">
        <f>SUM(BU28:BU30)</f>
        <v/>
      </c>
      <c r="BV31" s="1378">
        <f>SUM(BV28:BV30)</f>
        <v/>
      </c>
      <c r="BW31" s="1378">
        <f>SUM(BW28:BW30)</f>
        <v/>
      </c>
      <c r="BX31" s="1378">
        <f>SUM(BX28:BX30)</f>
        <v/>
      </c>
      <c r="BY31" s="626" t="n"/>
      <c r="BZ31" s="295" t="n"/>
      <c r="CA31" s="295" t="inlineStr">
        <is>
          <t>Net Cash Flow from Financing</t>
        </is>
      </c>
      <c r="CB31" s="307" t="n"/>
      <c r="CC31" s="307" t="n"/>
      <c r="CD31" s="2015">
        <f>SUM(E31:P31)</f>
        <v/>
      </c>
      <c r="CE31" s="2014">
        <f>SUM(P31:AA31)</f>
        <v/>
      </c>
      <c r="CF31" s="2014">
        <f>SUM(AC31:AN31)</f>
        <v/>
      </c>
      <c r="CG31" s="2014">
        <f>SUM(AN31:AY31)</f>
        <v/>
      </c>
      <c r="CH31" s="2014">
        <f>SUM(AZ31:BK31)</f>
        <v/>
      </c>
      <c r="CI31" s="2014">
        <f>SUM(BL31:BW31)</f>
        <v/>
      </c>
    </row>
    <row r="32" ht="12.75" customHeight="1" s="1883">
      <c r="A32" s="12" t="n"/>
      <c r="B32" s="25" t="n"/>
      <c r="C32" s="7" t="n"/>
      <c r="D32" s="7"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c r="AE32" s="20" t="n"/>
      <c r="AF32" s="20" t="n"/>
      <c r="AG32" s="20" t="n"/>
      <c r="AH32" s="20" t="n"/>
      <c r="AI32" s="20" t="n"/>
      <c r="AJ32" s="20" t="n"/>
      <c r="AK32" s="20" t="n"/>
      <c r="AL32" s="20" t="n"/>
      <c r="AM32" s="20" t="n"/>
      <c r="AN32" s="20" t="n"/>
      <c r="AO32" s="20" t="n"/>
      <c r="AP32" s="20" t="n"/>
      <c r="AQ32" s="20" t="n"/>
      <c r="AR32" s="20" t="n"/>
      <c r="AS32" s="20" t="n"/>
      <c r="AT32" s="20" t="n"/>
      <c r="AU32" s="20" t="n"/>
      <c r="AV32" s="20" t="n"/>
      <c r="AW32" s="20" t="n"/>
      <c r="AX32" s="20" t="n"/>
      <c r="AY32" s="20" t="n"/>
      <c r="AZ32" s="20" t="n"/>
      <c r="BA32" s="20" t="n"/>
      <c r="BB32" s="20" t="n"/>
      <c r="BC32" s="20" t="n"/>
      <c r="BD32" s="20" t="n"/>
      <c r="BE32" s="20" t="n"/>
      <c r="BF32" s="20" t="n"/>
      <c r="BG32" s="20" t="n"/>
      <c r="BH32" s="20" t="n"/>
      <c r="BI32" s="20" t="n"/>
      <c r="BJ32" s="20" t="n"/>
      <c r="BK32" s="20" t="n"/>
      <c r="BL32" s="20" t="n"/>
      <c r="BM32" s="20" t="n"/>
      <c r="BN32" s="20" t="n"/>
      <c r="BO32" s="20" t="n"/>
      <c r="BP32" s="20" t="n"/>
      <c r="BQ32" s="20" t="n"/>
      <c r="BR32" s="20" t="n"/>
      <c r="BS32" s="20" t="n"/>
      <c r="BT32" s="20" t="n"/>
      <c r="BU32" s="20" t="n"/>
      <c r="BV32" s="20" t="n"/>
      <c r="BW32" s="20" t="n"/>
      <c r="BX32" s="20" t="n"/>
      <c r="BY32" s="626" t="n"/>
      <c r="BZ32" s="295" t="n"/>
      <c r="CA32" s="297" t="n"/>
      <c r="CB32" s="307" t="n"/>
      <c r="CC32" s="307" t="n"/>
      <c r="CD32" s="2015">
        <f>SUM(E32:Z32)</f>
        <v/>
      </c>
      <c r="CE32" s="2014">
        <f>SUM(P32:AA32)</f>
        <v/>
      </c>
      <c r="CF32" s="2014">
        <f>SUM(AC32:AN32)</f>
        <v/>
      </c>
      <c r="CG32" s="2014">
        <f>SUM(AN32:AY32)</f>
        <v/>
      </c>
      <c r="CH32" s="2014">
        <f>SUM(AZ32:BK32)</f>
        <v/>
      </c>
      <c r="CI32" s="2014">
        <f>SUM(BL32:BW32)</f>
        <v/>
      </c>
    </row>
    <row r="33" ht="12.75" customHeight="1" s="1883">
      <c r="A33" s="12" t="n"/>
      <c r="B33" s="312" t="n"/>
      <c r="C33" s="7" t="inlineStr">
        <is>
          <t>Net Cash Flow</t>
        </is>
      </c>
      <c r="D33" s="25" t="n"/>
      <c r="E33" s="20">
        <f>+E20+E25+E31</f>
        <v/>
      </c>
      <c r="F33" s="20">
        <f>+F20+F25+F31</f>
        <v/>
      </c>
      <c r="G33" s="20">
        <f>+G20+G25+G31</f>
        <v/>
      </c>
      <c r="H33" s="20">
        <f>+H20+H25+H31</f>
        <v/>
      </c>
      <c r="I33" s="20">
        <f>+I20+I25+I31</f>
        <v/>
      </c>
      <c r="J33" s="20">
        <f>+J20+J25+J31</f>
        <v/>
      </c>
      <c r="K33" s="20">
        <f>+K20+K25+K31</f>
        <v/>
      </c>
      <c r="L33" s="20">
        <f>+L20+L25+L31</f>
        <v/>
      </c>
      <c r="M33" s="20">
        <f>+M20+M25+M31</f>
        <v/>
      </c>
      <c r="N33" s="20">
        <f>+N20+N25+N31</f>
        <v/>
      </c>
      <c r="O33" s="20">
        <f>+O20+O25+O31</f>
        <v/>
      </c>
      <c r="P33" s="20">
        <f>+P20+P25+P31</f>
        <v/>
      </c>
      <c r="Q33" s="20">
        <f>+Q20+Q25+Q31</f>
        <v/>
      </c>
      <c r="R33" s="20">
        <f>+R20+R25+R31</f>
        <v/>
      </c>
      <c r="S33" s="20">
        <f>+S20+S25+S31</f>
        <v/>
      </c>
      <c r="T33" s="20">
        <f>+T20+T25+T31</f>
        <v/>
      </c>
      <c r="U33" s="20">
        <f>+U20+U25+U31</f>
        <v/>
      </c>
      <c r="V33" s="20">
        <f>+V20+V25+V31</f>
        <v/>
      </c>
      <c r="W33" s="20">
        <f>+W20+W25+W31</f>
        <v/>
      </c>
      <c r="X33" s="20">
        <f>+X20+X25+X31</f>
        <v/>
      </c>
      <c r="Y33" s="20">
        <f>+Y20+Y25+Y31</f>
        <v/>
      </c>
      <c r="Z33" s="20">
        <f>+Z20+Z25+Z31</f>
        <v/>
      </c>
      <c r="AA33" s="20">
        <f>+AA20+AA25+AA31</f>
        <v/>
      </c>
      <c r="AB33" s="20">
        <f>+AB20+AB25+AB31</f>
        <v/>
      </c>
      <c r="AC33" s="20">
        <f>+AC20+AC25+AC31</f>
        <v/>
      </c>
      <c r="AD33" s="20">
        <f>+AD20+AD25+AD31</f>
        <v/>
      </c>
      <c r="AE33" s="20">
        <f>+AE20+AE25+AE31</f>
        <v/>
      </c>
      <c r="AF33" s="20">
        <f>+AF20+AF25+AF31</f>
        <v/>
      </c>
      <c r="AG33" s="20">
        <f>+AG20+AG25+AG31</f>
        <v/>
      </c>
      <c r="AH33" s="20">
        <f>+AH20+AH25+AH31</f>
        <v/>
      </c>
      <c r="AI33" s="20">
        <f>+AI20+AI25+AI31</f>
        <v/>
      </c>
      <c r="AJ33" s="20">
        <f>+AJ20+AJ25+AJ31</f>
        <v/>
      </c>
      <c r="AK33" s="20">
        <f>+AK20+AK25+AK31</f>
        <v/>
      </c>
      <c r="AL33" s="20">
        <f>+AL20+AL25+AL31</f>
        <v/>
      </c>
      <c r="AM33" s="20">
        <f>+AM20+AM25+AM31</f>
        <v/>
      </c>
      <c r="AN33" s="20">
        <f>+AN20+AN25+AN31</f>
        <v/>
      </c>
      <c r="AO33" s="20">
        <f>+AO20+AO25+AO31</f>
        <v/>
      </c>
      <c r="AP33" s="20">
        <f>+AP20+AP25+AP31</f>
        <v/>
      </c>
      <c r="AQ33" s="20">
        <f>+AQ20+AQ25+AQ31</f>
        <v/>
      </c>
      <c r="AR33" s="20">
        <f>+AR20+AR25+AR31</f>
        <v/>
      </c>
      <c r="AS33" s="20">
        <f>+AS20+AS25+AS31</f>
        <v/>
      </c>
      <c r="AT33" s="20">
        <f>+AT20+AT25+AT31</f>
        <v/>
      </c>
      <c r="AU33" s="20">
        <f>+AU20+AU25+AU31</f>
        <v/>
      </c>
      <c r="AV33" s="20">
        <f>+AV20+AV25+AV31</f>
        <v/>
      </c>
      <c r="AW33" s="20">
        <f>+AW20+AW25+AW31</f>
        <v/>
      </c>
      <c r="AX33" s="20">
        <f>+AX20+AX25+AX31</f>
        <v/>
      </c>
      <c r="AY33" s="20">
        <f>+AY20+AY25+AY31</f>
        <v/>
      </c>
      <c r="AZ33" s="20">
        <f>+AZ20+AZ25+AZ31</f>
        <v/>
      </c>
      <c r="BA33" s="20">
        <f>+BA20+BA25+BA31</f>
        <v/>
      </c>
      <c r="BB33" s="20">
        <f>+BB20+BB25+BB31</f>
        <v/>
      </c>
      <c r="BC33" s="20">
        <f>+BC20+BC25+BC31</f>
        <v/>
      </c>
      <c r="BD33" s="20">
        <f>+BD20+BD25+BD31</f>
        <v/>
      </c>
      <c r="BE33" s="20">
        <f>+BE20+BE25+BE31</f>
        <v/>
      </c>
      <c r="BF33" s="20">
        <f>+BF20+BF25+BF31</f>
        <v/>
      </c>
      <c r="BG33" s="20">
        <f>+BG20+BG25+BG31</f>
        <v/>
      </c>
      <c r="BH33" s="20">
        <f>+BH20+BH25+BH31</f>
        <v/>
      </c>
      <c r="BI33" s="20">
        <f>+BI20+BI25+BI31</f>
        <v/>
      </c>
      <c r="BJ33" s="20">
        <f>+BJ20+BJ25+BJ31</f>
        <v/>
      </c>
      <c r="BK33" s="20">
        <f>+BK20+BK25+BK31</f>
        <v/>
      </c>
      <c r="BL33" s="20">
        <f>+BL20+BL25+BL31</f>
        <v/>
      </c>
      <c r="BM33" s="20">
        <f>+BM20+BM25+BM31</f>
        <v/>
      </c>
      <c r="BN33" s="20">
        <f>+BN20+BN25+BN31</f>
        <v/>
      </c>
      <c r="BO33" s="20">
        <f>+BO20+BO25+BO31</f>
        <v/>
      </c>
      <c r="BP33" s="20">
        <f>+BP20+BP25+BP31</f>
        <v/>
      </c>
      <c r="BQ33" s="20">
        <f>+BQ20+BQ25+BQ31</f>
        <v/>
      </c>
      <c r="BR33" s="20">
        <f>+BR20+BR25+BR31</f>
        <v/>
      </c>
      <c r="BS33" s="20">
        <f>+BS20+BS25+BS31</f>
        <v/>
      </c>
      <c r="BT33" s="20">
        <f>+BT20+BT25+BT31</f>
        <v/>
      </c>
      <c r="BU33" s="20">
        <f>+BU20+BU25+BU31</f>
        <v/>
      </c>
      <c r="BV33" s="20">
        <f>+BV20+BV25+BV31</f>
        <v/>
      </c>
      <c r="BW33" s="20">
        <f>+BW20+BW25+BW31</f>
        <v/>
      </c>
      <c r="BX33" s="20">
        <f>+BX20+BX25+BX31</f>
        <v/>
      </c>
      <c r="BY33" s="20" t="n"/>
      <c r="BZ33" s="320" t="n"/>
      <c r="CA33" s="297" t="inlineStr">
        <is>
          <t>Net Cash Flow</t>
        </is>
      </c>
      <c r="CB33" s="304" t="n"/>
      <c r="CC33" s="304" t="n"/>
      <c r="CD33" s="2015">
        <f>SUM(E33:P33)</f>
        <v/>
      </c>
      <c r="CE33" s="2014">
        <f>SUM(Q33:AB33)</f>
        <v/>
      </c>
      <c r="CF33" s="2014">
        <f>SUM(AC33:AN33)</f>
        <v/>
      </c>
      <c r="CG33" s="2014">
        <f>SUM(AO33:AZ33)</f>
        <v/>
      </c>
      <c r="CH33" s="2014">
        <f>SUM(BA33:BL33)</f>
        <v/>
      </c>
      <c r="CI33" s="2014">
        <f>SUM(BM33:BX33)</f>
        <v/>
      </c>
    </row>
    <row r="34" ht="12.75" customHeight="1" s="1883">
      <c r="A34" s="19" t="n"/>
      <c r="B34" s="25" t="n"/>
      <c r="C34" s="7" t="inlineStr">
        <is>
          <t>Cash at Beginning of Period</t>
        </is>
      </c>
      <c r="D34" s="7" t="n"/>
      <c r="E34" s="20" t="n">
        <v>0</v>
      </c>
      <c r="F34" s="20">
        <f>+E35</f>
        <v/>
      </c>
      <c r="G34" s="20">
        <f>+F35</f>
        <v/>
      </c>
      <c r="H34" s="20">
        <f>+G35</f>
        <v/>
      </c>
      <c r="I34" s="20">
        <f>+H35</f>
        <v/>
      </c>
      <c r="J34" s="20">
        <f>+I35</f>
        <v/>
      </c>
      <c r="K34" s="20" t="n">
        <v>0</v>
      </c>
      <c r="L34" s="20">
        <f>+K35</f>
        <v/>
      </c>
      <c r="M34" s="20">
        <f>+L35</f>
        <v/>
      </c>
      <c r="N34" s="20">
        <f>+M35</f>
        <v/>
      </c>
      <c r="O34" s="20">
        <f>+N35</f>
        <v/>
      </c>
      <c r="P34" s="20">
        <f>+O35</f>
        <v/>
      </c>
      <c r="Q34" s="20">
        <f>+P35</f>
        <v/>
      </c>
      <c r="R34" s="20">
        <f>+Q35</f>
        <v/>
      </c>
      <c r="S34" s="20">
        <f>+R35</f>
        <v/>
      </c>
      <c r="T34" s="20">
        <f>+S35</f>
        <v/>
      </c>
      <c r="U34" s="20">
        <f>+T35</f>
        <v/>
      </c>
      <c r="V34" s="20">
        <f>+U35</f>
        <v/>
      </c>
      <c r="W34" s="20">
        <f>+V35</f>
        <v/>
      </c>
      <c r="X34" s="20">
        <f>+W35</f>
        <v/>
      </c>
      <c r="Y34" s="20">
        <f>+X35</f>
        <v/>
      </c>
      <c r="Z34" s="20">
        <f>+Y35</f>
        <v/>
      </c>
      <c r="AA34" s="20">
        <f>+Z35</f>
        <v/>
      </c>
      <c r="AB34" s="20">
        <f>+AA35</f>
        <v/>
      </c>
      <c r="AC34" s="20">
        <f>+AB35</f>
        <v/>
      </c>
      <c r="AD34" s="20">
        <f>+AC35</f>
        <v/>
      </c>
      <c r="AE34" s="20">
        <f>+AD35</f>
        <v/>
      </c>
      <c r="AF34" s="20">
        <f>+AE35</f>
        <v/>
      </c>
      <c r="AG34" s="20">
        <f>+AF35</f>
        <v/>
      </c>
      <c r="AH34" s="20">
        <f>+AG35</f>
        <v/>
      </c>
      <c r="AI34" s="20">
        <f>+AH35</f>
        <v/>
      </c>
      <c r="AJ34" s="20">
        <f>+AI35</f>
        <v/>
      </c>
      <c r="AK34" s="20">
        <f>+AJ35</f>
        <v/>
      </c>
      <c r="AL34" s="20">
        <f>+AK35</f>
        <v/>
      </c>
      <c r="AM34" s="20">
        <f>+AL35</f>
        <v/>
      </c>
      <c r="AN34" s="20">
        <f>+AM35</f>
        <v/>
      </c>
      <c r="AO34" s="20">
        <f>+AN35</f>
        <v/>
      </c>
      <c r="AP34" s="20">
        <f>+AO35</f>
        <v/>
      </c>
      <c r="AQ34" s="20">
        <f>+AP35</f>
        <v/>
      </c>
      <c r="AR34" s="20">
        <f>+AQ35</f>
        <v/>
      </c>
      <c r="AS34" s="20">
        <f>+AR35</f>
        <v/>
      </c>
      <c r="AT34" s="20">
        <f>+AS35</f>
        <v/>
      </c>
      <c r="AU34" s="20">
        <f>+AT35</f>
        <v/>
      </c>
      <c r="AV34" s="20">
        <f>+AU35</f>
        <v/>
      </c>
      <c r="AW34" s="20">
        <f>+AV35</f>
        <v/>
      </c>
      <c r="AX34" s="20">
        <f>+AW35</f>
        <v/>
      </c>
      <c r="AY34" s="20">
        <f>+AX35</f>
        <v/>
      </c>
      <c r="AZ34" s="20">
        <f>+AY35</f>
        <v/>
      </c>
      <c r="BA34" s="20">
        <f>+AZ35</f>
        <v/>
      </c>
      <c r="BB34" s="20">
        <f>+BA35</f>
        <v/>
      </c>
      <c r="BC34" s="20">
        <f>+BB35</f>
        <v/>
      </c>
      <c r="BD34" s="20">
        <f>+BC35</f>
        <v/>
      </c>
      <c r="BE34" s="20">
        <f>+BD35</f>
        <v/>
      </c>
      <c r="BF34" s="20">
        <f>+BE35</f>
        <v/>
      </c>
      <c r="BG34" s="20">
        <f>+BF35</f>
        <v/>
      </c>
      <c r="BH34" s="20">
        <f>+BG35</f>
        <v/>
      </c>
      <c r="BI34" s="20">
        <f>+BH35</f>
        <v/>
      </c>
      <c r="BJ34" s="20">
        <f>+BI35</f>
        <v/>
      </c>
      <c r="BK34" s="20">
        <f>+BJ35</f>
        <v/>
      </c>
      <c r="BL34" s="20">
        <f>+BK35</f>
        <v/>
      </c>
      <c r="BM34" s="20">
        <f>+BL35</f>
        <v/>
      </c>
      <c r="BN34" s="20">
        <f>+BM35</f>
        <v/>
      </c>
      <c r="BO34" s="20">
        <f>+BN35</f>
        <v/>
      </c>
      <c r="BP34" s="20">
        <f>+BO35</f>
        <v/>
      </c>
      <c r="BQ34" s="20">
        <f>+BP35</f>
        <v/>
      </c>
      <c r="BR34" s="20">
        <f>+BQ35</f>
        <v/>
      </c>
      <c r="BS34" s="20">
        <f>+BR35</f>
        <v/>
      </c>
      <c r="BT34" s="20">
        <f>+BS35</f>
        <v/>
      </c>
      <c r="BU34" s="20">
        <f>+BT35</f>
        <v/>
      </c>
      <c r="BV34" s="20">
        <f>+BU35</f>
        <v/>
      </c>
      <c r="BW34" s="20">
        <f>+BV35</f>
        <v/>
      </c>
      <c r="BX34" s="20">
        <f>+BW35</f>
        <v/>
      </c>
      <c r="BY34" s="20" t="n"/>
      <c r="BZ34" s="295" t="n"/>
      <c r="CA34" s="297" t="inlineStr">
        <is>
          <t>Cash at Beginning of Period</t>
        </is>
      </c>
      <c r="CB34" s="304" t="n"/>
      <c r="CC34" s="304" t="n"/>
      <c r="CD34" s="2015">
        <f>SUM(E34:P34)</f>
        <v/>
      </c>
      <c r="CE34" s="2014">
        <f>SUM(Q34:AB34)</f>
        <v/>
      </c>
      <c r="CF34" s="2014">
        <f>SUM(AC34:AN34)</f>
        <v/>
      </c>
      <c r="CG34" s="2014">
        <f>SUM(AO34:AZ34)</f>
        <v/>
      </c>
      <c r="CH34" s="2014">
        <f>SUM(BA34:BL34)</f>
        <v/>
      </c>
      <c r="CI34" s="2014">
        <f>SUM(BM34:BX34)</f>
        <v/>
      </c>
    </row>
    <row r="35" ht="12.75" customHeight="1" s="1883">
      <c r="A35" s="19" t="n"/>
      <c r="B35" s="15" t="n"/>
      <c r="C35" s="15" t="inlineStr">
        <is>
          <t>Cash at End of Period</t>
        </is>
      </c>
      <c r="D35" s="15" t="n"/>
      <c r="E35" s="20">
        <f>+E33+E34</f>
        <v/>
      </c>
      <c r="F35" s="20">
        <f>+F33+F34</f>
        <v/>
      </c>
      <c r="G35" s="20">
        <f>+G33+G34</f>
        <v/>
      </c>
      <c r="H35" s="20">
        <f>+H33+H34</f>
        <v/>
      </c>
      <c r="I35" s="20">
        <f>+I33+I34</f>
        <v/>
      </c>
      <c r="J35" s="20">
        <f>+J33+J34</f>
        <v/>
      </c>
      <c r="K35" s="20">
        <f>+K33+K34</f>
        <v/>
      </c>
      <c r="L35" s="20">
        <f>+L33+L34</f>
        <v/>
      </c>
      <c r="M35" s="20">
        <f>+M33+M34</f>
        <v/>
      </c>
      <c r="N35" s="20">
        <f>+N33+N34</f>
        <v/>
      </c>
      <c r="O35" s="20">
        <f>+O33+O34</f>
        <v/>
      </c>
      <c r="P35" s="20">
        <f>+P33+P34</f>
        <v/>
      </c>
      <c r="Q35" s="20">
        <f>+Q33+Q34</f>
        <v/>
      </c>
      <c r="R35" s="20">
        <f>+R33+R34</f>
        <v/>
      </c>
      <c r="S35" s="20">
        <f>+S33+S34</f>
        <v/>
      </c>
      <c r="T35" s="20">
        <f>+T33+T34</f>
        <v/>
      </c>
      <c r="U35" s="20">
        <f>+U33+U34</f>
        <v/>
      </c>
      <c r="V35" s="20">
        <f>+V33+V34</f>
        <v/>
      </c>
      <c r="W35" s="20">
        <f>+W33+W34</f>
        <v/>
      </c>
      <c r="X35" s="20">
        <f>+X33+X34</f>
        <v/>
      </c>
      <c r="Y35" s="20">
        <f>+Y33+Y34</f>
        <v/>
      </c>
      <c r="Z35" s="20">
        <f>+Z33+Z34</f>
        <v/>
      </c>
      <c r="AA35" s="20">
        <f>+AA33+AA34</f>
        <v/>
      </c>
      <c r="AB35" s="20">
        <f>+AB33+AB34</f>
        <v/>
      </c>
      <c r="AC35" s="20">
        <f>+AC33+AC34</f>
        <v/>
      </c>
      <c r="AD35" s="20">
        <f>+AD33+AD34</f>
        <v/>
      </c>
      <c r="AE35" s="20">
        <f>+AE33+AE34</f>
        <v/>
      </c>
      <c r="AF35" s="20">
        <f>+AF33+AF34</f>
        <v/>
      </c>
      <c r="AG35" s="20">
        <f>+AG33+AG34</f>
        <v/>
      </c>
      <c r="AH35" s="20">
        <f>+AH33+AH34</f>
        <v/>
      </c>
      <c r="AI35" s="20">
        <f>+AI33+AI34</f>
        <v/>
      </c>
      <c r="AJ35" s="20">
        <f>+AJ33+AJ34</f>
        <v/>
      </c>
      <c r="AK35" s="20">
        <f>+AK33+AK34</f>
        <v/>
      </c>
      <c r="AL35" s="20">
        <f>+AL33+AL34</f>
        <v/>
      </c>
      <c r="AM35" s="20">
        <f>+AM33+AM34</f>
        <v/>
      </c>
      <c r="AN35" s="20">
        <f>+AN33+AN34</f>
        <v/>
      </c>
      <c r="AO35" s="20">
        <f>+AO33+AO34</f>
        <v/>
      </c>
      <c r="AP35" s="20">
        <f>+AP33+AP34</f>
        <v/>
      </c>
      <c r="AQ35" s="20">
        <f>+AQ33+AQ34</f>
        <v/>
      </c>
      <c r="AR35" s="20">
        <f>+AR33+AR34</f>
        <v/>
      </c>
      <c r="AS35" s="20">
        <f>+AS33+AS34</f>
        <v/>
      </c>
      <c r="AT35" s="20">
        <f>+AT33+AT34</f>
        <v/>
      </c>
      <c r="AU35" s="20">
        <f>+AU33+AU34</f>
        <v/>
      </c>
      <c r="AV35" s="20">
        <f>+AV33+AV34</f>
        <v/>
      </c>
      <c r="AW35" s="20">
        <f>+AW33+AW34</f>
        <v/>
      </c>
      <c r="AX35" s="20">
        <f>+AX33+AX34</f>
        <v/>
      </c>
      <c r="AY35" s="20">
        <f>+AY33+AY34</f>
        <v/>
      </c>
      <c r="AZ35" s="20">
        <f>+AZ33+AZ34</f>
        <v/>
      </c>
      <c r="BA35" s="20">
        <f>+BA33+BA34</f>
        <v/>
      </c>
      <c r="BB35" s="20">
        <f>+BB33+BB34</f>
        <v/>
      </c>
      <c r="BC35" s="20">
        <f>+BC33+BC34</f>
        <v/>
      </c>
      <c r="BD35" s="20">
        <f>+BD33+BD34</f>
        <v/>
      </c>
      <c r="BE35" s="20">
        <f>+BE33+BE34</f>
        <v/>
      </c>
      <c r="BF35" s="20">
        <f>+BF33+BF34</f>
        <v/>
      </c>
      <c r="BG35" s="20">
        <f>+BG33+BG34</f>
        <v/>
      </c>
      <c r="BH35" s="20">
        <f>+BH33+BH34</f>
        <v/>
      </c>
      <c r="BI35" s="20">
        <f>+BI33+BI34</f>
        <v/>
      </c>
      <c r="BJ35" s="20">
        <f>+BJ33+BJ34</f>
        <v/>
      </c>
      <c r="BK35" s="20">
        <f>+BK33+BK34</f>
        <v/>
      </c>
      <c r="BL35" s="20">
        <f>+BL33+BL34</f>
        <v/>
      </c>
      <c r="BM35" s="20">
        <f>+BM33+BM34</f>
        <v/>
      </c>
      <c r="BN35" s="20">
        <f>+BN33+BN34</f>
        <v/>
      </c>
      <c r="BO35" s="20">
        <f>+BO33+BO34</f>
        <v/>
      </c>
      <c r="BP35" s="20">
        <f>+BP33+BP34</f>
        <v/>
      </c>
      <c r="BQ35" s="20">
        <f>+BQ33+BQ34</f>
        <v/>
      </c>
      <c r="BR35" s="20">
        <f>+BR33+BR34</f>
        <v/>
      </c>
      <c r="BS35" s="20">
        <f>+BS33+BS34</f>
        <v/>
      </c>
      <c r="BT35" s="20">
        <f>+BT33+BT34</f>
        <v/>
      </c>
      <c r="BU35" s="20">
        <f>+BU33+BU34</f>
        <v/>
      </c>
      <c r="BV35" s="20">
        <f>+BV33+BV34</f>
        <v/>
      </c>
      <c r="BW35" s="20">
        <f>+BW33+BW34</f>
        <v/>
      </c>
      <c r="BX35" s="20">
        <f>+BX33+BX34</f>
        <v/>
      </c>
      <c r="BY35" s="20" t="n"/>
      <c r="BZ35" s="328" t="n"/>
      <c r="CA35" s="328" t="inlineStr">
        <is>
          <t>Cash at End of Period</t>
        </is>
      </c>
      <c r="CB35" s="304" t="n"/>
      <c r="CC35" s="304" t="n"/>
      <c r="CD35" s="2018">
        <f>SUM(E35:P35)</f>
        <v/>
      </c>
      <c r="CE35" s="2017">
        <f>SUM(Q35:AB35)</f>
        <v/>
      </c>
      <c r="CF35" s="2017">
        <f>SUM(AC35:AN35)</f>
        <v/>
      </c>
      <c r="CG35" s="2017">
        <f>SUM(AO35:AZ35)</f>
        <v/>
      </c>
      <c r="CH35" s="2017">
        <f>SUM(BA35:BL35)</f>
        <v/>
      </c>
      <c r="CI35" s="2017">
        <f>SUM(BM35:BX35)</f>
        <v/>
      </c>
    </row>
    <row r="36" ht="12.75" customHeight="1" s="1883">
      <c r="A36" s="12" t="n"/>
      <c r="B36" s="25" t="n"/>
      <c r="C36" s="7" t="n"/>
      <c r="D36" s="7"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c r="AA36" s="20" t="n"/>
      <c r="AB36" s="20" t="n"/>
      <c r="AC36" s="353" t="n"/>
      <c r="AD36" s="353" t="n"/>
      <c r="AE36" s="353" t="n"/>
      <c r="AF36" s="353" t="n"/>
      <c r="AG36" s="353" t="n"/>
      <c r="AH36" s="353" t="n"/>
      <c r="AI36" s="353" t="n"/>
      <c r="AJ36" s="353" t="n"/>
      <c r="AK36" s="353" t="n"/>
      <c r="AL36" s="353" t="n"/>
      <c r="AM36" s="353" t="n"/>
      <c r="AN36" s="353" t="n"/>
      <c r="AO36" s="353" t="n"/>
      <c r="AP36" s="353" t="n"/>
      <c r="AQ36" s="353" t="n"/>
      <c r="AR36" s="353" t="n"/>
      <c r="AS36" s="353" t="n"/>
      <c r="AT36" s="353" t="n"/>
      <c r="AU36" s="353" t="n"/>
      <c r="AV36" s="353" t="n"/>
      <c r="AW36" s="353" t="n"/>
      <c r="AX36" s="353" t="n"/>
      <c r="AY36" s="353" t="n"/>
      <c r="AZ36" s="353" t="n"/>
      <c r="BA36" s="353" t="n"/>
      <c r="BB36" s="353" t="n"/>
      <c r="BC36" s="353" t="n"/>
      <c r="BD36" s="353" t="n"/>
      <c r="BE36" s="353" t="n"/>
      <c r="BF36" s="353" t="n"/>
      <c r="BG36" s="353" t="n"/>
      <c r="BH36" s="353" t="n"/>
      <c r="BI36" s="353" t="n"/>
      <c r="BJ36" s="353" t="n"/>
      <c r="BK36" s="353" t="n"/>
      <c r="BL36" s="353" t="n"/>
      <c r="BM36" s="353" t="n"/>
      <c r="BN36" s="353" t="n"/>
      <c r="BO36" s="353" t="n"/>
      <c r="BP36" s="353" t="n"/>
      <c r="BQ36" s="353" t="n"/>
      <c r="BR36" s="353" t="n"/>
      <c r="BS36" s="353" t="n"/>
      <c r="BT36" s="353" t="n"/>
      <c r="BU36" s="353" t="n"/>
      <c r="BV36" s="353" t="n"/>
      <c r="BW36" s="353" t="n"/>
      <c r="BX36" s="353" t="n"/>
      <c r="BY36" s="353" t="n"/>
      <c r="BZ36" s="295" t="n"/>
      <c r="CA36" s="297" t="n"/>
      <c r="CB36" s="325" t="n"/>
      <c r="CC36" s="325" t="n"/>
      <c r="CD36" s="325" t="n"/>
      <c r="CE36" s="2014" t="n"/>
      <c r="CF36" s="2014" t="n"/>
      <c r="CG36" s="2014" t="n"/>
      <c r="CH36" s="2014" t="n"/>
      <c r="CI36" s="2014" t="n"/>
    </row>
    <row r="37" ht="12.75" customHeight="1" s="1883">
      <c r="A37" s="19" t="n"/>
      <c r="B37" s="350" t="n"/>
      <c r="C37" s="7" t="n"/>
      <c r="D37" s="7" t="n"/>
      <c r="E37" s="626" t="n"/>
      <c r="F37" s="626" t="n"/>
      <c r="G37" s="626" t="n"/>
      <c r="H37" s="626" t="n"/>
      <c r="I37" s="626" t="n"/>
      <c r="J37" s="626" t="n"/>
      <c r="K37" s="7" t="n"/>
      <c r="L37" s="7" t="n"/>
      <c r="M37" s="7" t="n"/>
      <c r="N37" s="7" t="n"/>
      <c r="O37" s="7" t="n"/>
      <c r="P37" s="7" t="n"/>
      <c r="Q37" s="353" t="n"/>
      <c r="R37" s="353" t="n"/>
      <c r="S37" s="353" t="n"/>
      <c r="T37" s="353" t="n"/>
      <c r="U37" s="353" t="n"/>
      <c r="V37" s="353" t="n"/>
      <c r="W37" s="353" t="n"/>
      <c r="X37" s="353" t="n"/>
      <c r="Y37" s="353" t="n"/>
      <c r="Z37" s="353" t="n"/>
      <c r="AA37" s="353" t="n"/>
      <c r="AB37" s="353" t="n"/>
      <c r="AC37" s="353" t="n"/>
      <c r="AD37" s="353" t="n"/>
      <c r="AE37" s="353" t="n"/>
      <c r="AF37" s="353" t="n"/>
      <c r="AG37" s="353" t="n"/>
      <c r="AH37" s="353" t="n"/>
      <c r="AI37" s="353" t="n"/>
      <c r="AJ37" s="353" t="n"/>
      <c r="AK37" s="353" t="n"/>
      <c r="AL37" s="353" t="n"/>
      <c r="AM37" s="353" t="n"/>
      <c r="AN37" s="353" t="n"/>
      <c r="AO37" s="353" t="n"/>
      <c r="AP37" s="353" t="n"/>
      <c r="AQ37" s="353" t="n"/>
      <c r="AR37" s="353" t="n"/>
      <c r="AS37" s="353" t="n"/>
      <c r="AT37" s="353" t="n"/>
      <c r="AU37" s="353" t="n"/>
      <c r="AV37" s="353" t="n"/>
      <c r="AW37" s="353" t="n"/>
      <c r="AX37" s="353" t="n"/>
      <c r="AY37" s="353" t="n"/>
      <c r="AZ37" s="353" t="n"/>
      <c r="BA37" s="353" t="n"/>
      <c r="BB37" s="353" t="n"/>
      <c r="BC37" s="353" t="n"/>
      <c r="BD37" s="353" t="n"/>
      <c r="BE37" s="353" t="n"/>
      <c r="BF37" s="353" t="n"/>
      <c r="BG37" s="353" t="n"/>
      <c r="BH37" s="353" t="n"/>
      <c r="BI37" s="353" t="n"/>
      <c r="BJ37" s="353" t="n"/>
      <c r="BK37" s="353" t="n"/>
      <c r="BL37" s="353" t="n"/>
      <c r="BM37" s="353" t="n"/>
      <c r="BN37" s="353" t="n"/>
      <c r="BO37" s="353" t="n"/>
      <c r="BP37" s="353" t="n"/>
      <c r="BQ37" s="353" t="n"/>
      <c r="BR37" s="353" t="n"/>
      <c r="BS37" s="353" t="n"/>
      <c r="BT37" s="353" t="n"/>
      <c r="BU37" s="353" t="n"/>
      <c r="BV37" s="353" t="n"/>
      <c r="BW37" s="353" t="n"/>
      <c r="BX37" s="353" t="n"/>
      <c r="BY37" s="353" t="n"/>
      <c r="BZ37" s="320" t="n"/>
      <c r="CA37" s="297" t="n"/>
      <c r="CB37" s="325" t="n"/>
      <c r="CC37" s="325" t="n"/>
      <c r="CD37" s="325" t="n"/>
      <c r="CE37" s="2014" t="n"/>
      <c r="CF37" s="2014" t="n"/>
      <c r="CG37" s="2014" t="n"/>
      <c r="CH37" s="2014" t="n"/>
      <c r="CI37" s="2014" t="n"/>
    </row>
    <row r="38" ht="12.75" customHeight="1" s="1883">
      <c r="A38" s="15" t="n"/>
      <c r="B38" s="25" t="n"/>
      <c r="C38" s="7" t="n"/>
      <c r="D38" s="7" t="n"/>
      <c r="E38" s="626" t="n"/>
      <c r="F38" s="626" t="n"/>
      <c r="G38" s="626" t="n"/>
      <c r="H38" s="626" t="n"/>
      <c r="I38" s="626" t="n"/>
      <c r="J38" s="626" t="n"/>
      <c r="K38" s="7" t="n"/>
      <c r="L38" s="7" t="n"/>
      <c r="M38" s="7" t="n"/>
      <c r="N38" s="7" t="n"/>
      <c r="O38" s="7" t="n"/>
      <c r="P38" s="7" t="n"/>
      <c r="Q38" s="353" t="n"/>
      <c r="R38" s="353" t="n"/>
      <c r="S38" s="353" t="n"/>
      <c r="T38" s="353" t="n"/>
      <c r="U38" s="353" t="n"/>
      <c r="V38" s="353" t="n"/>
      <c r="W38" s="353" t="n"/>
      <c r="X38" s="353" t="n"/>
      <c r="Y38" s="353" t="n"/>
      <c r="Z38" s="353" t="n"/>
      <c r="AA38" s="353" t="n"/>
      <c r="AB38" s="353" t="n"/>
      <c r="AC38" s="353" t="n"/>
      <c r="AD38" s="353" t="n"/>
      <c r="AE38" s="353" t="n"/>
      <c r="AF38" s="353" t="n"/>
      <c r="AG38" s="353" t="n"/>
      <c r="AH38" s="353" t="n"/>
      <c r="AI38" s="353" t="n"/>
      <c r="AJ38" s="353" t="n"/>
      <c r="AK38" s="353" t="n"/>
      <c r="AL38" s="353" t="n"/>
      <c r="AM38" s="353" t="n"/>
      <c r="AN38" s="353" t="n"/>
      <c r="AO38" s="353" t="n"/>
      <c r="AP38" s="353" t="n"/>
      <c r="AQ38" s="353" t="n"/>
      <c r="AR38" s="353" t="n"/>
      <c r="AS38" s="353" t="n"/>
      <c r="AT38" s="353" t="n"/>
      <c r="AU38" s="353" t="n"/>
      <c r="AV38" s="353" t="n"/>
      <c r="AW38" s="353" t="n"/>
      <c r="AX38" s="353" t="n"/>
      <c r="AY38" s="353" t="n"/>
      <c r="AZ38" s="353" t="n"/>
      <c r="BA38" s="353" t="n"/>
      <c r="BB38" s="353" t="n"/>
      <c r="BC38" s="353" t="n"/>
      <c r="BD38" s="353" t="n"/>
      <c r="BE38" s="353" t="n"/>
      <c r="BF38" s="353" t="n"/>
      <c r="BG38" s="353" t="n"/>
      <c r="BH38" s="353" t="n"/>
      <c r="BI38" s="353" t="n"/>
      <c r="BJ38" s="353" t="n"/>
      <c r="BK38" s="353" t="n"/>
      <c r="BL38" s="353" t="n"/>
      <c r="BM38" s="353" t="n"/>
      <c r="BN38" s="353" t="n"/>
      <c r="BO38" s="353" t="n"/>
      <c r="BP38" s="353" t="n"/>
      <c r="BQ38" s="353" t="n"/>
      <c r="BR38" s="353" t="n"/>
      <c r="BS38" s="353" t="n"/>
      <c r="BT38" s="353" t="n"/>
      <c r="BU38" s="353" t="n"/>
      <c r="BV38" s="353" t="n"/>
      <c r="BW38" s="353" t="n"/>
      <c r="BX38" s="353" t="n"/>
      <c r="BY38" s="353" t="n"/>
      <c r="BZ38" s="295" t="n"/>
      <c r="CA38" s="297" t="n"/>
      <c r="CB38" s="304" t="n"/>
      <c r="CC38" s="304" t="n"/>
      <c r="CD38" s="304" t="n"/>
      <c r="CE38" s="2014" t="n"/>
      <c r="CF38" s="2014" t="n"/>
      <c r="CG38" s="2014" t="n"/>
      <c r="CH38" s="2014" t="n"/>
      <c r="CI38" s="2014" t="n"/>
    </row>
    <row r="39" ht="12.75" customHeight="1" s="1883">
      <c r="A39" s="15" t="n"/>
      <c r="B39" s="25" t="n"/>
      <c r="C39" s="7" t="n"/>
      <c r="D39" s="7" t="n"/>
      <c r="E39" s="626" t="n"/>
      <c r="F39" s="626" t="n"/>
      <c r="G39" s="626" t="n"/>
      <c r="H39" s="626" t="n"/>
      <c r="I39" s="626" t="n"/>
      <c r="J39" s="626" t="n"/>
      <c r="K39" s="7" t="n"/>
      <c r="L39" s="7" t="n"/>
      <c r="M39" s="7" t="n"/>
      <c r="N39" s="7" t="n"/>
      <c r="O39" s="7" t="n"/>
      <c r="P39" s="7" t="n"/>
      <c r="Q39" s="353" t="n"/>
      <c r="R39" s="353" t="n"/>
      <c r="S39" s="353" t="n"/>
      <c r="T39" s="353" t="n"/>
      <c r="U39" s="353" t="n"/>
      <c r="V39" s="353" t="n"/>
      <c r="W39" s="353" t="n"/>
      <c r="X39" s="353" t="n"/>
      <c r="Y39" s="353" t="n"/>
      <c r="Z39" s="353" t="n"/>
      <c r="AA39" s="353" t="n"/>
      <c r="AB39" s="353" t="n"/>
      <c r="AC39" s="353" t="n"/>
      <c r="AD39" s="353" t="n"/>
      <c r="AE39" s="353" t="n"/>
      <c r="AF39" s="353" t="n"/>
      <c r="AG39" s="353" t="n"/>
      <c r="AH39" s="353" t="n"/>
      <c r="AI39" s="353" t="n"/>
      <c r="AJ39" s="353" t="n"/>
      <c r="AK39" s="353" t="n"/>
      <c r="AL39" s="353" t="n"/>
      <c r="AM39" s="353" t="n"/>
      <c r="AN39" s="353" t="n"/>
      <c r="AO39" s="353" t="n"/>
      <c r="AP39" s="353" t="n"/>
      <c r="AQ39" s="353" t="n"/>
      <c r="AR39" s="353" t="n"/>
      <c r="AS39" s="353" t="n"/>
      <c r="AT39" s="353" t="n"/>
      <c r="AU39" s="353" t="n"/>
      <c r="AV39" s="353" t="n"/>
      <c r="AW39" s="353" t="n"/>
      <c r="AX39" s="353" t="n"/>
      <c r="AY39" s="353" t="n"/>
      <c r="AZ39" s="353" t="n"/>
      <c r="BA39" s="353" t="n"/>
      <c r="BB39" s="353" t="n"/>
      <c r="BC39" s="353" t="n"/>
      <c r="BD39" s="353" t="n"/>
      <c r="BE39" s="353" t="n"/>
      <c r="BF39" s="353" t="n"/>
      <c r="BG39" s="353" t="n"/>
      <c r="BH39" s="353" t="n"/>
      <c r="BI39" s="353" t="n"/>
      <c r="BJ39" s="353" t="n"/>
      <c r="BK39" s="353" t="n"/>
      <c r="BL39" s="353" t="n"/>
      <c r="BM39" s="353" t="n"/>
      <c r="BN39" s="353" t="n"/>
      <c r="BO39" s="353" t="n"/>
      <c r="BP39" s="353" t="n"/>
      <c r="BQ39" s="353" t="n"/>
      <c r="BR39" s="353" t="n"/>
      <c r="BS39" s="353" t="n"/>
      <c r="BT39" s="353" t="n"/>
      <c r="BU39" s="353" t="n"/>
      <c r="BV39" s="353" t="n"/>
      <c r="BW39" s="353" t="n"/>
      <c r="BX39" s="353" t="n"/>
      <c r="BY39" s="353" t="n"/>
      <c r="BZ39" s="295" t="n"/>
      <c r="CA39" s="297" t="n"/>
      <c r="CB39" s="307" t="n"/>
      <c r="CC39" s="307" t="n"/>
      <c r="CD39" s="307" t="n"/>
      <c r="CE39" s="307" t="n"/>
      <c r="CF39" s="307" t="n"/>
      <c r="CG39" s="307" t="n"/>
      <c r="CH39" s="307" t="n"/>
      <c r="CI39" s="307" t="n"/>
    </row>
  </sheetData>
  <mergeCells count="11">
    <mergeCell ref="AC6:AN6"/>
    <mergeCell ref="BA6:BL6"/>
    <mergeCell ref="AO6:AZ6"/>
    <mergeCell ref="Q5:AB5"/>
    <mergeCell ref="Q6:AB6"/>
    <mergeCell ref="BM6:BX6"/>
    <mergeCell ref="AO5:AZ5"/>
    <mergeCell ref="BA5:BL5"/>
    <mergeCell ref="AC5:AN5"/>
    <mergeCell ref="BM5:BX5"/>
    <mergeCell ref="CC6:CI6"/>
  </mergeCells>
  <pageMargins left="0.7" right="0.7" top="0.75" bottom="0.75" header="0.3" footer="0.3"/>
  <pageSetup orientation="portrait" horizontalDpi="0" verticalDpi="0"/>
</worksheet>
</file>

<file path=xl/worksheets/sheet4.xml><?xml version="1.0" encoding="utf-8"?>
<worksheet xmlns="http://schemas.openxmlformats.org/spreadsheetml/2006/main">
  <sheetPr>
    <tabColor rgb="FFCCFFCC"/>
    <outlinePr summaryBelow="1" summaryRight="1"/>
    <pageSetUpPr/>
  </sheetPr>
  <dimension ref="B6:CS53"/>
  <sheetViews>
    <sheetView topLeftCell="L1" zoomScale="126" zoomScaleNormal="126" workbookViewId="0">
      <selection activeCell="Z31" sqref="Z31"/>
    </sheetView>
  </sheetViews>
  <sheetFormatPr baseColWidth="10" defaultColWidth="8.6640625" defaultRowHeight="13"/>
  <cols>
    <col width="2.6640625" customWidth="1" style="1883" min="1" max="4"/>
    <col width="15.5" customWidth="1" style="1883" min="5" max="5"/>
    <col width="1.6640625" customWidth="1" style="1883" min="6" max="6"/>
    <col width="45.5" customWidth="1" style="1883" min="7" max="7"/>
    <col width="2.6640625" customWidth="1" style="1883" min="8" max="8"/>
    <col width="15.6640625" customWidth="1" style="1883" min="9" max="20"/>
    <col width="2" customWidth="1" style="1883" min="21" max="21"/>
    <col width="15.6640625" customWidth="1" style="1883" min="22" max="22"/>
    <col width="4.5" customWidth="1" style="1883" min="23" max="23"/>
    <col width="15.6640625" customWidth="1" style="1883" min="24" max="35"/>
    <col width="1.6640625" customWidth="1" style="1883" min="36" max="36"/>
    <col width="15.6640625" customWidth="1" style="1883" min="37" max="37"/>
    <col width="4.5" customWidth="1" style="1883" min="38" max="38"/>
    <col width="15.6640625" customWidth="1" style="1883" min="39" max="50"/>
    <col width="1.6640625" customWidth="1" style="1883" min="51" max="51"/>
    <col width="15.6640625" customWidth="1" style="1883" min="52" max="52"/>
    <col width="4.5" customWidth="1" style="1883" min="53" max="53"/>
    <col width="15.6640625" customWidth="1" style="1883" min="54" max="65"/>
    <col width="1.6640625" customWidth="1" style="1883" min="66" max="66"/>
    <col width="15.6640625" customWidth="1" style="1883" min="67" max="67"/>
    <col width="4.5" customWidth="1" style="1883" min="68" max="68"/>
    <col width="15.6640625" customWidth="1" style="1883" min="69" max="80"/>
    <col width="1.6640625" customWidth="1" style="1883" min="81" max="81"/>
    <col width="15.6640625" customWidth="1" style="1883" min="82" max="82"/>
    <col width="4.5" customWidth="1" style="1883" min="83" max="83"/>
    <col width="15.6640625" customWidth="1" style="1883" min="84" max="95"/>
    <col width="1.6640625" customWidth="1" style="1883" min="96" max="96"/>
    <col width="15.6640625" customWidth="1" style="1883" min="97" max="97"/>
    <col width="4.6640625" customWidth="1" style="1883" min="98" max="98"/>
  </cols>
  <sheetData>
    <row r="6" ht="15" customHeight="1" s="1883">
      <c r="B6" s="383" t="n"/>
      <c r="C6" s="383" t="n"/>
      <c r="D6" s="383" t="n"/>
      <c r="E6" s="383" t="n"/>
      <c r="F6" s="383" t="n"/>
      <c r="G6" s="383" t="n"/>
      <c r="H6" s="383" t="n"/>
      <c r="I6" s="383" t="n"/>
      <c r="J6" s="383" t="n"/>
      <c r="K6" s="383" t="n"/>
      <c r="L6" s="1882" t="inlineStr">
        <is>
          <t>Pre-Launch</t>
        </is>
      </c>
      <c r="W6" s="386" t="n"/>
      <c r="X6" s="1882" t="inlineStr">
        <is>
          <t>Post-Launch</t>
        </is>
      </c>
      <c r="AL6" s="386" t="n"/>
      <c r="AM6" s="1882" t="inlineStr">
        <is>
          <t>Post-Launch</t>
        </is>
      </c>
      <c r="BB6" s="1882" t="inlineStr">
        <is>
          <t>Post-Launch</t>
        </is>
      </c>
      <c r="BQ6" s="1882" t="inlineStr">
        <is>
          <t>Post-Launch</t>
        </is>
      </c>
      <c r="CF6" s="1882" t="inlineStr">
        <is>
          <t>Post-Launch</t>
        </is>
      </c>
    </row>
    <row r="7" ht="3" customHeight="1" s="1883">
      <c r="B7" s="383" t="n"/>
      <c r="C7" s="383" t="n"/>
      <c r="D7" s="383" t="n"/>
      <c r="E7" s="383" t="n"/>
      <c r="F7" s="383" t="n"/>
      <c r="G7" s="383" t="n"/>
      <c r="H7" s="383" t="n"/>
      <c r="I7" s="646" t="n"/>
      <c r="J7" s="646" t="n"/>
      <c r="K7" s="646" t="n"/>
      <c r="L7" s="646" t="n"/>
      <c r="M7" s="646" t="n"/>
      <c r="N7" s="646" t="n"/>
      <c r="O7" s="646" t="n"/>
      <c r="P7" s="646" t="n"/>
      <c r="Q7" s="646" t="n"/>
      <c r="R7" s="646" t="n"/>
      <c r="S7" s="646" t="n"/>
      <c r="T7" s="646" t="n"/>
      <c r="U7" s="646" t="n"/>
      <c r="V7" s="646" t="n"/>
      <c r="W7" s="386" t="n"/>
      <c r="X7" s="646" t="n"/>
      <c r="Y7" s="646" t="n"/>
      <c r="Z7" s="646" t="n"/>
      <c r="AA7" s="646" t="n"/>
      <c r="AB7" s="646" t="n"/>
      <c r="AC7" s="646" t="n"/>
      <c r="AD7" s="646" t="n"/>
      <c r="AE7" s="646" t="n"/>
      <c r="AF7" s="646" t="n"/>
      <c r="AG7" s="646" t="n"/>
      <c r="AH7" s="646" t="n"/>
      <c r="AI7" s="646" t="n"/>
      <c r="AJ7" s="646" t="n"/>
      <c r="AK7" s="646" t="n"/>
      <c r="AL7" s="386" t="n"/>
      <c r="AM7" s="646" t="n"/>
      <c r="AN7" s="646" t="n"/>
      <c r="AO7" s="646" t="n"/>
      <c r="AP7" s="646" t="n"/>
      <c r="AQ7" s="646" t="n"/>
      <c r="AR7" s="646" t="n"/>
      <c r="AS7" s="646" t="n"/>
      <c r="AT7" s="646" t="n"/>
      <c r="AU7" s="646" t="n"/>
      <c r="AV7" s="646" t="n"/>
      <c r="AW7" s="646" t="n"/>
      <c r="AX7" s="646" t="n"/>
      <c r="AY7" s="646" t="n"/>
      <c r="AZ7" s="646" t="n"/>
      <c r="BB7" s="646" t="n"/>
      <c r="BC7" s="646" t="n"/>
      <c r="BD7" s="646" t="n"/>
      <c r="BE7" s="646" t="n"/>
      <c r="BF7" s="646" t="n"/>
      <c r="BG7" s="646" t="n"/>
      <c r="BH7" s="646" t="n"/>
      <c r="BI7" s="646" t="n"/>
      <c r="BJ7" s="646" t="n"/>
      <c r="BK7" s="646" t="n"/>
      <c r="BL7" s="646" t="n"/>
      <c r="BM7" s="646" t="n"/>
      <c r="BN7" s="646" t="n"/>
      <c r="BO7" s="646" t="n"/>
      <c r="BQ7" s="646" t="n"/>
      <c r="BR7" s="646" t="n"/>
      <c r="BS7" s="646" t="n"/>
      <c r="BT7" s="646" t="n"/>
      <c r="BU7" s="646" t="n"/>
      <c r="BV7" s="646" t="n"/>
      <c r="BW7" s="646" t="n"/>
      <c r="BX7" s="646" t="n"/>
      <c r="BY7" s="646" t="n"/>
      <c r="BZ7" s="646" t="n"/>
      <c r="CA7" s="646" t="n"/>
      <c r="CB7" s="646" t="n"/>
      <c r="CC7" s="646" t="n"/>
      <c r="CD7" s="646" t="n"/>
      <c r="CF7" s="646" t="n"/>
      <c r="CG7" s="646" t="n"/>
      <c r="CH7" s="646" t="n"/>
      <c r="CI7" s="646" t="n"/>
      <c r="CJ7" s="646" t="n"/>
      <c r="CK7" s="646" t="n"/>
      <c r="CL7" s="646" t="n"/>
      <c r="CM7" s="646" t="n"/>
      <c r="CN7" s="646" t="n"/>
      <c r="CO7" s="646" t="n"/>
      <c r="CP7" s="646" t="n"/>
      <c r="CQ7" s="646" t="n"/>
      <c r="CR7" s="646" t="n"/>
      <c r="CS7" s="646" t="n"/>
    </row>
    <row r="8" ht="3" customHeight="1" s="1883">
      <c r="B8" s="383" t="n"/>
      <c r="C8" s="383" t="n"/>
      <c r="D8" s="383" t="n"/>
      <c r="E8" s="383" t="n"/>
      <c r="F8" s="383" t="n"/>
      <c r="G8" s="383" t="n"/>
      <c r="H8" s="383" t="n"/>
      <c r="I8" s="386" t="n"/>
      <c r="J8" s="386" t="n"/>
      <c r="K8" s="386" t="n"/>
      <c r="L8" s="386" t="n"/>
      <c r="M8" s="386" t="n"/>
      <c r="N8" s="386" t="n"/>
      <c r="O8" s="386" t="n"/>
      <c r="P8" s="386" t="n"/>
      <c r="Q8" s="386" t="n"/>
      <c r="R8" s="386" t="n"/>
      <c r="S8" s="386" t="n"/>
      <c r="T8" s="386" t="n"/>
      <c r="U8" s="386" t="n"/>
      <c r="V8" s="386" t="n"/>
      <c r="W8" s="386" t="n"/>
      <c r="X8" s="386" t="n"/>
      <c r="Y8" s="386" t="n"/>
      <c r="Z8" s="386" t="n"/>
      <c r="AA8" s="386" t="n"/>
      <c r="AB8" s="386" t="n"/>
      <c r="AC8" s="386" t="n"/>
      <c r="AD8" s="386" t="n"/>
      <c r="AE8" s="386" t="n"/>
      <c r="AF8" s="386" t="n"/>
      <c r="AG8" s="386" t="n"/>
      <c r="AH8" s="386" t="n"/>
      <c r="AI8" s="386" t="n"/>
      <c r="AJ8" s="386" t="n"/>
      <c r="AK8" s="386" t="n"/>
      <c r="AL8" s="386" t="n"/>
      <c r="AM8" s="386" t="n"/>
      <c r="AN8" s="386" t="n"/>
      <c r="AO8" s="386" t="n"/>
      <c r="AP8" s="386" t="n"/>
      <c r="AQ8" s="386" t="n"/>
      <c r="AR8" s="386" t="n"/>
      <c r="AS8" s="386" t="n"/>
      <c r="AT8" s="386" t="n"/>
      <c r="AU8" s="386" t="n"/>
      <c r="AV8" s="386" t="n"/>
      <c r="AW8" s="386" t="n"/>
      <c r="AX8" s="386" t="n"/>
      <c r="AY8" s="386" t="n"/>
      <c r="AZ8" s="386" t="n"/>
      <c r="BB8" s="386" t="n"/>
      <c r="BC8" s="386" t="n"/>
      <c r="BD8" s="386" t="n"/>
      <c r="BE8" s="386" t="n"/>
      <c r="BF8" s="386" t="n"/>
      <c r="BG8" s="386" t="n"/>
      <c r="BH8" s="386" t="n"/>
      <c r="BI8" s="386" t="n"/>
      <c r="BJ8" s="386" t="n"/>
      <c r="BK8" s="386" t="n"/>
      <c r="BL8" s="386" t="n"/>
      <c r="BM8" s="386" t="n"/>
      <c r="BN8" s="386" t="n"/>
      <c r="BO8" s="386" t="n"/>
      <c r="BQ8" s="386" t="n"/>
      <c r="BR8" s="386" t="n"/>
      <c r="BS8" s="386" t="n"/>
      <c r="BT8" s="386" t="n"/>
      <c r="BU8" s="386" t="n"/>
      <c r="BV8" s="386" t="n"/>
      <c r="BW8" s="386" t="n"/>
      <c r="BX8" s="386" t="n"/>
      <c r="BY8" s="386" t="n"/>
      <c r="BZ8" s="386" t="n"/>
      <c r="CA8" s="386" t="n"/>
      <c r="CB8" s="386" t="n"/>
      <c r="CC8" s="386" t="n"/>
      <c r="CD8" s="386" t="n"/>
      <c r="CF8" s="386" t="n"/>
      <c r="CG8" s="386" t="n"/>
      <c r="CH8" s="386" t="n"/>
      <c r="CI8" s="386" t="n"/>
      <c r="CJ8" s="386" t="n"/>
      <c r="CK8" s="386" t="n"/>
      <c r="CL8" s="386" t="n"/>
      <c r="CM8" s="386" t="n"/>
      <c r="CN8" s="386" t="n"/>
      <c r="CO8" s="386" t="n"/>
      <c r="CP8" s="386" t="n"/>
      <c r="CQ8" s="386" t="n"/>
      <c r="CR8" s="386" t="n"/>
      <c r="CS8" s="386" t="n"/>
    </row>
    <row r="9" ht="15" customHeight="1" s="1883">
      <c r="B9" s="383" t="n"/>
      <c r="C9" s="383" t="n"/>
      <c r="D9" s="383" t="n"/>
      <c r="E9" s="383" t="n"/>
      <c r="F9" s="383" t="n"/>
      <c r="G9" s="383" t="n"/>
      <c r="H9" s="383" t="n"/>
      <c r="I9" s="386" t="inlineStr">
        <is>
          <t>Month</t>
        </is>
      </c>
      <c r="J9" s="386" t="inlineStr">
        <is>
          <t>Month</t>
        </is>
      </c>
      <c r="K9" s="386" t="inlineStr">
        <is>
          <t>Month</t>
        </is>
      </c>
      <c r="L9" s="386" t="inlineStr">
        <is>
          <t>Month</t>
        </is>
      </c>
      <c r="M9" s="386" t="inlineStr">
        <is>
          <t>Month</t>
        </is>
      </c>
      <c r="N9" s="386" t="inlineStr">
        <is>
          <t>Month</t>
        </is>
      </c>
      <c r="O9" s="386" t="inlineStr">
        <is>
          <t>Month</t>
        </is>
      </c>
      <c r="P9" s="386" t="inlineStr">
        <is>
          <t>Month</t>
        </is>
      </c>
      <c r="Q9" s="386" t="inlineStr">
        <is>
          <t>Month</t>
        </is>
      </c>
      <c r="R9" s="386" t="inlineStr">
        <is>
          <t>Month</t>
        </is>
      </c>
      <c r="S9" s="386" t="inlineStr">
        <is>
          <t>Month</t>
        </is>
      </c>
      <c r="T9" s="386" t="inlineStr">
        <is>
          <t>Month</t>
        </is>
      </c>
      <c r="U9" s="386" t="n"/>
      <c r="V9" s="386" t="inlineStr">
        <is>
          <t>Total</t>
        </is>
      </c>
      <c r="W9" s="386" t="n"/>
      <c r="X9" s="386" t="inlineStr">
        <is>
          <t>Month</t>
        </is>
      </c>
      <c r="Y9" s="386" t="inlineStr">
        <is>
          <t>Month</t>
        </is>
      </c>
      <c r="Z9" s="386" t="inlineStr">
        <is>
          <t>Month</t>
        </is>
      </c>
      <c r="AA9" s="386" t="inlineStr">
        <is>
          <t>Month</t>
        </is>
      </c>
      <c r="AB9" s="386" t="inlineStr">
        <is>
          <t>Month</t>
        </is>
      </c>
      <c r="AC9" s="386" t="inlineStr">
        <is>
          <t>Month</t>
        </is>
      </c>
      <c r="AD9" s="386" t="inlineStr">
        <is>
          <t>Month</t>
        </is>
      </c>
      <c r="AE9" s="386" t="inlineStr">
        <is>
          <t>Month</t>
        </is>
      </c>
      <c r="AF9" s="386" t="inlineStr">
        <is>
          <t>Month</t>
        </is>
      </c>
      <c r="AG9" s="386" t="inlineStr">
        <is>
          <t>Month</t>
        </is>
      </c>
      <c r="AH9" s="386" t="inlineStr">
        <is>
          <t>Month</t>
        </is>
      </c>
      <c r="AI9" s="386" t="inlineStr">
        <is>
          <t>Month</t>
        </is>
      </c>
      <c r="AJ9" s="386" t="n"/>
      <c r="AK9" s="386" t="inlineStr">
        <is>
          <t>Total</t>
        </is>
      </c>
      <c r="AL9" s="386" t="n"/>
      <c r="AM9" s="386" t="inlineStr">
        <is>
          <t>Month</t>
        </is>
      </c>
      <c r="AN9" s="386" t="inlineStr">
        <is>
          <t>Month</t>
        </is>
      </c>
      <c r="AO9" s="386" t="inlineStr">
        <is>
          <t>Month</t>
        </is>
      </c>
      <c r="AP9" s="386" t="inlineStr">
        <is>
          <t>Month</t>
        </is>
      </c>
      <c r="AQ9" s="386" t="inlineStr">
        <is>
          <t>Month</t>
        </is>
      </c>
      <c r="AR9" s="386" t="inlineStr">
        <is>
          <t>Month</t>
        </is>
      </c>
      <c r="AS9" s="386" t="inlineStr">
        <is>
          <t>Month</t>
        </is>
      </c>
      <c r="AT9" s="386" t="inlineStr">
        <is>
          <t>Month</t>
        </is>
      </c>
      <c r="AU9" s="386" t="inlineStr">
        <is>
          <t>Month</t>
        </is>
      </c>
      <c r="AV9" s="386" t="inlineStr">
        <is>
          <t>Month</t>
        </is>
      </c>
      <c r="AW9" s="386" t="inlineStr">
        <is>
          <t>Month</t>
        </is>
      </c>
      <c r="AX9" s="386" t="inlineStr">
        <is>
          <t>Month</t>
        </is>
      </c>
      <c r="AY9" s="386" t="n"/>
      <c r="AZ9" s="386" t="inlineStr">
        <is>
          <t>Total</t>
        </is>
      </c>
      <c r="BB9" s="386" t="inlineStr">
        <is>
          <t>Month</t>
        </is>
      </c>
      <c r="BC9" s="386" t="inlineStr">
        <is>
          <t>Month</t>
        </is>
      </c>
      <c r="BD9" s="386" t="inlineStr">
        <is>
          <t>Month</t>
        </is>
      </c>
      <c r="BE9" s="386" t="inlineStr">
        <is>
          <t>Month</t>
        </is>
      </c>
      <c r="BF9" s="386" t="inlineStr">
        <is>
          <t>Month</t>
        </is>
      </c>
      <c r="BG9" s="386" t="inlineStr">
        <is>
          <t>Month</t>
        </is>
      </c>
      <c r="BH9" s="386" t="inlineStr">
        <is>
          <t>Month</t>
        </is>
      </c>
      <c r="BI9" s="386" t="inlineStr">
        <is>
          <t>Month</t>
        </is>
      </c>
      <c r="BJ9" s="386" t="inlineStr">
        <is>
          <t>Month</t>
        </is>
      </c>
      <c r="BK9" s="386" t="inlineStr">
        <is>
          <t>Month</t>
        </is>
      </c>
      <c r="BL9" s="386" t="inlineStr">
        <is>
          <t>Month</t>
        </is>
      </c>
      <c r="BM9" s="386" t="inlineStr">
        <is>
          <t>Month</t>
        </is>
      </c>
      <c r="BN9" s="386" t="n"/>
      <c r="BO9" s="386" t="inlineStr">
        <is>
          <t>Total</t>
        </is>
      </c>
      <c r="BQ9" s="386" t="inlineStr">
        <is>
          <t>Month</t>
        </is>
      </c>
      <c r="BR9" s="386" t="inlineStr">
        <is>
          <t>Month</t>
        </is>
      </c>
      <c r="BS9" s="386" t="inlineStr">
        <is>
          <t>Month</t>
        </is>
      </c>
      <c r="BT9" s="386" t="inlineStr">
        <is>
          <t>Month</t>
        </is>
      </c>
      <c r="BU9" s="386" t="inlineStr">
        <is>
          <t>Month</t>
        </is>
      </c>
      <c r="BV9" s="386" t="inlineStr">
        <is>
          <t>Month</t>
        </is>
      </c>
      <c r="BW9" s="386" t="inlineStr">
        <is>
          <t>Month</t>
        </is>
      </c>
      <c r="BX9" s="386" t="inlineStr">
        <is>
          <t>Month</t>
        </is>
      </c>
      <c r="BY9" s="386" t="inlineStr">
        <is>
          <t>Month</t>
        </is>
      </c>
      <c r="BZ9" s="386" t="inlineStr">
        <is>
          <t>Month</t>
        </is>
      </c>
      <c r="CA9" s="386" t="inlineStr">
        <is>
          <t>Month</t>
        </is>
      </c>
      <c r="CB9" s="386" t="inlineStr">
        <is>
          <t>Month</t>
        </is>
      </c>
      <c r="CC9" s="386" t="n"/>
      <c r="CD9" s="386" t="inlineStr">
        <is>
          <t>Total</t>
        </is>
      </c>
      <c r="CF9" s="386" t="inlineStr">
        <is>
          <t>Month</t>
        </is>
      </c>
      <c r="CG9" s="386" t="inlineStr">
        <is>
          <t>Month</t>
        </is>
      </c>
      <c r="CH9" s="386" t="inlineStr">
        <is>
          <t>Month</t>
        </is>
      </c>
      <c r="CI9" s="386" t="inlineStr">
        <is>
          <t>Month</t>
        </is>
      </c>
      <c r="CJ9" s="386" t="inlineStr">
        <is>
          <t>Month</t>
        </is>
      </c>
      <c r="CK9" s="386" t="inlineStr">
        <is>
          <t>Month</t>
        </is>
      </c>
      <c r="CL9" s="386" t="inlineStr">
        <is>
          <t>Month</t>
        </is>
      </c>
      <c r="CM9" s="386" t="inlineStr">
        <is>
          <t>Month</t>
        </is>
      </c>
      <c r="CN9" s="386" t="inlineStr">
        <is>
          <t>Month</t>
        </is>
      </c>
      <c r="CO9" s="386" t="inlineStr">
        <is>
          <t>Month</t>
        </is>
      </c>
      <c r="CP9" s="386" t="inlineStr">
        <is>
          <t>Month</t>
        </is>
      </c>
      <c r="CQ9" s="386" t="inlineStr">
        <is>
          <t>Month</t>
        </is>
      </c>
      <c r="CR9" s="386" t="n"/>
      <c r="CS9" s="386" t="inlineStr">
        <is>
          <t>Total</t>
        </is>
      </c>
    </row>
    <row r="10" ht="15" customHeight="1" s="1883">
      <c r="B10" s="383" t="n"/>
      <c r="C10" s="383" t="n"/>
      <c r="D10" s="383" t="n"/>
      <c r="E10" s="383" t="n"/>
      <c r="F10" s="383" t="n"/>
      <c r="G10" s="383" t="n"/>
      <c r="H10" s="383" t="n"/>
      <c r="I10" s="456" t="n">
        <v>-12</v>
      </c>
      <c r="J10" s="456" t="n">
        <v>-11</v>
      </c>
      <c r="K10" s="456" t="n">
        <v>-10</v>
      </c>
      <c r="L10" s="456" t="n">
        <v>-9</v>
      </c>
      <c r="M10" s="386">
        <f>((L10)+(1))</f>
        <v/>
      </c>
      <c r="N10" s="386">
        <f>((M10)+(1))</f>
        <v/>
      </c>
      <c r="O10" s="386">
        <f>((N10)+(1))</f>
        <v/>
      </c>
      <c r="P10" s="386">
        <f>((O10)+(1))</f>
        <v/>
      </c>
      <c r="Q10" s="386">
        <f>((P10)+(1))</f>
        <v/>
      </c>
      <c r="R10" s="386">
        <f>((Q10)+(1))</f>
        <v/>
      </c>
      <c r="S10" s="386">
        <f>((R10)+(1))</f>
        <v/>
      </c>
      <c r="T10" s="386">
        <f>((S10)+(1))</f>
        <v/>
      </c>
      <c r="U10" s="1882" t="n"/>
      <c r="V10" s="386" t="inlineStr">
        <is>
          <t>Months -12 to -1</t>
        </is>
      </c>
      <c r="W10" s="386" t="n"/>
      <c r="X10" s="386" t="n">
        <v>1</v>
      </c>
      <c r="Y10" s="386">
        <f>((X10)+(1))</f>
        <v/>
      </c>
      <c r="Z10" s="386">
        <f>((Y10)+(1))</f>
        <v/>
      </c>
      <c r="AA10" s="386">
        <f>((Z10)+(1))</f>
        <v/>
      </c>
      <c r="AB10" s="386">
        <f>((AA10)+(1))</f>
        <v/>
      </c>
      <c r="AC10" s="386">
        <f>((AB10)+(1))</f>
        <v/>
      </c>
      <c r="AD10" s="386">
        <f>((AC10)+(1))</f>
        <v/>
      </c>
      <c r="AE10" s="386">
        <f>((AD10)+(1))</f>
        <v/>
      </c>
      <c r="AF10" s="386">
        <f>((AE10)+(1))</f>
        <v/>
      </c>
      <c r="AG10" s="386">
        <f>((AF10)+(1))</f>
        <v/>
      </c>
      <c r="AH10" s="386">
        <f>((AG10)+(1))</f>
        <v/>
      </c>
      <c r="AI10" s="386">
        <f>((AH10)+(1))</f>
        <v/>
      </c>
      <c r="AJ10" s="386" t="n"/>
      <c r="AK10" s="386" t="inlineStr">
        <is>
          <t>Months 1 - 12</t>
        </is>
      </c>
      <c r="AL10" s="386" t="n"/>
      <c r="AM10" s="386" t="n">
        <v>13</v>
      </c>
      <c r="AN10" s="386">
        <f>((AM10)+(1))</f>
        <v/>
      </c>
      <c r="AO10" s="386">
        <f>((AN10)+(1))</f>
        <v/>
      </c>
      <c r="AP10" s="386">
        <f>((AO10)+(1))</f>
        <v/>
      </c>
      <c r="AQ10" s="386">
        <f>((AP10)+(1))</f>
        <v/>
      </c>
      <c r="AR10" s="386">
        <f>((AQ10)+(1))</f>
        <v/>
      </c>
      <c r="AS10" s="386">
        <f>((AR10)+(1))</f>
        <v/>
      </c>
      <c r="AT10" s="386">
        <f>((AS10)+(1))</f>
        <v/>
      </c>
      <c r="AU10" s="386">
        <f>((AT10)+(1))</f>
        <v/>
      </c>
      <c r="AV10" s="386">
        <f>((AU10)+(1))</f>
        <v/>
      </c>
      <c r="AW10" s="386">
        <f>((AV10)+(1))</f>
        <v/>
      </c>
      <c r="AX10" s="386">
        <f>((AW10)+(1))</f>
        <v/>
      </c>
      <c r="AY10" s="386" t="n"/>
      <c r="AZ10" s="386" t="inlineStr">
        <is>
          <t>Months 13 - 24</t>
        </is>
      </c>
      <c r="BB10" s="386" t="n">
        <v>25</v>
      </c>
      <c r="BC10" s="386">
        <f>((BB10)+(1))</f>
        <v/>
      </c>
      <c r="BD10" s="386">
        <f>((BC10)+(1))</f>
        <v/>
      </c>
      <c r="BE10" s="386">
        <f>((BD10)+(1))</f>
        <v/>
      </c>
      <c r="BF10" s="386">
        <f>((BE10)+(1))</f>
        <v/>
      </c>
      <c r="BG10" s="386">
        <f>((BF10)+(1))</f>
        <v/>
      </c>
      <c r="BH10" s="386">
        <f>((BG10)+(1))</f>
        <v/>
      </c>
      <c r="BI10" s="386">
        <f>((BH10)+(1))</f>
        <v/>
      </c>
      <c r="BJ10" s="386">
        <f>((BI10)+(1))</f>
        <v/>
      </c>
      <c r="BK10" s="386">
        <f>((BJ10)+(1))</f>
        <v/>
      </c>
      <c r="BL10" s="386">
        <f>((BK10)+(1))</f>
        <v/>
      </c>
      <c r="BM10" s="386">
        <f>((BL10)+(1))</f>
        <v/>
      </c>
      <c r="BN10" s="386" t="n"/>
      <c r="BO10" s="386" t="inlineStr">
        <is>
          <t>Months 25 - 36</t>
        </is>
      </c>
      <c r="BQ10" s="386" t="n">
        <v>37</v>
      </c>
      <c r="BR10" s="386">
        <f>((BQ10)+(1))</f>
        <v/>
      </c>
      <c r="BS10" s="386">
        <f>((BR10)+(1))</f>
        <v/>
      </c>
      <c r="BT10" s="386">
        <f>((BS10)+(1))</f>
        <v/>
      </c>
      <c r="BU10" s="386">
        <f>((BT10)+(1))</f>
        <v/>
      </c>
      <c r="BV10" s="386">
        <f>((BU10)+(1))</f>
        <v/>
      </c>
      <c r="BW10" s="386">
        <f>((BV10)+(1))</f>
        <v/>
      </c>
      <c r="BX10" s="386">
        <f>((BW10)+(1))</f>
        <v/>
      </c>
      <c r="BY10" s="386">
        <f>((BX10)+(1))</f>
        <v/>
      </c>
      <c r="BZ10" s="386">
        <f>((BY10)+(1))</f>
        <v/>
      </c>
      <c r="CA10" s="386">
        <f>((BZ10)+(1))</f>
        <v/>
      </c>
      <c r="CB10" s="386">
        <f>((CA10)+(1))</f>
        <v/>
      </c>
      <c r="CC10" s="386" t="n"/>
      <c r="CD10" s="386" t="inlineStr">
        <is>
          <t>Months 37 - 48</t>
        </is>
      </c>
      <c r="CF10" s="386" t="n">
        <v>49</v>
      </c>
      <c r="CG10" s="386">
        <f>((CF10)+(1))</f>
        <v/>
      </c>
      <c r="CH10" s="386">
        <f>((CG10)+(1))</f>
        <v/>
      </c>
      <c r="CI10" s="386">
        <f>((CH10)+(1))</f>
        <v/>
      </c>
      <c r="CJ10" s="386">
        <f>((CI10)+(1))</f>
        <v/>
      </c>
      <c r="CK10" s="386">
        <f>((CJ10)+(1))</f>
        <v/>
      </c>
      <c r="CL10" s="386">
        <f>((CK10)+(1))</f>
        <v/>
      </c>
      <c r="CM10" s="386">
        <f>((CL10)+(1))</f>
        <v/>
      </c>
      <c r="CN10" s="386">
        <f>((CM10)+(1))</f>
        <v/>
      </c>
      <c r="CO10" s="386">
        <f>((CN10)+(1))</f>
        <v/>
      </c>
      <c r="CP10" s="386">
        <f>((CO10)+(1))</f>
        <v/>
      </c>
      <c r="CQ10" s="386">
        <f>((CP10)+(1))</f>
        <v/>
      </c>
      <c r="CR10" s="386" t="n"/>
      <c r="CS10" s="386" t="inlineStr">
        <is>
          <t>Months 49 - 60</t>
        </is>
      </c>
    </row>
    <row r="11" ht="3" customHeight="1" s="1883">
      <c r="B11" s="383" t="n"/>
      <c r="C11" s="383" t="n"/>
      <c r="D11" s="383" t="n"/>
      <c r="E11" s="383" t="n"/>
      <c r="F11" s="383" t="n"/>
      <c r="G11" s="383" t="n"/>
      <c r="H11" s="383" t="n"/>
      <c r="I11" s="646" t="n"/>
      <c r="J11" s="646" t="n"/>
      <c r="K11" s="646" t="n"/>
      <c r="L11" s="646" t="n"/>
      <c r="M11" s="646" t="n"/>
      <c r="N11" s="646" t="n"/>
      <c r="O11" s="646" t="n"/>
      <c r="P11" s="646" t="n"/>
      <c r="Q11" s="646" t="n"/>
      <c r="R11" s="646" t="n"/>
      <c r="S11" s="646" t="n"/>
      <c r="T11" s="646" t="n"/>
      <c r="U11" s="1882" t="n"/>
      <c r="V11" s="646" t="n"/>
      <c r="W11" s="386" t="n"/>
      <c r="X11" s="646" t="n"/>
      <c r="Y11" s="646" t="n"/>
      <c r="Z11" s="646" t="n"/>
      <c r="AA11" s="646" t="n"/>
      <c r="AB11" s="646" t="n"/>
      <c r="AC11" s="646" t="n"/>
      <c r="AD11" s="646" t="n"/>
      <c r="AE11" s="646" t="n"/>
      <c r="AF11" s="646" t="n"/>
      <c r="AG11" s="646" t="n"/>
      <c r="AH11" s="646" t="n"/>
      <c r="AI11" s="646" t="n"/>
      <c r="AJ11" s="386" t="n"/>
      <c r="AK11" s="646" t="n"/>
      <c r="AL11" s="386" t="n"/>
      <c r="AM11" s="646" t="n"/>
      <c r="AN11" s="646" t="n"/>
      <c r="AO11" s="646" t="n"/>
      <c r="AP11" s="646" t="n"/>
      <c r="AQ11" s="646" t="n"/>
      <c r="AR11" s="646" t="n"/>
      <c r="AS11" s="646" t="n"/>
      <c r="AT11" s="646" t="n"/>
      <c r="AU11" s="646" t="n"/>
      <c r="AV11" s="646" t="n"/>
      <c r="AW11" s="646" t="n"/>
      <c r="AX11" s="646" t="n"/>
      <c r="AY11" s="386" t="n"/>
      <c r="AZ11" s="646" t="n"/>
      <c r="BB11" s="646" t="n"/>
      <c r="BC11" s="646" t="n"/>
      <c r="BD11" s="646" t="n"/>
      <c r="BE11" s="646" t="n"/>
      <c r="BF11" s="646" t="n"/>
      <c r="BG11" s="646" t="n"/>
      <c r="BH11" s="646" t="n"/>
      <c r="BI11" s="646" t="n"/>
      <c r="BJ11" s="646" t="n"/>
      <c r="BK11" s="646" t="n"/>
      <c r="BL11" s="646" t="n"/>
      <c r="BM11" s="646" t="n"/>
      <c r="BN11" s="386" t="n"/>
      <c r="BO11" s="646" t="n"/>
      <c r="BQ11" s="646" t="n"/>
      <c r="BR11" s="646" t="n"/>
      <c r="BS11" s="646" t="n"/>
      <c r="BT11" s="646" t="n"/>
      <c r="BU11" s="646" t="n"/>
      <c r="BV11" s="646" t="n"/>
      <c r="BW11" s="646" t="n"/>
      <c r="BX11" s="646" t="n"/>
      <c r="BY11" s="646" t="n"/>
      <c r="BZ11" s="646" t="n"/>
      <c r="CA11" s="646" t="n"/>
      <c r="CB11" s="646" t="n"/>
      <c r="CC11" s="386" t="n"/>
      <c r="CD11" s="646" t="n"/>
      <c r="CF11" s="646" t="n"/>
      <c r="CG11" s="646" t="n"/>
      <c r="CH11" s="646" t="n"/>
      <c r="CI11" s="646" t="n"/>
      <c r="CJ11" s="646" t="n"/>
      <c r="CK11" s="646" t="n"/>
      <c r="CL11" s="646" t="n"/>
      <c r="CM11" s="646" t="n"/>
      <c r="CN11" s="646" t="n"/>
      <c r="CO11" s="646" t="n"/>
      <c r="CP11" s="646" t="n"/>
      <c r="CQ11" s="646" t="n"/>
      <c r="CR11" s="386" t="n"/>
      <c r="CS11" s="646" t="n"/>
    </row>
    <row r="12" ht="3" customHeight="1" s="1883">
      <c r="B12" s="383" t="n"/>
      <c r="C12" s="383" t="n"/>
      <c r="D12" s="383" t="n"/>
      <c r="E12" s="383" t="n"/>
      <c r="F12" s="383" t="n"/>
      <c r="G12" s="383" t="n"/>
      <c r="H12" s="383" t="n"/>
      <c r="I12" s="386" t="n"/>
      <c r="J12" s="386" t="n"/>
      <c r="K12" s="386" t="n"/>
      <c r="L12" s="386" t="n"/>
      <c r="M12" s="386" t="n"/>
      <c r="N12" s="386" t="n"/>
      <c r="O12" s="386" t="n"/>
      <c r="P12" s="386" t="n"/>
      <c r="Q12" s="386" t="n"/>
      <c r="R12" s="386" t="n"/>
      <c r="S12" s="386" t="n"/>
      <c r="T12" s="386" t="n"/>
      <c r="U12" s="1882" t="n"/>
      <c r="V12" s="386" t="n"/>
      <c r="W12" s="386" t="n"/>
      <c r="X12" s="386" t="n"/>
      <c r="Y12" s="386" t="n"/>
      <c r="Z12" s="386" t="n"/>
      <c r="AA12" s="386" t="n"/>
      <c r="AB12" s="386" t="n"/>
      <c r="AC12" s="386" t="n"/>
      <c r="AD12" s="386" t="n"/>
      <c r="AE12" s="386" t="n"/>
      <c r="AF12" s="386" t="n"/>
      <c r="AG12" s="386" t="n"/>
      <c r="AH12" s="386" t="n"/>
      <c r="AI12" s="386" t="n"/>
      <c r="AJ12" s="386" t="n"/>
      <c r="AK12" s="386" t="n"/>
      <c r="AL12" s="386" t="n"/>
      <c r="AM12" s="386" t="n"/>
      <c r="AN12" s="386" t="n"/>
      <c r="AO12" s="386" t="n"/>
      <c r="AP12" s="386" t="n"/>
      <c r="AQ12" s="386" t="n"/>
      <c r="AR12" s="386" t="n"/>
      <c r="AS12" s="386" t="n"/>
      <c r="AT12" s="386" t="n"/>
      <c r="AU12" s="386" t="n"/>
      <c r="AV12" s="386" t="n"/>
      <c r="AW12" s="386" t="n"/>
      <c r="AX12" s="386" t="n"/>
      <c r="AY12" s="386" t="n"/>
      <c r="AZ12" s="386" t="n"/>
      <c r="BB12" s="386" t="n"/>
      <c r="BC12" s="386" t="n"/>
      <c r="BD12" s="386" t="n"/>
      <c r="BE12" s="386" t="n"/>
      <c r="BF12" s="386" t="n"/>
      <c r="BG12" s="386" t="n"/>
      <c r="BH12" s="386" t="n"/>
      <c r="BI12" s="386" t="n"/>
      <c r="BJ12" s="386" t="n"/>
      <c r="BK12" s="386" t="n"/>
      <c r="BL12" s="386" t="n"/>
      <c r="BM12" s="386" t="n"/>
      <c r="BN12" s="386" t="n"/>
      <c r="BO12" s="386" t="n"/>
      <c r="BQ12" s="386" t="n"/>
      <c r="BR12" s="386" t="n"/>
      <c r="BS12" s="386" t="n"/>
      <c r="BT12" s="386" t="n"/>
      <c r="BU12" s="386" t="n"/>
      <c r="BV12" s="386" t="n"/>
      <c r="BW12" s="386" t="n"/>
      <c r="BX12" s="386" t="n"/>
      <c r="BY12" s="386" t="n"/>
      <c r="BZ12" s="386" t="n"/>
      <c r="CA12" s="386" t="n"/>
      <c r="CB12" s="386" t="n"/>
      <c r="CC12" s="386" t="n"/>
      <c r="CD12" s="386" t="n"/>
      <c r="CF12" s="386" t="n"/>
      <c r="CG12" s="386" t="n"/>
      <c r="CH12" s="386" t="n"/>
      <c r="CI12" s="386" t="n"/>
      <c r="CJ12" s="386" t="n"/>
      <c r="CK12" s="386" t="n"/>
      <c r="CL12" s="386" t="n"/>
      <c r="CM12" s="386" t="n"/>
      <c r="CN12" s="386" t="n"/>
      <c r="CO12" s="386" t="n"/>
      <c r="CP12" s="386" t="n"/>
      <c r="CQ12" s="386" t="n"/>
      <c r="CR12" s="386" t="n"/>
      <c r="CS12" s="386" t="n"/>
    </row>
    <row r="13" ht="15" customHeight="1" s="1883">
      <c r="B13" s="383" t="n"/>
      <c r="C13" s="383" t="n"/>
      <c r="D13" s="383" t="n"/>
      <c r="E13" s="383" t="n"/>
      <c r="F13" s="383" t="n"/>
      <c r="G13" s="383" t="n"/>
      <c r="H13" s="383" t="n"/>
      <c r="I13" s="831" t="n"/>
      <c r="J13" s="831" t="n"/>
      <c r="K13" s="831" t="n"/>
      <c r="L13" s="831" t="n"/>
      <c r="M13" s="831" t="n"/>
      <c r="N13" s="831" t="n"/>
      <c r="O13" s="831" t="n"/>
      <c r="P13" s="831" t="n"/>
      <c r="Q13" s="831" t="n"/>
      <c r="R13" s="831" t="n"/>
      <c r="S13" s="831" t="n"/>
      <c r="T13" s="831" t="n"/>
      <c r="U13" s="1882" t="n"/>
      <c r="V13" s="386" t="n"/>
      <c r="W13" s="386" t="n"/>
      <c r="X13" s="386" t="n"/>
      <c r="Y13" s="386" t="n"/>
      <c r="Z13" s="386" t="n"/>
      <c r="AA13" s="386" t="n"/>
      <c r="AB13" s="386" t="n"/>
      <c r="AC13" s="386" t="n"/>
      <c r="AD13" s="386" t="n"/>
      <c r="AE13" s="386" t="n"/>
      <c r="AF13" s="386" t="n"/>
      <c r="AG13" s="386" t="n"/>
      <c r="AH13" s="386" t="n"/>
      <c r="AI13" s="386" t="n"/>
      <c r="AJ13" s="386" t="n"/>
      <c r="AK13" s="386" t="n"/>
      <c r="AL13" s="386" t="n"/>
      <c r="AM13" s="386" t="n"/>
      <c r="AN13" s="386" t="n"/>
      <c r="AO13" s="386" t="n"/>
      <c r="AP13" s="386" t="n"/>
      <c r="AQ13" s="386" t="n"/>
      <c r="AR13" s="386" t="n"/>
      <c r="AS13" s="386" t="n"/>
      <c r="AT13" s="386" t="n"/>
      <c r="AU13" s="386" t="n"/>
      <c r="AV13" s="386" t="n"/>
      <c r="AW13" s="386" t="n"/>
      <c r="AX13" s="386" t="n"/>
      <c r="AY13" s="386" t="n"/>
      <c r="AZ13" s="386" t="n"/>
      <c r="BB13" s="386" t="n"/>
      <c r="BC13" s="386" t="n"/>
      <c r="BD13" s="386" t="n"/>
      <c r="BE13" s="386" t="n"/>
      <c r="BF13" s="386" t="n"/>
      <c r="BG13" s="386" t="n"/>
      <c r="BH13" s="386" t="n"/>
      <c r="BI13" s="386" t="n"/>
      <c r="BJ13" s="386" t="n"/>
      <c r="BK13" s="386" t="n"/>
      <c r="BL13" s="386" t="n"/>
      <c r="BM13" s="386" t="n"/>
      <c r="BN13" s="386" t="n"/>
      <c r="BO13" s="386" t="n"/>
      <c r="BQ13" s="386" t="n"/>
      <c r="BR13" s="386" t="n"/>
      <c r="BS13" s="386" t="n"/>
      <c r="BT13" s="386" t="n"/>
      <c r="BU13" s="386" t="n"/>
      <c r="BV13" s="386" t="n"/>
      <c r="BW13" s="386" t="n"/>
      <c r="BX13" s="386" t="n"/>
      <c r="BY13" s="386" t="n"/>
      <c r="BZ13" s="386" t="n"/>
      <c r="CA13" s="386" t="n"/>
      <c r="CB13" s="386" t="n"/>
      <c r="CC13" s="386" t="n"/>
      <c r="CD13" s="386" t="n"/>
      <c r="CF13" s="386" t="n"/>
      <c r="CG13" s="386" t="n"/>
      <c r="CH13" s="386" t="n"/>
      <c r="CI13" s="386" t="n"/>
      <c r="CJ13" s="386" t="n"/>
      <c r="CK13" s="386" t="n"/>
      <c r="CL13" s="386" t="n"/>
      <c r="CM13" s="386" t="n"/>
      <c r="CN13" s="386" t="n"/>
      <c r="CO13" s="386" t="n"/>
      <c r="CP13" s="386" t="n"/>
      <c r="CQ13" s="386" t="n"/>
      <c r="CR13" s="386" t="n"/>
      <c r="CS13" s="386" t="n"/>
    </row>
    <row r="14" ht="15" customHeight="1" s="1883">
      <c r="B14" s="385" t="inlineStr">
        <is>
          <t>Telephone Sales and Activation</t>
        </is>
      </c>
      <c r="C14" s="383" t="n"/>
      <c r="D14" s="383" t="n"/>
      <c r="E14" s="383" t="n"/>
      <c r="F14" s="383" t="n"/>
      <c r="G14" s="383" t="n"/>
      <c r="H14" s="383" t="n"/>
      <c r="I14" s="383" t="n"/>
      <c r="J14" s="383" t="n"/>
      <c r="K14" s="383" t="n"/>
      <c r="L14" s="383" t="n"/>
      <c r="M14" s="383" t="n"/>
      <c r="N14" s="383" t="n"/>
      <c r="O14" s="383" t="n"/>
      <c r="P14" s="383" t="n"/>
      <c r="Q14" s="383" t="n"/>
      <c r="R14" s="383" t="n"/>
      <c r="S14" s="383" t="n"/>
      <c r="T14" s="383" t="n"/>
      <c r="U14" s="383" t="n"/>
      <c r="V14" s="383" t="n"/>
      <c r="W14" s="383" t="n"/>
      <c r="X14" s="383" t="n"/>
      <c r="Y14" s="383" t="n"/>
      <c r="Z14" s="383" t="n"/>
      <c r="AA14" s="383" t="n"/>
      <c r="AB14" s="383" t="n"/>
      <c r="AC14" s="383" t="n"/>
      <c r="AD14" s="383" t="n"/>
      <c r="AE14" s="383" t="n"/>
      <c r="AF14" s="383" t="n"/>
      <c r="AG14" s="383" t="n"/>
      <c r="AH14" s="383" t="n"/>
      <c r="AI14" s="383" t="n"/>
      <c r="AJ14" s="383" t="n"/>
      <c r="AK14" s="383" t="n"/>
      <c r="AL14" s="383" t="n"/>
      <c r="AM14" s="383" t="n"/>
      <c r="AN14" s="383" t="n"/>
      <c r="AO14" s="383" t="n"/>
      <c r="AP14" s="383" t="n"/>
      <c r="AQ14" s="383" t="n"/>
      <c r="AR14" s="383" t="n"/>
      <c r="AS14" s="383" t="n"/>
      <c r="AT14" s="383" t="n"/>
      <c r="AU14" s="383" t="n"/>
      <c r="AV14" s="383" t="n"/>
      <c r="AW14" s="383" t="n"/>
      <c r="AX14" s="383" t="n"/>
      <c r="AY14" s="383" t="n"/>
      <c r="AZ14" s="383" t="n"/>
      <c r="BA14" s="383" t="n"/>
      <c r="BB14" s="383" t="n"/>
      <c r="BC14" s="383" t="n"/>
      <c r="BD14" s="383" t="n"/>
      <c r="BE14" s="383" t="n"/>
      <c r="BF14" s="383" t="n"/>
      <c r="BG14" s="383" t="n"/>
      <c r="BH14" s="383" t="n"/>
      <c r="BI14" s="383" t="n"/>
      <c r="BJ14" s="383" t="n"/>
      <c r="BK14" s="383" t="n"/>
      <c r="BL14" s="383" t="n"/>
      <c r="BM14" s="383" t="n"/>
      <c r="BN14" s="383" t="n"/>
      <c r="BO14" s="383" t="n"/>
      <c r="BP14" s="383" t="n"/>
      <c r="BQ14" s="383" t="n"/>
      <c r="BR14" s="383" t="n"/>
      <c r="BS14" s="383" t="n"/>
      <c r="BT14" s="383" t="n"/>
      <c r="BU14" s="383" t="n"/>
      <c r="BV14" s="383" t="n"/>
      <c r="BW14" s="383" t="n"/>
      <c r="BX14" s="383" t="n"/>
      <c r="BY14" s="383" t="n"/>
      <c r="BZ14" s="383" t="n"/>
      <c r="CA14" s="383" t="n"/>
      <c r="CB14" s="383" t="n"/>
      <c r="CC14" s="383" t="n"/>
      <c r="CD14" s="383" t="n"/>
      <c r="CE14" s="383" t="n"/>
      <c r="CF14" s="383" t="n"/>
      <c r="CG14" s="383" t="n"/>
      <c r="CH14" s="383" t="n"/>
      <c r="CI14" s="383" t="n"/>
      <c r="CJ14" s="383" t="n"/>
      <c r="CK14" s="383" t="n"/>
      <c r="CL14" s="383" t="n"/>
      <c r="CM14" s="383" t="n"/>
      <c r="CN14" s="383" t="n"/>
      <c r="CO14" s="383" t="n"/>
      <c r="CP14" s="383" t="n"/>
      <c r="CQ14" s="383" t="n"/>
      <c r="CR14" s="383" t="n"/>
      <c r="CS14" s="383" t="n"/>
    </row>
    <row r="18" ht="15" customHeight="1" s="1883">
      <c r="B18" s="729" t="inlineStr">
        <is>
          <t>●</t>
        </is>
      </c>
      <c r="C18" s="383" t="inlineStr">
        <is>
          <t>Revenue Recognition</t>
        </is>
      </c>
      <c r="D18" s="383" t="n"/>
      <c r="E18" s="383" t="n"/>
      <c r="F18" s="383" t="n"/>
      <c r="G18" s="383" t="inlineStr">
        <is>
          <t>Revenue recognized in month of sale</t>
        </is>
      </c>
      <c r="H18" s="383" t="n"/>
      <c r="I18" s="462" t="n">
        <v>0</v>
      </c>
      <c r="J18" s="462" t="n">
        <v>0</v>
      </c>
      <c r="K18" s="462" t="n">
        <v>0</v>
      </c>
      <c r="L18" s="462" t="n">
        <v>0</v>
      </c>
      <c r="M18" s="462" t="n">
        <v>0</v>
      </c>
      <c r="N18" s="462" t="n">
        <v>0</v>
      </c>
      <c r="O18" s="462" t="n">
        <v>0</v>
      </c>
      <c r="P18" s="462" t="n">
        <v>0</v>
      </c>
      <c r="Q18" s="462" t="n">
        <v>0</v>
      </c>
      <c r="R18" s="462" t="n">
        <v>0</v>
      </c>
      <c r="S18" s="462" t="n">
        <v>1000000</v>
      </c>
      <c r="T18" s="462" t="n">
        <v>1000000</v>
      </c>
      <c r="U18" s="462" t="n"/>
      <c r="V18" s="494">
        <f>SUM(L18:T18)</f>
        <v/>
      </c>
      <c r="W18" s="383" t="n"/>
      <c r="X18" s="462">
        <f>'3B. Tel. - Rev. Detail x Month'!$J55</f>
        <v/>
      </c>
      <c r="Y18" s="462">
        <f>'3B. Tel. - Rev. Detail x Month'!$K55</f>
        <v/>
      </c>
      <c r="Z18" s="462">
        <f>'3B. Tel. - Rev. Detail x Month'!$L55</f>
        <v/>
      </c>
      <c r="AA18" s="462">
        <f>'3B. Tel. - Rev. Detail x Month'!$M55</f>
        <v/>
      </c>
      <c r="AB18" s="462">
        <f>'3B. Tel. - Rev. Detail x Month'!$N55</f>
        <v/>
      </c>
      <c r="AC18" s="462">
        <f>'3B. Tel. - Rev. Detail x Month'!$O55</f>
        <v/>
      </c>
      <c r="AD18" s="462">
        <f>'3B. Tel. - Rev. Detail x Month'!$P55</f>
        <v/>
      </c>
      <c r="AE18" s="462">
        <f>'3B. Tel. - Rev. Detail x Month'!$Q55</f>
        <v/>
      </c>
      <c r="AF18" s="462">
        <f>'3B. Tel. - Rev. Detail x Month'!$R55</f>
        <v/>
      </c>
      <c r="AG18" s="462">
        <f>'3B. Tel. - Rev. Detail x Month'!$S55</f>
        <v/>
      </c>
      <c r="AH18" s="462">
        <f>'3B. Tel. - Rev. Detail x Month'!$T55</f>
        <v/>
      </c>
      <c r="AI18" s="462">
        <f>'3B. Tel. - Rev. Detail x Month'!$U55</f>
        <v/>
      </c>
      <c r="AJ18" s="383" t="n"/>
      <c r="AK18" s="494">
        <f>SUM(X18:AI18)</f>
        <v/>
      </c>
      <c r="AL18" s="383" t="n"/>
      <c r="AM18" s="462">
        <f>('3B. Tel. - Rev. Detail x Month'!$J93)</f>
        <v/>
      </c>
      <c r="AN18" s="462">
        <f>('3B. Tel. - Rev. Detail x Month'!$K93)</f>
        <v/>
      </c>
      <c r="AO18" s="462">
        <f>('3B. Tel. - Rev. Detail x Month'!$L93)</f>
        <v/>
      </c>
      <c r="AP18" s="462">
        <f>('3B. Tel. - Rev. Detail x Month'!$M93)</f>
        <v/>
      </c>
      <c r="AQ18" s="462">
        <f>('3B. Tel. - Rev. Detail x Month'!$N93)</f>
        <v/>
      </c>
      <c r="AR18" s="462">
        <f>('3B. Tel. - Rev. Detail x Month'!$O93)</f>
        <v/>
      </c>
      <c r="AS18" s="462">
        <f>('3B. Tel. - Rev. Detail x Month'!$P93)</f>
        <v/>
      </c>
      <c r="AT18" s="462">
        <f>('3B. Tel. - Rev. Detail x Month'!$Q93)</f>
        <v/>
      </c>
      <c r="AU18" s="462">
        <f>('3B. Tel. - Rev. Detail x Month'!$R93)</f>
        <v/>
      </c>
      <c r="AV18" s="462">
        <f>('3B. Tel. - Rev. Detail x Month'!$S93)</f>
        <v/>
      </c>
      <c r="AW18" s="462">
        <f>('3B. Tel. - Rev. Detail x Month'!$T93)</f>
        <v/>
      </c>
      <c r="AX18" s="462">
        <f>('3B. Tel. - Rev. Detail x Month'!$U93)</f>
        <v/>
      </c>
      <c r="AY18" s="383" t="n"/>
      <c r="AZ18" s="494">
        <f>SUM(AM18:AX18)</f>
        <v/>
      </c>
      <c r="BA18" s="383" t="n"/>
      <c r="BB18" s="462">
        <f>('3B. Tel. - Rev. Detail x Month'!$J131)</f>
        <v/>
      </c>
      <c r="BC18" s="462">
        <f>('3B. Tel. - Rev. Detail x Month'!$K131)</f>
        <v/>
      </c>
      <c r="BD18" s="462">
        <f>('3B. Tel. - Rev. Detail x Month'!$L131)</f>
        <v/>
      </c>
      <c r="BE18" s="462">
        <f>('3B. Tel. - Rev. Detail x Month'!$M131)</f>
        <v/>
      </c>
      <c r="BF18" s="462">
        <f>('3B. Tel. - Rev. Detail x Month'!$N131)</f>
        <v/>
      </c>
      <c r="BG18" s="462">
        <f>('3B. Tel. - Rev. Detail x Month'!$O131)</f>
        <v/>
      </c>
      <c r="BH18" s="462">
        <f>('3B. Tel. - Rev. Detail x Month'!$P131)</f>
        <v/>
      </c>
      <c r="BI18" s="462">
        <f>('3B. Tel. - Rev. Detail x Month'!$Q131)</f>
        <v/>
      </c>
      <c r="BJ18" s="462">
        <f>('3B. Tel. - Rev. Detail x Month'!$R131)</f>
        <v/>
      </c>
      <c r="BK18" s="462">
        <f>('3B. Tel. - Rev. Detail x Month'!$S131)</f>
        <v/>
      </c>
      <c r="BL18" s="462">
        <f>('3B. Tel. - Rev. Detail x Month'!$T131)</f>
        <v/>
      </c>
      <c r="BM18" s="462">
        <f>('3B. Tel. - Rev. Detail x Month'!$U131)</f>
        <v/>
      </c>
      <c r="BN18" s="383" t="n"/>
      <c r="BO18" s="494">
        <f>SUM(BB18:BM18)</f>
        <v/>
      </c>
      <c r="BP18" s="383" t="n"/>
      <c r="BQ18" s="462">
        <f>('3B. Tel. - Rev. Detail x Month'!$J169)</f>
        <v/>
      </c>
      <c r="BR18" s="462">
        <f>('3B. Tel. - Rev. Detail x Month'!$K169)</f>
        <v/>
      </c>
      <c r="BS18" s="462">
        <f>('3B. Tel. - Rev. Detail x Month'!$L169)</f>
        <v/>
      </c>
      <c r="BT18" s="462">
        <f>('3B. Tel. - Rev. Detail x Month'!$M169)</f>
        <v/>
      </c>
      <c r="BU18" s="462">
        <f>('3B. Tel. - Rev. Detail x Month'!$N169)</f>
        <v/>
      </c>
      <c r="BV18" s="462">
        <f>('3B. Tel. - Rev. Detail x Month'!$O169)</f>
        <v/>
      </c>
      <c r="BW18" s="462">
        <f>('3B. Tel. - Rev. Detail x Month'!$P169)</f>
        <v/>
      </c>
      <c r="BX18" s="462">
        <f>('3B. Tel. - Rev. Detail x Month'!$Q169)</f>
        <v/>
      </c>
      <c r="BY18" s="462">
        <f>('3B. Tel. - Rev. Detail x Month'!$R169)</f>
        <v/>
      </c>
      <c r="BZ18" s="462">
        <f>('3B. Tel. - Rev. Detail x Month'!$S169)</f>
        <v/>
      </c>
      <c r="CA18" s="462">
        <f>('3B. Tel. - Rev. Detail x Month'!$T169)</f>
        <v/>
      </c>
      <c r="CB18" s="462">
        <f>('3B. Tel. - Rev. Detail x Month'!$U169)</f>
        <v/>
      </c>
      <c r="CC18" s="383" t="n"/>
      <c r="CD18" s="494">
        <f>SUM(BQ18:CB18)</f>
        <v/>
      </c>
      <c r="CE18" s="383" t="n"/>
      <c r="CF18" s="462">
        <f>('3B. Tel. - Rev. Detail x Month'!$J207)</f>
        <v/>
      </c>
      <c r="CG18" s="462">
        <f>('3B. Tel. - Rev. Detail x Month'!$K207)</f>
        <v/>
      </c>
      <c r="CH18" s="462">
        <f>('3B. Tel. - Rev. Detail x Month'!$L207)</f>
        <v/>
      </c>
      <c r="CI18" s="462">
        <f>('3B. Tel. - Rev. Detail x Month'!$M207)</f>
        <v/>
      </c>
      <c r="CJ18" s="462">
        <f>('3B. Tel. - Rev. Detail x Month'!$N207)</f>
        <v/>
      </c>
      <c r="CK18" s="462">
        <f>('3B. Tel. - Rev. Detail x Month'!$O207)</f>
        <v/>
      </c>
      <c r="CL18" s="462">
        <f>('3B. Tel. - Rev. Detail x Month'!$P207)</f>
        <v/>
      </c>
      <c r="CM18" s="462">
        <f>('3B. Tel. - Rev. Detail x Month'!$Q207)</f>
        <v/>
      </c>
      <c r="CN18" s="462">
        <f>('3B. Tel. - Rev. Detail x Month'!$R207)</f>
        <v/>
      </c>
      <c r="CO18" s="462">
        <f>('3B. Tel. - Rev. Detail x Month'!$S207)</f>
        <v/>
      </c>
      <c r="CP18" s="462">
        <f>('3B. Tel. - Rev. Detail x Month'!$T207)</f>
        <v/>
      </c>
      <c r="CQ18" s="462">
        <f>('3B. Tel. - Rev. Detail x Month'!$U207)</f>
        <v/>
      </c>
      <c r="CR18" s="383" t="n"/>
      <c r="CS18" s="494">
        <f>SUM(CF18:CQ18)</f>
        <v/>
      </c>
    </row>
    <row r="19" ht="15" customHeight="1" s="1883">
      <c r="B19" s="383" t="n"/>
      <c r="C19" s="383" t="n"/>
      <c r="D19" s="383" t="n"/>
      <c r="E19" s="383" t="n"/>
      <c r="F19" s="383" t="n"/>
      <c r="G19" s="383" t="n"/>
      <c r="H19" s="383" t="n"/>
      <c r="I19" s="462" t="n"/>
      <c r="J19" s="462" t="n"/>
      <c r="K19" s="462" t="n"/>
      <c r="L19" s="462" t="n"/>
      <c r="M19" s="462" t="n"/>
      <c r="N19" s="462" t="n"/>
      <c r="O19" s="462" t="n"/>
      <c r="P19" s="462" t="n"/>
      <c r="Q19" s="462" t="n"/>
      <c r="U19" s="462" t="n"/>
      <c r="V19" s="462" t="n"/>
      <c r="W19" s="462" t="n"/>
      <c r="X19" s="462" t="n"/>
      <c r="Y19" s="462" t="n"/>
      <c r="Z19" s="462" t="n"/>
      <c r="AA19" s="462" t="n"/>
      <c r="AB19" s="462" t="n"/>
      <c r="AC19" s="462" t="n"/>
      <c r="AD19" s="462" t="n"/>
      <c r="AE19" s="462" t="n"/>
      <c r="AF19" s="462" t="n"/>
      <c r="AG19" s="462" t="n"/>
      <c r="AH19" s="462" t="n"/>
      <c r="AI19" s="462" t="n"/>
      <c r="AJ19" s="462" t="n"/>
      <c r="AK19" s="462" t="n"/>
      <c r="AL19" s="462" t="n"/>
      <c r="AM19" s="462" t="n"/>
      <c r="AN19" s="462" t="n"/>
      <c r="AO19" s="462" t="n"/>
      <c r="AP19" s="462" t="n"/>
      <c r="AQ19" s="462" t="n"/>
      <c r="AR19" s="462" t="n"/>
      <c r="AS19" s="462" t="n"/>
      <c r="AT19" s="462" t="n"/>
      <c r="AU19" s="462" t="n"/>
      <c r="AV19" s="462" t="n"/>
      <c r="AW19" s="462" t="n"/>
      <c r="AX19" s="462" t="n"/>
      <c r="AY19" s="462" t="n"/>
      <c r="AZ19" s="462" t="n"/>
      <c r="BA19" s="462" t="n"/>
      <c r="BB19" s="462" t="n"/>
      <c r="BC19" s="462" t="n"/>
      <c r="BD19" s="462" t="n"/>
      <c r="BE19" s="462" t="n"/>
      <c r="BF19" s="462" t="n"/>
      <c r="BG19" s="462" t="n"/>
      <c r="BH19" s="462" t="n"/>
      <c r="BI19" s="462" t="n"/>
      <c r="BJ19" s="462" t="n"/>
      <c r="BK19" s="462" t="n"/>
      <c r="BL19" s="462" t="n"/>
      <c r="BM19" s="462" t="n"/>
      <c r="BN19" s="462" t="n"/>
      <c r="BO19" s="462" t="n"/>
      <c r="BP19" s="462" t="n"/>
      <c r="BQ19" s="462" t="n"/>
      <c r="BR19" s="462" t="n"/>
      <c r="BS19" s="462" t="n"/>
      <c r="BT19" s="462" t="n"/>
      <c r="BU19" s="462" t="n"/>
      <c r="BV19" s="462" t="n"/>
      <c r="BW19" s="462" t="n"/>
      <c r="BX19" s="462" t="n"/>
      <c r="BY19" s="462" t="n"/>
      <c r="BZ19" s="462" t="n"/>
      <c r="CA19" s="462" t="n"/>
      <c r="CB19" s="462" t="n"/>
      <c r="CC19" s="462" t="n"/>
      <c r="CD19" s="462" t="n"/>
      <c r="CE19" s="462" t="n"/>
      <c r="CF19" s="462" t="n"/>
      <c r="CG19" s="462" t="n"/>
      <c r="CH19" s="462" t="n"/>
      <c r="CI19" s="462" t="n"/>
      <c r="CJ19" s="462" t="n"/>
      <c r="CK19" s="462" t="n"/>
      <c r="CL19" s="462" t="n"/>
      <c r="CM19" s="462" t="n"/>
      <c r="CN19" s="462" t="n"/>
      <c r="CO19" s="462" t="n"/>
      <c r="CP19" s="462" t="n"/>
      <c r="CQ19" s="462" t="n"/>
      <c r="CR19" s="462" t="n"/>
      <c r="CS19" s="462" t="n"/>
    </row>
    <row r="20" ht="15" customHeight="1" s="1883">
      <c r="B20" s="729" t="inlineStr">
        <is>
          <t>●</t>
        </is>
      </c>
      <c r="C20" s="383" t="inlineStr">
        <is>
          <t>Cash Collection</t>
        </is>
      </c>
      <c r="D20" s="383" t="n"/>
      <c r="E20" s="383" t="n"/>
      <c r="F20" s="383" t="n"/>
      <c r="G20" s="383" t="inlineStr">
        <is>
          <t>Cash received in same month as subscription</t>
        </is>
      </c>
      <c r="H20" s="383" t="n"/>
      <c r="I20" s="462" t="n">
        <v>0</v>
      </c>
      <c r="J20" s="462" t="n">
        <v>0</v>
      </c>
      <c r="K20" s="462" t="n">
        <v>0</v>
      </c>
      <c r="L20" s="462" t="n">
        <v>0</v>
      </c>
      <c r="M20" s="462" t="n">
        <v>0</v>
      </c>
      <c r="N20" s="462" t="n">
        <v>0</v>
      </c>
      <c r="O20" s="462" t="n">
        <v>0</v>
      </c>
      <c r="P20" s="462" t="n">
        <v>0</v>
      </c>
      <c r="Q20" s="462" t="n">
        <v>0</v>
      </c>
      <c r="S20" s="462" t="n">
        <v>1000000</v>
      </c>
      <c r="T20" s="462" t="n">
        <v>1000000</v>
      </c>
      <c r="U20" s="462" t="n"/>
      <c r="V20" s="494">
        <f>SUM(L20:T20)</f>
        <v/>
      </c>
      <c r="W20" s="462" t="n"/>
      <c r="X20" s="911">
        <f>((X18)+('2D. Crowd Funding'!G45))</f>
        <v/>
      </c>
      <c r="Y20" s="462">
        <f>(Y18)</f>
        <v/>
      </c>
      <c r="Z20" s="462">
        <f>(Z18)</f>
        <v/>
      </c>
      <c r="AA20" s="462">
        <f>(AA18)</f>
        <v/>
      </c>
      <c r="AB20" s="462">
        <f>(AB18)</f>
        <v/>
      </c>
      <c r="AC20" s="462">
        <f>(AC18)</f>
        <v/>
      </c>
      <c r="AD20" s="462">
        <f>(AD18)</f>
        <v/>
      </c>
      <c r="AE20" s="462">
        <f>(AE18)</f>
        <v/>
      </c>
      <c r="AF20" s="462">
        <f>(AF18)</f>
        <v/>
      </c>
      <c r="AG20" s="462">
        <f>(AG18)</f>
        <v/>
      </c>
      <c r="AH20" s="462">
        <f>(AH18)</f>
        <v/>
      </c>
      <c r="AI20" s="462">
        <f>(AI18)</f>
        <v/>
      </c>
      <c r="AJ20" s="462" t="n"/>
      <c r="AK20" s="494">
        <f>SUM(X20:AI20)</f>
        <v/>
      </c>
      <c r="AL20" s="462" t="n"/>
      <c r="AM20" s="462">
        <f>(AM18)</f>
        <v/>
      </c>
      <c r="AN20" s="462">
        <f>(AN18)</f>
        <v/>
      </c>
      <c r="AO20" s="462">
        <f>(AO18)</f>
        <v/>
      </c>
      <c r="AP20" s="462">
        <f>(AP18)</f>
        <v/>
      </c>
      <c r="AQ20" s="462">
        <f>(AQ18)</f>
        <v/>
      </c>
      <c r="AR20" s="462">
        <f>(AR18)</f>
        <v/>
      </c>
      <c r="AS20" s="462">
        <f>(AS18)</f>
        <v/>
      </c>
      <c r="AT20" s="462">
        <f>(AT18)</f>
        <v/>
      </c>
      <c r="AU20" s="462">
        <f>(AU18)</f>
        <v/>
      </c>
      <c r="AV20" s="462">
        <f>(AV18)</f>
        <v/>
      </c>
      <c r="AW20" s="462">
        <f>(AW18)</f>
        <v/>
      </c>
      <c r="AX20" s="462">
        <f>(AX18)</f>
        <v/>
      </c>
      <c r="AY20" s="462" t="n"/>
      <c r="AZ20" s="494">
        <f>SUM(AM20:AX20)</f>
        <v/>
      </c>
      <c r="BA20" s="462" t="n"/>
      <c r="BB20" s="462">
        <f>(BB18)</f>
        <v/>
      </c>
      <c r="BC20" s="462">
        <f>(BC18)</f>
        <v/>
      </c>
      <c r="BD20" s="462">
        <f>(BD18)</f>
        <v/>
      </c>
      <c r="BE20" s="462">
        <f>(BE18)</f>
        <v/>
      </c>
      <c r="BF20" s="462">
        <f>(BF18)</f>
        <v/>
      </c>
      <c r="BG20" s="462">
        <f>(BG18)</f>
        <v/>
      </c>
      <c r="BH20" s="462">
        <f>(BH18)</f>
        <v/>
      </c>
      <c r="BI20" s="462">
        <f>(BI18)</f>
        <v/>
      </c>
      <c r="BJ20" s="462">
        <f>(BJ18)</f>
        <v/>
      </c>
      <c r="BK20" s="462">
        <f>(BK18)</f>
        <v/>
      </c>
      <c r="BL20" s="462">
        <f>(BL18)</f>
        <v/>
      </c>
      <c r="BM20" s="462">
        <f>(BM18)</f>
        <v/>
      </c>
      <c r="BN20" s="462" t="n"/>
      <c r="BO20" s="494">
        <f>SUM(BB20:BM20)</f>
        <v/>
      </c>
      <c r="BP20" s="462" t="n"/>
      <c r="BQ20" s="462">
        <f>(BQ18)</f>
        <v/>
      </c>
      <c r="BR20" s="462">
        <f>(BR18)</f>
        <v/>
      </c>
      <c r="BS20" s="462">
        <f>(BS18)</f>
        <v/>
      </c>
      <c r="BT20" s="462">
        <f>(BT18)</f>
        <v/>
      </c>
      <c r="BU20" s="462">
        <f>(BU18)</f>
        <v/>
      </c>
      <c r="BV20" s="462">
        <f>(BV18)</f>
        <v/>
      </c>
      <c r="BW20" s="462">
        <f>(BW18)</f>
        <v/>
      </c>
      <c r="BX20" s="462">
        <f>(BX18)</f>
        <v/>
      </c>
      <c r="BY20" s="462">
        <f>(BY18)</f>
        <v/>
      </c>
      <c r="BZ20" s="462">
        <f>(BZ18)</f>
        <v/>
      </c>
      <c r="CA20" s="462">
        <f>(CA18)</f>
        <v/>
      </c>
      <c r="CB20" s="462">
        <f>(CB18)</f>
        <v/>
      </c>
      <c r="CC20" s="462" t="n"/>
      <c r="CD20" s="494">
        <f>SUM(BQ20:CB20)</f>
        <v/>
      </c>
      <c r="CE20" s="462" t="n"/>
      <c r="CF20" s="462">
        <f>(CF18)</f>
        <v/>
      </c>
      <c r="CG20" s="462">
        <f>(CG18)</f>
        <v/>
      </c>
      <c r="CH20" s="462">
        <f>(CH18)</f>
        <v/>
      </c>
      <c r="CI20" s="462">
        <f>(CI18)</f>
        <v/>
      </c>
      <c r="CJ20" s="462">
        <f>(CJ18)</f>
        <v/>
      </c>
      <c r="CK20" s="462">
        <f>(CK18)</f>
        <v/>
      </c>
      <c r="CL20" s="462">
        <f>(CL18)</f>
        <v/>
      </c>
      <c r="CM20" s="462">
        <f>(CM18)</f>
        <v/>
      </c>
      <c r="CN20" s="462">
        <f>(CN18)</f>
        <v/>
      </c>
      <c r="CO20" s="462">
        <f>(CO18)</f>
        <v/>
      </c>
      <c r="CP20" s="462">
        <f>(CP18)</f>
        <v/>
      </c>
      <c r="CQ20" s="462">
        <f>(CQ18)</f>
        <v/>
      </c>
      <c r="CR20" s="462" t="n"/>
      <c r="CS20" s="494">
        <f>SUM(CF20:CQ20)</f>
        <v/>
      </c>
    </row>
    <row r="21" ht="15" customHeight="1" s="1883">
      <c r="B21" s="729" t="n"/>
      <c r="C21" s="383" t="n"/>
      <c r="D21" s="383" t="n"/>
      <c r="E21" s="383" t="n"/>
      <c r="F21" s="383" t="n"/>
      <c r="G21" s="383" t="n"/>
      <c r="H21" s="383" t="n"/>
      <c r="I21" s="462" t="n"/>
      <c r="J21" s="462" t="n"/>
      <c r="K21" s="462" t="n"/>
      <c r="L21" s="462" t="n"/>
      <c r="M21" s="462" t="n"/>
      <c r="N21" s="462" t="n"/>
      <c r="O21" s="462" t="n"/>
      <c r="P21" s="462" t="n"/>
      <c r="Q21" s="462" t="n"/>
      <c r="U21" s="462" t="n"/>
      <c r="V21" s="462" t="n"/>
      <c r="W21" s="462" t="n"/>
      <c r="X21" s="462" t="n"/>
      <c r="Y21" s="462" t="n"/>
      <c r="Z21" s="462" t="n"/>
      <c r="AA21" s="462" t="n"/>
      <c r="AB21" s="462" t="n"/>
      <c r="AC21" s="462" t="n"/>
      <c r="AD21" s="462" t="n"/>
      <c r="AE21" s="462" t="n"/>
      <c r="AF21" s="462" t="n"/>
      <c r="AG21" s="462" t="n"/>
      <c r="AH21" s="462" t="n"/>
      <c r="AI21" s="462" t="n"/>
      <c r="AJ21" s="462" t="n"/>
      <c r="AK21" s="494" t="n"/>
      <c r="AL21" s="462" t="n"/>
      <c r="AM21" s="462" t="n"/>
      <c r="AN21" s="462" t="n"/>
      <c r="AO21" s="462" t="n"/>
      <c r="AP21" s="462" t="n"/>
      <c r="AQ21" s="462" t="n"/>
      <c r="AR21" s="462" t="n"/>
      <c r="AS21" s="462" t="n"/>
      <c r="AT21" s="462" t="n"/>
      <c r="AU21" s="462" t="n"/>
      <c r="AV21" s="462" t="n"/>
      <c r="AW21" s="462" t="n"/>
      <c r="AX21" s="462" t="n"/>
      <c r="AY21" s="462" t="n"/>
      <c r="AZ21" s="462" t="n"/>
      <c r="BA21" s="462" t="n"/>
      <c r="BB21" s="462" t="n"/>
      <c r="BC21" s="462" t="n"/>
      <c r="BD21" s="462" t="n"/>
      <c r="BE21" s="462" t="n"/>
      <c r="BF21" s="462" t="n"/>
      <c r="BG21" s="462" t="n"/>
      <c r="BH21" s="462" t="n"/>
      <c r="BI21" s="462" t="n"/>
      <c r="BJ21" s="462" t="n"/>
      <c r="BK21" s="462" t="n"/>
      <c r="BL21" s="462" t="n"/>
      <c r="BM21" s="462" t="n"/>
      <c r="BN21" s="462" t="n"/>
      <c r="BO21" s="462" t="n"/>
      <c r="BP21" s="462" t="n"/>
      <c r="BQ21" s="462" t="n"/>
      <c r="BR21" s="462" t="n"/>
      <c r="BS21" s="462" t="n"/>
      <c r="BT21" s="462" t="n"/>
      <c r="BU21" s="462" t="n"/>
      <c r="BV21" s="462" t="n"/>
      <c r="BW21" s="462" t="n"/>
      <c r="BX21" s="462" t="n"/>
      <c r="BY21" s="462" t="n"/>
      <c r="BZ21" s="462" t="n"/>
      <c r="CA21" s="462" t="n"/>
      <c r="CB21" s="462" t="n"/>
      <c r="CC21" s="462" t="n"/>
      <c r="CD21" s="462" t="n"/>
      <c r="CE21" s="462" t="n"/>
      <c r="CF21" s="462" t="n"/>
      <c r="CG21" s="462" t="n"/>
      <c r="CH21" s="462" t="n"/>
      <c r="CI21" s="462" t="n"/>
      <c r="CJ21" s="462" t="n"/>
      <c r="CK21" s="462" t="n"/>
      <c r="CL21" s="462" t="n"/>
      <c r="CM21" s="462" t="n"/>
      <c r="CN21" s="462" t="n"/>
      <c r="CO21" s="462" t="n"/>
      <c r="CP21" s="462" t="n"/>
      <c r="CQ21" s="462" t="n"/>
      <c r="CR21" s="462" t="n"/>
      <c r="CS21" s="462" t="n"/>
    </row>
    <row r="22" ht="15" customHeight="1" s="1883">
      <c r="B22" s="729" t="n"/>
      <c r="C22" s="383" t="n"/>
      <c r="D22" s="383" t="n"/>
      <c r="E22" s="383" t="n"/>
      <c r="F22" s="383" t="n"/>
      <c r="G22" s="383" t="n"/>
      <c r="H22" s="383" t="n"/>
      <c r="I22" s="462" t="n"/>
      <c r="J22" s="462" t="n"/>
      <c r="K22" s="462" t="n"/>
      <c r="L22" s="462" t="n"/>
      <c r="M22" s="462" t="n"/>
      <c r="N22" s="462" t="n"/>
      <c r="O22" s="462" t="n"/>
      <c r="P22" s="462" t="n"/>
      <c r="Q22" s="462" t="n"/>
      <c r="R22" s="462" t="n"/>
      <c r="S22" s="462" t="n"/>
      <c r="T22" s="462" t="n"/>
      <c r="U22" s="462" t="n"/>
      <c r="V22" s="462" t="n"/>
      <c r="W22" s="462" t="n"/>
      <c r="X22" s="462" t="n"/>
      <c r="Y22" s="462" t="n"/>
      <c r="Z22" s="462" t="n"/>
      <c r="AA22" s="462" t="n"/>
      <c r="AB22" s="462" t="n"/>
      <c r="AC22" s="462" t="n"/>
      <c r="AD22" s="462" t="n"/>
      <c r="AE22" s="462" t="n"/>
      <c r="AF22" s="462" t="n"/>
      <c r="AG22" s="462" t="n"/>
      <c r="AH22" s="462" t="n"/>
      <c r="AI22" s="462" t="n"/>
      <c r="AJ22" s="462" t="n"/>
      <c r="AK22" s="494" t="n"/>
      <c r="AL22" s="462" t="n"/>
      <c r="AM22" s="462" t="n"/>
      <c r="AN22" s="462" t="n"/>
      <c r="AO22" s="462" t="n"/>
      <c r="AP22" s="462" t="n"/>
      <c r="AQ22" s="462" t="n"/>
      <c r="AR22" s="462" t="n"/>
      <c r="AS22" s="462" t="n"/>
      <c r="AT22" s="462" t="n"/>
      <c r="AU22" s="462" t="n"/>
      <c r="AV22" s="462" t="n"/>
      <c r="AW22" s="462" t="n"/>
      <c r="AX22" s="462" t="n"/>
      <c r="AY22" s="462" t="n"/>
      <c r="AZ22" s="462" t="n"/>
      <c r="BA22" s="462" t="n"/>
      <c r="BB22" s="462" t="n"/>
      <c r="BC22" s="462" t="n"/>
      <c r="BD22" s="462" t="n"/>
      <c r="BE22" s="462" t="n"/>
      <c r="BF22" s="462" t="n"/>
      <c r="BG22" s="462" t="n"/>
      <c r="BH22" s="462" t="n"/>
      <c r="BI22" s="462" t="n"/>
      <c r="BJ22" s="462" t="n"/>
      <c r="BK22" s="462" t="n"/>
      <c r="BL22" s="462" t="n"/>
      <c r="BM22" s="462" t="n"/>
      <c r="BN22" s="462" t="n"/>
      <c r="BO22" s="462" t="n"/>
      <c r="BP22" s="462" t="n"/>
      <c r="BQ22" s="462" t="n"/>
      <c r="BR22" s="462" t="n"/>
      <c r="BS22" s="462" t="n"/>
      <c r="BT22" s="462" t="n"/>
      <c r="BU22" s="462" t="n"/>
      <c r="BV22" s="462" t="n"/>
      <c r="BW22" s="462" t="n"/>
      <c r="BX22" s="462" t="n"/>
      <c r="BY22" s="462" t="n"/>
      <c r="BZ22" s="462" t="n"/>
      <c r="CA22" s="462" t="n"/>
      <c r="CB22" s="462" t="n"/>
      <c r="CC22" s="462" t="n"/>
      <c r="CD22" s="462" t="n"/>
      <c r="CE22" s="462" t="n"/>
      <c r="CF22" s="462" t="n"/>
      <c r="CG22" s="462" t="n"/>
      <c r="CH22" s="462" t="n"/>
      <c r="CI22" s="462" t="n"/>
      <c r="CJ22" s="462" t="n"/>
      <c r="CK22" s="462" t="n"/>
      <c r="CL22" s="462" t="n"/>
      <c r="CM22" s="462" t="n"/>
      <c r="CN22" s="462" t="n"/>
      <c r="CO22" s="462" t="n"/>
      <c r="CP22" s="462" t="n"/>
      <c r="CQ22" s="462" t="n"/>
      <c r="CR22" s="462" t="n"/>
      <c r="CS22" s="462" t="n"/>
    </row>
    <row r="23" ht="15" customHeight="1" s="1883">
      <c r="B23" s="383" t="n"/>
      <c r="C23" s="383" t="n"/>
      <c r="D23" s="383" t="n"/>
      <c r="E23" s="383" t="n"/>
      <c r="F23" s="383" t="n"/>
      <c r="G23" s="383" t="n"/>
      <c r="H23" s="383" t="n"/>
      <c r="I23" s="462" t="n"/>
      <c r="J23" s="462" t="n"/>
      <c r="K23" s="462" t="n"/>
      <c r="L23" s="462" t="n"/>
      <c r="M23" s="462" t="n"/>
      <c r="N23" s="462" t="n"/>
      <c r="O23" s="462" t="n"/>
      <c r="P23" s="462" t="n"/>
      <c r="Q23" s="462" t="n"/>
      <c r="R23" s="462" t="n"/>
      <c r="S23" s="462" t="n"/>
      <c r="T23" s="462" t="n"/>
      <c r="U23" s="462" t="n"/>
      <c r="V23" s="462" t="n"/>
      <c r="W23" s="462" t="n"/>
      <c r="X23" s="462" t="n"/>
      <c r="Y23" s="462" t="n"/>
      <c r="Z23" s="462" t="n"/>
      <c r="AA23" s="462" t="n"/>
      <c r="AB23" s="462" t="n"/>
      <c r="AC23" s="462" t="n"/>
      <c r="AD23" s="462" t="n"/>
      <c r="AE23" s="462" t="n"/>
      <c r="AF23" s="462" t="n"/>
      <c r="AG23" s="462" t="n"/>
      <c r="AH23" s="462" t="n"/>
      <c r="AI23" s="462" t="n"/>
      <c r="AJ23" s="462" t="n"/>
      <c r="AK23" s="462" t="n"/>
      <c r="AL23" s="462" t="n"/>
      <c r="AM23" s="462" t="n"/>
      <c r="AN23" s="462" t="n"/>
      <c r="AO23" s="462" t="n"/>
      <c r="AP23" s="462" t="n"/>
      <c r="AQ23" s="462" t="n"/>
      <c r="AR23" s="462" t="n"/>
      <c r="AS23" s="462" t="n"/>
      <c r="AT23" s="462" t="n"/>
      <c r="AU23" s="462" t="n"/>
      <c r="AV23" s="462" t="n"/>
      <c r="AW23" s="462" t="n"/>
      <c r="AX23" s="462" t="n"/>
      <c r="AY23" s="462" t="n"/>
      <c r="AZ23" s="462" t="n"/>
      <c r="BA23" s="462" t="n"/>
      <c r="BB23" s="462" t="n"/>
      <c r="BC23" s="462" t="n"/>
      <c r="BD23" s="462" t="n"/>
      <c r="BE23" s="462" t="n"/>
      <c r="BF23" s="462" t="n"/>
      <c r="BG23" s="462" t="n"/>
      <c r="BH23" s="462" t="n"/>
      <c r="BI23" s="462" t="n"/>
      <c r="BJ23" s="462" t="n"/>
      <c r="BK23" s="462" t="n"/>
      <c r="BL23" s="462" t="n"/>
      <c r="BM23" s="462" t="n"/>
      <c r="BN23" s="462" t="n"/>
      <c r="BO23" s="462" t="n"/>
      <c r="BP23" s="462" t="n"/>
      <c r="BQ23" s="462" t="n"/>
      <c r="BR23" s="462" t="n"/>
      <c r="BS23" s="462" t="n"/>
      <c r="BT23" s="462" t="n"/>
      <c r="BU23" s="462" t="n"/>
      <c r="BV23" s="462" t="n"/>
      <c r="BW23" s="462" t="n"/>
      <c r="BX23" s="462" t="n"/>
      <c r="BY23" s="462" t="n"/>
      <c r="BZ23" s="462" t="n"/>
      <c r="CA23" s="462" t="n"/>
      <c r="CB23" s="462" t="n"/>
      <c r="CC23" s="462" t="n"/>
      <c r="CD23" s="462" t="n"/>
      <c r="CE23" s="462" t="n"/>
      <c r="CF23" s="462" t="n"/>
      <c r="CG23" s="462" t="n"/>
      <c r="CH23" s="462" t="n"/>
      <c r="CI23" s="462" t="n"/>
      <c r="CJ23" s="462" t="n"/>
      <c r="CK23" s="462" t="n"/>
      <c r="CL23" s="462" t="n"/>
      <c r="CM23" s="462" t="n"/>
      <c r="CN23" s="462" t="n"/>
      <c r="CO23" s="462" t="n"/>
      <c r="CP23" s="462" t="n"/>
      <c r="CQ23" s="462" t="n"/>
      <c r="CR23" s="462" t="n"/>
      <c r="CS23" s="462" t="n"/>
    </row>
    <row r="24" ht="15" customHeight="1" s="1883">
      <c r="B24" s="383" t="n"/>
      <c r="C24" s="383" t="n"/>
      <c r="D24" s="383" t="n"/>
      <c r="E24" s="383" t="n"/>
      <c r="F24" s="383" t="n"/>
      <c r="G24" s="383" t="n"/>
      <c r="H24" s="383" t="n"/>
      <c r="I24" s="462" t="n"/>
      <c r="J24" s="462" t="n"/>
      <c r="K24" s="462" t="n"/>
      <c r="L24" s="462" t="n"/>
      <c r="M24" s="462" t="n"/>
      <c r="N24" s="462" t="n"/>
      <c r="O24" s="462" t="n"/>
      <c r="P24" s="462" t="n"/>
      <c r="Q24" s="462" t="n"/>
      <c r="R24" s="462" t="n"/>
      <c r="S24" s="462" t="n"/>
      <c r="T24" s="462" t="n"/>
      <c r="U24" s="462" t="n"/>
      <c r="V24" s="462" t="n"/>
      <c r="W24" s="462" t="n"/>
      <c r="X24" s="462" t="n"/>
      <c r="Y24" s="462" t="n"/>
      <c r="Z24" s="462" t="n"/>
      <c r="AA24" s="462" t="n"/>
      <c r="AB24" s="462" t="n"/>
      <c r="AC24" s="462" t="n"/>
      <c r="AD24" s="462" t="n"/>
      <c r="AE24" s="462" t="n"/>
      <c r="AF24" s="462" t="n"/>
      <c r="AG24" s="462" t="n"/>
      <c r="AH24" s="462" t="n"/>
      <c r="AI24" s="462" t="n"/>
      <c r="AJ24" s="462" t="n"/>
      <c r="AK24" s="462" t="n"/>
      <c r="AL24" s="462" t="n"/>
      <c r="AM24" s="462" t="n"/>
      <c r="AN24" s="462" t="n"/>
      <c r="AO24" s="462" t="n"/>
      <c r="AP24" s="462" t="n"/>
      <c r="AQ24" s="462" t="n"/>
      <c r="AR24" s="462" t="n"/>
      <c r="AS24" s="462" t="n"/>
      <c r="AT24" s="462" t="n"/>
      <c r="AU24" s="462" t="n"/>
      <c r="AV24" s="462" t="n"/>
      <c r="AW24" s="462" t="n"/>
      <c r="AX24" s="462" t="n"/>
      <c r="AY24" s="462" t="n"/>
      <c r="AZ24" s="462" t="n"/>
      <c r="BA24" s="462" t="n"/>
      <c r="BB24" s="462" t="n"/>
      <c r="BC24" s="462" t="n"/>
      <c r="BD24" s="462" t="n"/>
      <c r="BE24" s="462" t="n"/>
      <c r="BF24" s="462" t="n"/>
      <c r="BG24" s="462" t="n"/>
      <c r="BH24" s="462" t="n"/>
      <c r="BI24" s="462" t="n"/>
      <c r="BJ24" s="462" t="n"/>
      <c r="BK24" s="462" t="n"/>
      <c r="BL24" s="462" t="n"/>
      <c r="BM24" s="462" t="n"/>
      <c r="BN24" s="462" t="n"/>
      <c r="BO24" s="462" t="n"/>
      <c r="BP24" s="462" t="n"/>
      <c r="BQ24" s="462" t="n"/>
      <c r="BR24" s="462" t="n"/>
      <c r="BS24" s="462" t="n"/>
      <c r="BT24" s="462" t="n"/>
      <c r="BU24" s="462" t="n"/>
      <c r="BV24" s="462" t="n"/>
      <c r="BW24" s="462" t="n"/>
      <c r="BX24" s="462" t="n"/>
      <c r="BY24" s="462" t="n"/>
      <c r="BZ24" s="462" t="n"/>
      <c r="CA24" s="462" t="n"/>
      <c r="CB24" s="462" t="n"/>
      <c r="CC24" s="462" t="n"/>
      <c r="CD24" s="462" t="n"/>
      <c r="CE24" s="462" t="n"/>
      <c r="CF24" s="462" t="n"/>
      <c r="CG24" s="462" t="n"/>
      <c r="CH24" s="462" t="n"/>
      <c r="CI24" s="462" t="n"/>
      <c r="CJ24" s="462" t="n"/>
      <c r="CK24" s="462" t="n"/>
      <c r="CL24" s="462" t="n"/>
      <c r="CM24" s="462" t="n"/>
      <c r="CN24" s="462" t="n"/>
      <c r="CO24" s="462" t="n"/>
      <c r="CP24" s="462" t="n"/>
      <c r="CQ24" s="462" t="n"/>
      <c r="CR24" s="462" t="n"/>
      <c r="CS24" s="462" t="n"/>
    </row>
    <row r="25" ht="15" customHeight="1" s="1883">
      <c r="B25" s="385" t="inlineStr">
        <is>
          <t>Market Research Services</t>
        </is>
      </c>
      <c r="C25" s="383" t="n"/>
      <c r="D25" s="383" t="n"/>
      <c r="E25" s="383" t="n"/>
      <c r="F25" s="383" t="n"/>
      <c r="G25" s="383" t="n"/>
      <c r="H25" s="383" t="n"/>
      <c r="I25" s="462" t="n"/>
      <c r="J25" s="462" t="n"/>
      <c r="K25" s="462" t="n"/>
      <c r="L25" s="462" t="n"/>
      <c r="M25" s="462" t="n"/>
      <c r="N25" s="462" t="n"/>
      <c r="O25" s="462" t="n"/>
      <c r="P25" s="462" t="n"/>
      <c r="Q25" s="462" t="n"/>
      <c r="R25" s="462" t="n"/>
      <c r="S25" s="462" t="n"/>
      <c r="T25" s="462" t="n"/>
      <c r="U25" s="462" t="n"/>
      <c r="V25" s="462" t="n"/>
      <c r="W25" s="462" t="n"/>
      <c r="X25" s="462" t="n"/>
      <c r="Y25" s="462" t="n"/>
      <c r="Z25" s="462" t="n"/>
      <c r="AA25" s="462" t="n"/>
      <c r="AB25" s="462" t="n"/>
      <c r="AC25" s="462" t="n"/>
      <c r="AD25" s="462" t="n"/>
      <c r="AE25" s="462" t="n"/>
      <c r="AF25" s="462" t="n"/>
      <c r="AG25" s="462" t="n"/>
      <c r="AH25" s="462" t="n"/>
      <c r="AI25" s="462" t="n"/>
      <c r="AJ25" s="462" t="n"/>
      <c r="AK25" s="462" t="n"/>
      <c r="AL25" s="462" t="n"/>
      <c r="AM25" s="462" t="n"/>
      <c r="AN25" s="462" t="n"/>
      <c r="AO25" s="462" t="n"/>
      <c r="AP25" s="462" t="n"/>
      <c r="AQ25" s="462" t="n"/>
      <c r="AR25" s="462" t="n"/>
      <c r="AS25" s="462" t="n"/>
      <c r="AT25" s="462" t="n"/>
      <c r="AU25" s="462" t="n"/>
      <c r="AV25" s="462" t="n"/>
      <c r="AW25" s="462" t="n"/>
      <c r="AX25" s="462" t="n"/>
      <c r="AY25" s="462" t="n"/>
      <c r="AZ25" s="462" t="n"/>
      <c r="BA25" s="462" t="n"/>
      <c r="BB25" s="462" t="n"/>
      <c r="BC25" s="462" t="n"/>
      <c r="BD25" s="462" t="n"/>
      <c r="BE25" s="462" t="n"/>
      <c r="BF25" s="462" t="n"/>
      <c r="BG25" s="462" t="n"/>
      <c r="BH25" s="462" t="n"/>
      <c r="BI25" s="462" t="n"/>
      <c r="BJ25" s="462" t="n"/>
      <c r="BK25" s="462" t="n"/>
      <c r="BL25" s="462" t="n"/>
      <c r="BM25" s="462" t="n"/>
      <c r="BN25" s="462" t="n"/>
      <c r="BO25" s="462" t="n"/>
      <c r="BP25" s="462" t="n"/>
      <c r="BQ25" s="462" t="n"/>
      <c r="BR25" s="462" t="n"/>
      <c r="BS25" s="462" t="n"/>
      <c r="BT25" s="462" t="n"/>
      <c r="BU25" s="462" t="n"/>
      <c r="BV25" s="462" t="n"/>
      <c r="BW25" s="462" t="n"/>
      <c r="BX25" s="462" t="n"/>
      <c r="BY25" s="462" t="n"/>
      <c r="BZ25" s="462" t="n"/>
      <c r="CA25" s="462" t="n"/>
      <c r="CB25" s="462" t="n"/>
      <c r="CC25" s="462" t="n"/>
      <c r="CD25" s="462" t="n"/>
      <c r="CE25" s="462" t="n"/>
      <c r="CF25" s="462" t="n"/>
      <c r="CG25" s="462" t="n"/>
      <c r="CH25" s="462" t="n"/>
      <c r="CI25" s="462" t="n"/>
      <c r="CJ25" s="462" t="n"/>
      <c r="CK25" s="462" t="n"/>
      <c r="CL25" s="462" t="n"/>
      <c r="CM25" s="462" t="n"/>
      <c r="CN25" s="462" t="n"/>
      <c r="CO25" s="462" t="n"/>
      <c r="CP25" s="462" t="n"/>
      <c r="CQ25" s="462" t="n"/>
      <c r="CR25" s="462" t="n"/>
      <c r="CS25" s="462" t="n"/>
    </row>
    <row r="26" ht="3" customHeight="1" s="1883">
      <c r="B26" s="387" t="n"/>
      <c r="C26" s="387" t="n"/>
      <c r="D26" s="387" t="n"/>
      <c r="E26" s="387" t="n"/>
      <c r="F26" s="387" t="n"/>
      <c r="G26" s="387" t="n"/>
      <c r="H26" s="383" t="n"/>
      <c r="I26" s="462" t="n"/>
      <c r="J26" s="462" t="n"/>
      <c r="K26" s="462" t="n"/>
      <c r="L26" s="462" t="n"/>
      <c r="M26" s="462" t="n"/>
      <c r="N26" s="462" t="n"/>
      <c r="O26" s="462" t="n"/>
      <c r="P26" s="462" t="n"/>
      <c r="Q26" s="462" t="n"/>
      <c r="R26" s="462" t="n"/>
      <c r="S26" s="462" t="n"/>
      <c r="T26" s="462" t="n"/>
      <c r="U26" s="462" t="n"/>
      <c r="V26" s="462" t="n"/>
      <c r="W26" s="462" t="n"/>
      <c r="X26" s="462" t="n"/>
      <c r="Y26" s="462" t="n"/>
      <c r="Z26" s="462" t="n"/>
      <c r="AA26" s="462" t="n"/>
      <c r="AB26" s="462" t="n"/>
      <c r="AC26" s="462" t="n"/>
      <c r="AD26" s="462" t="n"/>
      <c r="AE26" s="462" t="n"/>
      <c r="AF26" s="462" t="n"/>
      <c r="AG26" s="462" t="n"/>
      <c r="AH26" s="462" t="n"/>
      <c r="AI26" s="462" t="n"/>
      <c r="AJ26" s="462" t="n"/>
      <c r="AK26" s="462" t="n"/>
      <c r="AL26" s="462" t="n"/>
      <c r="AM26" s="462" t="n"/>
      <c r="AN26" s="462" t="n"/>
      <c r="AO26" s="462" t="n"/>
      <c r="AP26" s="462" t="n"/>
      <c r="AQ26" s="462" t="n"/>
      <c r="AR26" s="462" t="n"/>
      <c r="AS26" s="462" t="n"/>
      <c r="AT26" s="462" t="n"/>
      <c r="AU26" s="462" t="n"/>
      <c r="AV26" s="462" t="n"/>
      <c r="AW26" s="462" t="n"/>
      <c r="AX26" s="462" t="n"/>
      <c r="AY26" s="462" t="n"/>
      <c r="AZ26" s="462" t="n"/>
      <c r="BA26" s="462" t="n"/>
      <c r="BB26" s="462" t="n"/>
      <c r="BC26" s="462" t="n"/>
      <c r="BD26" s="462" t="n"/>
      <c r="BE26" s="462" t="n"/>
      <c r="BF26" s="462" t="n"/>
      <c r="BG26" s="462" t="n"/>
      <c r="BH26" s="462" t="n"/>
      <c r="BI26" s="462" t="n"/>
      <c r="BJ26" s="462" t="n"/>
      <c r="BK26" s="462" t="n"/>
      <c r="BL26" s="462" t="n"/>
      <c r="BM26" s="462" t="n"/>
      <c r="BN26" s="462" t="n"/>
      <c r="BO26" s="462" t="n"/>
      <c r="BP26" s="462" t="n"/>
      <c r="BQ26" s="462" t="n"/>
      <c r="BR26" s="462" t="n"/>
      <c r="BS26" s="462" t="n"/>
      <c r="BT26" s="462" t="n"/>
      <c r="BU26" s="462" t="n"/>
      <c r="BV26" s="462" t="n"/>
      <c r="BW26" s="462" t="n"/>
      <c r="BX26" s="462" t="n"/>
      <c r="BY26" s="462" t="n"/>
      <c r="BZ26" s="462" t="n"/>
      <c r="CA26" s="462" t="n"/>
      <c r="CB26" s="462" t="n"/>
      <c r="CC26" s="462" t="n"/>
      <c r="CD26" s="462" t="n"/>
      <c r="CE26" s="462" t="n"/>
      <c r="CF26" s="462" t="n"/>
      <c r="CG26" s="462" t="n"/>
      <c r="CH26" s="462" t="n"/>
      <c r="CI26" s="462" t="n"/>
      <c r="CJ26" s="462" t="n"/>
      <c r="CK26" s="462" t="n"/>
      <c r="CL26" s="462" t="n"/>
      <c r="CM26" s="462" t="n"/>
      <c r="CN26" s="462" t="n"/>
      <c r="CO26" s="462" t="n"/>
      <c r="CP26" s="462" t="n"/>
      <c r="CQ26" s="462" t="n"/>
      <c r="CR26" s="462" t="n"/>
      <c r="CS26" s="462" t="n"/>
    </row>
    <row r="27" ht="3" customHeight="1" s="1883">
      <c r="B27" s="383" t="n"/>
      <c r="C27" s="383" t="n"/>
      <c r="D27" s="383" t="n"/>
      <c r="E27" s="383" t="n"/>
      <c r="F27" s="383" t="n"/>
      <c r="G27" s="383" t="n"/>
      <c r="H27" s="383" t="n"/>
      <c r="I27" s="462" t="n"/>
      <c r="J27" s="462" t="n"/>
      <c r="K27" s="462" t="n"/>
      <c r="L27" s="462" t="n"/>
      <c r="M27" s="462" t="n"/>
      <c r="N27" s="462" t="n"/>
      <c r="O27" s="462" t="n"/>
      <c r="P27" s="462" t="n"/>
      <c r="Q27" s="462" t="n"/>
      <c r="R27" s="462" t="n"/>
      <c r="S27" s="462" t="n"/>
      <c r="T27" s="462" t="n"/>
      <c r="U27" s="462" t="n"/>
      <c r="V27" s="462" t="n"/>
      <c r="W27" s="462" t="n"/>
      <c r="X27" s="462" t="n"/>
      <c r="Y27" s="462" t="n"/>
      <c r="Z27" s="462" t="n"/>
      <c r="AA27" s="462" t="n"/>
      <c r="AB27" s="462" t="n"/>
      <c r="AC27" s="462" t="n"/>
      <c r="AD27" s="462" t="n"/>
      <c r="AE27" s="462" t="n"/>
      <c r="AF27" s="462" t="n"/>
      <c r="AG27" s="462" t="n"/>
      <c r="AH27" s="462" t="n"/>
      <c r="AI27" s="462" t="n"/>
      <c r="AJ27" s="462" t="n"/>
      <c r="AK27" s="462" t="n"/>
      <c r="AL27" s="462" t="n"/>
      <c r="AM27" s="462" t="n"/>
      <c r="AN27" s="462" t="n"/>
      <c r="AO27" s="462" t="n"/>
      <c r="AP27" s="462" t="n"/>
      <c r="AQ27" s="462" t="n"/>
      <c r="AR27" s="462" t="n"/>
      <c r="AS27" s="462" t="n"/>
      <c r="AT27" s="462" t="n"/>
      <c r="AU27" s="462" t="n"/>
      <c r="AV27" s="462" t="n"/>
      <c r="AW27" s="462" t="n"/>
      <c r="AX27" s="462" t="n"/>
      <c r="AY27" s="462" t="n"/>
      <c r="AZ27" s="462" t="n"/>
      <c r="BA27" s="462" t="n"/>
      <c r="BB27" s="462" t="n"/>
      <c r="BC27" s="462" t="n"/>
      <c r="BD27" s="462" t="n"/>
      <c r="BE27" s="462" t="n"/>
      <c r="BF27" s="462" t="n"/>
      <c r="BG27" s="462" t="n"/>
      <c r="BH27" s="462" t="n"/>
      <c r="BI27" s="462" t="n"/>
      <c r="BJ27" s="462" t="n"/>
      <c r="BK27" s="462" t="n"/>
      <c r="BL27" s="462" t="n"/>
      <c r="BM27" s="462" t="n"/>
      <c r="BN27" s="462" t="n"/>
      <c r="BO27" s="462" t="n"/>
      <c r="BP27" s="462" t="n"/>
      <c r="BQ27" s="462" t="n"/>
      <c r="BR27" s="462" t="n"/>
      <c r="BS27" s="462" t="n"/>
      <c r="BT27" s="462" t="n"/>
      <c r="BU27" s="462" t="n"/>
      <c r="BV27" s="462" t="n"/>
      <c r="BW27" s="462" t="n"/>
      <c r="BX27" s="462" t="n"/>
      <c r="BY27" s="462" t="n"/>
      <c r="BZ27" s="462" t="n"/>
      <c r="CA27" s="462" t="n"/>
      <c r="CB27" s="462" t="n"/>
      <c r="CC27" s="462" t="n"/>
      <c r="CD27" s="462" t="n"/>
      <c r="CE27" s="462" t="n"/>
      <c r="CF27" s="462" t="n"/>
      <c r="CG27" s="462" t="n"/>
      <c r="CH27" s="462" t="n"/>
      <c r="CI27" s="462" t="n"/>
      <c r="CJ27" s="462" t="n"/>
      <c r="CK27" s="462" t="n"/>
      <c r="CL27" s="462" t="n"/>
      <c r="CM27" s="462" t="n"/>
      <c r="CN27" s="462" t="n"/>
      <c r="CO27" s="462" t="n"/>
      <c r="CP27" s="462" t="n"/>
      <c r="CQ27" s="462" t="n"/>
      <c r="CR27" s="462" t="n"/>
      <c r="CS27" s="462" t="n"/>
    </row>
    <row r="28" ht="15" customHeight="1" s="1883">
      <c r="B28" s="383" t="n"/>
      <c r="C28" s="383" t="n"/>
      <c r="D28" s="383" t="n"/>
      <c r="E28" s="383" t="n"/>
      <c r="F28" s="383" t="n"/>
      <c r="G28" s="383" t="n"/>
      <c r="H28" s="383" t="n"/>
      <c r="I28" s="383" t="n"/>
      <c r="J28" s="383" t="n"/>
      <c r="K28" s="383" t="n"/>
      <c r="L28" s="383" t="n"/>
      <c r="M28" s="383" t="n"/>
      <c r="N28" s="383" t="n"/>
      <c r="O28" s="383" t="n"/>
      <c r="P28" s="383" t="n"/>
      <c r="Q28" s="383" t="n"/>
      <c r="R28" s="383" t="n"/>
      <c r="S28" s="383" t="n"/>
      <c r="T28" s="383" t="n"/>
      <c r="U28" s="383" t="n"/>
      <c r="V28" s="383" t="n"/>
      <c r="W28" s="383" t="n"/>
      <c r="X28" s="383" t="n"/>
      <c r="Y28" s="383" t="n"/>
      <c r="Z28" s="383" t="n"/>
      <c r="AA28" s="383" t="n"/>
      <c r="AB28" s="383" t="n"/>
      <c r="AC28" s="383" t="n"/>
      <c r="AD28" s="383" t="n"/>
      <c r="AE28" s="383" t="n"/>
      <c r="AF28" s="383" t="n"/>
      <c r="AG28" s="383" t="n"/>
      <c r="AH28" s="383" t="n"/>
      <c r="AI28" s="383" t="n"/>
      <c r="AJ28" s="383" t="n"/>
      <c r="AK28" s="383" t="n"/>
      <c r="AL28" s="383" t="n"/>
      <c r="AM28" s="383" t="n"/>
      <c r="AN28" s="383" t="n"/>
      <c r="AO28" s="383" t="n"/>
      <c r="AP28" s="383" t="n"/>
      <c r="AQ28" s="383" t="n"/>
      <c r="AR28" s="383" t="n"/>
      <c r="AS28" s="383" t="n"/>
      <c r="AT28" s="383" t="n"/>
      <c r="AU28" s="383" t="n"/>
      <c r="AV28" s="383" t="n"/>
      <c r="AW28" s="383" t="n"/>
      <c r="AX28" s="383" t="n"/>
      <c r="AY28" s="383" t="n"/>
      <c r="AZ28" s="383" t="n"/>
      <c r="BA28" s="383" t="n"/>
      <c r="BB28" s="383" t="n"/>
      <c r="BC28" s="383" t="n"/>
      <c r="BD28" s="383" t="n"/>
      <c r="BE28" s="383" t="n"/>
      <c r="BF28" s="383" t="n"/>
      <c r="BG28" s="383" t="n"/>
      <c r="BH28" s="383" t="n"/>
      <c r="BI28" s="383" t="n"/>
      <c r="BJ28" s="383" t="n"/>
      <c r="BK28" s="383" t="n"/>
      <c r="BL28" s="383" t="n"/>
      <c r="BM28" s="383" t="n"/>
      <c r="BN28" s="383" t="n"/>
      <c r="BO28" s="383" t="n"/>
      <c r="BP28" s="383" t="n"/>
      <c r="BQ28" s="383" t="n"/>
      <c r="BR28" s="383" t="n"/>
      <c r="BS28" s="383" t="n"/>
      <c r="BT28" s="383" t="n"/>
      <c r="BU28" s="383" t="n"/>
      <c r="BV28" s="383" t="n"/>
      <c r="BW28" s="383" t="n"/>
      <c r="BX28" s="383" t="n"/>
      <c r="BY28" s="383" t="n"/>
      <c r="BZ28" s="383" t="n"/>
      <c r="CA28" s="383" t="n"/>
      <c r="CB28" s="383" t="n"/>
      <c r="CC28" s="383" t="n"/>
      <c r="CD28" s="383" t="n"/>
      <c r="CE28" s="383" t="n"/>
      <c r="CF28" s="383" t="n"/>
      <c r="CG28" s="383" t="n"/>
      <c r="CH28" s="383" t="n"/>
      <c r="CI28" s="383" t="n"/>
      <c r="CJ28" s="383" t="n"/>
      <c r="CK28" s="383" t="n"/>
      <c r="CL28" s="383" t="n"/>
      <c r="CM28" s="383" t="n"/>
      <c r="CN28" s="383" t="n"/>
      <c r="CO28" s="383" t="n"/>
      <c r="CP28" s="383" t="n"/>
      <c r="CQ28" s="383" t="n"/>
      <c r="CR28" s="383" t="n"/>
      <c r="CS28" s="383" t="n"/>
    </row>
    <row r="29" ht="15" customHeight="1" s="1883">
      <c r="B29" s="729" t="inlineStr">
        <is>
          <t>●</t>
        </is>
      </c>
      <c r="C29" s="383" t="inlineStr">
        <is>
          <t>Revenue Recognition</t>
        </is>
      </c>
      <c r="D29" s="383" t="n"/>
      <c r="E29" s="383" t="n"/>
      <c r="F29" s="383" t="n"/>
      <c r="G29" s="383" t="inlineStr">
        <is>
          <t>Revenue recognized in month of sale</t>
        </is>
      </c>
      <c r="H29" s="383" t="n"/>
      <c r="I29" s="462" t="n">
        <v>0</v>
      </c>
      <c r="J29" s="462" t="n">
        <v>0</v>
      </c>
      <c r="K29" s="462" t="n">
        <v>0</v>
      </c>
      <c r="L29" s="462" t="n">
        <v>0</v>
      </c>
      <c r="M29" s="462" t="n">
        <v>0</v>
      </c>
      <c r="N29" s="462" t="n">
        <v>0</v>
      </c>
      <c r="O29" s="462" t="n">
        <v>0</v>
      </c>
      <c r="P29" s="462" t="n">
        <v>0</v>
      </c>
      <c r="Q29" s="462" t="n">
        <v>0</v>
      </c>
      <c r="R29" s="462" t="n">
        <v>0</v>
      </c>
      <c r="S29" s="462" t="n">
        <v>0</v>
      </c>
      <c r="T29" s="462" t="n">
        <v>0</v>
      </c>
      <c r="U29" s="383" t="n"/>
      <c r="V29" s="494">
        <f>SUM(L29:T29)</f>
        <v/>
      </c>
      <c r="W29" s="383" t="n"/>
      <c r="X29" s="462">
        <f>'3B. Tel. - Rev. Detail x Month'!$J296</f>
        <v/>
      </c>
      <c r="Y29" s="462">
        <f>'3B. Tel. - Rev. Detail x Month'!$K296</f>
        <v/>
      </c>
      <c r="Z29" s="462">
        <f>'3B. Tel. - Rev. Detail x Month'!$L296</f>
        <v/>
      </c>
      <c r="AA29" s="462">
        <f>'3B. Tel. - Rev. Detail x Month'!$M296</f>
        <v/>
      </c>
      <c r="AB29" s="462">
        <f>'3B. Tel. - Rev. Detail x Month'!$N296</f>
        <v/>
      </c>
      <c r="AC29" s="462">
        <f>'3B. Tel. - Rev. Detail x Month'!$O296</f>
        <v/>
      </c>
      <c r="AD29" s="462">
        <f>'3B. Tel. - Rev. Detail x Month'!$P296</f>
        <v/>
      </c>
      <c r="AE29" s="462">
        <f>'3B. Tel. - Rev. Detail x Month'!$Q296</f>
        <v/>
      </c>
      <c r="AF29" s="462">
        <f>'3B. Tel. - Rev. Detail x Month'!$R296</f>
        <v/>
      </c>
      <c r="AG29" s="462">
        <f>'3B. Tel. - Rev. Detail x Month'!$S296</f>
        <v/>
      </c>
      <c r="AH29" s="462">
        <f>'3B. Tel. - Rev. Detail x Month'!$T296</f>
        <v/>
      </c>
      <c r="AI29" s="462">
        <f>'3B. Tel. - Rev. Detail x Month'!$U296</f>
        <v/>
      </c>
      <c r="AJ29" s="462" t="n"/>
      <c r="AK29" s="494">
        <f>SUM(X29:AI29)</f>
        <v/>
      </c>
      <c r="AL29" s="462" t="n"/>
      <c r="AM29" s="462">
        <f>'3B. Tel. - Rev. Detail x Month'!$J328</f>
        <v/>
      </c>
      <c r="AN29" s="462">
        <f>'3B. Tel. - Rev. Detail x Month'!$K328</f>
        <v/>
      </c>
      <c r="AO29" s="462">
        <f>'3B. Tel. - Rev. Detail x Month'!$L328</f>
        <v/>
      </c>
      <c r="AP29" s="462">
        <f>'3B. Tel. - Rev. Detail x Month'!$M328</f>
        <v/>
      </c>
      <c r="AQ29" s="462">
        <f>'3B. Tel. - Rev. Detail x Month'!$N328</f>
        <v/>
      </c>
      <c r="AR29" s="462">
        <f>'3B. Tel. - Rev. Detail x Month'!$O328</f>
        <v/>
      </c>
      <c r="AS29" s="462">
        <f>'3B. Tel. - Rev. Detail x Month'!$P328</f>
        <v/>
      </c>
      <c r="AT29" s="462">
        <f>'3B. Tel. - Rev. Detail x Month'!$Q328</f>
        <v/>
      </c>
      <c r="AU29" s="462">
        <f>'3B. Tel. - Rev. Detail x Month'!$R328</f>
        <v/>
      </c>
      <c r="AV29" s="462">
        <f>'3B. Tel. - Rev. Detail x Month'!$S328</f>
        <v/>
      </c>
      <c r="AW29" s="462">
        <f>'3B. Tel. - Rev. Detail x Month'!$T328</f>
        <v/>
      </c>
      <c r="AX29" s="462">
        <f>'3B. Tel. - Rev. Detail x Month'!$U328</f>
        <v/>
      </c>
      <c r="AY29" s="462" t="n"/>
      <c r="AZ29" s="494">
        <f>SUM(AM29:AX29)</f>
        <v/>
      </c>
      <c r="BA29" s="462" t="n"/>
      <c r="BB29" s="462">
        <f>'3B. Tel. - Rev. Detail x Month'!$J360</f>
        <v/>
      </c>
      <c r="BC29" s="462">
        <f>'3B. Tel. - Rev. Detail x Month'!$K360</f>
        <v/>
      </c>
      <c r="BD29" s="462">
        <f>'3B. Tel. - Rev. Detail x Month'!$L360</f>
        <v/>
      </c>
      <c r="BE29" s="462">
        <f>'3B. Tel. - Rev. Detail x Month'!$M360</f>
        <v/>
      </c>
      <c r="BF29" s="462">
        <f>'3B. Tel. - Rev. Detail x Month'!$N360</f>
        <v/>
      </c>
      <c r="BG29" s="462">
        <f>'3B. Tel. - Rev. Detail x Month'!$O360</f>
        <v/>
      </c>
      <c r="BH29" s="462">
        <f>'3B. Tel. - Rev. Detail x Month'!$P360</f>
        <v/>
      </c>
      <c r="BI29" s="462">
        <f>'3B. Tel. - Rev. Detail x Month'!$Q360</f>
        <v/>
      </c>
      <c r="BJ29" s="462">
        <f>'3B. Tel. - Rev. Detail x Month'!$R360</f>
        <v/>
      </c>
      <c r="BK29" s="462">
        <f>'3B. Tel. - Rev. Detail x Month'!$S360</f>
        <v/>
      </c>
      <c r="BL29" s="462">
        <f>'3B. Tel. - Rev. Detail x Month'!$T360</f>
        <v/>
      </c>
      <c r="BM29" s="462">
        <f>'3B. Tel. - Rev. Detail x Month'!$U360</f>
        <v/>
      </c>
      <c r="BN29" s="462" t="n"/>
      <c r="BO29" s="494">
        <f>SUM(BB29:BM29)</f>
        <v/>
      </c>
      <c r="BP29" s="462" t="n"/>
      <c r="BQ29" s="462">
        <f>'3B. Tel. - Rev. Detail x Month'!$J392</f>
        <v/>
      </c>
      <c r="BR29" s="462">
        <f>'3B. Tel. - Rev. Detail x Month'!$K392</f>
        <v/>
      </c>
      <c r="BS29" s="462">
        <f>'3B. Tel. - Rev. Detail x Month'!$L392</f>
        <v/>
      </c>
      <c r="BT29" s="462">
        <f>'3B. Tel. - Rev. Detail x Month'!$M392</f>
        <v/>
      </c>
      <c r="BU29" s="462">
        <f>'3B. Tel. - Rev. Detail x Month'!$N392</f>
        <v/>
      </c>
      <c r="BV29" s="462">
        <f>'3B. Tel. - Rev. Detail x Month'!$O392</f>
        <v/>
      </c>
      <c r="BW29" s="462">
        <f>'3B. Tel. - Rev. Detail x Month'!$P392</f>
        <v/>
      </c>
      <c r="BX29" s="462">
        <f>'3B. Tel. - Rev. Detail x Month'!$Q392</f>
        <v/>
      </c>
      <c r="BY29" s="462">
        <f>'3B. Tel. - Rev. Detail x Month'!$R392</f>
        <v/>
      </c>
      <c r="BZ29" s="462">
        <f>'3B. Tel. - Rev. Detail x Month'!$S392</f>
        <v/>
      </c>
      <c r="CA29" s="462">
        <f>'3B. Tel. - Rev. Detail x Month'!$T392</f>
        <v/>
      </c>
      <c r="CB29" s="462">
        <f>'3B. Tel. - Rev. Detail x Month'!$U392</f>
        <v/>
      </c>
      <c r="CC29" s="462" t="n"/>
      <c r="CD29" s="494">
        <f>SUM(BQ29:CB29)</f>
        <v/>
      </c>
      <c r="CE29" s="462" t="n"/>
      <c r="CF29" s="462">
        <f>'3B. Tel. - Rev. Detail x Month'!$J424</f>
        <v/>
      </c>
      <c r="CG29" s="462">
        <f>'3B. Tel. - Rev. Detail x Month'!$K424</f>
        <v/>
      </c>
      <c r="CH29" s="462">
        <f>'3B. Tel. - Rev. Detail x Month'!$L424</f>
        <v/>
      </c>
      <c r="CI29" s="462">
        <f>'3B. Tel. - Rev. Detail x Month'!$M424</f>
        <v/>
      </c>
      <c r="CJ29" s="462">
        <f>'3B. Tel. - Rev. Detail x Month'!$N424</f>
        <v/>
      </c>
      <c r="CK29" s="462">
        <f>'3B. Tel. - Rev. Detail x Month'!$O424</f>
        <v/>
      </c>
      <c r="CL29" s="462">
        <f>'3B. Tel. - Rev. Detail x Month'!$P424</f>
        <v/>
      </c>
      <c r="CM29" s="462">
        <f>'3B. Tel. - Rev. Detail x Month'!$Q424</f>
        <v/>
      </c>
      <c r="CN29" s="462">
        <f>'3B. Tel. - Rev. Detail x Month'!$R424</f>
        <v/>
      </c>
      <c r="CO29" s="462">
        <f>'3B. Tel. - Rev. Detail x Month'!$S424</f>
        <v/>
      </c>
      <c r="CP29" s="462">
        <f>'3B. Tel. - Rev. Detail x Month'!$T424</f>
        <v/>
      </c>
      <c r="CQ29" s="462">
        <f>'3B. Tel. - Rev. Detail x Month'!$U424</f>
        <v/>
      </c>
      <c r="CR29" s="462" t="n"/>
      <c r="CS29" s="494">
        <f>SUM(CF29:CQ29)</f>
        <v/>
      </c>
    </row>
    <row r="30" ht="15" customHeight="1" s="1883">
      <c r="B30" s="383" t="n"/>
      <c r="C30" s="383" t="n"/>
      <c r="D30" s="383" t="n"/>
      <c r="E30" s="383" t="n"/>
      <c r="F30" s="383" t="n"/>
      <c r="G30" s="383" t="n"/>
      <c r="H30" s="383" t="n"/>
      <c r="I30" s="462" t="n"/>
      <c r="J30" s="462" t="n"/>
      <c r="K30" s="462" t="n"/>
      <c r="L30" s="462" t="n"/>
      <c r="M30" s="462" t="n"/>
      <c r="N30" s="462" t="n"/>
      <c r="O30" s="462" t="n"/>
      <c r="P30" s="462" t="n"/>
      <c r="Q30" s="462" t="n"/>
      <c r="R30" s="462" t="n"/>
      <c r="S30" s="462" t="n"/>
      <c r="T30" s="462" t="n"/>
      <c r="U30" s="383" t="n"/>
      <c r="V30" s="462" t="n"/>
      <c r="W30" s="383" t="n"/>
      <c r="X30" s="462" t="n"/>
      <c r="Y30" s="462" t="n"/>
      <c r="Z30" s="462" t="n"/>
      <c r="AA30" s="462" t="n"/>
      <c r="AB30" s="462" t="n"/>
      <c r="AC30" s="462" t="n"/>
      <c r="AD30" s="462" t="n"/>
      <c r="AE30" s="462" t="n"/>
      <c r="AF30" s="462" t="n"/>
      <c r="AG30" s="462" t="n"/>
      <c r="AH30" s="462" t="n"/>
      <c r="AI30" s="462" t="n"/>
      <c r="AJ30" s="462" t="n"/>
      <c r="AK30" s="462" t="n"/>
      <c r="AL30" s="462" t="n"/>
      <c r="AM30" s="462" t="n"/>
      <c r="AN30" s="462" t="n"/>
      <c r="AO30" s="462" t="n"/>
      <c r="AP30" s="462" t="n"/>
      <c r="AQ30" s="462" t="n"/>
      <c r="AR30" s="462" t="n"/>
      <c r="AS30" s="462" t="n"/>
      <c r="AT30" s="462" t="n"/>
      <c r="AU30" s="462" t="n"/>
      <c r="AV30" s="462" t="n"/>
      <c r="AW30" s="462" t="n"/>
      <c r="AX30" s="462" t="n"/>
      <c r="AY30" s="462" t="n"/>
      <c r="AZ30" s="462" t="n"/>
      <c r="BA30" s="462" t="n"/>
      <c r="BB30" s="462" t="n"/>
      <c r="BC30" s="462" t="n"/>
      <c r="BD30" s="462" t="n"/>
      <c r="BE30" s="462" t="n"/>
      <c r="BF30" s="462" t="n"/>
      <c r="BG30" s="462" t="n"/>
      <c r="BH30" s="462" t="n"/>
      <c r="BI30" s="462" t="n"/>
      <c r="BJ30" s="462" t="n"/>
      <c r="BK30" s="462" t="n"/>
      <c r="BL30" s="462" t="n"/>
      <c r="BM30" s="462" t="n"/>
      <c r="BN30" s="462" t="n"/>
      <c r="BO30" s="462" t="n"/>
      <c r="BP30" s="462" t="n"/>
      <c r="BQ30" s="462" t="n"/>
      <c r="BR30" s="462" t="n"/>
      <c r="BS30" s="462" t="n"/>
      <c r="BT30" s="462" t="n"/>
      <c r="BU30" s="462" t="n"/>
      <c r="BV30" s="462" t="n"/>
      <c r="BW30" s="462" t="n"/>
      <c r="BX30" s="462" t="n"/>
      <c r="BY30" s="462" t="n"/>
      <c r="BZ30" s="462" t="n"/>
      <c r="CA30" s="462" t="n"/>
      <c r="CB30" s="462" t="n"/>
      <c r="CC30" s="462" t="n"/>
      <c r="CD30" s="462" t="n"/>
      <c r="CE30" s="462" t="n"/>
      <c r="CF30" s="462" t="n"/>
      <c r="CG30" s="462" t="n"/>
      <c r="CH30" s="462" t="n"/>
      <c r="CI30" s="462" t="n"/>
      <c r="CJ30" s="462" t="n"/>
      <c r="CK30" s="462" t="n"/>
      <c r="CL30" s="462" t="n"/>
      <c r="CM30" s="462" t="n"/>
      <c r="CN30" s="462" t="n"/>
      <c r="CO30" s="462" t="n"/>
      <c r="CP30" s="462" t="n"/>
      <c r="CQ30" s="462" t="n"/>
      <c r="CR30" s="462" t="n"/>
      <c r="CS30" s="462" t="n"/>
    </row>
    <row r="31" ht="15" customHeight="1" s="1883">
      <c r="B31" s="729" t="inlineStr">
        <is>
          <t>●</t>
        </is>
      </c>
      <c r="C31" s="383" t="inlineStr">
        <is>
          <t>Cash Collection</t>
        </is>
      </c>
      <c r="D31" s="383" t="n"/>
      <c r="E31" s="383" t="n"/>
      <c r="F31" s="383" t="n"/>
      <c r="G31" s="383" t="inlineStr">
        <is>
          <t>Client payment terms 30 days</t>
        </is>
      </c>
      <c r="H31" s="383" t="n"/>
      <c r="I31" s="462" t="n">
        <v>0</v>
      </c>
      <c r="J31" s="462" t="n">
        <v>0</v>
      </c>
      <c r="K31" s="462" t="n">
        <v>0</v>
      </c>
      <c r="L31" s="462" t="n">
        <v>0</v>
      </c>
      <c r="M31" s="462" t="n">
        <v>0</v>
      </c>
      <c r="N31" s="462" t="n">
        <v>0</v>
      </c>
      <c r="O31" s="462" t="n">
        <v>0</v>
      </c>
      <c r="P31" s="462" t="n">
        <v>0</v>
      </c>
      <c r="Q31" s="462" t="n">
        <v>0</v>
      </c>
      <c r="R31" s="462" t="n">
        <v>0</v>
      </c>
      <c r="S31" s="462" t="n">
        <v>0</v>
      </c>
      <c r="T31" s="462" t="n">
        <v>0</v>
      </c>
      <c r="U31" s="383" t="n"/>
      <c r="V31" s="494">
        <f>SUM(L31:T31)</f>
        <v/>
      </c>
      <c r="W31" s="383" t="n"/>
      <c r="X31" s="462" t="n">
        <v>0</v>
      </c>
      <c r="Y31" s="462" t="n">
        <v>0</v>
      </c>
      <c r="Z31" s="462">
        <f>(Z29)</f>
        <v/>
      </c>
      <c r="AA31" s="462">
        <f>(AA29)</f>
        <v/>
      </c>
      <c r="AB31" s="462">
        <f>(AB29)</f>
        <v/>
      </c>
      <c r="AC31" s="462">
        <f>(AC29)</f>
        <v/>
      </c>
      <c r="AD31" s="462">
        <f>(AD29)</f>
        <v/>
      </c>
      <c r="AE31" s="462">
        <f>(AE29)</f>
        <v/>
      </c>
      <c r="AF31" s="462">
        <f>(AF29)</f>
        <v/>
      </c>
      <c r="AG31" s="462">
        <f>(AG29)</f>
        <v/>
      </c>
      <c r="AH31" s="462">
        <f>(AH29)</f>
        <v/>
      </c>
      <c r="AI31" s="462">
        <f>(AI29)</f>
        <v/>
      </c>
      <c r="AJ31" s="462" t="n"/>
      <c r="AK31" s="494">
        <f>SUM(X31:AI31)</f>
        <v/>
      </c>
      <c r="AL31" s="462" t="n"/>
      <c r="AM31" s="462">
        <f>(AM29)</f>
        <v/>
      </c>
      <c r="AN31" s="462">
        <f>(AN29)</f>
        <v/>
      </c>
      <c r="AO31" s="462">
        <f>(AO29)</f>
        <v/>
      </c>
      <c r="AP31" s="462">
        <f>(AP29)</f>
        <v/>
      </c>
      <c r="AQ31" s="462">
        <f>(AQ29)</f>
        <v/>
      </c>
      <c r="AR31" s="462">
        <f>(AR29)</f>
        <v/>
      </c>
      <c r="AS31" s="462">
        <f>(AS29)</f>
        <v/>
      </c>
      <c r="AT31" s="462">
        <f>(AT29)</f>
        <v/>
      </c>
      <c r="AU31" s="462">
        <f>(AU29)</f>
        <v/>
      </c>
      <c r="AV31" s="462">
        <f>(AV29)</f>
        <v/>
      </c>
      <c r="AW31" s="462">
        <f>(AW29)</f>
        <v/>
      </c>
      <c r="AX31" s="462">
        <f>(AX29)</f>
        <v/>
      </c>
      <c r="AY31" s="462" t="n"/>
      <c r="AZ31" s="494">
        <f>SUM(AM31:AX31)</f>
        <v/>
      </c>
      <c r="BA31" s="462" t="n"/>
      <c r="BB31" s="462">
        <f>(BB29)</f>
        <v/>
      </c>
      <c r="BC31" s="462">
        <f>(BC29)</f>
        <v/>
      </c>
      <c r="BD31" s="462">
        <f>(BD29)</f>
        <v/>
      </c>
      <c r="BE31" s="462">
        <f>(BE29)</f>
        <v/>
      </c>
      <c r="BF31" s="462">
        <f>(BF29)</f>
        <v/>
      </c>
      <c r="BG31" s="462">
        <f>(BG29)</f>
        <v/>
      </c>
      <c r="BH31" s="462">
        <f>(BH29)</f>
        <v/>
      </c>
      <c r="BI31" s="462">
        <f>(BI29)</f>
        <v/>
      </c>
      <c r="BJ31" s="462">
        <f>(BJ29)</f>
        <v/>
      </c>
      <c r="BK31" s="462">
        <f>(BK29)</f>
        <v/>
      </c>
      <c r="BL31" s="462">
        <f>(BL29)</f>
        <v/>
      </c>
      <c r="BM31" s="462">
        <f>(BM29)</f>
        <v/>
      </c>
      <c r="BN31" s="462" t="n"/>
      <c r="BO31" s="494">
        <f>SUM(BB31:BM31)</f>
        <v/>
      </c>
      <c r="BP31" s="462" t="n"/>
      <c r="BQ31" s="462">
        <f>(BQ29)</f>
        <v/>
      </c>
      <c r="BR31" s="462">
        <f>(BR29)</f>
        <v/>
      </c>
      <c r="BS31" s="462">
        <f>(BS29)</f>
        <v/>
      </c>
      <c r="BT31" s="462">
        <f>(BT29)</f>
        <v/>
      </c>
      <c r="BU31" s="462">
        <f>(BU29)</f>
        <v/>
      </c>
      <c r="BV31" s="462">
        <f>(BV29)</f>
        <v/>
      </c>
      <c r="BW31" s="462">
        <f>(BW29)</f>
        <v/>
      </c>
      <c r="BX31" s="462">
        <f>(BX29)</f>
        <v/>
      </c>
      <c r="BY31" s="462">
        <f>(BY29)</f>
        <v/>
      </c>
      <c r="BZ31" s="462">
        <f>(BZ29)</f>
        <v/>
      </c>
      <c r="CA31" s="462">
        <f>(CA29)</f>
        <v/>
      </c>
      <c r="CB31" s="462">
        <f>(CB29)</f>
        <v/>
      </c>
      <c r="CC31" s="462" t="n"/>
      <c r="CD31" s="494">
        <f>SUM(BQ31:CB31)</f>
        <v/>
      </c>
      <c r="CE31" s="462" t="n"/>
      <c r="CF31" s="462">
        <f>(CF29)</f>
        <v/>
      </c>
      <c r="CG31" s="462">
        <f>(CG29)</f>
        <v/>
      </c>
      <c r="CH31" s="462">
        <f>(CH29)</f>
        <v/>
      </c>
      <c r="CI31" s="462">
        <f>(CI29)</f>
        <v/>
      </c>
      <c r="CJ31" s="462">
        <f>(CJ29)</f>
        <v/>
      </c>
      <c r="CK31" s="462">
        <f>(CK29)</f>
        <v/>
      </c>
      <c r="CL31" s="462">
        <f>(CL29)</f>
        <v/>
      </c>
      <c r="CM31" s="462">
        <f>(CM29)</f>
        <v/>
      </c>
      <c r="CN31" s="462">
        <f>(CN29)</f>
        <v/>
      </c>
      <c r="CO31" s="462">
        <f>(CO29)</f>
        <v/>
      </c>
      <c r="CP31" s="462">
        <f>(CP29)</f>
        <v/>
      </c>
      <c r="CQ31" s="462">
        <f>(CQ29)</f>
        <v/>
      </c>
      <c r="CR31" s="462" t="n"/>
      <c r="CS31" s="494">
        <f>SUM(CF31:CQ31)</f>
        <v/>
      </c>
    </row>
    <row r="53">
      <c r="J53" s="1917" t="n"/>
    </row>
  </sheetData>
  <mergeCells count="6">
    <mergeCell ref="L6:V6"/>
    <mergeCell ref="X6:AK6"/>
    <mergeCell ref="AM6:AZ6"/>
    <mergeCell ref="BB6:BO6"/>
    <mergeCell ref="BQ6:CD6"/>
    <mergeCell ref="CF6:CS6"/>
  </mergeCells>
  <pageMargins left="0.7" right="0.7" top="0.75" bottom="0.75" header="0.3" footer="0.3"/>
  <pageSetup orientation="portrait" horizontalDpi="0" verticalDpi="0"/>
  <legacyDrawing xmlns:r="http://schemas.openxmlformats.org/officeDocument/2006/relationships" r:id="anysvml"/>
</worksheet>
</file>

<file path=xl/worksheets/sheet5.xml><?xml version="1.0" encoding="utf-8"?>
<worksheet xmlns="http://schemas.openxmlformats.org/spreadsheetml/2006/main">
  <sheetPr>
    <tabColor rgb="FFCCFFCC"/>
    <outlinePr summaryBelow="1" summaryRight="1"/>
    <pageSetUpPr/>
  </sheetPr>
  <dimension ref="B1:DN92"/>
  <sheetViews>
    <sheetView topLeftCell="K11" zoomScale="142" zoomScaleNormal="142" workbookViewId="0">
      <selection activeCell="U35" sqref="U35"/>
    </sheetView>
  </sheetViews>
  <sheetFormatPr baseColWidth="10" defaultColWidth="8.6640625" defaultRowHeight="13"/>
  <cols>
    <col width="2.6640625" customWidth="1" style="1883" min="1" max="1"/>
    <col width="4.6640625" customWidth="1" style="1883" min="2" max="2"/>
    <col width="0.6640625" customWidth="1" style="1883" min="3" max="3"/>
    <col width="2.6640625" customWidth="1" style="1883" min="4" max="5"/>
    <col width="30.6640625" customWidth="1" style="1883" min="6" max="6"/>
    <col width="15.6640625" customWidth="1" style="1883" min="7" max="7"/>
    <col width="2.5" customWidth="1" style="1883" min="8" max="8"/>
    <col width="2.6640625" customWidth="1" style="1883" min="9" max="9"/>
    <col width="15.6640625" customWidth="1" style="1883" min="10" max="21"/>
    <col width="1.6640625" customWidth="1" style="1883" min="22" max="22"/>
    <col width="15.6640625" customWidth="1" style="1883" min="23" max="23"/>
    <col width="4.6640625" customWidth="1" style="1883" min="24" max="24"/>
    <col width="15.6640625" customWidth="1" style="1883" min="25" max="36"/>
    <col width="1.6640625" customWidth="1" style="1883" min="37" max="37"/>
    <col width="15.6640625" customWidth="1" style="1883" min="38" max="38"/>
    <col width="4.6640625" customWidth="1" style="1883" min="39" max="39"/>
    <col width="15.6640625" customWidth="1" style="1883" min="40" max="51"/>
    <col width="1.6640625" customWidth="1" style="1883" min="52" max="52"/>
    <col width="15.6640625" customWidth="1" style="1883" min="53" max="53"/>
    <col width="4.6640625" customWidth="1" style="1883" min="54" max="54"/>
    <col width="15.6640625" customWidth="1" style="1883" min="55" max="66"/>
    <col width="2" customWidth="1" style="1883" min="67" max="67"/>
    <col width="15.6640625" customWidth="1" style="1883" min="68" max="68"/>
    <col width="4.6640625" customWidth="1" style="1883" min="69" max="69"/>
    <col width="15.6640625" customWidth="1" style="1883" min="70" max="81"/>
    <col width="1.6640625" customWidth="1" style="1883" min="82" max="82"/>
    <col width="15.6640625" customWidth="1" style="1883" min="83" max="83"/>
    <col width="5" customWidth="1" style="1883" min="84" max="84"/>
    <col width="15.6640625" customWidth="1" style="1883" min="85" max="96"/>
    <col width="1.6640625" customWidth="1" style="1883" min="97" max="97"/>
    <col width="15.6640625" customWidth="1" style="1883" min="98" max="98"/>
    <col width="4.6640625" customWidth="1" style="1883" min="99" max="99"/>
    <col width="15.6640625" customWidth="1" style="1883" min="100" max="111"/>
    <col width="1.6640625" customWidth="1" style="1883" min="112" max="112"/>
    <col width="15.6640625" customWidth="1" style="1883" min="113" max="149"/>
  </cols>
  <sheetData>
    <row r="1" ht="159" customHeight="1" s="1883">
      <c r="J1" s="1890" t="inlineStr">
        <is>
          <t>***PLEASE NOTE THAT IT IS ESTIMATED BASED ON OUR GO TO MARKET STRATEGY THAT UP TO 50% OF ALL PHONES WILL BE PAID FOR 100% BEFORE WE SUPPLY THE 30% DEPOSIT TO OUR VENDOR PARTNERS. FOR EXAMPLE: 1a. Brand Option 1: Brand pays for market research, PT conducts market research, PT pays consumer with a free phone, PT gives brand unique access to consumer. 1b. Brand Option 2: Brand pays for branded phones to give to super fans. 2. Influencer Option:  PT &amp; Influencers run social media giveaways, 100 people pay $10,000 to each gain 100k followers, influencers instruct their followers to follow these 100 people, the 100k people following the 100 people are entered to win prizes (phones/experiences), influencer earns $250k, PT earns $100k, and gives away $650k worth of phones, etc. 3. Pre-Pay Option: PT drives traffic to our own landing pages where people can opt into our program and pay via something like Affirm, AfterPay, Klarna, or our own version to finance an $800+ phone, consumer puts down deposit to finance our phone, consumer pays monthly offset cost of phone, PT earns consumers enough money to offset and make the phone free. In all the previous scenarios someone else pays for the phone ahead of time and then we order and deploy the phones, this is not to say we wont keep some phones in inventory, and as we grow of course this is how things will progess. That said, we estimate that at least for the first 1-2 years we can run this model with 100% of the offset costs for at least 50% of all phone inventory. Thus, the model below is very conservative as we didn't take any of this into account!</t>
        </is>
      </c>
      <c r="AQ1" s="1642" t="n"/>
      <c r="AR1" s="1641" t="n"/>
      <c r="BF1" s="1642" t="n"/>
      <c r="BG1" s="1641" t="n"/>
      <c r="BU1" s="1642" t="n"/>
      <c r="BV1" s="1641" t="n"/>
      <c r="CJ1" s="1642" t="n"/>
      <c r="CK1" s="1641" t="n"/>
      <c r="CY1" s="1642" t="n"/>
      <c r="CZ1" s="1641" t="n"/>
    </row>
    <row r="2">
      <c r="AQ2" s="1642" t="n"/>
      <c r="AR2" s="1641" t="n"/>
      <c r="BF2" s="1642" t="n"/>
      <c r="BG2" s="1641" t="n"/>
      <c r="BU2" s="1642" t="n"/>
      <c r="BV2" s="1641" t="n"/>
      <c r="CJ2" s="1642" t="n"/>
      <c r="CK2" s="1641" t="n"/>
      <c r="CY2" s="1642" t="n"/>
      <c r="CZ2" s="1641" t="n"/>
    </row>
    <row r="3" ht="15" customHeight="1" s="1883">
      <c r="B3" s="535" t="inlineStr">
        <is>
          <t>I.</t>
        </is>
      </c>
      <c r="C3" s="383" t="n"/>
      <c r="D3" s="385" t="inlineStr">
        <is>
          <t>Cash Disbursements Calendar for Telephone Inventory</t>
        </is>
      </c>
      <c r="E3" s="383" t="n"/>
      <c r="F3" s="383" t="n"/>
      <c r="G3" s="383" t="n"/>
      <c r="H3" s="383" t="n"/>
      <c r="I3" s="383" t="n"/>
      <c r="J3" s="383" t="n"/>
      <c r="K3" s="383" t="n"/>
      <c r="L3" s="383" t="n"/>
      <c r="M3" s="383" t="n"/>
      <c r="N3" s="383" t="n"/>
      <c r="O3" s="383" t="n"/>
      <c r="P3" s="383" t="n"/>
      <c r="Q3" s="383" t="n"/>
      <c r="R3" s="383" t="n"/>
      <c r="S3" s="383" t="n"/>
      <c r="T3" s="383" t="n"/>
      <c r="U3" s="383" t="n"/>
      <c r="V3" s="383" t="n"/>
      <c r="W3" s="383" t="n"/>
      <c r="X3" s="383" t="n"/>
      <c r="Y3" s="383" t="n"/>
      <c r="Z3" s="383" t="n"/>
      <c r="AA3" s="383" t="n"/>
      <c r="AB3" s="383" t="n"/>
      <c r="AC3" s="383" t="n"/>
      <c r="AD3" s="383" t="n"/>
      <c r="AE3" s="383" t="n"/>
      <c r="AF3" s="383" t="n"/>
      <c r="AG3" s="383" t="n"/>
      <c r="AH3" s="383" t="n"/>
      <c r="AI3" s="383" t="n"/>
      <c r="AJ3" s="383" t="n"/>
      <c r="AK3" s="383" t="n"/>
      <c r="AL3" s="383" t="n"/>
      <c r="AM3" s="383" t="n"/>
      <c r="AN3" s="383" t="n"/>
      <c r="AO3" s="383" t="n"/>
      <c r="AP3" s="383" t="n"/>
      <c r="AQ3" s="383" t="n"/>
      <c r="AR3" s="383" t="n"/>
      <c r="AS3" s="383" t="n"/>
      <c r="AT3" s="383" t="n"/>
      <c r="AU3" s="383" t="n"/>
      <c r="AV3" s="383" t="n"/>
      <c r="AW3" s="383" t="n"/>
      <c r="AX3" s="383" t="n"/>
      <c r="AY3" s="383" t="n"/>
      <c r="AZ3" s="383" t="n"/>
      <c r="BA3" s="383" t="n"/>
      <c r="BB3" s="383" t="n"/>
      <c r="BC3" s="383" t="n"/>
      <c r="BD3" s="383" t="n"/>
      <c r="BE3" s="383" t="n"/>
      <c r="BF3" s="383" t="n"/>
      <c r="BG3" s="383" t="n"/>
      <c r="BH3" s="383" t="n"/>
      <c r="BI3" s="383" t="n"/>
      <c r="BJ3" s="383" t="n"/>
      <c r="BK3" s="383" t="n"/>
      <c r="BL3" s="383" t="n"/>
      <c r="BM3" s="383" t="n"/>
      <c r="BN3" s="383" t="n"/>
      <c r="BO3" s="383" t="n"/>
      <c r="BP3" s="383" t="n"/>
      <c r="BQ3" s="383" t="n"/>
      <c r="BR3" s="383" t="n"/>
      <c r="BS3" s="383" t="n"/>
      <c r="BT3" s="383" t="n"/>
      <c r="BU3" s="383" t="n"/>
      <c r="BV3" s="383" t="n"/>
      <c r="BW3" s="383" t="n"/>
      <c r="BX3" s="383" t="n"/>
      <c r="BY3" s="383" t="n"/>
      <c r="BZ3" s="383" t="n"/>
      <c r="CA3" s="383" t="n"/>
      <c r="CB3" s="383" t="n"/>
      <c r="CC3" s="383" t="n"/>
      <c r="CD3" s="383" t="n"/>
      <c r="CE3" s="383" t="n"/>
      <c r="CF3" s="383" t="n"/>
      <c r="CG3" s="383" t="n"/>
      <c r="CH3" s="383" t="n"/>
      <c r="CI3" s="383" t="n"/>
      <c r="CJ3" s="383" t="n"/>
      <c r="CK3" s="383" t="n"/>
      <c r="CL3" s="383" t="n"/>
      <c r="CM3" s="383" t="n"/>
      <c r="CN3" s="383" t="n"/>
      <c r="CO3" s="383" t="n"/>
      <c r="CP3" s="383" t="n"/>
      <c r="CQ3" s="383" t="n"/>
      <c r="CR3" s="383" t="n"/>
      <c r="CS3" s="383" t="n"/>
      <c r="CT3" s="383" t="n"/>
      <c r="CU3" s="383" t="n"/>
      <c r="CV3" s="383" t="n"/>
      <c r="CW3" s="383" t="n"/>
      <c r="CX3" s="383" t="n"/>
      <c r="CY3" s="383" t="n"/>
      <c r="CZ3" s="383" t="n"/>
      <c r="DA3" s="383" t="n"/>
      <c r="DB3" s="383" t="n"/>
      <c r="DC3" s="383" t="n"/>
      <c r="DD3" s="383" t="n"/>
      <c r="DE3" s="383" t="n"/>
      <c r="DF3" s="383" t="n"/>
      <c r="DG3" s="383" t="n"/>
      <c r="DH3" s="383" t="n"/>
      <c r="DI3" s="383" t="n"/>
    </row>
    <row r="4" ht="3" customHeight="1" s="1883">
      <c r="B4" s="383" t="n"/>
      <c r="C4" s="383" t="n"/>
      <c r="D4" s="387" t="n"/>
      <c r="E4" s="387" t="n"/>
      <c r="F4" s="387" t="n"/>
      <c r="G4" s="387" t="n"/>
      <c r="H4" s="383" t="n"/>
      <c r="I4" s="383" t="n"/>
      <c r="J4" s="383" t="n"/>
      <c r="K4" s="383" t="n"/>
      <c r="L4" s="383" t="n"/>
      <c r="M4" s="383" t="n"/>
      <c r="N4" s="383" t="n"/>
      <c r="O4" s="383" t="n"/>
      <c r="P4" s="383" t="n"/>
      <c r="Q4" s="383" t="n"/>
      <c r="R4" s="383" t="n"/>
      <c r="S4" s="383" t="n"/>
      <c r="T4" s="383" t="n"/>
      <c r="U4" s="383" t="n"/>
      <c r="V4" s="383" t="n"/>
      <c r="W4" s="383" t="n"/>
      <c r="X4" s="383" t="n"/>
      <c r="Y4" s="383" t="n"/>
      <c r="Z4" s="383" t="n"/>
      <c r="AA4" s="383" t="n"/>
      <c r="AB4" s="383" t="n"/>
      <c r="AC4" s="383" t="n"/>
      <c r="AD4" s="383" t="n"/>
      <c r="AE4" s="383" t="n"/>
      <c r="AF4" s="383" t="n"/>
      <c r="AG4" s="383" t="n"/>
      <c r="AH4" s="383" t="n"/>
      <c r="AI4" s="383" t="n"/>
      <c r="AJ4" s="383" t="n"/>
      <c r="AK4" s="383" t="n"/>
      <c r="AL4" s="383" t="n"/>
      <c r="AM4" s="383" t="n"/>
      <c r="AN4" s="383" t="n"/>
      <c r="AO4" s="383" t="n"/>
      <c r="AP4" s="383" t="n"/>
      <c r="AQ4" s="383" t="n"/>
      <c r="AR4" s="383" t="n"/>
      <c r="AS4" s="383" t="n"/>
      <c r="AT4" s="383" t="n"/>
      <c r="AU4" s="383" t="n"/>
      <c r="AV4" s="383" t="n"/>
      <c r="AW4" s="383" t="n"/>
      <c r="AX4" s="383" t="n"/>
      <c r="AY4" s="383" t="n"/>
      <c r="AZ4" s="383" t="n"/>
      <c r="BA4" s="383" t="n"/>
      <c r="BB4" s="383" t="n"/>
      <c r="BC4" s="383" t="n"/>
      <c r="BD4" s="383" t="n"/>
      <c r="BE4" s="383" t="n"/>
      <c r="BF4" s="383" t="n"/>
      <c r="BG4" s="383" t="n"/>
      <c r="BH4" s="383" t="n"/>
      <c r="BI4" s="383" t="n"/>
      <c r="BJ4" s="383" t="n"/>
      <c r="BK4" s="383" t="n"/>
      <c r="BL4" s="383" t="n"/>
      <c r="BM4" s="383" t="n"/>
      <c r="BN4" s="383" t="n"/>
      <c r="BO4" s="383" t="n"/>
      <c r="BP4" s="383" t="n"/>
      <c r="BQ4" s="383" t="n"/>
      <c r="BR4" s="383" t="n"/>
      <c r="BS4" s="383" t="n"/>
      <c r="BT4" s="383" t="n"/>
      <c r="BU4" s="383" t="n"/>
      <c r="BV4" s="383" t="n"/>
      <c r="BW4" s="383" t="n"/>
      <c r="BX4" s="383" t="n"/>
      <c r="BY4" s="383" t="n"/>
      <c r="BZ4" s="383" t="n"/>
      <c r="CA4" s="383" t="n"/>
      <c r="CB4" s="383" t="n"/>
      <c r="CC4" s="383" t="n"/>
      <c r="CD4" s="383" t="n"/>
      <c r="CE4" s="383" t="n"/>
      <c r="CF4" s="383" t="n"/>
      <c r="CG4" s="383" t="n"/>
      <c r="CH4" s="383" t="n"/>
      <c r="CI4" s="383" t="n"/>
      <c r="CJ4" s="383" t="n"/>
      <c r="CK4" s="383" t="n"/>
      <c r="CL4" s="383" t="n"/>
      <c r="CM4" s="383" t="n"/>
      <c r="CN4" s="383" t="n"/>
      <c r="CO4" s="383" t="n"/>
      <c r="CP4" s="383" t="n"/>
      <c r="CQ4" s="383" t="n"/>
      <c r="CR4" s="383" t="n"/>
      <c r="CS4" s="383" t="n"/>
      <c r="CT4" s="383" t="n"/>
      <c r="CU4" s="383" t="n"/>
      <c r="CV4" s="383" t="n"/>
      <c r="CW4" s="383" t="n"/>
      <c r="CX4" s="383" t="n"/>
      <c r="CY4" s="383" t="n"/>
      <c r="CZ4" s="383" t="n"/>
      <c r="DA4" s="383" t="n"/>
      <c r="DB4" s="383" t="n"/>
      <c r="DC4" s="383" t="n"/>
      <c r="DD4" s="383" t="n"/>
      <c r="DE4" s="383" t="n"/>
      <c r="DF4" s="383" t="n"/>
      <c r="DG4" s="383" t="n"/>
      <c r="DH4" s="383" t="n"/>
      <c r="DI4" s="383" t="n"/>
    </row>
    <row r="5" ht="3" customHeight="1" s="1883">
      <c r="B5" s="383" t="n"/>
      <c r="C5" s="383" t="n"/>
      <c r="D5" s="383" t="n"/>
      <c r="E5" s="383" t="n"/>
      <c r="F5" s="383" t="n"/>
      <c r="G5" s="383" t="n"/>
      <c r="H5" s="383" t="n"/>
      <c r="I5" s="383" t="n"/>
      <c r="J5" s="383" t="n"/>
      <c r="K5" s="383" t="n"/>
      <c r="L5" s="383" t="n"/>
      <c r="M5" s="383" t="n"/>
      <c r="N5" s="383" t="n"/>
      <c r="O5" s="383" t="n"/>
      <c r="P5" s="383" t="n"/>
      <c r="Q5" s="383" t="n"/>
      <c r="R5" s="383" t="n"/>
      <c r="S5" s="383" t="n"/>
      <c r="T5" s="383" t="n"/>
      <c r="U5" s="383" t="n"/>
      <c r="V5" s="383" t="n"/>
      <c r="W5" s="383" t="n"/>
      <c r="X5" s="383" t="n"/>
      <c r="Y5" s="383" t="n"/>
      <c r="Z5" s="383" t="n"/>
      <c r="AA5" s="383" t="n"/>
      <c r="AB5" s="383" t="n"/>
      <c r="AC5" s="383" t="n"/>
      <c r="AD5" s="383" t="n"/>
      <c r="AE5" s="383" t="n"/>
      <c r="AF5" s="383" t="n"/>
      <c r="AG5" s="383" t="n"/>
      <c r="AH5" s="383" t="n"/>
      <c r="AI5" s="383" t="n"/>
      <c r="AJ5" s="383" t="n"/>
      <c r="AK5" s="383" t="n"/>
      <c r="AL5" s="383" t="n"/>
      <c r="AM5" s="383" t="n"/>
      <c r="AN5" s="383" t="n"/>
      <c r="AO5" s="383" t="n"/>
      <c r="AP5" s="383" t="n"/>
      <c r="AQ5" s="383" t="n"/>
      <c r="AR5" s="383" t="n"/>
      <c r="AS5" s="383" t="n"/>
      <c r="AT5" s="383" t="n"/>
      <c r="AU5" s="383" t="n"/>
      <c r="AV5" s="383" t="n"/>
      <c r="AW5" s="383" t="n"/>
      <c r="AX5" s="383" t="n"/>
      <c r="AY5" s="383" t="n"/>
      <c r="AZ5" s="383" t="n"/>
      <c r="BA5" s="383" t="n"/>
      <c r="BB5" s="383" t="n"/>
      <c r="BC5" s="383" t="n"/>
      <c r="BD5" s="383" t="n"/>
      <c r="BE5" s="383" t="n"/>
      <c r="BF5" s="383" t="n"/>
      <c r="BG5" s="383" t="n"/>
      <c r="BH5" s="383" t="n"/>
      <c r="BI5" s="383" t="n"/>
      <c r="BJ5" s="383" t="n"/>
      <c r="BK5" s="383" t="n"/>
      <c r="BL5" s="383" t="n"/>
      <c r="BM5" s="383" t="n"/>
      <c r="BN5" s="383" t="n"/>
      <c r="BO5" s="383" t="n"/>
      <c r="BP5" s="383" t="n"/>
      <c r="BQ5" s="383" t="n"/>
      <c r="BR5" s="383" t="n"/>
      <c r="BS5" s="383" t="n"/>
      <c r="BT5" s="383" t="n"/>
      <c r="BU5" s="383" t="n"/>
      <c r="BV5" s="383" t="n"/>
      <c r="BW5" s="383" t="n"/>
      <c r="BX5" s="383" t="n"/>
      <c r="BY5" s="383" t="n"/>
      <c r="BZ5" s="383" t="n"/>
      <c r="CA5" s="383" t="n"/>
      <c r="CB5" s="383" t="n"/>
      <c r="CC5" s="383" t="n"/>
      <c r="CD5" s="383" t="n"/>
      <c r="CE5" s="383" t="n"/>
      <c r="CF5" s="383" t="n"/>
      <c r="CG5" s="383" t="n"/>
      <c r="CH5" s="383" t="n"/>
      <c r="CI5" s="383" t="n"/>
      <c r="CJ5" s="383" t="n"/>
      <c r="CK5" s="383" t="n"/>
      <c r="CL5" s="383" t="n"/>
      <c r="CM5" s="383" t="n"/>
      <c r="CN5" s="383" t="n"/>
      <c r="CO5" s="383" t="n"/>
      <c r="CP5" s="383" t="n"/>
      <c r="CQ5" s="383" t="n"/>
      <c r="CR5" s="383" t="n"/>
      <c r="CS5" s="383" t="n"/>
      <c r="CT5" s="383" t="n"/>
      <c r="CU5" s="383" t="n"/>
      <c r="CV5" s="383" t="n"/>
      <c r="CW5" s="383" t="n"/>
      <c r="CX5" s="383" t="n"/>
      <c r="CY5" s="383" t="n"/>
      <c r="CZ5" s="383" t="n"/>
      <c r="DA5" s="383" t="n"/>
      <c r="DB5" s="383" t="n"/>
      <c r="DC5" s="383" t="n"/>
      <c r="DD5" s="383" t="n"/>
      <c r="DE5" s="383" t="n"/>
      <c r="DF5" s="383" t="n"/>
      <c r="DG5" s="383" t="n"/>
      <c r="DH5" s="383" t="n"/>
      <c r="DI5" s="383" t="n"/>
    </row>
    <row r="6" ht="15" customHeight="1" s="1883">
      <c r="B6" s="383" t="n"/>
      <c r="C6" s="383" t="n"/>
      <c r="D6" s="383" t="n"/>
      <c r="E6" s="383" t="n"/>
      <c r="F6" s="383" t="n"/>
      <c r="G6" s="383" t="n"/>
      <c r="H6" s="383" t="n"/>
      <c r="I6" s="383" t="n"/>
      <c r="J6" s="383" t="n"/>
      <c r="K6" s="383" t="n"/>
      <c r="L6" s="383" t="n"/>
      <c r="M6" s="383" t="n"/>
      <c r="N6" s="383" t="n"/>
      <c r="O6" s="383" t="n"/>
      <c r="P6" s="383" t="n"/>
      <c r="Q6" s="383" t="n"/>
      <c r="R6" s="383" t="n"/>
      <c r="S6" s="383" t="n"/>
      <c r="T6" s="383" t="n"/>
      <c r="U6" s="383" t="n"/>
      <c r="V6" s="383" t="n"/>
      <c r="W6" s="383" t="n"/>
      <c r="X6" s="383" t="n"/>
      <c r="Y6" s="383" t="n"/>
      <c r="Z6" s="383" t="n"/>
      <c r="AA6" s="383" t="n"/>
      <c r="AB6" s="383" t="n"/>
      <c r="AC6" s="383" t="n"/>
      <c r="AD6" s="383" t="n"/>
      <c r="AE6" s="383" t="n"/>
      <c r="AF6" s="383" t="n"/>
      <c r="AG6" s="383" t="n"/>
      <c r="AH6" s="383" t="n"/>
      <c r="AI6" s="383" t="n"/>
      <c r="AJ6" s="383" t="n"/>
      <c r="AK6" s="383" t="n"/>
      <c r="AL6" s="383" t="n"/>
      <c r="AM6" s="383" t="n"/>
      <c r="AN6" s="383" t="n"/>
      <c r="AO6" s="383" t="n"/>
      <c r="AP6" s="383" t="n"/>
      <c r="AQ6" s="383" t="n"/>
      <c r="AR6" s="383" t="n"/>
      <c r="AS6" s="383" t="n"/>
      <c r="AT6" s="383" t="n"/>
      <c r="AU6" s="383" t="n"/>
      <c r="AV6" s="383" t="n"/>
      <c r="AW6" s="383" t="n"/>
      <c r="AX6" s="383" t="n"/>
      <c r="AY6" s="383" t="n"/>
      <c r="AZ6" s="383" t="n"/>
      <c r="BA6" s="383" t="n"/>
      <c r="BB6" s="383" t="n"/>
      <c r="BC6" s="383" t="n"/>
      <c r="BD6" s="383" t="n"/>
      <c r="BE6" s="383" t="n"/>
      <c r="BF6" s="383" t="n"/>
      <c r="BG6" s="383" t="n"/>
      <c r="BH6" s="383" t="n"/>
      <c r="BI6" s="383" t="n"/>
      <c r="BJ6" s="383" t="n"/>
      <c r="BK6" s="383" t="n"/>
      <c r="BL6" s="383" t="n"/>
      <c r="BM6" s="383" t="n"/>
      <c r="BN6" s="383" t="n"/>
      <c r="BO6" s="383" t="n"/>
      <c r="BP6" s="383" t="n"/>
      <c r="BQ6" s="383" t="n"/>
      <c r="BR6" s="383" t="n"/>
      <c r="BS6" s="383" t="n"/>
      <c r="BT6" s="383" t="n"/>
      <c r="BU6" s="383" t="n"/>
      <c r="BV6" s="383" t="n"/>
      <c r="BW6" s="383" t="n"/>
      <c r="BX6" s="383" t="n"/>
      <c r="BY6" s="383" t="n"/>
      <c r="BZ6" s="383" t="n"/>
      <c r="CA6" s="383" t="n"/>
      <c r="CB6" s="383" t="n"/>
      <c r="CC6" s="383" t="n"/>
      <c r="CD6" s="383" t="n"/>
      <c r="CE6" s="383" t="n"/>
      <c r="CF6" s="383" t="n"/>
      <c r="CG6" s="383" t="n"/>
      <c r="CH6" s="383" t="n"/>
      <c r="CI6" s="383" t="n"/>
      <c r="CJ6" s="383" t="n"/>
      <c r="CK6" s="383" t="n"/>
      <c r="CL6" s="383" t="n"/>
      <c r="CM6" s="383" t="n"/>
      <c r="CN6" s="383" t="n"/>
      <c r="CO6" s="383" t="n"/>
      <c r="CP6" s="383" t="n"/>
      <c r="CQ6" s="383" t="n"/>
      <c r="CR6" s="383" t="n"/>
      <c r="CS6" s="383" t="n"/>
      <c r="CT6" s="383" t="n"/>
      <c r="CU6" s="383" t="n"/>
      <c r="CV6" s="383" t="n"/>
      <c r="CW6" s="383" t="n"/>
      <c r="CX6" s="383" t="n"/>
      <c r="CY6" s="383" t="n"/>
      <c r="CZ6" s="383" t="n"/>
      <c r="DA6" s="383" t="n"/>
      <c r="DB6" s="383" t="n"/>
      <c r="DC6" s="383" t="n"/>
      <c r="DD6" s="383" t="n"/>
      <c r="DE6" s="383" t="n"/>
      <c r="DF6" s="383" t="n"/>
      <c r="DG6" s="383" t="n"/>
      <c r="DH6" s="383" t="n"/>
      <c r="DI6" s="383" t="n"/>
    </row>
    <row r="7" ht="15" customHeight="1" s="1883">
      <c r="B7" s="383" t="n"/>
      <c r="C7" s="383" t="n"/>
      <c r="D7" s="383" t="n"/>
      <c r="E7" s="383" t="n"/>
      <c r="F7" s="383" t="n"/>
      <c r="G7" s="383" t="n"/>
      <c r="H7" s="383" t="n"/>
      <c r="I7" s="383" t="n"/>
      <c r="J7" s="383" t="n"/>
      <c r="K7" s="383" t="n"/>
      <c r="L7" s="383" t="n"/>
      <c r="M7" s="1882" t="inlineStr">
        <is>
          <t>Pre-Launch</t>
        </is>
      </c>
      <c r="X7" s="383" t="n"/>
      <c r="Y7" s="1882" t="inlineStr">
        <is>
          <t>Year 1</t>
        </is>
      </c>
      <c r="AM7" s="383" t="n"/>
      <c r="AN7" s="1882" t="inlineStr">
        <is>
          <t>Year 2</t>
        </is>
      </c>
      <c r="BB7" s="383" t="n"/>
      <c r="BC7" s="1882" t="inlineStr">
        <is>
          <t>Year 3</t>
        </is>
      </c>
      <c r="BQ7" s="383" t="n"/>
      <c r="BR7" s="1882" t="inlineStr">
        <is>
          <t>Year 4</t>
        </is>
      </c>
      <c r="CF7" s="383" t="n"/>
      <c r="CG7" s="1882" t="inlineStr">
        <is>
          <t>Year 5</t>
        </is>
      </c>
      <c r="CU7" s="383" t="n"/>
      <c r="CV7" s="1882" t="inlineStr">
        <is>
          <t>Year 6</t>
        </is>
      </c>
    </row>
    <row r="8" ht="3" customHeight="1" s="1883">
      <c r="B8" s="383" t="n"/>
      <c r="C8" s="383" t="n"/>
      <c r="D8" s="383" t="n"/>
      <c r="E8" s="383" t="n"/>
      <c r="F8" s="383" t="n"/>
      <c r="G8" s="383" t="n"/>
      <c r="H8" s="383" t="n"/>
      <c r="I8" s="383" t="n"/>
      <c r="J8" s="387" t="n"/>
      <c r="K8" s="387" t="n"/>
      <c r="L8" s="387" t="n"/>
      <c r="M8" s="387" t="n"/>
      <c r="N8" s="387" t="n"/>
      <c r="O8" s="387" t="n"/>
      <c r="P8" s="387" t="n"/>
      <c r="Q8" s="387" t="n"/>
      <c r="R8" s="387" t="n"/>
      <c r="S8" s="387" t="n"/>
      <c r="T8" s="387" t="n"/>
      <c r="U8" s="387" t="n"/>
      <c r="V8" s="387" t="n"/>
      <c r="W8" s="387" t="n"/>
      <c r="X8" s="383" t="n"/>
      <c r="Y8" s="387" t="n"/>
      <c r="Z8" s="387" t="n"/>
      <c r="AA8" s="387" t="n"/>
      <c r="AB8" s="387" t="n"/>
      <c r="AC8" s="387" t="n"/>
      <c r="AD8" s="387" t="n"/>
      <c r="AE8" s="387" t="n"/>
      <c r="AF8" s="387" t="n"/>
      <c r="AG8" s="387" t="n"/>
      <c r="AH8" s="387" t="n"/>
      <c r="AI8" s="387" t="n"/>
      <c r="AJ8" s="387" t="n"/>
      <c r="AK8" s="387" t="n"/>
      <c r="AL8" s="387" t="n"/>
      <c r="AM8" s="383" t="n"/>
      <c r="AN8" s="387" t="n"/>
      <c r="AO8" s="387" t="n"/>
      <c r="AP8" s="387" t="n"/>
      <c r="AQ8" s="387" t="n"/>
      <c r="AR8" s="387" t="n"/>
      <c r="AS8" s="387" t="n"/>
      <c r="AT8" s="387" t="n"/>
      <c r="AU8" s="387" t="n"/>
      <c r="AV8" s="387" t="n"/>
      <c r="AW8" s="387" t="n"/>
      <c r="AX8" s="387" t="n"/>
      <c r="AY8" s="387" t="n"/>
      <c r="AZ8" s="387" t="n"/>
      <c r="BA8" s="387" t="n"/>
      <c r="BB8" s="383" t="n"/>
      <c r="BC8" s="387" t="n"/>
      <c r="BD8" s="387" t="n"/>
      <c r="BE8" s="387" t="n"/>
      <c r="BF8" s="387" t="n"/>
      <c r="BG8" s="387" t="n"/>
      <c r="BH8" s="387" t="n"/>
      <c r="BI8" s="387" t="n"/>
      <c r="BJ8" s="387" t="n"/>
      <c r="BK8" s="387" t="n"/>
      <c r="BL8" s="387" t="n"/>
      <c r="BM8" s="387" t="n"/>
      <c r="BN8" s="387" t="n"/>
      <c r="BO8" s="387" t="n"/>
      <c r="BP8" s="387" t="n"/>
      <c r="BQ8" s="383" t="n"/>
      <c r="BR8" s="387" t="n"/>
      <c r="BS8" s="387" t="n"/>
      <c r="BT8" s="387" t="n"/>
      <c r="BU8" s="387" t="n"/>
      <c r="BV8" s="387" t="n"/>
      <c r="BW8" s="387" t="n"/>
      <c r="BX8" s="387" t="n"/>
      <c r="BY8" s="387" t="n"/>
      <c r="BZ8" s="387" t="n"/>
      <c r="CA8" s="387" t="n"/>
      <c r="CB8" s="387" t="n"/>
      <c r="CC8" s="387" t="n"/>
      <c r="CD8" s="387" t="n"/>
      <c r="CE8" s="387" t="n"/>
      <c r="CF8" s="383" t="n"/>
      <c r="CG8" s="387" t="n"/>
      <c r="CH8" s="387" t="n"/>
      <c r="CI8" s="387" t="n"/>
      <c r="CJ8" s="387" t="n"/>
      <c r="CK8" s="387" t="n"/>
      <c r="CL8" s="387" t="n"/>
      <c r="CM8" s="387" t="n"/>
      <c r="CN8" s="387" t="n"/>
      <c r="CO8" s="387" t="n"/>
      <c r="CP8" s="387" t="n"/>
      <c r="CQ8" s="387" t="n"/>
      <c r="CR8" s="387" t="n"/>
      <c r="CS8" s="387" t="n"/>
      <c r="CT8" s="387" t="n"/>
      <c r="CU8" s="383" t="n"/>
      <c r="CV8" s="387" t="n"/>
      <c r="CW8" s="387" t="n"/>
      <c r="CX8" s="387" t="n"/>
      <c r="CY8" s="387" t="n"/>
      <c r="CZ8" s="387" t="n"/>
      <c r="DA8" s="387" t="n"/>
      <c r="DB8" s="387" t="n"/>
      <c r="DC8" s="387" t="n"/>
      <c r="DD8" s="387" t="n"/>
      <c r="DE8" s="387" t="n"/>
      <c r="DF8" s="387" t="n"/>
      <c r="DG8" s="387" t="n"/>
      <c r="DH8" s="387" t="n"/>
      <c r="DI8" s="387" t="n"/>
    </row>
    <row r="9" ht="3" customHeight="1" s="1883">
      <c r="B9" s="383" t="n"/>
      <c r="C9" s="383" t="n"/>
      <c r="D9" s="383" t="n"/>
      <c r="E9" s="383" t="n"/>
      <c r="F9" s="383" t="n"/>
      <c r="G9" s="383" t="n"/>
      <c r="H9" s="383" t="n"/>
      <c r="I9" s="383" t="n"/>
      <c r="J9" s="383" t="n"/>
      <c r="K9" s="383" t="n"/>
      <c r="L9" s="383" t="n"/>
      <c r="M9" s="383" t="n"/>
      <c r="N9" s="383" t="n"/>
      <c r="O9" s="383" t="n"/>
      <c r="P9" s="383" t="n"/>
      <c r="Q9" s="383" t="n"/>
      <c r="R9" s="383" t="n"/>
      <c r="S9" s="383" t="n"/>
      <c r="T9" s="383" t="n"/>
      <c r="U9" s="383" t="n"/>
      <c r="V9" s="383" t="n"/>
      <c r="W9" s="383" t="n"/>
      <c r="X9" s="383" t="n"/>
      <c r="Y9" s="383" t="n"/>
      <c r="Z9" s="383" t="n"/>
      <c r="AA9" s="383" t="n"/>
      <c r="AB9" s="383" t="n"/>
      <c r="AC9" s="383" t="n"/>
      <c r="AD9" s="383" t="n"/>
      <c r="AE9" s="383" t="n"/>
      <c r="AF9" s="383" t="n"/>
      <c r="AG9" s="383" t="n"/>
      <c r="AH9" s="383" t="n"/>
      <c r="AI9" s="383" t="n"/>
      <c r="AJ9" s="383" t="n"/>
      <c r="AK9" s="383" t="n"/>
      <c r="AL9" s="383" t="n"/>
      <c r="AM9" s="383" t="n"/>
      <c r="AN9" s="383" t="n"/>
      <c r="AO9" s="383" t="n"/>
      <c r="AP9" s="383" t="n"/>
      <c r="AQ9" s="383" t="n"/>
      <c r="AR9" s="383" t="n"/>
      <c r="AS9" s="383" t="n"/>
      <c r="AT9" s="383" t="n"/>
      <c r="AU9" s="383" t="n"/>
      <c r="AV9" s="383" t="n"/>
      <c r="AW9" s="383" t="n"/>
      <c r="AX9" s="383" t="n"/>
      <c r="AY9" s="383" t="n"/>
      <c r="AZ9" s="383" t="n"/>
      <c r="BA9" s="383" t="n"/>
      <c r="BB9" s="383" t="n"/>
      <c r="BC9" s="383" t="n"/>
      <c r="BD9" s="383" t="n"/>
      <c r="BE9" s="383" t="n"/>
      <c r="BF9" s="383" t="n"/>
      <c r="BG9" s="383" t="n"/>
      <c r="BH9" s="383" t="n"/>
      <c r="BI9" s="383" t="n"/>
      <c r="BJ9" s="383" t="n"/>
      <c r="BK9" s="383" t="n"/>
      <c r="BL9" s="383" t="n"/>
      <c r="BM9" s="383" t="n"/>
      <c r="BN9" s="1910" t="n"/>
      <c r="BO9" s="1910" t="n"/>
      <c r="BP9" s="1910" t="n"/>
      <c r="BQ9" s="383" t="n"/>
      <c r="BR9" s="383" t="n"/>
      <c r="BS9" s="383" t="n"/>
      <c r="BT9" s="383" t="n"/>
      <c r="BU9" s="383" t="n"/>
      <c r="BV9" s="383" t="n"/>
      <c r="BW9" s="383" t="n"/>
      <c r="BX9" s="383" t="n"/>
      <c r="BY9" s="383" t="n"/>
      <c r="BZ9" s="383" t="n"/>
      <c r="CA9" s="383" t="n"/>
      <c r="CB9" s="383" t="n"/>
      <c r="CC9" s="1910" t="n"/>
      <c r="CD9" s="1910" t="n"/>
      <c r="CE9" s="1910" t="n"/>
      <c r="CF9" s="383" t="n"/>
      <c r="CG9" s="383" t="n"/>
      <c r="CH9" s="383" t="n"/>
      <c r="CI9" s="383" t="n"/>
      <c r="CJ9" s="383" t="n"/>
      <c r="CK9" s="383" t="n"/>
      <c r="CL9" s="383" t="n"/>
      <c r="CM9" s="383" t="n"/>
      <c r="CN9" s="383" t="n"/>
      <c r="CO9" s="383" t="n"/>
      <c r="CP9" s="383" t="n"/>
      <c r="CQ9" s="383" t="n"/>
      <c r="CR9" s="1910" t="n"/>
      <c r="CS9" s="1910" t="n"/>
      <c r="CT9" s="1910" t="n"/>
      <c r="CU9" s="383" t="n"/>
      <c r="CV9" s="383" t="n"/>
      <c r="CW9" s="383" t="n"/>
      <c r="CX9" s="383" t="n"/>
      <c r="CY9" s="383" t="n"/>
      <c r="CZ9" s="383" t="n"/>
      <c r="DA9" s="383" t="n"/>
      <c r="DB9" s="383" t="n"/>
      <c r="DC9" s="383" t="n"/>
      <c r="DD9" s="383" t="n"/>
      <c r="DE9" s="383" t="n"/>
      <c r="DF9" s="383" t="n"/>
      <c r="DG9" s="1910" t="n"/>
      <c r="DH9" s="1910" t="n"/>
      <c r="DI9" s="1910" t="n"/>
    </row>
    <row r="10" ht="15" customHeight="1" s="1883">
      <c r="B10" s="383" t="n"/>
      <c r="C10" s="383" t="n"/>
      <c r="D10" s="383" t="n"/>
      <c r="E10" s="383" t="n"/>
      <c r="F10" s="385" t="inlineStr">
        <is>
          <t>Month of Costomer Sale</t>
        </is>
      </c>
      <c r="G10" s="383" t="n"/>
      <c r="H10" s="383" t="n"/>
      <c r="I10" s="383" t="n"/>
      <c r="J10" s="386" t="n">
        <v>-12</v>
      </c>
      <c r="K10" s="386" t="n">
        <v>-11</v>
      </c>
      <c r="L10" s="386" t="n">
        <v>-10</v>
      </c>
      <c r="M10" s="386" t="n">
        <v>-9</v>
      </c>
      <c r="N10" s="386">
        <f>((M10)+(1))</f>
        <v/>
      </c>
      <c r="O10" s="386">
        <f>((N10)+(1))</f>
        <v/>
      </c>
      <c r="P10" s="386">
        <f>((O10)+(1))</f>
        <v/>
      </c>
      <c r="Q10" s="386">
        <f>((P10)+(1))</f>
        <v/>
      </c>
      <c r="R10" s="386">
        <f>((Q10)+(1))</f>
        <v/>
      </c>
      <c r="S10" s="386">
        <f>((R10)+(1))</f>
        <v/>
      </c>
      <c r="T10" s="386">
        <f>((S10)+(1))</f>
        <v/>
      </c>
      <c r="U10" s="386">
        <f>((T10)+(1))</f>
        <v/>
      </c>
      <c r="V10" s="386" t="n"/>
      <c r="W10" s="117" t="inlineStr">
        <is>
          <t>∑, -12 to -1</t>
        </is>
      </c>
      <c r="X10" s="383" t="n"/>
      <c r="Y10" s="386" t="n">
        <v>1</v>
      </c>
      <c r="Z10" s="386">
        <f>((Y10)+(1))</f>
        <v/>
      </c>
      <c r="AA10" s="386">
        <f>((Z10)+(1))</f>
        <v/>
      </c>
      <c r="AB10" s="386">
        <f>((AA10)+(1))</f>
        <v/>
      </c>
      <c r="AC10" s="386">
        <f>((AB10)+(1))</f>
        <v/>
      </c>
      <c r="AD10" s="386">
        <f>((AC10)+(1))</f>
        <v/>
      </c>
      <c r="AE10" s="386">
        <f>((AD10)+(1))</f>
        <v/>
      </c>
      <c r="AF10" s="386">
        <f>((AE10)+(1))</f>
        <v/>
      </c>
      <c r="AG10" s="386">
        <f>((AF10)+(1))</f>
        <v/>
      </c>
      <c r="AH10" s="386">
        <f>((AG10)+(1))</f>
        <v/>
      </c>
      <c r="AI10" s="386">
        <f>((AH10)+(1))</f>
        <v/>
      </c>
      <c r="AJ10" s="386">
        <f>((AI10)+(1))</f>
        <v/>
      </c>
      <c r="AK10" s="386" t="n"/>
      <c r="AL10" s="117" t="inlineStr">
        <is>
          <t xml:space="preserve">∑, 1 - 12 </t>
        </is>
      </c>
      <c r="AM10" s="383" t="n"/>
      <c r="AN10" s="386">
        <f>((AJ10)+(1))</f>
        <v/>
      </c>
      <c r="AO10" s="386">
        <f>((AN10)+(1))</f>
        <v/>
      </c>
      <c r="AP10" s="386">
        <f>((AO10)+(1))</f>
        <v/>
      </c>
      <c r="AQ10" s="386">
        <f>((AP10)+(1))</f>
        <v/>
      </c>
      <c r="AR10" s="386">
        <f>((AQ10)+(1))</f>
        <v/>
      </c>
      <c r="AS10" s="386">
        <f>((AR10)+(1))</f>
        <v/>
      </c>
      <c r="AT10" s="386">
        <f>((AS10)+(1))</f>
        <v/>
      </c>
      <c r="AU10" s="386">
        <f>((AT10)+(1))</f>
        <v/>
      </c>
      <c r="AV10" s="386">
        <f>((AU10)+(1))</f>
        <v/>
      </c>
      <c r="AW10" s="386">
        <f>((AV10)+(1))</f>
        <v/>
      </c>
      <c r="AX10" s="386">
        <f>((AW10)+(1))</f>
        <v/>
      </c>
      <c r="AY10" s="386">
        <f>((AX10)+(1))</f>
        <v/>
      </c>
      <c r="AZ10" s="386" t="n"/>
      <c r="BA10" s="117" t="inlineStr">
        <is>
          <t>∑, 13 - 24</t>
        </is>
      </c>
      <c r="BB10" s="383" t="n"/>
      <c r="BC10" s="1882">
        <f>((AY10)+(1))</f>
        <v/>
      </c>
      <c r="BD10" s="1882">
        <f>((BC10)+(1))</f>
        <v/>
      </c>
      <c r="BE10" s="1882">
        <f>((BD10)+(1))</f>
        <v/>
      </c>
      <c r="BF10" s="1882">
        <f>((BE10)+(1))</f>
        <v/>
      </c>
      <c r="BG10" s="1882">
        <f>((BF10)+(1))</f>
        <v/>
      </c>
      <c r="BH10" s="1882">
        <f>((BG10)+(1))</f>
        <v/>
      </c>
      <c r="BI10" s="1882">
        <f>((BH10)+(1))</f>
        <v/>
      </c>
      <c r="BJ10" s="1882">
        <f>((BI10)+(1))</f>
        <v/>
      </c>
      <c r="BK10" s="1882">
        <f>((BJ10)+(1))</f>
        <v/>
      </c>
      <c r="BL10" s="1882">
        <f>((BK10)+(1))</f>
        <v/>
      </c>
      <c r="BM10" s="1882">
        <f>((BL10)+(1))</f>
        <v/>
      </c>
      <c r="BN10" s="1882">
        <f>((BM10)+(1))</f>
        <v/>
      </c>
      <c r="BO10" s="386" t="n"/>
      <c r="BP10" s="117" t="inlineStr">
        <is>
          <t>∑, 25 - 36</t>
        </is>
      </c>
      <c r="BQ10" s="383" t="n"/>
      <c r="BR10" s="386">
        <f>((BN10)+(1))</f>
        <v/>
      </c>
      <c r="BS10" s="386">
        <f>((BR10)+(1))</f>
        <v/>
      </c>
      <c r="BT10" s="386">
        <f>((BS10)+(1))</f>
        <v/>
      </c>
      <c r="BU10" s="386">
        <f>((BT10)+(1))</f>
        <v/>
      </c>
      <c r="BV10" s="386">
        <f>((BU10)+(1))</f>
        <v/>
      </c>
      <c r="BW10" s="386">
        <f>((BV10)+(1))</f>
        <v/>
      </c>
      <c r="BX10" s="386">
        <f>((BW10)+(1))</f>
        <v/>
      </c>
      <c r="BY10" s="386">
        <f>((BX10)+(1))</f>
        <v/>
      </c>
      <c r="BZ10" s="386">
        <f>((BY10)+(1))</f>
        <v/>
      </c>
      <c r="CA10" s="386">
        <f>((BZ10)+(1))</f>
        <v/>
      </c>
      <c r="CB10" s="386">
        <f>((CA10)+(1))</f>
        <v/>
      </c>
      <c r="CC10" s="386">
        <f>((CB10)+(1))</f>
        <v/>
      </c>
      <c r="CD10" s="386" t="n"/>
      <c r="CE10" s="117" t="inlineStr">
        <is>
          <t>∑, 37 - 48</t>
        </is>
      </c>
      <c r="CF10" s="383" t="n"/>
      <c r="CG10" s="386">
        <f>((CC10)+(1))</f>
        <v/>
      </c>
      <c r="CH10" s="386">
        <f>((CG10)+(1))</f>
        <v/>
      </c>
      <c r="CI10" s="386">
        <f>((CH10)+(1))</f>
        <v/>
      </c>
      <c r="CJ10" s="386">
        <f>((CI10)+(1))</f>
        <v/>
      </c>
      <c r="CK10" s="386">
        <f>((CJ10)+(1))</f>
        <v/>
      </c>
      <c r="CL10" s="386">
        <f>((CK10)+(1))</f>
        <v/>
      </c>
      <c r="CM10" s="386">
        <f>((CL10)+(1))</f>
        <v/>
      </c>
      <c r="CN10" s="386">
        <f>((CM10)+(1))</f>
        <v/>
      </c>
      <c r="CO10" s="386">
        <f>((CN10)+(1))</f>
        <v/>
      </c>
      <c r="CP10" s="386">
        <f>((CO10)+(1))</f>
        <v/>
      </c>
      <c r="CQ10" s="386">
        <f>((CP10)+(1))</f>
        <v/>
      </c>
      <c r="CR10" s="386">
        <f>((CQ10)+(1))</f>
        <v/>
      </c>
      <c r="CS10" s="386" t="n"/>
      <c r="CT10" s="117" t="inlineStr">
        <is>
          <t>∑, 49 - 60</t>
        </is>
      </c>
      <c r="CU10" s="383" t="n"/>
      <c r="CV10" s="386">
        <f>((CR10)+(1))</f>
        <v/>
      </c>
      <c r="CW10" s="386">
        <f>((CV10)+(1))</f>
        <v/>
      </c>
      <c r="CX10" s="386">
        <f>((CW10)+(1))</f>
        <v/>
      </c>
      <c r="CY10" s="386">
        <f>((CX10)+(1))</f>
        <v/>
      </c>
      <c r="CZ10" s="386">
        <f>((CY10)+(1))</f>
        <v/>
      </c>
      <c r="DA10" s="386">
        <f>((CZ10)+(1))</f>
        <v/>
      </c>
      <c r="DB10" s="386">
        <f>((DA10)+(1))</f>
        <v/>
      </c>
      <c r="DC10" s="386">
        <f>((DB10)+(1))</f>
        <v/>
      </c>
      <c r="DD10" s="386">
        <f>((DC10)+(1))</f>
        <v/>
      </c>
      <c r="DE10" s="386">
        <f>((DD10)+(1))</f>
        <v/>
      </c>
      <c r="DF10" s="386">
        <f>((DE10)+(1))</f>
        <v/>
      </c>
      <c r="DG10" s="386">
        <f>((DF10)+(1))</f>
        <v/>
      </c>
      <c r="DH10" s="386" t="n"/>
      <c r="DI10" s="117" t="inlineStr">
        <is>
          <t>∑, 61 - 72</t>
        </is>
      </c>
    </row>
    <row r="11" ht="3" customHeight="1" s="1883">
      <c r="B11" s="383" t="n"/>
      <c r="C11" s="383" t="n"/>
      <c r="D11" s="383" t="n"/>
      <c r="E11" s="383" t="n"/>
      <c r="F11" s="383" t="n"/>
      <c r="G11" s="383" t="n"/>
      <c r="H11" s="383" t="n"/>
      <c r="I11" s="383" t="n"/>
      <c r="J11" s="387" t="n"/>
      <c r="K11" s="387" t="n"/>
      <c r="L11" s="387" t="n"/>
      <c r="M11" s="387" t="n"/>
      <c r="N11" s="387" t="n"/>
      <c r="O11" s="387" t="n"/>
      <c r="P11" s="387" t="n"/>
      <c r="Q11" s="387" t="n"/>
      <c r="R11" s="387" t="n"/>
      <c r="S11" s="387" t="n"/>
      <c r="T11" s="387" t="n"/>
      <c r="U11" s="387" t="n"/>
      <c r="V11" s="387" t="n"/>
      <c r="W11" s="387" t="n"/>
      <c r="X11" s="383" t="n"/>
      <c r="Y11" s="387" t="n"/>
      <c r="Z11" s="387" t="n"/>
      <c r="AA11" s="387" t="n"/>
      <c r="AB11" s="387" t="n"/>
      <c r="AC11" s="387" t="n"/>
      <c r="AD11" s="387" t="n"/>
      <c r="AE11" s="387" t="n"/>
      <c r="AF11" s="387" t="n"/>
      <c r="AG11" s="387" t="n"/>
      <c r="AH11" s="387" t="n"/>
      <c r="AI11" s="387" t="n"/>
      <c r="AJ11" s="387" t="n"/>
      <c r="AK11" s="383" t="n"/>
      <c r="AL11" s="387" t="n"/>
      <c r="AM11" s="383" t="n"/>
      <c r="AN11" s="387" t="n"/>
      <c r="AO11" s="387" t="n"/>
      <c r="AP11" s="387" t="n"/>
      <c r="AQ11" s="387" t="n"/>
      <c r="AR11" s="387" t="n"/>
      <c r="AS11" s="387" t="n"/>
      <c r="AT11" s="387" t="n"/>
      <c r="AU11" s="387" t="n"/>
      <c r="AV11" s="387" t="n"/>
      <c r="AW11" s="387" t="n"/>
      <c r="AX11" s="387" t="n"/>
      <c r="AY11" s="387" t="n"/>
      <c r="AZ11" s="383" t="n"/>
      <c r="BA11" s="387" t="n"/>
      <c r="BB11" s="383" t="n"/>
      <c r="BC11" s="387" t="n"/>
      <c r="BD11" s="387" t="n"/>
      <c r="BE11" s="387" t="n"/>
      <c r="BF11" s="387" t="n"/>
      <c r="BG11" s="387" t="n"/>
      <c r="BH11" s="387" t="n"/>
      <c r="BI11" s="387" t="n"/>
      <c r="BJ11" s="387" t="n"/>
      <c r="BK11" s="387" t="n"/>
      <c r="BL11" s="387" t="n"/>
      <c r="BM11" s="387" t="n"/>
      <c r="BN11" s="387" t="n"/>
      <c r="BO11" s="383" t="n"/>
      <c r="BP11" s="387" t="n"/>
      <c r="BQ11" s="383" t="n"/>
      <c r="BR11" s="387" t="n"/>
      <c r="BS11" s="387" t="n"/>
      <c r="BT11" s="387" t="n"/>
      <c r="BU11" s="387" t="n"/>
      <c r="BV11" s="387" t="n"/>
      <c r="BW11" s="387" t="n"/>
      <c r="BX11" s="387" t="n"/>
      <c r="BY11" s="387" t="n"/>
      <c r="BZ11" s="387" t="n"/>
      <c r="CA11" s="387" t="n"/>
      <c r="CB11" s="387" t="n"/>
      <c r="CC11" s="387" t="n"/>
      <c r="CD11" s="383" t="n"/>
      <c r="CE11" s="387" t="n"/>
      <c r="CF11" s="383" t="n"/>
      <c r="CG11" s="387" t="n"/>
      <c r="CH11" s="387" t="n"/>
      <c r="CI11" s="387" t="n"/>
      <c r="CJ11" s="387" t="n"/>
      <c r="CK11" s="387" t="n"/>
      <c r="CL11" s="387" t="n"/>
      <c r="CM11" s="387" t="n"/>
      <c r="CN11" s="387" t="n"/>
      <c r="CO11" s="387" t="n"/>
      <c r="CP11" s="387" t="n"/>
      <c r="CQ11" s="387" t="n"/>
      <c r="CR11" s="387" t="n"/>
      <c r="CS11" s="383" t="n"/>
      <c r="CT11" s="387" t="n"/>
      <c r="CU11" s="383" t="n"/>
      <c r="CV11" s="387" t="n"/>
      <c r="CW11" s="387" t="n"/>
      <c r="CX11" s="387" t="n"/>
      <c r="CY11" s="387" t="n"/>
      <c r="CZ11" s="387" t="n"/>
      <c r="DA11" s="387" t="n"/>
      <c r="DB11" s="387" t="n"/>
      <c r="DC11" s="387" t="n"/>
      <c r="DD11" s="387" t="n"/>
      <c r="DE11" s="387" t="n"/>
      <c r="DF11" s="387" t="n"/>
      <c r="DG11" s="387" t="n"/>
      <c r="DH11" s="383" t="n"/>
      <c r="DI11" s="387" t="n"/>
    </row>
    <row r="12" ht="3" customHeight="1" s="1883">
      <c r="B12" s="383" t="n"/>
      <c r="C12" s="383" t="n"/>
      <c r="D12" s="383" t="n"/>
      <c r="E12" s="383" t="n"/>
      <c r="F12" s="383" t="n"/>
      <c r="G12" s="383" t="n"/>
      <c r="H12" s="383" t="n"/>
      <c r="I12" s="383" t="n"/>
      <c r="J12" s="383" t="n"/>
      <c r="K12" s="383" t="n"/>
      <c r="L12" s="383" t="n"/>
      <c r="M12" s="383" t="n"/>
      <c r="N12" s="383" t="n"/>
      <c r="O12" s="383" t="n"/>
      <c r="P12" s="383" t="n"/>
      <c r="Q12" s="383" t="n"/>
      <c r="R12" s="383" t="n"/>
      <c r="S12" s="383" t="n"/>
      <c r="T12" s="383" t="n"/>
      <c r="U12" s="383" t="n"/>
      <c r="V12" s="383" t="n"/>
      <c r="W12" s="383" t="n"/>
      <c r="X12" s="383" t="n"/>
      <c r="Y12" s="383" t="n"/>
      <c r="Z12" s="383" t="n"/>
      <c r="AA12" s="383" t="n"/>
      <c r="AB12" s="383" t="n"/>
      <c r="AC12" s="383" t="n"/>
      <c r="AD12" s="383" t="n"/>
      <c r="AE12" s="383" t="n"/>
      <c r="AF12" s="383" t="n"/>
      <c r="AG12" s="383" t="n"/>
      <c r="AH12" s="383" t="n"/>
      <c r="AI12" s="383" t="n"/>
      <c r="AJ12" s="383" t="n"/>
      <c r="AK12" s="383" t="n"/>
      <c r="AL12" s="383" t="n"/>
      <c r="AM12" s="383" t="n"/>
      <c r="AN12" s="383" t="n"/>
      <c r="AO12" s="383" t="n"/>
      <c r="AP12" s="383" t="n"/>
      <c r="AQ12" s="383" t="n"/>
      <c r="AR12" s="383" t="n"/>
      <c r="AS12" s="383" t="n"/>
      <c r="AT12" s="383" t="n"/>
      <c r="AU12" s="383" t="n"/>
      <c r="AV12" s="383" t="n"/>
      <c r="AW12" s="383" t="n"/>
      <c r="AX12" s="383" t="n"/>
      <c r="AY12" s="383" t="n"/>
      <c r="AZ12" s="383" t="n"/>
      <c r="BA12" s="383" t="n"/>
      <c r="BB12" s="383" t="n"/>
      <c r="BC12" s="1910" t="n"/>
      <c r="BD12" s="1910" t="n"/>
      <c r="BE12" s="1910" t="n"/>
      <c r="BF12" s="1910" t="n"/>
      <c r="BG12" s="1910" t="n"/>
      <c r="BH12" s="1910" t="n"/>
      <c r="BI12" s="1910" t="n"/>
      <c r="BJ12" s="1910" t="n"/>
      <c r="BK12" s="1910" t="n"/>
      <c r="BL12" s="1910" t="n"/>
      <c r="BM12" s="1910" t="n"/>
      <c r="BN12" s="1910" t="n"/>
      <c r="BO12" s="1910" t="n"/>
      <c r="BP12" s="1910" t="n"/>
      <c r="BQ12" s="383" t="n"/>
      <c r="BR12" s="1910" t="n"/>
      <c r="BS12" s="1910" t="n"/>
      <c r="BT12" s="1910" t="n"/>
      <c r="BU12" s="1910" t="n"/>
      <c r="BV12" s="1910" t="n"/>
      <c r="BW12" s="1910" t="n"/>
      <c r="BX12" s="1910" t="n"/>
      <c r="BY12" s="1910" t="n"/>
      <c r="BZ12" s="1910" t="n"/>
      <c r="CA12" s="1910" t="n"/>
      <c r="CB12" s="1910" t="n"/>
      <c r="CC12" s="1910" t="n"/>
      <c r="CD12" s="383" t="n"/>
      <c r="CE12" s="1910" t="n"/>
      <c r="CF12" s="383" t="n"/>
      <c r="CG12" s="1910" t="n"/>
      <c r="CH12" s="1910" t="n"/>
      <c r="CI12" s="1910" t="n"/>
      <c r="CJ12" s="1910" t="n"/>
      <c r="CK12" s="1910" t="n"/>
      <c r="CL12" s="1910" t="n"/>
      <c r="CM12" s="1910" t="n"/>
      <c r="CN12" s="1910" t="n"/>
      <c r="CO12" s="1910" t="n"/>
      <c r="CP12" s="1910" t="n"/>
      <c r="CQ12" s="1910" t="n"/>
      <c r="CR12" s="1910" t="n"/>
      <c r="CS12" s="383" t="n"/>
      <c r="CT12" s="1910" t="n"/>
      <c r="CU12" s="383" t="n"/>
      <c r="CV12" s="1910" t="n"/>
      <c r="CW12" s="1910" t="n"/>
      <c r="CX12" s="1910" t="n"/>
      <c r="CY12" s="1910" t="n"/>
      <c r="CZ12" s="1910" t="n"/>
      <c r="DA12" s="1910" t="n"/>
      <c r="DB12" s="1910" t="n"/>
      <c r="DC12" s="1910" t="n"/>
      <c r="DD12" s="1910" t="n"/>
      <c r="DE12" s="1910" t="n"/>
      <c r="DF12" s="1910" t="n"/>
      <c r="DG12" s="1910" t="n"/>
      <c r="DH12" s="383" t="n"/>
      <c r="DI12" s="1910" t="n"/>
    </row>
    <row r="13" ht="15" customHeight="1" s="1883" thickBot="1">
      <c r="B13" s="383" t="n"/>
      <c r="C13" s="383" t="n"/>
      <c r="D13" s="383" t="n"/>
      <c r="E13" s="383" t="n"/>
      <c r="F13" s="383" t="n"/>
      <c r="G13" s="383" t="n"/>
      <c r="H13" s="383" t="n"/>
      <c r="I13" s="383" t="n"/>
      <c r="J13" s="383" t="n"/>
      <c r="K13" s="383" t="n"/>
      <c r="L13" s="383" t="n"/>
      <c r="M13" s="383" t="n"/>
      <c r="N13" s="383" t="n"/>
      <c r="O13" s="383" t="n"/>
      <c r="P13" s="383" t="n"/>
      <c r="Q13" s="383" t="n"/>
      <c r="R13" s="383" t="n"/>
      <c r="S13" s="383" t="n"/>
      <c r="T13" s="383" t="n"/>
      <c r="U13" s="383" t="n"/>
      <c r="V13" s="383" t="n"/>
      <c r="W13" s="383" t="n"/>
      <c r="X13" s="383" t="n"/>
      <c r="Y13" s="383" t="n"/>
      <c r="Z13" s="383" t="n"/>
      <c r="AA13" s="383" t="n"/>
      <c r="AB13" s="383" t="n"/>
      <c r="AC13" s="383" t="n"/>
      <c r="AD13" s="383" t="n"/>
      <c r="AE13" s="383" t="n"/>
      <c r="AF13" s="383" t="n"/>
      <c r="AG13" s="383" t="n"/>
      <c r="AH13" s="383" t="n"/>
      <c r="AI13" s="383" t="n"/>
      <c r="AJ13" s="383" t="n"/>
      <c r="AK13" s="383" t="n"/>
      <c r="AL13" s="383" t="n"/>
      <c r="AM13" s="383" t="n"/>
      <c r="AN13" s="383" t="n"/>
      <c r="AO13" s="383" t="n"/>
      <c r="AP13" s="383" t="n"/>
      <c r="AQ13" s="383" t="n"/>
      <c r="AR13" s="383" t="n"/>
      <c r="AS13" s="383" t="n"/>
      <c r="AT13" s="383" t="n"/>
      <c r="AU13" s="383" t="n"/>
      <c r="AV13" s="383" t="n"/>
      <c r="AW13" s="383" t="n"/>
      <c r="AX13" s="383" t="n"/>
      <c r="AY13" s="383" t="n"/>
      <c r="AZ13" s="383" t="n"/>
      <c r="BA13" s="383" t="n"/>
      <c r="BB13" s="383" t="n"/>
      <c r="BC13" s="383" t="n"/>
      <c r="BD13" s="383" t="n"/>
      <c r="BE13" s="383" t="n"/>
      <c r="BF13" s="383" t="n"/>
      <c r="BG13" s="383" t="n"/>
      <c r="BH13" s="383" t="n"/>
      <c r="BI13" s="383" t="n"/>
      <c r="BJ13" s="383" t="n"/>
      <c r="BK13" s="383" t="n"/>
      <c r="BL13" s="383" t="n"/>
      <c r="BM13" s="383" t="n"/>
      <c r="BN13" s="383" t="n"/>
      <c r="BO13" s="383" t="n"/>
      <c r="BP13" s="383" t="n"/>
      <c r="BQ13" s="383" t="n"/>
      <c r="BR13" s="383" t="n"/>
      <c r="BS13" s="383" t="n"/>
      <c r="BT13" s="383" t="n"/>
      <c r="BU13" s="383" t="n"/>
      <c r="BV13" s="383" t="n"/>
      <c r="BW13" s="383" t="n"/>
      <c r="BX13" s="383" t="n"/>
      <c r="BY13" s="383" t="n"/>
      <c r="BZ13" s="383" t="n"/>
      <c r="CA13" s="383" t="n"/>
      <c r="CB13" s="383" t="n"/>
      <c r="CC13" s="383" t="n"/>
      <c r="CD13" s="383" t="n"/>
      <c r="CE13" s="383" t="n"/>
      <c r="CF13" s="383" t="n"/>
      <c r="CG13" s="383" t="n"/>
      <c r="CH13" s="383" t="n"/>
      <c r="CI13" s="383" t="n"/>
      <c r="CJ13" s="383" t="n"/>
      <c r="CK13" s="383" t="n"/>
      <c r="CL13" s="383" t="n"/>
      <c r="CM13" s="383" t="n"/>
      <c r="CN13" s="383" t="n"/>
      <c r="CO13" s="383" t="n"/>
      <c r="CP13" s="383" t="n"/>
      <c r="CQ13" s="383" t="n"/>
      <c r="CR13" s="383" t="n"/>
      <c r="CS13" s="383" t="n"/>
      <c r="CT13" s="383" t="n"/>
      <c r="CU13" s="383" t="n"/>
      <c r="CV13" s="383" t="n"/>
      <c r="CW13" s="383" t="n"/>
      <c r="CX13" s="383" t="n"/>
      <c r="CY13" s="383" t="n"/>
      <c r="CZ13" s="383" t="n"/>
      <c r="DA13" s="383" t="n"/>
      <c r="DB13" s="383" t="n"/>
      <c r="DC13" s="383" t="n"/>
      <c r="DD13" s="383" t="n"/>
      <c r="DE13" s="383" t="n"/>
      <c r="DF13" s="383" t="n"/>
      <c r="DG13" s="383" t="n"/>
      <c r="DH13" s="383" t="n"/>
      <c r="DI13" s="383" t="n"/>
    </row>
    <row r="14" ht="15" customHeight="1" s="1883" thickBot="1">
      <c r="B14" s="383" t="n"/>
      <c r="C14" s="383" t="n"/>
      <c r="D14" s="383" t="n"/>
      <c r="E14" s="383" t="n"/>
      <c r="F14" s="886" t="inlineStr">
        <is>
          <t xml:space="preserve">     Month of Vendor PO and Deposit</t>
        </is>
      </c>
      <c r="G14" s="383" t="n"/>
      <c r="H14" s="383" t="n"/>
      <c r="I14" s="383" t="n"/>
      <c r="J14" s="383" t="n"/>
      <c r="K14" s="383" t="n"/>
      <c r="L14" s="383" t="n"/>
      <c r="M14" s="383" t="n"/>
      <c r="N14" s="383" t="n"/>
      <c r="O14" s="383" t="n"/>
      <c r="P14" s="383" t="n"/>
      <c r="Q14" s="383" t="n"/>
      <c r="R14" s="383" t="n"/>
      <c r="S14" s="383" t="n"/>
      <c r="T14" s="383" t="n"/>
      <c r="U14" s="383" t="n"/>
      <c r="V14" s="383" t="n"/>
      <c r="W14" s="383" t="n"/>
      <c r="X14" s="383" t="n"/>
      <c r="Y14" s="889" t="n">
        <v>-1</v>
      </c>
      <c r="Z14" s="890">
        <f>((Y14)+(2))</f>
        <v/>
      </c>
      <c r="AA14" s="891">
        <f>((Z14)+(1))</f>
        <v/>
      </c>
      <c r="AB14" s="892">
        <f>((AA14)+(1))</f>
        <v/>
      </c>
      <c r="AC14" s="893">
        <f>((AB14)+(1))</f>
        <v/>
      </c>
      <c r="AD14" s="894">
        <f>((AC14)+(1))</f>
        <v/>
      </c>
      <c r="AE14" s="895">
        <f>((AD14)+(1))</f>
        <v/>
      </c>
      <c r="AF14" s="896">
        <f>((AE14)+(1))</f>
        <v/>
      </c>
      <c r="AG14" s="897">
        <f>((AF14)+(1))</f>
        <v/>
      </c>
      <c r="AH14" s="898">
        <f>((AG14)+(1))</f>
        <v/>
      </c>
      <c r="AI14" s="899">
        <f>((AH14)+(1))</f>
        <v/>
      </c>
      <c r="AJ14" s="900">
        <f>((AI14)+(1))</f>
        <v/>
      </c>
      <c r="AK14" s="383" t="n"/>
      <c r="AL14" s="383" t="n"/>
      <c r="AM14" s="383" t="n"/>
      <c r="AN14" s="901">
        <f>((AJ14)+(1))</f>
        <v/>
      </c>
      <c r="AO14" s="1640">
        <f>((AN14)+(1))</f>
        <v/>
      </c>
      <c r="AP14" s="901">
        <f>((AO14)+(1))</f>
        <v/>
      </c>
      <c r="AQ14" s="901">
        <f>((AP14)+(1))</f>
        <v/>
      </c>
      <c r="AR14" s="901">
        <f>((AQ14)+(1))</f>
        <v/>
      </c>
      <c r="AS14" s="901">
        <f>((AR14)+(1))</f>
        <v/>
      </c>
      <c r="AT14" s="901">
        <f>((AS14)+(1))</f>
        <v/>
      </c>
      <c r="AU14" s="901">
        <f>((AT14)+(1))</f>
        <v/>
      </c>
      <c r="AV14" s="901">
        <f>((AU14)+(1))</f>
        <v/>
      </c>
      <c r="AW14" s="901">
        <f>((AV14)+(1))</f>
        <v/>
      </c>
      <c r="AX14" s="901">
        <f>((AW14)+(1))</f>
        <v/>
      </c>
      <c r="AY14" s="901">
        <f>((AX14)+(1))</f>
        <v/>
      </c>
      <c r="AZ14" s="383" t="n"/>
      <c r="BA14" s="383" t="n"/>
      <c r="BB14" s="383" t="n"/>
      <c r="BC14" s="901">
        <f>((AY14)+(1))</f>
        <v/>
      </c>
      <c r="BD14" s="901">
        <f>((BC14)+(1))</f>
        <v/>
      </c>
      <c r="BE14" s="901">
        <f>((BD14)+(1))</f>
        <v/>
      </c>
      <c r="BF14" s="901">
        <f>((BE14)+(1))</f>
        <v/>
      </c>
      <c r="BG14" s="901">
        <f>((BF14)+(1))</f>
        <v/>
      </c>
      <c r="BH14" s="901">
        <f>((BG14)+(1))</f>
        <v/>
      </c>
      <c r="BI14" s="901">
        <f>((BH14)+(1))</f>
        <v/>
      </c>
      <c r="BJ14" s="901">
        <f>((BI14)+(1))</f>
        <v/>
      </c>
      <c r="BK14" s="901">
        <f>((BJ14)+(1))</f>
        <v/>
      </c>
      <c r="BL14" s="901">
        <f>((BK14)+(1))</f>
        <v/>
      </c>
      <c r="BM14" s="901">
        <f>((BL14)+(1))</f>
        <v/>
      </c>
      <c r="BN14" s="901">
        <f>((BM14)+(1))</f>
        <v/>
      </c>
      <c r="BO14" s="383" t="n"/>
      <c r="BP14" s="383" t="n"/>
      <c r="BQ14" s="383" t="n"/>
      <c r="BR14" s="901">
        <f>((BN14)+(1))</f>
        <v/>
      </c>
      <c r="BS14" s="901">
        <f>((BR14)+(1))</f>
        <v/>
      </c>
      <c r="BT14" s="901">
        <f>((BS14)+(1))</f>
        <v/>
      </c>
      <c r="BU14" s="901">
        <f>((BT14)+(1))</f>
        <v/>
      </c>
      <c r="BV14" s="901">
        <f>((BU14)+(1))</f>
        <v/>
      </c>
      <c r="BW14" s="901">
        <f>((BV14)+(1))</f>
        <v/>
      </c>
      <c r="BX14" s="901">
        <f>((BW14)+(1))</f>
        <v/>
      </c>
      <c r="BY14" s="901">
        <f>((BX14)+(1))</f>
        <v/>
      </c>
      <c r="BZ14" s="901">
        <f>((BY14)+(1))</f>
        <v/>
      </c>
      <c r="CA14" s="901">
        <f>((BZ14)+(1))</f>
        <v/>
      </c>
      <c r="CB14" s="901">
        <f>((CA14)+(1))</f>
        <v/>
      </c>
      <c r="CC14" s="901">
        <f>((CB14)+(1))</f>
        <v/>
      </c>
      <c r="CD14" s="383" t="n"/>
      <c r="CE14" s="383" t="n"/>
      <c r="CF14" s="383" t="n"/>
      <c r="CG14" s="901">
        <f>((CC14)+(1))</f>
        <v/>
      </c>
      <c r="CH14" s="901">
        <f>((CG14)+(1))</f>
        <v/>
      </c>
      <c r="CI14" s="901">
        <f>((CH14)+(1))</f>
        <v/>
      </c>
      <c r="CJ14" s="901">
        <f>((CI14)+(1))</f>
        <v/>
      </c>
      <c r="CK14" s="901">
        <f>((CJ14)+(1))</f>
        <v/>
      </c>
      <c r="CL14" s="901">
        <f>((CK14)+(1))</f>
        <v/>
      </c>
      <c r="CM14" s="901">
        <f>((CL14)+(1))</f>
        <v/>
      </c>
      <c r="CN14" s="901">
        <f>((CM14)+(1))</f>
        <v/>
      </c>
      <c r="CO14" s="901">
        <f>((CN14)+(1))</f>
        <v/>
      </c>
      <c r="CP14" s="901">
        <f>((CO14)+(1))</f>
        <v/>
      </c>
      <c r="CQ14" s="901">
        <f>((CP14)+(1))</f>
        <v/>
      </c>
      <c r="CR14" s="901">
        <f>((CQ14)+(1))</f>
        <v/>
      </c>
      <c r="CS14" s="383" t="n"/>
      <c r="CT14" s="383" t="n"/>
      <c r="CU14" s="383" t="n"/>
      <c r="CV14" s="902">
        <f>((CR14)+(1))</f>
        <v/>
      </c>
      <c r="CW14" s="903">
        <f>((CV14)+(1))</f>
        <v/>
      </c>
      <c r="CX14" s="903">
        <f>((CW14)+(1))</f>
        <v/>
      </c>
      <c r="CY14" s="904">
        <f>((CX14)+(1))</f>
        <v/>
      </c>
      <c r="CZ14" s="901">
        <f>((CY14)+(1))</f>
        <v/>
      </c>
      <c r="DA14" s="901">
        <f>((CZ14)+(1))</f>
        <v/>
      </c>
      <c r="DB14" s="901">
        <f>((DA14)+(1))</f>
        <v/>
      </c>
      <c r="DC14" s="901">
        <f>((DB14)+(1))</f>
        <v/>
      </c>
      <c r="DD14" s="901">
        <f>((DC14)+(1))</f>
        <v/>
      </c>
      <c r="DE14" s="901">
        <f>((DD14)+(1))</f>
        <v/>
      </c>
      <c r="DF14" s="901">
        <f>((DE14)+(1))</f>
        <v/>
      </c>
      <c r="DG14" s="901">
        <f>((DF14)+(1))</f>
        <v/>
      </c>
      <c r="DH14" s="383" t="n"/>
      <c r="DI14" s="383" t="n"/>
    </row>
    <row r="15" ht="15" customHeight="1" s="1883" thickBot="1">
      <c r="B15" s="383" t="n"/>
      <c r="C15" s="383" t="n"/>
      <c r="D15" s="383" t="n"/>
      <c r="E15" s="383" t="n"/>
      <c r="F15" s="383" t="n"/>
      <c r="G15" s="383" t="n"/>
      <c r="H15" s="383" t="n"/>
      <c r="I15" s="383" t="n"/>
      <c r="J15" s="383" t="n"/>
      <c r="K15" s="383" t="n"/>
      <c r="L15" s="383" t="n"/>
      <c r="M15" s="383" t="n"/>
      <c r="N15" s="383" t="n"/>
      <c r="O15" s="383" t="n"/>
      <c r="P15" s="383" t="n"/>
      <c r="Q15" s="383" t="n"/>
      <c r="R15" s="383" t="n"/>
      <c r="S15" s="383" t="n"/>
      <c r="T15" s="383" t="n"/>
      <c r="U15" s="383" t="n"/>
      <c r="V15" s="383" t="n"/>
      <c r="W15" s="383" t="n"/>
      <c r="X15" s="383" t="n"/>
      <c r="Y15" s="383" t="n"/>
      <c r="Z15" s="383" t="n"/>
      <c r="AA15" s="383" t="n"/>
      <c r="AB15" s="383" t="n"/>
      <c r="AC15" s="383" t="n"/>
      <c r="AD15" s="383" t="n"/>
      <c r="AE15" s="383" t="n"/>
      <c r="AF15" s="383" t="n"/>
      <c r="AG15" s="383" t="n"/>
      <c r="AH15" s="383" t="n"/>
      <c r="AI15" s="383" t="n"/>
      <c r="AJ15" s="383" t="n"/>
      <c r="AK15" s="383" t="n"/>
      <c r="AL15" s="383" t="n"/>
      <c r="AM15" s="383" t="n"/>
      <c r="AN15" s="383" t="n"/>
      <c r="AO15" s="383" t="n"/>
      <c r="AP15" s="383" t="n"/>
      <c r="AQ15" s="383" t="n"/>
      <c r="AR15" s="383" t="n"/>
      <c r="AS15" s="383" t="n"/>
      <c r="AT15" s="383" t="n"/>
      <c r="AU15" s="383" t="n"/>
      <c r="AV15" s="383" t="n"/>
      <c r="AW15" s="383" t="n"/>
      <c r="AX15" s="383" t="n"/>
      <c r="AY15" s="383" t="n"/>
      <c r="AZ15" s="383" t="n"/>
      <c r="BA15" s="383" t="n"/>
      <c r="BB15" s="383" t="n"/>
      <c r="BC15" s="383" t="n"/>
      <c r="BD15" s="383" t="n"/>
      <c r="BE15" s="383" t="n"/>
      <c r="BF15" s="383" t="n"/>
      <c r="BG15" s="383" t="n"/>
      <c r="BH15" s="383" t="n"/>
      <c r="BI15" s="383" t="n"/>
      <c r="BJ15" s="383" t="n"/>
      <c r="BK15" s="383" t="n"/>
      <c r="BL15" s="383" t="n"/>
      <c r="BM15" s="383" t="n"/>
      <c r="BN15" s="383" t="n"/>
      <c r="BO15" s="383" t="n"/>
      <c r="BP15" s="383" t="n"/>
      <c r="BQ15" s="383" t="n"/>
      <c r="BR15" s="383" t="n"/>
      <c r="BS15" s="383" t="n"/>
      <c r="BT15" s="383" t="n"/>
      <c r="BU15" s="383" t="n"/>
      <c r="BV15" s="383" t="n"/>
      <c r="BW15" s="383" t="n"/>
      <c r="BX15" s="383" t="n"/>
      <c r="BY15" s="383" t="n"/>
      <c r="BZ15" s="383" t="n"/>
      <c r="CA15" s="383" t="n"/>
      <c r="CB15" s="383" t="n"/>
      <c r="CC15" s="383" t="n"/>
      <c r="CD15" s="383" t="n"/>
      <c r="CE15" s="383" t="n"/>
      <c r="CF15" s="383" t="n"/>
      <c r="CG15" s="383" t="n"/>
      <c r="CH15" s="383" t="n"/>
      <c r="CI15" s="383" t="n"/>
      <c r="CJ15" s="383" t="n"/>
      <c r="CK15" s="383" t="n"/>
      <c r="CL15" s="383" t="n"/>
      <c r="CM15" s="383" t="n"/>
      <c r="CN15" s="383" t="n"/>
      <c r="CO15" s="383" t="n"/>
      <c r="CP15" s="383" t="n"/>
      <c r="CQ15" s="383" t="n"/>
      <c r="CR15" s="383" t="n"/>
      <c r="CS15" s="383" t="n"/>
      <c r="CT15" s="383" t="n"/>
      <c r="CU15" s="383" t="n"/>
      <c r="CV15" s="383" t="n"/>
      <c r="CW15" s="383" t="n"/>
      <c r="CX15" s="383" t="n"/>
      <c r="CY15" s="383" t="n"/>
      <c r="CZ15" s="383" t="n"/>
      <c r="DA15" s="383" t="n"/>
      <c r="DB15" s="383" t="n"/>
      <c r="DC15" s="383" t="n"/>
      <c r="DD15" s="383" t="n"/>
      <c r="DE15" s="383" t="n"/>
      <c r="DF15" s="383" t="n"/>
      <c r="DG15" s="383" t="n"/>
      <c r="DH15" s="383" t="n"/>
      <c r="DI15" s="383" t="n"/>
    </row>
    <row r="16" ht="15" customHeight="1" s="1883" thickBot="1">
      <c r="B16" s="383" t="n"/>
      <c r="C16" s="383" t="n"/>
      <c r="D16" s="383" t="n"/>
      <c r="E16" s="383" t="n"/>
      <c r="F16" s="887" t="inlineStr">
        <is>
          <t xml:space="preserve">     Month of Shipment and Vendor Balance</t>
        </is>
      </c>
      <c r="G16" s="383" t="n"/>
      <c r="H16" s="383" t="n"/>
      <c r="I16" s="383" t="n"/>
      <c r="J16" s="383" t="n"/>
      <c r="K16" s="383" t="n"/>
      <c r="L16" s="383" t="n"/>
      <c r="M16" s="383" t="n"/>
      <c r="N16" s="383" t="n"/>
      <c r="O16" s="383" t="n"/>
      <c r="P16" s="383" t="n"/>
      <c r="Q16" s="383" t="n"/>
      <c r="R16" s="383" t="n"/>
      <c r="S16" s="383" t="n"/>
      <c r="T16" s="383" t="n"/>
      <c r="U16" s="383" t="n"/>
      <c r="V16" s="383" t="n"/>
      <c r="W16" s="383" t="n"/>
      <c r="X16" s="383" t="n"/>
      <c r="Y16" s="888" t="n">
        <v>1</v>
      </c>
      <c r="Z16" s="888" t="n">
        <v>2</v>
      </c>
      <c r="AA16" s="888">
        <f>((Z16)+(1))</f>
        <v/>
      </c>
      <c r="AB16" s="888">
        <f>((AA16)+(1))</f>
        <v/>
      </c>
      <c r="AC16" s="888">
        <f>((AB16)+(1))</f>
        <v/>
      </c>
      <c r="AD16" s="888">
        <f>((AC16)+(1))</f>
        <v/>
      </c>
      <c r="AE16" s="888">
        <f>((AD16)+(1))</f>
        <v/>
      </c>
      <c r="AF16" s="888">
        <f>((AE16)+(1))</f>
        <v/>
      </c>
      <c r="AG16" s="888">
        <f>((AF16)+(1))</f>
        <v/>
      </c>
      <c r="AH16" s="888">
        <f>((AG16)+(1))</f>
        <v/>
      </c>
      <c r="AI16" s="888">
        <f>((AH16)+(1))</f>
        <v/>
      </c>
      <c r="AJ16" s="888">
        <f>((AI16)+(1))</f>
        <v/>
      </c>
      <c r="AK16" s="383" t="n"/>
      <c r="AL16" s="383" t="n"/>
      <c r="AM16" s="383" t="n"/>
      <c r="AN16" s="888">
        <f>((AJ16)+(1))</f>
        <v/>
      </c>
      <c r="AO16" s="888">
        <f>((AN16)+(1))</f>
        <v/>
      </c>
      <c r="AP16" s="888">
        <f>((AO16)+(1))</f>
        <v/>
      </c>
      <c r="AQ16" s="888">
        <f>((AP16)+(1))</f>
        <v/>
      </c>
      <c r="AR16" s="888">
        <f>((AQ16)+(1))</f>
        <v/>
      </c>
      <c r="AS16" s="888">
        <f>((AR16)+(1))</f>
        <v/>
      </c>
      <c r="AT16" s="888">
        <f>((AS16)+(1))</f>
        <v/>
      </c>
      <c r="AU16" s="888">
        <f>((AT16)+(1))</f>
        <v/>
      </c>
      <c r="AV16" s="888">
        <f>((AU16)+(1))</f>
        <v/>
      </c>
      <c r="AW16" s="888">
        <f>((AV16)+(1))</f>
        <v/>
      </c>
      <c r="AX16" s="888">
        <f>((AW16)+(1))</f>
        <v/>
      </c>
      <c r="AY16" s="888">
        <f>((AX16)+(1))</f>
        <v/>
      </c>
      <c r="AZ16" s="383" t="n"/>
      <c r="BA16" s="383" t="n"/>
      <c r="BB16" s="383" t="n"/>
      <c r="BC16" s="888">
        <f>((AY16)+(1))</f>
        <v/>
      </c>
      <c r="BD16" s="888">
        <f>((BC16)+(1))</f>
        <v/>
      </c>
      <c r="BE16" s="888">
        <f>((BD16)+(1))</f>
        <v/>
      </c>
      <c r="BF16" s="888">
        <f>((BE16)+(1))</f>
        <v/>
      </c>
      <c r="BG16" s="888">
        <f>((BF16)+(1))</f>
        <v/>
      </c>
      <c r="BH16" s="888">
        <f>((BG16)+(1))</f>
        <v/>
      </c>
      <c r="BI16" s="888">
        <f>((BH16)+(1))</f>
        <v/>
      </c>
      <c r="BJ16" s="888">
        <f>((BI16)+(1))</f>
        <v/>
      </c>
      <c r="BK16" s="888">
        <f>((BJ16)+(1))</f>
        <v/>
      </c>
      <c r="BL16" s="888">
        <f>((BK16)+(1))</f>
        <v/>
      </c>
      <c r="BM16" s="888">
        <f>((BL16)+(1))</f>
        <v/>
      </c>
      <c r="BN16" s="888">
        <f>((BM16)+(1))</f>
        <v/>
      </c>
      <c r="BO16" s="383" t="n"/>
      <c r="BP16" s="383" t="n"/>
      <c r="BQ16" s="383" t="n"/>
      <c r="BR16" s="888">
        <f>((BN16)+(1))</f>
        <v/>
      </c>
      <c r="BS16" s="888">
        <f>((BR16)+(1))</f>
        <v/>
      </c>
      <c r="BT16" s="888">
        <f>((BS16)+(1))</f>
        <v/>
      </c>
      <c r="BU16" s="888">
        <f>((BT16)+(1))</f>
        <v/>
      </c>
      <c r="BV16" s="888">
        <f>((BU16)+(1))</f>
        <v/>
      </c>
      <c r="BW16" s="888">
        <f>((BV16)+(1))</f>
        <v/>
      </c>
      <c r="BX16" s="888">
        <f>((BW16)+(1))</f>
        <v/>
      </c>
      <c r="BY16" s="888">
        <f>((BX16)+(1))</f>
        <v/>
      </c>
      <c r="BZ16" s="888">
        <f>((BY16)+(1))</f>
        <v/>
      </c>
      <c r="CA16" s="888">
        <f>((BZ16)+(1))</f>
        <v/>
      </c>
      <c r="CB16" s="888">
        <f>((CA16)+(1))</f>
        <v/>
      </c>
      <c r="CC16" s="888">
        <f>((CB16)+(1))</f>
        <v/>
      </c>
      <c r="CD16" s="383" t="n"/>
      <c r="CE16" s="383" t="n"/>
      <c r="CF16" s="383" t="n"/>
      <c r="CG16" s="888">
        <f>((CC16)+(1))</f>
        <v/>
      </c>
      <c r="CH16" s="888">
        <f>((CG16)+(1))</f>
        <v/>
      </c>
      <c r="CI16" s="888">
        <f>((CH16)+(1))</f>
        <v/>
      </c>
      <c r="CJ16" s="888">
        <f>((CI16)+(1))</f>
        <v/>
      </c>
      <c r="CK16" s="888">
        <f>((CJ16)+(1))</f>
        <v/>
      </c>
      <c r="CL16" s="888">
        <f>((CK16)+(1))</f>
        <v/>
      </c>
      <c r="CM16" s="888">
        <f>((CL16)+(1))</f>
        <v/>
      </c>
      <c r="CN16" s="888">
        <f>((CM16)+(1))</f>
        <v/>
      </c>
      <c r="CO16" s="888">
        <f>((CN16)+(1))</f>
        <v/>
      </c>
      <c r="CP16" s="888">
        <f>((CO16)+(1))</f>
        <v/>
      </c>
      <c r="CQ16" s="888">
        <f>((CP16)+(1))</f>
        <v/>
      </c>
      <c r="CR16" s="888">
        <f>((CQ16)+(1))</f>
        <v/>
      </c>
      <c r="CS16" s="383" t="n"/>
      <c r="CT16" s="383" t="n"/>
      <c r="CU16" s="383" t="n"/>
      <c r="CV16" s="905">
        <f>((CR16)+(1))</f>
        <v/>
      </c>
      <c r="CW16" s="888">
        <f>((CV16)+(1))</f>
        <v/>
      </c>
      <c r="CX16" s="888">
        <f>((CW16)+(1))</f>
        <v/>
      </c>
      <c r="CY16" s="888">
        <f>((CX16)+(1))</f>
        <v/>
      </c>
      <c r="CZ16" s="888">
        <f>((CY16)+(1))</f>
        <v/>
      </c>
      <c r="DA16" s="888">
        <f>((CZ16)+(1))</f>
        <v/>
      </c>
      <c r="DB16" s="888">
        <f>((DA16)+(1))</f>
        <v/>
      </c>
      <c r="DC16" s="888">
        <f>((DB16)+(1))</f>
        <v/>
      </c>
      <c r="DD16" s="888">
        <f>((DC16)+(1))</f>
        <v/>
      </c>
      <c r="DE16" s="888">
        <f>((DD16)+(1))</f>
        <v/>
      </c>
      <c r="DF16" s="888">
        <f>((DE16)+(1))</f>
        <v/>
      </c>
      <c r="DG16" s="888">
        <f>((DF16)+(1))</f>
        <v/>
      </c>
      <c r="DH16" s="383" t="n"/>
      <c r="DI16" s="383" t="n"/>
    </row>
    <row r="21" ht="15" customHeight="1" s="1883">
      <c r="B21" s="535" t="inlineStr">
        <is>
          <t>II.</t>
        </is>
      </c>
      <c r="C21" s="383" t="n"/>
      <c r="D21" s="385" t="inlineStr">
        <is>
          <t>Cash Disbursements for Telephone Inventory</t>
        </is>
      </c>
      <c r="E21" s="383" t="n"/>
      <c r="F21" s="383" t="n"/>
      <c r="G21" s="383" t="n"/>
      <c r="H21" s="383" t="n"/>
      <c r="I21" s="383" t="n"/>
      <c r="J21" s="383" t="n"/>
      <c r="K21" s="383" t="n"/>
      <c r="L21" s="383" t="n"/>
      <c r="M21" s="383" t="n"/>
      <c r="N21" s="383" t="n"/>
      <c r="O21" s="383" t="n"/>
      <c r="P21" s="383" t="n"/>
      <c r="Q21" s="383" t="n"/>
      <c r="R21" s="383" t="n"/>
      <c r="S21" s="383" t="n"/>
      <c r="T21" s="383" t="n"/>
      <c r="U21" s="383" t="n"/>
      <c r="V21" s="383" t="n"/>
      <c r="W21" s="383" t="n"/>
      <c r="X21" s="383" t="n"/>
      <c r="Y21" s="383" t="n"/>
      <c r="Z21" s="383" t="n"/>
      <c r="AA21" s="383" t="n"/>
      <c r="AB21" s="383" t="n"/>
      <c r="AC21" s="383" t="n"/>
      <c r="AD21" s="383" t="n"/>
      <c r="AE21" s="383" t="n"/>
      <c r="AF21" s="383" t="n"/>
      <c r="AG21" s="383" t="n"/>
      <c r="AH21" s="383" t="n"/>
      <c r="AI21" s="383" t="n"/>
      <c r="AJ21" s="383" t="n"/>
      <c r="AK21" s="383" t="n"/>
      <c r="AL21" s="383" t="n"/>
      <c r="AM21" s="383" t="n"/>
      <c r="AN21" s="383" t="n"/>
      <c r="AO21" s="383" t="n"/>
      <c r="AP21" s="383" t="n"/>
      <c r="AQ21" s="383" t="n"/>
      <c r="AR21" s="383" t="n"/>
      <c r="AS21" s="383" t="n"/>
      <c r="AT21" s="383" t="n"/>
      <c r="AU21" s="383" t="n"/>
      <c r="AV21" s="383" t="n"/>
      <c r="AW21" s="383" t="n"/>
      <c r="AX21" s="383" t="n"/>
      <c r="AY21" s="383" t="n"/>
      <c r="AZ21" s="383" t="n"/>
      <c r="BA21" s="383" t="n"/>
      <c r="BB21" s="383" t="n"/>
      <c r="BC21" s="383" t="n"/>
      <c r="BD21" s="383" t="n"/>
      <c r="BE21" s="383" t="n"/>
      <c r="BF21" s="383" t="n"/>
      <c r="BG21" s="383" t="n"/>
      <c r="BH21" s="383" t="n"/>
      <c r="BI21" s="383" t="n"/>
      <c r="BJ21" s="383" t="n"/>
      <c r="BK21" s="383" t="n"/>
      <c r="BL21" s="383" t="n"/>
      <c r="BM21" s="383" t="n"/>
      <c r="BN21" s="383" t="n"/>
      <c r="BO21" s="383" t="n"/>
      <c r="BP21" s="383" t="n"/>
      <c r="BQ21" s="383" t="n"/>
      <c r="BR21" s="383" t="n"/>
      <c r="BS21" s="383" t="n"/>
      <c r="BT21" s="383" t="n"/>
      <c r="BU21" s="383" t="n"/>
      <c r="BV21" s="383" t="n"/>
      <c r="BW21" s="383" t="n"/>
      <c r="BX21" s="383" t="n"/>
      <c r="BY21" s="383" t="n"/>
      <c r="BZ21" s="383" t="n"/>
      <c r="CA21" s="383" t="n"/>
      <c r="CB21" s="383" t="n"/>
      <c r="CC21" s="383" t="n"/>
      <c r="CD21" s="383" t="n"/>
      <c r="CE21" s="383" t="n"/>
      <c r="CF21" s="383" t="n"/>
      <c r="CG21" s="383" t="n"/>
      <c r="CH21" s="383" t="n"/>
      <c r="CI21" s="383" t="n"/>
      <c r="CJ21" s="383" t="n"/>
      <c r="CK21" s="383" t="n"/>
      <c r="CL21" s="383" t="n"/>
      <c r="CM21" s="383" t="n"/>
      <c r="CN21" s="383" t="n"/>
      <c r="CO21" s="383" t="n"/>
      <c r="CP21" s="383" t="n"/>
      <c r="CQ21" s="383" t="n"/>
      <c r="CR21" s="383" t="n"/>
      <c r="CS21" s="383" t="n"/>
      <c r="CT21" s="383" t="n"/>
      <c r="CU21" s="383" t="n"/>
      <c r="CV21" s="383" t="n"/>
      <c r="CW21" s="383" t="n"/>
      <c r="CX21" s="383" t="n"/>
      <c r="CY21" s="383" t="n"/>
      <c r="CZ21" s="383" t="n"/>
      <c r="DA21" s="383" t="n"/>
      <c r="DB21" s="383" t="n"/>
      <c r="DC21" s="383" t="n"/>
    </row>
    <row r="22" ht="3" customHeight="1" s="1883">
      <c r="B22" s="383" t="n"/>
      <c r="C22" s="383" t="n"/>
      <c r="D22" s="387" t="n"/>
      <c r="E22" s="387" t="n"/>
      <c r="F22" s="387" t="n"/>
      <c r="G22" s="387" t="n"/>
      <c r="H22" s="383" t="n"/>
      <c r="I22" s="383" t="n"/>
      <c r="J22" s="383" t="n"/>
      <c r="K22" s="383" t="n"/>
      <c r="L22" s="383" t="n"/>
      <c r="M22" s="383" t="n"/>
      <c r="N22" s="383" t="n"/>
      <c r="O22" s="383" t="n"/>
      <c r="P22" s="383" t="n"/>
      <c r="Q22" s="383" t="n"/>
      <c r="R22" s="383" t="n"/>
      <c r="S22" s="383" t="n"/>
      <c r="T22" s="383" t="n"/>
      <c r="U22" s="383" t="n"/>
      <c r="V22" s="383" t="n"/>
      <c r="W22" s="383" t="n"/>
      <c r="X22" s="383" t="n"/>
      <c r="Y22" s="383" t="n"/>
      <c r="Z22" s="383" t="n"/>
      <c r="AA22" s="383" t="n"/>
      <c r="AB22" s="383" t="n"/>
      <c r="AC22" s="383" t="n"/>
      <c r="AD22" s="383" t="n"/>
      <c r="AE22" s="383" t="n"/>
      <c r="AF22" s="383" t="n"/>
      <c r="AG22" s="383" t="n"/>
      <c r="AH22" s="383" t="n"/>
      <c r="AI22" s="383" t="n"/>
      <c r="AJ22" s="383" t="n"/>
      <c r="AK22" s="383" t="n"/>
      <c r="AL22" s="383" t="n"/>
      <c r="AM22" s="383" t="n"/>
      <c r="AN22" s="383" t="n"/>
      <c r="AO22" s="383" t="n"/>
      <c r="AP22" s="383" t="n"/>
      <c r="AQ22" s="383" t="n"/>
      <c r="AR22" s="383" t="n"/>
      <c r="AS22" s="383" t="n"/>
      <c r="AT22" s="383" t="n"/>
      <c r="AU22" s="383" t="n"/>
      <c r="AV22" s="383" t="n"/>
      <c r="AW22" s="383" t="n"/>
      <c r="AX22" s="383" t="n"/>
      <c r="AY22" s="383" t="n"/>
      <c r="AZ22" s="383" t="n"/>
      <c r="BA22" s="383" t="n"/>
      <c r="BB22" s="383" t="n"/>
      <c r="BC22" s="383" t="n"/>
      <c r="BD22" s="383" t="n"/>
      <c r="BE22" s="383" t="n"/>
      <c r="BF22" s="383" t="n"/>
      <c r="BG22" s="383" t="n"/>
      <c r="BH22" s="383" t="n"/>
      <c r="BI22" s="383" t="n"/>
      <c r="BJ22" s="383" t="n"/>
      <c r="BK22" s="383" t="n"/>
      <c r="BL22" s="383" t="n"/>
      <c r="BM22" s="383" t="n"/>
      <c r="BN22" s="383" t="n"/>
      <c r="BO22" s="383" t="n"/>
      <c r="BP22" s="383" t="n"/>
      <c r="BQ22" s="383" t="n"/>
      <c r="BR22" s="383" t="n"/>
      <c r="BS22" s="383" t="n"/>
      <c r="BT22" s="383" t="n"/>
      <c r="BU22" s="383" t="n"/>
      <c r="BV22" s="383" t="n"/>
      <c r="BW22" s="383" t="n"/>
      <c r="BX22" s="383" t="n"/>
      <c r="BY22" s="383" t="n"/>
      <c r="BZ22" s="383" t="n"/>
      <c r="CA22" s="383" t="n"/>
      <c r="CB22" s="383" t="n"/>
      <c r="CC22" s="383" t="n"/>
      <c r="CD22" s="383" t="n"/>
      <c r="CE22" s="383" t="n"/>
      <c r="CF22" s="383" t="n"/>
      <c r="CG22" s="383" t="n"/>
      <c r="CH22" s="383" t="n"/>
      <c r="CI22" s="383" t="n"/>
      <c r="CJ22" s="383" t="n"/>
      <c r="CK22" s="383" t="n"/>
      <c r="CL22" s="383" t="n"/>
      <c r="CM22" s="383" t="n"/>
      <c r="CN22" s="383" t="n"/>
      <c r="CO22" s="383" t="n"/>
      <c r="CP22" s="383" t="n"/>
      <c r="CQ22" s="383" t="n"/>
      <c r="CR22" s="383" t="n"/>
      <c r="CS22" s="383" t="n"/>
      <c r="CT22" s="383" t="n"/>
      <c r="CU22" s="383" t="n"/>
      <c r="CV22" s="383" t="n"/>
      <c r="CW22" s="383" t="n"/>
      <c r="CX22" s="383" t="n"/>
      <c r="CY22" s="383" t="n"/>
      <c r="CZ22" s="383" t="n"/>
      <c r="DA22" s="383" t="n"/>
      <c r="DB22" s="383" t="n"/>
      <c r="DC22" s="383" t="n"/>
    </row>
    <row r="23" ht="3" customHeight="1" s="1883">
      <c r="B23" s="383" t="n"/>
      <c r="C23" s="383" t="n"/>
      <c r="D23" s="383" t="n"/>
      <c r="E23" s="383" t="n"/>
      <c r="F23" s="383" t="n"/>
      <c r="G23" s="383" t="n"/>
      <c r="H23" s="383" t="n"/>
      <c r="I23" s="383" t="n"/>
      <c r="J23" s="383" t="n"/>
      <c r="K23" s="383" t="n"/>
      <c r="L23" s="383" t="n"/>
      <c r="M23" s="383" t="n"/>
      <c r="N23" s="383" t="n"/>
      <c r="O23" s="383" t="n"/>
      <c r="P23" s="383" t="n"/>
      <c r="Q23" s="383" t="n"/>
      <c r="R23" s="383" t="n"/>
      <c r="S23" s="383" t="n"/>
      <c r="T23" s="383" t="n"/>
      <c r="U23" s="383" t="n"/>
      <c r="V23" s="383" t="n"/>
      <c r="W23" s="383" t="n"/>
      <c r="X23" s="383" t="n"/>
      <c r="Y23" s="383" t="n"/>
      <c r="Z23" s="383" t="n"/>
      <c r="AA23" s="383" t="n"/>
      <c r="AB23" s="383" t="n"/>
      <c r="AC23" s="383" t="n"/>
      <c r="AD23" s="383" t="n"/>
      <c r="AE23" s="383" t="n"/>
      <c r="AF23" s="383" t="n"/>
      <c r="AG23" s="383" t="n"/>
      <c r="AH23" s="383" t="n"/>
      <c r="AI23" s="383" t="n"/>
      <c r="AJ23" s="383" t="n"/>
      <c r="AK23" s="383" t="n"/>
      <c r="AL23" s="383" t="n"/>
      <c r="AM23" s="383" t="n"/>
      <c r="AN23" s="383" t="n"/>
      <c r="AO23" s="383" t="n"/>
      <c r="AP23" s="383" t="n"/>
      <c r="AQ23" s="383" t="n"/>
      <c r="AR23" s="383" t="n"/>
      <c r="AS23" s="383" t="n"/>
      <c r="AT23" s="383" t="n"/>
      <c r="AU23" s="383" t="n"/>
      <c r="AV23" s="383" t="n"/>
      <c r="AW23" s="383" t="n"/>
      <c r="AX23" s="383" t="n"/>
      <c r="AY23" s="383" t="n"/>
      <c r="AZ23" s="383" t="n"/>
      <c r="BA23" s="383" t="n"/>
      <c r="BB23" s="383" t="n"/>
      <c r="BC23" s="383" t="n"/>
      <c r="BD23" s="383" t="n"/>
      <c r="BE23" s="383" t="n"/>
      <c r="BF23" s="383" t="n"/>
      <c r="BG23" s="383" t="n"/>
      <c r="BH23" s="383" t="n"/>
      <c r="BI23" s="383" t="n"/>
      <c r="BJ23" s="383" t="n"/>
      <c r="BK23" s="383" t="n"/>
      <c r="BL23" s="383" t="n"/>
      <c r="BM23" s="383" t="n"/>
      <c r="BN23" s="383" t="n"/>
      <c r="BO23" s="383" t="n"/>
      <c r="BP23" s="383" t="n"/>
      <c r="BQ23" s="383" t="n"/>
      <c r="BR23" s="383" t="n"/>
      <c r="BS23" s="383" t="n"/>
      <c r="BT23" s="383" t="n"/>
      <c r="BU23" s="383" t="n"/>
      <c r="BV23" s="383" t="n"/>
      <c r="BW23" s="383" t="n"/>
      <c r="BX23" s="383" t="n"/>
      <c r="BY23" s="383" t="n"/>
      <c r="BZ23" s="383" t="n"/>
      <c r="CA23" s="383" t="n"/>
      <c r="CB23" s="383" t="n"/>
      <c r="CC23" s="383" t="n"/>
      <c r="CD23" s="383" t="n"/>
      <c r="CE23" s="383" t="n"/>
      <c r="CF23" s="383" t="n"/>
      <c r="CG23" s="383" t="n"/>
      <c r="CH23" s="383" t="n"/>
      <c r="CI23" s="383" t="n"/>
      <c r="CJ23" s="383" t="n"/>
      <c r="CK23" s="383" t="n"/>
      <c r="CL23" s="383" t="n"/>
      <c r="CM23" s="383" t="n"/>
      <c r="CN23" s="383" t="n"/>
      <c r="CO23" s="383" t="n"/>
      <c r="CP23" s="383" t="n"/>
      <c r="CQ23" s="383" t="n"/>
      <c r="CR23" s="383" t="n"/>
      <c r="CS23" s="383" t="n"/>
      <c r="CT23" s="383" t="n"/>
      <c r="CU23" s="383" t="n"/>
      <c r="CV23" s="383" t="n"/>
      <c r="CW23" s="383" t="n"/>
      <c r="CX23" s="383" t="n"/>
      <c r="CY23" s="383" t="n"/>
      <c r="CZ23" s="383" t="n"/>
      <c r="DA23" s="383" t="n"/>
      <c r="DB23" s="383" t="n"/>
      <c r="DC23" s="383" t="n"/>
    </row>
    <row r="24" ht="15" customHeight="1" s="1883">
      <c r="B24" s="383" t="n"/>
      <c r="C24" s="383" t="n"/>
      <c r="D24" s="383" t="n"/>
      <c r="E24" s="383" t="n"/>
      <c r="F24" s="383" t="n"/>
      <c r="G24" s="383" t="n"/>
      <c r="H24" s="383" t="n"/>
      <c r="I24" s="383" t="n"/>
      <c r="J24" s="383" t="n"/>
      <c r="K24" s="383" t="n"/>
      <c r="L24" s="383" t="n"/>
      <c r="M24" s="383" t="n"/>
      <c r="N24" s="383" t="n"/>
      <c r="O24" s="383" t="n"/>
      <c r="P24" s="383" t="n"/>
      <c r="Q24" s="383" t="n"/>
      <c r="R24" s="383" t="n"/>
      <c r="S24" s="383" t="n"/>
      <c r="T24" s="383" t="n"/>
      <c r="U24" s="383" t="n"/>
      <c r="V24" s="383" t="n"/>
      <c r="W24" s="383" t="n"/>
      <c r="X24" s="383" t="n"/>
      <c r="Y24" s="383" t="n"/>
      <c r="Z24" s="383" t="n"/>
      <c r="AA24" s="383" t="n"/>
      <c r="AB24" s="383" t="n"/>
      <c r="AC24" s="383" t="n"/>
      <c r="AD24" s="383" t="n"/>
      <c r="AE24" s="383" t="n"/>
      <c r="AF24" s="383" t="n"/>
      <c r="AG24" s="383" t="n"/>
      <c r="AH24" s="383" t="n"/>
      <c r="AI24" s="383" t="n"/>
      <c r="AJ24" s="383" t="n"/>
      <c r="AK24" s="383" t="n"/>
      <c r="AL24" s="383" t="n"/>
      <c r="AM24" s="383" t="n"/>
      <c r="AN24" s="383" t="n"/>
      <c r="AO24" s="383" t="n"/>
      <c r="AP24" s="383" t="n"/>
      <c r="AQ24" s="383" t="n"/>
      <c r="AR24" s="383" t="n"/>
      <c r="AS24" s="383" t="n"/>
      <c r="AT24" s="383" t="n"/>
      <c r="AU24" s="383" t="n"/>
      <c r="AV24" s="383" t="n"/>
      <c r="AW24" s="383" t="n"/>
      <c r="AX24" s="383" t="n"/>
      <c r="AY24" s="383" t="n"/>
      <c r="AZ24" s="383" t="n"/>
      <c r="BA24" s="383" t="n"/>
      <c r="BB24" s="383" t="n"/>
      <c r="BC24" s="383" t="n"/>
      <c r="BD24" s="383" t="n"/>
      <c r="BE24" s="383" t="n"/>
      <c r="BF24" s="383" t="n"/>
      <c r="BG24" s="383" t="n"/>
      <c r="BH24" s="383" t="n"/>
      <c r="BI24" s="383" t="n"/>
      <c r="BJ24" s="383" t="n"/>
      <c r="BK24" s="383" t="n"/>
      <c r="BL24" s="383" t="n"/>
      <c r="BM24" s="383" t="n"/>
      <c r="BN24" s="383" t="n"/>
      <c r="BO24" s="383" t="n"/>
      <c r="BP24" s="383" t="n"/>
      <c r="BQ24" s="383" t="n"/>
      <c r="BR24" s="383" t="n"/>
      <c r="BS24" s="383" t="n"/>
      <c r="BT24" s="383" t="n"/>
      <c r="BU24" s="383" t="n"/>
      <c r="BV24" s="383" t="n"/>
      <c r="BW24" s="383" t="n"/>
      <c r="BX24" s="383" t="n"/>
      <c r="BY24" s="383" t="n"/>
      <c r="BZ24" s="383" t="n"/>
      <c r="CA24" s="383" t="n"/>
      <c r="CB24" s="383" t="n"/>
      <c r="CC24" s="383" t="n"/>
      <c r="CD24" s="383" t="n"/>
      <c r="CE24" s="383" t="n"/>
      <c r="CF24" s="383" t="n"/>
      <c r="CG24" s="383" t="n"/>
      <c r="CH24" s="383" t="n"/>
      <c r="CI24" s="383" t="n"/>
      <c r="CJ24" s="383" t="n"/>
      <c r="CK24" s="383" t="n"/>
      <c r="CL24" s="383" t="n"/>
      <c r="CM24" s="383" t="n"/>
      <c r="CN24" s="383" t="n"/>
      <c r="CO24" s="383" t="n"/>
      <c r="CP24" s="383" t="n"/>
      <c r="CQ24" s="383" t="n"/>
      <c r="CR24" s="383" t="n"/>
      <c r="CS24" s="383" t="n"/>
      <c r="CT24" s="383" t="n"/>
      <c r="CU24" s="383" t="n"/>
      <c r="CV24" s="383" t="n"/>
      <c r="CW24" s="383" t="n"/>
      <c r="CX24" s="383" t="n"/>
      <c r="CY24" s="383" t="n"/>
      <c r="CZ24" s="383" t="n"/>
      <c r="DA24" s="383" t="n"/>
      <c r="DB24" s="383" t="n"/>
      <c r="DC24" s="383" t="n"/>
    </row>
    <row r="25" ht="15" customHeight="1" s="1883">
      <c r="B25" s="383" t="n"/>
      <c r="C25" s="383" t="n"/>
      <c r="D25" s="383" t="n"/>
      <c r="E25" s="383" t="n"/>
      <c r="F25" s="383" t="n"/>
      <c r="G25" s="383" t="n"/>
      <c r="H25" s="383" t="n"/>
      <c r="I25" s="383" t="n"/>
      <c r="J25" s="383" t="n"/>
      <c r="K25" s="383" t="n"/>
      <c r="L25" s="383" t="n"/>
      <c r="M25" s="1882" t="inlineStr">
        <is>
          <t>Pre-Launch</t>
        </is>
      </c>
      <c r="X25" s="383" t="n"/>
      <c r="Y25" s="1882" t="inlineStr">
        <is>
          <t>Year 1</t>
        </is>
      </c>
      <c r="AM25" s="383" t="n"/>
      <c r="AN25" s="1882" t="inlineStr">
        <is>
          <t>Year 2</t>
        </is>
      </c>
      <c r="BB25" s="383" t="n"/>
      <c r="BC25" s="1882" t="inlineStr">
        <is>
          <t>Year 3</t>
        </is>
      </c>
      <c r="BQ25" s="649" t="n"/>
      <c r="BR25" s="1882" t="inlineStr">
        <is>
          <t>Year 4</t>
        </is>
      </c>
      <c r="CF25" s="383" t="n"/>
      <c r="CG25" s="1882" t="inlineStr">
        <is>
          <t>Year 5</t>
        </is>
      </c>
      <c r="CU25" s="383" t="n"/>
      <c r="CV25" s="1882" t="inlineStr">
        <is>
          <t>Year 6</t>
        </is>
      </c>
      <c r="CZ25" s="383" t="n"/>
      <c r="DA25" s="383" t="n"/>
      <c r="DB25" s="383" t="n"/>
      <c r="DC25" s="383" t="n"/>
    </row>
    <row r="26" ht="3" customHeight="1" s="1883">
      <c r="B26" s="383" t="n"/>
      <c r="C26" s="383" t="n"/>
      <c r="D26" s="383" t="n"/>
      <c r="E26" s="383" t="n"/>
      <c r="F26" s="383" t="n"/>
      <c r="G26" s="383" t="n"/>
      <c r="H26" s="383" t="n"/>
      <c r="I26" s="383" t="n"/>
      <c r="J26" s="387" t="n"/>
      <c r="K26" s="387" t="n"/>
      <c r="L26" s="387" t="n"/>
      <c r="M26" s="387" t="n"/>
      <c r="N26" s="387" t="n"/>
      <c r="O26" s="387" t="n"/>
      <c r="P26" s="387" t="n"/>
      <c r="Q26" s="387" t="n"/>
      <c r="R26" s="387" t="n"/>
      <c r="S26" s="387" t="n"/>
      <c r="T26" s="387" t="n"/>
      <c r="U26" s="387" t="n"/>
      <c r="V26" s="387" t="n"/>
      <c r="W26" s="387" t="n"/>
      <c r="X26" s="383" t="n"/>
      <c r="Y26" s="387" t="n"/>
      <c r="Z26" s="387" t="n"/>
      <c r="AA26" s="387" t="n"/>
      <c r="AB26" s="387" t="n"/>
      <c r="AC26" s="387" t="n"/>
      <c r="AD26" s="387" t="n"/>
      <c r="AE26" s="387" t="n"/>
      <c r="AF26" s="387" t="n"/>
      <c r="AG26" s="387" t="n"/>
      <c r="AH26" s="387" t="n"/>
      <c r="AI26" s="387" t="n"/>
      <c r="AJ26" s="387" t="n"/>
      <c r="AK26" s="387" t="n"/>
      <c r="AL26" s="387" t="n"/>
      <c r="AM26" s="383" t="n"/>
      <c r="AN26" s="387" t="n"/>
      <c r="AO26" s="387" t="n"/>
      <c r="AP26" s="387" t="n"/>
      <c r="AQ26" s="387" t="n"/>
      <c r="AR26" s="387" t="n"/>
      <c r="AS26" s="387" t="n"/>
      <c r="AT26" s="387" t="n"/>
      <c r="AU26" s="387" t="n"/>
      <c r="AV26" s="387" t="n"/>
      <c r="AW26" s="387" t="n"/>
      <c r="AX26" s="387" t="n"/>
      <c r="AY26" s="387" t="n"/>
      <c r="AZ26" s="387" t="n"/>
      <c r="BA26" s="387" t="n"/>
      <c r="BB26" s="383" t="n"/>
      <c r="BC26" s="387" t="n"/>
      <c r="BD26" s="387" t="n"/>
      <c r="BE26" s="387" t="n"/>
      <c r="BF26" s="387" t="n"/>
      <c r="BG26" s="387" t="n"/>
      <c r="BH26" s="387" t="n"/>
      <c r="BI26" s="387" t="n"/>
      <c r="BJ26" s="387" t="n"/>
      <c r="BK26" s="387" t="n"/>
      <c r="BL26" s="387" t="n"/>
      <c r="BM26" s="387" t="n"/>
      <c r="BN26" s="387" t="n"/>
      <c r="BO26" s="387" t="n"/>
      <c r="BP26" s="387" t="n"/>
      <c r="BQ26" s="1910" t="n"/>
      <c r="BR26" s="387" t="n"/>
      <c r="BS26" s="387" t="n"/>
      <c r="BT26" s="387" t="n"/>
      <c r="BU26" s="387" t="n"/>
      <c r="BV26" s="387" t="n"/>
      <c r="BW26" s="387" t="n"/>
      <c r="BX26" s="387" t="n"/>
      <c r="BY26" s="387" t="n"/>
      <c r="BZ26" s="387" t="n"/>
      <c r="CA26" s="387" t="n"/>
      <c r="CB26" s="387" t="n"/>
      <c r="CC26" s="387" t="n"/>
      <c r="CD26" s="387" t="n"/>
      <c r="CE26" s="387" t="n"/>
      <c r="CF26" s="383" t="n"/>
      <c r="CG26" s="387" t="n"/>
      <c r="CH26" s="387" t="n"/>
      <c r="CI26" s="387" t="n"/>
      <c r="CJ26" s="387" t="n"/>
      <c r="CK26" s="387" t="n"/>
      <c r="CL26" s="387" t="n"/>
      <c r="CM26" s="387" t="n"/>
      <c r="CN26" s="387" t="n"/>
      <c r="CO26" s="387" t="n"/>
      <c r="CP26" s="387" t="n"/>
      <c r="CQ26" s="387" t="n"/>
      <c r="CR26" s="387" t="n"/>
      <c r="CS26" s="387" t="n"/>
      <c r="CT26" s="387" t="n"/>
      <c r="CU26" s="383" t="n"/>
      <c r="CV26" s="387" t="n"/>
      <c r="CW26" s="387" t="n"/>
      <c r="CX26" s="387" t="n"/>
      <c r="CY26" s="387" t="n"/>
      <c r="CZ26" s="387" t="n"/>
      <c r="DA26" s="387" t="n"/>
      <c r="DB26" s="387" t="n"/>
      <c r="DC26" s="387" t="n"/>
    </row>
    <row r="27" ht="3" customHeight="1" s="1883">
      <c r="B27" s="383" t="n"/>
      <c r="C27" s="383" t="n"/>
      <c r="D27" s="383" t="n"/>
      <c r="E27" s="383" t="n"/>
      <c r="F27" s="383" t="n"/>
      <c r="G27" s="383" t="n"/>
      <c r="H27" s="383" t="n"/>
      <c r="I27" s="383" t="n"/>
      <c r="J27" s="383" t="n"/>
      <c r="K27" s="383" t="n"/>
      <c r="L27" s="383" t="n"/>
      <c r="M27" s="383" t="n"/>
      <c r="N27" s="383" t="n"/>
      <c r="O27" s="383" t="n"/>
      <c r="P27" s="383" t="n"/>
      <c r="Q27" s="383" t="n"/>
      <c r="R27" s="383" t="n"/>
      <c r="S27" s="383" t="n"/>
      <c r="T27" s="383" t="n"/>
      <c r="U27" s="383" t="n"/>
      <c r="V27" s="383" t="n"/>
      <c r="W27" s="383" t="n"/>
      <c r="X27" s="383" t="n"/>
      <c r="Y27" s="383" t="n"/>
      <c r="Z27" s="383" t="n"/>
      <c r="AA27" s="383" t="n"/>
      <c r="AB27" s="383" t="n"/>
      <c r="AC27" s="383" t="n"/>
      <c r="AD27" s="383" t="n"/>
      <c r="AE27" s="383" t="n"/>
      <c r="AF27" s="383" t="n"/>
      <c r="AG27" s="383" t="n"/>
      <c r="AH27" s="383" t="n"/>
      <c r="AI27" s="383" t="n"/>
      <c r="AJ27" s="383" t="n"/>
      <c r="AK27" s="383" t="n"/>
      <c r="AL27" s="383" t="n"/>
      <c r="AM27" s="383" t="n"/>
      <c r="AN27" s="383" t="n"/>
      <c r="AO27" s="383" t="n"/>
      <c r="AP27" s="383" t="n"/>
      <c r="AQ27" s="383" t="n"/>
      <c r="AR27" s="383" t="n"/>
      <c r="AS27" s="383" t="n"/>
      <c r="AT27" s="383" t="n"/>
      <c r="AU27" s="383" t="n"/>
      <c r="AV27" s="383" t="n"/>
      <c r="AW27" s="383" t="n"/>
      <c r="AX27" s="383" t="n"/>
      <c r="AY27" s="383" t="n"/>
      <c r="AZ27" s="383" t="n"/>
      <c r="BA27" s="383" t="n"/>
      <c r="BB27" s="383" t="n"/>
      <c r="BC27" s="383" t="n"/>
      <c r="BD27" s="383" t="n"/>
      <c r="BE27" s="383" t="n"/>
      <c r="BF27" s="383" t="n"/>
      <c r="BG27" s="383" t="n"/>
      <c r="BH27" s="383" t="n"/>
      <c r="BI27" s="383" t="n"/>
      <c r="BJ27" s="383" t="n"/>
      <c r="BK27" s="383" t="n"/>
      <c r="BL27" s="383" t="n"/>
      <c r="BM27" s="383" t="n"/>
      <c r="BN27" s="1910" t="n"/>
      <c r="BO27" s="1910" t="n"/>
      <c r="BP27" s="1910" t="n"/>
      <c r="BQ27" s="1910" t="n"/>
      <c r="BR27" s="383" t="n"/>
      <c r="BS27" s="383" t="n"/>
      <c r="BT27" s="383" t="n"/>
      <c r="BU27" s="383" t="n"/>
      <c r="BV27" s="383" t="n"/>
      <c r="BW27" s="383" t="n"/>
      <c r="BX27" s="383" t="n"/>
      <c r="BY27" s="383" t="n"/>
      <c r="BZ27" s="383" t="n"/>
      <c r="CA27" s="383" t="n"/>
      <c r="CB27" s="383" t="n"/>
      <c r="CC27" s="1910" t="n"/>
      <c r="CD27" s="1910" t="n"/>
      <c r="CE27" s="1910" t="n"/>
      <c r="CF27" s="383" t="n"/>
      <c r="CG27" s="383" t="n"/>
      <c r="CH27" s="383" t="n"/>
      <c r="CI27" s="383" t="n"/>
      <c r="CJ27" s="383" t="n"/>
      <c r="CK27" s="383" t="n"/>
      <c r="CL27" s="383" t="n"/>
      <c r="CM27" s="383" t="n"/>
      <c r="CN27" s="383" t="n"/>
      <c r="CO27" s="383" t="n"/>
      <c r="CP27" s="383" t="n"/>
      <c r="CQ27" s="383" t="n"/>
      <c r="CR27" s="1910" t="n"/>
      <c r="CS27" s="1910" t="n"/>
      <c r="CT27" s="1910" t="n"/>
      <c r="CU27" s="383" t="n"/>
      <c r="CV27" s="383" t="n"/>
      <c r="CW27" s="383" t="n"/>
      <c r="CX27" s="383" t="n"/>
      <c r="CY27" s="383" t="n"/>
      <c r="CZ27" s="383" t="n"/>
      <c r="DA27" s="383" t="n"/>
      <c r="DB27" s="383" t="n"/>
      <c r="DC27" s="383" t="n"/>
    </row>
    <row r="28" ht="15" customHeight="1" s="1883">
      <c r="B28" s="383" t="n"/>
      <c r="C28" s="383" t="n"/>
      <c r="D28" s="383" t="n"/>
      <c r="E28" s="383" t="n"/>
      <c r="F28" s="383" t="n"/>
      <c r="G28" s="383" t="n"/>
      <c r="H28" s="383" t="n"/>
      <c r="I28" s="383" t="n"/>
      <c r="J28" s="383" t="n"/>
      <c r="K28" s="383" t="n"/>
      <c r="L28" s="383" t="n"/>
      <c r="M28" s="383" t="n"/>
      <c r="N28" s="383" t="n"/>
      <c r="O28" s="383" t="n"/>
      <c r="P28" s="383" t="n"/>
      <c r="Q28" s="383" t="n"/>
      <c r="R28" s="383" t="n"/>
      <c r="S28" s="383" t="n"/>
      <c r="T28" s="383" t="n"/>
      <c r="U28" s="383" t="n"/>
      <c r="V28" s="383" t="n"/>
      <c r="W28" s="383" t="n"/>
      <c r="X28" s="383" t="n"/>
      <c r="Y28" s="383" t="n"/>
      <c r="Z28" s="383" t="n"/>
      <c r="AA28" s="383" t="n"/>
      <c r="AB28" s="383" t="n"/>
      <c r="AC28" s="383" t="n"/>
      <c r="AD28" s="383" t="n"/>
      <c r="AE28" s="383" t="n"/>
      <c r="AF28" s="383" t="n"/>
      <c r="AG28" s="383" t="n"/>
      <c r="AH28" s="383" t="n"/>
      <c r="AI28" s="383" t="n"/>
      <c r="AJ28" s="383" t="n"/>
      <c r="AK28" s="383" t="n"/>
      <c r="AL28" s="383" t="n"/>
      <c r="AM28" s="383" t="n"/>
      <c r="AN28" s="383" t="n"/>
      <c r="AO28" s="383" t="n"/>
      <c r="AP28" s="383" t="n"/>
      <c r="AQ28" s="383" t="n"/>
      <c r="AR28" s="383" t="n"/>
      <c r="AS28" s="383" t="n"/>
      <c r="AT28" s="383" t="n"/>
      <c r="AU28" s="383" t="n"/>
      <c r="AV28" s="383" t="n"/>
      <c r="AW28" s="383" t="n"/>
      <c r="AX28" s="383" t="n"/>
      <c r="AY28" s="383" t="n"/>
      <c r="AZ28" s="383" t="n"/>
      <c r="BA28" s="383" t="n"/>
      <c r="BB28" s="383" t="n"/>
      <c r="BC28" s="383" t="n"/>
      <c r="BD28" s="383" t="n"/>
      <c r="BE28" s="383" t="n"/>
      <c r="BF28" s="383" t="n"/>
      <c r="BG28" s="383" t="n"/>
      <c r="BH28" s="383" t="n"/>
      <c r="BI28" s="383" t="n"/>
      <c r="BJ28" s="383" t="n"/>
      <c r="BK28" s="383" t="n"/>
      <c r="BL28" s="383" t="n"/>
      <c r="BM28" s="383" t="n"/>
      <c r="BN28" s="1910" t="n"/>
      <c r="BO28" s="1910" t="n"/>
      <c r="BP28" s="1910" t="n"/>
      <c r="BQ28" s="1910" t="n"/>
      <c r="BR28" s="383" t="n"/>
      <c r="BS28" s="383" t="n"/>
      <c r="BT28" s="383" t="n"/>
      <c r="BU28" s="383" t="n"/>
      <c r="BV28" s="383" t="n"/>
      <c r="BW28" s="383" t="n"/>
      <c r="BX28" s="383" t="n"/>
      <c r="BY28" s="383" t="n"/>
      <c r="BZ28" s="383" t="n"/>
      <c r="CA28" s="383" t="n"/>
      <c r="CB28" s="383" t="n"/>
      <c r="CC28" s="1910" t="n"/>
      <c r="CD28" s="1910" t="n"/>
      <c r="CE28" s="1910" t="n"/>
      <c r="CF28" s="383" t="n"/>
      <c r="CG28" s="383" t="n"/>
      <c r="CH28" s="383" t="n"/>
      <c r="CI28" s="383" t="n"/>
      <c r="CJ28" s="383" t="n"/>
      <c r="CK28" s="383" t="n"/>
      <c r="CL28" s="383" t="n"/>
      <c r="CM28" s="383" t="n"/>
      <c r="CN28" s="383" t="n"/>
      <c r="CO28" s="383" t="n"/>
      <c r="CP28" s="383" t="n"/>
      <c r="CQ28" s="383" t="n"/>
      <c r="CR28" s="1910" t="n"/>
      <c r="CS28" s="1910" t="n"/>
      <c r="CT28" s="1910" t="n"/>
      <c r="CU28" s="383" t="n"/>
      <c r="CV28" s="383" t="n"/>
      <c r="CW28" s="383" t="n"/>
      <c r="CX28" s="383" t="n"/>
      <c r="CY28" s="383" t="n"/>
      <c r="CZ28" s="383" t="n"/>
      <c r="DA28" s="383" t="n"/>
      <c r="DB28" s="383" t="n"/>
      <c r="DC28" s="383" t="n"/>
    </row>
    <row r="29" ht="15" customHeight="1" s="1883">
      <c r="B29" s="383" t="n"/>
      <c r="D29" s="385" t="inlineStr">
        <is>
          <t>Month of Sale to Customers</t>
        </is>
      </c>
      <c r="E29" s="383" t="n"/>
      <c r="F29" s="383" t="n"/>
      <c r="G29" s="383" t="n"/>
      <c r="H29" s="383" t="n"/>
      <c r="I29" s="383" t="n"/>
      <c r="J29" s="386" t="n">
        <v>-12</v>
      </c>
      <c r="K29" s="386" t="n">
        <v>-11</v>
      </c>
      <c r="L29" s="386" t="n">
        <v>-10</v>
      </c>
      <c r="M29" s="386" t="n">
        <v>-9</v>
      </c>
      <c r="N29" s="386">
        <f>((M29)+(1))</f>
        <v/>
      </c>
      <c r="O29" s="386">
        <f>((N29)+(1))</f>
        <v/>
      </c>
      <c r="P29" s="386">
        <f>((O29)+(1))</f>
        <v/>
      </c>
      <c r="Q29" s="386">
        <f>((P29)+(1))</f>
        <v/>
      </c>
      <c r="R29" s="386">
        <f>((Q29)+(1))</f>
        <v/>
      </c>
      <c r="S29" s="386">
        <f>((R29)+(1))</f>
        <v/>
      </c>
      <c r="T29" s="386">
        <f>((S29)+(1))</f>
        <v/>
      </c>
      <c r="U29" s="386">
        <f>((T29)+(1))</f>
        <v/>
      </c>
      <c r="V29" s="386" t="n"/>
      <c r="W29" s="117" t="inlineStr">
        <is>
          <t>∑, -12 to -1</t>
        </is>
      </c>
      <c r="X29" s="386" t="n"/>
      <c r="Y29" s="386" t="n">
        <v>1</v>
      </c>
      <c r="Z29" s="386">
        <f>((Y29)+(1))</f>
        <v/>
      </c>
      <c r="AA29" s="386">
        <f>((Z29)+(1))</f>
        <v/>
      </c>
      <c r="AB29" s="386">
        <f>((AA29)+(1))</f>
        <v/>
      </c>
      <c r="AC29" s="386">
        <f>((AB29)+(1))</f>
        <v/>
      </c>
      <c r="AD29" s="386">
        <f>((AC29)+(1))</f>
        <v/>
      </c>
      <c r="AE29" s="386">
        <f>((AD29)+(1))</f>
        <v/>
      </c>
      <c r="AF29" s="386">
        <f>((AE29)+(1))</f>
        <v/>
      </c>
      <c r="AG29" s="386">
        <f>((AF29)+(1))</f>
        <v/>
      </c>
      <c r="AH29" s="386">
        <f>((AG29)+(1))</f>
        <v/>
      </c>
      <c r="AI29" s="386">
        <f>((AH29)+(1))</f>
        <v/>
      </c>
      <c r="AJ29" s="386">
        <f>((AI29)+(1))</f>
        <v/>
      </c>
      <c r="AK29" s="386" t="n"/>
      <c r="AL29" s="117" t="inlineStr">
        <is>
          <t xml:space="preserve">∑, 1 - 12 </t>
        </is>
      </c>
      <c r="AM29" s="386" t="n"/>
      <c r="AN29" s="386">
        <f>((AJ29)+(1))</f>
        <v/>
      </c>
      <c r="AO29" s="386">
        <f>((AN29)+(1))</f>
        <v/>
      </c>
      <c r="AP29" s="386">
        <f>((AO29)+(1))</f>
        <v/>
      </c>
      <c r="AQ29" s="386">
        <f>((AP29)+(1))</f>
        <v/>
      </c>
      <c r="AR29" s="386">
        <f>((AQ29)+(1))</f>
        <v/>
      </c>
      <c r="AS29" s="386">
        <f>((AR29)+(1))</f>
        <v/>
      </c>
      <c r="AT29" s="386">
        <f>((AS29)+(1))</f>
        <v/>
      </c>
      <c r="AU29" s="386">
        <f>((AT29)+(1))</f>
        <v/>
      </c>
      <c r="AV29" s="386">
        <f>((AU29)+(1))</f>
        <v/>
      </c>
      <c r="AW29" s="386">
        <f>((AV29)+(1))</f>
        <v/>
      </c>
      <c r="AX29" s="386">
        <f>((AW29)+(1))</f>
        <v/>
      </c>
      <c r="AY29" s="386">
        <f>((AX29)+(1))</f>
        <v/>
      </c>
      <c r="AZ29" s="386" t="n"/>
      <c r="BA29" s="117" t="inlineStr">
        <is>
          <t>∑, 13 - 24</t>
        </is>
      </c>
      <c r="BB29" s="386" t="n"/>
      <c r="BC29" s="386">
        <f>((AY29)+(1))</f>
        <v/>
      </c>
      <c r="BD29" s="386">
        <f>((BC29)+(1))</f>
        <v/>
      </c>
      <c r="BE29" s="386">
        <f>((BD29)+(1))</f>
        <v/>
      </c>
      <c r="BF29" s="386">
        <f>((BE29)+(1))</f>
        <v/>
      </c>
      <c r="BG29" s="386">
        <f>((BF29)+(1))</f>
        <v/>
      </c>
      <c r="BH29" s="386">
        <f>((BG29)+(1))</f>
        <v/>
      </c>
      <c r="BI29" s="386">
        <f>((BH29)+(1))</f>
        <v/>
      </c>
      <c r="BJ29" s="386">
        <f>((BI29)+(1))</f>
        <v/>
      </c>
      <c r="BK29" s="386">
        <f>((BJ29)+(1))</f>
        <v/>
      </c>
      <c r="BL29" s="386">
        <f>((BK29)+(1))</f>
        <v/>
      </c>
      <c r="BM29" s="386">
        <f>((BL29)+(1))</f>
        <v/>
      </c>
      <c r="BN29" s="386">
        <f>((BM29)+(1))</f>
        <v/>
      </c>
      <c r="BO29" s="386" t="n"/>
      <c r="BP29" s="117" t="inlineStr">
        <is>
          <t>∑, 25 - 36</t>
        </is>
      </c>
      <c r="BQ29" s="386" t="n"/>
      <c r="BR29" s="386">
        <f>((BN29)+(1))</f>
        <v/>
      </c>
      <c r="BS29" s="386">
        <f>((BR29)+(1))</f>
        <v/>
      </c>
      <c r="BT29" s="386">
        <f>((BS29)+(1))</f>
        <v/>
      </c>
      <c r="BU29" s="386">
        <f>((BT29)+(1))</f>
        <v/>
      </c>
      <c r="BV29" s="386">
        <f>((BU29)+(1))</f>
        <v/>
      </c>
      <c r="BW29" s="386">
        <f>((BV29)+(1))</f>
        <v/>
      </c>
      <c r="BX29" s="386">
        <f>((BW29)+(1))</f>
        <v/>
      </c>
      <c r="BY29" s="386">
        <f>((BX29)+(1))</f>
        <v/>
      </c>
      <c r="BZ29" s="386">
        <f>((BY29)+(1))</f>
        <v/>
      </c>
      <c r="CA29" s="386">
        <f>((BZ29)+(1))</f>
        <v/>
      </c>
      <c r="CB29" s="386">
        <f>((CA29)+(1))</f>
        <v/>
      </c>
      <c r="CC29" s="386">
        <f>((CB29)+(1))</f>
        <v/>
      </c>
      <c r="CD29" s="386" t="n"/>
      <c r="CE29" s="117" t="inlineStr">
        <is>
          <t>∑, 37 - 48</t>
        </is>
      </c>
      <c r="CF29" s="386" t="n"/>
      <c r="CG29" s="386">
        <f>((CC29)+(1))</f>
        <v/>
      </c>
      <c r="CH29" s="386">
        <f>((CG29)+(1))</f>
        <v/>
      </c>
      <c r="CI29" s="386">
        <f>((CH29)+(1))</f>
        <v/>
      </c>
      <c r="CJ29" s="386">
        <f>((CI29)+(1))</f>
        <v/>
      </c>
      <c r="CK29" s="386">
        <f>((CJ29)+(1))</f>
        <v/>
      </c>
      <c r="CL29" s="386">
        <f>((CK29)+(1))</f>
        <v/>
      </c>
      <c r="CM29" s="386">
        <f>((CL29)+(1))</f>
        <v/>
      </c>
      <c r="CN29" s="386">
        <f>((CM29)+(1))</f>
        <v/>
      </c>
      <c r="CO29" s="386">
        <f>((CN29)+(1))</f>
        <v/>
      </c>
      <c r="CP29" s="386">
        <f>((CO29)+(1))</f>
        <v/>
      </c>
      <c r="CQ29" s="386">
        <f>((CP29)+(1))</f>
        <v/>
      </c>
      <c r="CR29" s="386">
        <f>((CQ29)+(1))</f>
        <v/>
      </c>
      <c r="CS29" s="383" t="n"/>
      <c r="CT29" s="117" t="inlineStr">
        <is>
          <t>∑, 49 - 60</t>
        </is>
      </c>
      <c r="CU29" s="383" t="n"/>
      <c r="CV29" s="386">
        <f>((CR29)+(1))</f>
        <v/>
      </c>
      <c r="CW29" s="386">
        <f>((CV29)+(1))</f>
        <v/>
      </c>
      <c r="CX29" s="386">
        <f>((CW29)+(1))</f>
        <v/>
      </c>
      <c r="CY29" s="386">
        <f>((CX29)+(1))</f>
        <v/>
      </c>
      <c r="CZ29" s="386">
        <f>((CY29)+(1))</f>
        <v/>
      </c>
      <c r="DA29" s="386">
        <f>((CZ29)+(1))</f>
        <v/>
      </c>
      <c r="DB29" s="386">
        <f>((DA29)+(1))</f>
        <v/>
      </c>
      <c r="DC29" s="386">
        <f>((DB29)+(1))</f>
        <v/>
      </c>
      <c r="DD29" s="386">
        <f>((DC29)+(1))</f>
        <v/>
      </c>
      <c r="DE29" s="386">
        <f>((DD29)+(1))</f>
        <v/>
      </c>
      <c r="DF29" s="386">
        <f>((DE29)+(1))</f>
        <v/>
      </c>
      <c r="DG29" s="386">
        <f>((DF29)+(1))</f>
        <v/>
      </c>
      <c r="DI29" s="117" t="inlineStr">
        <is>
          <t>∑, 61 - 72</t>
        </is>
      </c>
    </row>
    <row r="30" ht="15" customHeight="1" s="1883">
      <c r="B30" s="383" t="n"/>
      <c r="C30" s="383" t="n"/>
      <c r="D30" s="383" t="n"/>
      <c r="E30" s="383" t="n"/>
      <c r="F30" s="383" t="n"/>
      <c r="G30" s="383" t="n"/>
      <c r="H30" s="383" t="n"/>
      <c r="I30" s="383" t="n"/>
      <c r="J30" s="383" t="n"/>
      <c r="K30" s="383" t="n"/>
      <c r="L30" s="383" t="n"/>
      <c r="M30" s="383" t="n"/>
      <c r="N30" s="383" t="n"/>
      <c r="O30" s="383" t="n"/>
      <c r="P30" s="383" t="n"/>
      <c r="Q30" s="383" t="n"/>
      <c r="R30" s="383" t="n"/>
      <c r="S30" s="383" t="n"/>
      <c r="T30" s="383" t="n"/>
      <c r="U30" s="383" t="n"/>
      <c r="V30" s="383" t="n"/>
      <c r="W30" s="383" t="n"/>
      <c r="X30" s="383" t="n"/>
      <c r="Y30" s="383" t="n"/>
      <c r="Z30" s="383" t="n"/>
      <c r="AA30" s="383" t="n"/>
      <c r="AB30" s="383" t="n"/>
      <c r="AC30" s="383" t="n"/>
      <c r="AD30" s="383" t="n"/>
      <c r="AE30" s="383" t="n"/>
      <c r="AF30" s="383" t="n"/>
      <c r="AG30" s="383" t="n"/>
      <c r="AH30" s="383" t="n"/>
      <c r="AI30" s="383" t="n"/>
      <c r="AJ30" s="383" t="n"/>
      <c r="AK30" s="383" t="n"/>
      <c r="AL30" s="383" t="n"/>
      <c r="AM30" s="383" t="n"/>
      <c r="AN30" s="383" t="n"/>
      <c r="AO30" s="383" t="n"/>
      <c r="AP30" s="383" t="n"/>
      <c r="AQ30" s="383" t="n"/>
      <c r="AR30" s="383" t="n"/>
      <c r="AS30" s="383" t="n"/>
      <c r="AT30" s="383" t="n"/>
      <c r="AU30" s="383" t="n"/>
      <c r="AV30" s="383" t="n"/>
      <c r="AW30" s="383" t="n"/>
      <c r="AX30" s="383" t="n"/>
      <c r="AY30" s="383" t="n"/>
      <c r="AZ30" s="383" t="n"/>
      <c r="BA30" s="383" t="n"/>
      <c r="BB30" s="383" t="n"/>
      <c r="BC30" s="383" t="n"/>
      <c r="BD30" s="383" t="n"/>
      <c r="BE30" s="383" t="n"/>
      <c r="BF30" s="383" t="n"/>
      <c r="BG30" s="383" t="n"/>
      <c r="BH30" s="383" t="n"/>
      <c r="BI30" s="383" t="n"/>
      <c r="BJ30" s="383" t="n"/>
      <c r="BK30" s="383" t="n"/>
      <c r="BL30" s="383" t="n"/>
      <c r="BM30" s="383" t="n"/>
      <c r="BN30" s="383" t="n"/>
      <c r="BO30" s="383" t="n"/>
      <c r="BP30" s="383" t="n"/>
      <c r="BQ30" s="383" t="n"/>
      <c r="BR30" s="383" t="n"/>
      <c r="BS30" s="383" t="n"/>
      <c r="BT30" s="383" t="n"/>
      <c r="BU30" s="383" t="n"/>
      <c r="BV30" s="383" t="n"/>
      <c r="BW30" s="383" t="n"/>
      <c r="BX30" s="383" t="n"/>
      <c r="BY30" s="383" t="n"/>
      <c r="BZ30" s="383" t="n"/>
      <c r="CA30" s="383" t="n"/>
      <c r="CB30" s="383" t="n"/>
      <c r="CC30" s="383" t="n"/>
      <c r="CD30" s="383" t="n"/>
      <c r="CE30" s="383" t="n"/>
      <c r="CF30" s="383" t="n"/>
      <c r="CG30" s="383" t="n"/>
      <c r="CH30" s="383" t="n"/>
      <c r="CI30" s="383" t="n"/>
      <c r="CJ30" s="383" t="n"/>
      <c r="CK30" s="383" t="n"/>
      <c r="CL30" s="383" t="n"/>
      <c r="CM30" s="383" t="n"/>
      <c r="CN30" s="383" t="n"/>
      <c r="CO30" s="383" t="n"/>
      <c r="CP30" s="383" t="n"/>
      <c r="CQ30" s="383" t="n"/>
      <c r="CR30" s="383" t="n"/>
      <c r="CS30" s="383" t="n"/>
      <c r="CT30" s="383" t="n"/>
      <c r="CU30" s="383" t="n"/>
      <c r="CV30" s="383" t="n"/>
      <c r="CW30" s="383" t="n"/>
      <c r="CX30" s="383" t="n"/>
      <c r="CY30" s="383" t="n"/>
      <c r="CZ30" s="383" t="n"/>
      <c r="DA30" s="383" t="n"/>
      <c r="DB30" s="383" t="n"/>
      <c r="DC30" s="383" t="n"/>
    </row>
    <row r="31" ht="15" customHeight="1" s="1883">
      <c r="B31" s="383" t="n"/>
      <c r="D31" s="385" t="inlineStr">
        <is>
          <t>Units Sold, by Month</t>
        </is>
      </c>
      <c r="E31" s="383" t="n"/>
      <c r="F31" s="383" t="n"/>
      <c r="G31" s="383" t="n"/>
      <c r="H31" s="383" t="n"/>
      <c r="I31" s="383" t="n"/>
      <c r="J31" s="1899" t="inlineStr">
        <is>
          <t>Pre-Launch</t>
        </is>
      </c>
      <c r="X31" s="386" t="n"/>
      <c r="Y31" s="857">
        <f>(('3B. Tel. - Rev. Detail x Month'!J51)+('3B. Tel. - Rev. Detail x Month'!J67))</f>
        <v/>
      </c>
      <c r="Z31" s="858">
        <f>(('3B. Tel. - Rev. Detail x Month'!K51)+('3B. Tel. - Rev. Detail x Month'!K67))</f>
        <v/>
      </c>
      <c r="AA31" s="859">
        <f>(('3B. Tel. - Rev. Detail x Month'!L51)+('3B. Tel. - Rev. Detail x Month'!L67))</f>
        <v/>
      </c>
      <c r="AB31" s="860">
        <f>(('3B. Tel. - Rev. Detail x Month'!M51)+('3B. Tel. - Rev. Detail x Month'!M67))</f>
        <v/>
      </c>
      <c r="AC31" s="861">
        <f>(('3B. Tel. - Rev. Detail x Month'!N51)+('3B. Tel. - Rev. Detail x Month'!N67))</f>
        <v/>
      </c>
      <c r="AD31" s="862">
        <f>(('3B. Tel. - Rev. Detail x Month'!O51)+('3B. Tel. - Rev. Detail x Month'!O67))</f>
        <v/>
      </c>
      <c r="AE31" s="863">
        <f>(('3B. Tel. - Rev. Detail x Month'!P51)+('3B. Tel. - Rev. Detail x Month'!P67))</f>
        <v/>
      </c>
      <c r="AF31" s="864">
        <f>(('3B. Tel. - Rev. Detail x Month'!Q51)+('3B. Tel. - Rev. Detail x Month'!Q67))</f>
        <v/>
      </c>
      <c r="AG31" s="865">
        <f>(('3B. Tel. - Rev. Detail x Month'!R51)+('3B. Tel. - Rev. Detail x Month'!R67))</f>
        <v/>
      </c>
      <c r="AH31" s="866">
        <f>(('3B. Tel. - Rev. Detail x Month'!S51)+('3B. Tel. - Rev. Detail x Month'!S67))</f>
        <v/>
      </c>
      <c r="AI31" s="867">
        <f>(('3B. Tel. - Rev. Detail x Month'!T51)+('3B. Tel. - Rev. Detail x Month'!T67))</f>
        <v/>
      </c>
      <c r="AJ31" s="868">
        <f>(('3B. Tel. - Rev. Detail x Month'!Q51)+('3B. Tel. - Rev. Detail x Month'!Q67))</f>
        <v/>
      </c>
      <c r="AK31" s="391" t="n"/>
      <c r="AL31" s="494">
        <f>SUM(T31:AJ31)</f>
        <v/>
      </c>
      <c r="AM31" s="391" t="n"/>
      <c r="AN31" s="857">
        <f>(('3B. Tel. - Rev. Detail x Month'!J89)+('3B. Tel. - Rev. Detail x Month'!J105))</f>
        <v/>
      </c>
      <c r="AO31" s="858">
        <f>(('3B. Tel. - Rev. Detail x Month'!K89)+('3B. Tel. - Rev. Detail x Month'!K105))</f>
        <v/>
      </c>
      <c r="AP31" s="859">
        <f>(('3B. Tel. - Rev. Detail x Month'!L89)+('3B. Tel. - Rev. Detail x Month'!L105))</f>
        <v/>
      </c>
      <c r="AQ31" s="860">
        <f>(('3B. Tel. - Rev. Detail x Month'!M89)+('3B. Tel. - Rev. Detail x Month'!M105))</f>
        <v/>
      </c>
      <c r="AR31" s="861">
        <f>(('3B. Tel. - Rev. Detail x Month'!N89)+('3B. Tel. - Rev. Detail x Month'!N105))</f>
        <v/>
      </c>
      <c r="AS31" s="862">
        <f>(('3B. Tel. - Rev. Detail x Month'!O89)+('3B. Tel. - Rev. Detail x Month'!O105))</f>
        <v/>
      </c>
      <c r="AT31" s="863">
        <f>(('3B. Tel. - Rev. Detail x Month'!P89)+('3B. Tel. - Rev. Detail x Month'!P105))</f>
        <v/>
      </c>
      <c r="AU31" s="864">
        <f>(('3B. Tel. - Rev. Detail x Month'!Q89)+('3B. Tel. - Rev. Detail x Month'!Q105))</f>
        <v/>
      </c>
      <c r="AV31" s="865">
        <f>(('3B. Tel. - Rev. Detail x Month'!R89)+('3B. Tel. - Rev. Detail x Month'!R105))</f>
        <v/>
      </c>
      <c r="AW31" s="866">
        <f>(('3B. Tel. - Rev. Detail x Month'!S89)+('3B. Tel. - Rev. Detail x Month'!S105))</f>
        <v/>
      </c>
      <c r="AX31" s="867">
        <f>(('3B. Tel. - Rev. Detail x Month'!T89)+('3B. Tel. - Rev. Detail x Month'!T105))</f>
        <v/>
      </c>
      <c r="AY31" s="868">
        <f>(('3B. Tel. - Rev. Detail x Month'!U89)+('3B. Tel. - Rev. Detail x Month'!U105))</f>
        <v/>
      </c>
      <c r="AZ31" s="391" t="n"/>
      <c r="BA31" s="494">
        <f>SUM(AN31:AY31)</f>
        <v/>
      </c>
      <c r="BB31" s="391" t="n"/>
      <c r="BC31" s="857">
        <f>(('3B. Tel. - Rev. Detail x Month'!J127)+('3B. Tel. - Rev. Detail x Month'!J143))</f>
        <v/>
      </c>
      <c r="BD31" s="858">
        <f>(('3B. Tel. - Rev. Detail x Month'!K127)+('3B. Tel. - Rev. Detail x Month'!K143))</f>
        <v/>
      </c>
      <c r="BE31" s="859">
        <f>(('3B. Tel. - Rev. Detail x Month'!L127)+('3B. Tel. - Rev. Detail x Month'!L143))</f>
        <v/>
      </c>
      <c r="BF31" s="860">
        <f>(('3B. Tel. - Rev. Detail x Month'!M127)+('3B. Tel. - Rev. Detail x Month'!M143))</f>
        <v/>
      </c>
      <c r="BG31" s="861">
        <f>(('3B. Tel. - Rev. Detail x Month'!N127)+('3B. Tel. - Rev. Detail x Month'!N143))</f>
        <v/>
      </c>
      <c r="BH31" s="862">
        <f>(('3B. Tel. - Rev. Detail x Month'!O127)+('3B. Tel. - Rev. Detail x Month'!O143))</f>
        <v/>
      </c>
      <c r="BI31" s="863">
        <f>(('3B. Tel. - Rev. Detail x Month'!P127)+('3B. Tel. - Rev. Detail x Month'!P143))</f>
        <v/>
      </c>
      <c r="BJ31" s="864">
        <f>(('3B. Tel. - Rev. Detail x Month'!Q127)+('3B. Tel. - Rev. Detail x Month'!Q143))</f>
        <v/>
      </c>
      <c r="BK31" s="865">
        <f>(('3B. Tel. - Rev. Detail x Month'!R127)+('3B. Tel. - Rev. Detail x Month'!R143))</f>
        <v/>
      </c>
      <c r="BL31" s="866">
        <f>(('3B. Tel. - Rev. Detail x Month'!S127)+('3B. Tel. - Rev. Detail x Month'!S143))</f>
        <v/>
      </c>
      <c r="BM31" s="867">
        <f>(('3B. Tel. - Rev. Detail x Month'!T127)+('3B. Tel. - Rev. Detail x Month'!T143))</f>
        <v/>
      </c>
      <c r="BN31" s="868">
        <f>(('3B. Tel. - Rev. Detail x Month'!U127)+('3B. Tel. - Rev. Detail x Month'!U143))</f>
        <v/>
      </c>
      <c r="BO31" s="383" t="n"/>
      <c r="BP31" s="494">
        <f>SUM(BC31:BN31)</f>
        <v/>
      </c>
      <c r="BQ31" s="383" t="n"/>
      <c r="BR31" s="857">
        <f>(('3B. Tel. - Rev. Detail x Month'!J165)+('3B. Tel. - Rev. Detail x Month'!J181))</f>
        <v/>
      </c>
      <c r="BS31" s="858">
        <f>(('3B. Tel. - Rev. Detail x Month'!K165)+('3B. Tel. - Rev. Detail x Month'!K181))</f>
        <v/>
      </c>
      <c r="BT31" s="859">
        <f>(('3B. Tel. - Rev. Detail x Month'!L165)+('3B. Tel. - Rev. Detail x Month'!L181))</f>
        <v/>
      </c>
      <c r="BU31" s="860">
        <f>(('3B. Tel. - Rev. Detail x Month'!M165)+('3B. Tel. - Rev. Detail x Month'!M181))</f>
        <v/>
      </c>
      <c r="BV31" s="861">
        <f>(('3B. Tel. - Rev. Detail x Month'!N165)+('3B. Tel. - Rev. Detail x Month'!N181))</f>
        <v/>
      </c>
      <c r="BW31" s="862">
        <f>(('3B. Tel. - Rev. Detail x Month'!O165)+('3B. Tel. - Rev. Detail x Month'!O181))</f>
        <v/>
      </c>
      <c r="BX31" s="863">
        <f>(('3B. Tel. - Rev. Detail x Month'!P165)+('3B. Tel. - Rev. Detail x Month'!P181))</f>
        <v/>
      </c>
      <c r="BY31" s="864">
        <f>(('3B. Tel. - Rev. Detail x Month'!Q165)+('3B. Tel. - Rev. Detail x Month'!Q181))</f>
        <v/>
      </c>
      <c r="BZ31" s="865">
        <f>(('3B. Tel. - Rev. Detail x Month'!R165)+('3B. Tel. - Rev. Detail x Month'!R181))</f>
        <v/>
      </c>
      <c r="CA31" s="866">
        <f>(('3B. Tel. - Rev. Detail x Month'!S165)+('3B. Tel. - Rev. Detail x Month'!S181))</f>
        <v/>
      </c>
      <c r="CB31" s="867">
        <f>(('3B. Tel. - Rev. Detail x Month'!T165)+('3B. Tel. - Rev. Detail x Month'!T181))</f>
        <v/>
      </c>
      <c r="CC31" s="868">
        <f>(('3B. Tel. - Rev. Detail x Month'!U165)+('3B. Tel. - Rev. Detail x Month'!U181))</f>
        <v/>
      </c>
      <c r="CD31" s="383" t="n"/>
      <c r="CE31" s="494">
        <f>SUM(BR31:CC31)</f>
        <v/>
      </c>
      <c r="CF31" s="383" t="n"/>
      <c r="CG31" s="857">
        <f>(('3B. Tel. - Rev. Detail x Month'!J203)+('3B. Tel. - Rev. Detail x Month'!J219))</f>
        <v/>
      </c>
      <c r="CH31" s="858">
        <f>(('3B. Tel. - Rev. Detail x Month'!K203)+('3B. Tel. - Rev. Detail x Month'!K219))</f>
        <v/>
      </c>
      <c r="CI31" s="859">
        <f>(('3B. Tel. - Rev. Detail x Month'!L203)+('3B. Tel. - Rev. Detail x Month'!L219))</f>
        <v/>
      </c>
      <c r="CJ31" s="860">
        <f>(('3B. Tel. - Rev. Detail x Month'!M203)+('3B. Tel. - Rev. Detail x Month'!M219))</f>
        <v/>
      </c>
      <c r="CK31" s="861">
        <f>(('3B. Tel. - Rev. Detail x Month'!N203)+('3B. Tel. - Rev. Detail x Month'!N219))</f>
        <v/>
      </c>
      <c r="CL31" s="862">
        <f>(('3B. Tel. - Rev. Detail x Month'!O203)+('3B. Tel. - Rev. Detail x Month'!O219))</f>
        <v/>
      </c>
      <c r="CM31" s="863">
        <f>(('3B. Tel. - Rev. Detail x Month'!P203)+('3B. Tel. - Rev. Detail x Month'!P219))</f>
        <v/>
      </c>
      <c r="CN31" s="864">
        <f>(('3B. Tel. - Rev. Detail x Month'!Q203)+('3B. Tel. - Rev. Detail x Month'!Q219))</f>
        <v/>
      </c>
      <c r="CO31" s="865">
        <f>(('3B. Tel. - Rev. Detail x Month'!R203)+('3B. Tel. - Rev. Detail x Month'!R219))</f>
        <v/>
      </c>
      <c r="CP31" s="866">
        <f>(('3B. Tel. - Rev. Detail x Month'!S203)+('3B. Tel. - Rev. Detail x Month'!S219))</f>
        <v/>
      </c>
      <c r="CQ31" s="867">
        <f>(('3B. Tel. - Rev. Detail x Month'!T203)+('3B. Tel. - Rev. Detail x Month'!T219))</f>
        <v/>
      </c>
      <c r="CR31" s="868">
        <f>(('3B. Tel. - Rev. Detail x Month'!U203)+('3B. Tel. - Rev. Detail x Month'!U219))</f>
        <v/>
      </c>
      <c r="CS31" s="383" t="n"/>
      <c r="CT31" s="494">
        <f>SUM(CG31:CR31)</f>
        <v/>
      </c>
      <c r="CU31" s="383" t="n"/>
      <c r="CV31" s="857">
        <f>(('3B. Tel. - Rev. Detail x Month'!J241)+('3B. Tel. - Rev. Detail x Month'!J257))</f>
        <v/>
      </c>
      <c r="CW31" s="858">
        <f>(('3B. Tel. - Rev. Detail x Month'!K241)+('3B. Tel. - Rev. Detail x Month'!K257))</f>
        <v/>
      </c>
      <c r="CX31" s="859">
        <f>(('3B. Tel. - Rev. Detail x Month'!L241)+('3B. Tel. - Rev. Detail x Month'!L257))</f>
        <v/>
      </c>
      <c r="CY31" s="860">
        <f>(('3B. Tel. - Rev. Detail x Month'!M241)+('3B. Tel. - Rev. Detail x Month'!M257))</f>
        <v/>
      </c>
      <c r="CZ31" s="861">
        <f>(('3B. Tel. - Rev. Detail x Month'!N241)+('3B. Tel. - Rev. Detail x Month'!N257))</f>
        <v/>
      </c>
      <c r="DA31" s="862">
        <f>(('3B. Tel. - Rev. Detail x Month'!O241)+('3B. Tel. - Rev. Detail x Month'!O257))</f>
        <v/>
      </c>
      <c r="DB31" s="863">
        <f>(('3B. Tel. - Rev. Detail x Month'!P241)+('3B. Tel. - Rev. Detail x Month'!P257))</f>
        <v/>
      </c>
      <c r="DC31" s="864">
        <f>(('3B. Tel. - Rev. Detail x Month'!Q241)+('3B. Tel. - Rev. Detail x Month'!Q257))</f>
        <v/>
      </c>
      <c r="DD31" s="865">
        <f>(('3B. Tel. - Rev. Detail x Month'!R241)+('3B. Tel. - Rev. Detail x Month'!R257))</f>
        <v/>
      </c>
      <c r="DE31" s="866">
        <f>(('3B. Tel. - Rev. Detail x Month'!S241)+('3B. Tel. - Rev. Detail x Month'!S257))</f>
        <v/>
      </c>
      <c r="DF31" s="867">
        <f>(('3B. Tel. - Rev. Detail x Month'!T241)+('3B. Tel. - Rev. Detail x Month'!T257))</f>
        <v/>
      </c>
      <c r="DG31" s="868">
        <f>(('3B. Tel. - Rev. Detail x Month'!U241)+('3B. Tel. - Rev. Detail x Month'!U257))</f>
        <v/>
      </c>
      <c r="DI31" s="494">
        <f>SUM(CV31:DG31)</f>
        <v/>
      </c>
    </row>
    <row r="33" ht="15" customHeight="1" s="1883">
      <c r="D33" s="385" t="inlineStr">
        <is>
          <t>COGS by Month</t>
        </is>
      </c>
      <c r="E33" s="383" t="n"/>
      <c r="F33" s="383" t="n"/>
      <c r="G33" s="383" t="n"/>
      <c r="H33" s="383" t="n"/>
      <c r="I33" s="383" t="n"/>
      <c r="J33" s="383" t="n"/>
      <c r="K33" s="383" t="n"/>
      <c r="L33" s="383" t="n"/>
      <c r="M33" s="383" t="n"/>
      <c r="N33" s="383" t="n"/>
      <c r="O33" s="383" t="n"/>
      <c r="P33" s="383" t="n"/>
      <c r="Q33" s="383" t="n"/>
      <c r="R33" s="462" t="n">
        <v>0</v>
      </c>
      <c r="S33" s="462" t="n">
        <v>0</v>
      </c>
      <c r="T33" s="462" t="n">
        <v>0</v>
      </c>
      <c r="U33" s="462" t="n"/>
      <c r="V33" s="462" t="n"/>
      <c r="W33" s="462" t="n"/>
      <c r="X33" s="383" t="n"/>
      <c r="Y33" s="494">
        <f>(('3B. Tel. - Rev. Detail x Month'!J62)+('3B. Tel. - Rev. Detail x Month'!J71))</f>
        <v/>
      </c>
      <c r="Z33" s="494">
        <f>(('3B. Tel. - Rev. Detail x Month'!K62)+('3B. Tel. - Rev. Detail x Month'!K71))</f>
        <v/>
      </c>
      <c r="AA33" s="494">
        <f>(('3B. Tel. - Rev. Detail x Month'!L62)+('3B. Tel. - Rev. Detail x Month'!L71))</f>
        <v/>
      </c>
      <c r="AB33" s="494">
        <f>(('3B. Tel. - Rev. Detail x Month'!M62)+('3B. Tel. - Rev. Detail x Month'!M71))</f>
        <v/>
      </c>
      <c r="AC33" s="494">
        <f>(('3B. Tel. - Rev. Detail x Month'!N62)+('3B. Tel. - Rev. Detail x Month'!N71))</f>
        <v/>
      </c>
      <c r="AD33" s="494">
        <f>(('3B. Tel. - Rev. Detail x Month'!O62)+('3B. Tel. - Rev. Detail x Month'!O71))</f>
        <v/>
      </c>
      <c r="AE33" s="494">
        <f>(('3B. Tel. - Rev. Detail x Month'!P62)+('3B. Tel. - Rev. Detail x Month'!P71))</f>
        <v/>
      </c>
      <c r="AF33" s="494">
        <f>(('3B. Tel. - Rev. Detail x Month'!Q62)+('3B. Tel. - Rev. Detail x Month'!Q71))</f>
        <v/>
      </c>
      <c r="AG33" s="494">
        <f>(('3B. Tel. - Rev. Detail x Month'!R62)+('3B. Tel. - Rev. Detail x Month'!R71))</f>
        <v/>
      </c>
      <c r="AH33" s="494">
        <f>(('3B. Tel. - Rev. Detail x Month'!S62)+('3B. Tel. - Rev. Detail x Month'!S71))</f>
        <v/>
      </c>
      <c r="AI33" s="494">
        <f>(('3B. Tel. - Rev. Detail x Month'!T62)+('3B. Tel. - Rev. Detail x Month'!T71))</f>
        <v/>
      </c>
      <c r="AJ33" s="494">
        <f>(('3B. Tel. - Rev. Detail x Month'!Q62)+('3B. Tel. - Rev. Detail x Month'!Q71))</f>
        <v/>
      </c>
      <c r="AK33" s="383" t="n"/>
      <c r="AL33" s="494">
        <f>SUM(T33:AJ33)</f>
        <v/>
      </c>
      <c r="AM33" s="383" t="n"/>
      <c r="AN33" s="494">
        <f>(('3B. Tel. - Rev. Detail x Month'!J100)+('3B. Tel. - Rev. Detail x Month'!J109))</f>
        <v/>
      </c>
      <c r="AO33" s="494">
        <f>(('3B. Tel. - Rev. Detail x Month'!K100)+('3B. Tel. - Rev. Detail x Month'!K109))</f>
        <v/>
      </c>
      <c r="AP33" s="494">
        <f>(('3B. Tel. - Rev. Detail x Month'!L100)+('3B. Tel. - Rev. Detail x Month'!L109))</f>
        <v/>
      </c>
      <c r="AQ33" s="494">
        <f>(('3B. Tel. - Rev. Detail x Month'!M100)+('3B. Tel. - Rev. Detail x Month'!M109))</f>
        <v/>
      </c>
      <c r="AR33" s="494">
        <f>(('3B. Tel. - Rev. Detail x Month'!N100)+('3B. Tel. - Rev. Detail x Month'!N109))</f>
        <v/>
      </c>
      <c r="AS33" s="494">
        <f>(('3B. Tel. - Rev. Detail x Month'!O100)+('3B. Tel. - Rev. Detail x Month'!O109))</f>
        <v/>
      </c>
      <c r="AT33" s="494">
        <f>(('3B. Tel. - Rev. Detail x Month'!P100)+('3B. Tel. - Rev. Detail x Month'!P109))</f>
        <v/>
      </c>
      <c r="AU33" s="494">
        <f>(('3B. Tel. - Rev. Detail x Month'!Q100)+('3B. Tel. - Rev. Detail x Month'!Q109))</f>
        <v/>
      </c>
      <c r="AV33" s="494">
        <f>(('3B. Tel. - Rev. Detail x Month'!R100)+('3B. Tel. - Rev. Detail x Month'!R109))</f>
        <v/>
      </c>
      <c r="AW33" s="494">
        <f>(('3B. Tel. - Rev. Detail x Month'!S100)+('3B. Tel. - Rev. Detail x Month'!S109))</f>
        <v/>
      </c>
      <c r="AX33" s="494">
        <f>(('3B. Tel. - Rev. Detail x Month'!T100)+('3B. Tel. - Rev. Detail x Month'!T109))</f>
        <v/>
      </c>
      <c r="AY33" s="494">
        <f>(('3B. Tel. - Rev. Detail x Month'!U100)+('3B. Tel. - Rev. Detail x Month'!U109))</f>
        <v/>
      </c>
      <c r="AZ33" s="383" t="n"/>
      <c r="BA33" s="494">
        <f>SUM(AN33:AY33)</f>
        <v/>
      </c>
      <c r="BB33" s="383" t="n"/>
      <c r="BC33" s="494">
        <f>(('3B. Tel. - Rev. Detail x Month'!J138)+('3B. Tel. - Rev. Detail x Month'!J147))</f>
        <v/>
      </c>
      <c r="BD33" s="494">
        <f>(('3B. Tel. - Rev. Detail x Month'!K138)+('3B. Tel. - Rev. Detail x Month'!K147))</f>
        <v/>
      </c>
      <c r="BE33" s="494">
        <f>(('3B. Tel. - Rev. Detail x Month'!L138)+('3B. Tel. - Rev. Detail x Month'!L147))</f>
        <v/>
      </c>
      <c r="BF33" s="494">
        <f>(('3B. Tel. - Rev. Detail x Month'!M138)+('3B. Tel. - Rev. Detail x Month'!M147))</f>
        <v/>
      </c>
      <c r="BG33" s="494">
        <f>(('3B. Tel. - Rev. Detail x Month'!N138)+('3B. Tel. - Rev. Detail x Month'!N147))</f>
        <v/>
      </c>
      <c r="BH33" s="494">
        <f>(('3B. Tel. - Rev. Detail x Month'!O138)+('3B. Tel. - Rev. Detail x Month'!O147))</f>
        <v/>
      </c>
      <c r="BI33" s="494">
        <f>(('3B. Tel. - Rev. Detail x Month'!P138)+('3B. Tel. - Rev. Detail x Month'!P147))</f>
        <v/>
      </c>
      <c r="BJ33" s="494">
        <f>(('3B. Tel. - Rev. Detail x Month'!Q138)+('3B. Tel. - Rev. Detail x Month'!Q147))</f>
        <v/>
      </c>
      <c r="BK33" s="494">
        <f>(('3B. Tel. - Rev. Detail x Month'!R138)+('3B. Tel. - Rev. Detail x Month'!R147))</f>
        <v/>
      </c>
      <c r="BL33" s="494">
        <f>(('3B. Tel. - Rev. Detail x Month'!S138)+('3B. Tel. - Rev. Detail x Month'!S147))</f>
        <v/>
      </c>
      <c r="BM33" s="494">
        <f>(('3B. Tel. - Rev. Detail x Month'!T138)+('3B. Tel. - Rev. Detail x Month'!T147))</f>
        <v/>
      </c>
      <c r="BN33" s="494">
        <f>(('3B. Tel. - Rev. Detail x Month'!U138)+('3B. Tel. - Rev. Detail x Month'!U147))</f>
        <v/>
      </c>
      <c r="BO33" s="383" t="n"/>
      <c r="BP33" s="494">
        <f>SUM(BC33:BN33)</f>
        <v/>
      </c>
      <c r="BQ33" s="383" t="n"/>
      <c r="BR33" s="494">
        <f>(('3B. Tel. - Rev. Detail x Month'!J176)+('3B. Tel. - Rev. Detail x Month'!J185))</f>
        <v/>
      </c>
      <c r="BS33" s="494">
        <f>(('3B. Tel. - Rev. Detail x Month'!K176)+('3B. Tel. - Rev. Detail x Month'!K185))</f>
        <v/>
      </c>
      <c r="BT33" s="494">
        <f>(('3B. Tel. - Rev. Detail x Month'!L176)+('3B. Tel. - Rev. Detail x Month'!L185))</f>
        <v/>
      </c>
      <c r="BU33" s="494">
        <f>(('3B. Tel. - Rev. Detail x Month'!M176)+('3B. Tel. - Rev. Detail x Month'!M185))</f>
        <v/>
      </c>
      <c r="BV33" s="494">
        <f>(('3B. Tel. - Rev. Detail x Month'!N176)+('3B. Tel. - Rev. Detail x Month'!N185))</f>
        <v/>
      </c>
      <c r="BW33" s="494">
        <f>(('3B. Tel. - Rev. Detail x Month'!O176)+('3B. Tel. - Rev. Detail x Month'!O185))</f>
        <v/>
      </c>
      <c r="BX33" s="494">
        <f>(('3B. Tel. - Rev. Detail x Month'!P176)+('3B. Tel. - Rev. Detail x Month'!P185))</f>
        <v/>
      </c>
      <c r="BY33" s="494">
        <f>(('3B. Tel. - Rev. Detail x Month'!Q176)+('3B. Tel. - Rev. Detail x Month'!Q185))</f>
        <v/>
      </c>
      <c r="BZ33" s="494">
        <f>(('3B. Tel. - Rev. Detail x Month'!R176)+('3B. Tel. - Rev. Detail x Month'!R185))</f>
        <v/>
      </c>
      <c r="CA33" s="494">
        <f>(('3B. Tel. - Rev. Detail x Month'!S176)+('3B. Tel. - Rev. Detail x Month'!S185))</f>
        <v/>
      </c>
      <c r="CB33" s="494">
        <f>(('3B. Tel. - Rev. Detail x Month'!T176)+('3B. Tel. - Rev. Detail x Month'!T185))</f>
        <v/>
      </c>
      <c r="CC33" s="494">
        <f>(('3B. Tel. - Rev. Detail x Month'!U176)+('3B. Tel. - Rev. Detail x Month'!U185))</f>
        <v/>
      </c>
      <c r="CD33" s="383" t="n"/>
      <c r="CE33" s="494">
        <f>SUM(BR33:CC33)</f>
        <v/>
      </c>
      <c r="CF33" s="383" t="n"/>
      <c r="CG33" s="494">
        <f>(('3B. Tel. - Rev. Detail x Month'!J214)+('3B. Tel. - Rev. Detail x Month'!J223))</f>
        <v/>
      </c>
      <c r="CH33" s="494">
        <f>(('3B. Tel. - Rev. Detail x Month'!K214)+('3B. Tel. - Rev. Detail x Month'!K223))</f>
        <v/>
      </c>
      <c r="CI33" s="494">
        <f>(('3B. Tel. - Rev. Detail x Month'!L214)+('3B. Tel. - Rev. Detail x Month'!L223))</f>
        <v/>
      </c>
      <c r="CJ33" s="494">
        <f>(('3B. Tel. - Rev. Detail x Month'!M214)+('3B. Tel. - Rev. Detail x Month'!M223))</f>
        <v/>
      </c>
      <c r="CK33" s="494">
        <f>(('3B. Tel. - Rev. Detail x Month'!N214)+('3B. Tel. - Rev. Detail x Month'!N223))</f>
        <v/>
      </c>
      <c r="CL33" s="494">
        <f>(('3B. Tel. - Rev. Detail x Month'!O214)+('3B. Tel. - Rev. Detail x Month'!O223))</f>
        <v/>
      </c>
      <c r="CM33" s="494">
        <f>(('3B. Tel. - Rev. Detail x Month'!P214)+('3B. Tel. - Rev. Detail x Month'!P223))</f>
        <v/>
      </c>
      <c r="CN33" s="494">
        <f>(('3B. Tel. - Rev. Detail x Month'!Q214)+('3B. Tel. - Rev. Detail x Month'!Q223))</f>
        <v/>
      </c>
      <c r="CO33" s="494">
        <f>(('3B. Tel. - Rev. Detail x Month'!R214)+('3B. Tel. - Rev. Detail x Month'!R223))</f>
        <v/>
      </c>
      <c r="CP33" s="494">
        <f>(('3B. Tel. - Rev. Detail x Month'!S214)+('3B. Tel. - Rev. Detail x Month'!S223))</f>
        <v/>
      </c>
      <c r="CQ33" s="494">
        <f>(('3B. Tel. - Rev. Detail x Month'!T214)+('3B. Tel. - Rev. Detail x Month'!T223))</f>
        <v/>
      </c>
      <c r="CR33" s="494">
        <f>(('3B. Tel. - Rev. Detail x Month'!U214)+('3B. Tel. - Rev. Detail x Month'!U223))</f>
        <v/>
      </c>
      <c r="CS33" s="383" t="n"/>
      <c r="CT33" s="494">
        <f>SUM(CG33:CR33)</f>
        <v/>
      </c>
      <c r="CU33" s="383" t="n"/>
      <c r="CV33" s="494">
        <f>(('3B. Tel. - Rev. Detail x Month'!J252)+('3B. Tel. - Rev. Detail x Month'!J261))</f>
        <v/>
      </c>
      <c r="CW33" s="494">
        <f>(('3B. Tel. - Rev. Detail x Month'!K252)+('3B. Tel. - Rev. Detail x Month'!K261))</f>
        <v/>
      </c>
      <c r="CX33" s="494">
        <f>(('3B. Tel. - Rev. Detail x Month'!L252)+('3B. Tel. - Rev. Detail x Month'!L261))</f>
        <v/>
      </c>
      <c r="CY33" s="494">
        <f>(('3B. Tel. - Rev. Detail x Month'!M252)+('3B. Tel. - Rev. Detail x Month'!M261))</f>
        <v/>
      </c>
      <c r="CZ33" s="494">
        <f>(('3B. Tel. - Rev. Detail x Month'!N252)+('3B. Tel. - Rev. Detail x Month'!N261))</f>
        <v/>
      </c>
      <c r="DA33" s="494">
        <f>(('3B. Tel. - Rev. Detail x Month'!O252)+('3B. Tel. - Rev. Detail x Month'!O261))</f>
        <v/>
      </c>
      <c r="DB33" s="494">
        <f>(('3B. Tel. - Rev. Detail x Month'!P252)+('3B. Tel. - Rev. Detail x Month'!P261))</f>
        <v/>
      </c>
      <c r="DC33" s="494">
        <f>(('3B. Tel. - Rev. Detail x Month'!Q252)+('3B. Tel. - Rev. Detail x Month'!Q261))</f>
        <v/>
      </c>
      <c r="DD33" s="494">
        <f>(('3B. Tel. - Rev. Detail x Month'!R252)+('3B. Tel. - Rev. Detail x Month'!R261))</f>
        <v/>
      </c>
      <c r="DE33" s="494">
        <f>(('3B. Tel. - Rev. Detail x Month'!S252)+('3B. Tel. - Rev. Detail x Month'!S261))</f>
        <v/>
      </c>
      <c r="DF33" s="494">
        <f>(('3B. Tel. - Rev. Detail x Month'!T252)+('3B. Tel. - Rev. Detail x Month'!T261))</f>
        <v/>
      </c>
      <c r="DG33" s="494">
        <f>(('3B. Tel. - Rev. Detail x Month'!U252)+('3B. Tel. - Rev. Detail x Month'!U261))</f>
        <v/>
      </c>
      <c r="DH33" s="383" t="n"/>
      <c r="DI33" s="494">
        <f>SUM(CV33:DG33)</f>
        <v/>
      </c>
    </row>
    <row r="34" ht="15" customHeight="1" s="1883">
      <c r="D34" s="383" t="n"/>
      <c r="E34" s="383" t="n"/>
      <c r="F34" s="383" t="n"/>
      <c r="G34" s="383" t="n"/>
      <c r="H34" s="383" t="n"/>
      <c r="I34" s="383" t="n"/>
      <c r="J34" s="383" t="n"/>
      <c r="K34" s="383" t="n"/>
      <c r="L34" s="383" t="n"/>
      <c r="M34" s="383" t="n"/>
      <c r="N34" s="383" t="n"/>
      <c r="O34" s="383" t="n"/>
      <c r="P34" s="383" t="n"/>
      <c r="Q34" s="383" t="n"/>
      <c r="R34" s="462" t="n"/>
      <c r="S34" s="462" t="n"/>
      <c r="T34" s="462" t="n"/>
      <c r="U34" s="462" t="n"/>
      <c r="V34" s="462" t="n"/>
      <c r="W34" s="462" t="n"/>
      <c r="X34" s="383" t="n"/>
      <c r="Z34" s="383" t="n"/>
      <c r="AA34" s="383" t="n"/>
      <c r="AB34" s="383" t="n"/>
      <c r="AC34" s="383" t="n"/>
      <c r="AD34" s="383" t="n"/>
      <c r="AE34" s="383" t="n"/>
      <c r="AF34" s="383" t="n"/>
      <c r="AG34" s="383" t="n"/>
      <c r="AH34" s="383" t="n"/>
      <c r="AI34" s="383" t="n"/>
      <c r="AJ34" s="383" t="n"/>
      <c r="AK34" s="383" t="n"/>
      <c r="AL34" s="383" t="n"/>
      <c r="AM34" s="383" t="n"/>
      <c r="AO34" s="383" t="n"/>
      <c r="AQ34" s="383" t="n"/>
      <c r="AR34" s="383" t="n"/>
      <c r="AS34" s="383" t="n"/>
      <c r="AT34" s="383" t="n"/>
      <c r="AU34" s="383" t="n"/>
      <c r="AV34" s="383" t="n"/>
      <c r="AW34" s="383" t="n"/>
      <c r="AX34" s="383" t="n"/>
      <c r="AY34" s="383" t="n"/>
      <c r="AZ34" s="383" t="n"/>
      <c r="BA34" s="383" t="n"/>
      <c r="BB34" s="383" t="n"/>
      <c r="BC34" s="383" t="n"/>
      <c r="BD34" s="383" t="n"/>
      <c r="BE34" s="383" t="n"/>
      <c r="BF34" s="383" t="n"/>
      <c r="BG34" s="383" t="n"/>
      <c r="BH34" s="383" t="n"/>
      <c r="BI34" s="383" t="n"/>
      <c r="BJ34" s="383" t="n"/>
      <c r="BK34" s="383" t="n"/>
      <c r="BL34" s="383" t="n"/>
      <c r="BM34" s="383" t="n"/>
      <c r="BN34" s="383" t="n"/>
      <c r="BO34" s="383" t="n"/>
      <c r="BP34" s="383" t="n"/>
      <c r="BQ34" s="383" t="n"/>
      <c r="BR34" s="383" t="n"/>
      <c r="BS34" s="383" t="n"/>
      <c r="BT34" s="383" t="n"/>
      <c r="BU34" s="383" t="n"/>
      <c r="BV34" s="383" t="n"/>
      <c r="BW34" s="383" t="n"/>
      <c r="BX34" s="383" t="n"/>
      <c r="BY34" s="383" t="n"/>
      <c r="BZ34" s="383" t="n"/>
      <c r="CA34" s="383" t="n"/>
      <c r="CB34" s="383" t="n"/>
      <c r="CC34" s="383" t="n"/>
      <c r="CD34" s="383" t="n"/>
      <c r="CE34" s="383" t="n"/>
      <c r="CF34" s="383" t="n"/>
      <c r="CG34" s="383" t="n"/>
      <c r="CH34" s="383" t="n"/>
      <c r="CI34" s="383" t="n"/>
      <c r="CJ34" s="383" t="n"/>
      <c r="CK34" s="383" t="n"/>
      <c r="CL34" s="383" t="n"/>
      <c r="CM34" s="383" t="n"/>
      <c r="CN34" s="383" t="n"/>
      <c r="CO34" s="383" t="n"/>
      <c r="CP34" s="383" t="n"/>
      <c r="CQ34" s="383" t="n"/>
      <c r="CR34" s="383" t="n"/>
      <c r="CS34" s="383" t="n"/>
      <c r="CT34" s="383" t="n"/>
      <c r="CU34" s="383" t="n"/>
      <c r="CZ34" s="383" t="n"/>
      <c r="DA34" s="383" t="n"/>
      <c r="DB34" s="383" t="n"/>
      <c r="DC34" s="383" t="n"/>
      <c r="DH34" s="383" t="n"/>
      <c r="DI34" s="383" t="n"/>
    </row>
    <row r="35" ht="15" customHeight="1" s="1883">
      <c r="D35" s="383" t="inlineStr">
        <is>
          <t>Vendor PO and Deposit, by Month</t>
        </is>
      </c>
      <c r="E35" s="383" t="n"/>
      <c r="F35" s="383" t="n"/>
      <c r="G35" s="383" t="n"/>
      <c r="H35" s="383" t="n"/>
      <c r="I35" s="383" t="n"/>
      <c r="J35" s="383" t="n"/>
      <c r="K35" s="383" t="n"/>
      <c r="L35" s="383" t="n"/>
      <c r="M35" s="383" t="n"/>
      <c r="N35" s="383" t="n"/>
      <c r="O35" s="383" t="n"/>
      <c r="P35" s="383" t="n"/>
      <c r="Q35" s="383" t="n"/>
      <c r="U35" s="524">
        <f>((Y31)*($G$68)*($G$78))</f>
        <v/>
      </c>
      <c r="V35" s="462" t="n"/>
      <c r="W35" s="462" t="n"/>
      <c r="X35" s="462" t="n"/>
      <c r="Y35" s="837">
        <f>((Z31)*($G$68)*($G$78))</f>
        <v/>
      </c>
      <c r="Z35" s="838">
        <f>((AA31)*($G$68)*($G$78))</f>
        <v/>
      </c>
      <c r="AA35" s="839">
        <f>((AB31)*($G$68)*($G$78))</f>
        <v/>
      </c>
      <c r="AB35" s="1622">
        <f>((AC31)*($G$68)*($G$78))</f>
        <v/>
      </c>
      <c r="AC35" s="847">
        <f>((AD31)*($G$68)*($G$78))</f>
        <v/>
      </c>
      <c r="AD35" s="848">
        <f>((AE31)*($G$68)*($G$78))</f>
        <v/>
      </c>
      <c r="AE35" s="849">
        <f>((AF31)*($G$68)*($G$78))</f>
        <v/>
      </c>
      <c r="AF35" s="850">
        <f>((AG31)*($G$68)*($G$78))</f>
        <v/>
      </c>
      <c r="AG35" s="851">
        <f>((AH31)*($G$68)*($G$78))</f>
        <v/>
      </c>
      <c r="AH35" s="852">
        <f>((AI31)*($G$68)*($G$78))</f>
        <v/>
      </c>
      <c r="AI35" s="853">
        <f>((AJ31)*($G$68)*($G$78))</f>
        <v/>
      </c>
      <c r="AJ35" s="524">
        <f>((AN31)*($G$68)*($G$78))</f>
        <v/>
      </c>
      <c r="AK35" s="383" t="n"/>
      <c r="AL35" s="494">
        <f>SUM(U35:AJ35)</f>
        <v/>
      </c>
      <c r="AM35" s="383" t="n"/>
      <c r="AN35" s="837">
        <f>((AO31)*($G$68)*($G$78))</f>
        <v/>
      </c>
      <c r="AO35" s="838">
        <f>((AP31)*($G$68)*($G$78))</f>
        <v/>
      </c>
      <c r="AP35" s="839">
        <f>((AQ31)*($G$68)*($G$78))</f>
        <v/>
      </c>
      <c r="AQ35" s="1622">
        <f>((AR31)*($G$69)*($G$78))</f>
        <v/>
      </c>
      <c r="AR35" s="847">
        <f>((AS31)*($G$69)*($G$78))</f>
        <v/>
      </c>
      <c r="AS35" s="848">
        <f>((AT31)*($G$69)*($G$78))</f>
        <v/>
      </c>
      <c r="AT35" s="849">
        <f>((AU31)*($G$69)*($G$78))</f>
        <v/>
      </c>
      <c r="AU35" s="850">
        <f>((AV31)*($G$69)*($G$78))</f>
        <v/>
      </c>
      <c r="AV35" s="851">
        <f>((AW31)*($G$69)*($G$78))</f>
        <v/>
      </c>
      <c r="AW35" s="852">
        <f>((AX31)*($G$69)*($G$78))</f>
        <v/>
      </c>
      <c r="AX35" s="853">
        <f>((AY31)*($G$69)*($G$78))</f>
        <v/>
      </c>
      <c r="AY35" s="524">
        <f>((BC31)*($G$69)*($G$78))</f>
        <v/>
      </c>
      <c r="AZ35" s="383" t="n"/>
      <c r="BA35" s="494">
        <f>SUM(AN35:AY35)</f>
        <v/>
      </c>
      <c r="BB35" s="383" t="n"/>
      <c r="BC35" s="837">
        <f>((BD31)*($G$69)*($G$78))</f>
        <v/>
      </c>
      <c r="BD35" s="838">
        <f>((BE31)*($G$69)*($G$78))</f>
        <v/>
      </c>
      <c r="BE35" s="839">
        <f>((BF31)*($G$69)*($G$78))</f>
        <v/>
      </c>
      <c r="BF35" s="1622">
        <f>((BG31)*($G$70)*($G$78))</f>
        <v/>
      </c>
      <c r="BG35" s="847">
        <f>((BH31)*($G$70)*($G$78))</f>
        <v/>
      </c>
      <c r="BH35" s="848">
        <f>((BI31)*($G$70)*($G$78))</f>
        <v/>
      </c>
      <c r="BI35" s="849">
        <f>((BJ31)*($G$70)*($G$78))</f>
        <v/>
      </c>
      <c r="BJ35" s="850">
        <f>((BK31)*($G$70)*($G$78))</f>
        <v/>
      </c>
      <c r="BK35" s="851">
        <f>((BL31)*($G$70)*($G$78))</f>
        <v/>
      </c>
      <c r="BL35" s="852">
        <f>((BM31)*($G$70)*($G$78))</f>
        <v/>
      </c>
      <c r="BM35" s="853">
        <f>((BN31)*($G$70)*($G$78))</f>
        <v/>
      </c>
      <c r="BN35" s="524">
        <f>((BR31)*($G$70)*($G$78))</f>
        <v/>
      </c>
      <c r="BO35" s="383" t="n"/>
      <c r="BP35" s="494">
        <f>SUM(BC35:BN35)</f>
        <v/>
      </c>
      <c r="BQ35" s="383" t="n"/>
      <c r="BR35" s="837">
        <f>((BS31)*($G$70)*($G$78))</f>
        <v/>
      </c>
      <c r="BS35" s="838">
        <f>((BT31)*($G$70)*($G$78))</f>
        <v/>
      </c>
      <c r="BT35" s="839">
        <f>((BU31)*($G$70)*($G$78))</f>
        <v/>
      </c>
      <c r="BU35" s="1622">
        <f>((BV31)*($G$71)*($G$78))</f>
        <v/>
      </c>
      <c r="BV35" s="847">
        <f>((BW31)*($G$71)*($G$78))</f>
        <v/>
      </c>
      <c r="BW35" s="848">
        <f>((BX31)*($G$71)*($G$78))</f>
        <v/>
      </c>
      <c r="BX35" s="849">
        <f>((BY31)*($G$71)*($G$78))</f>
        <v/>
      </c>
      <c r="BY35" s="850">
        <f>((BZ31)*($G$71)*($G$78))</f>
        <v/>
      </c>
      <c r="BZ35" s="851">
        <f>((CA31)*($G$71)*($G$78))</f>
        <v/>
      </c>
      <c r="CA35" s="852">
        <f>((CB31)*($G$71)*($G$78))</f>
        <v/>
      </c>
      <c r="CB35" s="853">
        <f>((CC31)*($G$71)*($G$78))</f>
        <v/>
      </c>
      <c r="CC35" s="524">
        <f>((CG31)*($G$71)*($G$78))</f>
        <v/>
      </c>
      <c r="CD35" s="383" t="n"/>
      <c r="CE35" s="494">
        <f>SUM(BR35:CC35)</f>
        <v/>
      </c>
      <c r="CF35" s="383" t="n"/>
      <c r="CG35" s="837">
        <f>((CH31)*($G$71)*($G$78))</f>
        <v/>
      </c>
      <c r="CH35" s="838">
        <f>((CI31)*($G$71)*($G$78))</f>
        <v/>
      </c>
      <c r="CI35" s="839">
        <f>((CJ31)*($G$71)*($G$78))</f>
        <v/>
      </c>
      <c r="CJ35" s="1622">
        <f>((CK31)*($G$72)*($G$78))</f>
        <v/>
      </c>
      <c r="CK35" s="847">
        <f>((CL31)*($G$72)*($G$78))</f>
        <v/>
      </c>
      <c r="CL35" s="848">
        <f>((CM31)*($G$72)*($G$78))</f>
        <v/>
      </c>
      <c r="CM35" s="849">
        <f>((CN31)*($G$72)*($G$78))</f>
        <v/>
      </c>
      <c r="CN35" s="850">
        <f>((CO31)*($G$72)*($G$78))</f>
        <v/>
      </c>
      <c r="CO35" s="851">
        <f>((CP31)*($G$72)*($G$78))</f>
        <v/>
      </c>
      <c r="CP35" s="852">
        <f>((CQ31)*($G$72)*($G$78))</f>
        <v/>
      </c>
      <c r="CQ35" s="853">
        <f>((CR31)*($G$72)*($G$78))</f>
        <v/>
      </c>
      <c r="CR35" s="524">
        <f>((CV31)*($G$72)*($G$78))</f>
        <v/>
      </c>
      <c r="CS35" s="383" t="n"/>
      <c r="CT35" s="494">
        <f>SUM(CG35:CR35)</f>
        <v/>
      </c>
      <c r="CU35" s="383" t="n"/>
      <c r="CV35" s="837">
        <f>((CW31)*($G$72)*($G$78))</f>
        <v/>
      </c>
      <c r="CW35" s="838">
        <f>((CX31)*($G$72)*($G$78))</f>
        <v/>
      </c>
      <c r="CX35" s="839">
        <f>((CY31)*($G$72)*($G$78))</f>
        <v/>
      </c>
      <c r="CY35" s="1622">
        <f>((CZ31)*($G$73)*($G$78))</f>
        <v/>
      </c>
      <c r="CZ35" s="847">
        <f>((DA31)*($G$73)*($G$78))</f>
        <v/>
      </c>
      <c r="DA35" s="848">
        <f>((DB31)*($G$73)*($G$78))</f>
        <v/>
      </c>
      <c r="DB35" s="849">
        <f>((DC31)*($G$73)*($G$78))</f>
        <v/>
      </c>
      <c r="DC35" s="850">
        <f>((DD31)*($G$73)*($G$78))</f>
        <v/>
      </c>
      <c r="DD35" s="851">
        <f>((DE31)*($G$73)*($G$78))</f>
        <v/>
      </c>
      <c r="DE35" s="852">
        <f>((DF31)*($G$73)*($G$78))</f>
        <v/>
      </c>
      <c r="DF35" s="853">
        <f>((DG31)*($G$73)*($G$78))</f>
        <v/>
      </c>
      <c r="DG35" s="524" t="n">
        <v>0</v>
      </c>
      <c r="DH35" s="383" t="n"/>
      <c r="DI35" s="494">
        <f>SUM(CV35:DG35)</f>
        <v/>
      </c>
    </row>
    <row r="36" ht="15" customHeight="1" s="1883">
      <c r="D36" s="383" t="n"/>
      <c r="E36" s="383" t="n"/>
      <c r="F36" s="383" t="n"/>
      <c r="G36" s="383" t="n"/>
      <c r="H36" s="383" t="n"/>
      <c r="I36" s="383" t="n"/>
      <c r="J36" s="383" t="n"/>
      <c r="K36" s="383" t="n"/>
      <c r="L36" s="383" t="n"/>
      <c r="M36" s="383" t="n"/>
      <c r="N36" s="383" t="n"/>
      <c r="O36" s="383" t="n"/>
      <c r="P36" s="383" t="n"/>
      <c r="Q36" s="383" t="n"/>
      <c r="R36" s="462" t="n"/>
      <c r="V36" s="462" t="n"/>
      <c r="W36" s="462" t="n"/>
      <c r="X36" s="383" t="n"/>
      <c r="Y36" s="462" t="n"/>
      <c r="Z36" s="462" t="n"/>
      <c r="AA36" s="383" t="n"/>
      <c r="AB36" s="383" t="n"/>
      <c r="AC36" s="383" t="n"/>
      <c r="AD36" s="383" t="n"/>
      <c r="AE36" s="383" t="n"/>
      <c r="AF36" s="383" t="n"/>
      <c r="AG36" s="383" t="n"/>
      <c r="AH36" s="383" t="n"/>
      <c r="AI36" s="383" t="n"/>
      <c r="AJ36" s="383" t="n"/>
      <c r="AK36" s="383" t="n"/>
      <c r="AL36" s="383" t="n"/>
      <c r="AM36" s="383" t="n"/>
      <c r="AN36" s="383" t="n"/>
      <c r="AP36" s="383" t="n"/>
      <c r="AR36" s="383" t="n"/>
      <c r="AS36" s="383" t="n"/>
      <c r="AT36" s="383" t="n"/>
      <c r="AU36" s="383" t="n"/>
      <c r="AV36" s="383" t="n"/>
      <c r="AW36" s="383" t="n"/>
      <c r="AX36" s="383" t="n"/>
      <c r="AY36" s="383" t="n"/>
      <c r="AZ36" s="383" t="n"/>
      <c r="BA36" s="383" t="n"/>
      <c r="BB36" s="383" t="n"/>
      <c r="BC36" s="383" t="n"/>
      <c r="BD36" s="383" t="n"/>
      <c r="BE36" s="383" t="n"/>
      <c r="BF36" s="383" t="n"/>
      <c r="BG36" s="383" t="n"/>
      <c r="BH36" s="383" t="n"/>
      <c r="BI36" s="383" t="n"/>
      <c r="BJ36" s="383" t="n"/>
      <c r="BK36" s="383" t="n"/>
      <c r="BL36" s="383" t="n"/>
      <c r="BM36" s="383" t="n"/>
      <c r="BN36" s="383" t="n"/>
      <c r="BO36" s="383" t="n"/>
      <c r="BP36" s="383" t="n"/>
      <c r="BQ36" s="383" t="n"/>
      <c r="BR36" s="383" t="n"/>
      <c r="BS36" s="383" t="n"/>
      <c r="BT36" s="383" t="n"/>
      <c r="BU36" s="383" t="n"/>
      <c r="BV36" s="383" t="n"/>
      <c r="BW36" s="383" t="n"/>
      <c r="BX36" s="383" t="n"/>
      <c r="BY36" s="383" t="n"/>
      <c r="BZ36" s="383" t="n"/>
      <c r="CA36" s="383" t="n"/>
      <c r="CB36" s="383" t="n"/>
      <c r="CC36" s="383" t="n"/>
      <c r="CD36" s="383" t="n"/>
      <c r="CE36" s="383" t="n"/>
      <c r="CF36" s="383" t="n"/>
      <c r="CG36" s="383" t="n"/>
      <c r="CH36" s="383" t="n"/>
      <c r="CI36" s="383" t="n"/>
      <c r="CJ36" s="383" t="n"/>
      <c r="CK36" s="383" t="n"/>
      <c r="CL36" s="383" t="n"/>
      <c r="CM36" s="383" t="n"/>
      <c r="CN36" s="383" t="n"/>
      <c r="CO36" s="383" t="n"/>
      <c r="CP36" s="383" t="n"/>
      <c r="CQ36" s="383" t="n"/>
      <c r="CR36" s="383" t="n"/>
      <c r="CS36" s="383" t="n"/>
      <c r="CT36" s="383" t="n"/>
      <c r="CU36" s="383" t="n"/>
      <c r="CV36" s="383" t="n"/>
      <c r="CW36" s="383" t="n"/>
      <c r="CX36" s="383" t="n"/>
      <c r="CY36" s="383" t="n"/>
      <c r="CZ36" s="383" t="n"/>
      <c r="DA36" s="383" t="n"/>
      <c r="DB36" s="383" t="n"/>
      <c r="DC36" s="383" t="n"/>
      <c r="DD36" s="383" t="n"/>
      <c r="DE36" s="383" t="n"/>
      <c r="DF36" s="383" t="n"/>
      <c r="DG36" s="383" t="n"/>
      <c r="DH36" s="383" t="n"/>
      <c r="DI36" s="383" t="n"/>
    </row>
    <row r="37" ht="15" customHeight="1" s="1883">
      <c r="D37" s="383" t="inlineStr">
        <is>
          <t>Vendor Balance, by Month</t>
        </is>
      </c>
      <c r="E37" s="383" t="n"/>
      <c r="F37" s="383" t="n"/>
      <c r="G37" s="383" t="n"/>
      <c r="H37" s="383" t="n"/>
      <c r="I37" s="383" t="n"/>
      <c r="J37" s="383" t="n"/>
      <c r="K37" s="383" t="n"/>
      <c r="L37" s="383" t="n"/>
      <c r="M37" s="383" t="n"/>
      <c r="N37" s="383" t="n"/>
      <c r="O37" s="383" t="n"/>
      <c r="P37" s="383" t="n"/>
      <c r="Q37" s="383" t="n"/>
      <c r="R37" s="462" t="n">
        <v>0</v>
      </c>
      <c r="V37" s="462" t="n"/>
      <c r="W37" s="462" t="n"/>
      <c r="X37" s="462" t="n"/>
      <c r="Y37" s="524">
        <f>((Y31)*($G$68)*($G$79))</f>
        <v/>
      </c>
      <c r="Z37" s="837">
        <f>((Z31)*($G$68)*($G$79))</f>
        <v/>
      </c>
      <c r="AA37" s="838">
        <f>((AA31)*($G$68)*($G$79))</f>
        <v/>
      </c>
      <c r="AB37" s="839">
        <f>((AB31)*($G$68)*($G$79))</f>
        <v/>
      </c>
      <c r="AC37" s="846">
        <f>((AC31)*($G$68)*($G$79))</f>
        <v/>
      </c>
      <c r="AD37" s="847">
        <f>((AD31)*($G$68)*($G$79))</f>
        <v/>
      </c>
      <c r="AE37" s="848">
        <f>((AE31)*($G$68)*($G$79))</f>
        <v/>
      </c>
      <c r="AF37" s="849">
        <f>((AF31)*($G$68)*($G$79))</f>
        <v/>
      </c>
      <c r="AG37" s="850">
        <f>((AG31)*($G$68)*($G$79))</f>
        <v/>
      </c>
      <c r="AH37" s="851">
        <f>((AH31)*($G$68)*($G$79))</f>
        <v/>
      </c>
      <c r="AI37" s="852">
        <f>((AI31)*($G$68)*($G$79))</f>
        <v/>
      </c>
      <c r="AJ37" s="853">
        <f>((AJ31)*($G$68)*($G$79))</f>
        <v/>
      </c>
      <c r="AK37" s="383" t="n"/>
      <c r="AL37" s="494">
        <f>SUM(T37:AJ37)</f>
        <v/>
      </c>
      <c r="AM37" s="383" t="n"/>
      <c r="AN37" s="524">
        <f>((AN31)*($G$68)*($G$79))</f>
        <v/>
      </c>
      <c r="AO37" s="837">
        <f>((AO31)*($G$68)*($G$79))</f>
        <v/>
      </c>
      <c r="AP37" s="838">
        <f>((AP31)*($G$68)*($G$79))</f>
        <v/>
      </c>
      <c r="AQ37" s="839">
        <f>((AQ31)*($G$68)*($G$79))</f>
        <v/>
      </c>
      <c r="AR37" s="846">
        <f>((AR31)*($G$69)*($G$79))</f>
        <v/>
      </c>
      <c r="AS37" s="847">
        <f>((AS31)*($G$69)*($G$79))</f>
        <v/>
      </c>
      <c r="AT37" s="848">
        <f>((AT31)*($G$69)*($G$79))</f>
        <v/>
      </c>
      <c r="AU37" s="849">
        <f>((AU31)*($G$69)*($G$79))</f>
        <v/>
      </c>
      <c r="AV37" s="850">
        <f>((AV31)*($G$69)*($G$79))</f>
        <v/>
      </c>
      <c r="AW37" s="851">
        <f>((AW31)*($G$69)*($G$79))</f>
        <v/>
      </c>
      <c r="AX37" s="852">
        <f>((AX31)*($G$69)*($G$79))</f>
        <v/>
      </c>
      <c r="AY37" s="853">
        <f>((AY31)*($G$69)*($G$79))</f>
        <v/>
      </c>
      <c r="AZ37" s="383" t="n"/>
      <c r="BA37" s="494">
        <f>SUM(AN37:AY37)</f>
        <v/>
      </c>
      <c r="BB37" s="383" t="n"/>
      <c r="BC37" s="524">
        <f>((BC31)*($G$69)*($G$79))</f>
        <v/>
      </c>
      <c r="BD37" s="837">
        <f>((BD31)*($G$69)*($G$79))</f>
        <v/>
      </c>
      <c r="BE37" s="838">
        <f>((BE31)*($G$69)*($G$79))</f>
        <v/>
      </c>
      <c r="BF37" s="839">
        <f>((BF31)*($G$69)*($G$79))</f>
        <v/>
      </c>
      <c r="BG37" s="846">
        <f>((BG31)*($G$70)*($G$79))</f>
        <v/>
      </c>
      <c r="BH37" s="847">
        <f>((BH31)*($G$70)*($G$79))</f>
        <v/>
      </c>
      <c r="BI37" s="848">
        <f>((BI31)*($G$70)*($G$79))</f>
        <v/>
      </c>
      <c r="BJ37" s="849">
        <f>((BJ31)*($G$70)*($G$79))</f>
        <v/>
      </c>
      <c r="BK37" s="850">
        <f>((BK31)*($G$70)*($G$79))</f>
        <v/>
      </c>
      <c r="BL37" s="851">
        <f>((BL31)*($G$70)*($G$79))</f>
        <v/>
      </c>
      <c r="BM37" s="852">
        <f>((BM31)*($G$70)*($G$79))</f>
        <v/>
      </c>
      <c r="BN37" s="853">
        <f>((BN31)*($G$70)*($G$79))</f>
        <v/>
      </c>
      <c r="BO37" s="383" t="n"/>
      <c r="BP37" s="494">
        <f>SUM(BC37:BN37)</f>
        <v/>
      </c>
      <c r="BQ37" s="383" t="n"/>
      <c r="BR37" s="524">
        <f>((BR31)*($G$70)*($G$79))</f>
        <v/>
      </c>
      <c r="BS37" s="837">
        <f>((BS31)*($G$70)*($G$79))</f>
        <v/>
      </c>
      <c r="BT37" s="838">
        <f>((BT31)*($G$70)*($G$79))</f>
        <v/>
      </c>
      <c r="BU37" s="839">
        <f>((BU31)*($G$70)*($G$79))</f>
        <v/>
      </c>
      <c r="BV37" s="846">
        <f>((BV31)*($G$71)*($G$79))</f>
        <v/>
      </c>
      <c r="BW37" s="847">
        <f>((BW31)*($G$71)*($G$79))</f>
        <v/>
      </c>
      <c r="BX37" s="848">
        <f>((BX31)*($G$71)*($G$79))</f>
        <v/>
      </c>
      <c r="BY37" s="849">
        <f>((BY31)*($G$71)*($G$79))</f>
        <v/>
      </c>
      <c r="BZ37" s="850">
        <f>((BZ31)*($G$71)*($G$79))</f>
        <v/>
      </c>
      <c r="CA37" s="851">
        <f>((CA31)*($G$71)*($G$79))</f>
        <v/>
      </c>
      <c r="CB37" s="852">
        <f>((CB31)*($G$71)*($G$79))</f>
        <v/>
      </c>
      <c r="CC37" s="853">
        <f>((CC31)*($G$71)*($G$79))</f>
        <v/>
      </c>
      <c r="CD37" s="383" t="n"/>
      <c r="CE37" s="494">
        <f>SUM(BR37:CC37)</f>
        <v/>
      </c>
      <c r="CF37" s="383" t="n"/>
      <c r="CG37" s="524">
        <f>((CG31)*($G$71)*($G$79))</f>
        <v/>
      </c>
      <c r="CH37" s="837">
        <f>((CH31)*($G$71)*($G$79))</f>
        <v/>
      </c>
      <c r="CI37" s="838">
        <f>((CI31)*($G$71)*($G$79))</f>
        <v/>
      </c>
      <c r="CJ37" s="839">
        <f>((CJ31)*($G$71)*($G$79))</f>
        <v/>
      </c>
      <c r="CK37" s="846">
        <f>((CK31)*($G$72)*($G$79))</f>
        <v/>
      </c>
      <c r="CL37" s="847">
        <f>((CL31)*($G$72)*($G$79))</f>
        <v/>
      </c>
      <c r="CM37" s="848">
        <f>((CM31)*($G$72)*($G$79))</f>
        <v/>
      </c>
      <c r="CN37" s="849">
        <f>((CN31)*($G$72)*($G$79))</f>
        <v/>
      </c>
      <c r="CO37" s="850">
        <f>((CO31)*($G$72)*($G$79))</f>
        <v/>
      </c>
      <c r="CP37" s="851">
        <f>((CP31)*($G$72)*($G$79))</f>
        <v/>
      </c>
      <c r="CQ37" s="852">
        <f>((CQ31)*($G$72)*($G$79))</f>
        <v/>
      </c>
      <c r="CR37" s="853">
        <f>((CR31)*($G$72)*($G$79))</f>
        <v/>
      </c>
      <c r="CS37" s="383" t="n"/>
      <c r="CT37" s="494">
        <f>SUM(CG37:CR37)</f>
        <v/>
      </c>
      <c r="CU37" s="383" t="n"/>
      <c r="CV37" s="524">
        <f>((CV31)*($G$72)*($G$79))</f>
        <v/>
      </c>
      <c r="CW37" s="837">
        <f>((CW31)*($G$72)*($G$79))</f>
        <v/>
      </c>
      <c r="CX37" s="838">
        <f>((CX31)*($G$72)*($G$79))</f>
        <v/>
      </c>
      <c r="CY37" s="839">
        <f>((CY31)*($G$72)*($G$79))</f>
        <v/>
      </c>
      <c r="CZ37" s="846">
        <f>((CZ31)*($G$73)*($G$79))</f>
        <v/>
      </c>
      <c r="DA37" s="847">
        <f>((DA31)*($G$73)*($G$79))</f>
        <v/>
      </c>
      <c r="DB37" s="848">
        <f>((DB31)*($G$73)*($G$79))</f>
        <v/>
      </c>
      <c r="DC37" s="849">
        <f>((DC31)*($G$73)*($G$79))</f>
        <v/>
      </c>
      <c r="DD37" s="850">
        <f>((DD31)*($G$73)*($G$79))</f>
        <v/>
      </c>
      <c r="DE37" s="851">
        <f>((DE31)*($G$73)*($G$79))</f>
        <v/>
      </c>
      <c r="DF37" s="852">
        <f>((DF31)*($G$73)*($G$79))</f>
        <v/>
      </c>
      <c r="DG37" s="853">
        <f>((DG31)*($G$73)*($G$79))</f>
        <v/>
      </c>
      <c r="DH37" s="383" t="n"/>
      <c r="DI37" s="494">
        <f>SUM(CV37:DG37)</f>
        <v/>
      </c>
    </row>
    <row r="38" ht="3" customHeight="1" s="1883">
      <c r="D38" s="383" t="n"/>
      <c r="E38" s="383" t="n"/>
      <c r="F38" s="383" t="n"/>
      <c r="G38" s="383" t="n"/>
      <c r="H38" s="383" t="n"/>
      <c r="I38" s="383" t="n"/>
      <c r="J38" s="387" t="n"/>
      <c r="K38" s="387" t="n"/>
      <c r="L38" s="387" t="n"/>
      <c r="M38" s="387" t="n"/>
      <c r="N38" s="387" t="n"/>
      <c r="O38" s="387" t="n"/>
      <c r="P38" s="387" t="n"/>
      <c r="Q38" s="387" t="n"/>
      <c r="R38" s="387" t="n"/>
      <c r="S38" s="387" t="n"/>
      <c r="T38" s="387" t="n"/>
      <c r="U38" s="387" t="n"/>
      <c r="V38" s="1910" t="n"/>
      <c r="W38" s="1910" t="n"/>
      <c r="X38" s="1910" t="n"/>
      <c r="Y38" s="387" t="n"/>
      <c r="Z38" s="387" t="n"/>
      <c r="AA38" s="387" t="n"/>
      <c r="AB38" s="387" t="n"/>
      <c r="AC38" s="387" t="n"/>
      <c r="AD38" s="387" t="n"/>
      <c r="AE38" s="387" t="n"/>
      <c r="AF38" s="387" t="n"/>
      <c r="AG38" s="387" t="n"/>
      <c r="AH38" s="387" t="n"/>
      <c r="AI38" s="387" t="n"/>
      <c r="AJ38" s="387" t="n"/>
      <c r="AK38" s="383" t="n"/>
      <c r="AL38" s="387" t="n"/>
      <c r="AM38" s="383" t="n"/>
      <c r="AN38" s="387" t="n"/>
      <c r="AO38" s="387" t="n"/>
      <c r="AP38" s="387" t="n"/>
      <c r="AQ38" s="387" t="n"/>
      <c r="AR38" s="387" t="n"/>
      <c r="AS38" s="387" t="n"/>
      <c r="AT38" s="387" t="n"/>
      <c r="AU38" s="387" t="n"/>
      <c r="AV38" s="387" t="n"/>
      <c r="AW38" s="387" t="n"/>
      <c r="AX38" s="387" t="n"/>
      <c r="AY38" s="387" t="n"/>
      <c r="AZ38" s="383" t="n"/>
      <c r="BA38" s="387" t="n"/>
      <c r="BB38" s="383" t="n"/>
      <c r="BC38" s="387" t="n"/>
      <c r="BD38" s="387" t="n"/>
      <c r="BE38" s="387" t="n"/>
      <c r="BF38" s="387" t="n"/>
      <c r="BG38" s="387" t="n"/>
      <c r="BH38" s="387" t="n"/>
      <c r="BI38" s="387" t="n"/>
      <c r="BJ38" s="387" t="n"/>
      <c r="BK38" s="387" t="n"/>
      <c r="BL38" s="387" t="n"/>
      <c r="BM38" s="387" t="n"/>
      <c r="BN38" s="387" t="n"/>
      <c r="BO38" s="383" t="n"/>
      <c r="BP38" s="387" t="n"/>
      <c r="BQ38" s="383" t="n"/>
      <c r="BR38" s="387" t="n"/>
      <c r="BS38" s="387" t="n"/>
      <c r="BT38" s="387" t="n"/>
      <c r="BU38" s="387" t="n"/>
      <c r="BV38" s="387" t="n"/>
      <c r="BW38" s="387" t="n"/>
      <c r="BX38" s="387" t="n"/>
      <c r="BY38" s="387" t="n"/>
      <c r="BZ38" s="387" t="n"/>
      <c r="CA38" s="387" t="n"/>
      <c r="CB38" s="387" t="n"/>
      <c r="CC38" s="387" t="n"/>
      <c r="CD38" s="383" t="n"/>
      <c r="CE38" s="387" t="n"/>
      <c r="CF38" s="383" t="n"/>
      <c r="CG38" s="387" t="n"/>
      <c r="CH38" s="387" t="n"/>
      <c r="CI38" s="387" t="n"/>
      <c r="CJ38" s="387" t="n"/>
      <c r="CK38" s="387" t="n"/>
      <c r="CL38" s="387" t="n"/>
      <c r="CM38" s="387" t="n"/>
      <c r="CN38" s="387" t="n"/>
      <c r="CO38" s="387" t="n"/>
      <c r="CP38" s="387" t="n"/>
      <c r="CQ38" s="387" t="n"/>
      <c r="CR38" s="387" t="n"/>
      <c r="CS38" s="383" t="n"/>
      <c r="CT38" s="387" t="n"/>
      <c r="CU38" s="383" t="n"/>
      <c r="CV38" s="387" t="n"/>
      <c r="CW38" s="387" t="n"/>
      <c r="CX38" s="387" t="n"/>
      <c r="CY38" s="387" t="n"/>
      <c r="CZ38" s="383" t="n"/>
      <c r="DA38" s="383" t="n"/>
      <c r="DB38" s="383" t="n"/>
      <c r="DC38" s="383" t="n"/>
      <c r="DD38" s="383" t="n"/>
      <c r="DE38" s="383" t="n"/>
      <c r="DF38" s="383" t="n"/>
      <c r="DG38" s="383" t="n"/>
      <c r="DH38" s="383" t="n"/>
      <c r="DI38" s="387" t="n"/>
    </row>
    <row r="39" ht="3" customHeight="1" s="1883">
      <c r="D39" s="383" t="n"/>
      <c r="E39" s="383" t="n"/>
      <c r="F39" s="383" t="n"/>
      <c r="G39" s="383" t="n"/>
      <c r="H39" s="383" t="n"/>
      <c r="I39" s="383" t="n"/>
      <c r="J39" s="383" t="n"/>
      <c r="K39" s="383" t="n"/>
      <c r="L39" s="383" t="n"/>
      <c r="M39" s="383" t="n"/>
      <c r="N39" s="383" t="n"/>
      <c r="O39" s="383" t="n"/>
      <c r="P39" s="383" t="n"/>
      <c r="Q39" s="383" t="n"/>
      <c r="R39" s="383" t="n"/>
      <c r="S39" s="383" t="n"/>
      <c r="T39" s="383" t="n"/>
      <c r="U39" s="383" t="n"/>
      <c r="V39" s="383" t="n"/>
      <c r="W39" s="383" t="n"/>
      <c r="X39" s="383" t="n"/>
      <c r="Y39" s="383" t="n"/>
      <c r="Z39" s="383" t="n"/>
      <c r="AA39" s="383" t="n"/>
      <c r="AB39" s="383" t="n"/>
      <c r="AC39" s="383" t="n"/>
      <c r="AD39" s="383" t="n"/>
      <c r="AE39" s="383" t="n"/>
      <c r="AF39" s="383" t="n"/>
      <c r="AG39" s="383" t="n"/>
      <c r="AH39" s="383" t="n"/>
      <c r="AI39" s="383" t="n"/>
      <c r="AJ39" s="383" t="n"/>
      <c r="AK39" s="383" t="n"/>
      <c r="AL39" s="383" t="n"/>
      <c r="AM39" s="383" t="n"/>
      <c r="AN39" s="383" t="n"/>
      <c r="AO39" s="383" t="n"/>
      <c r="AP39" s="383" t="n"/>
      <c r="AQ39" s="383" t="n"/>
      <c r="AR39" s="383" t="n"/>
      <c r="AS39" s="383" t="n"/>
      <c r="AT39" s="383" t="n"/>
      <c r="AU39" s="383" t="n"/>
      <c r="AV39" s="383" t="n"/>
      <c r="AW39" s="383" t="n"/>
      <c r="AX39" s="383" t="n"/>
      <c r="AY39" s="383" t="n"/>
      <c r="AZ39" s="383" t="n"/>
      <c r="BA39" s="383" t="n"/>
      <c r="BB39" s="383" t="n"/>
      <c r="BC39" s="383" t="n"/>
      <c r="BD39" s="383" t="n"/>
      <c r="BE39" s="383" t="n"/>
      <c r="BF39" s="383" t="n"/>
      <c r="BG39" s="383" t="n"/>
      <c r="BH39" s="383" t="n"/>
      <c r="BI39" s="383" t="n"/>
      <c r="BJ39" s="383" t="n"/>
      <c r="BK39" s="383" t="n"/>
      <c r="BL39" s="383" t="n"/>
      <c r="BM39" s="383" t="n"/>
      <c r="BN39" s="383" t="n"/>
      <c r="BO39" s="383" t="n"/>
      <c r="BP39" s="383" t="n"/>
      <c r="BQ39" s="383" t="n"/>
      <c r="BR39" s="383" t="n"/>
      <c r="BS39" s="383" t="n"/>
      <c r="BT39" s="383" t="n"/>
      <c r="BU39" s="383" t="n"/>
      <c r="BV39" s="383" t="n"/>
      <c r="BW39" s="383" t="n"/>
      <c r="BX39" s="383" t="n"/>
      <c r="BY39" s="383" t="n"/>
      <c r="BZ39" s="383" t="n"/>
      <c r="CA39" s="383" t="n"/>
      <c r="CB39" s="383" t="n"/>
      <c r="CC39" s="383" t="n"/>
      <c r="CD39" s="383" t="n"/>
      <c r="CE39" s="383" t="n"/>
      <c r="CF39" s="383" t="n"/>
      <c r="CG39" s="383" t="n"/>
      <c r="CH39" s="383" t="n"/>
      <c r="CI39" s="383" t="n"/>
      <c r="CJ39" s="383" t="n"/>
      <c r="CK39" s="383" t="n"/>
      <c r="CL39" s="383" t="n"/>
      <c r="CM39" s="383" t="n"/>
      <c r="CN39" s="383" t="n"/>
      <c r="CO39" s="383" t="n"/>
      <c r="CP39" s="383" t="n"/>
      <c r="CQ39" s="383" t="n"/>
      <c r="CR39" s="383" t="n"/>
      <c r="CS39" s="383" t="n"/>
      <c r="CT39" s="383" t="n"/>
      <c r="CU39" s="383" t="n"/>
      <c r="CV39" s="383" t="n"/>
      <c r="CW39" s="383" t="n"/>
      <c r="CX39" s="383" t="n"/>
      <c r="CY39" s="383" t="n"/>
      <c r="CZ39" s="837" t="n"/>
      <c r="DA39" s="838" t="n"/>
      <c r="DB39" s="839" t="n"/>
      <c r="DC39" s="846" t="n"/>
      <c r="DD39" s="383" t="n"/>
      <c r="DE39" s="383" t="n"/>
      <c r="DF39" s="383" t="n"/>
      <c r="DG39" s="383" t="n"/>
      <c r="DH39" s="383" t="n"/>
      <c r="DI39" s="383" t="n"/>
    </row>
    <row r="40" ht="15" customHeight="1" s="1883">
      <c r="D40" s="383" t="n"/>
      <c r="E40" s="383" t="n"/>
      <c r="F40" s="620" t="inlineStr">
        <is>
          <t>Total Vendor Payments, by Month</t>
        </is>
      </c>
      <c r="G40" s="593" t="n"/>
      <c r="H40" s="593" t="n"/>
      <c r="I40" s="593" t="n"/>
      <c r="J40" s="687" t="n">
        <v>0</v>
      </c>
      <c r="K40" s="687" t="n">
        <v>0</v>
      </c>
      <c r="L40" s="687" t="n">
        <v>0</v>
      </c>
      <c r="M40" s="687" t="n">
        <v>0</v>
      </c>
      <c r="N40" s="687" t="n">
        <v>0</v>
      </c>
      <c r="O40" s="687" t="n">
        <v>0</v>
      </c>
      <c r="P40" s="687" t="n">
        <v>0</v>
      </c>
      <c r="Q40" s="687" t="n">
        <v>0</v>
      </c>
      <c r="R40" s="694" t="n">
        <v>0</v>
      </c>
      <c r="S40" s="694" t="n">
        <v>0</v>
      </c>
      <c r="T40" s="694">
        <f>((T35)+(T37))</f>
        <v/>
      </c>
      <c r="U40" s="694">
        <f>((U35)+(U37))</f>
        <v/>
      </c>
      <c r="V40" s="694" t="n"/>
      <c r="W40" s="694" t="n"/>
      <c r="X40" s="694" t="n"/>
      <c r="Y40" s="694">
        <f>((Y35)+(Y37))</f>
        <v/>
      </c>
      <c r="Z40" s="694">
        <f>((Z35)+(Z37))</f>
        <v/>
      </c>
      <c r="AA40" s="694">
        <f>((AA35)+(AA37))</f>
        <v/>
      </c>
      <c r="AB40" s="694">
        <f>((AB35)+(AB37))</f>
        <v/>
      </c>
      <c r="AC40" s="694">
        <f>((AC35)+(AC37))</f>
        <v/>
      </c>
      <c r="AD40" s="694">
        <f>((AD35)+(AD37))</f>
        <v/>
      </c>
      <c r="AE40" s="694">
        <f>((AE35)+(AE37))</f>
        <v/>
      </c>
      <c r="AF40" s="694">
        <f>((AF35)+(AF37))</f>
        <v/>
      </c>
      <c r="AG40" s="694">
        <f>((AG35)+(AG37))</f>
        <v/>
      </c>
      <c r="AH40" s="694">
        <f>((AH35)+(AH37))</f>
        <v/>
      </c>
      <c r="AI40" s="694">
        <f>((AI35)+(AI37))</f>
        <v/>
      </c>
      <c r="AJ40" s="694">
        <f>((AJ35)+(AJ37))</f>
        <v/>
      </c>
      <c r="AK40" s="593" t="n"/>
      <c r="AL40" s="694">
        <f>((AL35)+(AL37))</f>
        <v/>
      </c>
      <c r="AM40" s="383" t="n"/>
      <c r="AN40" s="694">
        <f>((AN35)+(AN37))</f>
        <v/>
      </c>
      <c r="AO40" s="694">
        <f>((AO35)+(AO37))</f>
        <v/>
      </c>
      <c r="AP40" s="694">
        <f>((AP35)+(AP37))</f>
        <v/>
      </c>
      <c r="AQ40" s="694">
        <f>((AQ35)+(AQ37))</f>
        <v/>
      </c>
      <c r="AR40" s="694">
        <f>((AR35)+(AR37))</f>
        <v/>
      </c>
      <c r="AS40" s="694">
        <f>((AS35)+(AS37))</f>
        <v/>
      </c>
      <c r="AT40" s="694">
        <f>((AT35)+(AT37))</f>
        <v/>
      </c>
      <c r="AU40" s="694">
        <f>((AU35)+(AU37))</f>
        <v/>
      </c>
      <c r="AV40" s="694">
        <f>((AV35)+(AV37))</f>
        <v/>
      </c>
      <c r="AW40" s="694">
        <f>((AW35)+(AW37))</f>
        <v/>
      </c>
      <c r="AX40" s="694">
        <f>((AX35)+(AX37))</f>
        <v/>
      </c>
      <c r="AY40" s="694">
        <f>((AY35)+(AY37))</f>
        <v/>
      </c>
      <c r="AZ40" s="593" t="n"/>
      <c r="BA40" s="694">
        <f>((BA35)+(BA37))</f>
        <v/>
      </c>
      <c r="BB40" s="383" t="n"/>
      <c r="BC40" s="694">
        <f>((BC35)+(BC37))</f>
        <v/>
      </c>
      <c r="BD40" s="694">
        <f>((BD35)+(BD37))</f>
        <v/>
      </c>
      <c r="BE40" s="694">
        <f>((BE35)+(BE37))</f>
        <v/>
      </c>
      <c r="BF40" s="694">
        <f>((BF35)+(BF37))</f>
        <v/>
      </c>
      <c r="BG40" s="694">
        <f>((BG35)+(BG37))</f>
        <v/>
      </c>
      <c r="BH40" s="694">
        <f>((BH35)+(BH37))</f>
        <v/>
      </c>
      <c r="BI40" s="694">
        <f>((BI35)+(BI37))</f>
        <v/>
      </c>
      <c r="BJ40" s="694">
        <f>((BJ35)+(BJ37))</f>
        <v/>
      </c>
      <c r="BK40" s="694">
        <f>((BK35)+(BK37))</f>
        <v/>
      </c>
      <c r="BL40" s="694">
        <f>((BL35)+(BL37))</f>
        <v/>
      </c>
      <c r="BM40" s="694">
        <f>((BM35)+(BM37))</f>
        <v/>
      </c>
      <c r="BN40" s="694">
        <f>((BN35)+(BN37))</f>
        <v/>
      </c>
      <c r="BO40" s="593" t="n"/>
      <c r="BP40" s="694">
        <f>((BP35)+(BP37))</f>
        <v/>
      </c>
      <c r="BQ40" s="383" t="n"/>
      <c r="BR40" s="694">
        <f>((BR35)+(BR37))</f>
        <v/>
      </c>
      <c r="BS40" s="694">
        <f>((BS35)+(BS37))</f>
        <v/>
      </c>
      <c r="BT40" s="694">
        <f>((BT35)+(BT37))</f>
        <v/>
      </c>
      <c r="BU40" s="694">
        <f>((BU35)+(BU37))</f>
        <v/>
      </c>
      <c r="BV40" s="694">
        <f>((BV35)+(BV37))</f>
        <v/>
      </c>
      <c r="BW40" s="694">
        <f>((BW35)+(BW37))</f>
        <v/>
      </c>
      <c r="BX40" s="694">
        <f>((BX35)+(BX37))</f>
        <v/>
      </c>
      <c r="BY40" s="694">
        <f>((BY35)+(BY37))</f>
        <v/>
      </c>
      <c r="BZ40" s="694">
        <f>((BZ35)+(BZ37))</f>
        <v/>
      </c>
      <c r="CA40" s="694">
        <f>((CA35)+(CA37))</f>
        <v/>
      </c>
      <c r="CB40" s="694">
        <f>((CB35)+(CB37))</f>
        <v/>
      </c>
      <c r="CC40" s="694">
        <f>((CC35)+(CC37))</f>
        <v/>
      </c>
      <c r="CD40" s="593" t="n"/>
      <c r="CE40" s="694">
        <f>((CE35)+(CE37))</f>
        <v/>
      </c>
      <c r="CF40" s="383" t="n"/>
      <c r="CG40" s="694">
        <f>((CG35)+(CG37))</f>
        <v/>
      </c>
      <c r="CH40" s="694">
        <f>((CH35)+(CH37))</f>
        <v/>
      </c>
      <c r="CI40" s="694">
        <f>((CI35)+(CI37))</f>
        <v/>
      </c>
      <c r="CJ40" s="694">
        <f>((CJ35)+(CJ37))</f>
        <v/>
      </c>
      <c r="CK40" s="694">
        <f>((CK35)+(CK37))</f>
        <v/>
      </c>
      <c r="CL40" s="694">
        <f>((CL35)+(CL37))</f>
        <v/>
      </c>
      <c r="CM40" s="694">
        <f>((CM35)+(CM37))</f>
        <v/>
      </c>
      <c r="CN40" s="694">
        <f>((CN35)+(CN37))</f>
        <v/>
      </c>
      <c r="CO40" s="694">
        <f>((CO35)+(CO37))</f>
        <v/>
      </c>
      <c r="CP40" s="694">
        <f>((CP35)+(CP37))</f>
        <v/>
      </c>
      <c r="CQ40" s="694">
        <f>((CQ35)+(CQ37))</f>
        <v/>
      </c>
      <c r="CR40" s="694">
        <f>((CR35)+(CR37))</f>
        <v/>
      </c>
      <c r="CS40" s="593" t="n"/>
      <c r="CT40" s="694">
        <f>((CT35)+(CT37))</f>
        <v/>
      </c>
      <c r="CU40" s="383" t="n"/>
      <c r="CV40" s="694">
        <f>((CV35)+(CV37))</f>
        <v/>
      </c>
      <c r="CW40" s="694">
        <f>((CW35)+(CW37))</f>
        <v/>
      </c>
      <c r="CX40" s="694">
        <f>((CX35)+(CX37))</f>
        <v/>
      </c>
      <c r="CY40" s="694">
        <f>((CY35)+(CY37))</f>
        <v/>
      </c>
      <c r="CZ40" s="694">
        <f>((CZ35)+(CZ37))</f>
        <v/>
      </c>
      <c r="DA40" s="694">
        <f>((DA35)+(DA37))</f>
        <v/>
      </c>
      <c r="DB40" s="694">
        <f>((DB35)+(DB37))</f>
        <v/>
      </c>
      <c r="DC40" s="694">
        <f>((DC35)+(DC37))</f>
        <v/>
      </c>
      <c r="DD40" s="694">
        <f>((DD35)+(DD37))</f>
        <v/>
      </c>
      <c r="DE40" s="694">
        <f>((DE35)+(DE37))</f>
        <v/>
      </c>
      <c r="DF40" s="694">
        <f>((DF35)+(DF37))</f>
        <v/>
      </c>
      <c r="DG40" s="694">
        <f>((DG35)+(DG37))</f>
        <v/>
      </c>
      <c r="DH40" s="383" t="n"/>
      <c r="DI40" s="694">
        <f>((DI35)+(DI37))</f>
        <v/>
      </c>
    </row>
    <row r="41" ht="3" customHeight="1" s="1883">
      <c r="D41" s="383" t="n"/>
      <c r="E41" s="383" t="n"/>
      <c r="F41" s="385" t="n"/>
      <c r="G41" s="383" t="n"/>
      <c r="H41" s="383" t="n"/>
      <c r="I41" s="383" t="n"/>
      <c r="J41" s="387" t="n"/>
      <c r="K41" s="387" t="n"/>
      <c r="L41" s="387" t="n"/>
      <c r="M41" s="387" t="n"/>
      <c r="N41" s="387" t="n"/>
      <c r="O41" s="387" t="n"/>
      <c r="P41" s="387" t="n"/>
      <c r="Q41" s="387" t="n"/>
      <c r="R41" s="387" t="n"/>
      <c r="S41" s="387" t="n"/>
      <c r="T41" s="387" t="n"/>
      <c r="U41" s="387" t="n"/>
      <c r="V41" s="1910" t="n"/>
      <c r="W41" s="1910" t="n"/>
      <c r="X41" s="1910" t="n"/>
      <c r="Y41" s="387" t="n"/>
      <c r="Z41" s="387" t="n"/>
      <c r="AA41" s="387" t="n"/>
      <c r="AB41" s="387" t="n"/>
      <c r="AC41" s="387" t="n"/>
      <c r="AD41" s="387" t="n"/>
      <c r="AE41" s="387" t="n"/>
      <c r="AF41" s="387" t="n"/>
      <c r="AG41" s="387" t="n"/>
      <c r="AH41" s="387" t="n"/>
      <c r="AI41" s="387" t="n"/>
      <c r="AJ41" s="387" t="n"/>
      <c r="AK41" s="383" t="n"/>
      <c r="AL41" s="387" t="n"/>
      <c r="AM41" s="383" t="n"/>
      <c r="AN41" s="387" t="n"/>
      <c r="AO41" s="387" t="n"/>
      <c r="AP41" s="387" t="n"/>
      <c r="AQ41" s="387" t="n"/>
      <c r="AR41" s="387" t="n"/>
      <c r="AS41" s="387" t="n"/>
      <c r="AT41" s="387" t="n"/>
      <c r="AU41" s="387" t="n"/>
      <c r="AV41" s="387" t="n"/>
      <c r="AW41" s="387" t="n"/>
      <c r="AX41" s="387" t="n"/>
      <c r="AY41" s="387" t="n"/>
      <c r="AZ41" s="383" t="n"/>
      <c r="BA41" s="387" t="n"/>
      <c r="BB41" s="383" t="n"/>
      <c r="BC41" s="387" t="n"/>
      <c r="BD41" s="387" t="n"/>
      <c r="BE41" s="387" t="n"/>
      <c r="BF41" s="387" t="n"/>
      <c r="BG41" s="387" t="n"/>
      <c r="BH41" s="387" t="n"/>
      <c r="BI41" s="387" t="n"/>
      <c r="BJ41" s="387" t="n"/>
      <c r="BK41" s="387" t="n"/>
      <c r="BL41" s="387" t="n"/>
      <c r="BM41" s="387" t="n"/>
      <c r="BN41" s="387" t="n"/>
      <c r="BO41" s="383" t="n"/>
      <c r="BP41" s="387" t="n"/>
      <c r="BQ41" s="383" t="n"/>
      <c r="BR41" s="387" t="n"/>
      <c r="BS41" s="387" t="n"/>
      <c r="BT41" s="387" t="n"/>
      <c r="BU41" s="387" t="n"/>
      <c r="BV41" s="387" t="n"/>
      <c r="BW41" s="387" t="n"/>
      <c r="BX41" s="387" t="n"/>
      <c r="BY41" s="387" t="n"/>
      <c r="BZ41" s="387" t="n"/>
      <c r="CA41" s="387" t="n"/>
      <c r="CB41" s="387" t="n"/>
      <c r="CC41" s="387" t="n"/>
      <c r="CD41" s="383" t="n"/>
      <c r="CE41" s="387" t="n"/>
      <c r="CF41" s="383" t="n"/>
      <c r="CG41" s="387" t="n"/>
      <c r="CH41" s="387" t="n"/>
      <c r="CI41" s="387" t="n"/>
      <c r="CJ41" s="387" t="n"/>
      <c r="CK41" s="387" t="n"/>
      <c r="CL41" s="387" t="n"/>
      <c r="CM41" s="387" t="n"/>
      <c r="CN41" s="387" t="n"/>
      <c r="CO41" s="387" t="n"/>
      <c r="CP41" s="387" t="n"/>
      <c r="CQ41" s="387" t="n"/>
      <c r="CR41" s="387" t="n"/>
      <c r="CS41" s="383" t="n"/>
      <c r="CT41" s="387" t="n"/>
      <c r="CU41" s="383" t="n"/>
      <c r="CV41" s="387" t="n"/>
      <c r="CW41" s="387" t="n"/>
      <c r="CX41" s="387" t="n"/>
      <c r="CY41" s="387" t="n"/>
      <c r="CZ41" s="383" t="n"/>
      <c r="DA41" s="383" t="n"/>
      <c r="DB41" s="383" t="n"/>
      <c r="DC41" s="383" t="n"/>
      <c r="DD41" s="383" t="n"/>
      <c r="DE41" s="383" t="n"/>
      <c r="DF41" s="383" t="n"/>
      <c r="DG41" s="383" t="n"/>
      <c r="DH41" s="383" t="n"/>
      <c r="DI41" s="383" t="n"/>
    </row>
    <row r="42" ht="3" customHeight="1" s="1883">
      <c r="D42" s="383" t="n"/>
      <c r="E42" s="383" t="n"/>
      <c r="F42" s="385" t="n"/>
      <c r="G42" s="383" t="n"/>
      <c r="H42" s="383" t="n"/>
      <c r="I42" s="383" t="n"/>
      <c r="J42" s="383" t="n"/>
      <c r="K42" s="383" t="n"/>
      <c r="L42" s="383" t="n"/>
      <c r="M42" s="383" t="n"/>
      <c r="N42" s="383" t="n"/>
      <c r="O42" s="383" t="n"/>
      <c r="P42" s="383" t="n"/>
      <c r="Q42" s="383" t="n"/>
      <c r="R42" s="383" t="n"/>
      <c r="S42" s="383" t="n"/>
      <c r="T42" s="383" t="n"/>
      <c r="U42" s="383" t="n"/>
      <c r="V42" s="383" t="n"/>
      <c r="W42" s="383" t="n"/>
      <c r="X42" s="383" t="n"/>
      <c r="Y42" s="383" t="n"/>
      <c r="Z42" s="383" t="n"/>
      <c r="AA42" s="383" t="n"/>
      <c r="AB42" s="383" t="n"/>
      <c r="AC42" s="383" t="n"/>
      <c r="AD42" s="383" t="n"/>
      <c r="AE42" s="383" t="n"/>
      <c r="AF42" s="383" t="n"/>
      <c r="AG42" s="383" t="n"/>
      <c r="AH42" s="383" t="n"/>
      <c r="AI42" s="383" t="n"/>
      <c r="AJ42" s="383" t="n"/>
      <c r="AK42" s="383" t="n"/>
      <c r="AL42" s="383" t="n"/>
      <c r="AM42" s="383" t="n"/>
      <c r="AN42" s="383" t="n"/>
      <c r="AO42" s="383" t="n"/>
      <c r="AP42" s="383" t="n"/>
      <c r="AQ42" s="383" t="n"/>
      <c r="AR42" s="383" t="n"/>
      <c r="AS42" s="383" t="n"/>
      <c r="AT42" s="383" t="n"/>
      <c r="AU42" s="383" t="n"/>
      <c r="AV42" s="383" t="n"/>
      <c r="AW42" s="383" t="n"/>
      <c r="AX42" s="383" t="n"/>
      <c r="AY42" s="383" t="n"/>
      <c r="AZ42" s="383" t="n"/>
      <c r="BA42" s="383" t="n"/>
      <c r="BB42" s="383" t="n"/>
      <c r="BC42" s="383" t="n"/>
      <c r="BD42" s="383" t="n"/>
      <c r="BE42" s="383" t="n"/>
      <c r="BF42" s="383" t="n"/>
      <c r="BG42" s="383" t="n"/>
      <c r="BH42" s="383" t="n"/>
      <c r="BI42" s="383" t="n"/>
      <c r="BJ42" s="383" t="n"/>
      <c r="BK42" s="383" t="n"/>
      <c r="BL42" s="383" t="n"/>
      <c r="BM42" s="383" t="n"/>
      <c r="BN42" s="383" t="n"/>
      <c r="BO42" s="383" t="n"/>
      <c r="BP42" s="383" t="n"/>
      <c r="BQ42" s="383" t="n"/>
      <c r="BR42" s="383" t="n"/>
      <c r="BS42" s="383" t="n"/>
      <c r="BT42" s="383" t="n"/>
      <c r="BU42" s="383" t="n"/>
      <c r="BV42" s="383" t="n"/>
      <c r="BW42" s="383" t="n"/>
      <c r="BX42" s="383" t="n"/>
      <c r="BY42" s="383" t="n"/>
      <c r="BZ42" s="383" t="n"/>
      <c r="CA42" s="383" t="n"/>
      <c r="CB42" s="383" t="n"/>
      <c r="CC42" s="383" t="n"/>
      <c r="CD42" s="383" t="n"/>
      <c r="CE42" s="383" t="n"/>
      <c r="CF42" s="383" t="n"/>
      <c r="CG42" s="383" t="n"/>
      <c r="CH42" s="383" t="n"/>
      <c r="CI42" s="383" t="n"/>
      <c r="CJ42" s="383" t="n"/>
      <c r="CK42" s="383" t="n"/>
      <c r="CL42" s="383" t="n"/>
      <c r="CM42" s="383" t="n"/>
      <c r="CN42" s="383" t="n"/>
      <c r="CO42" s="383" t="n"/>
      <c r="CP42" s="383" t="n"/>
      <c r="CQ42" s="383" t="n"/>
      <c r="CR42" s="383" t="n"/>
      <c r="CS42" s="383" t="n"/>
      <c r="CT42" s="383" t="n"/>
      <c r="CU42" s="383" t="n"/>
      <c r="CV42" s="383" t="n"/>
      <c r="CW42" s="383" t="n"/>
      <c r="CX42" s="383" t="n"/>
      <c r="CY42" s="383" t="n"/>
      <c r="CZ42" s="383" t="n"/>
      <c r="DA42" s="383" t="n"/>
      <c r="DB42" s="383" t="n"/>
      <c r="DC42" s="383" t="n"/>
      <c r="DD42" s="383" t="n"/>
      <c r="DE42" s="383" t="n"/>
      <c r="DF42" s="383" t="n"/>
      <c r="DG42" s="383" t="n"/>
      <c r="DH42" s="383" t="n"/>
      <c r="DI42" s="383" t="n"/>
    </row>
    <row r="43" ht="15" customHeight="1" s="1883">
      <c r="D43" s="383" t="n"/>
      <c r="E43" s="383" t="n"/>
      <c r="F43" s="383" t="n"/>
      <c r="G43" s="383" t="n"/>
      <c r="H43" s="383" t="n"/>
      <c r="I43" s="383" t="n"/>
      <c r="J43" s="383" t="n"/>
      <c r="K43" s="383" t="n"/>
      <c r="L43" s="383" t="n"/>
      <c r="M43" s="383" t="n"/>
      <c r="N43" s="383" t="n"/>
      <c r="O43" s="383" t="n"/>
      <c r="P43" s="383" t="n"/>
      <c r="Q43" s="383" t="n"/>
      <c r="R43" s="383" t="n"/>
      <c r="S43" s="383" t="n"/>
      <c r="T43" s="383" t="n"/>
      <c r="U43" s="383" t="n"/>
      <c r="V43" s="383" t="n"/>
      <c r="W43" s="383" t="n"/>
      <c r="X43" s="383" t="n"/>
      <c r="Y43" s="383" t="n"/>
      <c r="Z43" s="383" t="n"/>
      <c r="AA43" s="383" t="n"/>
      <c r="AB43" s="383" t="n"/>
      <c r="AC43" s="383" t="n"/>
      <c r="AD43" s="383" t="n"/>
      <c r="AE43" s="383" t="n"/>
      <c r="AF43" s="383" t="n"/>
      <c r="AG43" s="383" t="n"/>
      <c r="AH43" s="383" t="n"/>
      <c r="AI43" s="383" t="n"/>
      <c r="AJ43" s="383" t="n"/>
      <c r="AK43" s="383" t="n"/>
      <c r="AL43" s="383" t="n"/>
      <c r="AM43" s="383" t="n"/>
      <c r="AN43" s="383" t="n"/>
      <c r="AO43" s="383" t="n"/>
      <c r="AP43" s="383" t="n"/>
      <c r="AQ43" s="383" t="n"/>
      <c r="AR43" s="383" t="n"/>
      <c r="AS43" s="383" t="n"/>
      <c r="AT43" s="383" t="n"/>
      <c r="AU43" s="383" t="n"/>
      <c r="AV43" s="383" t="n"/>
      <c r="AW43" s="383" t="n"/>
      <c r="AX43" s="383" t="n"/>
      <c r="AY43" s="383" t="n"/>
      <c r="AZ43" s="383" t="n"/>
      <c r="BA43" s="383" t="n"/>
      <c r="BB43" s="383" t="n"/>
      <c r="BC43" s="383" t="n"/>
      <c r="BD43" s="383" t="n"/>
      <c r="BE43" s="383" t="n"/>
      <c r="BF43" s="383" t="n"/>
      <c r="BG43" s="383" t="n"/>
      <c r="BH43" s="383" t="n"/>
      <c r="BI43" s="383" t="n"/>
      <c r="BJ43" s="383" t="n"/>
      <c r="BK43" s="383" t="n"/>
      <c r="BL43" s="383" t="n"/>
      <c r="BM43" s="383" t="n"/>
      <c r="BN43" s="383" t="n"/>
      <c r="BO43" s="383" t="n"/>
      <c r="BP43" s="383" t="n"/>
      <c r="BQ43" s="383" t="n"/>
      <c r="BR43" s="383" t="n"/>
      <c r="BS43" s="383" t="n"/>
      <c r="BT43" s="383" t="n"/>
      <c r="BU43" s="383" t="n"/>
      <c r="BV43" s="383" t="n"/>
      <c r="BW43" s="383" t="n"/>
      <c r="BX43" s="383" t="n"/>
      <c r="BY43" s="383" t="n"/>
      <c r="BZ43" s="383" t="n"/>
      <c r="CA43" s="383" t="n"/>
      <c r="CB43" s="383" t="n"/>
      <c r="CC43" s="383" t="n"/>
      <c r="CD43" s="383" t="n"/>
      <c r="CE43" s="383" t="n"/>
      <c r="CF43" s="383" t="n"/>
      <c r="CG43" s="383" t="n"/>
      <c r="CH43" s="383" t="n"/>
      <c r="CI43" s="383" t="n"/>
      <c r="CJ43" s="383" t="n"/>
      <c r="CK43" s="383" t="n"/>
      <c r="CL43" s="383" t="n"/>
      <c r="CM43" s="383" t="n"/>
      <c r="CN43" s="383" t="n"/>
      <c r="CO43" s="383" t="n"/>
      <c r="CP43" s="383" t="n"/>
      <c r="CQ43" s="383" t="n"/>
      <c r="CR43" s="383" t="n"/>
      <c r="CS43" s="383" t="n"/>
      <c r="CT43" s="383" t="n"/>
      <c r="CU43" s="383" t="n"/>
      <c r="CV43" s="383" t="n"/>
      <c r="CW43" s="383" t="n"/>
      <c r="CX43" s="383" t="n"/>
      <c r="CY43" s="383" t="n"/>
      <c r="CZ43" s="383" t="n"/>
      <c r="DA43" s="383" t="n"/>
      <c r="DB43" s="383" t="n"/>
      <c r="DC43" s="383" t="n"/>
      <c r="DD43" s="383" t="n"/>
      <c r="DE43" s="383" t="n"/>
      <c r="DF43" s="383" t="n"/>
      <c r="DG43" s="383" t="n"/>
      <c r="DH43" s="383" t="n"/>
      <c r="DI43" s="383" t="n"/>
    </row>
    <row r="44" ht="15" customHeight="1" s="1883">
      <c r="D44" s="383" t="n"/>
      <c r="E44" s="383" t="n"/>
      <c r="F44" s="854" t="inlineStr">
        <is>
          <t>COGS Check</t>
        </is>
      </c>
      <c r="G44" s="825" t="n"/>
      <c r="H44" s="825" t="n"/>
      <c r="I44" s="825" t="n"/>
      <c r="J44" s="825" t="n"/>
      <c r="K44" s="825" t="n"/>
      <c r="L44" s="825" t="n"/>
      <c r="M44" s="825" t="n"/>
      <c r="N44" s="825" t="n"/>
      <c r="O44" s="825" t="n"/>
      <c r="P44" s="825" t="n"/>
      <c r="Q44" s="825" t="n"/>
      <c r="R44" s="825" t="n"/>
      <c r="S44" s="825" t="n"/>
      <c r="T44" s="825" t="n"/>
      <c r="U44" s="825" t="n"/>
      <c r="V44" s="825" t="n"/>
      <c r="W44" s="825" t="n"/>
      <c r="X44" s="825" t="n"/>
      <c r="Y44" s="855">
        <f>((U35)+(Y37))</f>
        <v/>
      </c>
      <c r="Z44" s="855">
        <f>((Y35)+(Z37))</f>
        <v/>
      </c>
      <c r="AA44" s="855">
        <f>((Z35)+(AA37))</f>
        <v/>
      </c>
      <c r="AB44" s="855">
        <f>((AA35)+(AB37))</f>
        <v/>
      </c>
      <c r="AC44" s="855">
        <f>((AB35)+(AC37))</f>
        <v/>
      </c>
      <c r="AD44" s="855">
        <f>((AC35)+(AD37))</f>
        <v/>
      </c>
      <c r="AE44" s="855">
        <f>((AD35)+(AE37))</f>
        <v/>
      </c>
      <c r="AF44" s="855">
        <f>((AE35)+(AF37))</f>
        <v/>
      </c>
      <c r="AG44" s="855">
        <f>((AF35)+(AG37))</f>
        <v/>
      </c>
      <c r="AH44" s="855">
        <f>((AG35)+(AH37))</f>
        <v/>
      </c>
      <c r="AI44" s="855">
        <f>((AH35)+(AI37))</f>
        <v/>
      </c>
      <c r="AJ44" s="855">
        <f>((AI35)+(AJ37))</f>
        <v/>
      </c>
      <c r="AK44" s="825" t="n"/>
      <c r="AL44" s="855">
        <f>SUM(Y44:AJ44)</f>
        <v/>
      </c>
      <c r="AM44" s="383" t="n"/>
      <c r="AN44" s="855">
        <f>((AJ35)+(AN37))</f>
        <v/>
      </c>
      <c r="AO44" s="855">
        <f>((AN35)+(AO37))</f>
        <v/>
      </c>
      <c r="AP44" s="855">
        <f>((AO35)+(AP37))</f>
        <v/>
      </c>
      <c r="AQ44" s="855">
        <f>((AP35)+(AQ37))</f>
        <v/>
      </c>
      <c r="AR44" s="855">
        <f>((AQ35)+(AR37))</f>
        <v/>
      </c>
      <c r="AS44" s="855">
        <f>((AR35)+(AS37))</f>
        <v/>
      </c>
      <c r="AT44" s="855">
        <f>((AS35)+(AT37))</f>
        <v/>
      </c>
      <c r="AU44" s="855">
        <f>((AT35)+(AU37))</f>
        <v/>
      </c>
      <c r="AV44" s="855">
        <f>((AU35)+(AV37))</f>
        <v/>
      </c>
      <c r="AW44" s="855">
        <f>((AV35)+(AW37))</f>
        <v/>
      </c>
      <c r="AX44" s="855">
        <f>((AW35)+(AX37))</f>
        <v/>
      </c>
      <c r="AY44" s="855">
        <f>((AX35)+(AY37))</f>
        <v/>
      </c>
      <c r="AZ44" s="825" t="n"/>
      <c r="BA44" s="855">
        <f>SUM(AN44:AY44)</f>
        <v/>
      </c>
      <c r="BB44" s="383" t="n"/>
      <c r="BC44" s="855">
        <f>((AY35)+(BC37))</f>
        <v/>
      </c>
      <c r="BD44" s="855">
        <f>((BC35)+(BD37))</f>
        <v/>
      </c>
      <c r="BE44" s="855">
        <f>((BD35)+(BE37))</f>
        <v/>
      </c>
      <c r="BF44" s="855">
        <f>((BE35)+(BF37))</f>
        <v/>
      </c>
      <c r="BG44" s="855">
        <f>((BF35)+(BG37))</f>
        <v/>
      </c>
      <c r="BH44" s="855">
        <f>((BG35)+(BH37))</f>
        <v/>
      </c>
      <c r="BI44" s="855">
        <f>((BH35)+(BI37))</f>
        <v/>
      </c>
      <c r="BJ44" s="855">
        <f>((BI35)+(BJ37))</f>
        <v/>
      </c>
      <c r="BK44" s="855">
        <f>((BJ35)+(BK37))</f>
        <v/>
      </c>
      <c r="BL44" s="855">
        <f>((BK35)+(BL37))</f>
        <v/>
      </c>
      <c r="BM44" s="855">
        <f>((BL35)+(BM37))</f>
        <v/>
      </c>
      <c r="BN44" s="855">
        <f>((BM35)+(BN37))</f>
        <v/>
      </c>
      <c r="BO44" s="825" t="n"/>
      <c r="BP44" s="855">
        <f>SUM(BC44:BN44)</f>
        <v/>
      </c>
      <c r="BQ44" s="383" t="n"/>
      <c r="BR44" s="855">
        <f>((BN35)+(BR37))</f>
        <v/>
      </c>
      <c r="BS44" s="855">
        <f>((BR35)+(BS37))</f>
        <v/>
      </c>
      <c r="BT44" s="855">
        <f>((BS35)+(BT37))</f>
        <v/>
      </c>
      <c r="BU44" s="855">
        <f>((BT35)+(BU37))</f>
        <v/>
      </c>
      <c r="BV44" s="855">
        <f>((BU35)+(BV37))</f>
        <v/>
      </c>
      <c r="BW44" s="855">
        <f>((BV35)+(BW37))</f>
        <v/>
      </c>
      <c r="BX44" s="855">
        <f>((BW35)+(BX37))</f>
        <v/>
      </c>
      <c r="BY44" s="855">
        <f>((BX35)+(BY37))</f>
        <v/>
      </c>
      <c r="BZ44" s="855">
        <f>((BY35)+(BZ37))</f>
        <v/>
      </c>
      <c r="CA44" s="855">
        <f>((BZ35)+(CA37))</f>
        <v/>
      </c>
      <c r="CB44" s="855">
        <f>((CA35)+(CB37))</f>
        <v/>
      </c>
      <c r="CC44" s="855">
        <f>((CB35)+(CC37))</f>
        <v/>
      </c>
      <c r="CD44" s="825" t="n"/>
      <c r="CE44" s="855">
        <f>SUM(BR44:CC44)</f>
        <v/>
      </c>
      <c r="CF44" s="383" t="n"/>
      <c r="CG44" s="855">
        <f>((CC35)+(CG37))</f>
        <v/>
      </c>
      <c r="CH44" s="855">
        <f>((CG35)+(CH37))</f>
        <v/>
      </c>
      <c r="CI44" s="855">
        <f>((CH35)+(CI37))</f>
        <v/>
      </c>
      <c r="CJ44" s="855">
        <f>((CI35)+(CJ37))</f>
        <v/>
      </c>
      <c r="CK44" s="855">
        <f>((CJ35)+(CK37))</f>
        <v/>
      </c>
      <c r="CL44" s="855">
        <f>((CK35)+(CL37))</f>
        <v/>
      </c>
      <c r="CM44" s="855">
        <f>((CL35)+(CM37))</f>
        <v/>
      </c>
      <c r="CN44" s="855">
        <f>((CM35)+(CN37))</f>
        <v/>
      </c>
      <c r="CO44" s="855">
        <f>((CN35)+(CO37))</f>
        <v/>
      </c>
      <c r="CP44" s="855">
        <f>((CO35)+(CP37))</f>
        <v/>
      </c>
      <c r="CQ44" s="855">
        <f>((CP35)+(CQ37))</f>
        <v/>
      </c>
      <c r="CR44" s="855">
        <f>((CQ35)+(CR37))</f>
        <v/>
      </c>
      <c r="CS44" s="825" t="n"/>
      <c r="CT44" s="855">
        <f>SUM(CG44:CR44)</f>
        <v/>
      </c>
      <c r="CU44" s="383" t="n"/>
      <c r="CV44" s="855">
        <f>((CR35)+(CV37))</f>
        <v/>
      </c>
      <c r="CW44" s="855">
        <f>((CV35)+(CW37))</f>
        <v/>
      </c>
      <c r="CX44" s="855">
        <f>((CW35)+(CX37))</f>
        <v/>
      </c>
      <c r="CY44" s="855">
        <f>((CX35)+(CY37))</f>
        <v/>
      </c>
      <c r="CZ44" s="855">
        <f>((CY35)+(CZ37))</f>
        <v/>
      </c>
      <c r="DA44" s="855">
        <f>((CZ35)+(DA37))</f>
        <v/>
      </c>
      <c r="DB44" s="855">
        <f>((DA35)+(DB37))</f>
        <v/>
      </c>
      <c r="DC44" s="855">
        <f>((DB35)+(DC37))</f>
        <v/>
      </c>
      <c r="DD44" s="855">
        <f>((DC35)+(DD37))</f>
        <v/>
      </c>
      <c r="DE44" s="855">
        <f>((DD35)+(DE37))</f>
        <v/>
      </c>
      <c r="DF44" s="855">
        <f>((DE35)+(DF37))</f>
        <v/>
      </c>
      <c r="DG44" s="855">
        <f>((DF35)+(DG37))</f>
        <v/>
      </c>
      <c r="DH44" s="1643" t="n"/>
      <c r="DI44" s="855">
        <f>SUM(CV44:DG44)</f>
        <v/>
      </c>
    </row>
    <row r="45" ht="15" customHeight="1" s="1883" thickBot="1">
      <c r="D45" s="383" t="n"/>
      <c r="E45" s="383" t="n"/>
      <c r="F45" s="854" t="inlineStr">
        <is>
          <t>COGS Check</t>
        </is>
      </c>
      <c r="G45" s="825" t="n"/>
      <c r="H45" s="825" t="n"/>
      <c r="I45" s="825" t="n"/>
      <c r="J45" s="825" t="n"/>
      <c r="K45" s="825" t="n"/>
      <c r="L45" s="825" t="n"/>
      <c r="M45" s="825" t="n"/>
      <c r="N45" s="825" t="n"/>
      <c r="O45" s="825" t="n"/>
      <c r="P45" s="825" t="n"/>
      <c r="Q45" s="825" t="n"/>
      <c r="R45" s="825" t="n"/>
      <c r="S45" s="825" t="n"/>
      <c r="T45" s="825" t="n"/>
      <c r="U45" s="828">
        <f>((Y33)-(Y44))</f>
        <v/>
      </c>
      <c r="V45" s="825" t="n"/>
      <c r="W45" s="825" t="n"/>
      <c r="X45" s="825" t="n"/>
      <c r="Y45" s="828">
        <f>((Y33)-(Y44))</f>
        <v/>
      </c>
      <c r="Z45" s="828">
        <f>((Z33)-(Z44))</f>
        <v/>
      </c>
      <c r="AA45" s="828">
        <f>((AA33)-(AA44))</f>
        <v/>
      </c>
      <c r="AB45" s="828">
        <f>((AB33)-(AB44))</f>
        <v/>
      </c>
      <c r="AC45" s="828">
        <f>((AC33)-(AC44))</f>
        <v/>
      </c>
      <c r="AD45" s="828">
        <f>((AD33)-(AD44))</f>
        <v/>
      </c>
      <c r="AE45" s="828">
        <f>((AE33)-(AE44))</f>
        <v/>
      </c>
      <c r="AF45" s="828">
        <f>((AF33)-(AF44))</f>
        <v/>
      </c>
      <c r="AG45" s="828">
        <f>((AG33)-(AG44))</f>
        <v/>
      </c>
      <c r="AH45" s="828">
        <f>((AH33)-(AH44))</f>
        <v/>
      </c>
      <c r="AI45" s="828">
        <f>((AI33)-(AI44))</f>
        <v/>
      </c>
      <c r="AJ45" s="828">
        <f>((AJ33)-(AJ44))</f>
        <v/>
      </c>
      <c r="AK45" s="825" t="n"/>
      <c r="AL45" s="828">
        <f>((AL33)-(AL44))</f>
        <v/>
      </c>
      <c r="AM45" s="383" t="n"/>
      <c r="AN45" s="828">
        <f>((AN33)-(AN44))</f>
        <v/>
      </c>
      <c r="AO45" s="828">
        <f>((AO33)-(AO44))</f>
        <v/>
      </c>
      <c r="AP45" s="828">
        <f>((AP33)-(AP44))</f>
        <v/>
      </c>
      <c r="AQ45" s="828">
        <f>((AQ33)-(AQ44))</f>
        <v/>
      </c>
      <c r="AR45" s="828">
        <f>((AR33)-(AR44))</f>
        <v/>
      </c>
      <c r="AS45" s="828">
        <f>((AS33)-(AS44))</f>
        <v/>
      </c>
      <c r="AT45" s="828">
        <f>((AT33)-(AT44))</f>
        <v/>
      </c>
      <c r="AU45" s="828">
        <f>((AU33)-(AU44))</f>
        <v/>
      </c>
      <c r="AV45" s="828">
        <f>((AV33)-(AV44))</f>
        <v/>
      </c>
      <c r="AW45" s="828">
        <f>((AW33)-(AW44))</f>
        <v/>
      </c>
      <c r="AX45" s="828">
        <f>((AX33)-(AX44))</f>
        <v/>
      </c>
      <c r="AY45" s="828">
        <f>((AY33)-(AY44))</f>
        <v/>
      </c>
      <c r="AZ45" s="825" t="n"/>
      <c r="BA45" s="828">
        <f>((BA33)-(BA44))</f>
        <v/>
      </c>
      <c r="BB45" s="383" t="n"/>
      <c r="BC45" s="828">
        <f>((BC33)-(BC44))</f>
        <v/>
      </c>
      <c r="BD45" s="828">
        <f>((BD33)-(BD44))</f>
        <v/>
      </c>
      <c r="BE45" s="828">
        <f>((BE33)-(BE44))</f>
        <v/>
      </c>
      <c r="BF45" s="828">
        <f>((BF33)-(BF44))</f>
        <v/>
      </c>
      <c r="BG45" s="828">
        <f>((BG33)-(BG44))</f>
        <v/>
      </c>
      <c r="BH45" s="828">
        <f>((BH33)-(BH44))</f>
        <v/>
      </c>
      <c r="BI45" s="828">
        <f>((BI33)-(BI44))</f>
        <v/>
      </c>
      <c r="BJ45" s="828">
        <f>((BJ33)-(BJ44))</f>
        <v/>
      </c>
      <c r="BK45" s="828">
        <f>((BK33)-(BK44))</f>
        <v/>
      </c>
      <c r="BL45" s="828">
        <f>((BL33)-(BL44))</f>
        <v/>
      </c>
      <c r="BM45" s="828">
        <f>((BM33)-(BM44))</f>
        <v/>
      </c>
      <c r="BN45" s="828">
        <f>((BN33)-(BN44))</f>
        <v/>
      </c>
      <c r="BO45" s="825" t="n"/>
      <c r="BP45" s="828">
        <f>((BP33)-(BP44))</f>
        <v/>
      </c>
      <c r="BQ45" s="383" t="n"/>
      <c r="BR45" s="828">
        <f>((BR33)-(BR44))</f>
        <v/>
      </c>
      <c r="BS45" s="828">
        <f>((BS33)-(BS44))</f>
        <v/>
      </c>
      <c r="BT45" s="828">
        <f>((BT33)-(BT44))</f>
        <v/>
      </c>
      <c r="BU45" s="828">
        <f>((BU33)-(BU44))</f>
        <v/>
      </c>
      <c r="BV45" s="828">
        <f>((BV33)-(BV44))</f>
        <v/>
      </c>
      <c r="BW45" s="828">
        <f>((BW33)-(BW44))</f>
        <v/>
      </c>
      <c r="BX45" s="828">
        <f>((BX33)-(BX44))</f>
        <v/>
      </c>
      <c r="BY45" s="828">
        <f>((BY33)-(BY44))</f>
        <v/>
      </c>
      <c r="BZ45" s="828">
        <f>((BZ33)-(BZ44))</f>
        <v/>
      </c>
      <c r="CA45" s="828">
        <f>((CA33)-(CA44))</f>
        <v/>
      </c>
      <c r="CB45" s="828">
        <f>((CB33)-(CB44))</f>
        <v/>
      </c>
      <c r="CC45" s="828">
        <f>((CC33)-(CC44))</f>
        <v/>
      </c>
      <c r="CD45" s="825" t="n"/>
      <c r="CE45" s="828">
        <f>((CE33)-(CE44))</f>
        <v/>
      </c>
      <c r="CF45" s="383" t="n"/>
      <c r="CG45" s="828">
        <f>((CG33)-(CG44))</f>
        <v/>
      </c>
      <c r="CH45" s="828">
        <f>((CH33)-(CH44))</f>
        <v/>
      </c>
      <c r="CI45" s="828">
        <f>((CI33)-(CI44))</f>
        <v/>
      </c>
      <c r="CJ45" s="828">
        <f>((CJ33)-(CJ44))</f>
        <v/>
      </c>
      <c r="CK45" s="828">
        <f>((CK33)-(CK44))</f>
        <v/>
      </c>
      <c r="CL45" s="828">
        <f>((CL33)-(CL44))</f>
        <v/>
      </c>
      <c r="CM45" s="828">
        <f>((CM33)-(CM44))</f>
        <v/>
      </c>
      <c r="CN45" s="828">
        <f>((CN33)-(CN44))</f>
        <v/>
      </c>
      <c r="CO45" s="828">
        <f>((CO33)-(CO44))</f>
        <v/>
      </c>
      <c r="CP45" s="828">
        <f>((CP33)-(CP44))</f>
        <v/>
      </c>
      <c r="CQ45" s="828">
        <f>((CQ33)-(CQ44))</f>
        <v/>
      </c>
      <c r="CR45" s="828">
        <f>((CR33)-(CR44))</f>
        <v/>
      </c>
      <c r="CS45" s="825" t="n"/>
      <c r="CT45" s="828">
        <f>((CT33)-(CT44))</f>
        <v/>
      </c>
      <c r="CU45" s="383" t="n"/>
      <c r="CV45" s="828">
        <f>((CV33)-(CV44))</f>
        <v/>
      </c>
      <c r="CW45" s="828">
        <f>((CW33)-(CW44))</f>
        <v/>
      </c>
      <c r="CX45" s="828">
        <f>((CX33)-(CX44))</f>
        <v/>
      </c>
      <c r="CY45" s="828">
        <f>((CY33)-(CY44))</f>
        <v/>
      </c>
      <c r="CZ45" s="828">
        <f>((CZ33)-(CZ44))</f>
        <v/>
      </c>
      <c r="DA45" s="828">
        <f>((DA33)-(DA44))</f>
        <v/>
      </c>
      <c r="DB45" s="828">
        <f>((DB33)-(DB44))</f>
        <v/>
      </c>
      <c r="DC45" s="828">
        <f>((DC33)-(DC44))</f>
        <v/>
      </c>
      <c r="DD45" s="828">
        <f>((DD33)-(DD44))</f>
        <v/>
      </c>
      <c r="DE45" s="828">
        <f>((DE33)-(DE44))</f>
        <v/>
      </c>
      <c r="DF45" s="828">
        <f>((DF33)-(DF44))</f>
        <v/>
      </c>
      <c r="DG45" s="828">
        <f>((DG33)-(DG44))</f>
        <v/>
      </c>
      <c r="DH45" s="825" t="n"/>
      <c r="DI45" s="828">
        <f>((DI33)-(DI44))</f>
        <v/>
      </c>
    </row>
    <row r="46" ht="15" customHeight="1" s="1883" thickBot="1">
      <c r="D46" s="383" t="n"/>
      <c r="E46" s="383" t="n"/>
      <c r="F46" s="383" t="n"/>
      <c r="G46" s="383" t="n"/>
      <c r="H46" s="383" t="n"/>
      <c r="I46" s="383" t="n"/>
      <c r="J46" s="383" t="n"/>
      <c r="K46" s="383" t="n"/>
      <c r="L46" s="383" t="n"/>
      <c r="M46" s="383" t="n"/>
      <c r="N46" s="383" t="n"/>
      <c r="O46" s="383" t="n"/>
      <c r="P46" s="383" t="n"/>
      <c r="Q46" s="383" t="n"/>
      <c r="R46" s="383" t="n"/>
      <c r="S46" s="383" t="n"/>
      <c r="T46" s="383" t="n"/>
      <c r="U46" s="1894">
        <f>G68</f>
        <v/>
      </c>
      <c r="V46" s="1895" t="n"/>
      <c r="W46" s="1895" t="n"/>
      <c r="X46" s="1895" t="n"/>
      <c r="Y46" s="1895" t="n"/>
      <c r="Z46" s="1895" t="n"/>
      <c r="AA46" s="1895" t="n"/>
      <c r="AB46" s="1895" t="n"/>
      <c r="AC46" s="1895" t="n"/>
      <c r="AD46" s="1895" t="n"/>
      <c r="AE46" s="1895" t="n"/>
      <c r="AF46" s="1895" t="n"/>
      <c r="AG46" s="1895" t="n"/>
      <c r="AH46" s="1895" t="n"/>
      <c r="AI46" s="1895" t="n"/>
      <c r="AJ46" s="1895" t="n"/>
      <c r="AK46" s="1895" t="n"/>
      <c r="AL46" s="1895" t="n"/>
      <c r="AM46" s="1895" t="n"/>
      <c r="AN46" s="1895" t="n"/>
      <c r="AO46" s="1895" t="n"/>
      <c r="AP46" s="1896" t="n"/>
      <c r="AQ46" s="1894">
        <f>G69</f>
        <v/>
      </c>
      <c r="AR46" s="1895" t="n"/>
      <c r="AS46" s="1895" t="n"/>
      <c r="AT46" s="1895" t="n"/>
      <c r="AU46" s="1895" t="n"/>
      <c r="AV46" s="1895" t="n"/>
      <c r="AW46" s="1895" t="n"/>
      <c r="AX46" s="1895" t="n"/>
      <c r="AY46" s="1895" t="n"/>
      <c r="AZ46" s="1895" t="n"/>
      <c r="BA46" s="1895" t="n"/>
      <c r="BB46" s="1895" t="n"/>
      <c r="BC46" s="1895" t="n"/>
      <c r="BD46" s="1895" t="n"/>
      <c r="BE46" s="1896" t="n"/>
      <c r="BF46" s="1894">
        <f>G70</f>
        <v/>
      </c>
      <c r="BG46" s="1895" t="n"/>
      <c r="BH46" s="1895" t="n"/>
      <c r="BI46" s="1895" t="n"/>
      <c r="BJ46" s="1895" t="n"/>
      <c r="BK46" s="1895" t="n"/>
      <c r="BL46" s="1895" t="n"/>
      <c r="BM46" s="1895" t="n"/>
      <c r="BN46" s="1895" t="n"/>
      <c r="BO46" s="1895" t="n"/>
      <c r="BP46" s="1895" t="n"/>
      <c r="BQ46" s="1895" t="n"/>
      <c r="BR46" s="1895" t="n"/>
      <c r="BS46" s="1895" t="n"/>
      <c r="BT46" s="1896" t="n"/>
      <c r="BU46" s="1894">
        <f>G71</f>
        <v/>
      </c>
      <c r="BV46" s="1895" t="n"/>
      <c r="BW46" s="1895" t="n"/>
      <c r="BX46" s="1895" t="n"/>
      <c r="BY46" s="1895" t="n"/>
      <c r="BZ46" s="1895" t="n"/>
      <c r="CA46" s="1895" t="n"/>
      <c r="CB46" s="1895" t="n"/>
      <c r="CC46" s="1895" t="n"/>
      <c r="CD46" s="1895" t="n"/>
      <c r="CE46" s="1895" t="n"/>
      <c r="CF46" s="1895" t="n"/>
      <c r="CG46" s="1895" t="n"/>
      <c r="CH46" s="1895" t="n"/>
      <c r="CI46" s="1896" t="n"/>
      <c r="CJ46" s="1894">
        <f>G72</f>
        <v/>
      </c>
      <c r="CK46" s="1895" t="n"/>
      <c r="CL46" s="1895" t="n"/>
      <c r="CM46" s="1895" t="n"/>
      <c r="CN46" s="1895" t="n"/>
      <c r="CO46" s="1895" t="n"/>
      <c r="CP46" s="1895" t="n"/>
      <c r="CQ46" s="1895" t="n"/>
      <c r="CR46" s="1895" t="n"/>
      <c r="CS46" s="1895" t="n"/>
      <c r="CT46" s="1895" t="n"/>
      <c r="CU46" s="1895" t="n"/>
      <c r="CV46" s="1895" t="n"/>
      <c r="CW46" s="1895" t="n"/>
      <c r="CX46" s="1896" t="n"/>
      <c r="CY46" s="1894">
        <f>G73</f>
        <v/>
      </c>
      <c r="CZ46" s="1895" t="n"/>
      <c r="DA46" s="1895" t="n"/>
      <c r="DB46" s="1895" t="n"/>
      <c r="DC46" s="1895" t="n"/>
      <c r="DD46" s="1895" t="n"/>
      <c r="DE46" s="1895" t="n"/>
      <c r="DF46" s="1895" t="n"/>
      <c r="DG46" s="1895" t="n"/>
      <c r="DH46" s="1895" t="n"/>
      <c r="DI46" s="1895" t="n"/>
      <c r="DJ46" s="1895" t="n"/>
      <c r="DK46" s="1895" t="n"/>
      <c r="DL46" s="1895" t="n"/>
      <c r="DM46" s="1896" t="n"/>
    </row>
    <row r="47" ht="15" customHeight="1" s="1883" thickBot="1">
      <c r="D47" s="383" t="n"/>
      <c r="E47" s="383" t="n"/>
      <c r="F47" s="856" t="inlineStr">
        <is>
          <t>Deposit</t>
        </is>
      </c>
      <c r="G47" s="383" t="n"/>
      <c r="H47" s="383" t="n"/>
      <c r="I47" s="383" t="n"/>
      <c r="J47" s="383" t="n"/>
      <c r="K47" s="383" t="n"/>
      <c r="L47" s="383" t="n"/>
      <c r="M47" s="383" t="n"/>
      <c r="N47" s="383" t="n"/>
      <c r="O47" s="383" t="n"/>
      <c r="P47" s="383" t="n"/>
      <c r="Q47" s="383" t="n"/>
      <c r="U47" s="1898" t="inlineStr">
        <is>
          <t>Unit Cost (Deposit) - Orders Placed With Vendor Months -1 - 15</t>
        </is>
      </c>
      <c r="V47" s="1895" t="n"/>
      <c r="W47" s="1895" t="n"/>
      <c r="X47" s="1895" t="n"/>
      <c r="Y47" s="1895" t="n"/>
      <c r="Z47" s="1895" t="n"/>
      <c r="AA47" s="1895" t="n"/>
      <c r="AB47" s="1895" t="n"/>
      <c r="AC47" s="1895" t="n"/>
      <c r="AD47" s="1895" t="n"/>
      <c r="AE47" s="1895" t="n"/>
      <c r="AF47" s="1895" t="n"/>
      <c r="AG47" s="1895" t="n"/>
      <c r="AH47" s="1895" t="n"/>
      <c r="AI47" s="1895" t="n"/>
      <c r="AJ47" s="1895" t="n"/>
      <c r="AK47" s="1895" t="n"/>
      <c r="AL47" s="1895" t="n"/>
      <c r="AM47" s="1895" t="n"/>
      <c r="AN47" s="1895" t="n"/>
      <c r="AO47" s="1895" t="n"/>
      <c r="AP47" s="1896" t="n"/>
      <c r="AQ47" s="1898" t="inlineStr">
        <is>
          <t>Unit Cost (Deposit) - Orders Placed With Vendor Months 16 - 27</t>
        </is>
      </c>
      <c r="AR47" s="1895" t="n"/>
      <c r="AS47" s="1895" t="n"/>
      <c r="AT47" s="1895" t="n"/>
      <c r="AU47" s="1895" t="n"/>
      <c r="AV47" s="1895" t="n"/>
      <c r="AW47" s="1895" t="n"/>
      <c r="AX47" s="1895" t="n"/>
      <c r="AY47" s="1895" t="n"/>
      <c r="AZ47" s="1895" t="n"/>
      <c r="BA47" s="1895" t="n"/>
      <c r="BB47" s="1895" t="n"/>
      <c r="BC47" s="1895" t="n"/>
      <c r="BD47" s="1895" t="n"/>
      <c r="BE47" s="1896" t="n"/>
      <c r="BF47" s="1898" t="inlineStr">
        <is>
          <t>Unit Cost (Deposit) - Orders Placed With Vendor Months 28 - 39</t>
        </is>
      </c>
      <c r="BG47" s="1895" t="n"/>
      <c r="BH47" s="1895" t="n"/>
      <c r="BI47" s="1895" t="n"/>
      <c r="BJ47" s="1895" t="n"/>
      <c r="BK47" s="1895" t="n"/>
      <c r="BL47" s="1895" t="n"/>
      <c r="BM47" s="1895" t="n"/>
      <c r="BN47" s="1895" t="n"/>
      <c r="BO47" s="1895" t="n"/>
      <c r="BP47" s="1895" t="n"/>
      <c r="BQ47" s="1895" t="n"/>
      <c r="BR47" s="1895" t="n"/>
      <c r="BS47" s="1895" t="n"/>
      <c r="BT47" s="1896" t="n"/>
      <c r="BU47" s="1898" t="inlineStr">
        <is>
          <t>Unit Cost (Deposit) - Orders Placed With Vendor Months 40 - 51</t>
        </is>
      </c>
      <c r="BV47" s="1895" t="n"/>
      <c r="BW47" s="1895" t="n"/>
      <c r="BX47" s="1895" t="n"/>
      <c r="BY47" s="1895" t="n"/>
      <c r="BZ47" s="1895" t="n"/>
      <c r="CA47" s="1895" t="n"/>
      <c r="CB47" s="1895" t="n"/>
      <c r="CC47" s="1895" t="n"/>
      <c r="CD47" s="1895" t="n"/>
      <c r="CE47" s="1895" t="n"/>
      <c r="CF47" s="1895" t="n"/>
      <c r="CG47" s="1895" t="n"/>
      <c r="CH47" s="1895" t="n"/>
      <c r="CI47" s="1896" t="n"/>
      <c r="CJ47" s="1898" t="inlineStr">
        <is>
          <t>Unit Cost (Deposit) - Orders Placed With Vendor Months 52 - 63</t>
        </is>
      </c>
      <c r="CK47" s="1895" t="n"/>
      <c r="CL47" s="1895" t="n"/>
      <c r="CM47" s="1895" t="n"/>
      <c r="CN47" s="1895" t="n"/>
      <c r="CO47" s="1895" t="n"/>
      <c r="CP47" s="1895" t="n"/>
      <c r="CQ47" s="1895" t="n"/>
      <c r="CR47" s="1895" t="n"/>
      <c r="CS47" s="1895" t="n"/>
      <c r="CT47" s="1895" t="n"/>
      <c r="CU47" s="1895" t="n"/>
      <c r="CV47" s="1895" t="n"/>
      <c r="CW47" s="1896" t="n"/>
      <c r="CX47" s="1620" t="n"/>
      <c r="CY47" s="1903" t="inlineStr">
        <is>
          <t>Unit Cost (Deposit) - Orders Placed With Vendor Months 64 - 76</t>
        </is>
      </c>
      <c r="CZ47" s="1892" t="n"/>
      <c r="DA47" s="1892" t="n"/>
      <c r="DB47" s="1892" t="n"/>
      <c r="DC47" s="1892" t="n"/>
      <c r="DD47" s="1892" t="n"/>
      <c r="DE47" s="1892" t="n"/>
      <c r="DF47" s="1892" t="n"/>
      <c r="DG47" s="1892" t="n"/>
      <c r="DH47" s="1892" t="n"/>
      <c r="DI47" s="1892" t="n"/>
      <c r="DJ47" s="1892" t="n"/>
      <c r="DK47" s="1892" t="n"/>
      <c r="DL47" s="1893" t="n"/>
    </row>
    <row r="48" ht="14" customHeight="1" s="1883" thickBot="1"/>
    <row r="49" ht="15" customHeight="1" s="1883" thickBot="1">
      <c r="B49" s="383" t="n"/>
      <c r="C49" s="383" t="n"/>
      <c r="D49" s="383" t="n"/>
      <c r="E49" s="383" t="n"/>
      <c r="F49" s="869" t="inlineStr">
        <is>
          <t>Balance</t>
        </is>
      </c>
      <c r="G49" s="383" t="n"/>
      <c r="H49" s="383" t="n"/>
      <c r="I49" s="383" t="n"/>
      <c r="J49" s="383" t="n"/>
      <c r="K49" s="383" t="n"/>
      <c r="L49" s="383" t="n"/>
      <c r="M49" s="383" t="n"/>
      <c r="N49" s="383" t="n"/>
      <c r="O49" s="383" t="n"/>
      <c r="P49" s="383" t="n"/>
      <c r="Q49" s="383" t="n"/>
      <c r="R49" s="383" t="n"/>
      <c r="S49" s="383" t="n"/>
      <c r="T49" s="383" t="n"/>
      <c r="V49" s="649" t="n"/>
      <c r="W49" s="649" t="n"/>
      <c r="X49" s="649" t="n"/>
      <c r="Y49" s="1902" t="inlineStr">
        <is>
          <t>Unit Cost (Balance) - Delivery + Orders Shipped/Sold to Customers Months 1 - 16</t>
        </is>
      </c>
      <c r="Z49" s="1895" t="n"/>
      <c r="AA49" s="1895" t="n"/>
      <c r="AB49" s="1895" t="n"/>
      <c r="AC49" s="1895" t="n"/>
      <c r="AD49" s="1895" t="n"/>
      <c r="AE49" s="1895" t="n"/>
      <c r="AF49" s="1895" t="n"/>
      <c r="AG49" s="1895" t="n"/>
      <c r="AH49" s="1895" t="n"/>
      <c r="AI49" s="1895" t="n"/>
      <c r="AJ49" s="1895" t="n"/>
      <c r="AK49" s="1895" t="n"/>
      <c r="AL49" s="1895" t="n"/>
      <c r="AM49" s="1895" t="n"/>
      <c r="AN49" s="1895" t="n"/>
      <c r="AO49" s="1895" t="n"/>
      <c r="AP49" s="1895" t="n"/>
      <c r="AQ49" s="1896" t="n"/>
      <c r="AR49" s="1901" t="inlineStr">
        <is>
          <t>Unit Cost (Balance) - Delivery + Orders Shipped/Sold to Customers Months 17 - 28</t>
        </is>
      </c>
      <c r="AS49" s="1895" t="n"/>
      <c r="AT49" s="1895" t="n"/>
      <c r="AU49" s="1895" t="n"/>
      <c r="AV49" s="1895" t="n"/>
      <c r="AW49" s="1895" t="n"/>
      <c r="AX49" s="1895" t="n"/>
      <c r="AY49" s="1895" t="n"/>
      <c r="AZ49" s="1895" t="n"/>
      <c r="BA49" s="1895" t="n"/>
      <c r="BB49" s="1895" t="n"/>
      <c r="BC49" s="1895" t="n"/>
      <c r="BD49" s="1895" t="n"/>
      <c r="BE49" s="1895" t="n"/>
      <c r="BF49" s="1895" t="n"/>
      <c r="BG49" s="1901" t="inlineStr">
        <is>
          <t>Unit Cost (Balance) - Delivery + Orders Shipped/Sold to Customers Months 29 - 40</t>
        </is>
      </c>
      <c r="BH49" s="1895" t="n"/>
      <c r="BI49" s="1895" t="n"/>
      <c r="BJ49" s="1895" t="n"/>
      <c r="BK49" s="1895" t="n"/>
      <c r="BL49" s="1895" t="n"/>
      <c r="BM49" s="1895" t="n"/>
      <c r="BN49" s="1895" t="n"/>
      <c r="BO49" s="1895" t="n"/>
      <c r="BP49" s="1895" t="n"/>
      <c r="BQ49" s="1895" t="n"/>
      <c r="BR49" s="1895" t="n"/>
      <c r="BS49" s="1895" t="n"/>
      <c r="BT49" s="1895" t="n"/>
      <c r="BU49" s="1895" t="n"/>
      <c r="BV49" s="1891" t="inlineStr">
        <is>
          <t>Unit Cost (Balance) - Delivery + Orders Shipped/Sold to Customers Months 41 - 52</t>
        </is>
      </c>
      <c r="BW49" s="1892" t="n"/>
      <c r="BX49" s="1892" t="n"/>
      <c r="BY49" s="1892" t="n"/>
      <c r="BZ49" s="1892" t="n"/>
      <c r="CA49" s="1892" t="n"/>
      <c r="CB49" s="1892" t="n"/>
      <c r="CC49" s="1892" t="n"/>
      <c r="CD49" s="1892" t="n"/>
      <c r="CE49" s="1892" t="n"/>
      <c r="CF49" s="1892" t="n"/>
      <c r="CG49" s="1892" t="n"/>
      <c r="CH49" s="1892" t="n"/>
      <c r="CI49" s="1892" t="n"/>
      <c r="CJ49" s="1893" t="n"/>
      <c r="CK49" s="1891" t="inlineStr">
        <is>
          <t>Unit Cost (Balance) - Delivery + Orders Shipped/Sold to Customers Months 53 - 64</t>
        </is>
      </c>
      <c r="CL49" s="1892" t="n"/>
      <c r="CM49" s="1892" t="n"/>
      <c r="CN49" s="1892" t="n"/>
      <c r="CO49" s="1892" t="n"/>
      <c r="CP49" s="1892" t="n"/>
      <c r="CQ49" s="1892" t="n"/>
      <c r="CR49" s="1892" t="n"/>
      <c r="CS49" s="1892" t="n"/>
      <c r="CT49" s="1892" t="n"/>
      <c r="CU49" s="1892" t="n"/>
      <c r="CV49" s="1892" t="n"/>
      <c r="CW49" s="1892" t="n"/>
      <c r="CX49" s="1892" t="n"/>
      <c r="CY49" s="1893" t="n"/>
      <c r="CZ49" s="1900" t="inlineStr">
        <is>
          <t>Unit Cost (Balance) - Delivery + Orders Shipped/Sold to Customers Months 65 - 77</t>
        </is>
      </c>
      <c r="DA49" s="1892" t="n"/>
      <c r="DB49" s="1892" t="n"/>
      <c r="DC49" s="1892" t="n"/>
      <c r="DD49" s="1892" t="n"/>
      <c r="DE49" s="1892" t="n"/>
      <c r="DF49" s="1892" t="n"/>
      <c r="DG49" s="1892" t="n"/>
      <c r="DH49" s="1892" t="n"/>
      <c r="DI49" s="1892" t="n"/>
      <c r="DJ49" s="1892" t="n"/>
      <c r="DK49" s="1892" t="n"/>
      <c r="DL49" s="1892" t="n"/>
      <c r="DM49" s="1892" t="n"/>
      <c r="DN49" s="1621" t="n"/>
    </row>
    <row r="50" ht="15" customHeight="1" s="1883" thickBot="1">
      <c r="B50" s="383" t="n"/>
      <c r="C50" s="383" t="n"/>
      <c r="D50" s="383" t="n"/>
      <c r="E50" s="383" t="n"/>
      <c r="F50" s="383" t="n"/>
      <c r="G50" s="383" t="n"/>
      <c r="H50" s="383" t="n"/>
      <c r="I50" s="383" t="n"/>
      <c r="J50" s="383" t="n"/>
      <c r="K50" s="383" t="n"/>
      <c r="L50" s="383" t="n"/>
      <c r="M50" s="383" t="n"/>
      <c r="N50" s="383" t="n"/>
      <c r="O50" s="383" t="n"/>
      <c r="P50" s="383" t="n"/>
      <c r="Q50" s="383" t="n"/>
      <c r="R50" s="383" t="n"/>
      <c r="S50" s="383" t="n"/>
      <c r="T50" s="383" t="n"/>
      <c r="U50" s="383" t="n"/>
      <c r="V50" s="383" t="n"/>
      <c r="W50" s="383" t="n"/>
      <c r="X50" s="383" t="n"/>
      <c r="Y50" s="1897">
        <f>G68</f>
        <v/>
      </c>
      <c r="Z50" s="1895" t="n"/>
      <c r="AA50" s="1895" t="n"/>
      <c r="AB50" s="1895" t="n"/>
      <c r="AC50" s="1895" t="n"/>
      <c r="AD50" s="1895" t="n"/>
      <c r="AE50" s="1895" t="n"/>
      <c r="AF50" s="1895" t="n"/>
      <c r="AG50" s="1895" t="n"/>
      <c r="AH50" s="1895" t="n"/>
      <c r="AI50" s="1895" t="n"/>
      <c r="AJ50" s="1895" t="n"/>
      <c r="AK50" s="1895" t="n"/>
      <c r="AL50" s="1895" t="n"/>
      <c r="AM50" s="1895" t="n"/>
      <c r="AN50" s="1895" t="n"/>
      <c r="AO50" s="1895" t="n"/>
      <c r="AP50" s="1895" t="n"/>
      <c r="AQ50" s="1896" t="n"/>
      <c r="AR50" s="1897">
        <f>G69</f>
        <v/>
      </c>
      <c r="AS50" s="1895" t="n"/>
      <c r="AT50" s="1895" t="n"/>
      <c r="AU50" s="1895" t="n"/>
      <c r="AV50" s="1895" t="n"/>
      <c r="AW50" s="1895" t="n"/>
      <c r="AX50" s="1895" t="n"/>
      <c r="AY50" s="1895" t="n"/>
      <c r="AZ50" s="1895" t="n"/>
      <c r="BA50" s="1895" t="n"/>
      <c r="BB50" s="1895" t="n"/>
      <c r="BC50" s="1895" t="n"/>
      <c r="BD50" s="1895" t="n"/>
      <c r="BE50" s="1895" t="n"/>
      <c r="BF50" s="1896" t="n"/>
      <c r="BG50" s="1897">
        <f>G70</f>
        <v/>
      </c>
      <c r="BH50" s="1895" t="n"/>
      <c r="BI50" s="1895" t="n"/>
      <c r="BJ50" s="1895" t="n"/>
      <c r="BK50" s="1895" t="n"/>
      <c r="BL50" s="1895" t="n"/>
      <c r="BM50" s="1895" t="n"/>
      <c r="BN50" s="1895" t="n"/>
      <c r="BO50" s="1895" t="n"/>
      <c r="BP50" s="1895" t="n"/>
      <c r="BQ50" s="1895" t="n"/>
      <c r="BR50" s="1895" t="n"/>
      <c r="BS50" s="1895" t="n"/>
      <c r="BT50" s="1895" t="n"/>
      <c r="BU50" s="1896" t="n"/>
      <c r="BV50" s="1897">
        <f>G71</f>
        <v/>
      </c>
      <c r="BW50" s="1895" t="n"/>
      <c r="BX50" s="1895" t="n"/>
      <c r="BY50" s="1895" t="n"/>
      <c r="BZ50" s="1895" t="n"/>
      <c r="CA50" s="1895" t="n"/>
      <c r="CB50" s="1895" t="n"/>
      <c r="CC50" s="1895" t="n"/>
      <c r="CD50" s="1895" t="n"/>
      <c r="CE50" s="1895" t="n"/>
      <c r="CF50" s="1895" t="n"/>
      <c r="CG50" s="1895" t="n"/>
      <c r="CH50" s="1895" t="n"/>
      <c r="CI50" s="1895" t="n"/>
      <c r="CJ50" s="1896" t="n"/>
      <c r="CK50" s="1897">
        <f>G72</f>
        <v/>
      </c>
      <c r="CL50" s="1895" t="n"/>
      <c r="CM50" s="1895" t="n"/>
      <c r="CN50" s="1895" t="n"/>
      <c r="CO50" s="1895" t="n"/>
      <c r="CP50" s="1895" t="n"/>
      <c r="CQ50" s="1895" t="n"/>
      <c r="CR50" s="1895" t="n"/>
      <c r="CS50" s="1895" t="n"/>
      <c r="CT50" s="1895" t="n"/>
      <c r="CU50" s="1895" t="n"/>
      <c r="CV50" s="1895" t="n"/>
      <c r="CW50" s="1895" t="n"/>
      <c r="CX50" s="1895" t="n"/>
      <c r="CY50" s="1896" t="n"/>
      <c r="CZ50" s="1897">
        <f>G73</f>
        <v/>
      </c>
      <c r="DA50" s="1895" t="n"/>
      <c r="DB50" s="1895" t="n"/>
      <c r="DC50" s="1895" t="n"/>
      <c r="DD50" s="1895" t="n"/>
      <c r="DE50" s="1895" t="n"/>
      <c r="DF50" s="1895" t="n"/>
      <c r="DG50" s="1895" t="n"/>
      <c r="DH50" s="1895" t="n"/>
      <c r="DI50" s="1895" t="n"/>
      <c r="DJ50" s="1895" t="n"/>
      <c r="DK50" s="1895" t="n"/>
      <c r="DL50" s="1895" t="n"/>
      <c r="DM50" s="1895" t="n"/>
      <c r="DN50" s="1896" t="n"/>
    </row>
    <row r="51" ht="15" customHeight="1" s="1883">
      <c r="B51" s="383" t="n"/>
      <c r="C51" s="383" t="n"/>
      <c r="D51" s="383" t="n"/>
      <c r="E51" s="383" t="n"/>
      <c r="F51" s="383" t="n"/>
      <c r="G51" s="383" t="n"/>
      <c r="H51" s="383" t="n"/>
      <c r="I51" s="383" t="n"/>
      <c r="J51" s="383" t="n"/>
      <c r="K51" s="383" t="n"/>
      <c r="L51" s="383" t="n"/>
      <c r="M51" s="383" t="n"/>
      <c r="N51" s="383" t="n"/>
      <c r="O51" s="383" t="n"/>
      <c r="P51" s="383" t="n"/>
      <c r="Q51" s="383" t="n"/>
      <c r="R51" s="383" t="n"/>
      <c r="S51" s="383" t="n"/>
      <c r="T51" s="383" t="n"/>
      <c r="U51" s="383" t="n"/>
      <c r="V51" s="383" t="n"/>
      <c r="W51" s="383" t="n"/>
      <c r="X51" s="383" t="n"/>
      <c r="Y51" s="383" t="n"/>
      <c r="Z51" s="383" t="n"/>
      <c r="AA51" s="383" t="n"/>
      <c r="AB51" s="383" t="n"/>
      <c r="AC51" s="383" t="n"/>
      <c r="AD51" s="383" t="n"/>
      <c r="AE51" s="383" t="n"/>
      <c r="AF51" s="383" t="n"/>
      <c r="AG51" s="383" t="n"/>
      <c r="AH51" s="383" t="n"/>
      <c r="AI51" s="383" t="n"/>
      <c r="AJ51" s="383" t="n"/>
      <c r="AK51" s="383" t="n"/>
      <c r="AL51" s="383" t="n"/>
      <c r="AM51" s="383" t="n"/>
      <c r="AN51" s="383" t="n"/>
      <c r="AO51" s="383" t="n"/>
      <c r="AP51" s="383" t="n"/>
      <c r="AQ51" s="383" t="n"/>
      <c r="AR51" s="383" t="n"/>
      <c r="AS51" s="383" t="n"/>
      <c r="AT51" s="383" t="n"/>
      <c r="AU51" s="383" t="n"/>
      <c r="AV51" s="383" t="n"/>
      <c r="AW51" s="383" t="n"/>
      <c r="AX51" s="383" t="n"/>
      <c r="AY51" s="383" t="n"/>
      <c r="AZ51" s="383" t="n"/>
      <c r="BA51" s="383" t="n"/>
      <c r="BB51" s="383" t="n"/>
      <c r="BC51" s="383" t="n"/>
      <c r="BD51" s="383" t="n"/>
      <c r="BE51" s="383" t="n"/>
      <c r="BF51" s="383" t="n"/>
      <c r="BG51" s="383" t="n"/>
      <c r="BH51" s="383" t="n"/>
      <c r="BI51" s="383" t="n"/>
      <c r="BJ51" s="383" t="n"/>
      <c r="BK51" s="383" t="n"/>
      <c r="BL51" s="383" t="n"/>
      <c r="BM51" s="383" t="n"/>
      <c r="BN51" s="383" t="n"/>
      <c r="BO51" s="383" t="n"/>
      <c r="BP51" s="383" t="n"/>
      <c r="BQ51" s="383" t="n"/>
      <c r="BR51" s="383" t="n"/>
      <c r="BS51" s="383" t="n"/>
      <c r="BT51" s="383" t="n"/>
      <c r="BU51" s="383" t="n"/>
      <c r="BV51" s="383" t="n"/>
      <c r="CL51" s="383" t="n"/>
      <c r="CM51" s="383" t="n"/>
      <c r="CN51" s="383" t="n"/>
      <c r="CO51" s="383" t="n"/>
      <c r="CP51" s="383" t="n"/>
      <c r="CQ51" s="383" t="n"/>
      <c r="CR51" s="383" t="n"/>
      <c r="CS51" s="383" t="n"/>
      <c r="CT51" s="383" t="n"/>
      <c r="CU51" s="383" t="n"/>
      <c r="CV51" s="383" t="n"/>
      <c r="CW51" s="383" t="n"/>
      <c r="CX51" s="383" t="n"/>
      <c r="CY51" s="383" t="n"/>
      <c r="CZ51" s="383" t="n"/>
    </row>
    <row r="52" ht="15" customHeight="1" s="1883">
      <c r="B52" s="383" t="n"/>
      <c r="C52" s="383" t="n"/>
      <c r="D52" s="383" t="n"/>
      <c r="E52" s="383" t="n"/>
      <c r="F52" s="383" t="n"/>
      <c r="G52" s="383" t="n"/>
      <c r="H52" s="383" t="n"/>
      <c r="I52" s="383" t="n"/>
      <c r="J52" s="383" t="n"/>
      <c r="K52" s="383" t="n"/>
      <c r="L52" s="383" t="n"/>
      <c r="M52" s="383" t="n"/>
      <c r="N52" s="383" t="n"/>
      <c r="O52" s="383" t="n"/>
      <c r="P52" s="383" t="n"/>
      <c r="Q52" s="383" t="n"/>
      <c r="R52" s="383" t="n"/>
      <c r="S52" s="383" t="n"/>
      <c r="T52" s="383" t="n"/>
      <c r="U52" s="383" t="n"/>
      <c r="V52" s="383" t="n"/>
      <c r="W52" s="383" t="n"/>
      <c r="X52" s="383" t="n"/>
      <c r="Z52" s="383" t="n"/>
      <c r="AA52" s="383" t="n"/>
      <c r="AB52" s="383" t="n"/>
      <c r="AC52" s="383" t="n"/>
      <c r="AD52" s="383" t="n"/>
      <c r="AE52" s="383" t="n"/>
      <c r="AF52" s="383" t="n"/>
      <c r="AG52" s="383" t="n"/>
      <c r="AH52" s="383" t="n"/>
      <c r="AI52" s="383" t="n"/>
      <c r="AJ52" s="383" t="inlineStr">
        <is>
          <t>Double Check</t>
        </is>
      </c>
      <c r="AK52" s="383" t="n"/>
      <c r="AL52" s="462">
        <f>SUM(Y40:AJ40)</f>
        <v/>
      </c>
      <c r="AM52" s="383" t="n"/>
      <c r="AN52" s="383" t="n"/>
      <c r="AO52" s="383" t="n"/>
      <c r="AP52" s="383" t="n"/>
      <c r="AQ52" s="383" t="n"/>
      <c r="AR52" s="383" t="n"/>
      <c r="AS52" s="383" t="n"/>
      <c r="AT52" s="383" t="n"/>
      <c r="AU52" s="383" t="n"/>
      <c r="AV52" s="383" t="n"/>
      <c r="AW52" s="383" t="n"/>
      <c r="AX52" s="383" t="n"/>
      <c r="AY52" s="383" t="inlineStr">
        <is>
          <t>Double Check</t>
        </is>
      </c>
      <c r="AZ52" s="383" t="n"/>
      <c r="BA52" s="462">
        <f>SUM(AN40:AY40)</f>
        <v/>
      </c>
      <c r="BB52" s="383" t="n"/>
      <c r="BC52" s="383" t="n"/>
      <c r="BD52" s="383" t="n"/>
      <c r="BE52" s="383" t="n"/>
      <c r="BF52" s="383" t="n"/>
      <c r="BG52" s="383" t="n"/>
      <c r="BH52" s="383" t="n"/>
      <c r="BI52" s="383" t="n"/>
      <c r="BJ52" s="383" t="n"/>
      <c r="BK52" s="383" t="n"/>
      <c r="BL52" s="383" t="n"/>
      <c r="BM52" s="383" t="n"/>
      <c r="BN52" s="383" t="inlineStr">
        <is>
          <t>Double Check</t>
        </is>
      </c>
      <c r="BO52" s="383" t="n"/>
      <c r="BP52" s="462">
        <f>SUM(BC40:BN40)</f>
        <v/>
      </c>
      <c r="BQ52" s="383" t="n"/>
      <c r="BR52" s="383" t="n"/>
      <c r="BS52" s="383" t="n"/>
      <c r="BT52" s="383" t="n"/>
      <c r="BU52" s="383" t="n"/>
      <c r="BV52" s="383" t="n"/>
      <c r="BW52" s="383" t="n"/>
      <c r="BX52" s="383" t="n"/>
      <c r="BY52" s="383" t="n"/>
      <c r="BZ52" s="383" t="n"/>
      <c r="CA52" s="383" t="n"/>
      <c r="CB52" s="383" t="n"/>
      <c r="CC52" s="383" t="inlineStr">
        <is>
          <t>Double Check</t>
        </is>
      </c>
      <c r="CD52" s="383" t="n"/>
      <c r="CE52" s="462">
        <f>SUM(BR40:CC40)</f>
        <v/>
      </c>
      <c r="CF52" s="383" t="n"/>
      <c r="CG52" s="383" t="n"/>
      <c r="CH52" s="383" t="n"/>
      <c r="CI52" s="383" t="n"/>
      <c r="CJ52" s="383" t="n"/>
      <c r="CK52" s="383" t="n"/>
      <c r="CL52" s="383" t="n"/>
      <c r="CM52" s="383" t="n"/>
      <c r="CN52" s="383" t="n"/>
      <c r="CO52" s="383" t="n"/>
      <c r="CP52" s="383" t="n"/>
      <c r="CQ52" s="383" t="n"/>
      <c r="CR52" s="383" t="inlineStr">
        <is>
          <t>Double Check</t>
        </is>
      </c>
      <c r="CS52" s="383" t="n"/>
      <c r="CT52" s="462">
        <f>SUM(CG40:CR40)</f>
        <v/>
      </c>
      <c r="CU52" s="383" t="n"/>
      <c r="CV52" s="383" t="n"/>
      <c r="CW52" s="383" t="n"/>
      <c r="CX52" s="383" t="n"/>
      <c r="CY52" s="383" t="n"/>
      <c r="CZ52" s="383" t="n"/>
      <c r="DG52" s="383" t="inlineStr">
        <is>
          <t>Double Check</t>
        </is>
      </c>
      <c r="DI52" s="462">
        <f>SUM(CV40:DG40)</f>
        <v/>
      </c>
    </row>
    <row r="53" ht="15" customHeight="1" s="1883">
      <c r="B53" s="383" t="n"/>
      <c r="C53" s="383" t="n"/>
      <c r="D53" s="383" t="n"/>
      <c r="E53" s="383" t="n"/>
      <c r="F53" s="383" t="n"/>
      <c r="G53" s="383" t="n"/>
      <c r="H53" s="383" t="n"/>
      <c r="I53" s="383" t="n"/>
      <c r="J53" s="383" t="n"/>
      <c r="K53" s="383" t="n"/>
      <c r="L53" s="383" t="n"/>
      <c r="M53" s="383" t="n"/>
      <c r="N53" s="383" t="n"/>
      <c r="O53" s="383" t="n"/>
      <c r="P53" s="383" t="n"/>
      <c r="Q53" s="383" t="n"/>
      <c r="R53" s="383" t="n"/>
      <c r="S53" s="383" t="n"/>
      <c r="T53" s="383" t="n"/>
      <c r="U53" s="383" t="n"/>
      <c r="V53" s="383" t="n"/>
      <c r="W53" s="383" t="n"/>
      <c r="X53" s="383" t="n"/>
      <c r="Y53" s="383" t="n"/>
      <c r="Z53" s="383" t="n"/>
      <c r="AA53" s="383" t="n"/>
      <c r="AB53" s="383" t="n"/>
      <c r="AC53" s="383" t="n"/>
      <c r="AD53" s="383" t="n"/>
      <c r="AE53" s="383" t="n"/>
      <c r="AF53" s="383" t="n"/>
      <c r="AG53" s="383" t="n"/>
      <c r="AH53" s="383" t="n"/>
      <c r="AI53" s="383" t="n"/>
      <c r="AJ53" s="383" t="inlineStr">
        <is>
          <t>Double Check</t>
        </is>
      </c>
      <c r="AK53" s="383" t="n"/>
      <c r="AL53" s="462">
        <f>AL40-AL52</f>
        <v/>
      </c>
      <c r="AM53" s="383" t="n"/>
      <c r="AN53" s="383" t="n"/>
      <c r="AO53" s="383" t="n"/>
      <c r="AP53" s="383" t="n"/>
      <c r="AQ53" s="383" t="n"/>
      <c r="AR53" s="383" t="n"/>
      <c r="AS53" s="383" t="n"/>
      <c r="AT53" s="383" t="n"/>
      <c r="AU53" s="383" t="n"/>
      <c r="AV53" s="383" t="n"/>
      <c r="AW53" s="383" t="n"/>
      <c r="AX53" s="383" t="n"/>
      <c r="AY53" s="383" t="n"/>
      <c r="AZ53" s="383" t="n"/>
      <c r="BA53" s="383" t="n"/>
      <c r="BB53" s="383" t="n"/>
      <c r="BC53" s="383" t="n"/>
      <c r="BD53" s="383" t="n"/>
      <c r="BE53" s="383" t="n"/>
      <c r="BF53" s="383" t="n"/>
      <c r="BX53" s="383" t="n"/>
      <c r="BY53" s="383" t="n"/>
      <c r="BZ53" s="383" t="n"/>
      <c r="CA53" s="383" t="n"/>
      <c r="CB53" s="383" t="n"/>
      <c r="CC53" s="383" t="n"/>
      <c r="CD53" s="383" t="n"/>
      <c r="CE53" s="383" t="n"/>
      <c r="CF53" s="383" t="n"/>
      <c r="CG53" s="383" t="n"/>
      <c r="CH53" s="383" t="n"/>
      <c r="CI53" s="383" t="n"/>
      <c r="CJ53" s="383" t="n"/>
      <c r="CK53" s="383" t="n"/>
      <c r="CL53" s="383" t="n"/>
      <c r="CM53" s="383" t="n"/>
      <c r="CN53" s="383" t="n"/>
      <c r="CO53" s="383" t="n"/>
      <c r="CP53" s="383" t="n"/>
      <c r="CQ53" s="383" t="n"/>
      <c r="CR53" s="383" t="n"/>
      <c r="CS53" s="383" t="n"/>
      <c r="CT53" s="383" t="n"/>
      <c r="CU53" s="383" t="n"/>
      <c r="CV53" s="383" t="n"/>
      <c r="CW53" s="383" t="n"/>
      <c r="CX53" s="383" t="n"/>
      <c r="CY53" s="383" t="n"/>
      <c r="CZ53" s="383" t="n"/>
    </row>
    <row r="54" ht="15" customHeight="1" s="1883">
      <c r="B54" s="535" t="inlineStr">
        <is>
          <t>III.</t>
        </is>
      </c>
      <c r="D54" s="385" t="inlineStr">
        <is>
          <t>ASSUMPTIONS: UNIT COST, VENDOR TERMS AND ORDER-TO CASH-CYCLE</t>
        </is>
      </c>
      <c r="E54" s="383" t="n"/>
      <c r="F54" s="383" t="n"/>
      <c r="G54" s="383" t="n"/>
      <c r="H54" s="383" t="n"/>
      <c r="I54" s="383" t="n"/>
      <c r="J54" s="383" t="n"/>
      <c r="K54" s="383" t="n"/>
      <c r="L54" s="383" t="n"/>
      <c r="M54" s="383" t="n"/>
      <c r="N54" s="383" t="n"/>
      <c r="O54" s="383" t="n"/>
      <c r="P54" s="383" t="n"/>
      <c r="Q54" s="383" t="n"/>
      <c r="R54" s="383" t="n"/>
      <c r="S54" s="383" t="n"/>
      <c r="T54" s="383" t="n"/>
      <c r="U54" s="383" t="n"/>
      <c r="V54" s="383" t="n"/>
      <c r="W54" s="383" t="n"/>
      <c r="X54" s="383" t="n"/>
      <c r="Y54" s="383" t="n"/>
      <c r="Z54" s="383" t="n"/>
      <c r="AA54" s="383" t="n"/>
      <c r="AB54" s="383" t="n"/>
      <c r="AC54" s="383" t="n"/>
      <c r="AD54" s="383" t="n"/>
      <c r="AE54" s="383" t="n"/>
      <c r="AF54" s="383" t="n"/>
      <c r="AG54" s="383" t="n"/>
      <c r="AH54" s="383" t="n"/>
      <c r="AI54" s="383" t="n"/>
      <c r="AJ54" s="383" t="n"/>
      <c r="AK54" s="383" t="n"/>
      <c r="AL54" s="383" t="n"/>
      <c r="AM54" s="383" t="n"/>
      <c r="AN54" s="383" t="n"/>
      <c r="AO54" s="383" t="n"/>
      <c r="AP54" s="383" t="n"/>
      <c r="AQ54" s="383" t="n"/>
      <c r="AR54" s="383" t="n"/>
      <c r="AS54" s="383" t="n"/>
      <c r="AT54" s="383" t="n"/>
      <c r="AU54" s="383" t="n"/>
      <c r="AV54" s="383" t="n"/>
      <c r="AW54" s="383" t="n"/>
      <c r="AX54" s="383" t="n"/>
      <c r="AY54" s="383" t="n"/>
      <c r="AZ54" s="383" t="n"/>
      <c r="BA54" s="383" t="n"/>
      <c r="BB54" s="383" t="n"/>
      <c r="BC54" s="383" t="n"/>
      <c r="BD54" s="383" t="n"/>
      <c r="BE54" s="383" t="n"/>
      <c r="BF54" s="383" t="n"/>
      <c r="BG54" s="383" t="n"/>
      <c r="BH54" s="383" t="n"/>
      <c r="BI54" s="383" t="n"/>
      <c r="BJ54" s="383" t="n"/>
      <c r="BK54" s="383" t="n"/>
      <c r="BL54" s="383" t="n"/>
      <c r="BM54" s="383" t="n"/>
      <c r="BN54" s="383" t="n"/>
      <c r="BO54" s="383" t="n"/>
      <c r="BP54" s="383" t="n"/>
      <c r="BQ54" s="383" t="n"/>
      <c r="BR54" s="383" t="n"/>
      <c r="BS54" s="383" t="n"/>
      <c r="BT54" s="383" t="n"/>
      <c r="BU54" s="383" t="n"/>
      <c r="BV54" s="383" t="n"/>
      <c r="BW54" s="383" t="n"/>
      <c r="BX54" s="383" t="n"/>
      <c r="BY54" s="383" t="n"/>
      <c r="BZ54" s="383" t="n"/>
      <c r="CA54" s="383" t="n"/>
      <c r="CB54" s="383" t="n"/>
      <c r="CC54" s="383" t="n"/>
      <c r="CD54" s="383" t="n"/>
      <c r="CE54" s="383" t="n"/>
      <c r="CF54" s="383" t="n"/>
      <c r="CG54" s="383" t="n"/>
      <c r="CH54" s="383" t="n"/>
      <c r="CI54" s="383" t="n"/>
      <c r="CJ54" s="383" t="n"/>
      <c r="CK54" s="383" t="n"/>
      <c r="CL54" s="383" t="n"/>
      <c r="CM54" s="383" t="n"/>
      <c r="CN54" s="383" t="n"/>
      <c r="CO54" s="383" t="n"/>
      <c r="CP54" s="383" t="n"/>
      <c r="CQ54" s="383" t="n"/>
      <c r="CR54" s="383" t="n"/>
      <c r="CS54" s="383" t="n"/>
      <c r="CT54" s="383" t="n"/>
      <c r="CU54" s="383" t="n"/>
      <c r="CV54" s="383" t="n"/>
      <c r="CW54" s="383" t="n"/>
      <c r="CX54" s="383" t="n"/>
      <c r="CY54" s="383" t="n"/>
      <c r="CZ54" s="383" t="n"/>
    </row>
    <row r="55" ht="3" customHeight="1" s="1883">
      <c r="B55" s="383" t="n"/>
      <c r="C55" s="649" t="n"/>
      <c r="D55" s="628" t="n"/>
      <c r="E55" s="387" t="n"/>
      <c r="F55" s="387" t="n"/>
      <c r="G55" s="387" t="n"/>
      <c r="H55" s="387" t="n"/>
      <c r="I55" s="387" t="n"/>
      <c r="J55" s="387" t="n"/>
      <c r="K55" s="387" t="n"/>
      <c r="L55" s="387" t="n"/>
      <c r="M55" s="387" t="n"/>
      <c r="N55" s="387" t="n"/>
      <c r="O55" s="387" t="n"/>
      <c r="P55" s="383" t="n"/>
      <c r="Q55" s="383" t="n"/>
      <c r="R55" s="383" t="n"/>
      <c r="S55" s="383" t="n"/>
      <c r="T55" s="383" t="n"/>
      <c r="U55" s="383" t="n"/>
      <c r="V55" s="383" t="n"/>
      <c r="W55" s="383" t="n"/>
      <c r="X55" s="383" t="n"/>
      <c r="Y55" s="383" t="n"/>
      <c r="Z55" s="383" t="n"/>
      <c r="AA55" s="383" t="n"/>
      <c r="AB55" s="383" t="n"/>
      <c r="AC55" s="383" t="n"/>
      <c r="AD55" s="383" t="n"/>
      <c r="AE55" s="383" t="n"/>
      <c r="AF55" s="383" t="n"/>
      <c r="AG55" s="383" t="n"/>
      <c r="AH55" s="383" t="n"/>
      <c r="AI55" s="383" t="n"/>
      <c r="AJ55" s="383" t="n"/>
      <c r="AK55" s="383" t="n"/>
      <c r="AL55" s="383" t="n"/>
      <c r="AM55" s="383" t="n"/>
      <c r="AN55" s="383" t="n"/>
      <c r="AO55" s="383" t="n"/>
      <c r="AP55" s="383" t="n"/>
      <c r="AQ55" s="383" t="n"/>
      <c r="AR55" s="383" t="n"/>
      <c r="AS55" s="383" t="n"/>
      <c r="AT55" s="383" t="n"/>
      <c r="AU55" s="383" t="n"/>
      <c r="AV55" s="383" t="n"/>
      <c r="AW55" s="383" t="n"/>
      <c r="AX55" s="383" t="n"/>
      <c r="AY55" s="383" t="n"/>
      <c r="AZ55" s="383" t="n"/>
      <c r="BA55" s="383" t="n"/>
      <c r="BB55" s="383" t="n"/>
      <c r="BC55" s="383" t="n"/>
      <c r="BD55" s="383" t="n"/>
      <c r="BE55" s="383" t="n"/>
      <c r="BF55" s="383" t="n"/>
      <c r="BG55" s="383" t="n"/>
      <c r="BH55" s="383" t="n"/>
      <c r="BI55" s="383" t="n"/>
      <c r="BJ55" s="383" t="n"/>
      <c r="BK55" s="383" t="n"/>
      <c r="BL55" s="383" t="n"/>
      <c r="BM55" s="383" t="n"/>
      <c r="BN55" s="383" t="n"/>
      <c r="BO55" s="383" t="n"/>
      <c r="BP55" s="383" t="n"/>
      <c r="BQ55" s="383" t="n"/>
      <c r="BR55" s="383" t="n"/>
      <c r="BS55" s="383" t="n"/>
      <c r="BT55" s="383" t="n"/>
      <c r="BU55" s="383" t="n"/>
      <c r="BV55" s="383" t="n"/>
      <c r="BW55" s="383" t="n"/>
      <c r="BX55" s="383" t="n"/>
      <c r="BY55" s="383" t="n"/>
      <c r="BZ55" s="383" t="n"/>
      <c r="CA55" s="383" t="n"/>
      <c r="CB55" s="383" t="n"/>
      <c r="CC55" s="383" t="n"/>
      <c r="CD55" s="383" t="n"/>
      <c r="CE55" s="383" t="n"/>
      <c r="CF55" s="383" t="n"/>
      <c r="CG55" s="383" t="n"/>
      <c r="CH55" s="383" t="n"/>
      <c r="CI55" s="383" t="n"/>
      <c r="CJ55" s="383" t="n"/>
      <c r="CK55" s="383" t="n"/>
      <c r="CL55" s="383" t="n"/>
      <c r="CM55" s="383" t="n"/>
      <c r="CN55" s="383" t="n"/>
      <c r="CO55" s="383" t="n"/>
      <c r="CP55" s="383" t="n"/>
      <c r="CQ55" s="383" t="n"/>
      <c r="CR55" s="383" t="n"/>
      <c r="CS55" s="383" t="n"/>
      <c r="CT55" s="383" t="n"/>
      <c r="CU55" s="383" t="n"/>
      <c r="CV55" s="383" t="n"/>
      <c r="CW55" s="383" t="n"/>
      <c r="CX55" s="383" t="n"/>
      <c r="CY55" s="383" t="n"/>
      <c r="CZ55" s="383" t="n"/>
    </row>
    <row r="56" ht="3" customHeight="1" s="1883">
      <c r="B56" s="383" t="n"/>
      <c r="C56" s="383" t="n"/>
      <c r="E56" s="383" t="n"/>
      <c r="F56" s="383" t="n"/>
      <c r="G56" s="383" t="n"/>
      <c r="H56" s="383" t="n"/>
      <c r="I56" s="383" t="n"/>
      <c r="J56" s="383" t="n"/>
      <c r="K56" s="383" t="n"/>
      <c r="L56" s="383" t="n"/>
      <c r="M56" s="383" t="n"/>
      <c r="N56" s="383" t="n"/>
      <c r="O56" s="383" t="n"/>
      <c r="P56" s="383" t="n"/>
      <c r="Q56" s="383" t="n"/>
      <c r="R56" s="383" t="n"/>
      <c r="S56" s="383" t="n"/>
      <c r="T56" s="383" t="n"/>
      <c r="U56" s="383" t="n"/>
      <c r="V56" s="383" t="n"/>
      <c r="W56" s="383" t="n"/>
      <c r="X56" s="383" t="n"/>
      <c r="Y56" s="383" t="n"/>
      <c r="Z56" s="383" t="n"/>
      <c r="AA56" s="383" t="n"/>
      <c r="AB56" s="383" t="n"/>
      <c r="AC56" s="383" t="n"/>
      <c r="AD56" s="383" t="n"/>
      <c r="AE56" s="383" t="n"/>
      <c r="AF56" s="383" t="n"/>
      <c r="AG56" s="383" t="n"/>
      <c r="AH56" s="383" t="n"/>
      <c r="AI56" s="383" t="n"/>
      <c r="AJ56" s="383" t="n"/>
      <c r="AK56" s="383" t="n"/>
      <c r="AL56" s="383" t="n"/>
      <c r="AM56" s="383" t="n"/>
      <c r="AN56" s="383" t="n"/>
      <c r="AO56" s="383" t="n"/>
      <c r="AP56" s="383" t="n"/>
      <c r="AQ56" s="383" t="n"/>
      <c r="AR56" s="383" t="n"/>
      <c r="AS56" s="383" t="n"/>
      <c r="AT56" s="383" t="n"/>
      <c r="AU56" s="383" t="n"/>
      <c r="AV56" s="383" t="n"/>
      <c r="AW56" s="383" t="n"/>
      <c r="AX56" s="383" t="n"/>
      <c r="AY56" s="383" t="n"/>
      <c r="AZ56" s="383" t="n"/>
      <c r="BA56" s="383" t="n"/>
      <c r="BB56" s="383" t="n"/>
      <c r="BC56" s="383" t="n"/>
      <c r="BD56" s="383" t="n"/>
      <c r="BE56" s="383" t="n"/>
      <c r="BF56" s="383" t="n"/>
      <c r="BG56" s="383" t="n"/>
      <c r="BH56" s="383" t="n"/>
      <c r="BI56" s="383" t="n"/>
      <c r="BJ56" s="383" t="n"/>
      <c r="BK56" s="383" t="n"/>
      <c r="BL56" s="383" t="n"/>
      <c r="BM56" s="383" t="n"/>
      <c r="BN56" s="383" t="n"/>
      <c r="BO56" s="383" t="n"/>
      <c r="BP56" s="383" t="n"/>
      <c r="BQ56" s="383" t="n"/>
      <c r="BR56" s="383" t="n"/>
      <c r="BS56" s="383" t="n"/>
      <c r="BT56" s="383" t="n"/>
      <c r="BU56" s="383" t="n"/>
      <c r="BV56" s="383" t="n"/>
      <c r="BW56" s="383" t="n"/>
      <c r="BX56" s="383" t="n"/>
      <c r="BY56" s="383" t="n"/>
      <c r="BZ56" s="383" t="n"/>
      <c r="CA56" s="383" t="n"/>
      <c r="CB56" s="383" t="n"/>
      <c r="CC56" s="383" t="n"/>
      <c r="CD56" s="383" t="n"/>
      <c r="CE56" s="383" t="n"/>
      <c r="CF56" s="383" t="n"/>
      <c r="CG56" s="383" t="n"/>
      <c r="CH56" s="383" t="n"/>
      <c r="CI56" s="383" t="n"/>
      <c r="CJ56" s="383" t="n"/>
      <c r="CK56" s="383" t="n"/>
      <c r="CL56" s="383" t="n"/>
      <c r="CM56" s="383" t="n"/>
      <c r="CN56" s="383" t="n"/>
      <c r="CO56" s="383" t="n"/>
      <c r="CP56" s="383" t="n"/>
      <c r="CQ56" s="383" t="n"/>
      <c r="CR56" s="383" t="n"/>
      <c r="CS56" s="383" t="n"/>
      <c r="CT56" s="383" t="n"/>
      <c r="CU56" s="383" t="n"/>
      <c r="CV56" s="383" t="n"/>
      <c r="CW56" s="383" t="n"/>
      <c r="CX56" s="383" t="n"/>
      <c r="CY56" s="383" t="n"/>
      <c r="CZ56" s="383" t="n"/>
    </row>
    <row r="57" ht="15" customHeight="1" s="1883">
      <c r="B57" s="383" t="n"/>
      <c r="C57" s="383" t="n"/>
      <c r="E57" s="383" t="n"/>
      <c r="F57" s="383" t="n"/>
      <c r="G57" s="383" t="n"/>
      <c r="H57" s="383" t="n"/>
      <c r="I57" s="383" t="n"/>
      <c r="J57" s="383" t="n"/>
      <c r="K57" s="383" t="n"/>
      <c r="L57" s="383" t="n"/>
      <c r="M57" s="383" t="n"/>
      <c r="N57" s="383" t="n"/>
      <c r="O57" s="383" t="n"/>
      <c r="P57" s="383" t="n"/>
      <c r="Q57" s="383" t="n"/>
      <c r="R57" s="383" t="n"/>
      <c r="S57" s="383" t="n"/>
      <c r="T57" s="383" t="n"/>
      <c r="U57" s="383" t="n"/>
      <c r="V57" s="383" t="n"/>
      <c r="W57" s="383" t="n"/>
      <c r="X57" s="383" t="n"/>
      <c r="Y57" s="383" t="n"/>
      <c r="Z57" s="383" t="n"/>
      <c r="AA57" s="383" t="n"/>
      <c r="AB57" s="383" t="n"/>
      <c r="AC57" s="383" t="n"/>
      <c r="AD57" s="383" t="n"/>
      <c r="AE57" s="383" t="n"/>
      <c r="AF57" s="383" t="n"/>
      <c r="AG57" s="383" t="n"/>
      <c r="AH57" s="383" t="n"/>
      <c r="AI57" s="383" t="n"/>
      <c r="AJ57" s="383" t="n"/>
      <c r="AK57" s="383" t="n"/>
      <c r="AL57" s="383" t="n"/>
      <c r="AM57" s="383" t="n"/>
      <c r="AN57" s="383" t="n"/>
      <c r="AO57" s="383" t="n"/>
      <c r="AP57" s="383" t="n"/>
      <c r="AQ57" s="383" t="n"/>
      <c r="AR57" s="383" t="n"/>
      <c r="AS57" s="383" t="n"/>
      <c r="AT57" s="383" t="n"/>
      <c r="AU57" s="383" t="n"/>
      <c r="AV57" s="383" t="n"/>
      <c r="AW57" s="383" t="n"/>
      <c r="AX57" s="383" t="n"/>
      <c r="AY57" s="383" t="n"/>
      <c r="AZ57" s="383" t="n"/>
      <c r="BA57" s="383" t="n"/>
      <c r="BB57" s="383" t="n"/>
      <c r="BC57" s="383" t="n"/>
      <c r="BD57" s="383" t="n"/>
      <c r="BE57" s="383" t="n"/>
      <c r="BF57" s="383" t="n"/>
      <c r="BG57" s="383" t="n"/>
      <c r="BH57" s="383" t="n"/>
      <c r="BI57" s="383" t="n"/>
      <c r="BJ57" s="383" t="n"/>
      <c r="BK57" s="383" t="n"/>
      <c r="BL57" s="383" t="n"/>
      <c r="BM57" s="383" t="n"/>
      <c r="BN57" s="383" t="n"/>
      <c r="BO57" s="383" t="n"/>
      <c r="BP57" s="383" t="n"/>
      <c r="BQ57" s="383" t="n"/>
      <c r="BR57" s="383" t="n"/>
      <c r="BS57" s="383" t="n"/>
      <c r="BT57" s="383" t="n"/>
      <c r="BU57" s="383" t="n"/>
      <c r="BV57" s="383" t="n"/>
      <c r="BW57" s="383" t="n"/>
      <c r="BX57" s="383" t="n"/>
      <c r="BY57" s="383" t="n"/>
      <c r="BZ57" s="383" t="n"/>
      <c r="CA57" s="383" t="n"/>
      <c r="CB57" s="383" t="n"/>
      <c r="CC57" s="383" t="n"/>
      <c r="CD57" s="383" t="n"/>
      <c r="CE57" s="383" t="n"/>
      <c r="CF57" s="383" t="n"/>
      <c r="CG57" s="383" t="n"/>
      <c r="CH57" s="383" t="n"/>
      <c r="CI57" s="383" t="n"/>
      <c r="CJ57" s="383" t="n"/>
      <c r="CK57" s="383" t="n"/>
      <c r="CL57" s="383" t="n"/>
      <c r="CM57" s="383" t="n"/>
      <c r="CN57" s="383" t="n"/>
      <c r="CO57" s="383" t="n"/>
      <c r="CP57" s="383" t="n"/>
      <c r="CQ57" s="383" t="n"/>
      <c r="CR57" s="383" t="n"/>
      <c r="CS57" s="383" t="n"/>
      <c r="CT57" s="383" t="n"/>
      <c r="CU57" s="383" t="n"/>
      <c r="CV57" s="383" t="n"/>
      <c r="CW57" s="383" t="n"/>
      <c r="CX57" s="383" t="n"/>
      <c r="CY57" s="383" t="n"/>
      <c r="CZ57" s="383" t="n"/>
    </row>
    <row r="58" ht="15" customHeight="1" s="1883">
      <c r="B58" s="383" t="n"/>
      <c r="D58" s="729" t="inlineStr">
        <is>
          <t>●</t>
        </is>
      </c>
      <c r="E58" s="383" t="inlineStr">
        <is>
          <t>Order Deposit (30%) Placed in Month -1 = 1st Month</t>
        </is>
      </c>
      <c r="F58" s="383" t="n"/>
      <c r="G58" s="383" t="n"/>
      <c r="H58" s="383" t="n"/>
      <c r="I58" s="383" t="n"/>
      <c r="J58" s="383" t="n"/>
      <c r="K58" s="383" t="n"/>
      <c r="L58" s="383" t="n"/>
      <c r="M58" s="383" t="n"/>
      <c r="N58" s="383" t="n"/>
      <c r="O58" s="383" t="n"/>
      <c r="P58" s="383" t="n"/>
      <c r="Q58" s="383" t="n"/>
      <c r="R58" s="383" t="n"/>
      <c r="S58" s="383" t="n"/>
      <c r="T58" s="383" t="n"/>
      <c r="U58" s="383" t="n"/>
      <c r="V58" s="383" t="n"/>
      <c r="W58" s="383" t="n"/>
      <c r="X58" s="383" t="n"/>
      <c r="Y58" s="383" t="n"/>
      <c r="Z58" s="383" t="n"/>
      <c r="AA58" s="383" t="n"/>
      <c r="AB58" s="383" t="n"/>
      <c r="AC58" s="383" t="n"/>
      <c r="AD58" s="383" t="n"/>
      <c r="AE58" s="383" t="n"/>
      <c r="AF58" s="383" t="n"/>
      <c r="AG58" s="383" t="n"/>
      <c r="AH58" s="383" t="n"/>
      <c r="AI58" s="383" t="n"/>
      <c r="AJ58" s="383" t="n"/>
      <c r="AK58" s="383" t="n"/>
      <c r="AL58" s="383" t="n"/>
      <c r="AM58" s="383" t="n"/>
      <c r="AN58" s="383" t="n"/>
      <c r="AO58" s="383" t="n"/>
      <c r="AP58" s="383" t="n"/>
      <c r="AQ58" s="383" t="n"/>
      <c r="AR58" s="383" t="n"/>
      <c r="AS58" s="383" t="n"/>
      <c r="AT58" s="383" t="n"/>
      <c r="AU58" s="383" t="n"/>
      <c r="AV58" s="383" t="n"/>
      <c r="AW58" s="383" t="n"/>
      <c r="AX58" s="383" t="n"/>
      <c r="AY58" s="383" t="n"/>
      <c r="AZ58" s="383" t="n"/>
      <c r="BA58" s="383" t="n"/>
      <c r="BB58" s="383" t="n"/>
      <c r="BC58" s="383" t="n"/>
      <c r="BD58" s="383" t="n"/>
      <c r="BE58" s="383" t="n"/>
      <c r="BF58" s="383" t="n"/>
      <c r="BG58" s="383" t="n"/>
      <c r="BH58" s="383" t="n"/>
      <c r="BI58" s="383" t="n"/>
      <c r="BJ58" s="383" t="n"/>
      <c r="BK58" s="383" t="n"/>
      <c r="BL58" s="383" t="n"/>
      <c r="BM58" s="383" t="n"/>
      <c r="BN58" s="383" t="n"/>
      <c r="BO58" s="383" t="n"/>
      <c r="BP58" s="383" t="n"/>
      <c r="BQ58" s="383" t="n"/>
      <c r="BR58" s="383" t="n"/>
      <c r="BS58" s="383" t="n"/>
      <c r="BT58" s="383" t="n"/>
      <c r="BU58" s="383" t="n"/>
      <c r="BV58" s="383" t="n"/>
      <c r="BW58" s="383" t="n"/>
      <c r="BX58" s="383" t="n"/>
      <c r="BY58" s="383" t="n"/>
      <c r="BZ58" s="383" t="n"/>
      <c r="CA58" s="383" t="n"/>
      <c r="CB58" s="383" t="n"/>
      <c r="CC58" s="383" t="n"/>
      <c r="CD58" s="383" t="n"/>
      <c r="CE58" s="383" t="n"/>
      <c r="CF58" s="383" t="n"/>
      <c r="CG58" s="383" t="n"/>
      <c r="CH58" s="383" t="n"/>
      <c r="CI58" s="383" t="n"/>
      <c r="CJ58" s="383" t="n"/>
      <c r="CK58" s="383" t="n"/>
      <c r="CL58" s="383" t="n"/>
      <c r="CM58" s="383" t="n"/>
      <c r="CN58" s="383" t="n"/>
      <c r="CO58" s="383" t="n"/>
      <c r="CP58" s="383" t="n"/>
      <c r="CQ58" s="383" t="n"/>
      <c r="CR58" s="383" t="n"/>
      <c r="CS58" s="383" t="n"/>
      <c r="CT58" s="383" t="n"/>
      <c r="CU58" s="383" t="n"/>
      <c r="CV58" s="383" t="n"/>
      <c r="CW58" s="383" t="n"/>
      <c r="CX58" s="383" t="n"/>
      <c r="CY58" s="383" t="n"/>
      <c r="CZ58" s="383" t="n"/>
    </row>
    <row r="59" ht="15" customHeight="1" s="1883">
      <c r="B59" s="383" t="n"/>
      <c r="D59" s="729" t="inlineStr">
        <is>
          <t>●</t>
        </is>
      </c>
      <c r="E59" s="383" t="inlineStr">
        <is>
          <t>Order Balance Paid at Shipment / Delivered in Beginning of Month 1 = 2nd Month</t>
        </is>
      </c>
      <c r="F59" s="383" t="n"/>
      <c r="G59" s="383" t="n"/>
      <c r="H59" s="383" t="n"/>
      <c r="I59" s="383" t="n"/>
      <c r="J59" s="383" t="n"/>
      <c r="K59" s="383" t="n"/>
      <c r="L59" s="383" t="n"/>
      <c r="M59" s="383" t="n"/>
      <c r="N59" s="383" t="n"/>
      <c r="O59" s="383" t="n"/>
      <c r="P59" s="383" t="n"/>
      <c r="Q59" s="383" t="n"/>
      <c r="R59" s="383" t="n"/>
      <c r="S59" s="383" t="n"/>
      <c r="T59" s="383" t="n"/>
      <c r="U59" s="383" t="n"/>
      <c r="V59" s="383" t="n"/>
      <c r="W59" s="383" t="n"/>
      <c r="X59" s="383" t="n"/>
      <c r="Y59" s="383" t="n"/>
      <c r="Z59" s="383" t="n"/>
      <c r="AA59" s="383" t="n"/>
      <c r="AB59" s="383" t="n"/>
      <c r="AC59" s="383" t="n"/>
      <c r="AD59" s="383" t="n"/>
      <c r="AE59" s="383" t="n"/>
      <c r="AF59" s="383" t="n"/>
      <c r="AG59" s="383" t="n"/>
      <c r="AH59" s="383" t="n"/>
      <c r="AI59" s="383" t="n"/>
      <c r="AJ59" s="383" t="n"/>
      <c r="AK59" s="383" t="n"/>
      <c r="AL59" s="383" t="n"/>
      <c r="AM59" s="383" t="n"/>
      <c r="AN59" s="383" t="n"/>
      <c r="AO59" s="383" t="n"/>
      <c r="AP59" s="383" t="n"/>
      <c r="AQ59" s="383" t="n"/>
      <c r="AR59" s="383" t="n"/>
      <c r="AS59" s="383" t="n"/>
      <c r="AT59" s="383" t="n"/>
      <c r="AU59" s="383" t="n"/>
      <c r="AV59" s="383" t="n"/>
      <c r="AW59" s="383" t="n"/>
      <c r="AX59" s="383" t="n"/>
      <c r="AY59" s="383" t="n"/>
      <c r="AZ59" s="383" t="n"/>
      <c r="BA59" s="383" t="n"/>
      <c r="BB59" s="383" t="n"/>
      <c r="BC59" s="383" t="n"/>
      <c r="BD59" s="383" t="n"/>
      <c r="BE59" s="383" t="n"/>
      <c r="BF59" s="383" t="n"/>
      <c r="BG59" s="383" t="n"/>
      <c r="BH59" s="383" t="n"/>
      <c r="BI59" s="383" t="n"/>
      <c r="BJ59" s="383" t="n"/>
      <c r="BK59" s="383" t="n"/>
      <c r="BL59" s="383" t="n"/>
      <c r="BM59" s="383" t="n"/>
      <c r="BN59" s="383" t="n"/>
      <c r="BO59" s="383" t="n"/>
      <c r="BP59" s="383" t="n"/>
      <c r="BQ59" s="383" t="n"/>
      <c r="BR59" s="383" t="n"/>
      <c r="BS59" s="383" t="n"/>
      <c r="BT59" s="383" t="n"/>
      <c r="BU59" s="383" t="n"/>
      <c r="BV59" s="383" t="n"/>
      <c r="BW59" s="383" t="n"/>
      <c r="BX59" s="383" t="n"/>
      <c r="BY59" s="383" t="n"/>
      <c r="BZ59" s="383" t="n"/>
      <c r="CA59" s="383" t="n"/>
      <c r="CB59" s="383" t="n"/>
      <c r="CC59" s="383" t="n"/>
      <c r="CD59" s="383" t="n"/>
      <c r="CE59" s="383" t="n"/>
      <c r="CF59" s="383" t="n"/>
      <c r="CG59" s="383" t="n"/>
      <c r="CH59" s="383" t="n"/>
      <c r="CI59" s="383" t="n"/>
      <c r="CJ59" s="383" t="n"/>
      <c r="CK59" s="383" t="n"/>
      <c r="CL59" s="383" t="n"/>
      <c r="CM59" s="383" t="n"/>
      <c r="CN59" s="383" t="n"/>
      <c r="CO59" s="383" t="n"/>
      <c r="CP59" s="383" t="n"/>
      <c r="CQ59" s="383" t="n"/>
      <c r="CR59" s="383" t="n"/>
      <c r="CS59" s="383" t="n"/>
      <c r="CT59" s="383" t="n"/>
      <c r="CU59" s="383" t="n"/>
      <c r="CV59" s="383" t="n"/>
      <c r="CW59" s="383" t="n"/>
      <c r="CX59" s="383" t="n"/>
      <c r="CY59" s="383" t="n"/>
      <c r="CZ59" s="383" t="n"/>
    </row>
    <row r="60" ht="15" customHeight="1" s="1883">
      <c r="B60" s="383" t="n"/>
      <c r="D60" s="729" t="inlineStr">
        <is>
          <t>●</t>
        </is>
      </c>
      <c r="E60" s="383" t="inlineStr">
        <is>
          <t>Units Delivered to PT in Month 1, Delivered to Customers by the end of Month 1 = 2nd Month</t>
        </is>
      </c>
      <c r="F60" s="383" t="n"/>
      <c r="G60" s="383" t="n"/>
      <c r="H60" s="383" t="n"/>
      <c r="I60" s="383" t="n"/>
      <c r="J60" s="383" t="n"/>
      <c r="K60" s="383" t="n"/>
      <c r="L60" s="383" t="n"/>
      <c r="M60" s="383" t="n"/>
      <c r="N60" s="383" t="n"/>
      <c r="O60" s="383" t="n"/>
      <c r="P60" s="383" t="n"/>
      <c r="Q60" s="383" t="n"/>
      <c r="R60" s="383" t="n"/>
      <c r="S60" s="383" t="n"/>
      <c r="T60" s="383" t="n"/>
      <c r="U60" s="383" t="n"/>
      <c r="V60" s="383" t="n"/>
      <c r="W60" s="383" t="n"/>
      <c r="X60" s="383" t="n"/>
      <c r="Y60" s="383" t="n"/>
      <c r="Z60" s="383" t="n"/>
      <c r="AA60" s="383" t="n"/>
      <c r="AB60" s="383" t="n"/>
      <c r="AC60" s="383" t="n"/>
      <c r="AD60" s="383" t="n"/>
      <c r="AE60" s="383" t="n"/>
      <c r="AF60" s="383" t="n"/>
      <c r="AG60" s="383" t="n"/>
      <c r="AH60" s="383" t="n"/>
      <c r="AI60" s="383" t="n"/>
      <c r="AJ60" s="383" t="n"/>
      <c r="AK60" s="383" t="n"/>
      <c r="AL60" s="383" t="n"/>
      <c r="AM60" s="383" t="n"/>
      <c r="AN60" s="383" t="n"/>
      <c r="AO60" s="383" t="n"/>
      <c r="AP60" s="383" t="n"/>
      <c r="AQ60" s="383" t="n"/>
      <c r="AR60" s="383" t="n"/>
      <c r="AS60" s="383" t="n"/>
      <c r="AT60" s="383" t="n"/>
      <c r="AU60" s="383" t="n"/>
      <c r="AV60" s="383" t="n"/>
      <c r="AW60" s="383" t="n"/>
      <c r="AX60" s="383" t="n"/>
      <c r="AY60" s="383" t="n"/>
      <c r="AZ60" s="383" t="n"/>
      <c r="BA60" s="383" t="n"/>
      <c r="BB60" s="383" t="n"/>
      <c r="BC60" s="383" t="n"/>
      <c r="BD60" s="383" t="n"/>
      <c r="BE60" s="383" t="n"/>
      <c r="BF60" s="383" t="n"/>
      <c r="BG60" s="383" t="n"/>
      <c r="BH60" s="383" t="n"/>
      <c r="BI60" s="383" t="n"/>
      <c r="BJ60" s="383" t="n"/>
      <c r="BK60" s="383" t="n"/>
      <c r="BL60" s="383" t="n"/>
      <c r="BM60" s="383" t="n"/>
      <c r="BN60" s="383" t="n"/>
      <c r="BO60" s="383" t="n"/>
      <c r="BP60" s="383" t="n"/>
      <c r="BQ60" s="383" t="n"/>
      <c r="BR60" s="383" t="n"/>
      <c r="BS60" s="383" t="n"/>
      <c r="BT60" s="383" t="n"/>
      <c r="BU60" s="383" t="n"/>
      <c r="BV60" s="383" t="n"/>
      <c r="BW60" s="383" t="n"/>
      <c r="BX60" s="383" t="n"/>
      <c r="BY60" s="383" t="n"/>
      <c r="BZ60" s="383" t="n"/>
      <c r="CA60" s="383" t="n"/>
      <c r="CB60" s="383" t="n"/>
      <c r="CC60" s="383" t="n"/>
      <c r="CD60" s="383" t="n"/>
      <c r="CE60" s="383" t="n"/>
      <c r="CF60" s="383" t="n"/>
      <c r="CG60" s="383" t="n"/>
      <c r="CH60" s="383" t="n"/>
      <c r="CI60" s="383" t="n"/>
      <c r="CJ60" s="383" t="n"/>
      <c r="CK60" s="383" t="n"/>
      <c r="CL60" s="383" t="n"/>
      <c r="CM60" s="383" t="n"/>
      <c r="CN60" s="383" t="n"/>
      <c r="CO60" s="383" t="n"/>
      <c r="CP60" s="383" t="n"/>
      <c r="CQ60" s="383" t="n"/>
      <c r="CR60" s="383" t="n"/>
      <c r="CS60" s="383" t="n"/>
      <c r="CT60" s="383" t="n"/>
      <c r="CU60" s="383" t="n"/>
      <c r="CV60" s="383" t="n"/>
      <c r="CW60" s="383" t="n"/>
      <c r="CX60" s="383" t="n"/>
      <c r="CY60" s="383" t="n"/>
      <c r="CZ60" s="383" t="n"/>
    </row>
    <row r="61" ht="15" customHeight="1" s="1883">
      <c r="B61" s="383" t="n"/>
      <c r="D61" s="729" t="inlineStr">
        <is>
          <t>●</t>
        </is>
      </c>
      <c r="E61" s="383" t="inlineStr">
        <is>
          <t>Total Order-to-Cash Cycle = 60 Days (Order Place to Deliver, 30 Days + Sale/Customer Payment (IF NOT ALREADY GENERATED), 30 Days  = 60 Days)</t>
        </is>
      </c>
      <c r="F61" s="383" t="n"/>
      <c r="G61" s="383" t="n"/>
      <c r="H61" s="383" t="n"/>
      <c r="I61" s="383" t="n"/>
      <c r="J61" s="383" t="n"/>
      <c r="K61" s="383" t="n"/>
      <c r="L61" s="383" t="n"/>
      <c r="M61" s="383" t="n"/>
      <c r="N61" s="383" t="n"/>
      <c r="O61" s="383" t="n"/>
      <c r="P61" s="383" t="n"/>
      <c r="Q61" s="383" t="n"/>
      <c r="R61" s="383" t="n"/>
      <c r="S61" s="383" t="n"/>
      <c r="T61" s="383" t="n"/>
      <c r="U61" s="383" t="n"/>
      <c r="V61" s="383" t="n"/>
      <c r="W61" s="383" t="n"/>
      <c r="X61" s="383" t="n"/>
      <c r="Y61" s="383" t="n"/>
      <c r="Z61" s="383" t="n"/>
      <c r="AA61" s="383" t="n"/>
      <c r="AB61" s="383" t="n"/>
      <c r="AC61" s="383" t="n"/>
      <c r="AD61" s="383" t="n"/>
      <c r="AE61" s="383" t="n"/>
      <c r="AF61" s="383" t="n"/>
      <c r="AG61" s="383" t="n"/>
      <c r="AH61" s="383" t="n"/>
      <c r="AI61" s="383" t="n"/>
      <c r="AJ61" s="383" t="n"/>
      <c r="AK61" s="383" t="n"/>
      <c r="AL61" s="383" t="n"/>
      <c r="AM61" s="383" t="n"/>
      <c r="AN61" s="383" t="n"/>
      <c r="AO61" s="383" t="n"/>
      <c r="AP61" s="383" t="n"/>
      <c r="AQ61" s="383" t="n"/>
      <c r="AR61" s="383" t="n"/>
      <c r="AS61" s="383" t="n"/>
      <c r="AT61" s="383" t="n"/>
      <c r="AU61" s="383" t="n"/>
      <c r="AV61" s="383" t="n"/>
      <c r="AW61" s="383" t="n"/>
      <c r="AX61" s="383" t="n"/>
      <c r="AY61" s="383" t="n"/>
      <c r="AZ61" s="383" t="n"/>
      <c r="BA61" s="383" t="n"/>
      <c r="BB61" s="383" t="n"/>
      <c r="BC61" s="383" t="n"/>
      <c r="BD61" s="383" t="n"/>
      <c r="BE61" s="383" t="n"/>
      <c r="BF61" s="383" t="n"/>
      <c r="BG61" s="383" t="n"/>
      <c r="BH61" s="383" t="n"/>
      <c r="BI61" s="383" t="n"/>
      <c r="BJ61" s="383" t="n"/>
      <c r="BK61" s="383" t="n"/>
      <c r="BL61" s="383" t="n"/>
      <c r="BM61" s="383" t="n"/>
      <c r="BN61" s="383" t="n"/>
      <c r="BO61" s="383" t="n"/>
      <c r="BP61" s="383" t="n"/>
      <c r="BQ61" s="383" t="n"/>
      <c r="BR61" s="383" t="n"/>
      <c r="BS61" s="383" t="n"/>
      <c r="BT61" s="383" t="n"/>
      <c r="BU61" s="383" t="n"/>
      <c r="BV61" s="383" t="n"/>
      <c r="BW61" s="383" t="n"/>
      <c r="BX61" s="383" t="n"/>
      <c r="BY61" s="383" t="n"/>
      <c r="BZ61" s="383" t="n"/>
      <c r="CA61" s="383" t="n"/>
      <c r="CB61" s="383" t="n"/>
      <c r="CC61" s="383" t="n"/>
      <c r="CD61" s="383" t="n"/>
      <c r="CE61" s="383" t="n"/>
      <c r="CF61" s="383" t="n"/>
      <c r="CG61" s="383" t="n"/>
      <c r="CH61" s="383" t="n"/>
      <c r="CI61" s="383" t="n"/>
      <c r="CJ61" s="383" t="n"/>
      <c r="CK61" s="383" t="n"/>
      <c r="CL61" s="383" t="n"/>
      <c r="CM61" s="383" t="n"/>
      <c r="CN61" s="383" t="n"/>
      <c r="CO61" s="383" t="n"/>
      <c r="CP61" s="383" t="n"/>
      <c r="CQ61" s="383" t="n"/>
      <c r="CR61" s="383" t="n"/>
      <c r="CS61" s="383" t="n"/>
      <c r="CT61" s="383" t="n"/>
      <c r="CU61" s="383" t="n"/>
      <c r="CV61" s="383" t="n"/>
      <c r="CW61" s="383" t="n"/>
      <c r="CX61" s="383" t="n"/>
      <c r="CY61" s="383" t="n"/>
      <c r="CZ61" s="383" t="n"/>
    </row>
    <row r="62" ht="15" customHeight="1" s="1883">
      <c r="B62" s="383" t="n"/>
      <c r="C62" s="383" t="n"/>
      <c r="E62" s="383" t="n"/>
      <c r="F62" s="383" t="n"/>
      <c r="G62" s="383" t="n"/>
      <c r="H62" s="383" t="n"/>
      <c r="I62" s="383" t="n"/>
      <c r="J62" s="383" t="n"/>
      <c r="K62" s="383" t="n"/>
      <c r="L62" s="383" t="n"/>
      <c r="M62" s="383" t="n"/>
      <c r="N62" s="383" t="n"/>
      <c r="O62" s="383" t="n"/>
      <c r="P62" s="383" t="n"/>
      <c r="Q62" s="383" t="n"/>
      <c r="R62" s="383" t="n"/>
      <c r="S62" s="383" t="n"/>
      <c r="T62" s="383" t="n"/>
      <c r="U62" s="383" t="n"/>
      <c r="V62" s="383" t="n"/>
      <c r="W62" s="383" t="n"/>
      <c r="X62" s="383" t="n"/>
      <c r="Y62" s="383" t="n"/>
      <c r="Z62" s="383" t="n"/>
      <c r="AA62" s="383" t="n"/>
      <c r="AB62" s="383" t="n"/>
      <c r="AC62" s="383" t="n"/>
      <c r="AD62" s="383" t="n"/>
      <c r="AE62" s="383" t="n"/>
      <c r="AF62" s="383" t="n"/>
      <c r="AG62" s="383" t="n"/>
      <c r="AH62" s="383" t="n"/>
      <c r="AI62" s="383" t="n"/>
      <c r="AJ62" s="383" t="n"/>
      <c r="AK62" s="383" t="n"/>
      <c r="AL62" s="383" t="n"/>
      <c r="AM62" s="383" t="n"/>
      <c r="AN62" s="383" t="n"/>
      <c r="AO62" s="383" t="n"/>
      <c r="AP62" s="383" t="n"/>
      <c r="AQ62" s="383" t="n"/>
      <c r="AR62" s="383" t="n"/>
      <c r="AS62" s="383" t="n"/>
      <c r="AT62" s="383" t="n"/>
      <c r="AU62" s="383" t="n"/>
      <c r="AV62" s="383" t="n"/>
      <c r="AW62" s="383" t="n"/>
      <c r="AX62" s="383" t="n"/>
      <c r="AY62" s="383" t="n"/>
      <c r="AZ62" s="383" t="n"/>
      <c r="BA62" s="383" t="n"/>
      <c r="BB62" s="383" t="n"/>
      <c r="BC62" s="383" t="n"/>
      <c r="BD62" s="383" t="n"/>
      <c r="BE62" s="383" t="n"/>
      <c r="BF62" s="383" t="n"/>
      <c r="BG62" s="383" t="n"/>
      <c r="BH62" s="383" t="n"/>
      <c r="BI62" s="383" t="n"/>
      <c r="BJ62" s="383" t="n"/>
      <c r="BK62" s="383" t="n"/>
      <c r="BL62" s="383" t="n"/>
      <c r="BM62" s="383" t="n"/>
      <c r="BN62" s="383" t="n"/>
      <c r="BO62" s="383" t="n"/>
      <c r="BP62" s="383" t="n"/>
      <c r="BQ62" s="383" t="n"/>
      <c r="BR62" s="383" t="n"/>
      <c r="BS62" s="383" t="n"/>
      <c r="BT62" s="383" t="n"/>
      <c r="BU62" s="383" t="n"/>
      <c r="BV62" s="383" t="n"/>
      <c r="BW62" s="383" t="n"/>
      <c r="BX62" s="383" t="n"/>
      <c r="BY62" s="383" t="n"/>
      <c r="BZ62" s="383" t="n"/>
      <c r="CA62" s="383" t="n"/>
      <c r="CB62" s="383" t="n"/>
      <c r="CC62" s="383" t="n"/>
      <c r="CD62" s="383" t="n"/>
      <c r="CE62" s="383" t="n"/>
      <c r="CF62" s="383" t="n"/>
      <c r="CG62" s="383" t="n"/>
      <c r="CH62" s="383" t="n"/>
      <c r="CI62" s="383" t="n"/>
      <c r="CJ62" s="383" t="n"/>
      <c r="CK62" s="383" t="n"/>
      <c r="CL62" s="383" t="n"/>
      <c r="CM62" s="383" t="n"/>
      <c r="CN62" s="383" t="n"/>
      <c r="CO62" s="383" t="n"/>
      <c r="CP62" s="383" t="n"/>
      <c r="CQ62" s="383" t="n"/>
      <c r="CR62" s="383" t="n"/>
      <c r="CS62" s="383" t="n"/>
      <c r="CT62" s="383" t="n"/>
      <c r="CU62" s="383" t="n"/>
      <c r="CV62" s="383" t="n"/>
      <c r="CW62" s="383" t="n"/>
      <c r="CX62" s="383" t="n"/>
      <c r="CY62" s="383" t="n"/>
      <c r="CZ62" s="383" t="n"/>
    </row>
    <row r="63" ht="15" customHeight="1" s="1883">
      <c r="B63" s="383" t="n"/>
      <c r="D63" s="385" t="inlineStr">
        <is>
          <t>Unit Cost and Order-to-Cash Cycle</t>
        </is>
      </c>
      <c r="E63" s="383" t="n"/>
      <c r="F63" s="383" t="n"/>
      <c r="G63" s="383" t="n"/>
      <c r="H63" s="383" t="n"/>
      <c r="I63" s="383" t="n"/>
      <c r="J63" s="383" t="n"/>
      <c r="K63" s="383" t="n"/>
      <c r="L63" s="383" t="n"/>
      <c r="M63" s="383" t="n"/>
      <c r="N63" s="383" t="n"/>
      <c r="O63" s="383" t="n"/>
      <c r="P63" s="383" t="n"/>
      <c r="Q63" s="383" t="n"/>
      <c r="R63" s="383" t="n"/>
      <c r="S63" s="383" t="n"/>
      <c r="T63" s="383" t="n"/>
      <c r="U63" s="383" t="n"/>
      <c r="V63" s="383" t="n"/>
      <c r="W63" s="383" t="n"/>
      <c r="X63" s="383" t="n"/>
      <c r="Y63" s="383" t="n"/>
      <c r="Z63" s="383" t="n"/>
      <c r="AA63" s="383" t="n"/>
      <c r="AB63" s="383" t="n"/>
      <c r="AC63" s="383" t="n"/>
      <c r="AD63" s="383" t="n"/>
      <c r="AE63" s="383" t="n"/>
      <c r="AF63" s="383" t="n"/>
      <c r="AG63" s="383" t="n"/>
      <c r="AH63" s="383" t="n"/>
      <c r="AI63" s="383" t="n"/>
      <c r="AJ63" s="383" t="n"/>
      <c r="AK63" s="383" t="n"/>
      <c r="AL63" s="383" t="n"/>
      <c r="AM63" s="383" t="n"/>
      <c r="AN63" s="383" t="n"/>
      <c r="BC63" s="383" t="n"/>
      <c r="BD63" s="383" t="n"/>
      <c r="BE63" s="383" t="n"/>
      <c r="BF63" s="383" t="n"/>
      <c r="BG63" s="383" t="n"/>
      <c r="BH63" s="383" t="n"/>
      <c r="BI63" s="383" t="n"/>
      <c r="BJ63" s="383" t="n"/>
      <c r="BK63" s="383" t="n"/>
      <c r="BL63" s="383" t="n"/>
      <c r="BM63" s="383" t="n"/>
      <c r="BN63" s="383" t="n"/>
      <c r="BO63" s="383" t="n"/>
      <c r="BP63" s="383" t="n"/>
      <c r="BQ63" s="383" t="n"/>
      <c r="BR63" s="383" t="n"/>
      <c r="BS63" s="383" t="n"/>
      <c r="BT63" s="383" t="n"/>
      <c r="BU63" s="383" t="n"/>
      <c r="BV63" s="383" t="n"/>
      <c r="BW63" s="383" t="n"/>
      <c r="BX63" s="383" t="n"/>
      <c r="BY63" s="383" t="n"/>
      <c r="BZ63" s="383" t="n"/>
      <c r="CA63" s="383" t="n"/>
      <c r="CB63" s="383" t="n"/>
      <c r="CC63" s="383" t="n"/>
      <c r="CD63" s="383" t="n"/>
      <c r="CE63" s="383" t="n"/>
      <c r="CF63" s="383" t="n"/>
      <c r="CG63" s="383" t="n"/>
      <c r="CH63" s="383" t="n"/>
      <c r="CI63" s="383" t="n"/>
      <c r="CJ63" s="383" t="n"/>
      <c r="CK63" s="383" t="n"/>
      <c r="CL63" s="383" t="n"/>
      <c r="CM63" s="383" t="n"/>
      <c r="CN63" s="383" t="n"/>
      <c r="CO63" s="383" t="n"/>
      <c r="CP63" s="383" t="n"/>
      <c r="CQ63" s="383" t="n"/>
      <c r="CR63" s="383" t="n"/>
      <c r="CS63" s="383" t="n"/>
      <c r="CT63" s="383" t="n"/>
      <c r="CU63" s="383" t="n"/>
      <c r="CV63" s="383" t="n"/>
      <c r="CW63" s="383" t="n"/>
      <c r="CX63" s="383" t="n"/>
      <c r="CY63" s="383" t="n"/>
      <c r="CZ63" s="383" t="n"/>
    </row>
    <row r="64" ht="15" customHeight="1" s="1883">
      <c r="AN64" s="383" t="n"/>
      <c r="AO64" s="383" t="n"/>
      <c r="AP64" s="383" t="n"/>
      <c r="AQ64" s="383" t="n"/>
      <c r="AR64" s="383" t="n"/>
      <c r="AS64" s="383" t="n"/>
      <c r="AT64" s="383" t="n"/>
      <c r="AU64" s="383" t="n"/>
      <c r="AV64" s="383" t="n"/>
      <c r="AW64" s="383" t="n"/>
      <c r="AX64" s="383" t="n"/>
      <c r="AY64" s="383" t="n"/>
      <c r="AZ64" s="383" t="n"/>
      <c r="BA64" s="383" t="n"/>
      <c r="BB64" s="383" t="n"/>
      <c r="BC64" s="383" t="n"/>
      <c r="BD64" s="383" t="n"/>
      <c r="BE64" s="383" t="n"/>
      <c r="BF64" s="383" t="n"/>
      <c r="BG64" s="383" t="n"/>
      <c r="BH64" s="383" t="n"/>
      <c r="BI64" s="383" t="n"/>
      <c r="BJ64" s="383" t="n"/>
      <c r="BK64" s="383" t="n"/>
      <c r="BL64" s="383" t="n"/>
      <c r="BM64" s="383" t="n"/>
      <c r="BN64" s="383" t="n"/>
      <c r="BO64" s="383" t="n"/>
      <c r="BP64" s="383" t="n"/>
      <c r="BQ64" s="383" t="n"/>
    </row>
    <row r="66" ht="15" customHeight="1" s="1883">
      <c r="D66" s="729" t="inlineStr">
        <is>
          <t>●</t>
        </is>
      </c>
      <c r="E66" s="385" t="inlineStr">
        <is>
          <t>Orders Placed 30 Days in Advance of Delivery to PT</t>
        </is>
      </c>
      <c r="F66" s="383" t="n"/>
      <c r="G66" s="383" t="n"/>
      <c r="H66" s="383" t="n"/>
      <c r="I66" s="383" t="n"/>
      <c r="BF66" s="383" t="n"/>
      <c r="BG66" s="383" t="n"/>
      <c r="BH66" s="383" t="n"/>
      <c r="BI66" s="383" t="n"/>
      <c r="BJ66" s="383" t="n"/>
      <c r="BK66" s="383" t="n"/>
      <c r="BL66" s="383" t="n"/>
      <c r="BM66" s="383" t="n"/>
      <c r="BN66" s="383" t="n"/>
      <c r="BO66" s="383" t="n"/>
      <c r="BP66" s="383" t="n"/>
      <c r="BQ66" s="383" t="n"/>
    </row>
    <row r="67" ht="15" customHeight="1" s="1883">
      <c r="D67" s="729" t="inlineStr">
        <is>
          <t>●</t>
        </is>
      </c>
      <c r="E67" s="385" t="inlineStr">
        <is>
          <t>Orders Placed 60 Days in Advance of Delivery to Customer</t>
        </is>
      </c>
      <c r="F67" s="383" t="n"/>
      <c r="G67" s="383" t="n"/>
      <c r="H67" s="383" t="n"/>
      <c r="I67" s="383" t="n"/>
    </row>
    <row r="68" ht="15" customHeight="1" s="1883">
      <c r="D68" s="729" t="inlineStr">
        <is>
          <t>●</t>
        </is>
      </c>
      <c r="E68" s="383" t="inlineStr">
        <is>
          <t>Orders Placed Months - 1 through 15</t>
        </is>
      </c>
      <c r="F68" s="383" t="n"/>
      <c r="G68" s="2019">
        <f>'3B. Tel. - Rev. Detail x Month'!J28</f>
        <v/>
      </c>
      <c r="H68" s="383" t="n"/>
      <c r="I68" s="383" t="inlineStr">
        <is>
          <t>For Delivery to PT Months 1 through 16 and Sale/Delivery to Customers Months 1 - 16</t>
        </is>
      </c>
    </row>
    <row r="69" ht="15" customHeight="1" s="1883">
      <c r="D69" s="729" t="inlineStr">
        <is>
          <t>●</t>
        </is>
      </c>
      <c r="E69" s="383" t="inlineStr">
        <is>
          <t>Orders Placed Months 16 - 27</t>
        </is>
      </c>
      <c r="F69" s="383" t="n"/>
      <c r="G69" s="2019">
        <f>'3B. Tel. - Rev. Detail x Month'!J29</f>
        <v/>
      </c>
      <c r="H69" s="383" t="n"/>
      <c r="I69" s="383" t="inlineStr">
        <is>
          <t>For Delivery to PT Months 17 through 28 and Sale/Delivery to Customers Months 17 - 28</t>
        </is>
      </c>
      <c r="BF69" s="383" t="n"/>
      <c r="BG69" s="383" t="n"/>
      <c r="BH69" s="383" t="n"/>
      <c r="BI69" s="383" t="n"/>
      <c r="BJ69" s="383" t="n"/>
      <c r="BK69" s="383" t="n"/>
      <c r="BL69" s="383" t="n"/>
      <c r="BM69" s="383" t="n"/>
      <c r="BN69" s="383" t="n"/>
    </row>
    <row r="70" ht="15" customHeight="1" s="1883">
      <c r="D70" s="729" t="inlineStr">
        <is>
          <t>●</t>
        </is>
      </c>
      <c r="E70" s="383" t="inlineStr">
        <is>
          <t>Orders Placed Months 28 - 39</t>
        </is>
      </c>
      <c r="F70" s="383" t="n"/>
      <c r="G70" s="2019">
        <f>'3B. Tel. - Rev. Detail x Month'!J30</f>
        <v/>
      </c>
      <c r="H70" s="383" t="n"/>
      <c r="I70" s="383" t="inlineStr">
        <is>
          <t>For Delivery to PT Months 29 through 40 and Sale/Delivery to Customers Months 29 - 40</t>
        </is>
      </c>
      <c r="O70" s="1917" t="n"/>
    </row>
    <row r="71" ht="15" customHeight="1" s="1883">
      <c r="D71" s="729" t="inlineStr">
        <is>
          <t>●</t>
        </is>
      </c>
      <c r="E71" s="383" t="inlineStr">
        <is>
          <t>Orders Placed Months 40 - 51</t>
        </is>
      </c>
      <c r="F71" s="383" t="n"/>
      <c r="G71" s="2019">
        <f>'3B. Tel. - Rev. Detail x Month'!J31</f>
        <v/>
      </c>
      <c r="H71" s="383" t="n"/>
      <c r="I71" s="383" t="inlineStr">
        <is>
          <t>For Delivery to PT Months 41 through 52 and Sale/Delivery to Customers Months 41 - 52</t>
        </is>
      </c>
      <c r="O71" s="1917" t="n"/>
    </row>
    <row r="72" ht="15" customHeight="1" s="1883">
      <c r="D72" s="729" t="inlineStr">
        <is>
          <t>●</t>
        </is>
      </c>
      <c r="E72" s="383" t="inlineStr">
        <is>
          <t>Orders Placed Months 52 - 63</t>
        </is>
      </c>
      <c r="F72" s="383" t="n"/>
      <c r="G72" s="2019">
        <f>'3B. Tel. - Rev. Detail x Month'!J32</f>
        <v/>
      </c>
      <c r="H72" s="383" t="n"/>
      <c r="I72" s="383" t="inlineStr">
        <is>
          <t>For Delivery to PT Months 53 through 64 and Sale/Delivery to Customers Months 53 - 64</t>
        </is>
      </c>
      <c r="O72" s="1917" t="n"/>
    </row>
    <row r="73" ht="15" customHeight="1" s="1883">
      <c r="D73" s="729" t="inlineStr">
        <is>
          <t>●</t>
        </is>
      </c>
      <c r="E73" s="383" t="inlineStr">
        <is>
          <t>Orders Placed Months 64 - 75</t>
        </is>
      </c>
      <c r="F73" s="383" t="n"/>
      <c r="G73" s="2019">
        <f>'3B. Tel. - Rev. Detail x Month'!J33</f>
        <v/>
      </c>
      <c r="H73" s="383" t="n"/>
      <c r="I73" s="383" t="inlineStr">
        <is>
          <t>For Delivery to PT Months 65 through 76 and Sale/Delivery to Customers Months 65 - 76</t>
        </is>
      </c>
      <c r="O73" s="1917" t="n"/>
    </row>
    <row r="74" ht="15" customHeight="1" s="1883">
      <c r="E74" s="383" t="n"/>
      <c r="F74" s="383" t="n"/>
      <c r="G74" s="383" t="n"/>
      <c r="H74" s="383" t="n"/>
      <c r="I74" s="383" t="n"/>
    </row>
    <row r="75" ht="15" customHeight="1" s="1883">
      <c r="D75" s="385" t="inlineStr">
        <is>
          <t>Vendor Payment Terms</t>
        </is>
      </c>
      <c r="E75" s="383" t="n"/>
      <c r="F75" s="383" t="n"/>
      <c r="G75" s="383" t="n"/>
      <c r="H75" s="383" t="n"/>
      <c r="I75" s="383" t="n"/>
    </row>
    <row r="76" ht="3" customHeight="1" s="1883">
      <c r="D76" s="628" t="n"/>
      <c r="E76" s="387" t="n"/>
      <c r="F76" s="387" t="n"/>
      <c r="G76" s="387" t="n"/>
      <c r="H76" s="383" t="n"/>
      <c r="I76" s="383" t="n"/>
    </row>
    <row r="77" ht="3" customHeight="1" s="1883">
      <c r="E77" s="383" t="n"/>
      <c r="F77" s="383" t="n"/>
      <c r="G77" s="383" t="n"/>
      <c r="H77" s="383" t="n"/>
      <c r="I77" s="383" t="n"/>
    </row>
    <row r="78" ht="15" customHeight="1" s="1883">
      <c r="D78" s="729" t="inlineStr">
        <is>
          <t>●</t>
        </is>
      </c>
      <c r="E78" s="383" t="inlineStr">
        <is>
          <t>Deposit with PO</t>
        </is>
      </c>
      <c r="F78" s="383" t="n"/>
      <c r="G78" s="574" t="n">
        <v>0.3</v>
      </c>
      <c r="H78" s="383" t="n"/>
      <c r="I78" s="383" t="n"/>
    </row>
    <row r="79" ht="15" customHeight="1" s="1883">
      <c r="D79" s="729" t="inlineStr">
        <is>
          <t>●</t>
        </is>
      </c>
      <c r="E79" s="383" t="inlineStr">
        <is>
          <t>Balance at Shipment</t>
        </is>
      </c>
      <c r="F79" s="383" t="n"/>
      <c r="G79" s="574">
        <f>((1)-(G78))</f>
        <v/>
      </c>
      <c r="H79" s="383" t="n"/>
      <c r="I79" s="383" t="n"/>
    </row>
    <row r="80" ht="15" customHeight="1" s="1883">
      <c r="D80" s="729" t="inlineStr">
        <is>
          <t>●</t>
        </is>
      </c>
      <c r="E80" s="385" t="inlineStr">
        <is>
          <t>Deposit - 60 days prior to anticipated sale</t>
        </is>
      </c>
      <c r="F80" s="383" t="n"/>
      <c r="G80" s="383" t="n"/>
      <c r="H80" s="383" t="n"/>
      <c r="I80" s="383" t="n"/>
    </row>
    <row r="81" ht="15" customHeight="1" s="1883">
      <c r="B81" s="383" t="n"/>
      <c r="D81" s="729" t="inlineStr">
        <is>
          <t>●</t>
        </is>
      </c>
      <c r="E81" s="385" t="inlineStr">
        <is>
          <t>Balance - 30 days prior to anticipated sale</t>
        </is>
      </c>
      <c r="F81" s="383" t="n"/>
      <c r="G81" s="383" t="n"/>
      <c r="H81" s="383" t="n"/>
      <c r="I81" s="383" t="n"/>
      <c r="J81" s="383" t="n"/>
      <c r="K81" s="383" t="n"/>
      <c r="L81" s="383" t="n"/>
      <c r="M81" s="383" t="n"/>
      <c r="N81" s="383" t="n"/>
      <c r="O81" s="383" t="n"/>
      <c r="P81" s="383" t="n"/>
      <c r="Q81" s="383" t="n"/>
      <c r="R81" s="383" t="n"/>
      <c r="S81" s="383" t="n"/>
      <c r="T81" s="383" t="n"/>
      <c r="U81" s="383" t="n"/>
      <c r="V81" s="383" t="n"/>
      <c r="W81" s="383" t="n"/>
      <c r="X81" s="383" t="n"/>
      <c r="Y81" s="383" t="n"/>
      <c r="Z81" s="383" t="n"/>
      <c r="AA81" s="383" t="n"/>
      <c r="AB81" s="383" t="n"/>
      <c r="AC81" s="383" t="n"/>
      <c r="AD81" s="383" t="n"/>
      <c r="AE81" s="383" t="n"/>
      <c r="AF81" s="383" t="n"/>
      <c r="AG81" s="383" t="n"/>
      <c r="AH81" s="383" t="n"/>
      <c r="AI81" s="383" t="n"/>
      <c r="AJ81" s="383" t="n"/>
      <c r="AK81" s="383" t="n"/>
      <c r="AL81" s="383" t="n"/>
      <c r="AM81" s="383" t="n"/>
      <c r="AN81" s="383" t="n"/>
      <c r="AO81" s="383" t="n"/>
      <c r="AP81" s="383" t="n"/>
      <c r="AQ81" s="383" t="n"/>
      <c r="AR81" s="383" t="n"/>
      <c r="AS81" s="383" t="n"/>
      <c r="AT81" s="383" t="n"/>
      <c r="AU81" s="383" t="n"/>
      <c r="AV81" s="383" t="n"/>
      <c r="AW81" s="383" t="n"/>
      <c r="AX81" s="383" t="n"/>
      <c r="AY81" s="383" t="n"/>
      <c r="AZ81" s="383" t="n"/>
      <c r="BA81" s="383" t="n"/>
      <c r="BB81" s="383" t="n"/>
      <c r="BC81" s="383" t="n"/>
      <c r="BD81" s="383" t="n"/>
      <c r="BE81" s="383" t="n"/>
      <c r="BF81" s="383" t="n"/>
      <c r="BG81" s="383" t="n"/>
      <c r="BH81" s="383" t="n"/>
      <c r="BI81" s="383" t="n"/>
      <c r="BJ81" s="383" t="n"/>
      <c r="BK81" s="383" t="n"/>
      <c r="BL81" s="383" t="n"/>
      <c r="BM81" s="383" t="n"/>
      <c r="BN81" s="383" t="n"/>
      <c r="BO81" s="383" t="n"/>
      <c r="BP81" s="383" t="n"/>
      <c r="BQ81" s="383" t="n"/>
      <c r="BR81" s="383" t="n"/>
      <c r="BS81" s="383" t="n"/>
      <c r="BT81" s="383" t="n"/>
      <c r="BU81" s="383" t="n"/>
      <c r="BV81" s="383" t="n"/>
      <c r="BW81" s="383" t="n"/>
      <c r="BX81" s="383" t="n"/>
      <c r="BY81" s="383" t="n"/>
      <c r="BZ81" s="383" t="n"/>
      <c r="CA81" s="383" t="n"/>
      <c r="CB81" s="383" t="n"/>
      <c r="CC81" s="383" t="n"/>
      <c r="CD81" s="383" t="n"/>
      <c r="CE81" s="383" t="n"/>
      <c r="CF81" s="383" t="n"/>
      <c r="CG81" s="383" t="n"/>
      <c r="CH81" s="383" t="n"/>
      <c r="CI81" s="383" t="n"/>
      <c r="CJ81" s="383" t="n"/>
      <c r="CK81" s="383" t="n"/>
      <c r="CL81" s="383" t="n"/>
      <c r="CM81" s="383" t="n"/>
      <c r="CN81" s="383" t="n"/>
      <c r="CO81" s="383" t="n"/>
      <c r="CP81" s="383" t="n"/>
      <c r="CQ81" s="383" t="n"/>
      <c r="CR81" s="383" t="n"/>
      <c r="CS81" s="383" t="n"/>
      <c r="CT81" s="383" t="n"/>
    </row>
    <row r="82" ht="15" customHeight="1" s="1883">
      <c r="B82" s="383" t="n"/>
      <c r="E82" s="383" t="n"/>
      <c r="F82" s="383" t="n"/>
      <c r="G82" s="383" t="n"/>
      <c r="H82" s="383" t="n"/>
      <c r="I82" s="383" t="n"/>
      <c r="J82" s="383" t="n"/>
      <c r="K82" s="383" t="n"/>
      <c r="L82" s="383" t="n"/>
      <c r="M82" s="383" t="n"/>
      <c r="N82" s="383" t="n"/>
      <c r="O82" s="383" t="n"/>
      <c r="P82" s="383" t="n"/>
      <c r="Q82" s="383" t="n"/>
      <c r="R82" s="383" t="n"/>
      <c r="S82" s="383" t="n"/>
      <c r="T82" s="383" t="n"/>
      <c r="U82" s="383" t="n"/>
      <c r="V82" s="383" t="n"/>
      <c r="W82" s="383" t="n"/>
      <c r="X82" s="383" t="n"/>
      <c r="Y82" s="383" t="n"/>
      <c r="Z82" s="383" t="n"/>
      <c r="AA82" s="383" t="n"/>
      <c r="AB82" s="383" t="n"/>
      <c r="AC82" s="383" t="n"/>
      <c r="AD82" s="383" t="n"/>
      <c r="AE82" s="383" t="n"/>
      <c r="AF82" s="383" t="n"/>
      <c r="AG82" s="383" t="n"/>
      <c r="AH82" s="383" t="n"/>
      <c r="AI82" s="383" t="n"/>
      <c r="AJ82" s="383" t="n"/>
      <c r="AK82" s="383" t="n"/>
      <c r="AL82" s="383" t="n"/>
      <c r="AM82" s="383" t="n"/>
      <c r="AN82" s="383" t="n"/>
      <c r="AO82" s="383" t="n"/>
      <c r="AP82" s="383" t="n"/>
      <c r="AQ82" s="383" t="n"/>
      <c r="AR82" s="383" t="n"/>
      <c r="AS82" s="383" t="n"/>
      <c r="AT82" s="383" t="n"/>
      <c r="AU82" s="383" t="n"/>
      <c r="AV82" s="383" t="n"/>
      <c r="AW82" s="383" t="n"/>
      <c r="AX82" s="383" t="n"/>
      <c r="AY82" s="383" t="n"/>
      <c r="AZ82" s="383" t="n"/>
      <c r="BA82" s="383" t="n"/>
      <c r="BB82" s="383" t="n"/>
      <c r="BC82" s="383" t="n"/>
      <c r="BD82" s="383" t="n"/>
      <c r="BE82" s="383" t="n"/>
      <c r="BF82" s="383" t="n"/>
      <c r="BG82" s="383" t="n"/>
      <c r="BH82" s="383" t="n"/>
      <c r="BI82" s="383" t="n"/>
      <c r="BJ82" s="383" t="n"/>
      <c r="BK82" s="383" t="n"/>
      <c r="BL82" s="383" t="n"/>
      <c r="BM82" s="383" t="n"/>
      <c r="BN82" s="383" t="n"/>
      <c r="BO82" s="383" t="n"/>
      <c r="BP82" s="383" t="n"/>
      <c r="BQ82" s="383" t="n"/>
      <c r="BR82" s="383" t="n"/>
      <c r="BS82" s="383" t="n"/>
      <c r="BT82" s="383" t="n"/>
      <c r="BU82" s="383" t="n"/>
      <c r="BV82" s="383" t="n"/>
      <c r="BW82" s="383" t="n"/>
      <c r="BX82" s="383" t="n"/>
      <c r="BY82" s="383" t="n"/>
      <c r="BZ82" s="383" t="n"/>
      <c r="CA82" s="383" t="n"/>
      <c r="CB82" s="383" t="n"/>
      <c r="CC82" s="383" t="n"/>
      <c r="CD82" s="383" t="n"/>
      <c r="CE82" s="383" t="n"/>
      <c r="CF82" s="383" t="n"/>
      <c r="CG82" s="383" t="n"/>
      <c r="CH82" s="383" t="n"/>
      <c r="CI82" s="383" t="n"/>
      <c r="CJ82" s="383" t="n"/>
      <c r="CK82" s="383" t="n"/>
      <c r="CL82" s="383" t="n"/>
      <c r="CM82" s="383" t="n"/>
      <c r="CN82" s="383" t="n"/>
      <c r="CO82" s="383" t="n"/>
      <c r="CP82" s="383" t="n"/>
      <c r="CQ82" s="383" t="n"/>
      <c r="CR82" s="383" t="n"/>
      <c r="CS82" s="383" t="n"/>
      <c r="CT82" s="383" t="n"/>
    </row>
    <row r="83" ht="15" customHeight="1" s="1883">
      <c r="B83" s="383" t="n"/>
      <c r="E83" s="383" t="n"/>
      <c r="F83" s="383" t="n"/>
      <c r="G83" s="383" t="n"/>
      <c r="H83" s="383" t="n"/>
      <c r="I83" s="383" t="n"/>
      <c r="J83" s="383" t="n"/>
      <c r="K83" s="383" t="n"/>
      <c r="L83" s="383" t="n"/>
      <c r="M83" s="383" t="n"/>
      <c r="N83" s="383" t="n"/>
      <c r="O83" s="383" t="n"/>
      <c r="P83" s="383" t="n"/>
      <c r="Q83" s="383" t="n"/>
      <c r="R83" s="383" t="n"/>
      <c r="S83" s="383" t="n"/>
      <c r="T83" s="383" t="n"/>
      <c r="U83" s="383" t="n"/>
      <c r="V83" s="383" t="n"/>
      <c r="W83" s="383" t="n"/>
      <c r="X83" s="383" t="n"/>
      <c r="Y83" s="383" t="n"/>
      <c r="Z83" s="383" t="n"/>
      <c r="AA83" s="383" t="n"/>
      <c r="AB83" s="383" t="n"/>
      <c r="AC83" s="383" t="n"/>
      <c r="AD83" s="383" t="n"/>
      <c r="AE83" s="383" t="n"/>
      <c r="AF83" s="383" t="n"/>
      <c r="AG83" s="383" t="n"/>
      <c r="AH83" s="383" t="n"/>
      <c r="AI83" s="383" t="n"/>
      <c r="AJ83" s="383" t="n"/>
      <c r="AK83" s="383" t="n"/>
      <c r="AL83" s="383" t="n"/>
      <c r="AM83" s="383" t="n"/>
      <c r="AN83" s="383" t="n"/>
      <c r="AO83" s="383" t="n"/>
      <c r="AP83" s="383" t="n"/>
      <c r="AQ83" s="383" t="n"/>
      <c r="AR83" s="383" t="n"/>
      <c r="AS83" s="383" t="n"/>
      <c r="AT83" s="383" t="n"/>
      <c r="AU83" s="383" t="n"/>
      <c r="AV83" s="383" t="n"/>
      <c r="AW83" s="383" t="n"/>
      <c r="AX83" s="383" t="n"/>
      <c r="AY83" s="383" t="n"/>
      <c r="AZ83" s="383" t="n"/>
      <c r="BA83" s="383" t="n"/>
      <c r="BB83" s="383" t="n"/>
      <c r="BC83" s="383" t="n"/>
      <c r="BD83" s="383" t="n"/>
      <c r="BE83" s="383" t="n"/>
      <c r="BF83" s="383" t="n"/>
      <c r="BG83" s="383" t="n"/>
      <c r="BH83" s="383" t="n"/>
      <c r="BI83" s="383" t="n"/>
      <c r="BJ83" s="383" t="n"/>
      <c r="BK83" s="383" t="n"/>
      <c r="BL83" s="383" t="n"/>
      <c r="BM83" s="383" t="n"/>
      <c r="BN83" s="383" t="n"/>
      <c r="BO83" s="383" t="n"/>
      <c r="BP83" s="383" t="n"/>
      <c r="BQ83" s="383" t="n"/>
      <c r="BR83" s="383" t="n"/>
      <c r="BS83" s="383" t="n"/>
      <c r="BT83" s="383" t="n"/>
      <c r="BU83" s="383" t="n"/>
      <c r="BV83" s="383" t="n"/>
      <c r="BW83" s="383" t="n"/>
      <c r="BX83" s="383" t="n"/>
      <c r="BY83" s="383" t="n"/>
      <c r="BZ83" s="383" t="n"/>
      <c r="CA83" s="383" t="n"/>
      <c r="CB83" s="383" t="n"/>
      <c r="CC83" s="383" t="n"/>
      <c r="CD83" s="383" t="n"/>
      <c r="CE83" s="383" t="n"/>
      <c r="CF83" s="383" t="n"/>
      <c r="CG83" s="383" t="n"/>
      <c r="CH83" s="383" t="n"/>
      <c r="CI83" s="383" t="n"/>
      <c r="CJ83" s="383" t="n"/>
      <c r="CK83" s="383" t="n"/>
      <c r="CL83" s="383" t="n"/>
      <c r="CM83" s="383" t="n"/>
      <c r="CN83" s="383" t="n"/>
      <c r="CO83" s="383" t="n"/>
      <c r="CP83" s="383" t="n"/>
      <c r="CQ83" s="383" t="n"/>
      <c r="CR83" s="383" t="n"/>
      <c r="CS83" s="383" t="n"/>
      <c r="CT83" s="383" t="n"/>
    </row>
    <row r="84" ht="15" customHeight="1" s="1883">
      <c r="B84" s="383" t="n"/>
      <c r="E84" s="383" t="n"/>
      <c r="F84" s="383" t="n"/>
      <c r="G84" s="383" t="n"/>
      <c r="H84" s="383" t="n"/>
      <c r="I84" s="383" t="n"/>
      <c r="J84" s="383" t="n"/>
      <c r="K84" s="383" t="n"/>
      <c r="L84" s="383" t="n"/>
      <c r="M84" s="383" t="n"/>
      <c r="N84" s="383" t="n"/>
      <c r="O84" s="383" t="n"/>
      <c r="P84" s="383" t="n"/>
      <c r="Q84" s="383" t="n"/>
      <c r="R84" s="383" t="n"/>
      <c r="S84" s="383" t="n"/>
      <c r="T84" s="383" t="n"/>
      <c r="U84" s="383" t="n"/>
      <c r="V84" s="383" t="n"/>
      <c r="W84" s="383" t="n"/>
      <c r="X84" s="383" t="n"/>
      <c r="Y84" s="383" t="n"/>
      <c r="Z84" s="383" t="n"/>
      <c r="AA84" s="383" t="n"/>
      <c r="AB84" s="383" t="n"/>
      <c r="AC84" s="383" t="n"/>
      <c r="AD84" s="383" t="n"/>
      <c r="AE84" s="383" t="n"/>
      <c r="AF84" s="383" t="n"/>
      <c r="AG84" s="383" t="n"/>
      <c r="AH84" s="383" t="n"/>
      <c r="AI84" s="383" t="n"/>
      <c r="AJ84" s="383" t="n"/>
      <c r="AK84" s="383" t="n"/>
      <c r="AL84" s="383" t="n"/>
      <c r="AM84" s="383" t="n"/>
      <c r="AN84" s="383" t="n"/>
      <c r="AO84" s="383" t="n"/>
      <c r="AP84" s="383" t="n"/>
      <c r="AQ84" s="383" t="n"/>
      <c r="AR84" s="383" t="n"/>
      <c r="AS84" s="383" t="n"/>
      <c r="AT84" s="383" t="n"/>
      <c r="AU84" s="383" t="n"/>
      <c r="AV84" s="383" t="n"/>
      <c r="AW84" s="383" t="n"/>
      <c r="AX84" s="383" t="n"/>
      <c r="AY84" s="383" t="n"/>
      <c r="AZ84" s="383" t="n"/>
      <c r="BA84" s="383" t="n"/>
      <c r="BB84" s="383" t="n"/>
      <c r="BC84" s="383" t="n"/>
      <c r="BD84" s="383" t="n"/>
      <c r="BE84" s="383" t="n"/>
      <c r="BF84" s="383" t="n"/>
      <c r="BG84" s="383" t="n"/>
      <c r="BH84" s="383" t="n"/>
      <c r="BI84" s="383" t="n"/>
      <c r="BJ84" s="383" t="n"/>
      <c r="BK84" s="383" t="n"/>
      <c r="BL84" s="383" t="n"/>
      <c r="BM84" s="383" t="n"/>
      <c r="BN84" s="383" t="n"/>
      <c r="BO84" s="383" t="n"/>
      <c r="BP84" s="383" t="n"/>
      <c r="BQ84" s="383" t="n"/>
      <c r="BR84" s="383" t="n"/>
      <c r="BS84" s="383" t="n"/>
      <c r="BT84" s="383" t="n"/>
      <c r="BU84" s="383" t="n"/>
      <c r="BV84" s="383" t="n"/>
      <c r="BW84" s="383" t="n"/>
      <c r="BX84" s="383" t="n"/>
      <c r="BY84" s="383" t="n"/>
      <c r="BZ84" s="383" t="n"/>
      <c r="CA84" s="383" t="n"/>
      <c r="CB84" s="383" t="n"/>
      <c r="CC84" s="383" t="n"/>
      <c r="CD84" s="383" t="n"/>
      <c r="CE84" s="383" t="n"/>
      <c r="CF84" s="383" t="n"/>
      <c r="CG84" s="383" t="n"/>
      <c r="CH84" s="383" t="n"/>
      <c r="CI84" s="383" t="n"/>
      <c r="CJ84" s="383" t="n"/>
      <c r="CK84" s="383" t="n"/>
      <c r="CL84" s="383" t="n"/>
      <c r="CM84" s="383" t="n"/>
      <c r="CN84" s="383" t="n"/>
      <c r="CO84" s="383" t="n"/>
      <c r="CP84" s="383" t="n"/>
      <c r="CQ84" s="383" t="n"/>
      <c r="CR84" s="383" t="n"/>
      <c r="CS84" s="383" t="n"/>
      <c r="CT84" s="383" t="n"/>
    </row>
    <row r="85" ht="15" customHeight="1" s="1883">
      <c r="B85" s="383" t="n"/>
      <c r="E85" s="383" t="n"/>
      <c r="F85" s="383" t="n"/>
      <c r="G85" s="383" t="n"/>
      <c r="H85" s="383" t="n"/>
      <c r="I85" s="383" t="n"/>
      <c r="J85" s="383" t="n"/>
      <c r="K85" s="383" t="n"/>
      <c r="L85" s="383" t="n"/>
      <c r="M85" s="383" t="n"/>
      <c r="N85" s="383" t="n"/>
      <c r="O85" s="383" t="n"/>
      <c r="P85" s="383" t="n"/>
      <c r="Q85" s="383" t="n"/>
      <c r="R85" s="383" t="n"/>
      <c r="S85" s="383" t="n"/>
      <c r="T85" s="383" t="n"/>
      <c r="U85" s="383" t="n"/>
      <c r="V85" s="383" t="n"/>
      <c r="W85" s="383" t="n"/>
      <c r="X85" s="383" t="n"/>
      <c r="Y85" s="383" t="n"/>
      <c r="Z85" s="383" t="n"/>
      <c r="AA85" s="383" t="n"/>
      <c r="AB85" s="383" t="n"/>
      <c r="AC85" s="383" t="n"/>
      <c r="AD85" s="383" t="n"/>
      <c r="AE85" s="383" t="n"/>
      <c r="AF85" s="383" t="n"/>
      <c r="AG85" s="383" t="n"/>
      <c r="AH85" s="383" t="n"/>
      <c r="AI85" s="383" t="n"/>
      <c r="AJ85" s="383" t="n"/>
      <c r="AK85" s="383" t="n"/>
      <c r="AL85" s="383" t="n"/>
      <c r="AM85" s="383" t="n"/>
      <c r="AN85" s="383" t="n"/>
      <c r="AO85" s="383" t="n"/>
      <c r="AP85" s="383" t="n"/>
      <c r="AQ85" s="383" t="n"/>
      <c r="AR85" s="383" t="n"/>
      <c r="AS85" s="383" t="n"/>
      <c r="AT85" s="383" t="n"/>
      <c r="AU85" s="383" t="n"/>
      <c r="AV85" s="383" t="n"/>
      <c r="AW85" s="383" t="n"/>
      <c r="AX85" s="383" t="n"/>
      <c r="AY85" s="383" t="n"/>
      <c r="AZ85" s="383" t="n"/>
      <c r="BA85" s="383" t="n"/>
      <c r="BB85" s="383" t="n"/>
      <c r="BC85" s="383" t="n"/>
      <c r="BD85" s="383" t="n"/>
      <c r="BE85" s="383" t="n"/>
      <c r="BF85" s="383" t="n"/>
      <c r="BG85" s="383" t="n"/>
      <c r="BH85" s="383" t="n"/>
      <c r="BI85" s="383" t="n"/>
      <c r="BJ85" s="383" t="n"/>
      <c r="BK85" s="383" t="n"/>
      <c r="BL85" s="383" t="n"/>
      <c r="BM85" s="383" t="n"/>
      <c r="BN85" s="383" t="n"/>
      <c r="BO85" s="383" t="n"/>
      <c r="BP85" s="383" t="n"/>
      <c r="BQ85" s="383" t="n"/>
      <c r="BR85" s="383" t="n"/>
      <c r="BS85" s="383" t="n"/>
      <c r="BT85" s="383" t="n"/>
      <c r="BU85" s="383" t="n"/>
      <c r="BV85" s="383" t="n"/>
      <c r="BW85" s="383" t="n"/>
      <c r="BX85" s="383" t="n"/>
      <c r="BY85" s="383" t="n"/>
      <c r="BZ85" s="383" t="n"/>
      <c r="CA85" s="383" t="n"/>
      <c r="CB85" s="383" t="n"/>
      <c r="CC85" s="383" t="n"/>
      <c r="CD85" s="383" t="n"/>
      <c r="CE85" s="383" t="n"/>
      <c r="CF85" s="383" t="n"/>
      <c r="CG85" s="383" t="n"/>
      <c r="CH85" s="383" t="n"/>
      <c r="CI85" s="383" t="n"/>
      <c r="CJ85" s="383" t="n"/>
      <c r="CK85" s="383" t="n"/>
      <c r="CL85" s="383" t="n"/>
      <c r="CM85" s="383" t="n"/>
      <c r="CN85" s="383" t="n"/>
      <c r="CO85" s="383" t="n"/>
      <c r="CP85" s="383" t="n"/>
      <c r="CQ85" s="383" t="n"/>
      <c r="CR85" s="383" t="n"/>
      <c r="CS85" s="383" t="n"/>
      <c r="CT85" s="383" t="n"/>
    </row>
    <row r="86" ht="15" customHeight="1" s="1883">
      <c r="B86" s="535" t="inlineStr">
        <is>
          <t>IV.</t>
        </is>
      </c>
      <c r="D86" s="385" t="inlineStr">
        <is>
          <t>WARRANTY</t>
        </is>
      </c>
      <c r="E86" s="383" t="n"/>
      <c r="F86" s="383" t="n"/>
      <c r="G86" s="383" t="n"/>
      <c r="H86" s="383" t="n"/>
      <c r="I86" s="383" t="n"/>
      <c r="J86" s="383" t="n"/>
      <c r="K86" s="383" t="n"/>
      <c r="L86" s="383" t="n"/>
      <c r="M86" s="383" t="n"/>
      <c r="N86" s="383" t="n"/>
      <c r="O86" s="383" t="n"/>
      <c r="P86" s="383" t="n"/>
      <c r="Q86" s="383" t="n"/>
      <c r="R86" s="383" t="n"/>
      <c r="S86" s="383" t="n"/>
      <c r="T86" s="383" t="n"/>
      <c r="U86" s="383" t="n"/>
      <c r="V86" s="383" t="n"/>
      <c r="W86" s="383" t="n"/>
      <c r="X86" s="383" t="n"/>
      <c r="Y86" s="383" t="n"/>
      <c r="Z86" s="383" t="n"/>
      <c r="AA86" s="383" t="n"/>
      <c r="AB86" s="383" t="n"/>
      <c r="AC86" s="383" t="n"/>
      <c r="AD86" s="383" t="n"/>
      <c r="AE86" s="383" t="n"/>
      <c r="AF86" s="383" t="n"/>
      <c r="AG86" s="383" t="n"/>
      <c r="AH86" s="383" t="n"/>
      <c r="AI86" s="383" t="n"/>
      <c r="AJ86" s="383" t="n"/>
      <c r="AK86" s="383" t="n"/>
      <c r="AL86" s="383" t="n"/>
      <c r="AM86" s="383" t="n"/>
      <c r="AN86" s="383" t="n"/>
      <c r="AO86" s="383" t="n"/>
      <c r="AP86" s="383" t="n"/>
      <c r="AQ86" s="383" t="n"/>
      <c r="AR86" s="383" t="n"/>
      <c r="AS86" s="383" t="n"/>
      <c r="AT86" s="383" t="n"/>
      <c r="AU86" s="383" t="n"/>
      <c r="AV86" s="383" t="n"/>
      <c r="AW86" s="383" t="n"/>
      <c r="AX86" s="383" t="n"/>
      <c r="AY86" s="383" t="n"/>
      <c r="AZ86" s="383" t="n"/>
      <c r="BA86" s="383" t="n"/>
      <c r="BB86" s="383" t="n"/>
      <c r="BC86" s="383" t="n"/>
      <c r="BD86" s="383" t="n"/>
      <c r="BE86" s="383" t="n"/>
      <c r="BF86" s="383" t="n"/>
      <c r="BG86" s="383" t="n"/>
      <c r="BH86" s="383" t="n"/>
      <c r="BI86" s="383" t="n"/>
      <c r="BJ86" s="383" t="n"/>
      <c r="BK86" s="383" t="n"/>
      <c r="BL86" s="383" t="n"/>
      <c r="BM86" s="383" t="n"/>
      <c r="BN86" s="383" t="n"/>
      <c r="BO86" s="383" t="n"/>
      <c r="BP86" s="383" t="n"/>
      <c r="BQ86" s="383" t="n"/>
      <c r="BR86" s="383" t="n"/>
      <c r="BS86" s="383" t="n"/>
      <c r="BT86" s="383" t="n"/>
      <c r="BU86" s="383" t="n"/>
      <c r="BV86" s="383" t="n"/>
      <c r="BW86" s="383" t="n"/>
      <c r="BX86" s="383" t="n"/>
      <c r="BY86" s="383" t="n"/>
      <c r="BZ86" s="383" t="n"/>
      <c r="CA86" s="383" t="n"/>
      <c r="CB86" s="383" t="n"/>
      <c r="CC86" s="383" t="n"/>
      <c r="CD86" s="383" t="n"/>
      <c r="CE86" s="383" t="n"/>
      <c r="CF86" s="383" t="n"/>
      <c r="CG86" s="383" t="n"/>
      <c r="CH86" s="383" t="n"/>
      <c r="CI86" s="383" t="n"/>
      <c r="CJ86" s="383" t="n"/>
      <c r="CK86" s="383" t="n"/>
      <c r="CL86" s="383" t="n"/>
      <c r="CM86" s="383" t="n"/>
      <c r="CN86" s="383" t="n"/>
      <c r="CO86" s="383" t="n"/>
      <c r="CP86" s="383" t="n"/>
      <c r="CQ86" s="383" t="n"/>
      <c r="CR86" s="383" t="n"/>
      <c r="CS86" s="383" t="n"/>
      <c r="CT86" s="383" t="n"/>
    </row>
    <row r="87" ht="3" customHeight="1" s="1883">
      <c r="B87" s="383" t="n"/>
      <c r="C87" s="649" t="n"/>
      <c r="D87" s="628" t="n"/>
      <c r="E87" s="387" t="n"/>
      <c r="F87" s="387" t="n"/>
      <c r="G87" s="387" t="n"/>
      <c r="H87" s="383" t="n"/>
      <c r="I87" s="383" t="n"/>
      <c r="J87" s="383" t="n"/>
      <c r="K87" s="383" t="n"/>
      <c r="L87" s="383" t="n"/>
      <c r="M87" s="383" t="n"/>
      <c r="N87" s="383" t="n"/>
      <c r="O87" s="383" t="n"/>
      <c r="P87" s="383" t="n"/>
      <c r="Q87" s="383" t="n"/>
      <c r="R87" s="383" t="n"/>
      <c r="S87" s="383" t="n"/>
      <c r="T87" s="383" t="n"/>
      <c r="U87" s="383" t="n"/>
      <c r="V87" s="383" t="n"/>
      <c r="W87" s="383" t="n"/>
      <c r="X87" s="383" t="n"/>
      <c r="Y87" s="383" t="n"/>
      <c r="Z87" s="383" t="n"/>
      <c r="AA87" s="383" t="n"/>
      <c r="AB87" s="383" t="n"/>
      <c r="AC87" s="383" t="n"/>
      <c r="AD87" s="383" t="n"/>
      <c r="AE87" s="383" t="n"/>
      <c r="AF87" s="383" t="n"/>
      <c r="AG87" s="383" t="n"/>
      <c r="AH87" s="383" t="n"/>
      <c r="AI87" s="383" t="n"/>
      <c r="AJ87" s="383" t="n"/>
      <c r="AK87" s="383" t="n"/>
      <c r="AL87" s="383" t="n"/>
      <c r="AM87" s="383" t="n"/>
      <c r="AN87" s="383" t="n"/>
      <c r="AO87" s="383" t="n"/>
      <c r="AP87" s="383" t="n"/>
      <c r="AQ87" s="383" t="n"/>
      <c r="AR87" s="383" t="n"/>
      <c r="AS87" s="383" t="n"/>
      <c r="AT87" s="383" t="n"/>
      <c r="AU87" s="383" t="n"/>
      <c r="AV87" s="383" t="n"/>
      <c r="AW87" s="383" t="n"/>
      <c r="AX87" s="383" t="n"/>
      <c r="AY87" s="383" t="n"/>
      <c r="AZ87" s="383" t="n"/>
      <c r="BA87" s="383" t="n"/>
      <c r="BB87" s="383" t="n"/>
      <c r="BC87" s="383" t="n"/>
      <c r="BD87" s="383" t="n"/>
      <c r="BE87" s="383" t="n"/>
      <c r="BF87" s="383" t="n"/>
      <c r="BG87" s="383" t="n"/>
      <c r="BH87" s="383" t="n"/>
      <c r="BI87" s="383" t="n"/>
      <c r="BJ87" s="383" t="n"/>
      <c r="BK87" s="383" t="n"/>
      <c r="BL87" s="383" t="n"/>
      <c r="BM87" s="383" t="n"/>
      <c r="BN87" s="383" t="n"/>
      <c r="BO87" s="383" t="n"/>
      <c r="BP87" s="383" t="n"/>
      <c r="BQ87" s="383" t="n"/>
      <c r="BR87" s="383" t="n"/>
      <c r="BS87" s="383" t="n"/>
      <c r="BT87" s="383" t="n"/>
      <c r="BU87" s="383" t="n"/>
      <c r="BV87" s="383" t="n"/>
      <c r="BW87" s="383" t="n"/>
      <c r="BX87" s="383" t="n"/>
      <c r="BY87" s="383" t="n"/>
      <c r="BZ87" s="383" t="n"/>
      <c r="CA87" s="383" t="n"/>
      <c r="CB87" s="383" t="n"/>
      <c r="CC87" s="383" t="n"/>
      <c r="CD87" s="383" t="n"/>
      <c r="CE87" s="383" t="n"/>
      <c r="CF87" s="383" t="n"/>
      <c r="CG87" s="383" t="n"/>
      <c r="CH87" s="383" t="n"/>
      <c r="CI87" s="383" t="n"/>
      <c r="CJ87" s="383" t="n"/>
      <c r="CK87" s="383" t="n"/>
      <c r="CL87" s="383" t="n"/>
      <c r="CM87" s="383" t="n"/>
      <c r="CN87" s="383" t="n"/>
      <c r="CO87" s="383" t="n"/>
      <c r="CP87" s="383" t="n"/>
      <c r="CQ87" s="383" t="n"/>
      <c r="CR87" s="383" t="n"/>
      <c r="CS87" s="383" t="n"/>
      <c r="CT87" s="383" t="n"/>
    </row>
    <row r="88" ht="3" customHeight="1" s="1883">
      <c r="B88" s="383" t="n"/>
      <c r="C88" s="383" t="n"/>
      <c r="E88" s="383" t="n"/>
      <c r="F88" s="383" t="n"/>
      <c r="G88" s="383" t="n"/>
      <c r="H88" s="383" t="n"/>
      <c r="I88" s="383" t="n"/>
      <c r="J88" s="383" t="n"/>
      <c r="K88" s="383" t="n"/>
      <c r="L88" s="383" t="n"/>
      <c r="M88" s="383" t="n"/>
      <c r="N88" s="383" t="n"/>
      <c r="O88" s="383" t="n"/>
      <c r="P88" s="383" t="n"/>
      <c r="Q88" s="383" t="n"/>
      <c r="R88" s="383" t="n"/>
      <c r="S88" s="383" t="n"/>
      <c r="T88" s="383" t="n"/>
      <c r="U88" s="383" t="n"/>
      <c r="V88" s="383" t="n"/>
      <c r="W88" s="383" t="n"/>
      <c r="X88" s="383" t="n"/>
      <c r="Y88" s="383" t="n"/>
      <c r="Z88" s="383" t="n"/>
      <c r="AA88" s="383" t="n"/>
      <c r="AB88" s="383" t="n"/>
      <c r="AC88" s="383" t="n"/>
      <c r="AD88" s="383" t="n"/>
      <c r="AE88" s="383" t="n"/>
      <c r="AF88" s="383" t="n"/>
      <c r="AG88" s="383" t="n"/>
      <c r="AH88" s="383" t="n"/>
      <c r="AI88" s="383" t="n"/>
      <c r="AJ88" s="383" t="n"/>
      <c r="AK88" s="383" t="n"/>
      <c r="AL88" s="383" t="n"/>
      <c r="AM88" s="383" t="n"/>
      <c r="AN88" s="383" t="n"/>
      <c r="AO88" s="383" t="n"/>
      <c r="AP88" s="383" t="n"/>
      <c r="AQ88" s="383" t="n"/>
      <c r="AR88" s="383" t="n"/>
      <c r="AS88" s="383" t="n"/>
      <c r="AT88" s="383" t="n"/>
      <c r="AU88" s="383" t="n"/>
      <c r="AV88" s="383" t="n"/>
      <c r="AW88" s="383" t="n"/>
      <c r="AX88" s="383" t="n"/>
      <c r="AY88" s="383" t="n"/>
      <c r="AZ88" s="383" t="n"/>
      <c r="BA88" s="383" t="n"/>
      <c r="BB88" s="383" t="n"/>
      <c r="BC88" s="383" t="n"/>
      <c r="BD88" s="383" t="n"/>
      <c r="BE88" s="383" t="n"/>
      <c r="BF88" s="383" t="n"/>
      <c r="BG88" s="383" t="n"/>
      <c r="BH88" s="383" t="n"/>
      <c r="BI88" s="383" t="n"/>
      <c r="BJ88" s="383" t="n"/>
      <c r="BK88" s="383" t="n"/>
      <c r="BL88" s="383" t="n"/>
      <c r="BM88" s="383" t="n"/>
      <c r="BN88" s="383" t="n"/>
      <c r="BO88" s="383" t="n"/>
      <c r="BP88" s="383" t="n"/>
      <c r="BQ88" s="383" t="n"/>
      <c r="BR88" s="383" t="n"/>
      <c r="BS88" s="383" t="n"/>
      <c r="BT88" s="383" t="n"/>
      <c r="BU88" s="383" t="n"/>
      <c r="BV88" s="383" t="n"/>
      <c r="BW88" s="383" t="n"/>
      <c r="BX88" s="383" t="n"/>
      <c r="BY88" s="383" t="n"/>
      <c r="BZ88" s="383" t="n"/>
      <c r="CA88" s="383" t="n"/>
      <c r="CB88" s="383" t="n"/>
      <c r="CC88" s="383" t="n"/>
      <c r="CD88" s="383" t="n"/>
      <c r="CE88" s="383" t="n"/>
      <c r="CF88" s="383" t="n"/>
      <c r="CG88" s="383" t="n"/>
      <c r="CH88" s="383" t="n"/>
      <c r="CI88" s="383" t="n"/>
      <c r="CJ88" s="383" t="n"/>
      <c r="CK88" s="383" t="n"/>
      <c r="CL88" s="383" t="n"/>
      <c r="CM88" s="383" t="n"/>
      <c r="CN88" s="383" t="n"/>
      <c r="CO88" s="383" t="n"/>
      <c r="CP88" s="383" t="n"/>
      <c r="CQ88" s="383" t="n"/>
      <c r="CR88" s="383" t="n"/>
      <c r="CS88" s="383" t="n"/>
      <c r="CT88" s="383" t="n"/>
    </row>
    <row r="89" ht="15" customHeight="1" s="1883">
      <c r="B89" s="383" t="n"/>
      <c r="C89" s="383" t="n"/>
      <c r="D89" s="383" t="n"/>
      <c r="E89" s="383" t="n"/>
      <c r="F89" s="383" t="n"/>
      <c r="G89" s="383" t="n"/>
      <c r="H89" s="383" t="n"/>
      <c r="I89" s="383" t="n"/>
      <c r="J89" s="383" t="n"/>
      <c r="K89" s="383" t="n"/>
      <c r="L89" s="383" t="n"/>
      <c r="M89" s="383" t="n"/>
      <c r="N89" s="383" t="n"/>
      <c r="O89" s="383" t="n"/>
      <c r="P89" s="383" t="n"/>
      <c r="Q89" s="383" t="n"/>
      <c r="R89" s="383" t="n"/>
      <c r="S89" s="383" t="n"/>
      <c r="T89" s="383" t="n"/>
      <c r="U89" s="383" t="n"/>
      <c r="V89" s="383" t="n"/>
      <c r="W89" s="383" t="n"/>
      <c r="X89" s="383" t="n"/>
      <c r="Y89" s="383" t="n"/>
      <c r="Z89" s="383" t="n"/>
      <c r="AA89" s="383" t="n"/>
      <c r="AB89" s="383" t="n"/>
      <c r="AC89" s="383" t="n"/>
      <c r="AD89" s="383" t="n"/>
      <c r="AE89" s="383" t="n"/>
      <c r="AF89" s="383" t="n"/>
      <c r="AG89" s="383" t="n"/>
      <c r="AH89" s="383" t="n"/>
      <c r="AI89" s="383" t="n"/>
      <c r="AJ89" s="383" t="n"/>
      <c r="AK89" s="383" t="n"/>
      <c r="AL89" s="383" t="n"/>
      <c r="AM89" s="383" t="n"/>
      <c r="AN89" s="383" t="n"/>
      <c r="AO89" s="383" t="n"/>
      <c r="AP89" s="383" t="n"/>
      <c r="AQ89" s="383" t="n"/>
      <c r="AR89" s="383" t="n"/>
      <c r="AS89" s="383" t="n"/>
      <c r="AT89" s="383" t="n"/>
      <c r="AU89" s="383" t="n"/>
      <c r="AV89" s="383" t="n"/>
      <c r="AW89" s="383" t="n"/>
      <c r="AX89" s="383" t="n"/>
      <c r="AY89" s="383" t="n"/>
      <c r="AZ89" s="383" t="n"/>
      <c r="BA89" s="383" t="n"/>
      <c r="BB89" s="383" t="n"/>
      <c r="BC89" s="383" t="n"/>
      <c r="BD89" s="383" t="n"/>
      <c r="BE89" s="383" t="n"/>
      <c r="BF89" s="383" t="n"/>
      <c r="BG89" s="383" t="n"/>
      <c r="BH89" s="383" t="n"/>
      <c r="BI89" s="383" t="n"/>
      <c r="BJ89" s="383" t="n"/>
      <c r="BK89" s="383" t="n"/>
      <c r="BL89" s="383" t="n"/>
      <c r="BM89" s="383" t="n"/>
      <c r="BN89" s="383" t="n"/>
      <c r="BO89" s="383" t="n"/>
      <c r="BP89" s="383" t="n"/>
      <c r="BQ89" s="383" t="n"/>
      <c r="BR89" s="383" t="n"/>
      <c r="BS89" s="383" t="n"/>
      <c r="BT89" s="383" t="n"/>
      <c r="BU89" s="383" t="n"/>
      <c r="BV89" s="383" t="n"/>
      <c r="BW89" s="383" t="n"/>
      <c r="BX89" s="383" t="n"/>
      <c r="BY89" s="383" t="n"/>
      <c r="BZ89" s="383" t="n"/>
      <c r="CA89" s="383" t="n"/>
      <c r="CB89" s="383" t="n"/>
      <c r="CC89" s="383" t="n"/>
      <c r="CD89" s="383" t="n"/>
      <c r="CE89" s="383" t="n"/>
      <c r="CF89" s="383" t="n"/>
      <c r="CG89" s="383" t="n"/>
      <c r="CH89" s="383" t="n"/>
      <c r="CI89" s="383" t="n"/>
      <c r="CJ89" s="383" t="n"/>
      <c r="CK89" s="383" t="n"/>
      <c r="CL89" s="383" t="n"/>
      <c r="CM89" s="383" t="n"/>
      <c r="CN89" s="383" t="n"/>
      <c r="CO89" s="383" t="n"/>
      <c r="CP89" s="383" t="n"/>
      <c r="CQ89" s="383" t="n"/>
      <c r="CR89" s="383" t="n"/>
      <c r="CS89" s="383" t="n"/>
      <c r="CT89" s="383" t="n"/>
    </row>
    <row r="90" ht="15" customHeight="1" s="1883">
      <c r="B90" s="383" t="n"/>
      <c r="C90" s="383" t="n"/>
      <c r="D90" s="729" t="inlineStr">
        <is>
          <t>●</t>
        </is>
      </c>
      <c r="E90" s="383" t="inlineStr">
        <is>
          <t>Assume purchase of an insurance policy to fund customer warranty claims</t>
        </is>
      </c>
      <c r="F90" s="383" t="n"/>
      <c r="G90" s="383" t="n"/>
      <c r="H90" s="383" t="n"/>
      <c r="I90" s="383" t="n"/>
      <c r="J90" s="383" t="n"/>
      <c r="K90" s="383" t="n"/>
      <c r="L90" s="383" t="n"/>
      <c r="M90" s="383" t="n"/>
      <c r="N90" s="383" t="n"/>
      <c r="O90" s="383" t="n"/>
      <c r="P90" s="383" t="n"/>
      <c r="Q90" s="383" t="n"/>
      <c r="R90" s="383" t="n"/>
      <c r="S90" s="383" t="n"/>
      <c r="T90" s="383" t="n"/>
      <c r="U90" s="383" t="n"/>
      <c r="V90" s="383" t="n"/>
      <c r="W90" s="383" t="n"/>
      <c r="X90" s="383" t="n"/>
      <c r="Y90" s="383" t="n"/>
      <c r="Z90" s="383" t="n"/>
      <c r="AA90" s="383" t="n"/>
      <c r="AB90" s="383" t="n"/>
      <c r="AC90" s="383" t="n"/>
      <c r="AD90" s="383" t="n"/>
      <c r="AE90" s="383" t="n"/>
      <c r="AF90" s="383" t="n"/>
      <c r="AG90" s="383" t="n"/>
      <c r="AH90" s="383" t="n"/>
      <c r="AI90" s="383" t="n"/>
      <c r="AJ90" s="383" t="n"/>
      <c r="AK90" s="383" t="n"/>
      <c r="AL90" s="383" t="n"/>
      <c r="AM90" s="383" t="n"/>
      <c r="AN90" s="383" t="n"/>
      <c r="AO90" s="383" t="n"/>
      <c r="AP90" s="383" t="n"/>
      <c r="AQ90" s="383" t="n"/>
      <c r="AR90" s="383" t="n"/>
      <c r="AS90" s="383" t="n"/>
      <c r="AT90" s="383" t="n"/>
      <c r="AU90" s="383" t="n"/>
      <c r="AV90" s="383" t="n"/>
      <c r="AW90" s="383" t="n"/>
      <c r="AX90" s="383" t="n"/>
      <c r="AY90" s="383" t="n"/>
      <c r="AZ90" s="383" t="n"/>
      <c r="BA90" s="383" t="n"/>
      <c r="BB90" s="383" t="n"/>
      <c r="BC90" s="383" t="n"/>
      <c r="BD90" s="383" t="n"/>
      <c r="BE90" s="383" t="n"/>
      <c r="BF90" s="383" t="n"/>
      <c r="BG90" s="383" t="n"/>
      <c r="BH90" s="383" t="n"/>
      <c r="BI90" s="383" t="n"/>
      <c r="BJ90" s="383" t="n"/>
      <c r="BK90" s="383" t="n"/>
      <c r="BL90" s="383" t="n"/>
      <c r="BM90" s="383" t="n"/>
      <c r="BN90" s="383" t="n"/>
      <c r="BO90" s="383" t="n"/>
      <c r="BP90" s="383" t="n"/>
      <c r="BQ90" s="383" t="n"/>
      <c r="BR90" s="383" t="n"/>
      <c r="BS90" s="383" t="n"/>
      <c r="BT90" s="383" t="n"/>
      <c r="BU90" s="383" t="n"/>
      <c r="BV90" s="383" t="n"/>
      <c r="BW90" s="383" t="n"/>
      <c r="BX90" s="383" t="n"/>
      <c r="BY90" s="383" t="n"/>
      <c r="BZ90" s="383" t="n"/>
      <c r="CA90" s="383" t="n"/>
      <c r="CB90" s="383" t="n"/>
      <c r="CC90" s="383" t="n"/>
      <c r="CD90" s="383" t="n"/>
      <c r="CE90" s="383" t="n"/>
      <c r="CF90" s="383" t="n"/>
      <c r="CG90" s="383" t="n"/>
      <c r="CH90" s="383" t="n"/>
      <c r="CI90" s="383" t="n"/>
      <c r="CJ90" s="383" t="n"/>
      <c r="CK90" s="383" t="n"/>
      <c r="CL90" s="383" t="n"/>
      <c r="CM90" s="383" t="n"/>
      <c r="CN90" s="383" t="n"/>
      <c r="CO90" s="383" t="n"/>
      <c r="CP90" s="383" t="n"/>
      <c r="CQ90" s="383" t="n"/>
      <c r="CR90" s="383" t="n"/>
      <c r="CS90" s="383" t="n"/>
      <c r="CT90" s="383" t="n"/>
    </row>
    <row r="91" ht="15" customHeight="1" s="1883">
      <c r="B91" s="383" t="n"/>
      <c r="C91" s="383" t="n"/>
      <c r="D91" s="383" t="n"/>
      <c r="E91" s="383" t="n"/>
      <c r="F91" s="383" t="n"/>
      <c r="G91" s="383" t="n"/>
      <c r="H91" s="383" t="n"/>
      <c r="I91" s="383" t="n"/>
      <c r="J91" s="383" t="n"/>
      <c r="K91" s="383" t="n"/>
      <c r="L91" s="383" t="n"/>
      <c r="M91" s="383" t="n"/>
      <c r="N91" s="383" t="n"/>
      <c r="O91" s="383" t="n"/>
      <c r="P91" s="383" t="n"/>
      <c r="Q91" s="383" t="n"/>
      <c r="R91" s="383" t="n"/>
      <c r="S91" s="383" t="n"/>
      <c r="T91" s="383" t="n"/>
      <c r="U91" s="383" t="n"/>
      <c r="V91" s="383" t="n"/>
      <c r="W91" s="383" t="n"/>
      <c r="X91" s="383" t="n"/>
      <c r="Y91" s="383" t="n"/>
      <c r="Z91" s="383" t="n"/>
      <c r="AA91" s="383" t="n"/>
      <c r="AB91" s="383" t="n"/>
      <c r="AC91" s="383" t="n"/>
      <c r="AD91" s="383" t="n"/>
      <c r="AE91" s="383" t="n"/>
      <c r="AF91" s="383" t="n"/>
      <c r="AG91" s="383" t="n"/>
      <c r="AH91" s="383" t="n"/>
      <c r="AI91" s="383" t="n"/>
      <c r="AJ91" s="383" t="n"/>
      <c r="AK91" s="383" t="n"/>
      <c r="AL91" s="383" t="n"/>
      <c r="AM91" s="383" t="n"/>
      <c r="AN91" s="383" t="n"/>
      <c r="AO91" s="383" t="n"/>
      <c r="AP91" s="383" t="n"/>
      <c r="AQ91" s="383" t="n"/>
      <c r="AR91" s="383" t="n"/>
      <c r="AS91" s="383" t="n"/>
      <c r="AT91" s="383" t="n"/>
      <c r="AU91" s="383" t="n"/>
      <c r="AV91" s="383" t="n"/>
      <c r="AW91" s="383" t="n"/>
      <c r="AX91" s="383" t="n"/>
      <c r="AY91" s="383" t="n"/>
      <c r="AZ91" s="383" t="n"/>
      <c r="BA91" s="383" t="n"/>
      <c r="BB91" s="383" t="n"/>
      <c r="BC91" s="383" t="n"/>
      <c r="BD91" s="383" t="n"/>
      <c r="BE91" s="383" t="n"/>
      <c r="BF91" s="383" t="n"/>
      <c r="BG91" s="383" t="n"/>
      <c r="BH91" s="383" t="n"/>
      <c r="BI91" s="383" t="n"/>
      <c r="BJ91" s="383" t="n"/>
      <c r="BK91" s="383" t="n"/>
      <c r="BL91" s="383" t="n"/>
      <c r="BM91" s="383" t="n"/>
      <c r="BN91" s="383" t="n"/>
      <c r="BO91" s="383" t="n"/>
      <c r="BP91" s="383" t="n"/>
      <c r="BQ91" s="383" t="n"/>
      <c r="BR91" s="383" t="n"/>
      <c r="BS91" s="383" t="n"/>
      <c r="BT91" s="383" t="n"/>
      <c r="BU91" s="383" t="n"/>
      <c r="BV91" s="383" t="n"/>
      <c r="BW91" s="383" t="n"/>
      <c r="BX91" s="383" t="n"/>
      <c r="BY91" s="383" t="n"/>
      <c r="BZ91" s="383" t="n"/>
      <c r="CA91" s="383" t="n"/>
      <c r="CB91" s="383" t="n"/>
      <c r="CC91" s="383" t="n"/>
      <c r="CD91" s="383" t="n"/>
      <c r="CE91" s="383" t="n"/>
      <c r="CF91" s="383" t="n"/>
      <c r="CG91" s="383" t="n"/>
      <c r="CH91" s="383" t="n"/>
      <c r="CI91" s="383" t="n"/>
      <c r="CJ91" s="383" t="n"/>
      <c r="CK91" s="383" t="n"/>
      <c r="CL91" s="383" t="n"/>
      <c r="CM91" s="383" t="n"/>
      <c r="CN91" s="383" t="n"/>
      <c r="CO91" s="383" t="n"/>
      <c r="CP91" s="383" t="n"/>
      <c r="CQ91" s="383" t="n"/>
      <c r="CR91" s="383" t="n"/>
      <c r="CS91" s="383" t="n"/>
      <c r="CT91" s="383" t="n"/>
    </row>
    <row r="92" ht="15" customHeight="1" s="1883">
      <c r="B92" s="383" t="n"/>
      <c r="C92" s="383" t="n"/>
      <c r="D92" s="383" t="n"/>
      <c r="E92" s="883" t="inlineStr">
        <is>
          <t>Warranty Payments, by Month</t>
        </is>
      </c>
      <c r="F92" s="906" t="n"/>
      <c r="G92" s="526" t="n"/>
      <c r="H92" s="526" t="n"/>
      <c r="I92" s="526" t="n"/>
      <c r="J92" s="526" t="n"/>
      <c r="K92" s="526" t="n"/>
      <c r="L92" s="526" t="n"/>
      <c r="M92" s="526" t="n"/>
      <c r="N92" s="526" t="n"/>
      <c r="O92" s="526" t="n"/>
      <c r="P92" s="526" t="n"/>
      <c r="Q92" s="526" t="n"/>
      <c r="R92" s="526" t="n"/>
      <c r="S92" s="526" t="n"/>
      <c r="T92" s="526" t="n"/>
      <c r="U92" s="526" t="n"/>
      <c r="V92" s="526" t="n"/>
      <c r="W92" s="526" t="n"/>
      <c r="X92" s="526" t="n"/>
      <c r="Y92" s="884">
        <f>'3B. Tel. - Rev. Detail x Month'!$J75</f>
        <v/>
      </c>
      <c r="Z92" s="884">
        <f>'3B. Tel. - Rev. Detail x Month'!$K75</f>
        <v/>
      </c>
      <c r="AA92" s="884">
        <f>'3B. Tel. - Rev. Detail x Month'!$L75</f>
        <v/>
      </c>
      <c r="AB92" s="884">
        <f>'3B. Tel. - Rev. Detail x Month'!$M75</f>
        <v/>
      </c>
      <c r="AC92" s="884">
        <f>'3B. Tel. - Rev. Detail x Month'!$N75</f>
        <v/>
      </c>
      <c r="AD92" s="884">
        <f>'3B. Tel. - Rev. Detail x Month'!$O75</f>
        <v/>
      </c>
      <c r="AE92" s="884">
        <f>'3B. Tel. - Rev. Detail x Month'!$P75</f>
        <v/>
      </c>
      <c r="AF92" s="884">
        <f>'3B. Tel. - Rev. Detail x Month'!$Q75</f>
        <v/>
      </c>
      <c r="AG92" s="884">
        <f>'3B. Tel. - Rev. Detail x Month'!$R75</f>
        <v/>
      </c>
      <c r="AH92" s="884">
        <f>'3B. Tel. - Rev. Detail x Month'!$S75</f>
        <v/>
      </c>
      <c r="AI92" s="884">
        <f>'3B. Tel. - Rev. Detail x Month'!$T75</f>
        <v/>
      </c>
      <c r="AJ92" s="884">
        <f>'3B. Tel. - Rev. Detail x Month'!$U75</f>
        <v/>
      </c>
      <c r="AK92" s="526" t="n"/>
      <c r="AL92" s="885">
        <f>SUM(Y92:AJ92)</f>
        <v/>
      </c>
      <c r="AM92" s="383" t="n"/>
      <c r="AN92" s="884">
        <f>'3B. Tel. - Rev. Detail x Month'!$J113</f>
        <v/>
      </c>
      <c r="AO92" s="884">
        <f>'3B. Tel. - Rev. Detail x Month'!$K113</f>
        <v/>
      </c>
      <c r="AP92" s="884">
        <f>'3B. Tel. - Rev. Detail x Month'!$L113</f>
        <v/>
      </c>
      <c r="AQ92" s="884">
        <f>'3B. Tel. - Rev. Detail x Month'!$M113</f>
        <v/>
      </c>
      <c r="AR92" s="884">
        <f>'3B. Tel. - Rev. Detail x Month'!$N113</f>
        <v/>
      </c>
      <c r="AS92" s="884">
        <f>'3B. Tel. - Rev. Detail x Month'!$O113</f>
        <v/>
      </c>
      <c r="AT92" s="884">
        <f>'3B. Tel. - Rev. Detail x Month'!$P113</f>
        <v/>
      </c>
      <c r="AU92" s="884">
        <f>'3B. Tel. - Rev. Detail x Month'!$Q113</f>
        <v/>
      </c>
      <c r="AV92" s="884">
        <f>'3B. Tel. - Rev. Detail x Month'!$R113</f>
        <v/>
      </c>
      <c r="AW92" s="884">
        <f>'3B. Tel. - Rev. Detail x Month'!$S113</f>
        <v/>
      </c>
      <c r="AX92" s="884">
        <f>'3B. Tel. - Rev. Detail x Month'!$T113</f>
        <v/>
      </c>
      <c r="AY92" s="884">
        <f>'3B. Tel. - Rev. Detail x Month'!$U113</f>
        <v/>
      </c>
      <c r="AZ92" s="526" t="n"/>
      <c r="BA92" s="885">
        <f>SUM(AN92:AY92)</f>
        <v/>
      </c>
      <c r="BB92" s="383" t="n"/>
      <c r="BC92" s="884">
        <f>'3B. Tel. - Rev. Detail x Month'!$J151</f>
        <v/>
      </c>
      <c r="BD92" s="884">
        <f>'3B. Tel. - Rev. Detail x Month'!$K151</f>
        <v/>
      </c>
      <c r="BE92" s="884">
        <f>'3B. Tel. - Rev. Detail x Month'!$L151</f>
        <v/>
      </c>
      <c r="BF92" s="884">
        <f>'3B. Tel. - Rev. Detail x Month'!$M151</f>
        <v/>
      </c>
      <c r="BG92" s="884">
        <f>'3B. Tel. - Rev. Detail x Month'!$N151</f>
        <v/>
      </c>
      <c r="BH92" s="884">
        <f>'3B. Tel. - Rev. Detail x Month'!$O151</f>
        <v/>
      </c>
      <c r="BI92" s="884">
        <f>'3B. Tel. - Rev. Detail x Month'!$P151</f>
        <v/>
      </c>
      <c r="BJ92" s="884">
        <f>'3B. Tel. - Rev. Detail x Month'!$Q151</f>
        <v/>
      </c>
      <c r="BK92" s="884">
        <f>'3B. Tel. - Rev. Detail x Month'!$R151</f>
        <v/>
      </c>
      <c r="BL92" s="884">
        <f>'3B. Tel. - Rev. Detail x Month'!$S151</f>
        <v/>
      </c>
      <c r="BM92" s="884">
        <f>'3B. Tel. - Rev. Detail x Month'!$T151</f>
        <v/>
      </c>
      <c r="BN92" s="884">
        <f>'3B. Tel. - Rev. Detail x Month'!$U151</f>
        <v/>
      </c>
      <c r="BO92" s="526" t="n"/>
      <c r="BP92" s="885">
        <f>SUM(BC92:BN92)</f>
        <v/>
      </c>
      <c r="BQ92" s="383" t="n"/>
      <c r="BR92" s="884">
        <f>'3B. Tel. - Rev. Detail x Month'!$J189</f>
        <v/>
      </c>
      <c r="BS92" s="884">
        <f>'3B. Tel. - Rev. Detail x Month'!$K189</f>
        <v/>
      </c>
      <c r="BT92" s="884">
        <f>'3B. Tel. - Rev. Detail x Month'!$L189</f>
        <v/>
      </c>
      <c r="BU92" s="884">
        <f>'3B. Tel. - Rev. Detail x Month'!$M189</f>
        <v/>
      </c>
      <c r="BV92" s="884">
        <f>'3B. Tel. - Rev. Detail x Month'!$N189</f>
        <v/>
      </c>
      <c r="BW92" s="884">
        <f>'3B. Tel. - Rev. Detail x Month'!$O189</f>
        <v/>
      </c>
      <c r="BX92" s="884">
        <f>'3B. Tel. - Rev. Detail x Month'!$P189</f>
        <v/>
      </c>
      <c r="BY92" s="884">
        <f>'3B. Tel. - Rev. Detail x Month'!$Q189</f>
        <v/>
      </c>
      <c r="BZ92" s="884">
        <f>'3B. Tel. - Rev. Detail x Month'!$R189</f>
        <v/>
      </c>
      <c r="CA92" s="884">
        <f>'3B. Tel. - Rev. Detail x Month'!$S189</f>
        <v/>
      </c>
      <c r="CB92" s="884">
        <f>'3B. Tel. - Rev. Detail x Month'!$T189</f>
        <v/>
      </c>
      <c r="CC92" s="884">
        <f>'3B. Tel. - Rev. Detail x Month'!$U189</f>
        <v/>
      </c>
      <c r="CD92" s="526" t="n"/>
      <c r="CE92" s="885">
        <f>SUM(BR92:CC92)</f>
        <v/>
      </c>
      <c r="CF92" s="383" t="n"/>
      <c r="CG92" s="884">
        <f>'3B. Tel. - Rev. Detail x Month'!$J227</f>
        <v/>
      </c>
      <c r="CH92" s="884">
        <f>'3B. Tel. - Rev. Detail x Month'!$K227</f>
        <v/>
      </c>
      <c r="CI92" s="884">
        <f>'3B. Tel. - Rev. Detail x Month'!$L227</f>
        <v/>
      </c>
      <c r="CJ92" s="884">
        <f>'3B. Tel. - Rev. Detail x Month'!$M227</f>
        <v/>
      </c>
      <c r="CK92" s="884">
        <f>'3B. Tel. - Rev. Detail x Month'!$N227</f>
        <v/>
      </c>
      <c r="CL92" s="884">
        <f>'3B. Tel. - Rev. Detail x Month'!$O227</f>
        <v/>
      </c>
      <c r="CM92" s="884">
        <f>'3B. Tel. - Rev. Detail x Month'!$P227</f>
        <v/>
      </c>
      <c r="CN92" s="884">
        <f>'3B. Tel. - Rev. Detail x Month'!$Q227</f>
        <v/>
      </c>
      <c r="CO92" s="884">
        <f>'3B. Tel. - Rev. Detail x Month'!$R227</f>
        <v/>
      </c>
      <c r="CP92" s="884">
        <f>'3B. Tel. - Rev. Detail x Month'!$S227</f>
        <v/>
      </c>
      <c r="CQ92" s="884">
        <f>'3B. Tel. - Rev. Detail x Month'!$T227</f>
        <v/>
      </c>
      <c r="CR92" s="884">
        <f>'3B. Tel. - Rev. Detail x Month'!$U227</f>
        <v/>
      </c>
      <c r="CS92" s="526" t="n"/>
      <c r="CT92" s="885">
        <f>SUM(CG92:CR92)</f>
        <v/>
      </c>
    </row>
  </sheetData>
  <mergeCells count="40">
    <mergeCell ref="AQ47:BE47"/>
    <mergeCell ref="CV25:CY25"/>
    <mergeCell ref="Y49:AQ49"/>
    <mergeCell ref="CJ47:CW47"/>
    <mergeCell ref="AQ46:BE46"/>
    <mergeCell ref="BV50:CJ50"/>
    <mergeCell ref="CV7:DI7"/>
    <mergeCell ref="BG50:BU50"/>
    <mergeCell ref="CG7:CT7"/>
    <mergeCell ref="CG25:CT25"/>
    <mergeCell ref="CK49:CY49"/>
    <mergeCell ref="CY47:DL47"/>
    <mergeCell ref="AR49:BF49"/>
    <mergeCell ref="BF47:BT47"/>
    <mergeCell ref="CZ49:DM49"/>
    <mergeCell ref="CJ46:CX46"/>
    <mergeCell ref="BR7:CE7"/>
    <mergeCell ref="BG49:BU49"/>
    <mergeCell ref="BC25:BP25"/>
    <mergeCell ref="BC7:BP7"/>
    <mergeCell ref="CK50:CY50"/>
    <mergeCell ref="AN25:BA25"/>
    <mergeCell ref="M7:W7"/>
    <mergeCell ref="U46:AP46"/>
    <mergeCell ref="M25:W25"/>
    <mergeCell ref="Y7:AL7"/>
    <mergeCell ref="Y25:AL25"/>
    <mergeCell ref="AR50:BF50"/>
    <mergeCell ref="CY46:DM46"/>
    <mergeCell ref="J31:W31"/>
    <mergeCell ref="BU47:CI47"/>
    <mergeCell ref="J1:U1"/>
    <mergeCell ref="BV49:CJ49"/>
    <mergeCell ref="BU46:CI46"/>
    <mergeCell ref="Y50:AQ50"/>
    <mergeCell ref="AN7:BA7"/>
    <mergeCell ref="BR25:CE25"/>
    <mergeCell ref="CZ50:DN50"/>
    <mergeCell ref="BF46:BT46"/>
    <mergeCell ref="U47:AP47"/>
  </mergeCells>
  <pageMargins left="0.7" right="0.7" top="0.75" bottom="0.75" header="0.3" footer="0.3"/>
  <pageSetup orientation="portrait" horizontalDpi="0" verticalDpi="0"/>
</worksheet>
</file>

<file path=xl/worksheets/sheet6.xml><?xml version="1.0" encoding="utf-8"?>
<worksheet xmlns="http://schemas.openxmlformats.org/spreadsheetml/2006/main">
  <sheetPr>
    <tabColor rgb="FFCCFFCC"/>
    <outlinePr summaryBelow="1" summaryRight="1"/>
    <pageSetUpPr/>
  </sheetPr>
  <dimension ref="B2:J94"/>
  <sheetViews>
    <sheetView zoomScale="138" zoomScaleNormal="138" workbookViewId="0">
      <selection activeCell="G52" sqref="G52"/>
    </sheetView>
  </sheetViews>
  <sheetFormatPr baseColWidth="10" defaultColWidth="8.6640625" defaultRowHeight="13"/>
  <cols>
    <col width="2.6640625" customWidth="1" style="1883" min="1" max="4"/>
    <col width="72.6640625" customWidth="1" style="1883" min="5" max="5"/>
    <col width="1.5" customWidth="1" style="1883" min="6" max="6"/>
    <col width="18.6640625" customWidth="1" style="1883" min="7" max="7"/>
    <col width="2.6640625" customWidth="1" style="1883" min="8" max="8"/>
  </cols>
  <sheetData>
    <row r="2" ht="15" customHeight="1" s="1883">
      <c r="B2" s="1882" t="inlineStr">
        <is>
          <t>Impact of Crowdfunding Capital Raise on Month 1 Cash Receipts Associated With Telephone Sales</t>
        </is>
      </c>
    </row>
    <row r="3" ht="15" customHeight="1" s="1883">
      <c r="B3" s="383" t="n"/>
      <c r="C3" s="383" t="n"/>
      <c r="D3" s="383" t="n"/>
      <c r="E3" s="383" t="n"/>
      <c r="F3" s="383" t="n"/>
      <c r="G3" s="383" t="n"/>
    </row>
    <row r="4" ht="3" customHeight="1" s="1883" thickBot="1">
      <c r="B4" s="1885" t="n"/>
      <c r="C4" s="1885" t="n"/>
      <c r="D4" s="1885" t="n"/>
      <c r="E4" s="1885" t="n"/>
      <c r="F4" s="1885" t="n"/>
      <c r="G4" s="1885" t="n"/>
    </row>
    <row r="5" ht="3" customHeight="1" s="1883" thickTop="1">
      <c r="B5" s="383" t="n"/>
      <c r="C5" s="383" t="n"/>
      <c r="D5" s="383" t="n"/>
      <c r="E5" s="383" t="n"/>
      <c r="F5" s="383" t="n"/>
      <c r="G5" s="383" t="n"/>
    </row>
    <row r="6" ht="15" customHeight="1" s="1883">
      <c r="B6" s="383" t="n"/>
      <c r="C6" s="383" t="n"/>
      <c r="D6" s="383" t="n"/>
      <c r="E6" s="383" t="n"/>
      <c r="F6" s="383" t="n"/>
      <c r="G6" s="383" t="n"/>
    </row>
    <row r="7" ht="15" customHeight="1" s="1883">
      <c r="B7" s="383" t="n"/>
      <c r="C7" s="383" t="n"/>
      <c r="D7" s="383" t="n"/>
      <c r="E7" s="383" t="n"/>
      <c r="F7" s="383" t="n"/>
      <c r="G7" s="383" t="n"/>
    </row>
    <row r="8" ht="15" customHeight="1" s="1883">
      <c r="B8" s="383" t="inlineStr">
        <is>
          <t>Anticipated Number of Investors/Consumer Opt Ins</t>
        </is>
      </c>
      <c r="C8" s="383" t="n"/>
      <c r="D8" s="383" t="n"/>
      <c r="E8" s="383" t="n"/>
      <c r="F8" s="383" t="n"/>
      <c r="G8" s="462" t="n">
        <v>10000</v>
      </c>
    </row>
    <row r="9" ht="15" customHeight="1" s="1883">
      <c r="B9" s="383" t="inlineStr">
        <is>
          <t>Amount Invested/Per Investor/Consumer</t>
        </is>
      </c>
      <c r="C9" s="383" t="n"/>
      <c r="D9" s="383" t="n"/>
      <c r="E9" s="383" t="n"/>
      <c r="F9" s="383" t="n"/>
      <c r="G9" s="395">
        <f>G20</f>
        <v/>
      </c>
    </row>
    <row r="10" ht="3" customHeight="1" s="1883">
      <c r="B10" s="383" t="n"/>
      <c r="C10" s="383" t="n"/>
      <c r="D10" s="383" t="n"/>
      <c r="E10" s="383" t="n"/>
      <c r="F10" s="383" t="n"/>
      <c r="G10" s="387" t="n"/>
    </row>
    <row r="11" ht="3" customHeight="1" s="1883">
      <c r="B11" s="383" t="n"/>
      <c r="C11" s="383" t="n"/>
      <c r="D11" s="383" t="n"/>
      <c r="E11" s="383" t="n"/>
      <c r="F11" s="383" t="n"/>
      <c r="G11" s="383" t="n"/>
    </row>
    <row r="12" ht="15" customHeight="1" s="1883">
      <c r="B12" s="383" t="n"/>
      <c r="C12" s="383" t="n"/>
      <c r="D12" s="383" t="n"/>
      <c r="E12" s="383" t="n"/>
      <c r="F12" s="383" t="n"/>
      <c r="G12" s="383" t="n"/>
      <c r="J12" s="658" t="inlineStr">
        <is>
          <t>Perks</t>
        </is>
      </c>
    </row>
    <row r="13" ht="15" customHeight="1" s="1883">
      <c r="B13" s="383" t="n"/>
      <c r="C13" s="383" t="n"/>
      <c r="D13" s="385" t="inlineStr">
        <is>
          <t>Total Capital Raised</t>
        </is>
      </c>
      <c r="E13" s="383" t="n"/>
      <c r="F13" s="383" t="n"/>
      <c r="G13" s="396">
        <f>((G8)*(G9))</f>
        <v/>
      </c>
      <c r="J13" s="1917" t="inlineStr">
        <is>
          <t>grandfather # - e.g. your phones are limited edition and within the platform other people can see you were one of the first to have this</t>
        </is>
      </c>
    </row>
    <row r="20" ht="15" customHeight="1" s="1883">
      <c r="B20" s="383" t="inlineStr">
        <is>
          <t>Selling price of Telephone, Year 1</t>
        </is>
      </c>
      <c r="C20" s="383" t="n"/>
      <c r="D20" s="383" t="n"/>
      <c r="E20" s="383" t="n"/>
      <c r="F20" s="383" t="n"/>
      <c r="G20" s="395">
        <f>'3B. Tel. - Rev. Detail x Month'!J18</f>
        <v/>
      </c>
    </row>
    <row r="21" ht="15" customHeight="1" s="1883">
      <c r="B21" s="383" t="inlineStr">
        <is>
          <t>Investors</t>
        </is>
      </c>
      <c r="C21" s="383" t="n"/>
      <c r="D21" s="383" t="n"/>
      <c r="E21" s="383" t="n"/>
      <c r="F21" s="383" t="n"/>
      <c r="G21" s="462">
        <f>(G8)</f>
        <v/>
      </c>
    </row>
    <row r="22" ht="3" customHeight="1" s="1883">
      <c r="B22" s="383" t="n"/>
      <c r="C22" s="383" t="n"/>
      <c r="D22" s="383" t="n"/>
      <c r="E22" s="383" t="n"/>
      <c r="F22" s="383" t="n"/>
      <c r="G22" s="387" t="n"/>
    </row>
    <row r="23" ht="3" customHeight="1" s="1883">
      <c r="B23" s="383" t="n"/>
      <c r="C23" s="383" t="n"/>
      <c r="D23" s="383" t="n"/>
      <c r="E23" s="383" t="n"/>
      <c r="F23" s="383" t="n"/>
      <c r="G23" s="383" t="n"/>
    </row>
    <row r="24" ht="15" customHeight="1" s="1883">
      <c r="B24" s="383" t="n"/>
      <c r="C24" s="383" t="n"/>
      <c r="D24" s="383" t="n"/>
      <c r="E24" s="383" t="n"/>
      <c r="F24" s="383" t="n"/>
      <c r="G24" s="383" t="n"/>
    </row>
    <row r="25" ht="15" customHeight="1" s="1883">
      <c r="B25" s="383" t="n"/>
      <c r="C25" s="385" t="inlineStr">
        <is>
          <t>Amount Allocated to Customers Deposits</t>
        </is>
      </c>
      <c r="D25" s="383" t="n"/>
      <c r="E25" s="383" t="n"/>
      <c r="F25" s="383" t="n"/>
      <c r="G25" s="396">
        <f>((G20)*(G21))</f>
        <v/>
      </c>
    </row>
    <row r="26" ht="15" customHeight="1" s="1883">
      <c r="B26" s="383" t="n"/>
      <c r="C26" s="383" t="n"/>
      <c r="D26" s="383" t="n"/>
      <c r="E26" s="383" t="n"/>
      <c r="F26" s="383" t="n"/>
      <c r="G26" s="383" t="n"/>
    </row>
    <row r="27" ht="15" customHeight="1" s="1883">
      <c r="B27" s="383" t="n"/>
      <c r="C27" s="385" t="inlineStr">
        <is>
          <t>Amount Allocated to Capital</t>
        </is>
      </c>
      <c r="D27" s="383" t="n"/>
      <c r="E27" s="383" t="n"/>
      <c r="F27" s="383" t="n"/>
      <c r="G27" s="396">
        <f>((G13)-(G25))</f>
        <v/>
      </c>
    </row>
    <row r="28" ht="3" customHeight="1" s="1883">
      <c r="B28" s="383" t="n"/>
      <c r="C28" s="383" t="n"/>
      <c r="D28" s="383" t="n"/>
      <c r="E28" s="383" t="n"/>
      <c r="F28" s="383" t="n"/>
      <c r="G28" s="387" t="n"/>
    </row>
    <row r="29" ht="3" customHeight="1" s="1883">
      <c r="B29" s="383" t="n"/>
      <c r="C29" s="383" t="n"/>
      <c r="D29" s="383" t="n"/>
      <c r="E29" s="383" t="n"/>
      <c r="F29" s="383" t="n"/>
      <c r="G29" s="383" t="n"/>
    </row>
    <row r="30" ht="15" customHeight="1" s="1883">
      <c r="B30" s="383" t="n"/>
      <c r="C30" s="383" t="n"/>
      <c r="D30" s="383" t="n"/>
      <c r="E30" s="383" t="n"/>
      <c r="F30" s="383" t="n"/>
      <c r="G30" s="383" t="n"/>
    </row>
    <row r="31" ht="15" customHeight="1" s="1883">
      <c r="B31" s="383" t="n"/>
      <c r="C31" s="383" t="n"/>
      <c r="D31" s="385" t="inlineStr">
        <is>
          <t>Total</t>
        </is>
      </c>
      <c r="E31" s="383" t="n"/>
      <c r="F31" s="383" t="n"/>
      <c r="G31" s="396">
        <f>((G25)+(G27))</f>
        <v/>
      </c>
    </row>
    <row r="36" ht="15" customHeight="1" s="1883">
      <c r="B36" s="383" t="inlineStr">
        <is>
          <t>First 3,000 investors fund cost of Pre-Launch Investory Investment</t>
        </is>
      </c>
      <c r="C36" s="383" t="n"/>
      <c r="D36" s="383" t="n"/>
      <c r="E36" s="383" t="n"/>
      <c r="F36" s="383" t="n"/>
      <c r="G36" s="383" t="n"/>
    </row>
    <row r="37" ht="15" customHeight="1" s="1883">
      <c r="B37" s="383" t="n"/>
      <c r="C37" s="383" t="inlineStr">
        <is>
          <t>Amount credited to revenue upon shipment of telephones to customers</t>
        </is>
      </c>
      <c r="D37" s="383" t="n"/>
      <c r="E37" s="383" t="n"/>
      <c r="F37" s="383" t="n"/>
      <c r="G37" s="383" t="n"/>
    </row>
    <row r="38" ht="15" customHeight="1" s="1883">
      <c r="B38" s="383" t="n"/>
      <c r="C38" s="383" t="inlineStr">
        <is>
          <t xml:space="preserve">Cash paid during Crowdfunding </t>
        </is>
      </c>
      <c r="D38" s="383" t="n"/>
      <c r="E38" s="383" t="n"/>
      <c r="F38" s="383" t="n"/>
      <c r="G38" s="383" t="n"/>
    </row>
    <row r="39" ht="15" customHeight="1" s="1883">
      <c r="B39" s="383" t="n"/>
      <c r="C39" s="383" t="n"/>
      <c r="D39" s="383" t="n"/>
      <c r="E39" s="383" t="n"/>
      <c r="F39" s="383" t="n"/>
      <c r="G39" s="383" t="n"/>
    </row>
    <row r="40" ht="15" customHeight="1" s="1883">
      <c r="B40" s="383" t="inlineStr">
        <is>
          <t xml:space="preserve">Next 6,000 Customers fund Month 1 telephone purchases </t>
        </is>
      </c>
      <c r="C40" s="383" t="n"/>
      <c r="D40" s="383" t="n"/>
      <c r="E40" s="383" t="n"/>
      <c r="F40" s="383" t="n"/>
      <c r="G40" s="396">
        <f>(((10000)-(4000))*(G20))</f>
        <v/>
      </c>
    </row>
    <row r="41" ht="15" customHeight="1" s="1883">
      <c r="B41" s="383" t="n"/>
      <c r="C41" s="383" t="inlineStr">
        <is>
          <t>Amount credited to revenue upon shipment of telephones to customers</t>
        </is>
      </c>
      <c r="D41" s="383" t="n"/>
      <c r="E41" s="383" t="n"/>
      <c r="F41" s="383" t="n"/>
      <c r="G41" s="383" t="n"/>
    </row>
    <row r="42" ht="15" customHeight="1" s="1883">
      <c r="B42" s="383" t="n"/>
      <c r="C42" s="383" t="n"/>
      <c r="D42" s="383" t="n"/>
      <c r="E42" s="383" t="n"/>
      <c r="F42" s="383" t="n"/>
      <c r="G42" s="383" t="n"/>
    </row>
    <row r="43" ht="15" customHeight="1" s="1883">
      <c r="B43" s="383" t="n"/>
      <c r="C43" s="383" t="n"/>
      <c r="D43" s="383" t="n"/>
      <c r="E43" s="383" t="n"/>
      <c r="F43" s="383" t="n"/>
      <c r="G43" s="383" t="n"/>
    </row>
    <row r="44" ht="15" customHeight="1" s="1883">
      <c r="B44" s="383" t="n"/>
      <c r="C44" s="383" t="inlineStr">
        <is>
          <t>Month 1 - planned revenue and cash from telephone sales</t>
        </is>
      </c>
      <c r="D44" s="383" t="n"/>
      <c r="E44" s="383" t="n"/>
      <c r="F44" s="383" t="n"/>
      <c r="G44" s="395">
        <f>('3B. Tel. - Rev. Detail x Month'!J55)</f>
        <v/>
      </c>
    </row>
    <row r="45" ht="15" customHeight="1" s="1883">
      <c r="B45" s="383" t="n"/>
      <c r="C45" s="383" t="inlineStr">
        <is>
          <t>Less: Month 1 telephone sales paid in advance through Crowdfunding - 4,000 units</t>
        </is>
      </c>
      <c r="D45" s="383" t="n"/>
      <c r="E45" s="383" t="n"/>
      <c r="F45" s="383" t="n"/>
      <c r="G45" s="462">
        <f>(-G40)</f>
        <v/>
      </c>
    </row>
    <row r="46" ht="3" customHeight="1" s="1883">
      <c r="B46" s="383" t="n"/>
      <c r="C46" s="383" t="n"/>
      <c r="D46" s="383" t="n"/>
      <c r="E46" s="383" t="n"/>
      <c r="F46" s="383" t="n"/>
      <c r="G46" s="387" t="n"/>
    </row>
    <row r="47" ht="3" customHeight="1" s="1883">
      <c r="B47" s="383" t="n"/>
      <c r="C47" s="383" t="n"/>
      <c r="D47" s="383" t="n"/>
      <c r="E47" s="383" t="n"/>
      <c r="F47" s="383" t="n"/>
      <c r="G47" s="383" t="n"/>
    </row>
    <row r="48" ht="15" customHeight="1" s="1883">
      <c r="B48" s="383" t="n"/>
      <c r="C48" s="383" t="n"/>
      <c r="D48" s="385" t="inlineStr">
        <is>
          <t>Month 1 cash from sales of telephones</t>
        </is>
      </c>
      <c r="E48" s="383" t="n"/>
      <c r="F48" s="383" t="n"/>
      <c r="G48" s="396">
        <f>SUM(G44:G45)</f>
        <v/>
      </c>
    </row>
    <row r="52" ht="15" customHeight="1" s="1883">
      <c r="E52" s="535" t="inlineStr">
        <is>
          <t>Check</t>
        </is>
      </c>
      <c r="F52" s="383" t="n"/>
      <c r="G52" s="912">
        <f>'2B. Cash Collections'!X20</f>
        <v/>
      </c>
    </row>
    <row r="58" customFormat="1" s="1642"/>
    <row r="59" ht="15" customHeight="1" s="1883">
      <c r="B59" s="383" t="inlineStr">
        <is>
          <t>Anticipated Number of Pre-Sales/Program Opt ins</t>
        </is>
      </c>
      <c r="C59" s="383" t="n"/>
      <c r="D59" s="383" t="n"/>
      <c r="E59" s="383" t="n"/>
      <c r="F59" s="383" t="n"/>
      <c r="G59" s="462" t="n">
        <v>0</v>
      </c>
    </row>
    <row r="60" ht="15" customHeight="1" s="1883">
      <c r="B60" s="383" t="inlineStr">
        <is>
          <t>Amount Invested/Per Investor</t>
        </is>
      </c>
      <c r="C60" s="383" t="n"/>
      <c r="D60" s="383" t="n"/>
      <c r="E60" s="383" t="n"/>
      <c r="F60" s="383" t="n"/>
      <c r="G60" s="395">
        <f>G9</f>
        <v/>
      </c>
    </row>
    <row r="61" ht="15" customHeight="1" s="1883">
      <c r="B61" s="383" t="n"/>
      <c r="C61" s="383" t="n"/>
      <c r="D61" s="383" t="n"/>
      <c r="E61" s="383" t="n"/>
      <c r="F61" s="383" t="n"/>
      <c r="G61" s="387" t="n"/>
    </row>
    <row r="62" ht="15" customHeight="1" s="1883">
      <c r="B62" s="383" t="n"/>
      <c r="C62" s="383" t="n"/>
      <c r="D62" s="383" t="n"/>
      <c r="E62" s="383" t="n"/>
      <c r="F62" s="383" t="n"/>
      <c r="G62" s="383" t="n"/>
    </row>
    <row r="63" ht="15" customHeight="1" s="1883">
      <c r="B63" s="383" t="n"/>
      <c r="C63" s="383" t="n"/>
      <c r="D63" s="383" t="n"/>
      <c r="E63" s="383" t="n"/>
      <c r="F63" s="383" t="n"/>
      <c r="G63" s="383" t="n"/>
    </row>
    <row r="64" ht="15" customHeight="1" s="1883">
      <c r="B64" s="383" t="n"/>
      <c r="C64" s="383" t="n"/>
      <c r="D64" s="385" t="inlineStr">
        <is>
          <t>Total Capital Raised</t>
        </is>
      </c>
      <c r="E64" s="383" t="n"/>
      <c r="F64" s="383" t="n"/>
      <c r="G64" s="396">
        <f>((G59)*(G60))</f>
        <v/>
      </c>
    </row>
    <row r="71" ht="15" customHeight="1" s="1883">
      <c r="B71" s="383" t="inlineStr">
        <is>
          <t>Selling price of Telephone, Year 1</t>
        </is>
      </c>
      <c r="C71" s="383" t="n"/>
      <c r="D71" s="383" t="n"/>
      <c r="E71" s="383" t="n"/>
      <c r="F71" s="383" t="n"/>
      <c r="G71" s="395">
        <f>G20</f>
        <v/>
      </c>
    </row>
    <row r="72" ht="15" customHeight="1" s="1883">
      <c r="B72" s="383" t="inlineStr">
        <is>
          <t>Investors</t>
        </is>
      </c>
      <c r="C72" s="383" t="n"/>
      <c r="D72" s="383" t="n"/>
      <c r="E72" s="383" t="n"/>
      <c r="F72" s="383" t="n"/>
      <c r="G72" s="462">
        <f>(G59)</f>
        <v/>
      </c>
    </row>
    <row r="73" ht="15" customHeight="1" s="1883">
      <c r="B73" s="383" t="n"/>
      <c r="C73" s="383" t="n"/>
      <c r="D73" s="383" t="n"/>
      <c r="E73" s="383" t="n"/>
      <c r="F73" s="383" t="n"/>
      <c r="G73" s="387" t="n"/>
    </row>
    <row r="74" ht="15" customHeight="1" s="1883">
      <c r="B74" s="383" t="n"/>
      <c r="C74" s="383" t="n"/>
      <c r="D74" s="383" t="n"/>
      <c r="E74" s="383" t="n"/>
      <c r="F74" s="383" t="n"/>
      <c r="G74" s="383" t="n"/>
    </row>
    <row r="75" ht="15" customHeight="1" s="1883">
      <c r="B75" s="383" t="n"/>
      <c r="C75" s="383" t="n"/>
      <c r="D75" s="383" t="n"/>
      <c r="E75" s="383" t="n"/>
      <c r="F75" s="383" t="n"/>
      <c r="G75" s="383" t="n"/>
    </row>
    <row r="76" ht="15" customHeight="1" s="1883">
      <c r="B76" s="383" t="n"/>
      <c r="C76" s="385" t="inlineStr">
        <is>
          <t>Amount Allocated to Customers Deposits</t>
        </is>
      </c>
      <c r="D76" s="383" t="n"/>
      <c r="E76" s="383" t="n"/>
      <c r="F76" s="383" t="n"/>
      <c r="G76" s="396">
        <f>((G71)*(G72))</f>
        <v/>
      </c>
    </row>
    <row r="77" ht="15" customHeight="1" s="1883">
      <c r="B77" s="383" t="n"/>
      <c r="C77" s="383" t="n"/>
      <c r="D77" s="383" t="n"/>
      <c r="E77" s="383" t="n"/>
      <c r="F77" s="383" t="n"/>
      <c r="G77" s="383" t="n"/>
    </row>
    <row r="78" ht="15" customHeight="1" s="1883">
      <c r="B78" s="383" t="n"/>
      <c r="C78" s="385" t="inlineStr">
        <is>
          <t>Amount Allocated to Capital</t>
        </is>
      </c>
      <c r="D78" s="383" t="n"/>
      <c r="E78" s="383" t="n"/>
      <c r="F78" s="383" t="n"/>
      <c r="G78" s="396">
        <f>((G64)-(G76))</f>
        <v/>
      </c>
    </row>
    <row r="79" ht="15" customHeight="1" s="1883">
      <c r="B79" s="383" t="n"/>
      <c r="C79" s="383" t="n"/>
      <c r="D79" s="383" t="n"/>
      <c r="E79" s="383" t="n"/>
      <c r="F79" s="383" t="n"/>
      <c r="G79" s="387" t="n"/>
    </row>
    <row r="80" ht="15" customHeight="1" s="1883">
      <c r="B80" s="383" t="n"/>
      <c r="C80" s="383" t="n"/>
      <c r="D80" s="383" t="n"/>
      <c r="E80" s="383" t="n"/>
      <c r="F80" s="383" t="n"/>
      <c r="G80" s="383" t="n"/>
    </row>
    <row r="81" ht="15" customHeight="1" s="1883">
      <c r="B81" s="383" t="n"/>
      <c r="C81" s="383" t="n"/>
      <c r="D81" s="383" t="n"/>
      <c r="E81" s="383" t="n"/>
      <c r="F81" s="383" t="n"/>
      <c r="G81" s="383" t="n"/>
    </row>
    <row r="82" ht="15" customHeight="1" s="1883">
      <c r="B82" s="383" t="n"/>
      <c r="C82" s="383" t="n"/>
      <c r="D82" s="385" t="inlineStr">
        <is>
          <t>Total - Pre-Sales / Program Opt Ins</t>
        </is>
      </c>
      <c r="E82" s="383" t="n"/>
      <c r="F82" s="383" t="n"/>
      <c r="G82" s="396">
        <f>((G76)+(G78))</f>
        <v/>
      </c>
    </row>
    <row r="85" ht="15" customHeight="1" s="1883">
      <c r="B85" s="383" t="n"/>
      <c r="C85" s="383" t="n"/>
      <c r="D85" s="383" t="n"/>
      <c r="E85" s="383" t="n"/>
      <c r="F85" s="383" t="n"/>
      <c r="G85" s="383" t="n"/>
    </row>
    <row r="86" ht="15" customHeight="1" s="1883">
      <c r="B86" s="383" t="n"/>
      <c r="C86" s="383" t="n"/>
      <c r="D86" s="383" t="n"/>
      <c r="E86" s="383" t="n"/>
      <c r="F86" s="383" t="n"/>
      <c r="G86" s="383" t="n"/>
    </row>
    <row r="87" ht="15" customHeight="1" s="1883">
      <c r="B87" s="383" t="n"/>
      <c r="C87" s="383" t="n"/>
      <c r="D87" s="383" t="n"/>
      <c r="E87" s="383" t="n"/>
      <c r="F87" s="383" t="n"/>
      <c r="G87" s="395" t="n"/>
    </row>
    <row r="88" ht="15" customHeight="1" s="1883">
      <c r="B88" s="383" t="n"/>
      <c r="C88" s="383" t="n"/>
      <c r="D88" s="383" t="n"/>
      <c r="E88" s="383" t="n"/>
      <c r="F88" s="383" t="n"/>
      <c r="G88" s="387" t="n"/>
    </row>
    <row r="89" ht="15" customHeight="1" s="1883">
      <c r="B89" s="383" t="n"/>
      <c r="C89" s="383" t="n"/>
      <c r="D89" s="383" t="n"/>
      <c r="E89" s="383" t="n"/>
      <c r="F89" s="383" t="n"/>
      <c r="G89" s="383" t="n"/>
    </row>
    <row r="90" ht="15" customHeight="1" s="1883">
      <c r="B90" s="383" t="n"/>
      <c r="C90" s="383" t="n"/>
      <c r="D90" s="385" t="n"/>
      <c r="E90" s="383" t="n"/>
      <c r="F90" s="383" t="n"/>
      <c r="G90" s="396" t="n"/>
    </row>
    <row r="94" ht="15" customHeight="1" s="1883">
      <c r="E94" s="535" t="n"/>
      <c r="F94" s="383" t="n"/>
      <c r="G94" s="912" t="n"/>
    </row>
  </sheetData>
  <mergeCells count="1">
    <mergeCell ref="B2:G2"/>
  </mergeCells>
  <pageMargins left="0.7" right="0.7" top="0.75" bottom="0.75" header="0.3" footer="0.3"/>
  <pageSetup orientation="portrait" horizontalDpi="0" verticalDpi="0"/>
</worksheet>
</file>

<file path=xl/worksheets/sheet7.xml><?xml version="1.0" encoding="utf-8"?>
<worksheet xmlns="http://schemas.openxmlformats.org/spreadsheetml/2006/main">
  <sheetPr>
    <tabColor rgb="FFCCFFCC"/>
    <outlinePr summaryBelow="1" summaryRight="1"/>
    <pageSetUpPr/>
  </sheetPr>
  <dimension ref="B2:AJ81"/>
  <sheetViews>
    <sheetView topLeftCell="A18" zoomScale="129" zoomScaleNormal="129" workbookViewId="0">
      <selection activeCell="J48" sqref="J48"/>
    </sheetView>
  </sheetViews>
  <sheetFormatPr baseColWidth="10" defaultColWidth="8.6640625" defaultRowHeight="13"/>
  <cols>
    <col width="2.6640625" customWidth="1" style="1883" min="1" max="7"/>
    <col width="36.5" customWidth="1" style="1883" min="8" max="8"/>
    <col width="2.6640625" customWidth="1" style="1883" min="9" max="9"/>
    <col width="15.6640625" customWidth="1" style="1883" min="10" max="10"/>
    <col width="0.6640625" customWidth="1" style="1883" min="11" max="11"/>
    <col width="15.6640625" customWidth="1" style="1883" min="12" max="12"/>
    <col width="0.6640625" customWidth="1" style="1883" min="13" max="13"/>
    <col width="15.6640625" customWidth="1" style="1883" min="14" max="14"/>
    <col width="0.6640625" customWidth="1" style="1883" min="15" max="15"/>
    <col width="15.6640625" customWidth="1" style="1883" min="16" max="16"/>
    <col width="0.6640625" customWidth="1" style="1883" min="17" max="17"/>
    <col width="15.6640625" customWidth="1" style="1883" min="18" max="18"/>
    <col width="1" customWidth="1" style="1883" min="19" max="19"/>
    <col width="15.6640625" customWidth="1" style="1883" min="20" max="20"/>
    <col width="0.6640625" customWidth="1" style="1883" min="21" max="21"/>
    <col width="15.6640625" customWidth="1" style="1883" min="22" max="22"/>
    <col width="0.6640625" customWidth="1" style="1883" min="23" max="23"/>
    <col width="15.6640625" customWidth="1" style="1883" min="24" max="24"/>
    <col width="0.6640625" customWidth="1" style="1883" min="25" max="25"/>
    <col width="15.6640625" customWidth="1" style="1883" min="26" max="26"/>
    <col width="0.6640625" customWidth="1" style="1883" min="27" max="27"/>
    <col width="15.6640625" customWidth="1" style="1883" min="28" max="28"/>
    <col width="0.6640625" customWidth="1" style="1883" min="29" max="29"/>
    <col width="15.6640625" customWidth="1" style="1883" min="30" max="30"/>
    <col width="0.6640625" customWidth="1" style="1883" min="31" max="31"/>
    <col width="15.6640625" customWidth="1" style="1883" min="32" max="32"/>
    <col width="1.6640625" customWidth="1" style="1883" min="33" max="33"/>
    <col width="18.6640625" customWidth="1" style="1883" min="34" max="34"/>
    <col width="2.6640625" customWidth="1" style="1883" min="35" max="35"/>
    <col width="18.6640625" customWidth="1" style="1883" min="36" max="36"/>
    <col width="2.6640625" customWidth="1" style="1883" min="37" max="37"/>
  </cols>
  <sheetData>
    <row r="2" ht="15" customHeight="1" s="1883">
      <c r="B2" s="1882" t="inlineStr">
        <is>
          <t>PURE TECHNOLOGY</t>
        </is>
      </c>
    </row>
    <row r="3" ht="4.5" customHeight="1" s="1883">
      <c r="B3" s="385" t="n"/>
      <c r="C3" s="385" t="n"/>
      <c r="D3" s="383" t="n"/>
      <c r="E3" s="383" t="n"/>
      <c r="F3" s="383" t="n"/>
      <c r="G3" s="383" t="n"/>
      <c r="H3" s="383" t="n"/>
      <c r="I3" s="383" t="n"/>
      <c r="J3" s="383" t="n"/>
      <c r="K3" s="383" t="n"/>
      <c r="L3" s="383" t="n"/>
      <c r="M3" s="383" t="n"/>
      <c r="N3" s="383" t="n"/>
      <c r="O3" s="383" t="n"/>
      <c r="P3" s="383" t="n"/>
      <c r="Q3" s="383" t="n"/>
      <c r="R3" s="383" t="n"/>
      <c r="S3" s="383" t="n"/>
      <c r="T3" s="383" t="n"/>
      <c r="U3" s="383" t="n"/>
      <c r="V3" s="383" t="n"/>
      <c r="W3" s="383" t="n"/>
      <c r="X3" s="383" t="n"/>
      <c r="Y3" s="383" t="n"/>
      <c r="Z3" s="383" t="n"/>
      <c r="AA3" s="383" t="n"/>
      <c r="AB3" s="383" t="n"/>
      <c r="AC3" s="383" t="n"/>
      <c r="AD3" s="383" t="n"/>
      <c r="AE3" s="383" t="n"/>
      <c r="AF3" s="383" t="n"/>
      <c r="AG3" s="383" t="n"/>
      <c r="AH3" s="383" t="n"/>
      <c r="AI3" s="383" t="n"/>
      <c r="AJ3" s="383" t="n"/>
    </row>
    <row r="4" ht="15" customHeight="1" s="1883">
      <c r="B4" s="1882" t="inlineStr">
        <is>
          <t>REVENUE ROLL-UP BY MONTH, POST-LAUNCH</t>
        </is>
      </c>
    </row>
    <row r="5" ht="4.5" customHeight="1" s="1883">
      <c r="B5" s="385" t="n"/>
      <c r="C5" s="385" t="n"/>
      <c r="D5" s="383" t="n"/>
      <c r="E5" s="383" t="n"/>
      <c r="F5" s="383" t="n"/>
      <c r="G5" s="383" t="n"/>
      <c r="H5" s="383" t="n"/>
      <c r="I5" s="383" t="n"/>
      <c r="J5" s="383" t="n"/>
      <c r="K5" s="383" t="n"/>
      <c r="L5" s="383" t="n"/>
      <c r="M5" s="383" t="n"/>
      <c r="N5" s="383" t="n"/>
      <c r="O5" s="383" t="n"/>
      <c r="P5" s="383" t="n"/>
      <c r="Q5" s="383" t="n"/>
      <c r="R5" s="383" t="n"/>
      <c r="S5" s="383" t="n"/>
      <c r="T5" s="383" t="n"/>
      <c r="U5" s="383" t="n"/>
      <c r="V5" s="383" t="n"/>
      <c r="W5" s="383" t="n"/>
      <c r="X5" s="383" t="n"/>
      <c r="Y5" s="383" t="n"/>
      <c r="Z5" s="383" t="n"/>
      <c r="AA5" s="383" t="n"/>
      <c r="AB5" s="383" t="n"/>
      <c r="AC5" s="383" t="n"/>
      <c r="AD5" s="383" t="n"/>
      <c r="AE5" s="383" t="n"/>
      <c r="AF5" s="383" t="n"/>
      <c r="AG5" s="383" t="n"/>
      <c r="AH5" s="383" t="n"/>
      <c r="AI5" s="383" t="n"/>
      <c r="AJ5" s="383" t="n"/>
    </row>
    <row r="6" ht="15" customHeight="1" s="1883">
      <c r="B6" s="1882" t="inlineStr">
        <is>
          <t>MONTHS 1 - 60</t>
        </is>
      </c>
    </row>
    <row r="7" ht="15" customHeight="1" s="1883">
      <c r="B7" s="383" t="n"/>
      <c r="C7" s="383" t="n"/>
      <c r="D7" s="383" t="n"/>
      <c r="E7" s="383" t="n"/>
      <c r="F7" s="383" t="n"/>
      <c r="G7" s="383" t="n"/>
      <c r="H7" s="383" t="n"/>
      <c r="I7" s="383" t="n"/>
      <c r="J7" s="383" t="n"/>
      <c r="K7" s="383" t="n"/>
      <c r="L7" s="383" t="n"/>
      <c r="M7" s="383" t="n"/>
      <c r="N7" s="383" t="n"/>
      <c r="O7" s="383" t="n"/>
      <c r="P7" s="383" t="n"/>
      <c r="Q7" s="383" t="n"/>
      <c r="R7" s="383" t="n"/>
      <c r="S7" s="383" t="n"/>
      <c r="T7" s="383" t="n"/>
      <c r="U7" s="383" t="n"/>
      <c r="V7" s="383" t="n"/>
      <c r="W7" s="383" t="n"/>
      <c r="X7" s="383" t="n"/>
      <c r="Y7" s="383" t="n"/>
      <c r="Z7" s="383" t="n"/>
      <c r="AA7" s="383" t="n"/>
      <c r="AB7" s="383" t="n"/>
      <c r="AC7" s="383" t="n"/>
      <c r="AD7" s="383" t="n"/>
      <c r="AE7" s="383" t="n"/>
      <c r="AF7" s="383" t="n"/>
      <c r="AG7" s="383" t="n"/>
      <c r="AH7" s="383" t="n"/>
      <c r="AI7" s="383" t="n"/>
      <c r="AJ7" s="383" t="n"/>
    </row>
    <row r="8" ht="3" customHeight="1" s="1883" thickBot="1">
      <c r="B8" s="1885" t="n"/>
      <c r="C8" s="1885" t="n"/>
      <c r="D8" s="1885" t="n"/>
      <c r="E8" s="1885" t="n"/>
      <c r="F8" s="1885" t="n"/>
      <c r="G8" s="1885" t="n"/>
      <c r="H8" s="1885" t="n"/>
      <c r="I8" s="1885" t="n"/>
      <c r="J8" s="1885" t="n"/>
      <c r="K8" s="1885" t="n"/>
      <c r="L8" s="1885" t="n"/>
      <c r="M8" s="1885" t="n"/>
      <c r="N8" s="1885" t="n"/>
      <c r="O8" s="1885" t="n"/>
      <c r="P8" s="1885" t="n"/>
      <c r="Q8" s="1885" t="n"/>
      <c r="R8" s="1885" t="n"/>
      <c r="S8" s="1885" t="n"/>
      <c r="T8" s="1885" t="n"/>
      <c r="U8" s="1885" t="n"/>
      <c r="V8" s="1885" t="n"/>
      <c r="W8" s="1885" t="n"/>
      <c r="X8" s="1885" t="n"/>
      <c r="Y8" s="1885" t="n"/>
      <c r="Z8" s="1885" t="n"/>
      <c r="AA8" s="1885" t="n"/>
      <c r="AB8" s="1885" t="n"/>
      <c r="AC8" s="1885" t="n"/>
      <c r="AD8" s="1885" t="n"/>
      <c r="AE8" s="1885" t="n"/>
      <c r="AF8" s="1885" t="n"/>
      <c r="AG8" s="1885" t="n"/>
      <c r="AH8" s="1885" t="n"/>
      <c r="AI8" s="1885" t="n"/>
      <c r="AJ8" s="1885" t="n"/>
    </row>
    <row r="9" ht="3" customHeight="1" s="1883" thickTop="1">
      <c r="B9" s="383" t="n"/>
      <c r="C9" s="383" t="n"/>
      <c r="D9" s="383" t="n"/>
      <c r="E9" s="383" t="n"/>
      <c r="F9" s="383" t="n"/>
      <c r="G9" s="383" t="n"/>
      <c r="H9" s="383" t="n"/>
      <c r="I9" s="383" t="n"/>
      <c r="J9" s="383" t="n"/>
      <c r="K9" s="383" t="n"/>
      <c r="L9" s="383" t="n"/>
      <c r="M9" s="383" t="n"/>
      <c r="N9" s="383" t="n"/>
      <c r="O9" s="383" t="n"/>
      <c r="P9" s="383" t="n"/>
      <c r="Q9" s="383" t="n"/>
      <c r="R9" s="383" t="n"/>
      <c r="S9" s="383" t="n"/>
      <c r="T9" s="383" t="n"/>
      <c r="U9" s="383" t="n"/>
      <c r="V9" s="383" t="n"/>
      <c r="W9" s="383" t="n"/>
      <c r="X9" s="383" t="n"/>
      <c r="Y9" s="383" t="n"/>
      <c r="Z9" s="383" t="n"/>
      <c r="AA9" s="383" t="n"/>
      <c r="AB9" s="383" t="n"/>
      <c r="AC9" s="383" t="n"/>
      <c r="AD9" s="383" t="n"/>
      <c r="AE9" s="383" t="n"/>
      <c r="AF9" s="383" t="n"/>
      <c r="AG9" s="383" t="n"/>
      <c r="AH9" s="383" t="n"/>
      <c r="AI9" s="383" t="n"/>
      <c r="AJ9" s="383" t="n"/>
    </row>
    <row r="10" ht="15" customHeight="1" s="1883">
      <c r="B10" s="383" t="n"/>
      <c r="C10" s="383" t="n"/>
      <c r="D10" s="383" t="n"/>
      <c r="E10" s="383" t="n"/>
      <c r="F10" s="383" t="n"/>
      <c r="G10" s="383" t="n"/>
      <c r="H10" s="383" t="n"/>
      <c r="I10" s="383" t="n"/>
      <c r="J10" s="383" t="n"/>
      <c r="K10" s="383" t="n"/>
      <c r="L10" s="383" t="n"/>
      <c r="M10" s="383" t="n"/>
      <c r="N10" s="383" t="n"/>
      <c r="O10" s="383" t="n"/>
      <c r="P10" s="383" t="n"/>
      <c r="Q10" s="383" t="n"/>
      <c r="R10" s="383" t="n"/>
      <c r="S10" s="383" t="n"/>
      <c r="T10" s="383" t="n"/>
      <c r="U10" s="383" t="n"/>
      <c r="V10" s="383" t="n"/>
      <c r="W10" s="383" t="n"/>
      <c r="X10" s="383" t="n"/>
      <c r="Y10" s="383" t="n"/>
      <c r="Z10" s="383" t="n"/>
      <c r="AA10" s="383" t="n"/>
      <c r="AB10" s="383" t="n"/>
      <c r="AC10" s="383" t="n"/>
      <c r="AD10" s="383" t="n"/>
      <c r="AE10" s="383" t="n"/>
      <c r="AF10" s="383" t="n"/>
      <c r="AG10" s="383" t="n"/>
      <c r="AH10" s="383" t="n"/>
      <c r="AI10" s="383" t="n"/>
      <c r="AJ10" s="383" t="n"/>
    </row>
    <row r="11" ht="15" customHeight="1" s="1883">
      <c r="B11" s="383" t="n"/>
      <c r="C11" s="383" t="n"/>
      <c r="D11" s="383" t="n"/>
      <c r="E11" s="383" t="n"/>
      <c r="F11" s="383" t="n"/>
      <c r="G11" s="383" t="n"/>
      <c r="H11" s="383" t="n"/>
      <c r="I11" s="383" t="n"/>
      <c r="J11" s="1882" t="inlineStr">
        <is>
          <t>Year 1</t>
        </is>
      </c>
      <c r="AI11" s="383" t="n"/>
      <c r="AJ11" s="383" t="n"/>
    </row>
    <row r="12" ht="3" customHeight="1" s="1883">
      <c r="B12" s="383" t="n"/>
      <c r="C12" s="383" t="n"/>
      <c r="D12" s="383" t="n"/>
      <c r="E12" s="383" t="n"/>
      <c r="F12" s="383" t="n"/>
      <c r="G12" s="383" t="n"/>
      <c r="H12" s="383" t="n"/>
      <c r="I12" s="383" t="n"/>
      <c r="J12" s="387" t="n"/>
      <c r="K12" s="387" t="n"/>
      <c r="L12" s="387" t="n"/>
      <c r="M12" s="387" t="n"/>
      <c r="N12" s="387" t="n"/>
      <c r="O12" s="387" t="n"/>
      <c r="P12" s="387" t="n"/>
      <c r="Q12" s="387" t="n"/>
      <c r="R12" s="387" t="n"/>
      <c r="S12" s="387" t="n"/>
      <c r="T12" s="387" t="n"/>
      <c r="U12" s="387" t="n"/>
      <c r="V12" s="387" t="n"/>
      <c r="W12" s="387" t="n"/>
      <c r="X12" s="387" t="n"/>
      <c r="Y12" s="387" t="n"/>
      <c r="Z12" s="387" t="n"/>
      <c r="AA12" s="387" t="n"/>
      <c r="AB12" s="387" t="n"/>
      <c r="AC12" s="387" t="n"/>
      <c r="AD12" s="387" t="n"/>
      <c r="AE12" s="387" t="n"/>
      <c r="AF12" s="387" t="n"/>
      <c r="AG12" s="387" t="n"/>
      <c r="AH12" s="387" t="n"/>
      <c r="AI12" s="383" t="n"/>
      <c r="AJ12" s="383" t="n"/>
    </row>
    <row r="13" ht="3" customHeight="1" s="1883">
      <c r="B13" s="383" t="n"/>
      <c r="C13" s="383" t="n"/>
      <c r="D13" s="383" t="n"/>
      <c r="E13" s="383" t="n"/>
      <c r="F13" s="383" t="n"/>
      <c r="G13" s="383" t="n"/>
      <c r="H13" s="383" t="n"/>
      <c r="I13" s="383" t="n"/>
      <c r="J13" s="383" t="n"/>
      <c r="K13" s="383" t="n"/>
      <c r="L13" s="383" t="n"/>
      <c r="M13" s="383" t="n"/>
      <c r="N13" s="383" t="n"/>
      <c r="O13" s="383" t="n"/>
      <c r="P13" s="383" t="n"/>
      <c r="Q13" s="383" t="n"/>
      <c r="R13" s="383" t="n"/>
      <c r="S13" s="383" t="n"/>
      <c r="T13" s="383" t="n"/>
      <c r="U13" s="383" t="n"/>
      <c r="V13" s="383" t="n"/>
      <c r="W13" s="383" t="n"/>
      <c r="X13" s="383" t="n"/>
      <c r="Y13" s="383" t="n"/>
      <c r="Z13" s="383" t="n"/>
      <c r="AA13" s="383" t="n"/>
      <c r="AB13" s="383" t="n"/>
      <c r="AC13" s="383" t="n"/>
      <c r="AD13" s="383" t="n"/>
      <c r="AE13" s="383" t="n"/>
      <c r="AF13" s="383" t="n"/>
      <c r="AG13" s="383" t="n"/>
      <c r="AH13" s="383" t="n"/>
      <c r="AI13" s="383" t="n"/>
      <c r="AJ13" s="383" t="n"/>
    </row>
    <row r="14" ht="15" customHeight="1" s="1883">
      <c r="B14" s="383" t="n"/>
      <c r="C14" s="383" t="n"/>
      <c r="D14" s="383" t="n"/>
      <c r="E14" s="383" t="n"/>
      <c r="F14" s="383" t="n"/>
      <c r="G14" s="383" t="n"/>
      <c r="H14" s="383" t="n"/>
      <c r="I14" s="383" t="n"/>
      <c r="J14" s="386" t="inlineStr">
        <is>
          <t>Month 1</t>
        </is>
      </c>
      <c r="K14" s="386" t="n"/>
      <c r="L14" s="386" t="inlineStr">
        <is>
          <t>Month 2</t>
        </is>
      </c>
      <c r="M14" s="386" t="n"/>
      <c r="N14" s="386" t="inlineStr">
        <is>
          <t>Month 3</t>
        </is>
      </c>
      <c r="O14" s="386" t="n"/>
      <c r="P14" s="386" t="inlineStr">
        <is>
          <t>Month 4</t>
        </is>
      </c>
      <c r="Q14" s="386" t="n"/>
      <c r="R14" s="386" t="inlineStr">
        <is>
          <t>Month 5</t>
        </is>
      </c>
      <c r="S14" s="386" t="n"/>
      <c r="T14" s="386" t="inlineStr">
        <is>
          <t>Month 6</t>
        </is>
      </c>
      <c r="U14" s="386" t="n"/>
      <c r="V14" s="386" t="inlineStr">
        <is>
          <t>Month 7</t>
        </is>
      </c>
      <c r="W14" s="386" t="n"/>
      <c r="X14" s="386" t="inlineStr">
        <is>
          <t>Month 8</t>
        </is>
      </c>
      <c r="Y14" s="386" t="n"/>
      <c r="Z14" s="386" t="inlineStr">
        <is>
          <t>Month 9</t>
        </is>
      </c>
      <c r="AA14" s="386" t="n"/>
      <c r="AB14" s="386" t="inlineStr">
        <is>
          <t>Month 10</t>
        </is>
      </c>
      <c r="AC14" s="386" t="n"/>
      <c r="AD14" s="386" t="inlineStr">
        <is>
          <t>Month 11</t>
        </is>
      </c>
      <c r="AE14" s="386" t="n"/>
      <c r="AF14" s="386" t="inlineStr">
        <is>
          <t>Month 12</t>
        </is>
      </c>
      <c r="AG14" s="383" t="n"/>
      <c r="AH14" s="386" t="inlineStr">
        <is>
          <t>Full-Year</t>
        </is>
      </c>
      <c r="AI14" s="383" t="n"/>
      <c r="AJ14" s="383" t="n"/>
    </row>
    <row r="17" ht="15" customHeight="1" s="1883">
      <c r="B17" s="383" t="inlineStr">
        <is>
          <t>Total Net Revenue, Hardware</t>
        </is>
      </c>
      <c r="C17" s="383" t="n"/>
      <c r="D17" s="383" t="n"/>
      <c r="E17" s="383" t="n"/>
      <c r="F17" s="383" t="n"/>
      <c r="G17" s="383" t="n"/>
      <c r="H17" s="383" t="n"/>
      <c r="I17" s="383" t="n"/>
      <c r="J17" s="395">
        <f>'3B. Tel. - Rev. Detail x Month'!J448</f>
        <v/>
      </c>
      <c r="K17" s="395" t="n"/>
      <c r="L17" s="395">
        <f>'3B. Tel. - Rev. Detail x Month'!K448</f>
        <v/>
      </c>
      <c r="M17" s="395" t="n"/>
      <c r="N17" s="395">
        <f>'3B. Tel. - Rev. Detail x Month'!L448</f>
        <v/>
      </c>
      <c r="O17" s="395" t="n"/>
      <c r="P17" s="395">
        <f>'3B. Tel. - Rev. Detail x Month'!M448</f>
        <v/>
      </c>
      <c r="Q17" s="395" t="n"/>
      <c r="R17" s="395">
        <f>'3B. Tel. - Rev. Detail x Month'!N448</f>
        <v/>
      </c>
      <c r="S17" s="395" t="n"/>
      <c r="T17" s="395">
        <f>'3B. Tel. - Rev. Detail x Month'!O448</f>
        <v/>
      </c>
      <c r="U17" s="395" t="n"/>
      <c r="V17" s="395">
        <f>'3B. Tel. - Rev. Detail x Month'!P448</f>
        <v/>
      </c>
      <c r="W17" s="395" t="n"/>
      <c r="X17" s="395">
        <f>'3B. Tel. - Rev. Detail x Month'!Q448</f>
        <v/>
      </c>
      <c r="Y17" s="395" t="n"/>
      <c r="Z17" s="395">
        <f>'3B. Tel. - Rev. Detail x Month'!R448</f>
        <v/>
      </c>
      <c r="AA17" s="395" t="n"/>
      <c r="AB17" s="395">
        <f>'3B. Tel. - Rev. Detail x Month'!S448</f>
        <v/>
      </c>
      <c r="AC17" s="395" t="n"/>
      <c r="AD17" s="395">
        <f>'3B. Tel. - Rev. Detail x Month'!T448</f>
        <v/>
      </c>
      <c r="AE17" s="395" t="n"/>
      <c r="AF17" s="395">
        <f>'3B. Tel. - Rev. Detail x Month'!U448</f>
        <v/>
      </c>
      <c r="AG17" s="383" t="n"/>
      <c r="AH17" s="396">
        <f>((J17)+(L17)+(N17)+(P17)+(R17)+(T17)+(V17)+(X17)+(Z17)+(AB17)+(AD17)+(AF17))</f>
        <v/>
      </c>
      <c r="AI17" s="383" t="n"/>
      <c r="AJ17" s="383" t="n"/>
    </row>
    <row r="18" ht="15" customHeight="1" s="1883">
      <c r="B18" s="383" t="inlineStr">
        <is>
          <t>Total Net Revenue, Market Research Services</t>
        </is>
      </c>
      <c r="C18" s="383" t="n"/>
      <c r="D18" s="383" t="n"/>
      <c r="E18" s="383" t="n"/>
      <c r="F18" s="383" t="n"/>
      <c r="G18" s="383" t="n"/>
      <c r="H18" s="383" t="n"/>
      <c r="I18" s="383" t="n"/>
      <c r="J18" s="462">
        <f>'3B. Tel. - Rev. Detail x Month'!J449</f>
        <v/>
      </c>
      <c r="K18" s="462" t="n"/>
      <c r="L18" s="462">
        <f>'3B. Tel. - Rev. Detail x Month'!K449</f>
        <v/>
      </c>
      <c r="M18" s="462" t="n"/>
      <c r="N18" s="462">
        <f>'3B. Tel. - Rev. Detail x Month'!L449</f>
        <v/>
      </c>
      <c r="O18" s="462" t="n"/>
      <c r="P18" s="462">
        <f>'3B. Tel. - Rev. Detail x Month'!M449</f>
        <v/>
      </c>
      <c r="Q18" s="462" t="n"/>
      <c r="R18" s="462">
        <f>'3B. Tel. - Rev. Detail x Month'!N449</f>
        <v/>
      </c>
      <c r="S18" s="462" t="n"/>
      <c r="T18" s="462">
        <f>'3B. Tel. - Rev. Detail x Month'!O449</f>
        <v/>
      </c>
      <c r="U18" s="462" t="n"/>
      <c r="V18" s="462">
        <f>'3B. Tel. - Rev. Detail x Month'!P449</f>
        <v/>
      </c>
      <c r="W18" s="462" t="n"/>
      <c r="X18" s="462">
        <f>'3B. Tel. - Rev. Detail x Month'!Q449</f>
        <v/>
      </c>
      <c r="Y18" s="462" t="n"/>
      <c r="Z18" s="462">
        <f>'3B. Tel. - Rev. Detail x Month'!R449</f>
        <v/>
      </c>
      <c r="AA18" s="462" t="n"/>
      <c r="AB18" s="462">
        <f>'3B. Tel. - Rev. Detail x Month'!S449</f>
        <v/>
      </c>
      <c r="AC18" s="462" t="n"/>
      <c r="AD18" s="462">
        <f>'3B. Tel. - Rev. Detail x Month'!T449</f>
        <v/>
      </c>
      <c r="AE18" s="462" t="n"/>
      <c r="AF18" s="462">
        <f>'3B. Tel. - Rev. Detail x Month'!U449</f>
        <v/>
      </c>
      <c r="AG18" s="383" t="n"/>
      <c r="AH18" s="494">
        <f>((J18)+(L18)+(N18)+(P18)+(R18)+(T18)+(V18)+(X18)+(Z18)+(AB18)+(AD18)+(AF18))</f>
        <v/>
      </c>
      <c r="AI18" s="383" t="n"/>
      <c r="AJ18" s="383" t="n"/>
    </row>
    <row r="19" ht="3" customHeight="1" s="1883">
      <c r="B19" s="383" t="n"/>
      <c r="C19" s="383" t="n"/>
      <c r="D19" s="383" t="n"/>
      <c r="E19" s="383" t="n"/>
      <c r="F19" s="383" t="n"/>
      <c r="G19" s="383" t="n"/>
      <c r="H19" s="383" t="n"/>
      <c r="I19" s="383" t="n"/>
      <c r="J19" s="387" t="n"/>
      <c r="K19" s="387" t="n"/>
      <c r="L19" s="387" t="n"/>
      <c r="M19" s="387" t="n"/>
      <c r="N19" s="387" t="n"/>
      <c r="O19" s="387" t="n"/>
      <c r="P19" s="387" t="n"/>
      <c r="Q19" s="387" t="n"/>
      <c r="R19" s="387" t="n"/>
      <c r="S19" s="387" t="n"/>
      <c r="T19" s="387" t="n"/>
      <c r="U19" s="387" t="n"/>
      <c r="V19" s="387" t="n"/>
      <c r="W19" s="387" t="n"/>
      <c r="X19" s="387" t="n"/>
      <c r="Y19" s="387" t="n"/>
      <c r="Z19" s="387" t="n"/>
      <c r="AA19" s="387" t="n"/>
      <c r="AB19" s="387" t="n"/>
      <c r="AC19" s="387" t="n"/>
      <c r="AD19" s="387" t="n"/>
      <c r="AE19" s="387" t="n"/>
      <c r="AF19" s="387" t="n"/>
      <c r="AG19" s="387" t="n"/>
      <c r="AH19" s="387" t="n"/>
      <c r="AI19" s="383" t="n"/>
      <c r="AJ19" s="383" t="n"/>
    </row>
    <row r="20" ht="3" customHeight="1" s="1883">
      <c r="B20" s="383" t="n"/>
      <c r="C20" s="383" t="n"/>
      <c r="D20" s="383" t="n"/>
      <c r="E20" s="383" t="n"/>
      <c r="F20" s="383" t="n"/>
      <c r="G20" s="383" t="n"/>
      <c r="H20" s="383" t="n"/>
      <c r="I20" s="383" t="n"/>
      <c r="J20" s="383" t="n"/>
      <c r="K20" s="383" t="n"/>
      <c r="L20" s="383" t="n"/>
      <c r="M20" s="383" t="n"/>
      <c r="N20" s="383" t="n"/>
      <c r="O20" s="383" t="n"/>
      <c r="P20" s="383" t="n"/>
      <c r="Q20" s="383" t="n"/>
      <c r="R20" s="383" t="n"/>
      <c r="S20" s="383" t="n"/>
      <c r="T20" s="383" t="n"/>
      <c r="U20" s="383" t="n"/>
      <c r="V20" s="383" t="n"/>
      <c r="W20" s="383" t="n"/>
      <c r="X20" s="383" t="n"/>
      <c r="Y20" s="383" t="n"/>
      <c r="Z20" s="383" t="n"/>
      <c r="AA20" s="383" t="n"/>
      <c r="AB20" s="383" t="n"/>
      <c r="AC20" s="383" t="n"/>
      <c r="AD20" s="383" t="n"/>
      <c r="AE20" s="383" t="n"/>
      <c r="AF20" s="383" t="n"/>
      <c r="AG20" s="383" t="n"/>
      <c r="AH20" s="383" t="n"/>
      <c r="AI20" s="383" t="n"/>
      <c r="AJ20" s="383" t="n"/>
    </row>
    <row r="21" ht="15" customHeight="1" s="1883">
      <c r="B21" s="383" t="n"/>
      <c r="C21" s="477" t="inlineStr">
        <is>
          <t>Total Net Revenue, Hardware + Market Research Services</t>
        </is>
      </c>
      <c r="D21" s="476" t="n"/>
      <c r="E21" s="476" t="n"/>
      <c r="F21" s="476" t="n"/>
      <c r="G21" s="476" t="n"/>
      <c r="H21" s="476" t="n"/>
      <c r="I21" s="476" t="n"/>
      <c r="J21" s="527">
        <f>SUM(J17:J18)</f>
        <v/>
      </c>
      <c r="K21" s="527" t="n"/>
      <c r="L21" s="527">
        <f>SUM(L17:L18)</f>
        <v/>
      </c>
      <c r="M21" s="527" t="n"/>
      <c r="N21" s="527">
        <f>SUM(N17:N18)</f>
        <v/>
      </c>
      <c r="O21" s="527" t="n"/>
      <c r="P21" s="527">
        <f>SUM(P17:P18)</f>
        <v/>
      </c>
      <c r="Q21" s="527" t="n"/>
      <c r="R21" s="527">
        <f>SUM(R17:R18)</f>
        <v/>
      </c>
      <c r="S21" s="527" t="n"/>
      <c r="T21" s="527">
        <f>SUM(T17:T18)</f>
        <v/>
      </c>
      <c r="U21" s="527" t="n"/>
      <c r="V21" s="527">
        <f>SUM(V17:V18)</f>
        <v/>
      </c>
      <c r="W21" s="527" t="n"/>
      <c r="X21" s="527">
        <f>SUM(X17:X18)</f>
        <v/>
      </c>
      <c r="Y21" s="527" t="n"/>
      <c r="Z21" s="527">
        <f>SUM(Z17:Z18)</f>
        <v/>
      </c>
      <c r="AA21" s="527" t="n"/>
      <c r="AB21" s="527">
        <f>SUM(AB17:AB18)</f>
        <v/>
      </c>
      <c r="AC21" s="527" t="n"/>
      <c r="AD21" s="527">
        <f>SUM(AD17:AD18)</f>
        <v/>
      </c>
      <c r="AE21" s="527" t="n"/>
      <c r="AF21" s="527">
        <f>SUM(AF17:AF18)</f>
        <v/>
      </c>
      <c r="AG21" s="527" t="n"/>
      <c r="AH21" s="518">
        <f>((J21)+(L21)+(N21)+(P21)+(R21)+(T21)+(V21)+(X21)+(Z21)+(AB21)+(AD21)+(AF21))</f>
        <v/>
      </c>
      <c r="AI21" s="383" t="n"/>
      <c r="AJ21" s="396">
        <f>'3B. Tel. - Rev. Detail x Month'!W452</f>
        <v/>
      </c>
    </row>
    <row r="22" ht="3" customHeight="1" s="1883">
      <c r="B22" s="383" t="n"/>
      <c r="C22" s="383" t="n"/>
      <c r="D22" s="383" t="n"/>
      <c r="E22" s="383" t="n"/>
      <c r="F22" s="383" t="n"/>
      <c r="G22" s="383" t="n"/>
      <c r="H22" s="383" t="n"/>
      <c r="I22" s="383" t="n"/>
      <c r="J22" s="387" t="n"/>
      <c r="K22" s="387" t="n"/>
      <c r="L22" s="387" t="n"/>
      <c r="M22" s="387" t="n"/>
      <c r="N22" s="387" t="n"/>
      <c r="O22" s="387" t="n"/>
      <c r="P22" s="387" t="n"/>
      <c r="Q22" s="387" t="n"/>
      <c r="R22" s="387" t="n"/>
      <c r="S22" s="387" t="n"/>
      <c r="T22" s="387" t="n"/>
      <c r="U22" s="387" t="n"/>
      <c r="V22" s="387" t="n"/>
      <c r="W22" s="387" t="n"/>
      <c r="X22" s="387" t="n"/>
      <c r="Y22" s="387" t="n"/>
      <c r="Z22" s="387" t="n"/>
      <c r="AA22" s="387" t="n"/>
      <c r="AB22" s="387" t="n"/>
      <c r="AC22" s="387" t="n"/>
      <c r="AD22" s="387" t="n"/>
      <c r="AE22" s="387" t="n"/>
      <c r="AF22" s="387" t="n"/>
      <c r="AG22" s="387" t="n"/>
      <c r="AH22" s="387" t="n"/>
      <c r="AI22" s="383" t="n"/>
      <c r="AJ22" s="387" t="n"/>
    </row>
    <row r="23" ht="3" customHeight="1" s="1883">
      <c r="B23" s="383" t="n"/>
      <c r="C23" s="383" t="n"/>
      <c r="D23" s="383" t="n"/>
      <c r="E23" s="383" t="n"/>
      <c r="F23" s="383" t="n"/>
      <c r="G23" s="383" t="n"/>
      <c r="H23" s="383" t="n"/>
      <c r="I23" s="383" t="n"/>
      <c r="J23" s="383" t="n"/>
      <c r="K23" s="383" t="n"/>
      <c r="L23" s="383" t="n"/>
      <c r="M23" s="383" t="n"/>
      <c r="N23" s="383" t="n"/>
      <c r="O23" s="383" t="n"/>
      <c r="P23" s="383" t="n"/>
      <c r="Q23" s="383" t="n"/>
      <c r="R23" s="383" t="n"/>
      <c r="S23" s="383" t="n"/>
      <c r="T23" s="383" t="n"/>
      <c r="U23" s="383" t="n"/>
      <c r="V23" s="383" t="n"/>
      <c r="W23" s="383" t="n"/>
      <c r="X23" s="383" t="n"/>
      <c r="Y23" s="383" t="n"/>
      <c r="Z23" s="383" t="n"/>
      <c r="AA23" s="383" t="n"/>
      <c r="AB23" s="383" t="n"/>
      <c r="AC23" s="383" t="n"/>
      <c r="AD23" s="383" t="n"/>
      <c r="AE23" s="383" t="n"/>
      <c r="AF23" s="383" t="n"/>
      <c r="AG23" s="383" t="n"/>
      <c r="AH23" s="383" t="n"/>
      <c r="AI23" s="383" t="n"/>
      <c r="AJ23" s="383" t="n"/>
    </row>
    <row r="24" ht="15" customHeight="1" s="1883">
      <c r="B24" s="383" t="n"/>
      <c r="C24" s="383" t="n"/>
      <c r="D24" s="383" t="n"/>
      <c r="E24" s="383" t="n"/>
      <c r="F24" s="383" t="n"/>
      <c r="G24" s="383" t="n"/>
      <c r="H24" s="383" t="n"/>
      <c r="I24" s="383" t="n"/>
      <c r="J24" s="383" t="n"/>
      <c r="K24" s="383" t="n"/>
      <c r="L24" s="383" t="n"/>
      <c r="M24" s="383" t="n"/>
      <c r="N24" s="383" t="n"/>
      <c r="O24" s="383" t="n"/>
      <c r="P24" s="383" t="n"/>
      <c r="Q24" s="383" t="n"/>
      <c r="R24" s="383" t="n"/>
      <c r="S24" s="383" t="n"/>
      <c r="T24" s="383" t="n"/>
      <c r="U24" s="383" t="n"/>
      <c r="V24" s="383" t="n"/>
      <c r="W24" s="383" t="n"/>
      <c r="X24" s="383" t="n"/>
      <c r="Y24" s="383" t="n"/>
      <c r="Z24" s="383" t="n"/>
      <c r="AA24" s="383" t="n"/>
      <c r="AB24" s="383" t="n"/>
      <c r="AC24" s="383" t="n"/>
      <c r="AD24" s="383" t="n"/>
      <c r="AE24" s="383" t="n"/>
      <c r="AF24" s="383" t="n"/>
      <c r="AG24" s="383" t="n"/>
      <c r="AH24" s="383" t="n"/>
      <c r="AI24" s="383" t="n"/>
      <c r="AJ24" s="383" t="n"/>
    </row>
    <row r="25" ht="15" customHeight="1" s="1883">
      <c r="B25" s="383" t="n"/>
      <c r="C25" s="383" t="n"/>
      <c r="D25" s="383" t="n"/>
      <c r="E25" s="383" t="n"/>
      <c r="F25" s="383" t="n"/>
      <c r="G25" s="383" t="n"/>
      <c r="H25" s="383" t="n"/>
      <c r="I25" s="383" t="n"/>
      <c r="J25" s="383" t="n"/>
      <c r="K25" s="383" t="n"/>
      <c r="L25" s="383" t="n"/>
      <c r="M25" s="383" t="n"/>
      <c r="N25" s="383" t="n"/>
      <c r="O25" s="383" t="n"/>
      <c r="P25" s="383" t="n"/>
      <c r="Q25" s="383" t="n"/>
      <c r="R25" s="383" t="n"/>
      <c r="S25" s="383" t="n"/>
      <c r="T25" s="383" t="n"/>
      <c r="U25" s="383" t="n"/>
      <c r="V25" s="383" t="n"/>
      <c r="W25" s="383" t="n"/>
      <c r="X25" s="383" t="n"/>
      <c r="Y25" s="383" t="n"/>
      <c r="Z25" s="383" t="n"/>
      <c r="AA25" s="383" t="n"/>
      <c r="AB25" s="383" t="n"/>
      <c r="AC25" s="383" t="n"/>
      <c r="AD25" s="383" t="n"/>
      <c r="AE25" s="383" t="n"/>
      <c r="AF25" s="383" t="n"/>
      <c r="AG25" s="383" t="n"/>
      <c r="AH25" s="383" t="n"/>
      <c r="AI25" s="383" t="n"/>
      <c r="AJ25" s="383" t="n"/>
    </row>
    <row r="26" ht="15" customHeight="1" s="1883">
      <c r="B26" s="383" t="n"/>
      <c r="C26" s="383" t="n"/>
      <c r="D26" s="383" t="n"/>
      <c r="E26" s="383" t="n"/>
      <c r="F26" s="383" t="n"/>
      <c r="G26" s="383" t="n"/>
      <c r="H26" s="383" t="n"/>
      <c r="I26" s="383" t="n"/>
      <c r="J26" s="1882" t="inlineStr">
        <is>
          <t>Year 2</t>
        </is>
      </c>
      <c r="AI26" s="383" t="n"/>
      <c r="AJ26" s="383" t="n"/>
    </row>
    <row r="27" ht="3" customHeight="1" s="1883">
      <c r="B27" s="383" t="n"/>
      <c r="C27" s="383" t="n"/>
      <c r="D27" s="383" t="n"/>
      <c r="E27" s="383" t="n"/>
      <c r="F27" s="383" t="n"/>
      <c r="G27" s="383" t="n"/>
      <c r="H27" s="383" t="n"/>
      <c r="I27" s="383" t="n"/>
      <c r="J27" s="387" t="n"/>
      <c r="K27" s="387" t="n"/>
      <c r="L27" s="387" t="n"/>
      <c r="M27" s="387" t="n"/>
      <c r="N27" s="387" t="n"/>
      <c r="O27" s="387" t="n"/>
      <c r="P27" s="387" t="n"/>
      <c r="Q27" s="387" t="n"/>
      <c r="R27" s="387" t="n"/>
      <c r="S27" s="387" t="n"/>
      <c r="T27" s="387" t="n"/>
      <c r="U27" s="387" t="n"/>
      <c r="V27" s="387" t="n"/>
      <c r="W27" s="387" t="n"/>
      <c r="X27" s="387" t="n"/>
      <c r="Y27" s="387" t="n"/>
      <c r="Z27" s="387" t="n"/>
      <c r="AA27" s="387" t="n"/>
      <c r="AB27" s="387" t="n"/>
      <c r="AC27" s="387" t="n"/>
      <c r="AD27" s="387" t="n"/>
      <c r="AE27" s="387" t="n"/>
      <c r="AF27" s="387" t="n"/>
      <c r="AG27" s="387" t="n"/>
      <c r="AH27" s="387" t="n"/>
      <c r="AI27" s="383" t="n"/>
      <c r="AJ27" s="383" t="n"/>
    </row>
    <row r="28" ht="3" customHeight="1" s="1883">
      <c r="B28" s="383" t="n"/>
      <c r="C28" s="383" t="n"/>
      <c r="D28" s="383" t="n"/>
      <c r="E28" s="383" t="n"/>
      <c r="F28" s="383" t="n"/>
      <c r="G28" s="383" t="n"/>
      <c r="H28" s="383" t="n"/>
      <c r="I28" s="383" t="n"/>
      <c r="J28" s="383" t="n"/>
      <c r="K28" s="383" t="n"/>
      <c r="L28" s="383" t="n"/>
      <c r="M28" s="383" t="n"/>
      <c r="N28" s="383" t="n"/>
      <c r="O28" s="383" t="n"/>
      <c r="P28" s="383" t="n"/>
      <c r="Q28" s="383" t="n"/>
      <c r="R28" s="383" t="n"/>
      <c r="S28" s="383" t="n"/>
      <c r="T28" s="383" t="n"/>
      <c r="U28" s="383" t="n"/>
      <c r="V28" s="383" t="n"/>
      <c r="W28" s="383" t="n"/>
      <c r="X28" s="383" t="n"/>
      <c r="Y28" s="383" t="n"/>
      <c r="Z28" s="383" t="n"/>
      <c r="AA28" s="383" t="n"/>
      <c r="AB28" s="383" t="n"/>
      <c r="AC28" s="383" t="n"/>
      <c r="AD28" s="383" t="n"/>
      <c r="AE28" s="383" t="n"/>
      <c r="AF28" s="383" t="n"/>
      <c r="AG28" s="383" t="n"/>
      <c r="AH28" s="383" t="n"/>
      <c r="AI28" s="383" t="n"/>
      <c r="AJ28" s="383" t="n"/>
    </row>
    <row r="29" ht="15" customHeight="1" s="1883">
      <c r="B29" s="383" t="n"/>
      <c r="C29" s="383" t="n"/>
      <c r="D29" s="383" t="n"/>
      <c r="E29" s="383" t="n"/>
      <c r="F29" s="383" t="n"/>
      <c r="G29" s="383" t="n"/>
      <c r="H29" s="383" t="n"/>
      <c r="I29" s="383" t="n"/>
      <c r="J29" s="386" t="inlineStr">
        <is>
          <t>Month 13</t>
        </is>
      </c>
      <c r="K29" s="386" t="n"/>
      <c r="L29" s="386" t="inlineStr">
        <is>
          <t>Month 14</t>
        </is>
      </c>
      <c r="M29" s="386" t="n"/>
      <c r="N29" s="386" t="inlineStr">
        <is>
          <t>Month 15</t>
        </is>
      </c>
      <c r="O29" s="386" t="n"/>
      <c r="P29" s="386" t="inlineStr">
        <is>
          <t>Month 16</t>
        </is>
      </c>
      <c r="Q29" s="386" t="n"/>
      <c r="R29" s="386" t="inlineStr">
        <is>
          <t>Month 17</t>
        </is>
      </c>
      <c r="S29" s="386" t="n"/>
      <c r="T29" s="386" t="inlineStr">
        <is>
          <t>Month 18</t>
        </is>
      </c>
      <c r="U29" s="386" t="n"/>
      <c r="V29" s="386" t="inlineStr">
        <is>
          <t>Month 19</t>
        </is>
      </c>
      <c r="W29" s="386" t="n"/>
      <c r="X29" s="386" t="inlineStr">
        <is>
          <t>Month 20</t>
        </is>
      </c>
      <c r="Y29" s="386" t="n"/>
      <c r="Z29" s="386" t="inlineStr">
        <is>
          <t>Month 21</t>
        </is>
      </c>
      <c r="AA29" s="386" t="n"/>
      <c r="AB29" s="386" t="inlineStr">
        <is>
          <t>Month 22</t>
        </is>
      </c>
      <c r="AC29" s="386" t="n"/>
      <c r="AD29" s="386" t="inlineStr">
        <is>
          <t>Month 23</t>
        </is>
      </c>
      <c r="AE29" s="386" t="n"/>
      <c r="AF29" s="386" t="inlineStr">
        <is>
          <t>Month 24</t>
        </is>
      </c>
      <c r="AG29" s="383" t="n"/>
      <c r="AH29" s="386" t="inlineStr">
        <is>
          <t>Full-Year</t>
        </is>
      </c>
      <c r="AI29" s="383" t="n"/>
      <c r="AJ29" s="383" t="n"/>
    </row>
    <row r="30" ht="3" customHeight="1" s="1883">
      <c r="B30" s="383" t="n"/>
      <c r="C30" s="383" t="n"/>
      <c r="D30" s="383" t="n"/>
      <c r="E30" s="383" t="n"/>
      <c r="F30" s="383" t="n"/>
      <c r="G30" s="383" t="n"/>
      <c r="H30" s="383" t="n"/>
      <c r="I30" s="383" t="n"/>
      <c r="J30" s="387" t="n"/>
      <c r="K30" s="387" t="n"/>
      <c r="L30" s="387" t="n"/>
      <c r="M30" s="387" t="n"/>
      <c r="N30" s="387" t="n"/>
      <c r="O30" s="387" t="n"/>
      <c r="P30" s="387" t="n"/>
      <c r="Q30" s="387" t="n"/>
      <c r="R30" s="387" t="n"/>
      <c r="S30" s="387" t="n"/>
      <c r="T30" s="387" t="n"/>
      <c r="U30" s="387" t="n"/>
      <c r="V30" s="387" t="n"/>
      <c r="W30" s="387" t="n"/>
      <c r="X30" s="387" t="n"/>
      <c r="Y30" s="387" t="n"/>
      <c r="Z30" s="387" t="n"/>
      <c r="AA30" s="387" t="n"/>
      <c r="AB30" s="387" t="n"/>
      <c r="AC30" s="387" t="n"/>
      <c r="AD30" s="387" t="n"/>
      <c r="AE30" s="387" t="n"/>
      <c r="AF30" s="387" t="n"/>
      <c r="AG30" s="383" t="n"/>
      <c r="AH30" s="387" t="n"/>
      <c r="AI30" s="383" t="n"/>
      <c r="AJ30" s="383" t="n"/>
    </row>
    <row r="31" ht="3" customHeight="1" s="1883">
      <c r="B31" s="383" t="n"/>
      <c r="C31" s="383" t="n"/>
      <c r="D31" s="383" t="n"/>
      <c r="E31" s="383" t="n"/>
      <c r="F31" s="383" t="n"/>
      <c r="G31" s="383" t="n"/>
      <c r="H31" s="383" t="n"/>
      <c r="I31" s="383" t="n"/>
      <c r="J31" s="383" t="n"/>
      <c r="K31" s="383" t="n"/>
      <c r="L31" s="383" t="n"/>
      <c r="M31" s="383" t="n"/>
      <c r="N31" s="383" t="n"/>
      <c r="O31" s="383" t="n"/>
      <c r="P31" s="383" t="n"/>
      <c r="Q31" s="383" t="n"/>
      <c r="R31" s="383" t="n"/>
      <c r="S31" s="383" t="n"/>
      <c r="T31" s="383" t="n"/>
      <c r="U31" s="383" t="n"/>
      <c r="V31" s="383" t="n"/>
      <c r="W31" s="383" t="n"/>
      <c r="X31" s="383" t="n"/>
      <c r="Y31" s="383" t="n"/>
      <c r="Z31" s="383" t="n"/>
      <c r="AA31" s="383" t="n"/>
      <c r="AB31" s="383" t="n"/>
      <c r="AC31" s="383" t="n"/>
      <c r="AD31" s="383" t="n"/>
      <c r="AE31" s="383" t="n"/>
      <c r="AF31" s="383" t="n"/>
      <c r="AG31" s="383" t="n"/>
      <c r="AH31" s="383" t="n"/>
      <c r="AI31" s="383" t="n"/>
      <c r="AJ31" s="383" t="n"/>
    </row>
    <row r="32" ht="15" customHeight="1" s="1883">
      <c r="B32" s="383" t="inlineStr">
        <is>
          <t>Total Net Revenue, Hardware</t>
        </is>
      </c>
      <c r="C32" s="383" t="n"/>
      <c r="D32" s="383" t="n"/>
      <c r="E32" s="383" t="n"/>
      <c r="F32" s="383" t="n"/>
      <c r="G32" s="383" t="n"/>
      <c r="H32" s="383" t="n"/>
      <c r="I32" s="383" t="n"/>
      <c r="J32" s="395">
        <f>'3B. Tel. - Rev. Detail x Month'!J463</f>
        <v/>
      </c>
      <c r="K32" s="395" t="n"/>
      <c r="L32" s="395">
        <f>'3B. Tel. - Rev. Detail x Month'!K463</f>
        <v/>
      </c>
      <c r="M32" s="395" t="n"/>
      <c r="N32" s="395">
        <f>'3B. Tel. - Rev. Detail x Month'!L463</f>
        <v/>
      </c>
      <c r="O32" s="395" t="n"/>
      <c r="P32" s="395">
        <f>'3B. Tel. - Rev. Detail x Month'!M463</f>
        <v/>
      </c>
      <c r="Q32" s="395" t="n"/>
      <c r="R32" s="395">
        <f>'3B. Tel. - Rev. Detail x Month'!N463</f>
        <v/>
      </c>
      <c r="S32" s="395" t="n"/>
      <c r="T32" s="395">
        <f>'3B. Tel. - Rev. Detail x Month'!O463</f>
        <v/>
      </c>
      <c r="U32" s="395" t="n"/>
      <c r="V32" s="395">
        <f>'3B. Tel. - Rev. Detail x Month'!P463</f>
        <v/>
      </c>
      <c r="W32" s="395" t="n"/>
      <c r="X32" s="395">
        <f>'3B. Tel. - Rev. Detail x Month'!Q463</f>
        <v/>
      </c>
      <c r="Y32" s="395" t="n"/>
      <c r="Z32" s="395">
        <f>'3B. Tel. - Rev. Detail x Month'!R463</f>
        <v/>
      </c>
      <c r="AA32" s="395" t="n"/>
      <c r="AB32" s="395">
        <f>'3B. Tel. - Rev. Detail x Month'!S463</f>
        <v/>
      </c>
      <c r="AC32" s="395" t="n"/>
      <c r="AD32" s="395">
        <f>'3B. Tel. - Rev. Detail x Month'!T463</f>
        <v/>
      </c>
      <c r="AE32" s="395" t="n"/>
      <c r="AF32" s="395">
        <f>'3B. Tel. - Rev. Detail x Month'!U463</f>
        <v/>
      </c>
      <c r="AG32" s="395" t="n"/>
      <c r="AH32" s="396">
        <f>((J32)+(L32)+(N32)+(P32)+(R32)+(T32)+(V32)+(X32)+(Z32)+(AB32)+(AD32)+(AF32))</f>
        <v/>
      </c>
      <c r="AI32" s="383" t="n"/>
      <c r="AJ32" s="383" t="n"/>
    </row>
    <row r="33" ht="15" customHeight="1" s="1883">
      <c r="B33" s="383" t="inlineStr">
        <is>
          <t>Total Net Revenue, Market Research Services</t>
        </is>
      </c>
      <c r="C33" s="383" t="n"/>
      <c r="D33" s="383" t="n"/>
      <c r="E33" s="383" t="n"/>
      <c r="F33" s="383" t="n"/>
      <c r="G33" s="383" t="n"/>
      <c r="H33" s="383" t="n"/>
      <c r="I33" s="383" t="n"/>
      <c r="J33" s="462">
        <f>'3B. Tel. - Rev. Detail x Month'!J464</f>
        <v/>
      </c>
      <c r="K33" s="462" t="n"/>
      <c r="L33" s="462">
        <f>'3B. Tel. - Rev. Detail x Month'!K464</f>
        <v/>
      </c>
      <c r="M33" s="462" t="n"/>
      <c r="N33" s="462">
        <f>'3B. Tel. - Rev. Detail x Month'!L464</f>
        <v/>
      </c>
      <c r="O33" s="462" t="n"/>
      <c r="P33" s="462">
        <f>'3B. Tel. - Rev. Detail x Month'!M464</f>
        <v/>
      </c>
      <c r="Q33" s="462" t="n"/>
      <c r="R33" s="462">
        <f>'3B. Tel. - Rev. Detail x Month'!N464</f>
        <v/>
      </c>
      <c r="S33" s="462" t="n"/>
      <c r="T33" s="462">
        <f>'3B. Tel. - Rev. Detail x Month'!O464</f>
        <v/>
      </c>
      <c r="U33" s="462" t="n"/>
      <c r="V33" s="462">
        <f>'3B. Tel. - Rev. Detail x Month'!P464</f>
        <v/>
      </c>
      <c r="W33" s="462" t="n"/>
      <c r="X33" s="462">
        <f>'3B. Tel. - Rev. Detail x Month'!Q464</f>
        <v/>
      </c>
      <c r="Y33" s="462" t="n"/>
      <c r="Z33" s="462">
        <f>'3B. Tel. - Rev. Detail x Month'!R464</f>
        <v/>
      </c>
      <c r="AA33" s="462" t="n"/>
      <c r="AB33" s="462">
        <f>'3B. Tel. - Rev. Detail x Month'!S464</f>
        <v/>
      </c>
      <c r="AC33" s="462" t="n"/>
      <c r="AD33" s="462">
        <f>'3B. Tel. - Rev. Detail x Month'!T464</f>
        <v/>
      </c>
      <c r="AE33" s="462" t="n"/>
      <c r="AF33" s="462">
        <f>'3B. Tel. - Rev. Detail x Month'!U464</f>
        <v/>
      </c>
      <c r="AG33" s="462" t="n"/>
      <c r="AH33" s="494">
        <f>((J33)+(L33)+(N33)+(P33)+(R33)+(T33)+(V33)+(X33)+(Z33)+(AB33)+(AD33)+(AF33))</f>
        <v/>
      </c>
      <c r="AI33" s="383" t="n"/>
      <c r="AJ33" s="383" t="n"/>
    </row>
    <row r="34" ht="3" customHeight="1" s="1883">
      <c r="B34" s="383" t="n"/>
      <c r="C34" s="383" t="n"/>
      <c r="D34" s="383" t="n"/>
      <c r="E34" s="383" t="n"/>
      <c r="F34" s="383" t="n"/>
      <c r="G34" s="383" t="n"/>
      <c r="H34" s="383" t="n"/>
      <c r="I34" s="383" t="n"/>
      <c r="J34" s="387" t="n"/>
      <c r="K34" s="387" t="n"/>
      <c r="L34" s="387" t="n"/>
      <c r="M34" s="387" t="n"/>
      <c r="N34" s="387" t="n"/>
      <c r="O34" s="387" t="n"/>
      <c r="P34" s="387" t="n"/>
      <c r="Q34" s="387" t="n"/>
      <c r="R34" s="387" t="n"/>
      <c r="S34" s="387" t="n"/>
      <c r="T34" s="387" t="n"/>
      <c r="U34" s="387" t="n"/>
      <c r="V34" s="387" t="n"/>
      <c r="W34" s="387" t="n"/>
      <c r="X34" s="387" t="n"/>
      <c r="Y34" s="387" t="n"/>
      <c r="Z34" s="387" t="n"/>
      <c r="AA34" s="387" t="n"/>
      <c r="AB34" s="387" t="n"/>
      <c r="AC34" s="387" t="n"/>
      <c r="AD34" s="387" t="n"/>
      <c r="AE34" s="387" t="n"/>
      <c r="AF34" s="387" t="n"/>
      <c r="AG34" s="387" t="n"/>
      <c r="AH34" s="387" t="n"/>
      <c r="AI34" s="383" t="n"/>
      <c r="AJ34" s="383" t="n"/>
    </row>
    <row r="35" ht="3" customHeight="1" s="1883">
      <c r="B35" s="383" t="n"/>
      <c r="C35" s="383" t="n"/>
      <c r="D35" s="383" t="n"/>
      <c r="E35" s="383" t="n"/>
      <c r="F35" s="383" t="n"/>
      <c r="G35" s="383" t="n"/>
      <c r="H35" s="383" t="n"/>
      <c r="I35" s="383" t="n"/>
      <c r="J35" s="383" t="n"/>
      <c r="K35" s="383" t="n"/>
      <c r="L35" s="383" t="n"/>
      <c r="M35" s="383" t="n"/>
      <c r="N35" s="383" t="n"/>
      <c r="O35" s="383" t="n"/>
      <c r="P35" s="383" t="n"/>
      <c r="Q35" s="383" t="n"/>
      <c r="R35" s="383" t="n"/>
      <c r="S35" s="383" t="n"/>
      <c r="T35" s="383" t="n"/>
      <c r="U35" s="383" t="n"/>
      <c r="V35" s="383" t="n"/>
      <c r="W35" s="383" t="n"/>
      <c r="X35" s="383" t="n"/>
      <c r="Y35" s="383" t="n"/>
      <c r="Z35" s="383" t="n"/>
      <c r="AA35" s="383" t="n"/>
      <c r="AB35" s="383" t="n"/>
      <c r="AC35" s="383" t="n"/>
      <c r="AD35" s="383" t="n"/>
      <c r="AE35" s="383" t="n"/>
      <c r="AF35" s="383" t="n"/>
      <c r="AG35" s="383" t="n"/>
      <c r="AH35" s="383" t="n"/>
      <c r="AI35" s="383" t="n"/>
      <c r="AJ35" s="383" t="n"/>
    </row>
    <row r="36" ht="15" customHeight="1" s="1883">
      <c r="B36" s="383" t="n"/>
      <c r="C36" s="477" t="inlineStr">
        <is>
          <t>Total Net Revenue, Hardware + Market Research Services</t>
        </is>
      </c>
      <c r="D36" s="476" t="n"/>
      <c r="E36" s="476" t="n"/>
      <c r="F36" s="476" t="n"/>
      <c r="G36" s="476" t="n"/>
      <c r="H36" s="476" t="n"/>
      <c r="I36" s="476" t="n"/>
      <c r="J36" s="527">
        <f>SUM(J32:J33)</f>
        <v/>
      </c>
      <c r="K36" s="527" t="n"/>
      <c r="L36" s="527">
        <f>SUM(L32:L33)</f>
        <v/>
      </c>
      <c r="M36" s="527" t="n"/>
      <c r="N36" s="527">
        <f>SUM(N32:N33)</f>
        <v/>
      </c>
      <c r="O36" s="527" t="n"/>
      <c r="P36" s="527">
        <f>SUM(P32:P33)</f>
        <v/>
      </c>
      <c r="Q36" s="527" t="n"/>
      <c r="R36" s="527">
        <f>SUM(R32:R33)</f>
        <v/>
      </c>
      <c r="S36" s="527" t="n"/>
      <c r="T36" s="527">
        <f>SUM(T32:T33)</f>
        <v/>
      </c>
      <c r="U36" s="527" t="n"/>
      <c r="V36" s="527">
        <f>SUM(V32:V33)</f>
        <v/>
      </c>
      <c r="W36" s="527" t="n"/>
      <c r="X36" s="527">
        <f>SUM(X32:X33)</f>
        <v/>
      </c>
      <c r="Y36" s="527" t="n"/>
      <c r="Z36" s="527">
        <f>SUM(Z32:Z33)</f>
        <v/>
      </c>
      <c r="AA36" s="527" t="n"/>
      <c r="AB36" s="527">
        <f>SUM(AB32:AB33)</f>
        <v/>
      </c>
      <c r="AC36" s="527" t="n"/>
      <c r="AD36" s="527">
        <f>SUM(AD32:AD33)</f>
        <v/>
      </c>
      <c r="AE36" s="527" t="n"/>
      <c r="AF36" s="527">
        <f>SUM(AF32:AF33)</f>
        <v/>
      </c>
      <c r="AG36" s="527" t="n"/>
      <c r="AH36" s="518">
        <f>((J36)+(L36)+(N36)+(P36)+(R36)+(T36)+(V36)+(X36)+(Z36)+(AB36)+(AD36)+(AF36))</f>
        <v/>
      </c>
      <c r="AI36" s="383" t="n"/>
      <c r="AJ36" s="396">
        <f>'3B. Tel. - Rev. Detail x Month'!W467</f>
        <v/>
      </c>
    </row>
    <row r="37" ht="3" customHeight="1" s="1883">
      <c r="B37" s="383" t="n"/>
      <c r="C37" s="383" t="n"/>
      <c r="D37" s="383" t="n"/>
      <c r="E37" s="383" t="n"/>
      <c r="F37" s="383" t="n"/>
      <c r="G37" s="383" t="n"/>
      <c r="H37" s="383" t="n"/>
      <c r="I37" s="383" t="n"/>
      <c r="J37" s="387" t="n"/>
      <c r="K37" s="387" t="n"/>
      <c r="L37" s="387" t="n"/>
      <c r="M37" s="387" t="n"/>
      <c r="N37" s="387" t="n"/>
      <c r="O37" s="387" t="n"/>
      <c r="P37" s="387" t="n"/>
      <c r="Q37" s="387" t="n"/>
      <c r="R37" s="387" t="n"/>
      <c r="S37" s="387" t="n"/>
      <c r="T37" s="387" t="n"/>
      <c r="U37" s="387" t="n"/>
      <c r="V37" s="387" t="n"/>
      <c r="W37" s="387" t="n"/>
      <c r="X37" s="387" t="n"/>
      <c r="Y37" s="387" t="n"/>
      <c r="Z37" s="387" t="n"/>
      <c r="AA37" s="387" t="n"/>
      <c r="AB37" s="387" t="n"/>
      <c r="AC37" s="387" t="n"/>
      <c r="AD37" s="387" t="n"/>
      <c r="AE37" s="387" t="n"/>
      <c r="AF37" s="387" t="n"/>
      <c r="AG37" s="387" t="n"/>
      <c r="AH37" s="387" t="n"/>
      <c r="AI37" s="383" t="n"/>
      <c r="AJ37" s="387" t="n"/>
    </row>
    <row r="38" ht="3" customHeight="1" s="1883">
      <c r="B38" s="383" t="n"/>
      <c r="C38" s="383" t="n"/>
      <c r="D38" s="383" t="n"/>
      <c r="E38" s="383" t="n"/>
      <c r="F38" s="383" t="n"/>
      <c r="G38" s="383" t="n"/>
      <c r="H38" s="383" t="n"/>
      <c r="I38" s="383" t="n"/>
      <c r="J38" s="383" t="n"/>
      <c r="K38" s="383" t="n"/>
      <c r="L38" s="383" t="n"/>
      <c r="M38" s="383" t="n"/>
      <c r="N38" s="383" t="n"/>
      <c r="O38" s="383" t="n"/>
      <c r="P38" s="383" t="n"/>
      <c r="Q38" s="383" t="n"/>
      <c r="R38" s="383" t="n"/>
      <c r="S38" s="383" t="n"/>
      <c r="T38" s="383" t="n"/>
      <c r="U38" s="383" t="n"/>
      <c r="V38" s="383" t="n"/>
      <c r="W38" s="383" t="n"/>
      <c r="X38" s="383" t="n"/>
      <c r="Y38" s="383" t="n"/>
      <c r="Z38" s="383" t="n"/>
      <c r="AA38" s="383" t="n"/>
      <c r="AB38" s="383" t="n"/>
      <c r="AC38" s="383" t="n"/>
      <c r="AD38" s="383" t="n"/>
      <c r="AE38" s="383" t="n"/>
      <c r="AF38" s="383" t="n"/>
      <c r="AG38" s="383" t="n"/>
      <c r="AH38" s="383" t="n"/>
      <c r="AI38" s="383" t="n"/>
      <c r="AJ38" s="383" t="n"/>
    </row>
    <row r="39" ht="15" customHeight="1" s="1883">
      <c r="B39" s="383" t="n"/>
      <c r="C39" s="383" t="n"/>
      <c r="D39" s="383" t="n"/>
      <c r="E39" s="383" t="n"/>
      <c r="F39" s="383" t="n"/>
      <c r="G39" s="383" t="n"/>
      <c r="H39" s="383" t="n"/>
      <c r="I39" s="383" t="n"/>
      <c r="J39" s="383" t="n"/>
      <c r="K39" s="383" t="n"/>
      <c r="L39" s="383" t="n"/>
      <c r="M39" s="383" t="n"/>
      <c r="N39" s="383" t="n"/>
      <c r="O39" s="383" t="n"/>
      <c r="P39" s="383" t="n"/>
      <c r="Q39" s="383" t="n"/>
      <c r="R39" s="383" t="n"/>
      <c r="S39" s="383" t="n"/>
      <c r="T39" s="383" t="n"/>
      <c r="U39" s="383" t="n"/>
      <c r="V39" s="383" t="n"/>
      <c r="W39" s="383" t="n"/>
      <c r="X39" s="383" t="n"/>
      <c r="Y39" s="383" t="n"/>
      <c r="Z39" s="383" t="n"/>
      <c r="AA39" s="383" t="n"/>
      <c r="AB39" s="383" t="n"/>
      <c r="AC39" s="383" t="n"/>
      <c r="AD39" s="383" t="n"/>
      <c r="AE39" s="383" t="n"/>
      <c r="AF39" s="383" t="n"/>
      <c r="AG39" s="383" t="n"/>
      <c r="AH39" s="383" t="n"/>
      <c r="AI39" s="383" t="n"/>
      <c r="AJ39" s="383" t="n"/>
    </row>
    <row r="40" ht="15" customHeight="1" s="1883">
      <c r="B40" s="383" t="n"/>
      <c r="C40" s="383" t="n"/>
      <c r="D40" s="383" t="n"/>
      <c r="E40" s="383" t="n"/>
      <c r="F40" s="383" t="n"/>
      <c r="G40" s="383" t="n"/>
      <c r="H40" s="383" t="n"/>
      <c r="I40" s="383" t="n"/>
      <c r="J40" s="383" t="n"/>
      <c r="K40" s="383" t="n"/>
      <c r="L40" s="383" t="n"/>
      <c r="M40" s="383" t="n"/>
      <c r="N40" s="383" t="n"/>
      <c r="O40" s="383" t="n"/>
      <c r="P40" s="383" t="n"/>
      <c r="Q40" s="383" t="n"/>
      <c r="R40" s="383" t="n"/>
      <c r="S40" s="383" t="n"/>
      <c r="T40" s="383" t="n"/>
      <c r="U40" s="383" t="n"/>
      <c r="V40" s="383" t="n"/>
      <c r="W40" s="383" t="n"/>
      <c r="X40" s="383" t="n"/>
      <c r="Y40" s="383" t="n"/>
      <c r="Z40" s="383" t="n"/>
      <c r="AA40" s="383" t="n"/>
      <c r="AB40" s="383" t="n"/>
      <c r="AC40" s="383" t="n"/>
      <c r="AD40" s="383" t="n"/>
      <c r="AE40" s="383" t="n"/>
      <c r="AF40" s="383" t="n"/>
      <c r="AG40" s="383" t="n"/>
      <c r="AH40" s="383" t="n"/>
      <c r="AI40" s="383" t="n"/>
      <c r="AJ40" s="383" t="n"/>
    </row>
    <row r="41" ht="15" customHeight="1" s="1883">
      <c r="B41" s="383" t="n"/>
      <c r="C41" s="383" t="n"/>
      <c r="D41" s="383" t="n"/>
      <c r="E41" s="383" t="n"/>
      <c r="F41" s="383" t="n"/>
      <c r="G41" s="383" t="n"/>
      <c r="H41" s="383" t="n"/>
      <c r="I41" s="383" t="n"/>
      <c r="J41" s="1882" t="inlineStr">
        <is>
          <t>Year 3</t>
        </is>
      </c>
      <c r="AI41" s="383" t="n"/>
      <c r="AJ41" s="383" t="n"/>
    </row>
    <row r="42" ht="3" customHeight="1" s="1883">
      <c r="B42" s="383" t="n"/>
      <c r="C42" s="383" t="n"/>
      <c r="D42" s="383" t="n"/>
      <c r="E42" s="383" t="n"/>
      <c r="F42" s="383" t="n"/>
      <c r="G42" s="383" t="n"/>
      <c r="H42" s="383" t="n"/>
      <c r="I42" s="383" t="n"/>
      <c r="J42" s="387" t="n"/>
      <c r="K42" s="387" t="n"/>
      <c r="L42" s="387" t="n"/>
      <c r="M42" s="387" t="n"/>
      <c r="N42" s="387" t="n"/>
      <c r="O42" s="387" t="n"/>
      <c r="P42" s="387" t="n"/>
      <c r="Q42" s="387" t="n"/>
      <c r="R42" s="387" t="n"/>
      <c r="S42" s="387" t="n"/>
      <c r="T42" s="387" t="n"/>
      <c r="U42" s="387" t="n"/>
      <c r="V42" s="387" t="n"/>
      <c r="W42" s="387" t="n"/>
      <c r="X42" s="387" t="n"/>
      <c r="Y42" s="387" t="n"/>
      <c r="Z42" s="387" t="n"/>
      <c r="AA42" s="387" t="n"/>
      <c r="AB42" s="387" t="n"/>
      <c r="AC42" s="387" t="n"/>
      <c r="AD42" s="387" t="n"/>
      <c r="AE42" s="387" t="n"/>
      <c r="AF42" s="387" t="n"/>
      <c r="AG42" s="387" t="n"/>
      <c r="AH42" s="387" t="n"/>
      <c r="AI42" s="383" t="n"/>
      <c r="AJ42" s="383" t="n"/>
    </row>
    <row r="43" ht="3" customHeight="1" s="1883">
      <c r="B43" s="383" t="n"/>
      <c r="C43" s="383" t="n"/>
      <c r="D43" s="383" t="n"/>
      <c r="E43" s="383" t="n"/>
      <c r="F43" s="383" t="n"/>
      <c r="G43" s="383" t="n"/>
      <c r="H43" s="383" t="n"/>
      <c r="I43" s="383" t="n"/>
      <c r="J43" s="383" t="n"/>
      <c r="K43" s="383" t="n"/>
      <c r="L43" s="383" t="n"/>
      <c r="M43" s="383" t="n"/>
      <c r="N43" s="383" t="n"/>
      <c r="O43" s="383" t="n"/>
      <c r="P43" s="383" t="n"/>
      <c r="Q43" s="383" t="n"/>
      <c r="R43" s="383" t="n"/>
      <c r="S43" s="383" t="n"/>
      <c r="T43" s="383" t="n"/>
      <c r="U43" s="383" t="n"/>
      <c r="V43" s="383" t="n"/>
      <c r="W43" s="383" t="n"/>
      <c r="X43" s="383" t="n"/>
      <c r="Y43" s="383" t="n"/>
      <c r="Z43" s="383" t="n"/>
      <c r="AA43" s="383" t="n"/>
      <c r="AB43" s="383" t="n"/>
      <c r="AC43" s="383" t="n"/>
      <c r="AD43" s="383" t="n"/>
      <c r="AE43" s="383" t="n"/>
      <c r="AF43" s="383" t="n"/>
      <c r="AG43" s="383" t="n"/>
      <c r="AH43" s="383" t="n"/>
      <c r="AI43" s="383" t="n"/>
      <c r="AJ43" s="383" t="n"/>
    </row>
    <row r="44" ht="15" customHeight="1" s="1883">
      <c r="B44" s="383" t="n"/>
      <c r="C44" s="383" t="n"/>
      <c r="D44" s="383" t="n"/>
      <c r="E44" s="383" t="n"/>
      <c r="F44" s="383" t="n"/>
      <c r="G44" s="383" t="n"/>
      <c r="H44" s="383" t="n"/>
      <c r="I44" s="383" t="n"/>
      <c r="J44" s="386" t="inlineStr">
        <is>
          <t>Month 25</t>
        </is>
      </c>
      <c r="K44" s="386" t="n"/>
      <c r="L44" s="386" t="inlineStr">
        <is>
          <t>Month 26</t>
        </is>
      </c>
      <c r="M44" s="386" t="n"/>
      <c r="N44" s="386" t="inlineStr">
        <is>
          <t>Month 27</t>
        </is>
      </c>
      <c r="O44" s="386" t="n"/>
      <c r="P44" s="386" t="inlineStr">
        <is>
          <t>Month 28</t>
        </is>
      </c>
      <c r="Q44" s="386" t="n"/>
      <c r="R44" s="386" t="inlineStr">
        <is>
          <t>Month 29</t>
        </is>
      </c>
      <c r="S44" s="386" t="n"/>
      <c r="T44" s="386" t="inlineStr">
        <is>
          <t>Month 30</t>
        </is>
      </c>
      <c r="U44" s="386" t="n"/>
      <c r="V44" s="386" t="inlineStr">
        <is>
          <t>Month 31</t>
        </is>
      </c>
      <c r="W44" s="386" t="n"/>
      <c r="X44" s="386" t="inlineStr">
        <is>
          <t>Month 32</t>
        </is>
      </c>
      <c r="Y44" s="386" t="n"/>
      <c r="Z44" s="386" t="inlineStr">
        <is>
          <t>Month 33</t>
        </is>
      </c>
      <c r="AA44" s="386" t="n"/>
      <c r="AB44" s="386" t="inlineStr">
        <is>
          <t>Month 34</t>
        </is>
      </c>
      <c r="AC44" s="386" t="n"/>
      <c r="AD44" s="386" t="inlineStr">
        <is>
          <t>Month 35</t>
        </is>
      </c>
      <c r="AE44" s="386" t="n"/>
      <c r="AF44" s="386" t="inlineStr">
        <is>
          <t>Month 36</t>
        </is>
      </c>
      <c r="AG44" s="383" t="n"/>
      <c r="AH44" s="386" t="inlineStr">
        <is>
          <t>Full-Year</t>
        </is>
      </c>
      <c r="AI44" s="383" t="n"/>
      <c r="AJ44" s="383" t="n"/>
    </row>
    <row r="45" ht="3" customHeight="1" s="1883">
      <c r="B45" s="383" t="n"/>
      <c r="C45" s="383" t="n"/>
      <c r="D45" s="383" t="n"/>
      <c r="E45" s="383" t="n"/>
      <c r="F45" s="383" t="n"/>
      <c r="G45" s="383" t="n"/>
      <c r="H45" s="383" t="n"/>
      <c r="I45" s="383" t="n"/>
      <c r="J45" s="387" t="n"/>
      <c r="K45" s="387" t="n"/>
      <c r="L45" s="387" t="n"/>
      <c r="M45" s="387" t="n"/>
      <c r="N45" s="387" t="n"/>
      <c r="O45" s="387" t="n"/>
      <c r="P45" s="387" t="n"/>
      <c r="Q45" s="387" t="n"/>
      <c r="R45" s="387" t="n"/>
      <c r="S45" s="387" t="n"/>
      <c r="T45" s="387" t="n"/>
      <c r="U45" s="387" t="n"/>
      <c r="V45" s="387" t="n"/>
      <c r="W45" s="387" t="n"/>
      <c r="X45" s="387" t="n"/>
      <c r="Y45" s="387" t="n"/>
      <c r="Z45" s="387" t="n"/>
      <c r="AA45" s="387" t="n"/>
      <c r="AB45" s="387" t="n"/>
      <c r="AC45" s="387" t="n"/>
      <c r="AD45" s="387" t="n"/>
      <c r="AE45" s="387" t="n"/>
      <c r="AF45" s="387" t="n"/>
      <c r="AG45" s="383" t="n"/>
      <c r="AH45" s="387" t="n"/>
      <c r="AI45" s="383" t="n"/>
      <c r="AJ45" s="383" t="n"/>
    </row>
    <row r="46" ht="3" customHeight="1" s="1883">
      <c r="B46" s="383" t="n"/>
      <c r="C46" s="383" t="n"/>
      <c r="D46" s="383" t="n"/>
      <c r="E46" s="383" t="n"/>
      <c r="F46" s="383" t="n"/>
      <c r="G46" s="383" t="n"/>
      <c r="H46" s="383" t="n"/>
      <c r="I46" s="383" t="n"/>
      <c r="J46" s="383" t="n"/>
      <c r="K46" s="383" t="n"/>
      <c r="L46" s="383" t="n"/>
      <c r="M46" s="383" t="n"/>
      <c r="N46" s="383" t="n"/>
      <c r="O46" s="383" t="n"/>
      <c r="P46" s="383" t="n"/>
      <c r="Q46" s="383" t="n"/>
      <c r="R46" s="383" t="n"/>
      <c r="S46" s="383" t="n"/>
      <c r="T46" s="383" t="n"/>
      <c r="U46" s="383" t="n"/>
      <c r="V46" s="383" t="n"/>
      <c r="W46" s="383" t="n"/>
      <c r="X46" s="383" t="n"/>
      <c r="Y46" s="383" t="n"/>
      <c r="Z46" s="383" t="n"/>
      <c r="AA46" s="383" t="n"/>
      <c r="AB46" s="383" t="n"/>
      <c r="AC46" s="383" t="n"/>
      <c r="AD46" s="383" t="n"/>
      <c r="AE46" s="383" t="n"/>
      <c r="AF46" s="383" t="n"/>
      <c r="AG46" s="383" t="n"/>
      <c r="AH46" s="383" t="n"/>
      <c r="AI46" s="383" t="n"/>
      <c r="AJ46" s="383" t="n"/>
    </row>
    <row r="47" ht="15" customHeight="1" s="1883">
      <c r="B47" s="383" t="inlineStr">
        <is>
          <t>Total Net Revenue, Hardware</t>
        </is>
      </c>
      <c r="C47" s="383" t="n"/>
      <c r="D47" s="383" t="n"/>
      <c r="E47" s="383" t="n"/>
      <c r="F47" s="383" t="n"/>
      <c r="G47" s="383" t="n"/>
      <c r="H47" s="383" t="n"/>
      <c r="I47" s="383" t="n"/>
      <c r="J47" s="395">
        <f>'3B. Tel. - Rev. Detail x Month'!J478</f>
        <v/>
      </c>
      <c r="K47" s="395" t="n"/>
      <c r="L47" s="395">
        <f>'3B. Tel. - Rev. Detail x Month'!K478</f>
        <v/>
      </c>
      <c r="M47" s="395" t="n"/>
      <c r="N47" s="395">
        <f>'3B. Tel. - Rev. Detail x Month'!L478</f>
        <v/>
      </c>
      <c r="O47" s="395" t="n"/>
      <c r="P47" s="395">
        <f>'3B. Tel. - Rev. Detail x Month'!M478</f>
        <v/>
      </c>
      <c r="Q47" s="395" t="n"/>
      <c r="R47" s="395">
        <f>'3B. Tel. - Rev. Detail x Month'!N478</f>
        <v/>
      </c>
      <c r="S47" s="395" t="n"/>
      <c r="T47" s="395">
        <f>'3B. Tel. - Rev. Detail x Month'!O478</f>
        <v/>
      </c>
      <c r="U47" s="395" t="n"/>
      <c r="V47" s="395">
        <f>'3B. Tel. - Rev. Detail x Month'!P478</f>
        <v/>
      </c>
      <c r="W47" s="395" t="n"/>
      <c r="X47" s="395">
        <f>'3B. Tel. - Rev. Detail x Month'!Q478</f>
        <v/>
      </c>
      <c r="Y47" s="395" t="n"/>
      <c r="Z47" s="395">
        <f>'3B. Tel. - Rev. Detail x Month'!R478</f>
        <v/>
      </c>
      <c r="AA47" s="395" t="n"/>
      <c r="AB47" s="395">
        <f>'3B. Tel. - Rev. Detail x Month'!S478</f>
        <v/>
      </c>
      <c r="AC47" s="395" t="n"/>
      <c r="AD47" s="395">
        <f>'3B. Tel. - Rev. Detail x Month'!T478</f>
        <v/>
      </c>
      <c r="AE47" s="395" t="n"/>
      <c r="AF47" s="395">
        <f>'3B. Tel. - Rev. Detail x Month'!U478</f>
        <v/>
      </c>
      <c r="AG47" s="383" t="n"/>
      <c r="AH47" s="396">
        <f>((J47)+(L47)+(N47)+(P47)+(R47)+(T47)+(V47)+(X47)+(Z47)+(AB47)+(AD47)+(AF47))</f>
        <v/>
      </c>
      <c r="AI47" s="383" t="n"/>
      <c r="AJ47" s="383" t="n"/>
    </row>
    <row r="48" ht="15" customHeight="1" s="1883">
      <c r="B48" s="383" t="inlineStr">
        <is>
          <t>Total Net Revenue, Market Research Services</t>
        </is>
      </c>
      <c r="C48" s="383" t="n"/>
      <c r="D48" s="383" t="n"/>
      <c r="E48" s="383" t="n"/>
      <c r="F48" s="383" t="n"/>
      <c r="G48" s="383" t="n"/>
      <c r="H48" s="383" t="n"/>
      <c r="I48" s="383" t="n"/>
      <c r="J48" s="462">
        <f>'3B. Tel. - Rev. Detail x Month'!J479</f>
        <v/>
      </c>
      <c r="K48" s="462" t="n"/>
      <c r="L48" s="462">
        <f>'3B. Tel. - Rev. Detail x Month'!K479</f>
        <v/>
      </c>
      <c r="M48" s="462" t="n"/>
      <c r="N48" s="462">
        <f>'3B. Tel. - Rev. Detail x Month'!L479</f>
        <v/>
      </c>
      <c r="O48" s="462" t="n"/>
      <c r="P48" s="462">
        <f>'3B. Tel. - Rev. Detail x Month'!M479</f>
        <v/>
      </c>
      <c r="Q48" s="462" t="n"/>
      <c r="R48" s="462">
        <f>'3B. Tel. - Rev. Detail x Month'!N479</f>
        <v/>
      </c>
      <c r="S48" s="462" t="n"/>
      <c r="T48" s="462">
        <f>'3B. Tel. - Rev. Detail x Month'!O479</f>
        <v/>
      </c>
      <c r="U48" s="462" t="n"/>
      <c r="V48" s="462">
        <f>'3B. Tel. - Rev. Detail x Month'!P479</f>
        <v/>
      </c>
      <c r="W48" s="462" t="n"/>
      <c r="X48" s="462">
        <f>'3B. Tel. - Rev. Detail x Month'!Q479</f>
        <v/>
      </c>
      <c r="Y48" s="462" t="n"/>
      <c r="Z48" s="462">
        <f>'3B. Tel. - Rev. Detail x Month'!R479</f>
        <v/>
      </c>
      <c r="AA48" s="462" t="n"/>
      <c r="AB48" s="462">
        <f>'3B. Tel. - Rev. Detail x Month'!S479</f>
        <v/>
      </c>
      <c r="AC48" s="462" t="n"/>
      <c r="AD48" s="462">
        <f>'3B. Tel. - Rev. Detail x Month'!T479</f>
        <v/>
      </c>
      <c r="AE48" s="462" t="n"/>
      <c r="AF48" s="462">
        <f>'3B. Tel. - Rev. Detail x Month'!U479</f>
        <v/>
      </c>
      <c r="AG48" s="383" t="n"/>
      <c r="AH48" s="494">
        <f>((J48)+(L48)+(N48)+(P48)+(R48)+(T48)+(V48)+(X48)+(Z48)+(AB48)+(AD48)+(AF48))</f>
        <v/>
      </c>
      <c r="AI48" s="383" t="n"/>
      <c r="AJ48" s="383" t="n"/>
    </row>
    <row r="51" ht="15" customHeight="1" s="1883">
      <c r="B51" s="383" t="n"/>
      <c r="C51" s="477" t="inlineStr">
        <is>
          <t>Total Net Revenue, Hardware + Market Research Services</t>
        </is>
      </c>
      <c r="D51" s="476" t="n"/>
      <c r="E51" s="476" t="n"/>
      <c r="F51" s="476" t="n"/>
      <c r="G51" s="476" t="n"/>
      <c r="H51" s="476" t="n"/>
      <c r="I51" s="476" t="n"/>
      <c r="J51" s="527">
        <f>SUM(J47:J48)</f>
        <v/>
      </c>
      <c r="K51" s="527" t="n"/>
      <c r="L51" s="527">
        <f>SUM(L47:L48)</f>
        <v/>
      </c>
      <c r="M51" s="527" t="n"/>
      <c r="N51" s="527">
        <f>SUM(N47:N48)</f>
        <v/>
      </c>
      <c r="O51" s="527" t="n"/>
      <c r="P51" s="527">
        <f>SUM(P47:P48)</f>
        <v/>
      </c>
      <c r="Q51" s="527" t="n"/>
      <c r="R51" s="527">
        <f>SUM(R47:R48)</f>
        <v/>
      </c>
      <c r="S51" s="527" t="n"/>
      <c r="T51" s="527">
        <f>SUM(T47:T48)</f>
        <v/>
      </c>
      <c r="U51" s="527" t="n"/>
      <c r="V51" s="527">
        <f>SUM(V47:V48)</f>
        <v/>
      </c>
      <c r="W51" s="527" t="n"/>
      <c r="X51" s="527">
        <f>SUM(X47:X48)</f>
        <v/>
      </c>
      <c r="Y51" s="527" t="n"/>
      <c r="Z51" s="527">
        <f>SUM(Z47:Z48)</f>
        <v/>
      </c>
      <c r="AA51" s="527" t="n"/>
      <c r="AB51" s="527">
        <f>SUM(AB47:AB48)</f>
        <v/>
      </c>
      <c r="AC51" s="527" t="n"/>
      <c r="AD51" s="527">
        <f>SUM(AD47:AD48)</f>
        <v/>
      </c>
      <c r="AE51" s="527" t="n"/>
      <c r="AF51" s="527">
        <f>SUM(AF47:AF48)</f>
        <v/>
      </c>
      <c r="AG51" s="476" t="n"/>
      <c r="AH51" s="518">
        <f>((J51)+(L51)+(N51)+(P51)+(R51)+(T51)+(V51)+(X51)+(Z51)+(AB51)+(AD51)+(AF51))</f>
        <v/>
      </c>
      <c r="AI51" s="383" t="n"/>
      <c r="AJ51" s="396">
        <f>'3B. Tel. - Rev. Detail x Month'!W482</f>
        <v/>
      </c>
    </row>
    <row r="52" ht="3" customHeight="1" s="1883">
      <c r="B52" s="383" t="n"/>
      <c r="C52" s="383" t="n"/>
      <c r="D52" s="383" t="n"/>
      <c r="E52" s="383" t="n"/>
      <c r="F52" s="383" t="n"/>
      <c r="G52" s="383" t="n"/>
      <c r="H52" s="383" t="n"/>
      <c r="I52" s="383" t="n"/>
      <c r="J52" s="387" t="n"/>
      <c r="K52" s="387" t="n"/>
      <c r="L52" s="387" t="n"/>
      <c r="M52" s="387" t="n"/>
      <c r="N52" s="387" t="n"/>
      <c r="O52" s="387" t="n"/>
      <c r="P52" s="387" t="n"/>
      <c r="Q52" s="387" t="n"/>
      <c r="R52" s="387" t="n"/>
      <c r="S52" s="387" t="n"/>
      <c r="T52" s="387" t="n"/>
      <c r="U52" s="387" t="n"/>
      <c r="V52" s="387" t="n"/>
      <c r="W52" s="387" t="n"/>
      <c r="X52" s="387" t="n"/>
      <c r="Y52" s="387" t="n"/>
      <c r="Z52" s="387" t="n"/>
      <c r="AA52" s="387" t="n"/>
      <c r="AB52" s="387" t="n"/>
      <c r="AC52" s="387" t="n"/>
      <c r="AD52" s="387" t="n"/>
      <c r="AE52" s="387" t="n"/>
      <c r="AF52" s="387" t="n"/>
      <c r="AG52" s="387" t="n"/>
      <c r="AH52" s="387" t="n"/>
      <c r="AI52" s="383" t="n"/>
      <c r="AJ52" s="387" t="n"/>
    </row>
    <row r="53" ht="3" customHeight="1" s="1883">
      <c r="B53" s="383" t="n"/>
      <c r="C53" s="383" t="n"/>
      <c r="D53" s="383" t="n"/>
      <c r="E53" s="383" t="n"/>
      <c r="F53" s="383" t="n"/>
      <c r="G53" s="383" t="n"/>
      <c r="H53" s="383" t="n"/>
      <c r="I53" s="383" t="n"/>
      <c r="J53" s="383" t="n"/>
      <c r="K53" s="383" t="n"/>
      <c r="L53" s="383" t="n"/>
      <c r="M53" s="383" t="n"/>
      <c r="N53" s="383" t="n"/>
      <c r="O53" s="383" t="n"/>
      <c r="P53" s="383" t="n"/>
      <c r="Q53" s="383" t="n"/>
      <c r="R53" s="383" t="n"/>
      <c r="S53" s="383" t="n"/>
      <c r="T53" s="383" t="n"/>
      <c r="U53" s="383" t="n"/>
      <c r="V53" s="383" t="n"/>
      <c r="W53" s="383" t="n"/>
      <c r="X53" s="383" t="n"/>
      <c r="Y53" s="383" t="n"/>
      <c r="Z53" s="383" t="n"/>
      <c r="AA53" s="383" t="n"/>
      <c r="AB53" s="383" t="n"/>
      <c r="AC53" s="383" t="n"/>
      <c r="AD53" s="383" t="n"/>
      <c r="AE53" s="383" t="n"/>
      <c r="AF53" s="383" t="n"/>
      <c r="AG53" s="383" t="n"/>
      <c r="AH53" s="383" t="n"/>
      <c r="AI53" s="383" t="n"/>
      <c r="AJ53" s="383" t="n"/>
    </row>
    <row r="54" ht="15" customHeight="1" s="1883">
      <c r="B54" s="383" t="n"/>
      <c r="C54" s="383" t="n"/>
      <c r="D54" s="383" t="n"/>
      <c r="E54" s="383" t="n"/>
      <c r="F54" s="383" t="n"/>
      <c r="G54" s="383" t="n"/>
      <c r="H54" s="383" t="n"/>
      <c r="I54" s="383" t="n"/>
      <c r="J54" s="383" t="n"/>
      <c r="K54" s="383" t="n"/>
      <c r="L54" s="383" t="n"/>
      <c r="M54" s="383" t="n"/>
      <c r="N54" s="383" t="n"/>
      <c r="O54" s="383" t="n"/>
      <c r="P54" s="383" t="n"/>
      <c r="Q54" s="383" t="n"/>
      <c r="R54" s="383" t="n"/>
      <c r="S54" s="383" t="n"/>
      <c r="T54" s="383" t="n"/>
      <c r="U54" s="383" t="n"/>
      <c r="V54" s="383" t="n"/>
      <c r="W54" s="383" t="n"/>
      <c r="X54" s="383" t="n"/>
      <c r="Y54" s="383" t="n"/>
      <c r="Z54" s="383" t="n"/>
      <c r="AA54" s="383" t="n"/>
      <c r="AB54" s="383" t="n"/>
      <c r="AC54" s="383" t="n"/>
      <c r="AD54" s="383" t="n"/>
      <c r="AE54" s="383" t="n"/>
      <c r="AF54" s="383" t="n"/>
      <c r="AG54" s="383" t="n"/>
      <c r="AH54" s="383" t="n"/>
      <c r="AI54" s="383" t="n"/>
      <c r="AJ54" s="383" t="n"/>
    </row>
    <row r="55" ht="15" customHeight="1" s="1883">
      <c r="B55" s="383" t="n"/>
      <c r="C55" s="383" t="n"/>
      <c r="D55" s="383" t="n"/>
      <c r="E55" s="383" t="n"/>
      <c r="F55" s="383" t="n"/>
      <c r="G55" s="383" t="n"/>
      <c r="H55" s="383" t="n"/>
      <c r="I55" s="383" t="n"/>
      <c r="J55" s="383" t="n"/>
      <c r="K55" s="383" t="n"/>
      <c r="L55" s="383" t="n"/>
      <c r="M55" s="383" t="n"/>
      <c r="N55" s="383" t="n"/>
      <c r="O55" s="383" t="n"/>
      <c r="P55" s="383" t="n"/>
      <c r="Q55" s="383" t="n"/>
      <c r="R55" s="383" t="n"/>
      <c r="S55" s="383" t="n"/>
      <c r="T55" s="383" t="n"/>
      <c r="U55" s="383" t="n"/>
      <c r="V55" s="383" t="n"/>
      <c r="W55" s="383" t="n"/>
      <c r="X55" s="383" t="n"/>
      <c r="Y55" s="383" t="n"/>
      <c r="Z55" s="383" t="n"/>
      <c r="AA55" s="383" t="n"/>
      <c r="AB55" s="383" t="n"/>
      <c r="AC55" s="383" t="n"/>
      <c r="AD55" s="383" t="n"/>
      <c r="AE55" s="383" t="n"/>
      <c r="AF55" s="383" t="n"/>
      <c r="AG55" s="383" t="n"/>
      <c r="AH55" s="383" t="n"/>
      <c r="AI55" s="383" t="n"/>
      <c r="AJ55" s="383" t="n"/>
    </row>
    <row r="56" ht="15" customHeight="1" s="1883">
      <c r="B56" s="383" t="n"/>
      <c r="C56" s="383" t="n"/>
      <c r="D56" s="383" t="n"/>
      <c r="E56" s="383" t="n"/>
      <c r="F56" s="383" t="n"/>
      <c r="G56" s="383" t="n"/>
      <c r="H56" s="383" t="n"/>
      <c r="I56" s="383" t="n"/>
      <c r="J56" s="1882" t="inlineStr">
        <is>
          <t>Year 4</t>
        </is>
      </c>
      <c r="AI56" s="383" t="n"/>
      <c r="AJ56" s="383" t="n"/>
    </row>
    <row r="57" ht="3" customHeight="1" s="1883">
      <c r="B57" s="383" t="n"/>
      <c r="C57" s="383" t="n"/>
      <c r="D57" s="383" t="n"/>
      <c r="E57" s="383" t="n"/>
      <c r="F57" s="383" t="n"/>
      <c r="G57" s="383" t="n"/>
      <c r="H57" s="383" t="n"/>
      <c r="I57" s="383" t="n"/>
      <c r="J57" s="387" t="n"/>
      <c r="K57" s="387" t="n"/>
      <c r="L57" s="387" t="n"/>
      <c r="M57" s="387" t="n"/>
      <c r="N57" s="387" t="n"/>
      <c r="O57" s="387" t="n"/>
      <c r="P57" s="387" t="n"/>
      <c r="Q57" s="387" t="n"/>
      <c r="R57" s="387" t="n"/>
      <c r="S57" s="387" t="n"/>
      <c r="T57" s="387" t="n"/>
      <c r="U57" s="387" t="n"/>
      <c r="V57" s="387" t="n"/>
      <c r="W57" s="387" t="n"/>
      <c r="X57" s="387" t="n"/>
      <c r="Y57" s="387" t="n"/>
      <c r="Z57" s="387" t="n"/>
      <c r="AA57" s="387" t="n"/>
      <c r="AB57" s="387" t="n"/>
      <c r="AC57" s="387" t="n"/>
      <c r="AD57" s="387" t="n"/>
      <c r="AE57" s="387" t="n"/>
      <c r="AF57" s="387" t="n"/>
      <c r="AG57" s="387" t="n"/>
      <c r="AH57" s="387" t="n"/>
      <c r="AI57" s="383" t="n"/>
      <c r="AJ57" s="383" t="n"/>
    </row>
    <row r="58" ht="3" customHeight="1" s="1883">
      <c r="B58" s="383" t="n"/>
      <c r="C58" s="383" t="n"/>
      <c r="D58" s="383" t="n"/>
      <c r="E58" s="383" t="n"/>
      <c r="F58" s="383" t="n"/>
      <c r="G58" s="383" t="n"/>
      <c r="H58" s="383" t="n"/>
      <c r="I58" s="383" t="n"/>
      <c r="J58" s="383" t="n"/>
      <c r="K58" s="383" t="n"/>
      <c r="L58" s="383" t="n"/>
      <c r="M58" s="383" t="n"/>
      <c r="N58" s="383" t="n"/>
      <c r="O58" s="383" t="n"/>
      <c r="P58" s="383" t="n"/>
      <c r="Q58" s="383" t="n"/>
      <c r="R58" s="383" t="n"/>
      <c r="S58" s="383" t="n"/>
      <c r="T58" s="383" t="n"/>
      <c r="U58" s="383" t="n"/>
      <c r="V58" s="383" t="n"/>
      <c r="W58" s="383" t="n"/>
      <c r="X58" s="383" t="n"/>
      <c r="Y58" s="383" t="n"/>
      <c r="Z58" s="383" t="n"/>
      <c r="AA58" s="383" t="n"/>
      <c r="AB58" s="383" t="n"/>
      <c r="AC58" s="383" t="n"/>
      <c r="AD58" s="383" t="n"/>
      <c r="AE58" s="383" t="n"/>
      <c r="AF58" s="383" t="n"/>
      <c r="AG58" s="383" t="n"/>
      <c r="AH58" s="383" t="n"/>
      <c r="AI58" s="383" t="n"/>
      <c r="AJ58" s="383" t="n"/>
    </row>
    <row r="59" ht="15" customHeight="1" s="1883">
      <c r="B59" s="383" t="n"/>
      <c r="C59" s="383" t="n"/>
      <c r="D59" s="383" t="n"/>
      <c r="E59" s="383" t="n"/>
      <c r="F59" s="383" t="n"/>
      <c r="G59" s="383" t="n"/>
      <c r="H59" s="383" t="n"/>
      <c r="I59" s="383" t="n"/>
      <c r="J59" s="386" t="inlineStr">
        <is>
          <t>Month 37</t>
        </is>
      </c>
      <c r="K59" s="386" t="n"/>
      <c r="L59" s="386" t="inlineStr">
        <is>
          <t>Month 38</t>
        </is>
      </c>
      <c r="M59" s="386" t="n"/>
      <c r="N59" s="386" t="inlineStr">
        <is>
          <t>Month 39</t>
        </is>
      </c>
      <c r="O59" s="386" t="n"/>
      <c r="P59" s="386" t="inlineStr">
        <is>
          <t>Month 40</t>
        </is>
      </c>
      <c r="Q59" s="386" t="n"/>
      <c r="R59" s="386" t="inlineStr">
        <is>
          <t>Month 41</t>
        </is>
      </c>
      <c r="S59" s="386" t="n"/>
      <c r="T59" s="386" t="inlineStr">
        <is>
          <t>Month 42</t>
        </is>
      </c>
      <c r="U59" s="386" t="n"/>
      <c r="V59" s="386" t="inlineStr">
        <is>
          <t>Month 43</t>
        </is>
      </c>
      <c r="W59" s="386" t="n"/>
      <c r="X59" s="386" t="inlineStr">
        <is>
          <t>Month 44</t>
        </is>
      </c>
      <c r="Y59" s="386" t="n"/>
      <c r="Z59" s="386" t="inlineStr">
        <is>
          <t>Month 45</t>
        </is>
      </c>
      <c r="AA59" s="386" t="n"/>
      <c r="AB59" s="386" t="inlineStr">
        <is>
          <t>Month 46</t>
        </is>
      </c>
      <c r="AC59" s="386" t="n"/>
      <c r="AD59" s="386" t="inlineStr">
        <is>
          <t>Month 47</t>
        </is>
      </c>
      <c r="AE59" s="386" t="n"/>
      <c r="AF59" s="386" t="inlineStr">
        <is>
          <t>Month 48</t>
        </is>
      </c>
      <c r="AG59" s="383" t="n"/>
      <c r="AH59" s="386" t="inlineStr">
        <is>
          <t>Full-Year</t>
        </is>
      </c>
      <c r="AI59" s="383" t="n"/>
      <c r="AJ59" s="383" t="n"/>
    </row>
    <row r="60" ht="3" customHeight="1" s="1883">
      <c r="B60" s="383" t="n"/>
      <c r="C60" s="383" t="n"/>
      <c r="D60" s="383" t="n"/>
      <c r="E60" s="383" t="n"/>
      <c r="F60" s="383" t="n"/>
      <c r="G60" s="383" t="n"/>
      <c r="H60" s="383" t="n"/>
      <c r="I60" s="383" t="n"/>
      <c r="J60" s="387" t="n"/>
      <c r="K60" s="387" t="n"/>
      <c r="L60" s="387" t="n"/>
      <c r="M60" s="387" t="n"/>
      <c r="N60" s="387" t="n"/>
      <c r="O60" s="387" t="n"/>
      <c r="P60" s="387" t="n"/>
      <c r="Q60" s="387" t="n"/>
      <c r="R60" s="387" t="n"/>
      <c r="S60" s="387" t="n"/>
      <c r="T60" s="387" t="n"/>
      <c r="U60" s="387" t="n"/>
      <c r="V60" s="387" t="n"/>
      <c r="W60" s="387" t="n"/>
      <c r="X60" s="387" t="n"/>
      <c r="Y60" s="387" t="n"/>
      <c r="Z60" s="387" t="n"/>
      <c r="AA60" s="387" t="n"/>
      <c r="AB60" s="387" t="n"/>
      <c r="AC60" s="387" t="n"/>
      <c r="AD60" s="387" t="n"/>
      <c r="AE60" s="387" t="n"/>
      <c r="AF60" s="387" t="n"/>
      <c r="AG60" s="383" t="n"/>
      <c r="AH60" s="387" t="n"/>
      <c r="AI60" s="383" t="n"/>
      <c r="AJ60" s="383" t="n"/>
    </row>
    <row r="61" ht="3" customHeight="1" s="1883">
      <c r="B61" s="383" t="n"/>
      <c r="C61" s="383" t="n"/>
      <c r="D61" s="383" t="n"/>
      <c r="E61" s="383" t="n"/>
      <c r="F61" s="383" t="n"/>
      <c r="G61" s="383" t="n"/>
      <c r="H61" s="383" t="n"/>
      <c r="I61" s="383" t="n"/>
      <c r="J61" s="383" t="n"/>
      <c r="K61" s="383" t="n"/>
      <c r="L61" s="383" t="n"/>
      <c r="M61" s="383" t="n"/>
      <c r="N61" s="383" t="n"/>
      <c r="O61" s="383" t="n"/>
      <c r="P61" s="383" t="n"/>
      <c r="Q61" s="383" t="n"/>
      <c r="R61" s="383" t="n"/>
      <c r="S61" s="383" t="n"/>
      <c r="T61" s="383" t="n"/>
      <c r="U61" s="383" t="n"/>
      <c r="V61" s="383" t="n"/>
      <c r="W61" s="383" t="n"/>
      <c r="X61" s="383" t="n"/>
      <c r="Y61" s="383" t="n"/>
      <c r="Z61" s="383" t="n"/>
      <c r="AA61" s="383" t="n"/>
      <c r="AB61" s="383" t="n"/>
      <c r="AC61" s="383" t="n"/>
      <c r="AD61" s="383" t="n"/>
      <c r="AE61" s="383" t="n"/>
      <c r="AF61" s="383" t="n"/>
      <c r="AG61" s="383" t="n"/>
      <c r="AH61" s="383" t="n"/>
      <c r="AI61" s="383" t="n"/>
      <c r="AJ61" s="383" t="n"/>
    </row>
    <row r="62" ht="15" customHeight="1" s="1883">
      <c r="B62" s="383" t="inlineStr">
        <is>
          <t>Total Net Revenue, Hardware</t>
        </is>
      </c>
      <c r="C62" s="383" t="n"/>
      <c r="D62" s="383" t="n"/>
      <c r="E62" s="383" t="n"/>
      <c r="F62" s="383" t="n"/>
      <c r="G62" s="383" t="n"/>
      <c r="H62" s="383" t="n"/>
      <c r="I62" s="383" t="n"/>
      <c r="J62" s="395">
        <f>'3B. Tel. - Rev. Detail x Month'!J493</f>
        <v/>
      </c>
      <c r="K62" s="395" t="n"/>
      <c r="L62" s="395">
        <f>'3B. Tel. - Rev. Detail x Month'!K493</f>
        <v/>
      </c>
      <c r="M62" s="395" t="n"/>
      <c r="N62" s="395">
        <f>'3B. Tel. - Rev. Detail x Month'!L493</f>
        <v/>
      </c>
      <c r="O62" s="395" t="n"/>
      <c r="P62" s="395">
        <f>'3B. Tel. - Rev. Detail x Month'!M493</f>
        <v/>
      </c>
      <c r="Q62" s="395" t="n"/>
      <c r="R62" s="395">
        <f>'3B. Tel. - Rev. Detail x Month'!N493</f>
        <v/>
      </c>
      <c r="S62" s="395" t="n"/>
      <c r="T62" s="395">
        <f>'3B. Tel. - Rev. Detail x Month'!O493</f>
        <v/>
      </c>
      <c r="U62" s="395" t="n"/>
      <c r="V62" s="395">
        <f>'3B. Tel. - Rev. Detail x Month'!P493</f>
        <v/>
      </c>
      <c r="W62" s="395" t="n"/>
      <c r="X62" s="395">
        <f>'3B. Tel. - Rev. Detail x Month'!Q493</f>
        <v/>
      </c>
      <c r="Y62" s="395" t="n"/>
      <c r="Z62" s="395">
        <f>'3B. Tel. - Rev. Detail x Month'!R493</f>
        <v/>
      </c>
      <c r="AA62" s="395" t="n"/>
      <c r="AB62" s="395">
        <f>'3B. Tel. - Rev. Detail x Month'!S493</f>
        <v/>
      </c>
      <c r="AC62" s="395" t="n"/>
      <c r="AD62" s="395">
        <f>'3B. Tel. - Rev. Detail x Month'!T493</f>
        <v/>
      </c>
      <c r="AE62" s="395" t="n"/>
      <c r="AF62" s="395">
        <f>'3B. Tel. - Rev. Detail x Month'!U493</f>
        <v/>
      </c>
      <c r="AG62" s="383" t="n"/>
      <c r="AH62" s="396">
        <f>((J62)+(L62)+(N62)+(P62)+(R62)+(T62)+(V62)+(X62)+(Z62)+(AB62)+(AD62)+(AF62))</f>
        <v/>
      </c>
      <c r="AI62" s="383" t="n"/>
      <c r="AJ62" s="383" t="n"/>
    </row>
    <row r="63" ht="15" customHeight="1" s="1883">
      <c r="B63" s="383" t="inlineStr">
        <is>
          <t>Total Net Revenue, Market Research Services</t>
        </is>
      </c>
      <c r="C63" s="383" t="n"/>
      <c r="D63" s="383" t="n"/>
      <c r="E63" s="383" t="n"/>
      <c r="F63" s="383" t="n"/>
      <c r="G63" s="383" t="n"/>
      <c r="H63" s="383" t="n"/>
      <c r="I63" s="383" t="n"/>
      <c r="J63" s="462">
        <f>'3B. Tel. - Rev. Detail x Month'!J494</f>
        <v/>
      </c>
      <c r="K63" s="462" t="n"/>
      <c r="L63" s="462">
        <f>'3B. Tel. - Rev. Detail x Month'!K494</f>
        <v/>
      </c>
      <c r="M63" s="462" t="n"/>
      <c r="N63" s="462">
        <f>'3B. Tel. - Rev. Detail x Month'!L494</f>
        <v/>
      </c>
      <c r="O63" s="462" t="n"/>
      <c r="P63" s="462">
        <f>'3B. Tel. - Rev. Detail x Month'!M494</f>
        <v/>
      </c>
      <c r="Q63" s="462" t="n"/>
      <c r="R63" s="462">
        <f>'3B. Tel. - Rev. Detail x Month'!N494</f>
        <v/>
      </c>
      <c r="S63" s="462" t="n"/>
      <c r="T63" s="462">
        <f>'3B. Tel. - Rev. Detail x Month'!O494</f>
        <v/>
      </c>
      <c r="U63" s="462" t="n"/>
      <c r="V63" s="462">
        <f>'3B. Tel. - Rev. Detail x Month'!P494</f>
        <v/>
      </c>
      <c r="W63" s="462" t="n"/>
      <c r="X63" s="462">
        <f>'3B. Tel. - Rev. Detail x Month'!Q494</f>
        <v/>
      </c>
      <c r="Y63" s="462" t="n"/>
      <c r="Z63" s="462">
        <f>'3B. Tel. - Rev. Detail x Month'!R494</f>
        <v/>
      </c>
      <c r="AA63" s="462" t="n"/>
      <c r="AB63" s="462">
        <f>'3B. Tel. - Rev. Detail x Month'!S494</f>
        <v/>
      </c>
      <c r="AC63" s="462" t="n"/>
      <c r="AD63" s="462">
        <f>'3B. Tel. - Rev. Detail x Month'!T494</f>
        <v/>
      </c>
      <c r="AE63" s="462" t="n"/>
      <c r="AF63" s="462">
        <f>'3B. Tel. - Rev. Detail x Month'!U494</f>
        <v/>
      </c>
      <c r="AG63" s="383" t="n"/>
      <c r="AH63" s="494">
        <f>((J63)+(L63)+(N63)+(P63)+(R63)+(T63)+(V63)+(X63)+(Z63)+(AB63)+(AD63)+(AF63))</f>
        <v/>
      </c>
      <c r="AI63" s="383" t="n"/>
      <c r="AJ63" s="383" t="n"/>
    </row>
    <row r="66" ht="15" customHeight="1" s="1883">
      <c r="B66" s="383" t="n"/>
      <c r="C66" s="477" t="inlineStr">
        <is>
          <t>Total Net Revenue, Hardware + Market Research Services</t>
        </is>
      </c>
      <c r="D66" s="476" t="n"/>
      <c r="E66" s="476" t="n"/>
      <c r="F66" s="476" t="n"/>
      <c r="G66" s="476" t="n"/>
      <c r="H66" s="476" t="n"/>
      <c r="I66" s="476" t="n"/>
      <c r="J66" s="527">
        <f>SUM(J62:J63)</f>
        <v/>
      </c>
      <c r="K66" s="527" t="n"/>
      <c r="L66" s="527">
        <f>SUM(L62:L63)</f>
        <v/>
      </c>
      <c r="M66" s="527" t="n"/>
      <c r="N66" s="527">
        <f>SUM(N62:N63)</f>
        <v/>
      </c>
      <c r="O66" s="527" t="n"/>
      <c r="P66" s="527">
        <f>SUM(P62:P63)</f>
        <v/>
      </c>
      <c r="Q66" s="527" t="n"/>
      <c r="R66" s="527">
        <f>SUM(R62:R63)</f>
        <v/>
      </c>
      <c r="S66" s="527" t="n"/>
      <c r="T66" s="527">
        <f>SUM(T62:T63)</f>
        <v/>
      </c>
      <c r="U66" s="527" t="n"/>
      <c r="V66" s="527">
        <f>SUM(V62:V63)</f>
        <v/>
      </c>
      <c r="W66" s="527" t="n"/>
      <c r="X66" s="527">
        <f>SUM(X62:X63)</f>
        <v/>
      </c>
      <c r="Y66" s="527" t="n"/>
      <c r="Z66" s="527">
        <f>SUM(Z62:Z63)</f>
        <v/>
      </c>
      <c r="AA66" s="527" t="n"/>
      <c r="AB66" s="527">
        <f>SUM(AB62:AB63)</f>
        <v/>
      </c>
      <c r="AC66" s="527" t="n"/>
      <c r="AD66" s="527">
        <f>SUM(AD62:AD63)</f>
        <v/>
      </c>
      <c r="AE66" s="527" t="n"/>
      <c r="AF66" s="527">
        <f>SUM(AF62:AF63)</f>
        <v/>
      </c>
      <c r="AG66" s="476" t="n"/>
      <c r="AH66" s="518">
        <f>((J66)+(L66)+(N66)+(P66)+(R66)+(T66)+(V66)+(X66)+(Z66)+(AB66)+(AD66)+(AF66))</f>
        <v/>
      </c>
      <c r="AI66" s="383" t="n"/>
      <c r="AJ66" s="396">
        <f>'3B. Tel. - Rev. Detail x Month'!W497</f>
        <v/>
      </c>
    </row>
    <row r="67" ht="3" customHeight="1" s="1883">
      <c r="B67" s="383" t="n"/>
      <c r="C67" s="383" t="n"/>
      <c r="D67" s="383" t="n"/>
      <c r="E67" s="383" t="n"/>
      <c r="F67" s="383" t="n"/>
      <c r="G67" s="383" t="n"/>
      <c r="H67" s="383" t="n"/>
      <c r="I67" s="383" t="n"/>
      <c r="J67" s="387" t="n"/>
      <c r="K67" s="387" t="n"/>
      <c r="L67" s="387" t="n"/>
      <c r="M67" s="387" t="n"/>
      <c r="N67" s="387" t="n"/>
      <c r="O67" s="387" t="n"/>
      <c r="P67" s="387" t="n"/>
      <c r="Q67" s="387" t="n"/>
      <c r="R67" s="387" t="n"/>
      <c r="S67" s="387" t="n"/>
      <c r="T67" s="387" t="n"/>
      <c r="U67" s="387" t="n"/>
      <c r="V67" s="387" t="n"/>
      <c r="W67" s="387" t="n"/>
      <c r="X67" s="387" t="n"/>
      <c r="Y67" s="387" t="n"/>
      <c r="Z67" s="387" t="n"/>
      <c r="AA67" s="387" t="n"/>
      <c r="AB67" s="387" t="n"/>
      <c r="AC67" s="387" t="n"/>
      <c r="AD67" s="387" t="n"/>
      <c r="AE67" s="387" t="n"/>
      <c r="AF67" s="387" t="n"/>
      <c r="AG67" s="387" t="n"/>
      <c r="AH67" s="387" t="n"/>
      <c r="AI67" s="383" t="n"/>
      <c r="AJ67" s="387" t="n"/>
    </row>
    <row r="68" ht="3" customHeight="1" s="1883">
      <c r="B68" s="383" t="n"/>
      <c r="C68" s="383" t="n"/>
      <c r="D68" s="383" t="n"/>
      <c r="E68" s="383" t="n"/>
      <c r="F68" s="383" t="n"/>
      <c r="G68" s="383" t="n"/>
      <c r="H68" s="383" t="n"/>
      <c r="I68" s="383" t="n"/>
      <c r="J68" s="383" t="n"/>
      <c r="K68" s="383" t="n"/>
      <c r="L68" s="383" t="n"/>
      <c r="M68" s="383" t="n"/>
      <c r="N68" s="383" t="n"/>
      <c r="O68" s="383" t="n"/>
      <c r="P68" s="383" t="n"/>
      <c r="Q68" s="383" t="n"/>
      <c r="R68" s="383" t="n"/>
      <c r="S68" s="383" t="n"/>
      <c r="T68" s="383" t="n"/>
      <c r="U68" s="383" t="n"/>
      <c r="V68" s="383" t="n"/>
      <c r="W68" s="383" t="n"/>
      <c r="X68" s="383" t="n"/>
      <c r="Y68" s="383" t="n"/>
      <c r="Z68" s="383" t="n"/>
      <c r="AA68" s="383" t="n"/>
      <c r="AB68" s="383" t="n"/>
      <c r="AC68" s="383" t="n"/>
      <c r="AD68" s="383" t="n"/>
      <c r="AE68" s="383" t="n"/>
      <c r="AF68" s="383" t="n"/>
      <c r="AG68" s="383" t="n"/>
      <c r="AH68" s="383" t="n"/>
      <c r="AI68" s="383" t="n"/>
      <c r="AJ68" s="383" t="n"/>
    </row>
    <row r="69" ht="15" customHeight="1" s="1883">
      <c r="B69" s="383" t="n"/>
      <c r="C69" s="383" t="n"/>
      <c r="D69" s="383" t="n"/>
      <c r="E69" s="383" t="n"/>
      <c r="F69" s="383" t="n"/>
      <c r="G69" s="383" t="n"/>
      <c r="H69" s="383" t="n"/>
      <c r="I69" s="383" t="n"/>
      <c r="J69" s="383" t="n"/>
      <c r="K69" s="383" t="n"/>
      <c r="L69" s="383" t="n"/>
      <c r="M69" s="383" t="n"/>
      <c r="N69" s="383" t="n"/>
      <c r="O69" s="383" t="n"/>
      <c r="P69" s="383" t="n"/>
      <c r="Q69" s="383" t="n"/>
      <c r="R69" s="383" t="n"/>
      <c r="S69" s="383" t="n"/>
      <c r="T69" s="383" t="n"/>
      <c r="U69" s="383" t="n"/>
      <c r="V69" s="383" t="n"/>
      <c r="W69" s="383" t="n"/>
      <c r="X69" s="383" t="n"/>
      <c r="Y69" s="383" t="n"/>
      <c r="Z69" s="383" t="n"/>
      <c r="AA69" s="383" t="n"/>
      <c r="AB69" s="383" t="n"/>
      <c r="AC69" s="383" t="n"/>
      <c r="AD69" s="383" t="n"/>
      <c r="AE69" s="383" t="n"/>
      <c r="AF69" s="383" t="n"/>
      <c r="AG69" s="383" t="n"/>
      <c r="AH69" s="383" t="n"/>
      <c r="AI69" s="383" t="n"/>
      <c r="AJ69" s="383" t="n"/>
    </row>
    <row r="70" ht="15" customHeight="1" s="1883">
      <c r="B70" s="383" t="n"/>
      <c r="C70" s="383" t="n"/>
      <c r="D70" s="383" t="n"/>
      <c r="E70" s="383" t="n"/>
      <c r="F70" s="383" t="n"/>
      <c r="G70" s="383" t="n"/>
      <c r="H70" s="383" t="n"/>
      <c r="I70" s="383" t="n"/>
      <c r="J70" s="383" t="n"/>
      <c r="K70" s="383" t="n"/>
      <c r="L70" s="383" t="n"/>
      <c r="M70" s="383" t="n"/>
      <c r="N70" s="383" t="n"/>
      <c r="O70" s="383" t="n"/>
      <c r="P70" s="383" t="n"/>
      <c r="Q70" s="383" t="n"/>
      <c r="R70" s="383" t="n"/>
      <c r="S70" s="383" t="n"/>
      <c r="T70" s="383" t="n"/>
      <c r="U70" s="383" t="n"/>
      <c r="V70" s="383" t="n"/>
      <c r="W70" s="383" t="n"/>
      <c r="X70" s="383" t="n"/>
      <c r="Y70" s="383" t="n"/>
      <c r="Z70" s="383" t="n"/>
      <c r="AA70" s="383" t="n"/>
      <c r="AB70" s="383" t="n"/>
      <c r="AC70" s="383" t="n"/>
      <c r="AD70" s="383" t="n"/>
      <c r="AE70" s="383" t="n"/>
      <c r="AF70" s="383" t="n"/>
      <c r="AG70" s="383" t="n"/>
      <c r="AH70" s="383" t="n"/>
      <c r="AI70" s="383" t="n"/>
      <c r="AJ70" s="383" t="n"/>
    </row>
    <row r="71" ht="15" customHeight="1" s="1883">
      <c r="B71" s="383" t="n"/>
      <c r="C71" s="383" t="n"/>
      <c r="D71" s="383" t="n"/>
      <c r="E71" s="383" t="n"/>
      <c r="F71" s="383" t="n"/>
      <c r="G71" s="383" t="n"/>
      <c r="H71" s="383" t="n"/>
      <c r="I71" s="383" t="n"/>
      <c r="J71" s="1882" t="inlineStr">
        <is>
          <t>Year 5</t>
        </is>
      </c>
      <c r="AI71" s="383" t="n"/>
      <c r="AJ71" s="383" t="n"/>
    </row>
    <row r="72" ht="3" customHeight="1" s="1883">
      <c r="B72" s="383" t="n"/>
      <c r="C72" s="383" t="n"/>
      <c r="D72" s="383" t="n"/>
      <c r="E72" s="383" t="n"/>
      <c r="F72" s="383" t="n"/>
      <c r="G72" s="383" t="n"/>
      <c r="H72" s="383" t="n"/>
      <c r="I72" s="383" t="n"/>
      <c r="J72" s="387" t="n"/>
      <c r="K72" s="387" t="n"/>
      <c r="L72" s="387" t="n"/>
      <c r="M72" s="387" t="n"/>
      <c r="N72" s="387" t="n"/>
      <c r="O72" s="387" t="n"/>
      <c r="P72" s="387" t="n"/>
      <c r="Q72" s="387" t="n"/>
      <c r="R72" s="387" t="n"/>
      <c r="S72" s="387" t="n"/>
      <c r="T72" s="387" t="n"/>
      <c r="U72" s="387" t="n"/>
      <c r="V72" s="387" t="n"/>
      <c r="W72" s="387" t="n"/>
      <c r="X72" s="387" t="n"/>
      <c r="Y72" s="387" t="n"/>
      <c r="Z72" s="387" t="n"/>
      <c r="AA72" s="387" t="n"/>
      <c r="AB72" s="387" t="n"/>
      <c r="AC72" s="387" t="n"/>
      <c r="AD72" s="387" t="n"/>
      <c r="AE72" s="387" t="n"/>
      <c r="AF72" s="387" t="n"/>
      <c r="AG72" s="387" t="n"/>
      <c r="AH72" s="387" t="n"/>
      <c r="AI72" s="383" t="n"/>
      <c r="AJ72" s="383" t="n"/>
    </row>
    <row r="73" ht="3" customHeight="1" s="1883">
      <c r="B73" s="383" t="n"/>
      <c r="C73" s="383" t="n"/>
      <c r="D73" s="383" t="n"/>
      <c r="E73" s="383" t="n"/>
      <c r="F73" s="383" t="n"/>
      <c r="G73" s="383" t="n"/>
      <c r="H73" s="383" t="n"/>
      <c r="I73" s="383" t="n"/>
      <c r="J73" s="383" t="n"/>
      <c r="K73" s="383" t="n"/>
      <c r="L73" s="383" t="n"/>
      <c r="M73" s="383" t="n"/>
      <c r="N73" s="383" t="n"/>
      <c r="O73" s="383" t="n"/>
      <c r="P73" s="383" t="n"/>
      <c r="Q73" s="383" t="n"/>
      <c r="R73" s="383" t="n"/>
      <c r="S73" s="383" t="n"/>
      <c r="T73" s="383" t="n"/>
      <c r="U73" s="383" t="n"/>
      <c r="V73" s="383" t="n"/>
      <c r="W73" s="383" t="n"/>
      <c r="X73" s="383" t="n"/>
      <c r="Y73" s="383" t="n"/>
      <c r="Z73" s="383" t="n"/>
      <c r="AA73" s="383" t="n"/>
      <c r="AB73" s="383" t="n"/>
      <c r="AC73" s="383" t="n"/>
      <c r="AD73" s="383" t="n"/>
      <c r="AE73" s="383" t="n"/>
      <c r="AF73" s="383" t="n"/>
      <c r="AG73" s="383" t="n"/>
      <c r="AH73" s="383" t="n"/>
      <c r="AI73" s="383" t="n"/>
      <c r="AJ73" s="383" t="n"/>
    </row>
    <row r="74" ht="15" customHeight="1" s="1883">
      <c r="B74" s="383" t="n"/>
      <c r="C74" s="383" t="n"/>
      <c r="D74" s="383" t="n"/>
      <c r="E74" s="383" t="n"/>
      <c r="F74" s="383" t="n"/>
      <c r="G74" s="383" t="n"/>
      <c r="H74" s="383" t="n"/>
      <c r="I74" s="383" t="n"/>
      <c r="J74" s="386" t="inlineStr">
        <is>
          <t>Month 49</t>
        </is>
      </c>
      <c r="K74" s="386" t="n"/>
      <c r="L74" s="386" t="inlineStr">
        <is>
          <t>Month 50</t>
        </is>
      </c>
      <c r="M74" s="386" t="n"/>
      <c r="N74" s="386" t="inlineStr">
        <is>
          <t>Month 51</t>
        </is>
      </c>
      <c r="O74" s="386" t="n"/>
      <c r="P74" s="386" t="inlineStr">
        <is>
          <t>Month 52</t>
        </is>
      </c>
      <c r="Q74" s="386" t="n"/>
      <c r="R74" s="386" t="inlineStr">
        <is>
          <t>Month 53</t>
        </is>
      </c>
      <c r="S74" s="386" t="n"/>
      <c r="T74" s="386" t="inlineStr">
        <is>
          <t>Month 54</t>
        </is>
      </c>
      <c r="U74" s="386" t="n"/>
      <c r="V74" s="386" t="inlineStr">
        <is>
          <t>Month 55</t>
        </is>
      </c>
      <c r="W74" s="386" t="n"/>
      <c r="X74" s="386" t="inlineStr">
        <is>
          <t>Month 56</t>
        </is>
      </c>
      <c r="Y74" s="386" t="n"/>
      <c r="Z74" s="386" t="inlineStr">
        <is>
          <t>Month 57</t>
        </is>
      </c>
      <c r="AA74" s="386" t="n"/>
      <c r="AB74" s="386" t="inlineStr">
        <is>
          <t>Month 58</t>
        </is>
      </c>
      <c r="AC74" s="386" t="n"/>
      <c r="AD74" s="386" t="inlineStr">
        <is>
          <t>Month 59</t>
        </is>
      </c>
      <c r="AE74" s="386" t="n"/>
      <c r="AF74" s="386" t="inlineStr">
        <is>
          <t>Month 60</t>
        </is>
      </c>
      <c r="AG74" s="383" t="n"/>
      <c r="AH74" s="386" t="inlineStr">
        <is>
          <t>Full-Year</t>
        </is>
      </c>
      <c r="AI74" s="383" t="n"/>
      <c r="AJ74" s="383" t="n"/>
    </row>
    <row r="75" ht="3" customHeight="1" s="1883">
      <c r="B75" s="383" t="n"/>
      <c r="C75" s="383" t="n"/>
      <c r="D75" s="383" t="n"/>
      <c r="E75" s="383" t="n"/>
      <c r="F75" s="383" t="n"/>
      <c r="G75" s="383" t="n"/>
      <c r="H75" s="383" t="n"/>
      <c r="I75" s="383" t="n"/>
      <c r="J75" s="387" t="n"/>
      <c r="K75" s="387" t="n"/>
      <c r="L75" s="387" t="n"/>
      <c r="M75" s="387" t="n"/>
      <c r="N75" s="387" t="n"/>
      <c r="O75" s="387" t="n"/>
      <c r="P75" s="387" t="n"/>
      <c r="Q75" s="387" t="n"/>
      <c r="R75" s="387" t="n"/>
      <c r="S75" s="387" t="n"/>
      <c r="T75" s="387" t="n"/>
      <c r="U75" s="387" t="n"/>
      <c r="V75" s="387" t="n"/>
      <c r="W75" s="387" t="n"/>
      <c r="X75" s="387" t="n"/>
      <c r="Y75" s="387" t="n"/>
      <c r="Z75" s="387" t="n"/>
      <c r="AA75" s="387" t="n"/>
      <c r="AB75" s="387" t="n"/>
      <c r="AC75" s="387" t="n"/>
      <c r="AD75" s="387" t="n"/>
      <c r="AE75" s="387" t="n"/>
      <c r="AF75" s="387" t="n"/>
      <c r="AG75" s="383" t="n"/>
      <c r="AH75" s="387" t="n"/>
      <c r="AI75" s="383" t="n"/>
      <c r="AJ75" s="383" t="n"/>
    </row>
    <row r="76" ht="3" customHeight="1" s="1883">
      <c r="B76" s="383" t="n"/>
      <c r="C76" s="383" t="n"/>
      <c r="D76" s="383" t="n"/>
      <c r="E76" s="383" t="n"/>
      <c r="F76" s="383" t="n"/>
      <c r="G76" s="383" t="n"/>
      <c r="H76" s="383" t="n"/>
      <c r="I76" s="383" t="n"/>
      <c r="J76" s="383" t="n"/>
      <c r="K76" s="383" t="n"/>
      <c r="L76" s="383" t="n"/>
      <c r="M76" s="383" t="n"/>
      <c r="N76" s="383" t="n"/>
      <c r="O76" s="383" t="n"/>
      <c r="P76" s="383" t="n"/>
      <c r="Q76" s="383" t="n"/>
      <c r="R76" s="383" t="n"/>
      <c r="S76" s="383" t="n"/>
      <c r="T76" s="383" t="n"/>
      <c r="U76" s="383" t="n"/>
      <c r="V76" s="383" t="n"/>
      <c r="W76" s="383" t="n"/>
      <c r="X76" s="383" t="n"/>
      <c r="Y76" s="383" t="n"/>
      <c r="Z76" s="383" t="n"/>
      <c r="AA76" s="383" t="n"/>
      <c r="AB76" s="383" t="n"/>
      <c r="AC76" s="383" t="n"/>
      <c r="AD76" s="383" t="n"/>
      <c r="AE76" s="383" t="n"/>
      <c r="AF76" s="383" t="n"/>
      <c r="AG76" s="383" t="n"/>
      <c r="AH76" s="383" t="n"/>
      <c r="AI76" s="383" t="n"/>
      <c r="AJ76" s="383" t="n"/>
    </row>
    <row r="77" ht="15" customHeight="1" s="1883">
      <c r="B77" s="383" t="inlineStr">
        <is>
          <t>Total Net Revenue, Hardware</t>
        </is>
      </c>
      <c r="C77" s="383" t="n"/>
      <c r="D77" s="383" t="n"/>
      <c r="E77" s="383" t="n"/>
      <c r="F77" s="383" t="n"/>
      <c r="G77" s="383" t="n"/>
      <c r="H77" s="383" t="n"/>
      <c r="I77" s="383" t="n"/>
      <c r="J77" s="395">
        <f>'3B. Tel. - Rev. Detail x Month'!J508</f>
        <v/>
      </c>
      <c r="K77" s="395">
        <f>'3B. Tel. - Rev. Detail x Month'!#REF!</f>
        <v/>
      </c>
      <c r="L77" s="395">
        <f>'3B. Tel. - Rev. Detail x Month'!K508</f>
        <v/>
      </c>
      <c r="M77" s="395">
        <f>'3B. Tel. - Rev. Detail x Month'!#REF!</f>
        <v/>
      </c>
      <c r="N77" s="395">
        <f>'3B. Tel. - Rev. Detail x Month'!L508</f>
        <v/>
      </c>
      <c r="O77" s="395">
        <f>'3B. Tel. - Rev. Detail x Month'!#REF!</f>
        <v/>
      </c>
      <c r="P77" s="395">
        <f>'3B. Tel. - Rev. Detail x Month'!M508</f>
        <v/>
      </c>
      <c r="Q77" s="395">
        <f>'3B. Tel. - Rev. Detail x Month'!#REF!</f>
        <v/>
      </c>
      <c r="R77" s="395">
        <f>'3B. Tel. - Rev. Detail x Month'!N508</f>
        <v/>
      </c>
      <c r="S77" s="395">
        <f>'3B. Tel. - Rev. Detail x Month'!#REF!</f>
        <v/>
      </c>
      <c r="T77" s="395">
        <f>'3B. Tel. - Rev. Detail x Month'!O508</f>
        <v/>
      </c>
      <c r="U77" s="395">
        <f>'3B. Tel. - Rev. Detail x Month'!#REF!</f>
        <v/>
      </c>
      <c r="V77" s="395">
        <f>'3B. Tel. - Rev. Detail x Month'!P508</f>
        <v/>
      </c>
      <c r="W77" s="395">
        <f>'3B. Tel. - Rev. Detail x Month'!#REF!</f>
        <v/>
      </c>
      <c r="X77" s="395">
        <f>'3B. Tel. - Rev. Detail x Month'!Q508</f>
        <v/>
      </c>
      <c r="Y77" s="395">
        <f>'3B. Tel. - Rev. Detail x Month'!#REF!</f>
        <v/>
      </c>
      <c r="Z77" s="395">
        <f>'3B. Tel. - Rev. Detail x Month'!R508</f>
        <v/>
      </c>
      <c r="AA77" s="395">
        <f>'3B. Tel. - Rev. Detail x Month'!#REF!</f>
        <v/>
      </c>
      <c r="AB77" s="395">
        <f>'3B. Tel. - Rev. Detail x Month'!S508</f>
        <v/>
      </c>
      <c r="AC77" s="395">
        <f>'3B. Tel. - Rev. Detail x Month'!#REF!</f>
        <v/>
      </c>
      <c r="AD77" s="395">
        <f>'3B. Tel. - Rev. Detail x Month'!T508</f>
        <v/>
      </c>
      <c r="AE77" s="395">
        <f>'3B. Tel. - Rev. Detail x Month'!#REF!</f>
        <v/>
      </c>
      <c r="AF77" s="395">
        <f>'3B. Tel. - Rev. Detail x Month'!U508</f>
        <v/>
      </c>
      <c r="AG77" s="383" t="n"/>
      <c r="AH77" s="396">
        <f>((J77)+(L77)+(N77)+(P77)+(R77)+(T77)+(V77)+(X77)+(Z77)+(AB77)+(AD77)+(AF77))</f>
        <v/>
      </c>
      <c r="AI77" s="383" t="n"/>
      <c r="AJ77" s="383" t="n"/>
    </row>
    <row r="78" ht="15" customHeight="1" s="1883">
      <c r="B78" s="383" t="inlineStr">
        <is>
          <t>Total Net Revenue, Market Research Services</t>
        </is>
      </c>
      <c r="C78" s="383" t="n"/>
      <c r="D78" s="383" t="n"/>
      <c r="E78" s="383" t="n"/>
      <c r="F78" s="383" t="n"/>
      <c r="G78" s="383" t="n"/>
      <c r="H78" s="383" t="n"/>
      <c r="I78" s="383" t="n"/>
      <c r="J78" s="462">
        <f>'3B. Tel. - Rev. Detail x Month'!J509</f>
        <v/>
      </c>
      <c r="K78" s="462">
        <f>'3B. Tel. - Rev. Detail x Month'!#REF!</f>
        <v/>
      </c>
      <c r="L78" s="462">
        <f>'3B. Tel. - Rev. Detail x Month'!K509</f>
        <v/>
      </c>
      <c r="M78" s="462">
        <f>'3B. Tel. - Rev. Detail x Month'!#REF!</f>
        <v/>
      </c>
      <c r="N78" s="462">
        <f>'3B. Tel. - Rev. Detail x Month'!L509</f>
        <v/>
      </c>
      <c r="O78" s="462">
        <f>'3B. Tel. - Rev. Detail x Month'!#REF!</f>
        <v/>
      </c>
      <c r="P78" s="462">
        <f>'3B. Tel. - Rev. Detail x Month'!M509</f>
        <v/>
      </c>
      <c r="Q78" s="462">
        <f>'3B. Tel. - Rev. Detail x Month'!#REF!</f>
        <v/>
      </c>
      <c r="R78" s="462">
        <f>'3B. Tel. - Rev. Detail x Month'!N509</f>
        <v/>
      </c>
      <c r="S78" s="462">
        <f>'3B. Tel. - Rev. Detail x Month'!#REF!</f>
        <v/>
      </c>
      <c r="T78" s="462">
        <f>'3B. Tel. - Rev. Detail x Month'!O509</f>
        <v/>
      </c>
      <c r="U78" s="462">
        <f>'3B. Tel. - Rev. Detail x Month'!#REF!</f>
        <v/>
      </c>
      <c r="V78" s="462">
        <f>'3B. Tel. - Rev. Detail x Month'!P509</f>
        <v/>
      </c>
      <c r="W78" s="462">
        <f>'3B. Tel. - Rev. Detail x Month'!#REF!</f>
        <v/>
      </c>
      <c r="X78" s="462">
        <f>'3B. Tel. - Rev. Detail x Month'!Q509</f>
        <v/>
      </c>
      <c r="Y78" s="462">
        <f>'3B. Tel. - Rev. Detail x Month'!#REF!</f>
        <v/>
      </c>
      <c r="Z78" s="462">
        <f>'3B. Tel. - Rev. Detail x Month'!R509</f>
        <v/>
      </c>
      <c r="AA78" s="462">
        <f>'3B. Tel. - Rev. Detail x Month'!#REF!</f>
        <v/>
      </c>
      <c r="AB78" s="462">
        <f>'3B. Tel. - Rev. Detail x Month'!S509</f>
        <v/>
      </c>
      <c r="AC78" s="462">
        <f>'3B. Tel. - Rev. Detail x Month'!#REF!</f>
        <v/>
      </c>
      <c r="AD78" s="462">
        <f>'3B. Tel. - Rev. Detail x Month'!T509</f>
        <v/>
      </c>
      <c r="AE78" s="462">
        <f>'3B. Tel. - Rev. Detail x Month'!#REF!</f>
        <v/>
      </c>
      <c r="AF78" s="462">
        <f>'3B. Tel. - Rev. Detail x Month'!U509</f>
        <v/>
      </c>
      <c r="AG78" s="383" t="n"/>
      <c r="AH78" s="494">
        <f>((J78)+(L78)+(N78)+(P78)+(R78)+(T78)+(V78)+(X78)+(Z78)+(AB78)+(AD78)+(AF78))</f>
        <v/>
      </c>
      <c r="AI78" s="383" t="n"/>
      <c r="AJ78" s="383" t="n"/>
    </row>
    <row r="81" ht="15" customHeight="1" s="1883">
      <c r="C81" s="477" t="inlineStr">
        <is>
          <t>Total Net Revenue, Hardware + Market Research Services</t>
        </is>
      </c>
      <c r="D81" s="476" t="n"/>
      <c r="E81" s="476" t="n"/>
      <c r="F81" s="476" t="n"/>
      <c r="G81" s="476" t="n"/>
      <c r="H81" s="476" t="n"/>
      <c r="I81" s="476" t="n"/>
      <c r="J81" s="527">
        <f>SUM(J77:J78)</f>
        <v/>
      </c>
      <c r="K81" s="527">
        <f>SUM(K77:K78)</f>
        <v/>
      </c>
      <c r="L81" s="527">
        <f>SUM(L77:L78)</f>
        <v/>
      </c>
      <c r="M81" s="527">
        <f>SUM(M77:M78)</f>
        <v/>
      </c>
      <c r="N81" s="527">
        <f>SUM(N77:N78)</f>
        <v/>
      </c>
      <c r="O81" s="527">
        <f>SUM(O77:O78)</f>
        <v/>
      </c>
      <c r="P81" s="527">
        <f>SUM(P77:P78)</f>
        <v/>
      </c>
      <c r="Q81" s="527">
        <f>SUM(Q77:Q78)</f>
        <v/>
      </c>
      <c r="R81" s="527">
        <f>SUM(R77:R78)</f>
        <v/>
      </c>
      <c r="S81" s="527">
        <f>SUM(S77:S78)</f>
        <v/>
      </c>
      <c r="T81" s="527">
        <f>SUM(T77:T78)</f>
        <v/>
      </c>
      <c r="U81" s="527">
        <f>SUM(U77:U78)</f>
        <v/>
      </c>
      <c r="V81" s="527">
        <f>SUM(V77:V78)</f>
        <v/>
      </c>
      <c r="W81" s="527">
        <f>SUM(W77:W78)</f>
        <v/>
      </c>
      <c r="X81" s="527">
        <f>SUM(X77:X78)</f>
        <v/>
      </c>
      <c r="Y81" s="527">
        <f>SUM(Y77:Y78)</f>
        <v/>
      </c>
      <c r="Z81" s="527">
        <f>SUM(Z77:Z78)</f>
        <v/>
      </c>
      <c r="AA81" s="527">
        <f>SUM(AA77:AA78)</f>
        <v/>
      </c>
      <c r="AB81" s="527">
        <f>SUM(AB77:AB78)</f>
        <v/>
      </c>
      <c r="AC81" s="527">
        <f>SUM(AC77:AC78)</f>
        <v/>
      </c>
      <c r="AD81" s="527">
        <f>SUM(AD77:AD78)</f>
        <v/>
      </c>
      <c r="AE81" s="527">
        <f>SUM(AE77:AE78)</f>
        <v/>
      </c>
      <c r="AF81" s="527">
        <f>SUM(AF77:AF78)</f>
        <v/>
      </c>
      <c r="AG81" s="476" t="n"/>
      <c r="AH81" s="518">
        <f>((J81)+(L81)+(N81)+(P81)+(R81)+(T81)+(V81)+(X81)+(Z81)+(AB81)+(AD81)+(AF81))</f>
        <v/>
      </c>
      <c r="AI81" s="383" t="n"/>
      <c r="AJ81" s="396">
        <f>'3B. Tel. - Rev. Detail x Month'!W512</f>
        <v/>
      </c>
    </row>
  </sheetData>
  <mergeCells count="8">
    <mergeCell ref="J41:AH41"/>
    <mergeCell ref="J71:AH71"/>
    <mergeCell ref="B4:AJ4"/>
    <mergeCell ref="J26:AH26"/>
    <mergeCell ref="J56:AH56"/>
    <mergeCell ref="B6:AJ6"/>
    <mergeCell ref="B2:AJ2"/>
    <mergeCell ref="J11:AH11"/>
  </mergeCells>
  <pageMargins left="0.7" right="0.7" top="0.75" bottom="0.75" header="0.3" footer="0.3"/>
  <pageSetup orientation="portrait" horizontalDpi="0" verticalDpi="0"/>
</worksheet>
</file>

<file path=xl/worksheets/sheet8.xml><?xml version="1.0" encoding="utf-8"?>
<worksheet xmlns="http://schemas.openxmlformats.org/spreadsheetml/2006/main">
  <sheetPr>
    <tabColor rgb="FFCCFFCC"/>
    <outlinePr summaryBelow="1" summaryRight="1"/>
    <pageSetUpPr/>
  </sheetPr>
  <dimension ref="B2:Y512"/>
  <sheetViews>
    <sheetView topLeftCell="A122" zoomScale="130" zoomScaleNormal="130" workbookViewId="0">
      <selection activeCell="J75" sqref="J75"/>
    </sheetView>
  </sheetViews>
  <sheetFormatPr baseColWidth="10" defaultColWidth="8.6640625" defaultRowHeight="13"/>
  <cols>
    <col width="2.6640625" customWidth="1" style="1883" min="1" max="1"/>
    <col width="6.6640625" customWidth="1" style="1883" min="2" max="2"/>
    <col width="0.6640625" customWidth="1" style="1883" min="3" max="3"/>
    <col width="2.6640625" customWidth="1" style="1883" min="4" max="6"/>
    <col width="3" customWidth="1" style="1883" min="7" max="7"/>
    <col width="45.6640625" customWidth="1" style="1883" min="8" max="8"/>
    <col width="2.6640625" customWidth="1" style="1883" min="9" max="9"/>
    <col width="15.6640625" customWidth="1" style="1883" min="10" max="21"/>
    <col width="1.6640625" customWidth="1" style="1883" min="22" max="22"/>
    <col width="18.6640625" customWidth="1" style="1883" min="23" max="23"/>
    <col width="2.5" customWidth="1" style="1883" min="24" max="24"/>
    <col width="18.6640625" customWidth="1" style="1883" min="25" max="25"/>
  </cols>
  <sheetData>
    <row r="2" ht="15" customHeight="1" s="1883">
      <c r="B2" s="385" t="inlineStr">
        <is>
          <t>PURE TECHNOLOGY</t>
        </is>
      </c>
      <c r="C2" s="385" t="n"/>
      <c r="D2" s="385" t="n"/>
      <c r="E2" s="385" t="n"/>
      <c r="F2" s="385" t="n"/>
      <c r="G2" s="385" t="n"/>
      <c r="H2" s="385" t="n"/>
      <c r="I2" s="385" t="n"/>
      <c r="J2" s="385" t="n"/>
    </row>
    <row r="3" ht="4.5" customHeight="1" s="1883">
      <c r="B3" s="385" t="n"/>
      <c r="C3" s="385" t="n"/>
      <c r="D3" s="383" t="n"/>
      <c r="E3" s="383" t="n"/>
      <c r="F3" s="383" t="n"/>
      <c r="G3" s="383" t="n"/>
      <c r="H3" s="383" t="n"/>
      <c r="I3" s="383" t="n"/>
      <c r="J3" s="383" t="n"/>
    </row>
    <row r="4" ht="15" customHeight="1" s="1883">
      <c r="B4" s="385" t="inlineStr">
        <is>
          <t>REVENUE DETAIL BY MONTH, POST-LAUNCH</t>
        </is>
      </c>
      <c r="C4" s="385" t="n"/>
      <c r="D4" s="385" t="n"/>
      <c r="E4" s="385" t="n"/>
      <c r="F4" s="385" t="n"/>
      <c r="G4" s="385" t="n"/>
      <c r="H4" s="385" t="n"/>
      <c r="I4" s="385" t="n"/>
      <c r="J4" s="385" t="n"/>
    </row>
    <row r="5" ht="4.5" customHeight="1" s="1883">
      <c r="B5" s="385" t="n"/>
      <c r="C5" s="385" t="n"/>
      <c r="D5" s="383" t="n"/>
      <c r="E5" s="383" t="n"/>
      <c r="F5" s="383" t="n"/>
      <c r="G5" s="383" t="n"/>
      <c r="H5" s="383" t="n"/>
      <c r="I5" s="383" t="n"/>
      <c r="J5" s="383" t="n"/>
    </row>
    <row r="6" ht="15" customHeight="1" s="1883">
      <c r="B6" s="385" t="inlineStr">
        <is>
          <t>MONTHS 1 - 60</t>
        </is>
      </c>
      <c r="C6" s="385" t="n"/>
      <c r="D6" s="385" t="n"/>
      <c r="E6" s="385" t="n"/>
      <c r="F6" s="385" t="n"/>
      <c r="G6" s="385" t="n"/>
      <c r="H6" s="385" t="n"/>
      <c r="I6" s="385" t="n"/>
      <c r="J6" s="385" t="n"/>
    </row>
    <row r="7" ht="15" customHeight="1" s="1883">
      <c r="B7" s="383" t="n"/>
      <c r="C7" s="383" t="n"/>
      <c r="D7" s="383" t="n"/>
      <c r="E7" s="383" t="n"/>
      <c r="F7" s="383" t="n"/>
      <c r="G7" s="383" t="n"/>
      <c r="H7" s="383" t="n"/>
      <c r="I7" s="383" t="n"/>
      <c r="J7" s="383" t="n"/>
    </row>
    <row r="8" ht="3" customHeight="1" s="1883" thickBot="1">
      <c r="B8" s="1885" t="n"/>
      <c r="C8" s="1885" t="n"/>
      <c r="D8" s="1885" t="n"/>
      <c r="E8" s="1885" t="n"/>
      <c r="F8" s="1885" t="n"/>
      <c r="G8" s="1885" t="n"/>
      <c r="H8" s="1885" t="n"/>
      <c r="I8" s="1885" t="n"/>
      <c r="J8" s="1885" t="n"/>
    </row>
    <row r="9" ht="3" customHeight="1" s="1883" thickTop="1">
      <c r="B9" s="383" t="n"/>
      <c r="C9" s="383" t="n"/>
      <c r="D9" s="383" t="n"/>
      <c r="E9" s="383" t="n"/>
      <c r="F9" s="383" t="n"/>
      <c r="G9" s="383" t="n"/>
      <c r="H9" s="383" t="n"/>
      <c r="I9" s="383" t="n"/>
      <c r="J9" s="383" t="n"/>
    </row>
    <row r="10" ht="15" customHeight="1" s="1883">
      <c r="B10" s="383" t="n"/>
      <c r="C10" s="383" t="n"/>
      <c r="D10" s="383" t="n"/>
      <c r="E10" s="383" t="n"/>
      <c r="F10" s="383" t="n"/>
      <c r="G10" s="383" t="n"/>
      <c r="H10" s="383" t="n"/>
      <c r="I10" s="383" t="n"/>
      <c r="J10" s="383" t="n"/>
    </row>
    <row r="11" ht="15" customHeight="1" s="1883">
      <c r="B11" s="385" t="inlineStr">
        <is>
          <t>Revenue Assumptions</t>
        </is>
      </c>
      <c r="C11" s="383" t="n"/>
      <c r="D11" s="383" t="n"/>
      <c r="E11" s="383" t="n"/>
      <c r="F11" s="383" t="n"/>
      <c r="G11" s="383" t="n"/>
      <c r="H11" s="383" t="n"/>
      <c r="I11" s="383" t="n"/>
      <c r="J11" s="383" t="n"/>
    </row>
    <row r="12" ht="3" customHeight="1" s="1883">
      <c r="B12" s="387" t="n"/>
      <c r="C12" s="387" t="n"/>
      <c r="D12" s="387" t="n"/>
      <c r="E12" s="387" t="n"/>
      <c r="F12" s="387" t="n"/>
      <c r="G12" s="387" t="n"/>
      <c r="H12" s="387" t="n"/>
      <c r="I12" s="387" t="n"/>
      <c r="J12" s="387" t="n"/>
    </row>
    <row r="13" ht="3" customHeight="1" s="1883">
      <c r="B13" s="383" t="n"/>
      <c r="C13" s="383" t="n"/>
      <c r="D13" s="383" t="n"/>
      <c r="E13" s="383" t="n"/>
      <c r="F13" s="383" t="n"/>
      <c r="G13" s="383" t="n"/>
      <c r="H13" s="383" t="n"/>
      <c r="I13" s="383" t="n"/>
      <c r="J13" s="383" t="n"/>
    </row>
    <row r="14" ht="15" customHeight="1" s="1883">
      <c r="B14" s="383" t="n"/>
      <c r="C14" s="383" t="n"/>
      <c r="D14" s="383" t="n"/>
      <c r="E14" s="383" t="n"/>
      <c r="F14" s="383" t="n"/>
      <c r="G14" s="383" t="n"/>
      <c r="H14" s="383" t="n"/>
      <c r="I14" s="383" t="n"/>
      <c r="J14" s="383" t="n"/>
    </row>
    <row r="15" ht="15" customHeight="1" s="1883">
      <c r="B15" s="385" t="inlineStr">
        <is>
          <t>Telephone - selling price/unit (cost/unit + $50)</t>
        </is>
      </c>
      <c r="C15" s="383" t="n"/>
      <c r="D15" s="383" t="n"/>
      <c r="E15" s="383" t="n"/>
      <c r="F15" s="383" t="n"/>
      <c r="G15" s="383" t="n"/>
      <c r="H15" s="383" t="n"/>
      <c r="I15" s="383" t="n"/>
      <c r="J15" s="386" t="inlineStr">
        <is>
          <t>Price/Unit</t>
        </is>
      </c>
      <c r="K15" s="924" t="inlineStr">
        <is>
          <t>Margin</t>
        </is>
      </c>
      <c r="L15" s="924" t="inlineStr">
        <is>
          <t>Percent</t>
        </is>
      </c>
    </row>
    <row r="18" ht="15" customHeight="1" s="1883">
      <c r="B18" s="383" t="n"/>
      <c r="C18" s="383" t="n"/>
      <c r="D18" s="383" t="inlineStr">
        <is>
          <t>Months 1 - 12</t>
        </is>
      </c>
      <c r="E18" s="383" t="n"/>
      <c r="F18" s="383" t="n"/>
      <c r="G18" s="383" t="n"/>
      <c r="H18" s="383" t="n"/>
      <c r="I18" s="383" t="n"/>
      <c r="J18" s="395">
        <f>((J28)+(180))</f>
        <v/>
      </c>
      <c r="K18" s="1623">
        <f>J18-J28</f>
        <v/>
      </c>
      <c r="L18" s="659">
        <f>K18/J28</f>
        <v/>
      </c>
    </row>
    <row r="19" ht="15" customHeight="1" s="1883">
      <c r="B19" s="383" t="n"/>
      <c r="C19" s="383" t="n"/>
      <c r="D19" s="383" t="inlineStr">
        <is>
          <t>Months 13 - 24</t>
        </is>
      </c>
      <c r="E19" s="383" t="n"/>
      <c r="F19" s="383" t="n"/>
      <c r="G19" s="383" t="n"/>
      <c r="H19" s="383" t="n"/>
      <c r="I19" s="383" t="n"/>
      <c r="J19" s="395">
        <f>((J29)+(185))</f>
        <v/>
      </c>
      <c r="K19" s="1623">
        <f>J19-J29</f>
        <v/>
      </c>
      <c r="L19" s="659">
        <f>K19/J29</f>
        <v/>
      </c>
    </row>
    <row r="20" ht="15" customHeight="1" s="1883">
      <c r="B20" s="383" t="n"/>
      <c r="C20" s="383" t="n"/>
      <c r="D20" s="383" t="inlineStr">
        <is>
          <t>Months 25 - 36</t>
        </is>
      </c>
      <c r="E20" s="383" t="n"/>
      <c r="F20" s="383" t="n"/>
      <c r="G20" s="383" t="n"/>
      <c r="H20" s="383" t="n"/>
      <c r="I20" s="383" t="n"/>
      <c r="J20" s="395">
        <f>((J30)+(190))</f>
        <v/>
      </c>
      <c r="K20" s="1623">
        <f>J20-J30</f>
        <v/>
      </c>
      <c r="L20" s="659">
        <f>K20/J30</f>
        <v/>
      </c>
    </row>
    <row r="21" ht="15" customHeight="1" s="1883">
      <c r="B21" s="383" t="n"/>
      <c r="C21" s="383" t="n"/>
      <c r="D21" s="383" t="inlineStr">
        <is>
          <t>Months 37 - 48</t>
        </is>
      </c>
      <c r="E21" s="383" t="n"/>
      <c r="F21" s="383" t="n"/>
      <c r="G21" s="383" t="n"/>
      <c r="H21" s="383" t="n"/>
      <c r="I21" s="383" t="n"/>
      <c r="J21" s="395">
        <f>((J31)+(195))</f>
        <v/>
      </c>
      <c r="K21" s="1623">
        <f>J21-J31</f>
        <v/>
      </c>
      <c r="L21" s="659">
        <f>K21/J31</f>
        <v/>
      </c>
    </row>
    <row r="22" ht="15" customHeight="1" s="1883">
      <c r="B22" s="383" t="n"/>
      <c r="C22" s="383" t="n"/>
      <c r="D22" s="383" t="inlineStr">
        <is>
          <t>Months 49 - 60</t>
        </is>
      </c>
      <c r="E22" s="383" t="n"/>
      <c r="F22" s="383" t="n"/>
      <c r="G22" s="383" t="n"/>
      <c r="H22" s="383" t="n"/>
      <c r="I22" s="383" t="n"/>
      <c r="J22" s="395">
        <f>((J32)+(200))</f>
        <v/>
      </c>
      <c r="K22" s="1623">
        <f>J22-J32</f>
        <v/>
      </c>
      <c r="L22" s="659">
        <f>K22/J32</f>
        <v/>
      </c>
    </row>
    <row r="23" ht="15" customHeight="1" s="1883">
      <c r="B23" s="383" t="n"/>
      <c r="C23" s="383" t="n"/>
      <c r="D23" s="383" t="inlineStr">
        <is>
          <t>Months 61 - 72</t>
        </is>
      </c>
      <c r="E23" s="383" t="n"/>
      <c r="F23" s="383" t="n"/>
      <c r="G23" s="383" t="n"/>
      <c r="H23" s="383" t="n"/>
      <c r="I23" s="383" t="n"/>
      <c r="J23" s="395">
        <f>((J33)+(205))</f>
        <v/>
      </c>
      <c r="K23" s="1623">
        <f>J23-J33</f>
        <v/>
      </c>
      <c r="L23" s="659">
        <f>K23/J33</f>
        <v/>
      </c>
    </row>
    <row r="24" ht="15" customHeight="1" s="1883">
      <c r="B24" s="383" t="n"/>
      <c r="C24" s="383" t="n"/>
      <c r="D24" s="383" t="n"/>
      <c r="E24" s="383" t="n"/>
      <c r="F24" s="383" t="n"/>
      <c r="G24" s="383" t="n"/>
      <c r="H24" s="383" t="n"/>
      <c r="I24" s="383" t="n"/>
      <c r="J24" s="383" t="n"/>
      <c r="K24" s="383" t="n"/>
    </row>
    <row r="25" ht="15" customHeight="1" s="1883">
      <c r="B25" s="385" t="inlineStr">
        <is>
          <t>Telephone - cost/unit</t>
        </is>
      </c>
      <c r="C25" s="383" t="n"/>
      <c r="D25" s="383" t="n"/>
      <c r="E25" s="383" t="n"/>
      <c r="F25" s="383" t="n"/>
      <c r="G25" s="383" t="n"/>
      <c r="H25" s="383" t="n"/>
      <c r="I25" s="383" t="n"/>
      <c r="J25" s="386" t="inlineStr">
        <is>
          <t>Cost/Unit</t>
        </is>
      </c>
      <c r="K25" s="383" t="n"/>
    </row>
    <row r="26" ht="3" customHeight="1" s="1883">
      <c r="B26" s="392" t="n"/>
      <c r="C26" s="387" t="n"/>
      <c r="D26" s="387" t="n"/>
      <c r="E26" s="387" t="n"/>
      <c r="F26" s="387" t="n"/>
      <c r="G26" s="387" t="n"/>
      <c r="H26" s="387" t="n"/>
      <c r="I26" s="383" t="n"/>
      <c r="J26" s="387" t="n"/>
      <c r="K26" s="383" t="n"/>
    </row>
    <row r="27" ht="3" customHeight="1" s="1883">
      <c r="B27" s="385" t="n"/>
      <c r="C27" s="383" t="n"/>
      <c r="D27" s="383" t="n"/>
      <c r="E27" s="383" t="n"/>
      <c r="F27" s="383" t="n"/>
      <c r="G27" s="383" t="n"/>
      <c r="H27" s="383" t="n"/>
      <c r="I27" s="383" t="n"/>
      <c r="J27" s="383" t="n"/>
      <c r="K27" s="383" t="n"/>
    </row>
    <row r="28" ht="15" customHeight="1" s="1883">
      <c r="B28" s="383" t="n"/>
      <c r="C28" s="383" t="n"/>
      <c r="D28" s="383" t="inlineStr">
        <is>
          <t>Orders Placed Months - 1 through 15</t>
        </is>
      </c>
      <c r="E28" s="383" t="n"/>
      <c r="F28" s="383" t="n"/>
      <c r="G28" s="383" t="n"/>
      <c r="H28" s="383" t="n"/>
      <c r="I28" s="383" t="n"/>
      <c r="J28" s="2020">
        <f>'3F. Revenue &amp; COGS Assumptions'!G35</f>
        <v/>
      </c>
      <c r="K28" s="383" t="inlineStr">
        <is>
          <t>For Delivery to PT Months -1 through 16</t>
        </is>
      </c>
      <c r="N28" s="385" t="n"/>
      <c r="O28" s="383" t="n"/>
      <c r="P28" s="383" t="n"/>
      <c r="Q28" s="383" t="n"/>
      <c r="R28" s="383" t="n"/>
    </row>
    <row r="29" ht="15" customHeight="1" s="1883">
      <c r="B29" s="383" t="n"/>
      <c r="C29" s="383" t="n"/>
      <c r="D29" s="383" t="inlineStr">
        <is>
          <t>Orders Placed Months 16 - 27</t>
        </is>
      </c>
      <c r="E29" s="383" t="n"/>
      <c r="F29" s="383" t="n"/>
      <c r="G29" s="383" t="n"/>
      <c r="H29" s="383" t="n"/>
      <c r="I29" s="383" t="n"/>
      <c r="J29" s="2020">
        <f>'3F. Revenue &amp; COGS Assumptions'!S35</f>
        <v/>
      </c>
      <c r="K29" s="383" t="inlineStr">
        <is>
          <t>For Delivery to PT Months 17 through 28</t>
        </is>
      </c>
      <c r="N29" s="385" t="n"/>
      <c r="O29" s="383" t="n"/>
      <c r="P29" s="383" t="n"/>
      <c r="Q29" s="383" t="n"/>
      <c r="R29" s="383" t="n"/>
    </row>
    <row r="30" ht="15" customHeight="1" s="1883">
      <c r="B30" s="383" t="n"/>
      <c r="C30" s="383" t="n"/>
      <c r="D30" s="383" t="inlineStr">
        <is>
          <t>Orders Placed Months 28 - 39</t>
        </is>
      </c>
      <c r="E30" s="383" t="n"/>
      <c r="F30" s="383" t="n"/>
      <c r="G30" s="383" t="n"/>
      <c r="H30" s="383" t="n"/>
      <c r="I30" s="383" t="n"/>
      <c r="J30" s="2020">
        <f>'3F. Revenue &amp; COGS Assumptions'!AE35</f>
        <v/>
      </c>
      <c r="K30" s="383" t="inlineStr">
        <is>
          <t>For Delivery to PT Months 29 through 40</t>
        </is>
      </c>
      <c r="P30" s="396" t="n"/>
      <c r="Q30" s="383" t="n"/>
      <c r="R30" s="383" t="n"/>
    </row>
    <row r="31" ht="15" customHeight="1" s="1883">
      <c r="B31" s="383" t="n"/>
      <c r="C31" s="383" t="n"/>
      <c r="D31" s="383" t="inlineStr">
        <is>
          <t>Orders Placed Months 40 - 51</t>
        </is>
      </c>
      <c r="E31" s="383" t="n"/>
      <c r="F31" s="383" t="n"/>
      <c r="G31" s="383" t="n"/>
      <c r="H31" s="383" t="n"/>
      <c r="I31" s="383" t="n"/>
      <c r="J31" s="2020">
        <f>'3F. Revenue &amp; COGS Assumptions'!AQ35</f>
        <v/>
      </c>
      <c r="K31" s="383" t="inlineStr">
        <is>
          <t>For Delivery to PT Months 41 through 52</t>
        </is>
      </c>
      <c r="P31" s="494" t="n"/>
      <c r="Q31" s="383" t="n"/>
      <c r="R31" s="383" t="n"/>
    </row>
    <row r="32" ht="15" customHeight="1" s="1883">
      <c r="B32" s="383" t="n"/>
      <c r="C32" s="383" t="n"/>
      <c r="D32" s="383" t="inlineStr">
        <is>
          <t>Orders Placed Months 52 - 63</t>
        </is>
      </c>
      <c r="E32" s="383" t="n"/>
      <c r="F32" s="383" t="n"/>
      <c r="G32" s="383" t="n"/>
      <c r="H32" s="383" t="n"/>
      <c r="I32" s="383" t="n"/>
      <c r="J32" s="2020">
        <f>'3F. Revenue &amp; COGS Assumptions'!BC35</f>
        <v/>
      </c>
      <c r="K32" s="383" t="inlineStr">
        <is>
          <t>For Delivery to PT Months 53 through 64</t>
        </is>
      </c>
      <c r="P32" s="494" t="n"/>
      <c r="Q32" s="383" t="n"/>
      <c r="R32" s="383" t="n"/>
    </row>
    <row r="33" ht="15" customHeight="1" s="1883">
      <c r="B33" s="383" t="n"/>
      <c r="C33" s="383" t="n"/>
      <c r="D33" s="383" t="inlineStr">
        <is>
          <t>Orders Placed Months 64 - 75</t>
        </is>
      </c>
      <c r="E33" s="383" t="n"/>
      <c r="F33" s="383" t="n"/>
      <c r="G33" s="383" t="n"/>
      <c r="H33" s="383" t="n"/>
      <c r="I33" s="383" t="n"/>
      <c r="J33" s="2020">
        <f>'3F. Revenue &amp; COGS Assumptions'!BO35</f>
        <v/>
      </c>
      <c r="K33" s="383" t="inlineStr">
        <is>
          <t>For Delivery to PT Months 65 through 76</t>
        </is>
      </c>
      <c r="L33" s="383" t="n"/>
      <c r="M33" s="383" t="n"/>
      <c r="P33" s="494" t="n"/>
      <c r="Q33" s="383" t="n"/>
      <c r="R33" s="383" t="n"/>
      <c r="T33" s="383" t="n"/>
      <c r="U33" s="383" t="n"/>
      <c r="V33" s="383" t="n"/>
      <c r="W33" s="383" t="n"/>
    </row>
    <row r="34" ht="15" customHeight="1" s="1883">
      <c r="B34" s="383" t="n"/>
      <c r="C34" s="383" t="n"/>
      <c r="D34" s="383" t="n"/>
      <c r="E34" s="383" t="n"/>
      <c r="F34" s="383" t="n"/>
      <c r="G34" s="383" t="n"/>
      <c r="H34" s="383" t="n"/>
      <c r="I34" s="383" t="n"/>
      <c r="J34" s="383" t="n"/>
      <c r="K34" s="383" t="n"/>
      <c r="L34" s="383" t="n"/>
      <c r="M34" s="383" t="n"/>
      <c r="P34" s="494" t="n"/>
      <c r="Q34" s="383" t="n"/>
      <c r="R34" s="383" t="n"/>
      <c r="T34" s="383" t="n"/>
      <c r="U34" s="383" t="n"/>
      <c r="V34" s="383" t="n"/>
      <c r="W34" s="383" t="n"/>
    </row>
    <row r="35" ht="15" customHeight="1" s="1883">
      <c r="B35" s="383" t="n"/>
      <c r="C35" s="383" t="n"/>
      <c r="D35" s="383" t="n"/>
      <c r="E35" s="383" t="n"/>
      <c r="F35" s="383" t="n"/>
      <c r="G35" s="383" t="n"/>
      <c r="H35" s="383" t="n"/>
      <c r="I35" s="383" t="n"/>
      <c r="J35" s="383" t="n"/>
      <c r="K35" s="383" t="n"/>
      <c r="L35" s="383" t="n"/>
      <c r="M35" s="383" t="n"/>
      <c r="P35" s="494" t="n"/>
      <c r="Q35" s="383" t="n"/>
      <c r="R35" s="383" t="n"/>
      <c r="T35" s="383" t="n"/>
      <c r="U35" s="383" t="n"/>
      <c r="V35" s="383" t="n"/>
      <c r="W35" s="383" t="n"/>
    </row>
    <row r="36" ht="15" customHeight="1" s="1883">
      <c r="B36" s="383" t="n"/>
      <c r="C36" s="383" t="n"/>
      <c r="D36" s="383" t="n"/>
      <c r="E36" s="383" t="n"/>
      <c r="F36" s="383" t="n"/>
      <c r="G36" s="383" t="n"/>
      <c r="H36" s="383" t="n"/>
      <c r="I36" s="383" t="n"/>
      <c r="J36" s="383" t="n"/>
      <c r="K36" s="383" t="n"/>
      <c r="L36" s="383" t="n"/>
      <c r="M36" s="383" t="n"/>
      <c r="N36" s="383" t="n"/>
      <c r="O36" s="383" t="n"/>
      <c r="P36" s="383" t="n"/>
      <c r="Q36" s="383" t="n"/>
      <c r="R36" s="383" t="n"/>
      <c r="S36" s="383" t="n"/>
      <c r="T36" s="383" t="n"/>
      <c r="U36" s="383" t="n"/>
      <c r="V36" s="383" t="n"/>
      <c r="W36" s="383" t="n"/>
    </row>
    <row r="37" ht="15" customHeight="1" s="1883">
      <c r="B37" s="385" t="inlineStr">
        <is>
          <t>Revenue and CoGS - Telephone Handsets</t>
        </is>
      </c>
      <c r="C37" s="383" t="n"/>
      <c r="D37" s="383" t="n"/>
      <c r="E37" s="383" t="n"/>
      <c r="F37" s="383" t="n"/>
      <c r="G37" s="383" t="n"/>
      <c r="H37" s="383" t="n"/>
      <c r="I37" s="383" t="n"/>
    </row>
    <row r="38" ht="3" customHeight="1" s="1883">
      <c r="B38" s="387" t="n"/>
      <c r="C38" s="387" t="n"/>
      <c r="D38" s="387" t="n"/>
      <c r="E38" s="387" t="n"/>
      <c r="F38" s="387" t="n"/>
      <c r="G38" s="387" t="n"/>
      <c r="H38" s="387" t="n"/>
      <c r="I38" s="383" t="n"/>
    </row>
    <row r="39" ht="3" customHeight="1" s="1883">
      <c r="B39" s="383" t="n"/>
      <c r="C39" s="383" t="n"/>
      <c r="D39" s="383" t="n"/>
      <c r="E39" s="383" t="n"/>
      <c r="F39" s="383" t="n"/>
      <c r="G39" s="383" t="n"/>
      <c r="H39" s="383" t="n"/>
      <c r="I39" s="383" t="n"/>
    </row>
    <row r="40" ht="15" customHeight="1" s="1883">
      <c r="B40" s="383" t="n"/>
      <c r="C40" s="383" t="n"/>
      <c r="D40" s="383" t="n"/>
      <c r="E40" s="383" t="n"/>
      <c r="F40" s="383" t="n"/>
      <c r="G40" s="383" t="n"/>
      <c r="H40" s="383" t="n"/>
      <c r="I40" s="383" t="n"/>
      <c r="J40" s="383" t="n"/>
      <c r="K40" s="383" t="n"/>
      <c r="L40" s="383" t="n"/>
      <c r="M40" s="383" t="n"/>
      <c r="N40" s="383" t="n"/>
      <c r="O40" s="383" t="n"/>
      <c r="P40" s="383" t="n"/>
      <c r="Q40" s="383" t="n"/>
      <c r="R40" s="383" t="n"/>
      <c r="S40" s="383" t="n"/>
      <c r="T40" s="383" t="n"/>
      <c r="U40" s="383" t="n"/>
      <c r="V40" s="383" t="n"/>
      <c r="W40" s="383" t="n"/>
    </row>
    <row r="41" ht="15" customHeight="1" s="1883">
      <c r="B41" s="388" t="inlineStr">
        <is>
          <t>I.</t>
        </is>
      </c>
      <c r="C41" s="383" t="n"/>
      <c r="D41" s="385" t="inlineStr">
        <is>
          <t>Hardware - Handsets Sold and Replaced</t>
        </is>
      </c>
      <c r="E41" s="385" t="n"/>
      <c r="F41" s="385" t="n"/>
      <c r="G41" s="385" t="n"/>
      <c r="H41" s="385" t="n"/>
      <c r="I41" s="383" t="n"/>
      <c r="J41" s="383" t="n"/>
      <c r="K41" s="383" t="n"/>
      <c r="L41" s="383" t="n"/>
      <c r="M41" s="383" t="n"/>
      <c r="N41" s="383" t="n"/>
      <c r="O41" s="383" t="n"/>
      <c r="P41" s="383" t="n"/>
      <c r="Q41" s="383" t="n"/>
      <c r="R41" s="383" t="n"/>
      <c r="S41" s="383" t="n"/>
      <c r="T41" s="383" t="n"/>
      <c r="U41" s="383" t="n"/>
      <c r="V41" s="383" t="n"/>
      <c r="W41" s="383" t="n"/>
    </row>
    <row r="42" ht="3" customHeight="1" s="1883">
      <c r="B42" s="383" t="n"/>
      <c r="C42" s="383" t="n"/>
      <c r="D42" s="387" t="n"/>
      <c r="E42" s="387" t="n"/>
      <c r="F42" s="387" t="n"/>
      <c r="G42" s="387" t="n"/>
      <c r="H42" s="387" t="n"/>
      <c r="I42" s="383" t="n"/>
      <c r="J42" s="383" t="n"/>
      <c r="K42" s="383" t="n"/>
      <c r="L42" s="383" t="n"/>
      <c r="M42" s="383" t="n"/>
      <c r="N42" s="383" t="n"/>
      <c r="O42" s="383" t="n"/>
      <c r="P42" s="383" t="n"/>
      <c r="Q42" s="383" t="n"/>
      <c r="R42" s="383" t="n"/>
      <c r="S42" s="383" t="n"/>
      <c r="T42" s="383" t="n"/>
      <c r="U42" s="383" t="n"/>
      <c r="V42" s="383" t="n"/>
      <c r="W42" s="383" t="n"/>
    </row>
    <row r="43" ht="3" customHeight="1" s="1883">
      <c r="B43" s="383" t="n"/>
      <c r="C43" s="383" t="n"/>
      <c r="D43" s="383" t="n"/>
      <c r="E43" s="383" t="n"/>
      <c r="F43" s="383" t="n"/>
      <c r="G43" s="383" t="n"/>
      <c r="H43" s="383" t="n"/>
      <c r="I43" s="383" t="n"/>
      <c r="J43" s="383" t="n"/>
      <c r="K43" s="383" t="n"/>
      <c r="L43" s="383" t="n"/>
      <c r="M43" s="383" t="n"/>
      <c r="N43" s="383" t="n"/>
      <c r="O43" s="383" t="n"/>
      <c r="P43" s="383" t="n"/>
      <c r="Q43" s="383" t="n"/>
      <c r="R43" s="383" t="n"/>
      <c r="S43" s="383" t="n"/>
      <c r="T43" s="383" t="n"/>
      <c r="U43" s="383" t="n"/>
      <c r="V43" s="383" t="n"/>
      <c r="W43" s="383" t="n"/>
    </row>
    <row r="44" ht="15" customHeight="1" s="1883">
      <c r="B44" s="383" t="n"/>
      <c r="C44" s="383" t="n"/>
      <c r="D44" s="383" t="n"/>
      <c r="E44" s="383" t="n"/>
      <c r="F44" s="383" t="n"/>
      <c r="G44" s="383" t="n"/>
      <c r="H44" s="383" t="n"/>
      <c r="I44" s="383" t="n"/>
      <c r="J44" s="1882" t="inlineStr">
        <is>
          <t>Year 1</t>
        </is>
      </c>
    </row>
    <row r="45" ht="3" customHeight="1" s="1883">
      <c r="B45" s="383" t="n"/>
      <c r="C45" s="383" t="n"/>
      <c r="D45" s="383" t="n"/>
      <c r="E45" s="383" t="n"/>
      <c r="F45" s="383" t="n"/>
      <c r="G45" s="383" t="n"/>
      <c r="H45" s="383" t="n"/>
      <c r="I45" s="383" t="n"/>
      <c r="J45" s="387" t="n"/>
      <c r="K45" s="387" t="n"/>
      <c r="L45" s="387" t="n"/>
      <c r="M45" s="387" t="n"/>
      <c r="N45" s="387" t="n"/>
      <c r="O45" s="387" t="n"/>
      <c r="P45" s="387" t="n"/>
      <c r="Q45" s="387" t="n"/>
      <c r="R45" s="387" t="n"/>
      <c r="S45" s="387" t="n"/>
      <c r="T45" s="387" t="n"/>
      <c r="U45" s="387" t="n"/>
      <c r="V45" s="387" t="n"/>
      <c r="W45" s="387" t="n"/>
    </row>
    <row r="46" ht="3" customHeight="1" s="1883">
      <c r="B46" s="383" t="n"/>
      <c r="C46" s="383" t="n"/>
      <c r="D46" s="383" t="n"/>
      <c r="E46" s="383" t="n"/>
      <c r="F46" s="383" t="n"/>
      <c r="G46" s="383" t="n"/>
      <c r="H46" s="383" t="n"/>
      <c r="I46" s="383" t="n"/>
      <c r="J46" s="383" t="n"/>
      <c r="K46" s="383" t="n"/>
      <c r="L46" s="383" t="n"/>
      <c r="M46" s="383" t="n"/>
      <c r="N46" s="383" t="n"/>
      <c r="O46" s="383" t="n"/>
      <c r="P46" s="383" t="n"/>
      <c r="Q46" s="383" t="n"/>
      <c r="R46" s="383" t="n"/>
      <c r="S46" s="383" t="n"/>
      <c r="T46" s="383" t="n"/>
      <c r="U46" s="383" t="n"/>
      <c r="V46" s="383" t="n"/>
      <c r="W46" s="383" t="n"/>
    </row>
    <row r="47" ht="15" customHeight="1" s="1883">
      <c r="B47" s="383" t="n"/>
      <c r="C47" s="383" t="n"/>
      <c r="D47" s="383" t="n"/>
      <c r="E47" s="383" t="n"/>
      <c r="F47" s="383" t="n"/>
      <c r="G47" s="383" t="n"/>
      <c r="H47" s="383" t="n"/>
      <c r="I47" s="383" t="n"/>
      <c r="J47" s="386" t="inlineStr">
        <is>
          <t>Month 1</t>
        </is>
      </c>
      <c r="K47" s="386" t="inlineStr">
        <is>
          <t>Month 2</t>
        </is>
      </c>
      <c r="L47" s="386" t="inlineStr">
        <is>
          <t>Month 3</t>
        </is>
      </c>
      <c r="M47" s="386" t="inlineStr">
        <is>
          <t>Month 4</t>
        </is>
      </c>
      <c r="N47" s="386" t="inlineStr">
        <is>
          <t>Month 5</t>
        </is>
      </c>
      <c r="O47" s="386" t="inlineStr">
        <is>
          <t>Month 6</t>
        </is>
      </c>
      <c r="P47" s="386" t="inlineStr">
        <is>
          <t>Month 7</t>
        </is>
      </c>
      <c r="Q47" s="386" t="inlineStr">
        <is>
          <t>Month 8</t>
        </is>
      </c>
      <c r="R47" s="386" t="inlineStr">
        <is>
          <t>Month 9</t>
        </is>
      </c>
      <c r="S47" s="386" t="inlineStr">
        <is>
          <t>Month 10</t>
        </is>
      </c>
      <c r="T47" s="386" t="inlineStr">
        <is>
          <t>Month 11</t>
        </is>
      </c>
      <c r="U47" s="386" t="inlineStr">
        <is>
          <t>Month 12</t>
        </is>
      </c>
      <c r="V47" s="383" t="n"/>
      <c r="W47" s="386" t="inlineStr">
        <is>
          <t>Full-Year</t>
        </is>
      </c>
    </row>
    <row r="50" ht="15" customHeight="1" s="1883">
      <c r="D50" s="390" t="inlineStr">
        <is>
          <t>●</t>
        </is>
      </c>
      <c r="E50" s="385" t="inlineStr">
        <is>
          <t>New Users</t>
        </is>
      </c>
      <c r="F50" s="385" t="n"/>
      <c r="G50" s="385" t="n"/>
      <c r="H50" s="385" t="n"/>
      <c r="I50" s="383" t="n"/>
      <c r="J50" s="383" t="n"/>
      <c r="K50" s="383" t="n"/>
      <c r="L50" s="383" t="n"/>
      <c r="M50" s="383" t="n"/>
      <c r="N50" s="383" t="n"/>
      <c r="O50" s="383" t="n"/>
      <c r="P50" s="383" t="n"/>
      <c r="Q50" s="383" t="n"/>
      <c r="R50" s="383" t="n"/>
      <c r="S50" s="383" t="n"/>
      <c r="T50" s="383" t="n"/>
      <c r="U50" s="383" t="n"/>
      <c r="V50" s="383" t="n"/>
      <c r="W50" s="383" t="n"/>
    </row>
    <row r="51" ht="15" customHeight="1" s="1883">
      <c r="D51" s="390" t="n"/>
      <c r="E51" s="390" t="n"/>
      <c r="F51" s="385" t="inlineStr">
        <is>
          <t>Number of Activated Telephones</t>
        </is>
      </c>
      <c r="G51" s="383" t="n"/>
      <c r="H51" s="383" t="n"/>
      <c r="I51" s="383" t="n"/>
      <c r="J51" s="397">
        <f>(('3C. Tel. - Revenue Drivers - 1 '!J83)+(3000))</f>
        <v/>
      </c>
      <c r="K51" s="397">
        <f>('3C. Tel. - Revenue Drivers - 1 '!K83)</f>
        <v/>
      </c>
      <c r="L51" s="397">
        <f>('3C. Tel. - Revenue Drivers - 1 '!L83)</f>
        <v/>
      </c>
      <c r="M51" s="397">
        <f>('3C. Tel. - Revenue Drivers - 1 '!M83)</f>
        <v/>
      </c>
      <c r="N51" s="397">
        <f>('3C. Tel. - Revenue Drivers - 1 '!N83)</f>
        <v/>
      </c>
      <c r="O51" s="397">
        <f>('3C. Tel. - Revenue Drivers - 1 '!O83)</f>
        <v/>
      </c>
      <c r="P51" s="397">
        <f>('3C. Tel. - Revenue Drivers - 1 '!P83)</f>
        <v/>
      </c>
      <c r="Q51" s="397">
        <f>('3C. Tel. - Revenue Drivers - 1 '!Q83)</f>
        <v/>
      </c>
      <c r="R51" s="397">
        <f>('3C. Tel. - Revenue Drivers - 1 '!R83)</f>
        <v/>
      </c>
      <c r="S51" s="397">
        <f>('3C. Tel. - Revenue Drivers - 1 '!S83)</f>
        <v/>
      </c>
      <c r="T51" s="397">
        <f>('3C. Tel. - Revenue Drivers - 1 '!T83)</f>
        <v/>
      </c>
      <c r="U51" s="397">
        <f>('3C. Tel. - Revenue Drivers - 1 '!U83)</f>
        <v/>
      </c>
      <c r="V51" s="383" t="n"/>
      <c r="W51" s="397">
        <f>((J51)+(K51)+(L51)+(M51)+(N51)+(O51)+(P51)+(Q51)+(R51)+(S51)+(T51)+(U51))</f>
        <v/>
      </c>
      <c r="Y51" s="504" t="n"/>
    </row>
    <row r="52" ht="15" customHeight="1" s="1883">
      <c r="D52" s="390" t="n"/>
      <c r="E52" s="383" t="n"/>
      <c r="F52" s="383" t="inlineStr">
        <is>
          <t>Selling Price/Handset, including logistics</t>
        </is>
      </c>
      <c r="G52" s="383" t="n"/>
      <c r="H52" s="383" t="n"/>
      <c r="I52" s="383" t="n"/>
      <c r="J52" s="395">
        <f>($J$18)</f>
        <v/>
      </c>
      <c r="K52" s="395">
        <f>($J$18)</f>
        <v/>
      </c>
      <c r="L52" s="395">
        <f>($J$18)</f>
        <v/>
      </c>
      <c r="M52" s="395">
        <f>($J$18)</f>
        <v/>
      </c>
      <c r="N52" s="395">
        <f>($J$18)</f>
        <v/>
      </c>
      <c r="O52" s="395">
        <f>($J$18)</f>
        <v/>
      </c>
      <c r="P52" s="395">
        <f>($J$18)</f>
        <v/>
      </c>
      <c r="Q52" s="395">
        <f>($J$18)</f>
        <v/>
      </c>
      <c r="R52" s="395">
        <f>($J$18)</f>
        <v/>
      </c>
      <c r="S52" s="395">
        <f>($J$18)</f>
        <v/>
      </c>
      <c r="T52" s="395">
        <f>($J$18)</f>
        <v/>
      </c>
      <c r="U52" s="395">
        <f>($J$18)</f>
        <v/>
      </c>
      <c r="V52" s="383" t="n"/>
      <c r="W52" s="383" t="n"/>
    </row>
    <row r="53" ht="3" customHeight="1" s="1883">
      <c r="D53" s="383" t="n"/>
      <c r="E53" s="383" t="n"/>
      <c r="I53" s="383" t="n"/>
      <c r="J53" s="387" t="n"/>
      <c r="K53" s="387" t="n"/>
      <c r="L53" s="387" t="n"/>
      <c r="M53" s="387" t="n"/>
      <c r="N53" s="387" t="n"/>
      <c r="O53" s="387" t="n"/>
      <c r="P53" s="387" t="n"/>
      <c r="Q53" s="387" t="n"/>
      <c r="R53" s="387" t="n"/>
      <c r="S53" s="387" t="n"/>
      <c r="T53" s="387" t="n"/>
      <c r="U53" s="387" t="n"/>
      <c r="V53" s="383" t="n"/>
      <c r="W53" s="387" t="n"/>
    </row>
    <row r="54" ht="3" customHeight="1" s="1883">
      <c r="D54" s="383" t="n"/>
      <c r="E54" s="383" t="n"/>
      <c r="F54" s="383" t="n"/>
      <c r="G54" s="383" t="n"/>
      <c r="H54" s="383" t="n"/>
      <c r="I54" s="383" t="n"/>
      <c r="J54" s="383" t="n"/>
      <c r="K54" s="383" t="n"/>
      <c r="L54" s="383" t="n"/>
      <c r="M54" s="383" t="n"/>
      <c r="N54" s="383" t="n"/>
      <c r="O54" s="383" t="n"/>
      <c r="P54" s="383" t="n"/>
      <c r="Q54" s="383" t="n"/>
      <c r="R54" s="383" t="n"/>
      <c r="S54" s="383" t="n"/>
      <c r="T54" s="383" t="n"/>
      <c r="U54" s="383" t="n"/>
      <c r="V54" s="383" t="n"/>
      <c r="W54" s="383" t="n"/>
    </row>
    <row r="55" ht="15" customHeight="1" s="1883">
      <c r="D55" s="383" t="n"/>
      <c r="E55" s="383" t="n"/>
      <c r="F55" s="383" t="n"/>
      <c r="G55" s="385" t="inlineStr">
        <is>
          <t>Revenue, Handsets to New Users</t>
        </is>
      </c>
      <c r="H55" s="385" t="n"/>
      <c r="I55" s="383" t="n"/>
      <c r="J55" s="396">
        <f>((J51)*(J52))</f>
        <v/>
      </c>
      <c r="K55" s="396">
        <f>((K51)*(K52))</f>
        <v/>
      </c>
      <c r="L55" s="396">
        <f>((L51)*(L52))</f>
        <v/>
      </c>
      <c r="M55" s="396">
        <f>((M51)*(M52))</f>
        <v/>
      </c>
      <c r="N55" s="396">
        <f>((N51)*(N52))</f>
        <v/>
      </c>
      <c r="O55" s="396">
        <f>((O51)*(O52))</f>
        <v/>
      </c>
      <c r="P55" s="396">
        <f>((P51)*(P52))</f>
        <v/>
      </c>
      <c r="Q55" s="396">
        <f>((Q51)*(Q52))</f>
        <v/>
      </c>
      <c r="R55" s="396">
        <f>((R51)*(R52))</f>
        <v/>
      </c>
      <c r="S55" s="396">
        <f>((S51)*(S52))</f>
        <v/>
      </c>
      <c r="T55" s="396">
        <f>((T51)*(T52))</f>
        <v/>
      </c>
      <c r="U55" s="396">
        <f>((U51)*(U52))</f>
        <v/>
      </c>
      <c r="V55" s="383" t="n"/>
      <c r="W55" s="396">
        <f>((J55)+(K55)+(L55)+(M55)+(N55)+(O55)+(P55)+(Q55)+(R55)+(S55)+(T55)+(U55))</f>
        <v/>
      </c>
    </row>
    <row r="56" ht="3" customHeight="1" s="1883">
      <c r="D56" s="383" t="n"/>
      <c r="E56" s="383" t="n"/>
      <c r="F56" s="383" t="n"/>
      <c r="G56" s="385" t="n"/>
      <c r="H56" s="385" t="n"/>
      <c r="I56" s="383" t="n"/>
      <c r="J56" s="387" t="n"/>
      <c r="K56" s="387" t="n"/>
      <c r="L56" s="387" t="n"/>
      <c r="M56" s="387" t="n"/>
      <c r="N56" s="387" t="n"/>
      <c r="O56" s="387" t="n"/>
      <c r="P56" s="387" t="n"/>
      <c r="Q56" s="387" t="n"/>
      <c r="R56" s="387" t="n"/>
      <c r="S56" s="387" t="n"/>
      <c r="T56" s="387" t="n"/>
      <c r="U56" s="387" t="n"/>
      <c r="V56" s="383" t="n"/>
      <c r="W56" s="387" t="n"/>
    </row>
    <row r="57" ht="3" customHeight="1" s="1883">
      <c r="D57" s="383" t="n"/>
      <c r="E57" s="383" t="n"/>
      <c r="F57" s="383" t="n"/>
      <c r="G57" s="385" t="n"/>
      <c r="H57" s="385" t="n"/>
      <c r="I57" s="383" t="n"/>
      <c r="J57" s="383" t="n"/>
      <c r="K57" s="383" t="n"/>
      <c r="L57" s="383" t="n"/>
      <c r="M57" s="383" t="n"/>
      <c r="N57" s="383" t="n"/>
      <c r="O57" s="383" t="n"/>
      <c r="P57" s="383" t="n"/>
      <c r="Q57" s="383" t="n"/>
      <c r="R57" s="383" t="n"/>
      <c r="S57" s="383" t="n"/>
      <c r="T57" s="383" t="n"/>
      <c r="U57" s="383" t="n"/>
      <c r="V57" s="383" t="n"/>
      <c r="W57" s="383" t="n"/>
    </row>
    <row r="58" ht="15" customHeight="1" s="1883">
      <c r="D58" s="383" t="n"/>
      <c r="E58" s="383" t="n"/>
      <c r="F58" s="383" t="n"/>
      <c r="G58" s="385" t="n"/>
      <c r="H58" s="385" t="n"/>
      <c r="I58" s="383" t="n"/>
      <c r="J58" s="383" t="n"/>
      <c r="K58" s="383" t="n"/>
      <c r="L58" s="383" t="n"/>
      <c r="M58" s="383" t="n"/>
      <c r="N58" s="383" t="n"/>
      <c r="O58" s="383" t="n"/>
      <c r="P58" s="383" t="n"/>
      <c r="Q58" s="383" t="n"/>
      <c r="R58" s="383" t="n"/>
      <c r="S58" s="383" t="n"/>
      <c r="T58" s="383" t="n"/>
      <c r="U58" s="383" t="n"/>
      <c r="V58" s="383" t="n"/>
      <c r="W58" s="383" t="n"/>
    </row>
    <row r="59" ht="15" customHeight="1" s="1883">
      <c r="D59" s="383" t="n"/>
      <c r="E59" s="383" t="n"/>
      <c r="F59" s="383" t="inlineStr">
        <is>
          <t>Cost/handset, including logistics</t>
        </is>
      </c>
      <c r="H59" s="383" t="n"/>
      <c r="I59" s="383" t="n"/>
      <c r="J59" s="870">
        <f>($J$28)</f>
        <v/>
      </c>
      <c r="K59" s="870">
        <f>($J$28)</f>
        <v/>
      </c>
      <c r="L59" s="870">
        <f>($J$28)</f>
        <v/>
      </c>
      <c r="M59" s="870">
        <f>($J$28)</f>
        <v/>
      </c>
      <c r="N59" s="870">
        <f>($J$28)</f>
        <v/>
      </c>
      <c r="O59" s="870">
        <f>($J$28)</f>
        <v/>
      </c>
      <c r="P59" s="870">
        <f>($J$28)</f>
        <v/>
      </c>
      <c r="Q59" s="870">
        <f>($J$28)</f>
        <v/>
      </c>
      <c r="R59" s="870">
        <f>($J$28)</f>
        <v/>
      </c>
      <c r="S59" s="870">
        <f>($J$28)</f>
        <v/>
      </c>
      <c r="T59" s="870">
        <f>($J$28)</f>
        <v/>
      </c>
      <c r="U59" s="870">
        <f>($J$28)</f>
        <v/>
      </c>
      <c r="V59" s="383" t="n"/>
      <c r="W59" s="383" t="n"/>
    </row>
    <row r="60" ht="3" customHeight="1" s="1883">
      <c r="D60" s="383" t="n"/>
      <c r="E60" s="383" t="n"/>
      <c r="F60" s="383" t="n"/>
      <c r="G60" s="383" t="n"/>
      <c r="H60" s="383" t="n"/>
      <c r="I60" s="383" t="n"/>
      <c r="J60" s="387" t="n"/>
      <c r="K60" s="387" t="n"/>
      <c r="L60" s="387" t="n"/>
      <c r="M60" s="387" t="n"/>
      <c r="N60" s="387" t="n"/>
      <c r="O60" s="387" t="n"/>
      <c r="P60" s="387" t="n"/>
      <c r="Q60" s="387" t="n"/>
      <c r="R60" s="387" t="n"/>
      <c r="S60" s="387" t="n"/>
      <c r="T60" s="387" t="n"/>
      <c r="U60" s="387" t="n"/>
      <c r="V60" s="383" t="n"/>
      <c r="W60" s="387" t="n"/>
    </row>
    <row r="61" ht="3" customHeight="1" s="1883">
      <c r="D61" s="383" t="n"/>
      <c r="E61" s="383" t="n"/>
      <c r="F61" s="383" t="n"/>
      <c r="G61" s="383" t="n"/>
      <c r="H61" s="383" t="n"/>
      <c r="I61" s="383" t="n"/>
      <c r="J61" s="383" t="n"/>
      <c r="K61" s="383" t="n"/>
      <c r="L61" s="383" t="n"/>
      <c r="M61" s="383" t="n"/>
      <c r="N61" s="383" t="n"/>
      <c r="O61" s="383" t="n"/>
      <c r="P61" s="383" t="n"/>
      <c r="Q61" s="383" t="n"/>
      <c r="R61" s="383" t="n"/>
      <c r="S61" s="383" t="n"/>
      <c r="T61" s="383" t="n"/>
      <c r="U61" s="383" t="n"/>
      <c r="V61" s="383" t="n"/>
      <c r="W61" s="383" t="n"/>
    </row>
    <row r="62" ht="15" customHeight="1" s="1883">
      <c r="D62" s="383" t="n"/>
      <c r="E62" s="383" t="n"/>
      <c r="F62" s="383" t="n"/>
      <c r="G62" s="385" t="inlineStr">
        <is>
          <t>CoGS, Handsets to New Users</t>
        </is>
      </c>
      <c r="H62" s="383" t="n"/>
      <c r="I62" s="383" t="n"/>
      <c r="J62" s="396">
        <f>((J51)*(J59))</f>
        <v/>
      </c>
      <c r="K62" s="396">
        <f>((K51)*(K59))</f>
        <v/>
      </c>
      <c r="L62" s="396">
        <f>((L51)*(L59))</f>
        <v/>
      </c>
      <c r="M62" s="396">
        <f>((M51)*(M59))</f>
        <v/>
      </c>
      <c r="N62" s="396">
        <f>((N51)*(N59))</f>
        <v/>
      </c>
      <c r="O62" s="396">
        <f>((O51)*(O59))</f>
        <v/>
      </c>
      <c r="P62" s="396">
        <f>((P51)*(P59))</f>
        <v/>
      </c>
      <c r="Q62" s="396">
        <f>((Q51)*(Q59))</f>
        <v/>
      </c>
      <c r="R62" s="396">
        <f>((R51)*(R59))</f>
        <v/>
      </c>
      <c r="S62" s="396">
        <f>((S51)*(S59))</f>
        <v/>
      </c>
      <c r="T62" s="396">
        <f>((T51)*(T59))</f>
        <v/>
      </c>
      <c r="U62" s="396">
        <f>((U51)*(U59))</f>
        <v/>
      </c>
      <c r="V62" s="383" t="n"/>
      <c r="W62" s="396">
        <f>((J62)+(K62)+(L62)+(M62)+(N62)+(O62)+(P62)+(Q62)+(R62)+(S62)+(T62)+(U62))</f>
        <v/>
      </c>
    </row>
    <row r="66" ht="15" customHeight="1" s="1883">
      <c r="D66" s="390" t="inlineStr">
        <is>
          <t>●</t>
        </is>
      </c>
      <c r="E66" s="385" t="inlineStr">
        <is>
          <t>Renewals</t>
        </is>
      </c>
      <c r="F66" s="383" t="n"/>
      <c r="G66" s="383" t="n"/>
      <c r="H66" s="383" t="n"/>
      <c r="I66" s="383" t="n"/>
      <c r="J66" s="383" t="n"/>
      <c r="K66" s="383" t="n"/>
      <c r="L66" s="383" t="n"/>
      <c r="M66" s="383" t="n"/>
      <c r="N66" s="383" t="n"/>
      <c r="O66" s="383" t="n"/>
      <c r="P66" s="383" t="n"/>
      <c r="Q66" s="383" t="n"/>
      <c r="R66" s="383" t="n"/>
      <c r="S66" s="383" t="n"/>
      <c r="T66" s="383" t="n"/>
      <c r="U66" s="383" t="n"/>
      <c r="V66" s="383" t="n"/>
      <c r="W66" s="383" t="n"/>
      <c r="X66" s="383" t="n"/>
      <c r="Y66" s="383" t="n"/>
    </row>
    <row r="67" ht="15" customHeight="1" s="1883">
      <c r="D67" s="383" t="n"/>
      <c r="E67" s="383" t="n"/>
      <c r="F67" s="385" t="inlineStr">
        <is>
          <t xml:space="preserve">Number of Renewals </t>
        </is>
      </c>
      <c r="G67" s="383" t="n"/>
      <c r="H67" s="383" t="n"/>
      <c r="I67" s="383" t="n"/>
      <c r="J67" s="397">
        <f>'3C. Tel. - Revenue Drivers - 1 '!J84</f>
        <v/>
      </c>
      <c r="K67" s="397">
        <f>'3C. Tel. - Revenue Drivers - 1 '!K84</f>
        <v/>
      </c>
      <c r="L67" s="397">
        <f>'3C. Tel. - Revenue Drivers - 1 '!L84</f>
        <v/>
      </c>
      <c r="M67" s="397">
        <f>'3C. Tel. - Revenue Drivers - 1 '!M84</f>
        <v/>
      </c>
      <c r="N67" s="397">
        <f>'3C. Tel. - Revenue Drivers - 1 '!N84</f>
        <v/>
      </c>
      <c r="O67" s="397">
        <f>'3C. Tel. - Revenue Drivers - 1 '!O84</f>
        <v/>
      </c>
      <c r="P67" s="397">
        <f>'3C. Tel. - Revenue Drivers - 1 '!P84</f>
        <v/>
      </c>
      <c r="Q67" s="397">
        <f>'3C. Tel. - Revenue Drivers - 1 '!Q84</f>
        <v/>
      </c>
      <c r="R67" s="397">
        <f>'3C. Tel. - Revenue Drivers - 1 '!R84</f>
        <v/>
      </c>
      <c r="S67" s="397">
        <f>'3C. Tel. - Revenue Drivers - 1 '!S84</f>
        <v/>
      </c>
      <c r="T67" s="397">
        <f>'3C. Tel. - Revenue Drivers - 1 '!T84</f>
        <v/>
      </c>
      <c r="U67" s="397">
        <f>'3C. Tel. - Revenue Drivers - 1 '!U84</f>
        <v/>
      </c>
      <c r="V67" s="383" t="n"/>
      <c r="W67" s="397">
        <f>((J67)+(K67)+(L67)+(M67)+(N67)+(O67)+(P67)+(Q67)+(R67)+(S67)+(T67)+(U67))</f>
        <v/>
      </c>
      <c r="X67" s="383" t="n"/>
      <c r="Y67" s="383" t="n"/>
    </row>
    <row r="68" ht="15" customHeight="1" s="1883">
      <c r="D68" s="383" t="n"/>
      <c r="E68" s="383" t="n"/>
      <c r="F68" s="383" t="inlineStr">
        <is>
          <t>Cost/handset, including logistics</t>
        </is>
      </c>
      <c r="H68" s="383" t="n"/>
      <c r="I68" s="383" t="n"/>
      <c r="J68" s="870">
        <f>($J$28)</f>
        <v/>
      </c>
      <c r="K68" s="870">
        <f>($J$28)</f>
        <v/>
      </c>
      <c r="L68" s="870">
        <f>($J$28)</f>
        <v/>
      </c>
      <c r="M68" s="870">
        <f>($J$28)</f>
        <v/>
      </c>
      <c r="N68" s="870">
        <f>($J$28)</f>
        <v/>
      </c>
      <c r="O68" s="870">
        <f>($J$28)</f>
        <v/>
      </c>
      <c r="P68" s="870">
        <f>($J$28)</f>
        <v/>
      </c>
      <c r="Q68" s="870">
        <f>($J$28)</f>
        <v/>
      </c>
      <c r="R68" s="870">
        <f>($J$28)</f>
        <v/>
      </c>
      <c r="S68" s="870">
        <f>($J$28)</f>
        <v/>
      </c>
      <c r="T68" s="870">
        <f>($J$28)</f>
        <v/>
      </c>
      <c r="U68" s="870">
        <f>($J$28)</f>
        <v/>
      </c>
      <c r="V68" s="383" t="n"/>
      <c r="W68" s="1910" t="n"/>
      <c r="X68" s="383" t="n"/>
      <c r="Y68" s="383" t="n"/>
    </row>
    <row r="69" ht="3" customHeight="1" s="1883">
      <c r="D69" s="383" t="n"/>
      <c r="E69" s="383" t="n"/>
      <c r="F69" s="383" t="n"/>
      <c r="G69" s="383" t="n"/>
      <c r="H69" s="383" t="n"/>
      <c r="I69" s="383" t="n"/>
      <c r="J69" s="387" t="n"/>
      <c r="K69" s="387" t="n"/>
      <c r="L69" s="387" t="n"/>
      <c r="M69" s="387" t="n"/>
      <c r="N69" s="387" t="n"/>
      <c r="O69" s="387" t="n"/>
      <c r="P69" s="387" t="n"/>
      <c r="Q69" s="387" t="n"/>
      <c r="R69" s="387" t="n"/>
      <c r="S69" s="387" t="n"/>
      <c r="T69" s="387" t="n"/>
      <c r="U69" s="387" t="n"/>
      <c r="V69" s="383" t="n"/>
      <c r="W69" s="387" t="n"/>
      <c r="X69" s="383" t="n"/>
      <c r="Y69" s="383" t="n"/>
    </row>
    <row r="70" ht="3" customHeight="1" s="1883">
      <c r="D70" s="383" t="n"/>
      <c r="E70" s="383" t="n"/>
      <c r="F70" s="383" t="n"/>
      <c r="G70" s="383" t="n"/>
      <c r="H70" s="383" t="n"/>
      <c r="I70" s="383" t="n"/>
      <c r="J70" s="383" t="n"/>
      <c r="K70" s="383" t="n"/>
      <c r="L70" s="383" t="n"/>
      <c r="M70" s="383" t="n"/>
      <c r="N70" s="383" t="n"/>
      <c r="O70" s="383" t="n"/>
      <c r="P70" s="383" t="n"/>
      <c r="Q70" s="383" t="n"/>
      <c r="R70" s="383" t="n"/>
      <c r="S70" s="383" t="n"/>
      <c r="T70" s="383" t="n"/>
      <c r="U70" s="383" t="n"/>
      <c r="V70" s="383" t="n"/>
      <c r="W70" s="383" t="n"/>
      <c r="X70" s="383" t="n"/>
      <c r="Y70" s="383" t="n"/>
    </row>
    <row r="71" ht="15" customHeight="1" s="1883">
      <c r="D71" s="383" t="n"/>
      <c r="E71" s="383" t="n"/>
      <c r="F71" s="383" t="n"/>
      <c r="G71" s="385" t="inlineStr">
        <is>
          <t>CoGS, Handsets to Renewals</t>
        </is>
      </c>
      <c r="H71" s="383" t="n"/>
      <c r="I71" s="383" t="n"/>
      <c r="J71" s="396">
        <f>((J67)*(J68))</f>
        <v/>
      </c>
      <c r="K71" s="396">
        <f>((K67)*(K68))</f>
        <v/>
      </c>
      <c r="L71" s="396">
        <f>((L67)*(L68))</f>
        <v/>
      </c>
      <c r="M71" s="396">
        <f>((M67)*(M68))</f>
        <v/>
      </c>
      <c r="N71" s="396">
        <f>((N67)*(N68))</f>
        <v/>
      </c>
      <c r="O71" s="396">
        <f>((O67)*(O68))</f>
        <v/>
      </c>
      <c r="P71" s="396">
        <f>((P67)*(P68))</f>
        <v/>
      </c>
      <c r="Q71" s="396">
        <f>((Q67)*(Q68))</f>
        <v/>
      </c>
      <c r="R71" s="396">
        <f>((R67)*(R68))</f>
        <v/>
      </c>
      <c r="S71" s="396">
        <f>((S67)*(S68))</f>
        <v/>
      </c>
      <c r="T71" s="396">
        <f>((T67)*(T68))</f>
        <v/>
      </c>
      <c r="U71" s="396">
        <f>((U67)*(U68))</f>
        <v/>
      </c>
      <c r="V71" s="396" t="n"/>
      <c r="W71" s="396">
        <f>((J71)+(K71)+(L71)+(M71)+(N71)+(O71)+(P71)+(Q71)+(R71)+(S71)+(T71)+(U71))</f>
        <v/>
      </c>
      <c r="X71" s="383" t="n"/>
      <c r="Y71" s="383" t="n"/>
    </row>
    <row r="72" ht="3" customHeight="1" s="1883">
      <c r="D72" s="383" t="n"/>
      <c r="E72" s="383" t="n"/>
      <c r="F72" s="383" t="n"/>
      <c r="G72" s="383" t="n"/>
      <c r="H72" s="383" t="n"/>
      <c r="I72" s="383" t="n"/>
      <c r="J72" s="387" t="n"/>
      <c r="K72" s="387" t="n"/>
      <c r="L72" s="387" t="n"/>
      <c r="M72" s="387" t="n"/>
      <c r="N72" s="387" t="n"/>
      <c r="O72" s="387" t="n"/>
      <c r="P72" s="387" t="n"/>
      <c r="Q72" s="387" t="n"/>
      <c r="R72" s="387" t="n"/>
      <c r="S72" s="387" t="n"/>
      <c r="T72" s="387" t="n"/>
      <c r="U72" s="387" t="n"/>
      <c r="V72" s="383" t="n"/>
      <c r="W72" s="387" t="n"/>
      <c r="X72" s="383" t="n"/>
      <c r="Y72" s="383" t="n"/>
    </row>
    <row r="73" ht="3" customHeight="1" s="1883">
      <c r="D73" s="383" t="n"/>
      <c r="E73" s="383" t="n"/>
      <c r="F73" s="383" t="n"/>
      <c r="G73" s="383" t="n"/>
      <c r="H73" s="383" t="n"/>
      <c r="I73" s="383" t="n"/>
      <c r="J73" s="383" t="n"/>
      <c r="K73" s="383" t="n"/>
      <c r="L73" s="383" t="n"/>
      <c r="M73" s="383" t="n"/>
      <c r="N73" s="383" t="n"/>
      <c r="O73" s="383" t="n"/>
      <c r="P73" s="383" t="n"/>
      <c r="Q73" s="383" t="n"/>
      <c r="R73" s="383" t="n"/>
      <c r="S73" s="383" t="n"/>
      <c r="T73" s="383" t="n"/>
      <c r="U73" s="383" t="n"/>
      <c r="V73" s="383" t="n"/>
      <c r="W73" s="383" t="n"/>
      <c r="X73" s="383" t="n"/>
      <c r="Y73" s="383" t="n"/>
    </row>
    <row r="74" ht="15" customHeight="1" s="1883">
      <c r="D74" s="383" t="n"/>
      <c r="E74" s="383" t="n"/>
      <c r="F74" s="383" t="n"/>
      <c r="G74" s="383" t="n"/>
      <c r="H74" s="383" t="n"/>
      <c r="I74" s="383" t="n"/>
      <c r="J74" s="383" t="n"/>
      <c r="K74" s="383" t="n"/>
      <c r="L74" s="383" t="n"/>
      <c r="M74" s="383" t="n"/>
      <c r="N74" s="383" t="n"/>
      <c r="O74" s="383" t="n"/>
      <c r="P74" s="383" t="n"/>
      <c r="Q74" s="383" t="n"/>
      <c r="R74" s="383" t="n"/>
      <c r="S74" s="383" t="n"/>
      <c r="T74" s="383" t="n"/>
      <c r="U74" s="383" t="n"/>
      <c r="V74" s="383" t="n"/>
      <c r="W74" s="1910" t="n"/>
      <c r="X74" s="383" t="n"/>
      <c r="Y74" s="383" t="n"/>
    </row>
    <row r="75" ht="15" customHeight="1" s="1883">
      <c r="D75" s="390" t="inlineStr">
        <is>
          <t>●</t>
        </is>
      </c>
      <c r="E75" s="385" t="inlineStr">
        <is>
          <t>Warranty (0.11% of Hardware Revenue)</t>
        </is>
      </c>
      <c r="F75" s="383" t="n"/>
      <c r="G75" s="383" t="n"/>
      <c r="H75" s="383" t="n"/>
      <c r="I75" s="383" t="n"/>
      <c r="J75" s="494">
        <f>((0.001)*(J55))</f>
        <v/>
      </c>
      <c r="K75" s="494">
        <f>((0.001)*(K55))</f>
        <v/>
      </c>
      <c r="L75" s="494">
        <f>((0.001)*(L55))</f>
        <v/>
      </c>
      <c r="M75" s="494">
        <f>((0.001)*(M55))</f>
        <v/>
      </c>
      <c r="N75" s="494">
        <f>((0.001)*(N55))</f>
        <v/>
      </c>
      <c r="O75" s="494">
        <f>((0.001)*(O55))</f>
        <v/>
      </c>
      <c r="P75" s="494">
        <f>((0.001)*(P55))</f>
        <v/>
      </c>
      <c r="Q75" s="494">
        <f>((0.001)*(Q55))</f>
        <v/>
      </c>
      <c r="R75" s="494">
        <f>((0.001)*(R55))</f>
        <v/>
      </c>
      <c r="S75" s="494">
        <f>((0.001)*(S55))</f>
        <v/>
      </c>
      <c r="T75" s="494">
        <f>((0.001)*(T55))</f>
        <v/>
      </c>
      <c r="U75" s="494">
        <f>((0.001)*(U55))</f>
        <v/>
      </c>
      <c r="V75" s="383" t="n"/>
      <c r="W75" s="494">
        <f>((J75)+(K75)+(L75)+(M75)+(N75)+(O75)+(P75)+(Q75)+(R75)+(S75)+(T75)+(U75))</f>
        <v/>
      </c>
      <c r="X75" s="383" t="n"/>
      <c r="Y75" s="383" t="n"/>
    </row>
    <row r="76" ht="15" customHeight="1" s="1883">
      <c r="D76" s="383" t="n"/>
      <c r="E76" s="383" t="n"/>
      <c r="F76" s="383" t="n"/>
      <c r="G76" s="383" t="n"/>
      <c r="H76" s="383" t="n"/>
      <c r="I76" s="383" t="n"/>
      <c r="J76" s="383" t="n"/>
      <c r="K76" s="383" t="n"/>
      <c r="L76" s="383" t="n"/>
      <c r="M76" s="383" t="n"/>
      <c r="N76" s="383" t="n"/>
      <c r="O76" s="383" t="n"/>
      <c r="P76" s="383" t="n"/>
      <c r="Q76" s="383" t="n"/>
      <c r="R76" s="383" t="n"/>
      <c r="S76" s="383" t="n"/>
      <c r="T76" s="383" t="n"/>
      <c r="U76" s="383" t="n"/>
      <c r="V76" s="383" t="n"/>
      <c r="W76" s="383" t="n"/>
      <c r="X76" s="383" t="n"/>
      <c r="Y76" s="383" t="n"/>
    </row>
    <row r="77" ht="15" customHeight="1" s="1883">
      <c r="D77" s="383" t="n"/>
      <c r="E77" s="383" t="n"/>
      <c r="F77" s="383" t="n"/>
      <c r="G77" s="383" t="n"/>
      <c r="H77" s="463" t="inlineStr">
        <is>
          <t>Net Revenue = Revenue Less CoGS Less Warranty</t>
        </is>
      </c>
      <c r="I77" s="464" t="n"/>
      <c r="J77" s="465">
        <f>((J55)-(J62)-(J71)-(J75))</f>
        <v/>
      </c>
      <c r="K77" s="465">
        <f>((K55)-(K62)-(K71)-(K75))</f>
        <v/>
      </c>
      <c r="L77" s="465">
        <f>((L55)-(L62)-(L71)-(L75))</f>
        <v/>
      </c>
      <c r="M77" s="465">
        <f>((M55)-(M62)-(M71)-(M75))</f>
        <v/>
      </c>
      <c r="N77" s="465">
        <f>((N55)-(N62)-(N71)-(N75))</f>
        <v/>
      </c>
      <c r="O77" s="465">
        <f>((O55)-(O62)-(O71)-(O75))</f>
        <v/>
      </c>
      <c r="P77" s="465">
        <f>((P55)-(P62)-(P71)-(P75))</f>
        <v/>
      </c>
      <c r="Q77" s="465">
        <f>((Q55)-(Q62)-(Q71)-(Q75))</f>
        <v/>
      </c>
      <c r="R77" s="465">
        <f>((R55)-(R62)-(R71)-(R75))</f>
        <v/>
      </c>
      <c r="S77" s="465">
        <f>((S55)-(S62)-(S71)-(S75))</f>
        <v/>
      </c>
      <c r="T77" s="465">
        <f>((T55)-(T62)-(T71)-(T75))</f>
        <v/>
      </c>
      <c r="U77" s="465">
        <f>((U55)-(U62)-(U71)-(U75))</f>
        <v/>
      </c>
      <c r="V77" s="465" t="n"/>
      <c r="W77" s="465">
        <f>((W55)-(W62)-(W71)-(W75))</f>
        <v/>
      </c>
      <c r="X77" s="383" t="n"/>
      <c r="Y77" s="396" t="n"/>
    </row>
    <row r="82" ht="15" customHeight="1" s="1883">
      <c r="D82" s="383" t="n"/>
      <c r="E82" s="383" t="n"/>
      <c r="F82" s="383" t="n"/>
      <c r="G82" s="383" t="n"/>
      <c r="H82" s="383" t="n"/>
      <c r="I82" s="383" t="n"/>
      <c r="J82" s="1882" t="inlineStr">
        <is>
          <t>Year 2</t>
        </is>
      </c>
    </row>
    <row r="83" ht="3" customHeight="1" s="1883">
      <c r="D83" s="383" t="n"/>
      <c r="E83" s="383" t="n"/>
      <c r="F83" s="383" t="n"/>
      <c r="G83" s="383" t="n"/>
      <c r="H83" s="383" t="n"/>
      <c r="I83" s="383" t="n"/>
      <c r="J83" s="387" t="n"/>
      <c r="K83" s="387" t="n"/>
      <c r="L83" s="387" t="n"/>
      <c r="M83" s="387" t="n"/>
      <c r="N83" s="387" t="n"/>
      <c r="O83" s="387" t="n"/>
      <c r="P83" s="387" t="n"/>
      <c r="Q83" s="387" t="n"/>
      <c r="R83" s="387" t="n"/>
      <c r="S83" s="387" t="n"/>
      <c r="T83" s="387" t="n"/>
      <c r="U83" s="387" t="n"/>
      <c r="V83" s="387" t="n"/>
      <c r="W83" s="387" t="n"/>
    </row>
    <row r="84" ht="3" customHeight="1" s="1883">
      <c r="D84" s="383" t="n"/>
      <c r="E84" s="383" t="n"/>
      <c r="F84" s="383" t="n"/>
      <c r="G84" s="383" t="n"/>
      <c r="H84" s="383" t="n"/>
      <c r="I84" s="383" t="n"/>
      <c r="J84" s="383" t="n"/>
      <c r="K84" s="383" t="n"/>
      <c r="L84" s="383" t="n"/>
      <c r="M84" s="383" t="n"/>
      <c r="N84" s="383" t="n"/>
      <c r="O84" s="383" t="n"/>
      <c r="P84" s="383" t="n"/>
      <c r="Q84" s="383" t="n"/>
      <c r="R84" s="383" t="n"/>
      <c r="S84" s="383" t="n"/>
      <c r="T84" s="383" t="n"/>
      <c r="U84" s="383" t="n"/>
      <c r="V84" s="383" t="n"/>
      <c r="W84" s="383" t="n"/>
    </row>
    <row r="85" ht="15" customHeight="1" s="1883">
      <c r="D85" s="383" t="n"/>
      <c r="E85" s="383" t="n"/>
      <c r="F85" s="383" t="n"/>
      <c r="G85" s="383" t="n"/>
      <c r="H85" s="383" t="n"/>
      <c r="I85" s="383" t="n"/>
      <c r="J85" s="386" t="inlineStr">
        <is>
          <t>Month 13</t>
        </is>
      </c>
      <c r="K85" s="386" t="inlineStr">
        <is>
          <t>Month 14</t>
        </is>
      </c>
      <c r="L85" s="386" t="inlineStr">
        <is>
          <t>Month 15</t>
        </is>
      </c>
      <c r="M85" s="386" t="inlineStr">
        <is>
          <t>Month 16</t>
        </is>
      </c>
      <c r="N85" s="386" t="inlineStr">
        <is>
          <t>Month 17</t>
        </is>
      </c>
      <c r="O85" s="386" t="inlineStr">
        <is>
          <t>Month 18</t>
        </is>
      </c>
      <c r="P85" s="386" t="inlineStr">
        <is>
          <t>Month 19</t>
        </is>
      </c>
      <c r="Q85" s="386" t="inlineStr">
        <is>
          <t>Month 20</t>
        </is>
      </c>
      <c r="R85" s="386" t="inlineStr">
        <is>
          <t>Month 21</t>
        </is>
      </c>
      <c r="S85" s="386" t="inlineStr">
        <is>
          <t>Month 22</t>
        </is>
      </c>
      <c r="T85" s="386" t="inlineStr">
        <is>
          <t>Month 23</t>
        </is>
      </c>
      <c r="U85" s="386" t="inlineStr">
        <is>
          <t>Month 24</t>
        </is>
      </c>
      <c r="V85" s="383" t="n"/>
      <c r="W85" s="386" t="inlineStr">
        <is>
          <t>Full-Year</t>
        </is>
      </c>
    </row>
    <row r="86" ht="3" customHeight="1" s="1883">
      <c r="D86" s="383" t="n"/>
      <c r="E86" s="383" t="n"/>
      <c r="F86" s="383" t="n"/>
      <c r="G86" s="383" t="n"/>
      <c r="H86" s="383" t="n"/>
      <c r="I86" s="383" t="n"/>
      <c r="J86" s="387" t="n"/>
      <c r="K86" s="387" t="n"/>
      <c r="L86" s="387" t="n"/>
      <c r="M86" s="387" t="n"/>
      <c r="N86" s="387" t="n"/>
      <c r="O86" s="387" t="n"/>
      <c r="P86" s="387" t="n"/>
      <c r="Q86" s="387" t="n"/>
      <c r="R86" s="387" t="n"/>
      <c r="S86" s="387" t="n"/>
      <c r="T86" s="387" t="n"/>
      <c r="U86" s="387" t="n"/>
      <c r="V86" s="383" t="n"/>
      <c r="W86" s="387" t="n"/>
    </row>
    <row r="87" ht="3" customHeight="1" s="1883">
      <c r="D87" s="383" t="n"/>
      <c r="E87" s="383" t="n"/>
      <c r="F87" s="383" t="n"/>
      <c r="G87" s="383" t="n"/>
      <c r="H87" s="383" t="n"/>
      <c r="I87" s="383" t="n"/>
      <c r="J87" s="383" t="n"/>
      <c r="K87" s="383" t="n"/>
      <c r="L87" s="383" t="n"/>
      <c r="M87" s="383" t="n"/>
      <c r="N87" s="383" t="n"/>
      <c r="O87" s="383" t="n"/>
      <c r="P87" s="383" t="n"/>
      <c r="Q87" s="383" t="n"/>
      <c r="R87" s="383" t="n"/>
      <c r="S87" s="383" t="n"/>
      <c r="T87" s="383" t="n"/>
      <c r="U87" s="383" t="n"/>
      <c r="V87" s="383" t="n"/>
      <c r="W87" s="383" t="n"/>
    </row>
    <row r="88" ht="15" customHeight="1" s="1883">
      <c r="D88" s="390" t="inlineStr">
        <is>
          <t>●</t>
        </is>
      </c>
      <c r="E88" s="385" t="inlineStr">
        <is>
          <t>New Users</t>
        </is>
      </c>
      <c r="F88" s="385" t="n"/>
      <c r="G88" s="385" t="n"/>
      <c r="H88" s="385" t="n"/>
      <c r="I88" s="383" t="n"/>
      <c r="J88" s="383" t="n"/>
      <c r="K88" s="383" t="n"/>
      <c r="L88" s="383" t="n"/>
      <c r="M88" s="383" t="n"/>
      <c r="N88" s="383" t="n"/>
      <c r="O88" s="383" t="n"/>
      <c r="P88" s="383" t="n"/>
      <c r="Q88" s="383" t="n"/>
      <c r="R88" s="383" t="n"/>
      <c r="S88" s="383" t="n"/>
      <c r="T88" s="383" t="n"/>
      <c r="U88" s="383" t="n"/>
      <c r="V88" s="383" t="n"/>
      <c r="W88" s="383" t="n"/>
    </row>
    <row r="89" ht="15" customHeight="1" s="1883">
      <c r="D89" s="390" t="n"/>
      <c r="E89" s="390" t="n"/>
      <c r="F89" s="385" t="inlineStr">
        <is>
          <t>Number of Activated Telephones</t>
        </is>
      </c>
      <c r="G89" s="383" t="n"/>
      <c r="H89" s="383" t="n"/>
      <c r="I89" s="383" t="n"/>
      <c r="J89" s="397">
        <f>'3C. Tel. - Revenue Drivers - 1 '!J101</f>
        <v/>
      </c>
      <c r="K89" s="397">
        <f>('3C. Tel. - Revenue Drivers - 1 '!K101)</f>
        <v/>
      </c>
      <c r="L89" s="397">
        <f>('3C. Tel. - Revenue Drivers - 1 '!L101)</f>
        <v/>
      </c>
      <c r="M89" s="397">
        <f>('3C. Tel. - Revenue Drivers - 1 '!M101)</f>
        <v/>
      </c>
      <c r="N89" s="397">
        <f>('3C. Tel. - Revenue Drivers - 1 '!N101)</f>
        <v/>
      </c>
      <c r="O89" s="397">
        <f>('3C. Tel. - Revenue Drivers - 1 '!O101)</f>
        <v/>
      </c>
      <c r="P89" s="397">
        <f>('3C. Tel. - Revenue Drivers - 1 '!P101)</f>
        <v/>
      </c>
      <c r="Q89" s="397">
        <f>('3C. Tel. - Revenue Drivers - 1 '!Q101)</f>
        <v/>
      </c>
      <c r="R89" s="397">
        <f>('3C. Tel. - Revenue Drivers - 1 '!R101)</f>
        <v/>
      </c>
      <c r="S89" s="397">
        <f>('3C. Tel. - Revenue Drivers - 1 '!S101)</f>
        <v/>
      </c>
      <c r="T89" s="397">
        <f>('3C. Tel. - Revenue Drivers - 1 '!T101)</f>
        <v/>
      </c>
      <c r="U89" s="397">
        <f>('3C. Tel. - Revenue Drivers - 1 '!U101)</f>
        <v/>
      </c>
      <c r="V89" s="383" t="n"/>
      <c r="W89" s="397">
        <f>((J89)+(K89)+(L89)+(M89)+(N89)+(O89)+(P89)+(Q89)+(R89)+(S89)+(T89)+(U89))</f>
        <v/>
      </c>
    </row>
    <row r="90" ht="15" customHeight="1" s="1883">
      <c r="D90" s="390" t="n"/>
      <c r="E90" s="383" t="n"/>
      <c r="F90" s="383" t="inlineStr">
        <is>
          <t>Selling Price/Handset, including logistics</t>
        </is>
      </c>
      <c r="G90" s="383" t="n"/>
      <c r="H90" s="383" t="n"/>
      <c r="I90" s="383" t="n"/>
      <c r="J90" s="395">
        <f>($J$19)</f>
        <v/>
      </c>
      <c r="K90" s="395">
        <f>($J$19)</f>
        <v/>
      </c>
      <c r="L90" s="395">
        <f>($J$19)</f>
        <v/>
      </c>
      <c r="M90" s="395">
        <f>($J$19)</f>
        <v/>
      </c>
      <c r="N90" s="395">
        <f>($J$19)</f>
        <v/>
      </c>
      <c r="O90" s="395">
        <f>($J$19)</f>
        <v/>
      </c>
      <c r="P90" s="395">
        <f>($J$19)</f>
        <v/>
      </c>
      <c r="Q90" s="395">
        <f>($J$19)</f>
        <v/>
      </c>
      <c r="R90" s="395">
        <f>($J$19)</f>
        <v/>
      </c>
      <c r="S90" s="395">
        <f>($J$19)</f>
        <v/>
      </c>
      <c r="T90" s="395">
        <f>($J$19)</f>
        <v/>
      </c>
      <c r="U90" s="395">
        <f>($J$19)</f>
        <v/>
      </c>
      <c r="V90" s="383" t="n"/>
      <c r="W90" s="383" t="n"/>
    </row>
    <row r="91" ht="3" customHeight="1" s="1883">
      <c r="D91" s="383" t="n"/>
      <c r="E91" s="383" t="n"/>
      <c r="I91" s="383" t="n"/>
      <c r="J91" s="387" t="n"/>
      <c r="K91" s="387" t="n"/>
      <c r="L91" s="387" t="n"/>
      <c r="M91" s="387" t="n"/>
      <c r="N91" s="387" t="n"/>
      <c r="O91" s="387" t="n"/>
      <c r="P91" s="387" t="n"/>
      <c r="Q91" s="387" t="n"/>
      <c r="R91" s="387" t="n"/>
      <c r="S91" s="387" t="n"/>
      <c r="T91" s="387" t="n"/>
      <c r="U91" s="387" t="n"/>
      <c r="V91" s="383" t="n"/>
      <c r="W91" s="387" t="n"/>
    </row>
    <row r="92" ht="3" customHeight="1" s="1883">
      <c r="D92" s="383" t="n"/>
      <c r="E92" s="383" t="n"/>
      <c r="F92" s="383" t="n"/>
      <c r="G92" s="383" t="n"/>
      <c r="H92" s="383" t="n"/>
      <c r="I92" s="383" t="n"/>
      <c r="J92" s="383" t="n"/>
      <c r="K92" s="383" t="n"/>
      <c r="L92" s="383" t="n"/>
      <c r="M92" s="383" t="n"/>
      <c r="N92" s="383" t="n"/>
      <c r="O92" s="383" t="n"/>
      <c r="P92" s="383" t="n"/>
      <c r="Q92" s="383" t="n"/>
      <c r="R92" s="383" t="n"/>
      <c r="S92" s="383" t="n"/>
      <c r="T92" s="383" t="n"/>
      <c r="U92" s="383" t="n"/>
      <c r="V92" s="383" t="n"/>
      <c r="W92" s="383" t="n"/>
    </row>
    <row r="93" ht="15" customHeight="1" s="1883">
      <c r="D93" s="383" t="n"/>
      <c r="E93" s="383" t="n"/>
      <c r="F93" s="383" t="n"/>
      <c r="G93" s="385" t="inlineStr">
        <is>
          <t>Revenue, Handsets to New Users</t>
        </is>
      </c>
      <c r="H93" s="385" t="n"/>
      <c r="I93" s="383" t="n"/>
      <c r="J93" s="396">
        <f>((J89)*(J90))</f>
        <v/>
      </c>
      <c r="K93" s="396">
        <f>((K89)*(K90))</f>
        <v/>
      </c>
      <c r="L93" s="396">
        <f>((L89)*(L90))</f>
        <v/>
      </c>
      <c r="M93" s="396">
        <f>((M89)*(M90))</f>
        <v/>
      </c>
      <c r="N93" s="396">
        <f>((N89)*(N90))</f>
        <v/>
      </c>
      <c r="O93" s="396">
        <f>((O89)*(O90))</f>
        <v/>
      </c>
      <c r="P93" s="396">
        <f>((P89)*(P90))</f>
        <v/>
      </c>
      <c r="Q93" s="396">
        <f>((Q89)*(Q90))</f>
        <v/>
      </c>
      <c r="R93" s="396">
        <f>((R89)*(R90))</f>
        <v/>
      </c>
      <c r="S93" s="396">
        <f>((S89)*(S90))</f>
        <v/>
      </c>
      <c r="T93" s="396">
        <f>((T89)*(T90))</f>
        <v/>
      </c>
      <c r="U93" s="396">
        <f>((U89)*(U90))</f>
        <v/>
      </c>
      <c r="V93" s="383" t="n"/>
      <c r="W93" s="396">
        <f>((J93)+(K93)+(L93)+(M93)+(N93)+(O93)+(P93)+(Q93)+(R93)+(S93)+(T93)+(U93))</f>
        <v/>
      </c>
    </row>
    <row r="97" ht="15" customHeight="1" s="1883">
      <c r="D97" s="383" t="n"/>
      <c r="E97" s="383" t="n"/>
      <c r="F97" s="383" t="inlineStr">
        <is>
          <t>Cost/handset, including logistics</t>
        </is>
      </c>
      <c r="H97" s="383" t="n"/>
      <c r="I97" s="383" t="n"/>
      <c r="J97" s="870">
        <f>($J$28)</f>
        <v/>
      </c>
      <c r="K97" s="870">
        <f>($J$28)</f>
        <v/>
      </c>
      <c r="L97" s="870">
        <f>($J$28)</f>
        <v/>
      </c>
      <c r="M97" s="870">
        <f>($J$28)</f>
        <v/>
      </c>
      <c r="N97" s="871">
        <f>($J$29)</f>
        <v/>
      </c>
      <c r="O97" s="871">
        <f>($J$29)</f>
        <v/>
      </c>
      <c r="P97" s="871">
        <f>($J$29)</f>
        <v/>
      </c>
      <c r="Q97" s="871">
        <f>($J$29)</f>
        <v/>
      </c>
      <c r="R97" s="871">
        <f>($J$29)</f>
        <v/>
      </c>
      <c r="S97" s="871">
        <f>($J$29)</f>
        <v/>
      </c>
      <c r="T97" s="871">
        <f>($J$29)</f>
        <v/>
      </c>
      <c r="U97" s="871">
        <f>($J$29)</f>
        <v/>
      </c>
      <c r="V97" s="383" t="n"/>
      <c r="W97" s="383" t="n"/>
    </row>
    <row r="98" ht="3" customHeight="1" s="1883">
      <c r="D98" s="383" t="n"/>
      <c r="E98" s="383" t="n"/>
      <c r="F98" s="383" t="n"/>
      <c r="G98" s="383" t="n"/>
      <c r="H98" s="383" t="n"/>
      <c r="I98" s="383" t="n"/>
      <c r="J98" s="387" t="n"/>
      <c r="K98" s="387" t="n"/>
      <c r="L98" s="387" t="n"/>
      <c r="M98" s="387" t="n"/>
      <c r="N98" s="387" t="n"/>
      <c r="O98" s="387" t="n"/>
      <c r="P98" s="387" t="n"/>
      <c r="Q98" s="387" t="n"/>
      <c r="R98" s="387" t="n"/>
      <c r="S98" s="387" t="n"/>
      <c r="T98" s="387" t="n"/>
      <c r="U98" s="387" t="n"/>
      <c r="V98" s="383" t="n"/>
      <c r="W98" s="387" t="n"/>
    </row>
    <row r="99" ht="3" customHeight="1" s="1883">
      <c r="D99" s="383" t="n"/>
      <c r="E99" s="383" t="n"/>
      <c r="F99" s="383" t="n"/>
      <c r="G99" s="383" t="n"/>
      <c r="H99" s="383" t="n"/>
      <c r="I99" s="383" t="n"/>
      <c r="J99" s="383" t="n"/>
      <c r="K99" s="383" t="n"/>
      <c r="L99" s="383" t="n"/>
      <c r="M99" s="383" t="n"/>
      <c r="N99" s="383" t="n"/>
      <c r="O99" s="383" t="n"/>
      <c r="P99" s="383" t="n"/>
      <c r="Q99" s="383" t="n"/>
      <c r="R99" s="383" t="n"/>
      <c r="S99" s="383" t="n"/>
      <c r="T99" s="383" t="n"/>
      <c r="U99" s="383" t="n"/>
      <c r="V99" s="383" t="n"/>
      <c r="W99" s="383" t="n"/>
    </row>
    <row r="100" ht="15" customHeight="1" s="1883">
      <c r="D100" s="383" t="n"/>
      <c r="E100" s="383" t="n"/>
      <c r="F100" s="383" t="n"/>
      <c r="G100" s="385" t="inlineStr">
        <is>
          <t>CoGS, Handsets to New Users</t>
        </is>
      </c>
      <c r="H100" s="383" t="n"/>
      <c r="I100" s="383" t="n"/>
      <c r="J100" s="396">
        <f>((J89)*(J97))</f>
        <v/>
      </c>
      <c r="K100" s="396">
        <f>((K89)*(K97))</f>
        <v/>
      </c>
      <c r="L100" s="396">
        <f>((L89)*(L97))</f>
        <v/>
      </c>
      <c r="M100" s="396">
        <f>((M89)*(M97))</f>
        <v/>
      </c>
      <c r="N100" s="396">
        <f>((N89)*(N97))</f>
        <v/>
      </c>
      <c r="O100" s="396">
        <f>((O89)*(O97))</f>
        <v/>
      </c>
      <c r="P100" s="396">
        <f>((P89)*(P97))</f>
        <v/>
      </c>
      <c r="Q100" s="396">
        <f>((Q89)*(Q97))</f>
        <v/>
      </c>
      <c r="R100" s="396">
        <f>((R89)*(R97))</f>
        <v/>
      </c>
      <c r="S100" s="396">
        <f>((S89)*(S97))</f>
        <v/>
      </c>
      <c r="T100" s="396">
        <f>((T89)*(T97))</f>
        <v/>
      </c>
      <c r="U100" s="396">
        <f>((U89)*(U97))</f>
        <v/>
      </c>
      <c r="V100" s="383" t="n"/>
      <c r="W100" s="396">
        <f>((J100)+(K100)+(L100)+(M100)+(N100)+(O100)+(P100)+(Q100)+(R100)+(S100)+(T100)+(U100))</f>
        <v/>
      </c>
    </row>
    <row r="101" ht="3" customHeight="1" s="1883">
      <c r="D101" s="383" t="n"/>
      <c r="E101" s="383" t="n"/>
      <c r="F101" s="383" t="n"/>
      <c r="G101" s="383" t="n"/>
      <c r="H101" s="383" t="n"/>
      <c r="I101" s="383" t="n"/>
      <c r="J101" s="387" t="n"/>
      <c r="K101" s="387" t="n"/>
      <c r="L101" s="387" t="n"/>
      <c r="M101" s="387" t="n"/>
      <c r="N101" s="387" t="n"/>
      <c r="O101" s="387" t="n"/>
      <c r="P101" s="387" t="n"/>
      <c r="Q101" s="387" t="n"/>
      <c r="R101" s="387" t="n"/>
      <c r="S101" s="387" t="n"/>
      <c r="T101" s="387" t="n"/>
      <c r="U101" s="387" t="n"/>
      <c r="V101" s="383" t="n"/>
      <c r="W101" s="387" t="n"/>
    </row>
    <row r="102" ht="3" customHeight="1" s="1883">
      <c r="D102" s="383" t="n"/>
      <c r="E102" s="383" t="n"/>
      <c r="F102" s="383" t="n"/>
      <c r="G102" s="383" t="n"/>
      <c r="H102" s="383" t="n"/>
      <c r="I102" s="383" t="n"/>
      <c r="J102" s="383" t="n"/>
      <c r="K102" s="383" t="n"/>
      <c r="L102" s="383" t="n"/>
      <c r="M102" s="383" t="n"/>
      <c r="N102" s="383" t="n"/>
      <c r="O102" s="383" t="n"/>
      <c r="P102" s="383" t="n"/>
      <c r="Q102" s="383" t="n"/>
      <c r="R102" s="383" t="n"/>
      <c r="S102" s="383" t="n"/>
      <c r="T102" s="383" t="n"/>
      <c r="U102" s="383" t="n"/>
      <c r="V102" s="383" t="n"/>
      <c r="W102" s="383" t="n"/>
    </row>
    <row r="103" ht="15" customHeight="1" s="1883">
      <c r="D103" s="383" t="n"/>
      <c r="E103" s="383" t="n"/>
      <c r="F103" s="383" t="n"/>
      <c r="G103" s="383" t="n"/>
      <c r="H103" s="383" t="n"/>
      <c r="I103" s="383" t="n"/>
      <c r="J103" s="383" t="n"/>
      <c r="K103" s="383" t="n"/>
      <c r="L103" s="383" t="n"/>
      <c r="M103" s="383" t="n"/>
      <c r="N103" s="383" t="n"/>
      <c r="O103" s="383" t="n"/>
      <c r="P103" s="383" t="n"/>
      <c r="Q103" s="383" t="n"/>
      <c r="R103" s="383" t="n"/>
      <c r="S103" s="383" t="n"/>
      <c r="T103" s="383" t="n"/>
      <c r="U103" s="383" t="n"/>
      <c r="V103" s="383" t="n"/>
      <c r="W103" s="383" t="n"/>
    </row>
    <row r="104" ht="15" customHeight="1" s="1883">
      <c r="D104" s="390" t="inlineStr">
        <is>
          <t>●</t>
        </is>
      </c>
      <c r="E104" s="385" t="inlineStr">
        <is>
          <t>Renewals</t>
        </is>
      </c>
      <c r="F104" s="383" t="n"/>
      <c r="G104" s="383" t="n"/>
      <c r="H104" s="383" t="n"/>
      <c r="I104" s="383" t="n"/>
      <c r="J104" s="383" t="n"/>
      <c r="K104" s="383" t="n"/>
      <c r="L104" s="383" t="n"/>
      <c r="M104" s="383" t="n"/>
      <c r="N104" s="383" t="n"/>
      <c r="O104" s="383" t="n"/>
      <c r="P104" s="383" t="n"/>
      <c r="Q104" s="383" t="n"/>
      <c r="R104" s="383" t="n"/>
      <c r="S104" s="383" t="n"/>
      <c r="T104" s="383" t="n"/>
      <c r="U104" s="383" t="n"/>
      <c r="V104" s="383" t="n"/>
      <c r="W104" s="383" t="n"/>
    </row>
    <row r="105" ht="15" customHeight="1" s="1883">
      <c r="D105" s="383" t="n"/>
      <c r="E105" s="383" t="n"/>
      <c r="F105" s="385" t="inlineStr">
        <is>
          <t xml:space="preserve">Number of Renewals </t>
        </is>
      </c>
      <c r="G105" s="383" t="n"/>
      <c r="H105" s="383" t="n"/>
      <c r="I105" s="383" t="n"/>
      <c r="J105" s="397">
        <f>'3C. Tel. - Revenue Drivers - 1 '!J102</f>
        <v/>
      </c>
      <c r="K105" s="397">
        <f>('3C. Tel. - Revenue Drivers - 1 '!K102)</f>
        <v/>
      </c>
      <c r="L105" s="397">
        <f>('3C. Tel. - Revenue Drivers - 1 '!L102)</f>
        <v/>
      </c>
      <c r="M105" s="397">
        <f>('3C. Tel. - Revenue Drivers - 1 '!M102)</f>
        <v/>
      </c>
      <c r="N105" s="397">
        <f>('3C. Tel. - Revenue Drivers - 1 '!N102)</f>
        <v/>
      </c>
      <c r="O105" s="397">
        <f>('3C. Tel. - Revenue Drivers - 1 '!O102)</f>
        <v/>
      </c>
      <c r="P105" s="397">
        <f>('3C. Tel. - Revenue Drivers - 1 '!P102)</f>
        <v/>
      </c>
      <c r="Q105" s="397">
        <f>('3C. Tel. - Revenue Drivers - 1 '!Q102)</f>
        <v/>
      </c>
      <c r="R105" s="397">
        <f>('3C. Tel. - Revenue Drivers - 1 '!R102)</f>
        <v/>
      </c>
      <c r="S105" s="397">
        <f>('3C. Tel. - Revenue Drivers - 1 '!S102)</f>
        <v/>
      </c>
      <c r="T105" s="397">
        <f>('3C. Tel. - Revenue Drivers - 1 '!T102)</f>
        <v/>
      </c>
      <c r="U105" s="397">
        <f>('3C. Tel. - Revenue Drivers - 1 '!U102)</f>
        <v/>
      </c>
      <c r="V105" s="383" t="n"/>
      <c r="W105" s="397">
        <f>((J105)+(K105)+(L105)+(M105)+(N105)+(O105)+(P105)+(Q105)+(R105)+(S105)+(T105)+(U105))</f>
        <v/>
      </c>
    </row>
    <row r="106" ht="15" customHeight="1" s="1883">
      <c r="D106" s="383" t="n"/>
      <c r="E106" s="383" t="n"/>
      <c r="F106" s="383" t="inlineStr">
        <is>
          <t>Cost/handset, including logistics</t>
        </is>
      </c>
      <c r="H106" s="383" t="n"/>
      <c r="I106" s="383" t="n"/>
      <c r="J106" s="870">
        <f>($J$28)</f>
        <v/>
      </c>
      <c r="K106" s="870">
        <f>($J$28)</f>
        <v/>
      </c>
      <c r="L106" s="870">
        <f>($J$28)</f>
        <v/>
      </c>
      <c r="M106" s="870">
        <f>($J$28)</f>
        <v/>
      </c>
      <c r="N106" s="871">
        <f>($J$29)</f>
        <v/>
      </c>
      <c r="O106" s="871">
        <f>($J$29)</f>
        <v/>
      </c>
      <c r="P106" s="871">
        <f>($J$29)</f>
        <v/>
      </c>
      <c r="Q106" s="871">
        <f>($J$29)</f>
        <v/>
      </c>
      <c r="R106" s="871">
        <f>($J$29)</f>
        <v/>
      </c>
      <c r="S106" s="871">
        <f>($J$29)</f>
        <v/>
      </c>
      <c r="T106" s="871">
        <f>($J$29)</f>
        <v/>
      </c>
      <c r="U106" s="871">
        <f>($J$29)</f>
        <v/>
      </c>
      <c r="V106" s="383" t="n"/>
      <c r="W106" s="383" t="n"/>
    </row>
    <row r="107" ht="3" customHeight="1" s="1883">
      <c r="D107" s="383" t="n"/>
      <c r="E107" s="383" t="n"/>
      <c r="F107" s="383" t="n"/>
      <c r="G107" s="383" t="n"/>
      <c r="H107" s="383" t="n"/>
      <c r="I107" s="383" t="n"/>
      <c r="J107" s="387" t="n"/>
      <c r="K107" s="387" t="n"/>
      <c r="L107" s="387" t="n"/>
      <c r="M107" s="387" t="n"/>
      <c r="N107" s="387" t="n"/>
      <c r="O107" s="387" t="n"/>
      <c r="P107" s="387" t="n"/>
      <c r="Q107" s="387" t="n"/>
      <c r="R107" s="387" t="n"/>
      <c r="S107" s="387" t="n"/>
      <c r="T107" s="387" t="n"/>
      <c r="U107" s="387" t="n"/>
      <c r="V107" s="383" t="n"/>
      <c r="W107" s="387" t="n"/>
    </row>
    <row r="108" ht="3" customHeight="1" s="1883">
      <c r="D108" s="383" t="n"/>
      <c r="E108" s="383" t="n"/>
      <c r="F108" s="383" t="n"/>
      <c r="G108" s="383" t="n"/>
      <c r="H108" s="383" t="n"/>
      <c r="I108" s="383" t="n"/>
      <c r="J108" s="383" t="n"/>
      <c r="K108" s="383" t="n"/>
      <c r="L108" s="383" t="n"/>
      <c r="M108" s="383" t="n"/>
      <c r="N108" s="383" t="n"/>
      <c r="O108" s="383" t="n"/>
      <c r="P108" s="383" t="n"/>
      <c r="Q108" s="383" t="n"/>
      <c r="R108" s="383" t="n"/>
      <c r="S108" s="383" t="n"/>
      <c r="T108" s="383" t="n"/>
      <c r="U108" s="383" t="n"/>
      <c r="V108" s="383" t="n"/>
      <c r="W108" s="383" t="n"/>
    </row>
    <row r="109" ht="15" customHeight="1" s="1883">
      <c r="D109" s="383" t="n"/>
      <c r="E109" s="383" t="n"/>
      <c r="F109" s="383" t="n"/>
      <c r="G109" s="385" t="inlineStr">
        <is>
          <t>CoGS, Handsets to Renewals</t>
        </is>
      </c>
      <c r="H109" s="383" t="n"/>
      <c r="I109" s="383" t="n"/>
      <c r="J109" s="396">
        <f>((J105)*(J106))</f>
        <v/>
      </c>
      <c r="K109" s="396">
        <f>((K105)*(K106))</f>
        <v/>
      </c>
      <c r="L109" s="396">
        <f>((L105)*(L106))</f>
        <v/>
      </c>
      <c r="M109" s="396">
        <f>((M105)*(M106))</f>
        <v/>
      </c>
      <c r="N109" s="396">
        <f>((N105)*(N106))</f>
        <v/>
      </c>
      <c r="O109" s="396">
        <f>((O105)*(O106))</f>
        <v/>
      </c>
      <c r="P109" s="396">
        <f>((P105)*(P106))</f>
        <v/>
      </c>
      <c r="Q109" s="396">
        <f>((Q105)*(Q106))</f>
        <v/>
      </c>
      <c r="R109" s="396">
        <f>((R105)*(R106))</f>
        <v/>
      </c>
      <c r="S109" s="396">
        <f>((S105)*(S106))</f>
        <v/>
      </c>
      <c r="T109" s="396">
        <f>((T105)*(T106))</f>
        <v/>
      </c>
      <c r="U109" s="396">
        <f>((U105)*(U106))</f>
        <v/>
      </c>
      <c r="V109" s="396" t="n"/>
      <c r="W109" s="396">
        <f>((J109)+(K109)+(L109)+(M109)+(N109)+(O109)+(P109)+(Q109)+(R109)+(S109)+(T109)+(U109))</f>
        <v/>
      </c>
    </row>
    <row r="110">
      <c r="M110" s="1458" t="n"/>
      <c r="N110" s="1458" t="n"/>
    </row>
    <row r="111">
      <c r="M111" s="504" t="n"/>
      <c r="N111" s="504" t="n"/>
    </row>
    <row r="113" ht="15" customHeight="1" s="1883">
      <c r="D113" s="390" t="inlineStr">
        <is>
          <t>●</t>
        </is>
      </c>
      <c r="E113" s="385" t="inlineStr">
        <is>
          <t>Warranty (0.11% of Hardware Revenue)</t>
        </is>
      </c>
      <c r="F113" s="383" t="n"/>
      <c r="G113" s="383" t="n"/>
      <c r="H113" s="383" t="n"/>
      <c r="I113" s="383" t="n"/>
      <c r="J113" s="494">
        <f>((0.001)*(J93))</f>
        <v/>
      </c>
      <c r="K113" s="494">
        <f>((0.001)*(K93))</f>
        <v/>
      </c>
      <c r="L113" s="494">
        <f>((0.001)*(L93))</f>
        <v/>
      </c>
      <c r="M113" s="494">
        <f>((0.001)*(M93))</f>
        <v/>
      </c>
      <c r="N113" s="494">
        <f>((0.001)*(N93))</f>
        <v/>
      </c>
      <c r="O113" s="494">
        <f>((0.001)*(O93))</f>
        <v/>
      </c>
      <c r="P113" s="494">
        <f>((0.001)*(P93))</f>
        <v/>
      </c>
      <c r="Q113" s="494">
        <f>((0.001)*(Q93))</f>
        <v/>
      </c>
      <c r="R113" s="494">
        <f>((0.001)*(R93))</f>
        <v/>
      </c>
      <c r="S113" s="494">
        <f>((0.001)*(S93))</f>
        <v/>
      </c>
      <c r="T113" s="494">
        <f>((0.001)*(T93))</f>
        <v/>
      </c>
      <c r="U113" s="494">
        <f>((0.001)*(U93))</f>
        <v/>
      </c>
      <c r="V113" s="383" t="n"/>
      <c r="W113" s="494">
        <f>((J113)+(K113)+(L113)+(M113)+(N113)+(O113)+(P113)+(Q113)+(R113)+(S113)+(T113)+(U113))</f>
        <v/>
      </c>
      <c r="X113" s="383" t="n"/>
      <c r="Y113" s="383" t="n"/>
    </row>
    <row r="114" ht="15" customHeight="1" s="1883">
      <c r="D114" s="383" t="n"/>
      <c r="E114" s="383" t="n"/>
      <c r="F114" s="383" t="n"/>
      <c r="G114" s="383" t="n"/>
      <c r="H114" s="383" t="n"/>
      <c r="I114" s="383" t="n"/>
      <c r="J114" s="383" t="n"/>
      <c r="K114" s="383" t="n"/>
      <c r="L114" s="383" t="n"/>
      <c r="M114" s="383" t="n"/>
      <c r="N114" s="383" t="n"/>
      <c r="O114" s="383" t="n"/>
      <c r="P114" s="383" t="n"/>
      <c r="Q114" s="383" t="n"/>
      <c r="R114" s="383" t="n"/>
      <c r="S114" s="383" t="n"/>
      <c r="T114" s="383" t="n"/>
      <c r="U114" s="383" t="n"/>
      <c r="V114" s="383" t="n"/>
      <c r="W114" s="383" t="n"/>
      <c r="X114" s="383" t="n"/>
      <c r="Y114" s="383" t="n"/>
    </row>
    <row r="115" ht="15" customHeight="1" s="1883">
      <c r="D115" s="383" t="n"/>
      <c r="E115" s="383" t="n"/>
      <c r="F115" s="383" t="n"/>
      <c r="G115" s="383" t="n"/>
      <c r="H115" s="463" t="inlineStr">
        <is>
          <t>Net Revenue = Revenue Less CoGS</t>
        </is>
      </c>
      <c r="I115" s="464" t="n"/>
      <c r="J115" s="465">
        <f>((J93)-(J100)-(J109)-(J113))</f>
        <v/>
      </c>
      <c r="K115" s="465">
        <f>((K93)-(K100)-(K109)-(K113))</f>
        <v/>
      </c>
      <c r="L115" s="465">
        <f>((L93)-(L100)-(L109)-(L113))</f>
        <v/>
      </c>
      <c r="M115" s="465">
        <f>((M93)-(M100)-(M109)-(M113))</f>
        <v/>
      </c>
      <c r="N115" s="465">
        <f>((N93)-(N100)-(N109)-(N113))</f>
        <v/>
      </c>
      <c r="O115" s="465">
        <f>((O93)-(O100)-(O109)-(O113))</f>
        <v/>
      </c>
      <c r="P115" s="465">
        <f>((P93)-(P100)-(P109)-(P113))</f>
        <v/>
      </c>
      <c r="Q115" s="465">
        <f>((Q93)-(Q100)-(Q109)-(Q113))</f>
        <v/>
      </c>
      <c r="R115" s="465">
        <f>((R93)-(R100)-(R109)-(R113))</f>
        <v/>
      </c>
      <c r="S115" s="465">
        <f>((S93)-(S100)-(S109)-(S113))</f>
        <v/>
      </c>
      <c r="T115" s="465">
        <f>((T93)-(T100)-(T109)-(T113))</f>
        <v/>
      </c>
      <c r="U115" s="465">
        <f>((U93)-(U100)-(U109)-(U113))</f>
        <v/>
      </c>
      <c r="V115" s="465" t="n"/>
      <c r="W115" s="465">
        <f>((W93)-(W100)-(W109)-(W113))</f>
        <v/>
      </c>
      <c r="X115" s="383" t="n"/>
      <c r="Y115" s="396">
        <f>((W93)-(W100)-(W109)-(W113))</f>
        <v/>
      </c>
    </row>
    <row r="116" ht="3" customHeight="1" s="1883">
      <c r="D116" s="383" t="n"/>
      <c r="E116" s="383" t="n"/>
      <c r="F116" s="383" t="n"/>
      <c r="G116" s="383" t="n"/>
      <c r="H116" s="383" t="n"/>
      <c r="I116" s="383" t="n"/>
      <c r="J116" s="387" t="n"/>
      <c r="K116" s="387" t="n"/>
      <c r="L116" s="387" t="n"/>
      <c r="M116" s="387" t="n"/>
      <c r="N116" s="387" t="n"/>
      <c r="O116" s="387" t="n"/>
      <c r="P116" s="387" t="n"/>
      <c r="Q116" s="387" t="n"/>
      <c r="R116" s="387" t="n"/>
      <c r="S116" s="387" t="n"/>
      <c r="T116" s="387" t="n"/>
      <c r="U116" s="387" t="n"/>
      <c r="V116" s="383" t="n"/>
      <c r="W116" s="387" t="n"/>
      <c r="X116" s="383" t="n"/>
      <c r="Y116" s="387" t="n"/>
    </row>
    <row r="117" ht="3" customHeight="1" s="1883">
      <c r="D117" s="383" t="n"/>
      <c r="E117" s="383" t="n"/>
      <c r="F117" s="383" t="n"/>
      <c r="G117" s="383" t="n"/>
      <c r="H117" s="383" t="n"/>
      <c r="I117" s="383" t="n"/>
      <c r="J117" s="383" t="n"/>
      <c r="K117" s="383" t="n"/>
      <c r="L117" s="383" t="n"/>
      <c r="M117" s="383" t="n"/>
      <c r="N117" s="383" t="n"/>
      <c r="O117" s="383" t="n"/>
      <c r="P117" s="383" t="n"/>
      <c r="Q117" s="383" t="n"/>
      <c r="R117" s="383" t="n"/>
      <c r="S117" s="383" t="n"/>
      <c r="T117" s="383" t="n"/>
      <c r="U117" s="383" t="n"/>
      <c r="V117" s="383" t="n"/>
      <c r="W117" s="383" t="n"/>
      <c r="X117" s="383" t="n"/>
      <c r="Y117" s="383" t="n"/>
    </row>
    <row r="118" ht="15" customHeight="1" s="1883">
      <c r="D118" s="383" t="n"/>
      <c r="E118" s="383" t="n"/>
      <c r="F118" s="383" t="n"/>
      <c r="G118" s="383" t="n"/>
      <c r="H118" s="383" t="n"/>
      <c r="I118" s="383" t="n"/>
      <c r="J118" s="383" t="n"/>
      <c r="K118" s="383" t="n"/>
      <c r="L118" s="383" t="n"/>
      <c r="M118" s="383" t="n"/>
      <c r="N118" s="383" t="n"/>
      <c r="O118" s="383" t="n"/>
      <c r="P118" s="383" t="n"/>
      <c r="Q118" s="383" t="n"/>
      <c r="R118" s="383" t="n"/>
      <c r="S118" s="383" t="n"/>
      <c r="T118" s="383" t="n"/>
      <c r="U118" s="383" t="n"/>
      <c r="V118" s="383" t="n"/>
      <c r="W118" s="383" t="n"/>
      <c r="X118" s="383" t="n"/>
      <c r="Y118" s="383" t="n"/>
    </row>
    <row r="119" ht="15" customHeight="1" s="1883">
      <c r="D119" s="383" t="n"/>
      <c r="E119" s="383" t="n"/>
      <c r="F119" s="383" t="n"/>
      <c r="G119" s="383" t="n"/>
      <c r="H119" s="383" t="n"/>
      <c r="I119" s="383" t="n"/>
      <c r="J119" s="383" t="n"/>
      <c r="K119" s="383" t="n"/>
      <c r="L119" s="383" t="n"/>
      <c r="M119" s="383" t="n"/>
      <c r="N119" s="383" t="n"/>
      <c r="O119" s="383" t="n"/>
      <c r="P119" s="383" t="n"/>
      <c r="Q119" s="383" t="n"/>
      <c r="R119" s="383" t="n"/>
      <c r="S119" s="383" t="n"/>
      <c r="T119" s="383" t="n"/>
      <c r="U119" s="383" t="n"/>
      <c r="V119" s="383" t="n"/>
      <c r="W119" s="383" t="n"/>
      <c r="X119" s="383" t="n"/>
      <c r="Y119" s="383" t="n"/>
    </row>
    <row r="120" ht="15" customHeight="1" s="1883">
      <c r="D120" s="383" t="n"/>
      <c r="E120" s="383" t="n"/>
      <c r="F120" s="383" t="n"/>
      <c r="G120" s="383" t="n"/>
      <c r="H120" s="383" t="n"/>
      <c r="I120" s="383" t="n"/>
      <c r="J120" s="1882" t="inlineStr">
        <is>
          <t>Year 3</t>
        </is>
      </c>
      <c r="X120" s="383" t="n"/>
      <c r="Y120" s="383" t="n"/>
    </row>
    <row r="121" ht="3" customHeight="1" s="1883">
      <c r="D121" s="383" t="n"/>
      <c r="E121" s="383" t="n"/>
      <c r="F121" s="383" t="n"/>
      <c r="G121" s="383" t="n"/>
      <c r="H121" s="383" t="n"/>
      <c r="I121" s="383" t="n"/>
      <c r="J121" s="387" t="n"/>
      <c r="K121" s="387" t="n"/>
      <c r="L121" s="387" t="n"/>
      <c r="M121" s="387" t="n"/>
      <c r="N121" s="387" t="n"/>
      <c r="O121" s="387" t="n"/>
      <c r="P121" s="387" t="n"/>
      <c r="Q121" s="387" t="n"/>
      <c r="R121" s="387" t="n"/>
      <c r="S121" s="387" t="n"/>
      <c r="T121" s="387" t="n"/>
      <c r="U121" s="387" t="n"/>
      <c r="V121" s="387" t="n"/>
      <c r="W121" s="387" t="n"/>
      <c r="X121" s="383" t="n"/>
      <c r="Y121" s="383" t="n"/>
    </row>
    <row r="122" ht="3" customHeight="1" s="1883">
      <c r="D122" s="383" t="n"/>
      <c r="E122" s="383" t="n"/>
      <c r="F122" s="383" t="n"/>
      <c r="G122" s="383" t="n"/>
      <c r="H122" s="383" t="n"/>
      <c r="I122" s="383" t="n"/>
      <c r="J122" s="383" t="n"/>
      <c r="K122" s="383" t="n"/>
      <c r="L122" s="383" t="n"/>
      <c r="M122" s="383" t="n"/>
      <c r="N122" s="383" t="n"/>
      <c r="O122" s="383" t="n"/>
      <c r="P122" s="383" t="n"/>
      <c r="Q122" s="383" t="n"/>
      <c r="R122" s="383" t="n"/>
      <c r="S122" s="383" t="n"/>
      <c r="T122" s="383" t="n"/>
      <c r="U122" s="383" t="n"/>
      <c r="V122" s="383" t="n"/>
      <c r="W122" s="383" t="n"/>
      <c r="X122" s="383" t="n"/>
      <c r="Y122" s="383" t="n"/>
    </row>
    <row r="123" ht="15" customHeight="1" s="1883">
      <c r="D123" s="383" t="n"/>
      <c r="E123" s="383" t="n"/>
      <c r="F123" s="383" t="n"/>
      <c r="G123" s="383" t="n"/>
      <c r="H123" s="383" t="n"/>
      <c r="I123" s="383" t="n"/>
      <c r="J123" s="386" t="inlineStr">
        <is>
          <t>Month 25</t>
        </is>
      </c>
      <c r="K123" s="386" t="inlineStr">
        <is>
          <t>Month 26</t>
        </is>
      </c>
      <c r="L123" s="386" t="inlineStr">
        <is>
          <t>Month 27</t>
        </is>
      </c>
      <c r="M123" s="386" t="inlineStr">
        <is>
          <t>Month 28</t>
        </is>
      </c>
      <c r="N123" s="386" t="inlineStr">
        <is>
          <t>Month 29</t>
        </is>
      </c>
      <c r="O123" s="386" t="inlineStr">
        <is>
          <t>Month 30</t>
        </is>
      </c>
      <c r="P123" s="386" t="inlineStr">
        <is>
          <t>Month 31</t>
        </is>
      </c>
      <c r="Q123" s="386" t="inlineStr">
        <is>
          <t>Month 32</t>
        </is>
      </c>
      <c r="R123" s="386" t="inlineStr">
        <is>
          <t>Month 33</t>
        </is>
      </c>
      <c r="S123" s="386" t="inlineStr">
        <is>
          <t>Month 34</t>
        </is>
      </c>
      <c r="T123" s="386" t="inlineStr">
        <is>
          <t>Month 35</t>
        </is>
      </c>
      <c r="U123" s="386" t="inlineStr">
        <is>
          <t>Month 36</t>
        </is>
      </c>
      <c r="V123" s="383" t="n"/>
      <c r="W123" s="386" t="inlineStr">
        <is>
          <t>Full-Year</t>
        </is>
      </c>
      <c r="X123" s="383" t="n"/>
      <c r="Y123" s="383" t="n"/>
    </row>
    <row r="124" ht="3" customHeight="1" s="1883">
      <c r="D124" s="383" t="n"/>
      <c r="E124" s="383" t="n"/>
      <c r="F124" s="383" t="n"/>
      <c r="G124" s="383" t="n"/>
      <c r="H124" s="383" t="n"/>
      <c r="I124" s="383" t="n"/>
      <c r="J124" s="387" t="n"/>
      <c r="K124" s="387" t="n"/>
      <c r="L124" s="387" t="n"/>
      <c r="M124" s="387" t="n"/>
      <c r="N124" s="387" t="n"/>
      <c r="O124" s="387" t="n"/>
      <c r="P124" s="387" t="n"/>
      <c r="Q124" s="387" t="n"/>
      <c r="R124" s="387" t="n"/>
      <c r="S124" s="387" t="n"/>
      <c r="T124" s="387" t="n"/>
      <c r="U124" s="387" t="n"/>
      <c r="V124" s="383" t="n"/>
      <c r="W124" s="387" t="n"/>
      <c r="X124" s="383" t="n"/>
      <c r="Y124" s="383" t="n"/>
    </row>
    <row r="125" ht="3" customHeight="1" s="1883">
      <c r="D125" s="383" t="n"/>
      <c r="E125" s="383" t="n"/>
      <c r="F125" s="383" t="n"/>
      <c r="G125" s="383" t="n"/>
      <c r="H125" s="383" t="n"/>
      <c r="I125" s="383" t="n"/>
      <c r="J125" s="383" t="n"/>
      <c r="K125" s="383" t="n"/>
      <c r="L125" s="383" t="n"/>
      <c r="M125" s="383" t="n"/>
      <c r="N125" s="383" t="n"/>
      <c r="O125" s="383" t="n"/>
      <c r="P125" s="383" t="n"/>
      <c r="Q125" s="383" t="n"/>
      <c r="R125" s="383" t="n"/>
      <c r="S125" s="383" t="n"/>
      <c r="T125" s="383" t="n"/>
      <c r="U125" s="383" t="n"/>
      <c r="V125" s="383" t="n"/>
      <c r="W125" s="383" t="n"/>
      <c r="X125" s="383" t="n"/>
      <c r="Y125" s="383" t="n"/>
    </row>
    <row r="126" ht="15" customHeight="1" s="1883">
      <c r="D126" s="390" t="inlineStr">
        <is>
          <t>●</t>
        </is>
      </c>
      <c r="E126" s="385" t="inlineStr">
        <is>
          <t>New Users</t>
        </is>
      </c>
      <c r="F126" s="385" t="n"/>
      <c r="G126" s="385" t="n"/>
      <c r="H126" s="385" t="n"/>
      <c r="I126" s="383" t="n"/>
      <c r="J126" s="397" t="n"/>
      <c r="K126" s="383" t="n"/>
      <c r="L126" s="383" t="n"/>
      <c r="M126" s="383" t="n"/>
      <c r="N126" s="383" t="n"/>
      <c r="O126" s="383" t="n"/>
      <c r="P126" s="383" t="n"/>
      <c r="Q126" s="383" t="n"/>
      <c r="R126" s="383" t="n"/>
      <c r="S126" s="383" t="n"/>
      <c r="T126" s="383" t="n"/>
      <c r="U126" s="383" t="n"/>
      <c r="V126" s="383" t="n"/>
      <c r="W126" s="383" t="n"/>
      <c r="X126" s="383" t="n"/>
      <c r="Y126" s="383" t="n"/>
    </row>
    <row r="127" ht="15" customHeight="1" s="1883">
      <c r="D127" s="390" t="n"/>
      <c r="E127" s="390" t="n"/>
      <c r="F127" s="385" t="inlineStr">
        <is>
          <t>Number of Activated Telephones</t>
        </is>
      </c>
      <c r="G127" s="383" t="n"/>
      <c r="H127" s="383" t="n"/>
      <c r="I127" s="383" t="n"/>
      <c r="J127" s="397">
        <f>'3C. Tel. - Revenue Drivers - 1 '!J119</f>
        <v/>
      </c>
      <c r="K127" s="397">
        <f>'3C. Tel. - Revenue Drivers - 1 '!K119</f>
        <v/>
      </c>
      <c r="L127" s="397">
        <f>'3C. Tel. - Revenue Drivers - 1 '!L119</f>
        <v/>
      </c>
      <c r="M127" s="397">
        <f>'3C. Tel. - Revenue Drivers - 1 '!M119</f>
        <v/>
      </c>
      <c r="N127" s="397">
        <f>'3C. Tel. - Revenue Drivers - 1 '!N119</f>
        <v/>
      </c>
      <c r="O127" s="397">
        <f>'3C. Tel. - Revenue Drivers - 1 '!O119</f>
        <v/>
      </c>
      <c r="P127" s="397">
        <f>'3C. Tel. - Revenue Drivers - 1 '!P119</f>
        <v/>
      </c>
      <c r="Q127" s="397">
        <f>'3C. Tel. - Revenue Drivers - 1 '!Q119</f>
        <v/>
      </c>
      <c r="R127" s="397">
        <f>'3C. Tel. - Revenue Drivers - 1 '!R119</f>
        <v/>
      </c>
      <c r="S127" s="397">
        <f>'3C. Tel. - Revenue Drivers - 1 '!S119</f>
        <v/>
      </c>
      <c r="T127" s="397">
        <f>'3C. Tel. - Revenue Drivers - 1 '!T119</f>
        <v/>
      </c>
      <c r="U127" s="397">
        <f>'3C. Tel. - Revenue Drivers - 1 '!U119</f>
        <v/>
      </c>
      <c r="V127" s="383" t="n"/>
      <c r="W127" s="397">
        <f>((J127)+(K127)+(L127)+(M127)+(N127)+(O127)+(P127)+(Q127)+(R127)+(S127)+(T127)+(U127))</f>
        <v/>
      </c>
      <c r="X127" s="383" t="n"/>
      <c r="Y127" s="383" t="n"/>
    </row>
    <row r="128" ht="15" customHeight="1" s="1883">
      <c r="D128" s="390" t="n"/>
      <c r="E128" s="383" t="n"/>
      <c r="F128" s="383" t="inlineStr">
        <is>
          <t>Selling Price/Handset, including logistics</t>
        </is>
      </c>
      <c r="G128" s="383" t="n"/>
      <c r="H128" s="383" t="n"/>
      <c r="I128" s="383" t="n"/>
      <c r="J128" s="395">
        <f>($J$20)</f>
        <v/>
      </c>
      <c r="K128" s="395">
        <f>($J$20)</f>
        <v/>
      </c>
      <c r="L128" s="395">
        <f>($J$20)</f>
        <v/>
      </c>
      <c r="M128" s="395">
        <f>($J$20)</f>
        <v/>
      </c>
      <c r="N128" s="395">
        <f>($J$20)</f>
        <v/>
      </c>
      <c r="O128" s="395">
        <f>($J$20)</f>
        <v/>
      </c>
      <c r="P128" s="395">
        <f>($J$20)</f>
        <v/>
      </c>
      <c r="Q128" s="395">
        <f>($J$20)</f>
        <v/>
      </c>
      <c r="R128" s="395">
        <f>($J$20)</f>
        <v/>
      </c>
      <c r="S128" s="395">
        <f>($J$20)</f>
        <v/>
      </c>
      <c r="T128" s="395">
        <f>($J$20)</f>
        <v/>
      </c>
      <c r="U128" s="395">
        <f>($J$20)</f>
        <v/>
      </c>
      <c r="V128" s="383" t="n"/>
      <c r="W128" s="383" t="n"/>
      <c r="X128" s="383" t="n"/>
      <c r="Y128" s="383" t="n"/>
    </row>
    <row r="131" ht="15" customHeight="1" s="1883">
      <c r="D131" s="383" t="n"/>
      <c r="E131" s="383" t="n"/>
      <c r="F131" s="383" t="n"/>
      <c r="G131" s="385" t="inlineStr">
        <is>
          <t>Revenue, Handsets to New Users</t>
        </is>
      </c>
      <c r="H131" s="385" t="n"/>
      <c r="I131" s="383" t="n"/>
      <c r="J131" s="396">
        <f>((J127)*(J128))</f>
        <v/>
      </c>
      <c r="K131" s="396">
        <f>((K127)*(K128))</f>
        <v/>
      </c>
      <c r="L131" s="396">
        <f>((L127)*(L128))</f>
        <v/>
      </c>
      <c r="M131" s="396">
        <f>((M127)*(M128))</f>
        <v/>
      </c>
      <c r="N131" s="396">
        <f>((N127)*(N128))</f>
        <v/>
      </c>
      <c r="O131" s="396">
        <f>((O127)*(O128))</f>
        <v/>
      </c>
      <c r="P131" s="396">
        <f>((P127)*(P128))</f>
        <v/>
      </c>
      <c r="Q131" s="396">
        <f>((Q127)*(Q128))</f>
        <v/>
      </c>
      <c r="R131" s="396">
        <f>((R127)*(R128))</f>
        <v/>
      </c>
      <c r="S131" s="396">
        <f>((S127)*(S128))</f>
        <v/>
      </c>
      <c r="T131" s="396">
        <f>((T127)*(T128))</f>
        <v/>
      </c>
      <c r="U131" s="396">
        <f>((U127)*(U128))</f>
        <v/>
      </c>
      <c r="V131" s="383" t="n"/>
      <c r="W131" s="396">
        <f>((J131)+(K131)+(L131)+(M131)+(N131)+(O131)+(P131)+(Q131)+(R131)+(S131)+(T131)+(U131))</f>
        <v/>
      </c>
    </row>
    <row r="132" ht="3" customHeight="1" s="1883">
      <c r="D132" s="383" t="n"/>
      <c r="E132" s="383" t="n"/>
      <c r="F132" s="383" t="n"/>
      <c r="G132" s="385" t="n"/>
      <c r="H132" s="385" t="n"/>
      <c r="I132" s="383" t="n"/>
      <c r="J132" s="387" t="n"/>
      <c r="K132" s="387" t="n"/>
      <c r="L132" s="387" t="n"/>
      <c r="M132" s="387" t="n"/>
      <c r="N132" s="387" t="n"/>
      <c r="O132" s="387" t="n"/>
      <c r="P132" s="387" t="n"/>
      <c r="Q132" s="387" t="n"/>
      <c r="R132" s="387" t="n"/>
      <c r="S132" s="387" t="n"/>
      <c r="T132" s="387" t="n"/>
      <c r="U132" s="387" t="n"/>
      <c r="V132" s="383" t="n"/>
      <c r="W132" s="387" t="n"/>
    </row>
    <row r="133" ht="3" customHeight="1" s="1883">
      <c r="D133" s="383" t="n"/>
      <c r="E133" s="383" t="n"/>
      <c r="F133" s="383" t="n"/>
      <c r="G133" s="385" t="n"/>
      <c r="H133" s="385" t="n"/>
      <c r="I133" s="383" t="n"/>
      <c r="J133" s="383" t="n"/>
      <c r="K133" s="383" t="n"/>
      <c r="L133" s="383" t="n"/>
      <c r="M133" s="383" t="n"/>
      <c r="N133" s="383" t="n"/>
      <c r="O133" s="383" t="n"/>
      <c r="P133" s="383" t="n"/>
      <c r="Q133" s="383" t="n"/>
      <c r="R133" s="383" t="n"/>
      <c r="S133" s="383" t="n"/>
      <c r="T133" s="383" t="n"/>
      <c r="U133" s="383" t="n"/>
      <c r="V133" s="383" t="n"/>
      <c r="W133" s="383" t="n"/>
    </row>
    <row r="134" ht="15" customHeight="1" s="1883">
      <c r="D134" s="383" t="n"/>
      <c r="E134" s="383" t="n"/>
      <c r="F134" s="383" t="n"/>
      <c r="G134" s="385" t="n"/>
      <c r="H134" s="385" t="n"/>
      <c r="I134" s="383" t="n"/>
      <c r="J134" s="383" t="n"/>
      <c r="K134" s="383" t="n"/>
      <c r="L134" s="383" t="n"/>
      <c r="M134" s="383" t="n"/>
      <c r="N134" s="383" t="n"/>
      <c r="O134" s="383" t="n"/>
      <c r="P134" s="383" t="n"/>
      <c r="Q134" s="383" t="n"/>
      <c r="R134" s="383" t="n"/>
      <c r="S134" s="383" t="n"/>
      <c r="T134" s="383" t="n"/>
      <c r="U134" s="383" t="n"/>
      <c r="V134" s="383" t="n"/>
      <c r="W134" s="383" t="n"/>
    </row>
    <row r="135" ht="15" customHeight="1" s="1883">
      <c r="D135" s="383" t="n"/>
      <c r="E135" s="383" t="n"/>
      <c r="F135" s="383" t="inlineStr">
        <is>
          <t>Cost/handset, including logistics</t>
        </is>
      </c>
      <c r="H135" s="383" t="n"/>
      <c r="I135" s="383" t="n"/>
      <c r="J135" s="871">
        <f>($J$29)</f>
        <v/>
      </c>
      <c r="K135" s="871">
        <f>($J$29)</f>
        <v/>
      </c>
      <c r="L135" s="871">
        <f>($J$29)</f>
        <v/>
      </c>
      <c r="M135" s="871">
        <f>($J$29)</f>
        <v/>
      </c>
      <c r="N135" s="870">
        <f>($J$30)</f>
        <v/>
      </c>
      <c r="O135" s="870">
        <f>($J$30)</f>
        <v/>
      </c>
      <c r="P135" s="870">
        <f>($J$30)</f>
        <v/>
      </c>
      <c r="Q135" s="870">
        <f>($J$30)</f>
        <v/>
      </c>
      <c r="R135" s="870">
        <f>($J$30)</f>
        <v/>
      </c>
      <c r="S135" s="870">
        <f>($J$30)</f>
        <v/>
      </c>
      <c r="T135" s="870">
        <f>($J$30)</f>
        <v/>
      </c>
      <c r="U135" s="870">
        <f>($J$30)</f>
        <v/>
      </c>
      <c r="V135" s="383" t="n"/>
      <c r="W135" s="383" t="n"/>
    </row>
    <row r="136" ht="3" customHeight="1" s="1883">
      <c r="D136" s="383" t="n"/>
      <c r="E136" s="383" t="n"/>
      <c r="F136" s="383" t="n"/>
      <c r="G136" s="383" t="n"/>
      <c r="H136" s="383" t="n"/>
      <c r="I136" s="383" t="n"/>
      <c r="J136" s="387" t="n"/>
      <c r="K136" s="387" t="n"/>
      <c r="L136" s="387" t="n"/>
      <c r="M136" s="387" t="n"/>
      <c r="N136" s="387" t="n"/>
      <c r="O136" s="387" t="n"/>
      <c r="P136" s="387" t="n"/>
      <c r="Q136" s="387" t="n"/>
      <c r="R136" s="387" t="n"/>
      <c r="S136" s="387" t="n"/>
      <c r="T136" s="387" t="n"/>
      <c r="U136" s="387" t="n"/>
      <c r="V136" s="383" t="n"/>
      <c r="W136" s="387" t="n"/>
    </row>
    <row r="137" ht="3" customHeight="1" s="1883">
      <c r="D137" s="383" t="n"/>
      <c r="E137" s="383" t="n"/>
      <c r="F137" s="383" t="n"/>
      <c r="G137" s="383" t="n"/>
      <c r="H137" s="383" t="n"/>
      <c r="I137" s="383" t="n"/>
      <c r="J137" s="383" t="n"/>
      <c r="K137" s="383" t="n"/>
      <c r="L137" s="383" t="n"/>
      <c r="M137" s="383" t="n"/>
      <c r="N137" s="383" t="n"/>
      <c r="O137" s="383" t="n"/>
      <c r="P137" s="383" t="n"/>
      <c r="Q137" s="383" t="n"/>
      <c r="R137" s="383" t="n"/>
      <c r="S137" s="383" t="n"/>
      <c r="T137" s="383" t="n"/>
      <c r="U137" s="383" t="n"/>
      <c r="V137" s="383" t="n"/>
      <c r="W137" s="383" t="n"/>
    </row>
    <row r="138" ht="15" customHeight="1" s="1883">
      <c r="D138" s="383" t="n"/>
      <c r="E138" s="383" t="n"/>
      <c r="F138" s="383" t="n"/>
      <c r="G138" s="385" t="inlineStr">
        <is>
          <t>CoGS, Handsets to New Users</t>
        </is>
      </c>
      <c r="H138" s="383" t="n"/>
      <c r="I138" s="383" t="n"/>
      <c r="J138" s="396">
        <f>((J127)*(J135))</f>
        <v/>
      </c>
      <c r="K138" s="396">
        <f>((K127)*(K135))</f>
        <v/>
      </c>
      <c r="L138" s="396">
        <f>((L127)*(L135))</f>
        <v/>
      </c>
      <c r="M138" s="396">
        <f>((M127)*(M135))</f>
        <v/>
      </c>
      <c r="N138" s="396">
        <f>((N127)*(N135))</f>
        <v/>
      </c>
      <c r="O138" s="396">
        <f>((O127)*(O135))</f>
        <v/>
      </c>
      <c r="P138" s="396">
        <f>((P127)*(P135))</f>
        <v/>
      </c>
      <c r="Q138" s="396">
        <f>((Q127)*(Q135))</f>
        <v/>
      </c>
      <c r="R138" s="396">
        <f>((R127)*(R135))</f>
        <v/>
      </c>
      <c r="S138" s="396">
        <f>((S127)*(S135))</f>
        <v/>
      </c>
      <c r="T138" s="396">
        <f>((T127)*(T135))</f>
        <v/>
      </c>
      <c r="U138" s="396">
        <f>((U127)*(U135))</f>
        <v/>
      </c>
      <c r="V138" s="383" t="n"/>
      <c r="W138" s="396">
        <f>((J138)+(K138)+(L138)+(M138)+(N138)+(O138)+(P138)+(Q138)+(R138)+(S138)+(T138)+(U138))</f>
        <v/>
      </c>
    </row>
    <row r="139" ht="3" customHeight="1" s="1883">
      <c r="D139" s="383" t="n"/>
      <c r="E139" s="383" t="n"/>
      <c r="F139" s="383" t="n"/>
      <c r="G139" s="383" t="n"/>
      <c r="H139" s="383" t="n"/>
      <c r="I139" s="383" t="n"/>
      <c r="J139" s="387" t="n"/>
      <c r="K139" s="387" t="n"/>
      <c r="L139" s="387" t="n"/>
      <c r="M139" s="387" t="n"/>
      <c r="N139" s="387" t="n"/>
      <c r="O139" s="387" t="n"/>
      <c r="P139" s="387" t="n"/>
      <c r="Q139" s="387" t="n"/>
      <c r="R139" s="387" t="n"/>
      <c r="S139" s="387" t="n"/>
      <c r="T139" s="387" t="n"/>
      <c r="U139" s="387" t="n"/>
      <c r="V139" s="383" t="n"/>
      <c r="W139" s="387" t="n"/>
    </row>
    <row r="140" ht="3" customHeight="1" s="1883">
      <c r="D140" s="383" t="n"/>
      <c r="E140" s="383" t="n"/>
      <c r="F140" s="383" t="n"/>
      <c r="G140" s="383" t="n"/>
      <c r="H140" s="383" t="n"/>
      <c r="I140" s="383" t="n"/>
      <c r="J140" s="383" t="n"/>
      <c r="K140" s="383" t="n"/>
      <c r="L140" s="383" t="n"/>
      <c r="M140" s="383" t="n"/>
      <c r="N140" s="383" t="n"/>
      <c r="O140" s="383" t="n"/>
      <c r="P140" s="383" t="n"/>
      <c r="Q140" s="383" t="n"/>
      <c r="R140" s="383" t="n"/>
      <c r="S140" s="383" t="n"/>
      <c r="T140" s="383" t="n"/>
      <c r="U140" s="383" t="n"/>
      <c r="V140" s="383" t="n"/>
      <c r="W140" s="383" t="n"/>
    </row>
    <row r="141" ht="15" customHeight="1" s="1883">
      <c r="D141" s="383" t="n"/>
      <c r="E141" s="383" t="n"/>
      <c r="F141" s="383" t="n"/>
      <c r="G141" s="383" t="n"/>
      <c r="H141" s="383" t="n"/>
      <c r="I141" s="383" t="n"/>
      <c r="J141" s="383" t="n"/>
      <c r="K141" s="383" t="n"/>
      <c r="L141" s="383" t="n"/>
      <c r="M141" s="383" t="n"/>
      <c r="N141" s="383" t="n"/>
      <c r="O141" s="383" t="n"/>
      <c r="P141" s="383" t="n"/>
      <c r="Q141" s="383" t="n"/>
      <c r="R141" s="383" t="n"/>
      <c r="S141" s="383" t="n"/>
      <c r="T141" s="383" t="n"/>
      <c r="U141" s="383" t="n"/>
      <c r="V141" s="383" t="n"/>
      <c r="W141" s="383" t="n"/>
    </row>
    <row r="142" ht="15" customHeight="1" s="1883">
      <c r="D142" s="390" t="inlineStr">
        <is>
          <t>●</t>
        </is>
      </c>
      <c r="E142" s="385" t="inlineStr">
        <is>
          <t>Renewals</t>
        </is>
      </c>
      <c r="F142" s="383" t="n"/>
      <c r="G142" s="383" t="n"/>
      <c r="H142" s="383" t="n"/>
      <c r="I142" s="383" t="n"/>
      <c r="J142" s="383" t="n"/>
      <c r="K142" s="383" t="n"/>
      <c r="L142" s="383" t="n"/>
      <c r="M142" s="383" t="n"/>
      <c r="N142" s="383" t="n"/>
      <c r="O142" s="383" t="n"/>
      <c r="P142" s="383" t="n"/>
      <c r="Q142" s="383" t="n"/>
      <c r="R142" s="383" t="n"/>
      <c r="S142" s="383" t="n"/>
      <c r="T142" s="383" t="n"/>
      <c r="U142" s="383" t="n"/>
      <c r="V142" s="383" t="n"/>
      <c r="W142" s="383" t="n"/>
    </row>
    <row r="143" ht="15" customHeight="1" s="1883">
      <c r="D143" s="383" t="n"/>
      <c r="E143" s="383" t="n"/>
      <c r="F143" s="385" t="inlineStr">
        <is>
          <t xml:space="preserve">Number of Renewals </t>
        </is>
      </c>
      <c r="G143" s="383" t="n"/>
      <c r="H143" s="383" t="n"/>
      <c r="I143" s="383" t="n"/>
      <c r="J143" s="397">
        <f>'3C. Tel. - Revenue Drivers - 1 '!J120</f>
        <v/>
      </c>
      <c r="K143" s="397">
        <f>'3C. Tel. - Revenue Drivers - 1 '!K120</f>
        <v/>
      </c>
      <c r="L143" s="397">
        <f>'3C. Tel. - Revenue Drivers - 1 '!L120</f>
        <v/>
      </c>
      <c r="M143" s="397">
        <f>'3C. Tel. - Revenue Drivers - 1 '!M120</f>
        <v/>
      </c>
      <c r="N143" s="397">
        <f>'3C. Tel. - Revenue Drivers - 1 '!N120</f>
        <v/>
      </c>
      <c r="O143" s="397">
        <f>'3C. Tel. - Revenue Drivers - 1 '!O120</f>
        <v/>
      </c>
      <c r="P143" s="397">
        <f>'3C. Tel. - Revenue Drivers - 1 '!P120</f>
        <v/>
      </c>
      <c r="Q143" s="397">
        <f>'3C. Tel. - Revenue Drivers - 1 '!Q120</f>
        <v/>
      </c>
      <c r="R143" s="397">
        <f>'3C. Tel. - Revenue Drivers - 1 '!R120</f>
        <v/>
      </c>
      <c r="S143" s="397">
        <f>'3C. Tel. - Revenue Drivers - 1 '!S120</f>
        <v/>
      </c>
      <c r="T143" s="397">
        <f>'3C. Tel. - Revenue Drivers - 1 '!T120</f>
        <v/>
      </c>
      <c r="U143" s="397">
        <f>'3C. Tel. - Revenue Drivers - 1 '!U120</f>
        <v/>
      </c>
      <c r="V143" s="383" t="n"/>
      <c r="W143" s="397">
        <f>((J143)+(K143)+(L143)+(M143)+(N143)+(O143)+(P143)+(Q143)+(R143)+(S143)+(T143)+(U143))</f>
        <v/>
      </c>
    </row>
    <row r="144" ht="15" customHeight="1" s="1883">
      <c r="D144" s="383" t="n"/>
      <c r="E144" s="383" t="n"/>
      <c r="F144" s="383" t="inlineStr">
        <is>
          <t>Cost/handset, including logistics</t>
        </is>
      </c>
      <c r="H144" s="383" t="n"/>
      <c r="I144" s="383" t="n"/>
      <c r="J144" s="871">
        <f>($J$29)</f>
        <v/>
      </c>
      <c r="K144" s="871">
        <f>($J$29)</f>
        <v/>
      </c>
      <c r="L144" s="871">
        <f>($J$29)</f>
        <v/>
      </c>
      <c r="M144" s="871">
        <f>($J$29)</f>
        <v/>
      </c>
      <c r="N144" s="870">
        <f>($J$30)</f>
        <v/>
      </c>
      <c r="O144" s="870">
        <f>($J$30)</f>
        <v/>
      </c>
      <c r="P144" s="870">
        <f>($J$30)</f>
        <v/>
      </c>
      <c r="Q144" s="870">
        <f>($J$30)</f>
        <v/>
      </c>
      <c r="R144" s="870">
        <f>($J$30)</f>
        <v/>
      </c>
      <c r="S144" s="870">
        <f>($J$30)</f>
        <v/>
      </c>
      <c r="T144" s="870">
        <f>($J$30)</f>
        <v/>
      </c>
      <c r="U144" s="870">
        <f>($J$30)</f>
        <v/>
      </c>
      <c r="V144" s="383" t="n"/>
      <c r="W144" s="383" t="n"/>
    </row>
    <row r="147" ht="15" customHeight="1" s="1883">
      <c r="D147" s="383" t="n"/>
      <c r="E147" s="383" t="n"/>
      <c r="F147" s="383" t="n"/>
      <c r="G147" s="385" t="inlineStr">
        <is>
          <t>CoGS, Handsets to Renewals</t>
        </is>
      </c>
      <c r="H147" s="383" t="n"/>
      <c r="I147" s="383" t="n"/>
      <c r="J147" s="396">
        <f>((J143)*(J144))</f>
        <v/>
      </c>
      <c r="K147" s="396">
        <f>((K143)*(K144))</f>
        <v/>
      </c>
      <c r="L147" s="396">
        <f>((L143)*(L144))</f>
        <v/>
      </c>
      <c r="M147" s="396">
        <f>((M143)*(M144))</f>
        <v/>
      </c>
      <c r="N147" s="396">
        <f>((N143)*(N144))</f>
        <v/>
      </c>
      <c r="O147" s="396">
        <f>((O143)*(O144))</f>
        <v/>
      </c>
      <c r="P147" s="396">
        <f>((P143)*(P144))</f>
        <v/>
      </c>
      <c r="Q147" s="396">
        <f>((Q143)*(Q144))</f>
        <v/>
      </c>
      <c r="R147" s="396">
        <f>((R143)*(R144))</f>
        <v/>
      </c>
      <c r="S147" s="396">
        <f>((S143)*(S144))</f>
        <v/>
      </c>
      <c r="T147" s="396">
        <f>((T143)*(T144))</f>
        <v/>
      </c>
      <c r="U147" s="396">
        <f>((U143)*(U144))</f>
        <v/>
      </c>
      <c r="V147" s="396" t="n"/>
      <c r="W147" s="396">
        <f>((J147)+(K147)+(L147)+(M147)+(N147)+(O147)+(P147)+(Q147)+(R147)+(S147)+(T147)+(U147))</f>
        <v/>
      </c>
      <c r="X147" s="383" t="n"/>
      <c r="Y147" s="383" t="n"/>
    </row>
    <row r="148" ht="3" customHeight="1" s="1883">
      <c r="D148" s="383" t="n"/>
      <c r="E148" s="383" t="n"/>
      <c r="F148" s="383" t="n"/>
      <c r="G148" s="383" t="n"/>
      <c r="H148" s="383" t="n"/>
      <c r="I148" s="383" t="n"/>
      <c r="J148" s="387" t="n"/>
      <c r="K148" s="387" t="n"/>
      <c r="L148" s="387" t="n"/>
      <c r="M148" s="387" t="n"/>
      <c r="N148" s="387" t="n"/>
      <c r="O148" s="387" t="n"/>
      <c r="P148" s="387" t="n"/>
      <c r="Q148" s="387" t="n"/>
      <c r="R148" s="387" t="n"/>
      <c r="S148" s="387" t="n"/>
      <c r="T148" s="387" t="n"/>
      <c r="U148" s="387" t="n"/>
      <c r="V148" s="383" t="n"/>
      <c r="W148" s="387" t="n"/>
      <c r="X148" s="383" t="n"/>
      <c r="Y148" s="383" t="n"/>
    </row>
    <row r="149" ht="3" customHeight="1" s="1883">
      <c r="D149" s="383" t="n"/>
      <c r="E149" s="383" t="n"/>
      <c r="F149" s="383" t="n"/>
      <c r="G149" s="383" t="n"/>
      <c r="H149" s="383" t="n"/>
      <c r="I149" s="383" t="n"/>
      <c r="J149" s="383" t="n"/>
      <c r="K149" s="383" t="n"/>
      <c r="L149" s="383" t="n"/>
      <c r="M149" s="383" t="n"/>
      <c r="N149" s="383" t="n"/>
      <c r="O149" s="383" t="n"/>
      <c r="P149" s="383" t="n"/>
      <c r="Q149" s="383" t="n"/>
      <c r="R149" s="383" t="n"/>
      <c r="S149" s="383" t="n"/>
      <c r="T149" s="383" t="n"/>
      <c r="U149" s="383" t="n"/>
      <c r="V149" s="383" t="n"/>
      <c r="W149" s="383" t="n"/>
      <c r="X149" s="383" t="n"/>
      <c r="Y149" s="383" t="n"/>
    </row>
    <row r="150" ht="15" customHeight="1" s="1883">
      <c r="D150" s="383" t="n"/>
      <c r="E150" s="383" t="n"/>
      <c r="F150" s="383" t="n"/>
      <c r="G150" s="383" t="n"/>
      <c r="H150" s="383" t="n"/>
      <c r="I150" s="383" t="n"/>
      <c r="J150" s="383" t="n"/>
      <c r="K150" s="383" t="n"/>
      <c r="L150" s="383" t="n"/>
      <c r="M150" s="383" t="n"/>
      <c r="N150" s="383" t="n"/>
      <c r="O150" s="383" t="n"/>
      <c r="P150" s="383" t="n"/>
      <c r="Q150" s="383" t="n"/>
      <c r="R150" s="383" t="n"/>
      <c r="S150" s="383" t="n"/>
      <c r="T150" s="383" t="n"/>
      <c r="U150" s="383" t="n"/>
      <c r="V150" s="383" t="n"/>
      <c r="W150" s="1910" t="n"/>
      <c r="X150" s="383" t="n"/>
      <c r="Y150" s="383" t="n"/>
    </row>
    <row r="151" ht="15" customHeight="1" s="1883">
      <c r="D151" s="390" t="inlineStr">
        <is>
          <t>●</t>
        </is>
      </c>
      <c r="E151" s="385" t="inlineStr">
        <is>
          <t>Warranty (0.11% of Hardware Revenue)</t>
        </is>
      </c>
      <c r="F151" s="383" t="n"/>
      <c r="G151" s="383" t="n"/>
      <c r="H151" s="383" t="n"/>
      <c r="I151" s="383" t="n"/>
      <c r="J151" s="494">
        <f>((0.001)*(J131))</f>
        <v/>
      </c>
      <c r="K151" s="494">
        <f>((0.001)*(K131))</f>
        <v/>
      </c>
      <c r="L151" s="494">
        <f>((0.001)*(L131))</f>
        <v/>
      </c>
      <c r="M151" s="494">
        <f>((0.001)*(M131))</f>
        <v/>
      </c>
      <c r="N151" s="494">
        <f>((0.001)*(N131))</f>
        <v/>
      </c>
      <c r="O151" s="494">
        <f>((0.001)*(O131))</f>
        <v/>
      </c>
      <c r="P151" s="494">
        <f>((0.001)*(P131))</f>
        <v/>
      </c>
      <c r="Q151" s="494">
        <f>((0.001)*(Q131))</f>
        <v/>
      </c>
      <c r="R151" s="494">
        <f>((0.001)*(R131))</f>
        <v/>
      </c>
      <c r="S151" s="494">
        <f>((0.001)*(S131))</f>
        <v/>
      </c>
      <c r="T151" s="494">
        <f>((0.001)*(T131))</f>
        <v/>
      </c>
      <c r="U151" s="494">
        <f>((0.001)*(U131))</f>
        <v/>
      </c>
      <c r="V151" s="383" t="n"/>
      <c r="W151" s="494">
        <f>((J151)+(K151)+(L151)+(M151)+(N151)+(O151)+(P151)+(Q151)+(R151)+(S151)+(T151)+(U151))</f>
        <v/>
      </c>
      <c r="X151" s="383" t="n"/>
      <c r="Y151" s="383" t="n"/>
    </row>
    <row r="152" ht="15" customHeight="1" s="1883">
      <c r="D152" s="383" t="n"/>
      <c r="E152" s="383" t="n"/>
      <c r="F152" s="383" t="n"/>
      <c r="G152" s="383" t="n"/>
      <c r="H152" s="383" t="n"/>
      <c r="I152" s="383" t="n"/>
      <c r="J152" s="383" t="n"/>
      <c r="K152" s="383" t="n"/>
      <c r="L152" s="383" t="n"/>
      <c r="M152" s="383" t="n"/>
      <c r="N152" s="383" t="n"/>
      <c r="O152" s="383" t="n"/>
      <c r="P152" s="383" t="n"/>
      <c r="Q152" s="383" t="n"/>
      <c r="R152" s="383" t="n"/>
      <c r="S152" s="383" t="n"/>
      <c r="T152" s="383" t="n"/>
      <c r="U152" s="383" t="n"/>
      <c r="V152" s="383" t="n"/>
      <c r="W152" s="383" t="n"/>
      <c r="X152" s="383" t="n"/>
      <c r="Y152" s="383" t="n"/>
    </row>
    <row r="153" ht="15" customHeight="1" s="1883">
      <c r="D153" s="383" t="n"/>
      <c r="E153" s="383" t="n"/>
      <c r="F153" s="383" t="n"/>
      <c r="G153" s="383" t="n"/>
      <c r="H153" s="463" t="inlineStr">
        <is>
          <t>Net Revenue = Revenue Less CoGS</t>
        </is>
      </c>
      <c r="I153" s="464" t="n"/>
      <c r="J153" s="465">
        <f>((J131)-(J138)-(J147)-(J151))</f>
        <v/>
      </c>
      <c r="K153" s="465">
        <f>((K131)-(K138)-(K147)-(K151))</f>
        <v/>
      </c>
      <c r="L153" s="465">
        <f>((L131)-(L138)-(L147)-(L151))</f>
        <v/>
      </c>
      <c r="M153" s="465">
        <f>((M131)-(M138)-(M147)-(M151))</f>
        <v/>
      </c>
      <c r="N153" s="465">
        <f>((N131)-(N138)-(N147)-(N151))</f>
        <v/>
      </c>
      <c r="O153" s="465">
        <f>((O131)-(O138)-(O147)-(O151))</f>
        <v/>
      </c>
      <c r="P153" s="465">
        <f>((P131)-(P138)-(P147)-(P151))</f>
        <v/>
      </c>
      <c r="Q153" s="465">
        <f>((Q131)-(Q138)-(Q147)-(Q151))</f>
        <v/>
      </c>
      <c r="R153" s="465">
        <f>((R131)-(R138)-(R147)-(R151))</f>
        <v/>
      </c>
      <c r="S153" s="465">
        <f>((S131)-(S138)-(S147)-(S151))</f>
        <v/>
      </c>
      <c r="T153" s="465">
        <f>((T131)-(T138)-(T147)-(T151))</f>
        <v/>
      </c>
      <c r="U153" s="465">
        <f>((U131)-(U138)-(U147)-(U151))</f>
        <v/>
      </c>
      <c r="V153" s="465" t="n"/>
      <c r="W153" s="465">
        <f>((W131)-(W138)-(W147)-(W151))</f>
        <v/>
      </c>
      <c r="X153" s="383" t="n"/>
      <c r="Y153" s="396">
        <f>((W131)-(W138)-(W147)-(W151))</f>
        <v/>
      </c>
    </row>
    <row r="154" ht="3" customHeight="1" s="1883">
      <c r="D154" s="383" t="n"/>
      <c r="E154" s="383" t="n"/>
      <c r="F154" s="383" t="n"/>
      <c r="G154" s="383" t="n"/>
      <c r="H154" s="383" t="n"/>
      <c r="I154" s="383" t="n"/>
      <c r="J154" s="387" t="n"/>
      <c r="K154" s="387" t="n"/>
      <c r="L154" s="387" t="n"/>
      <c r="M154" s="387" t="n"/>
      <c r="N154" s="387" t="n"/>
      <c r="O154" s="387" t="n"/>
      <c r="P154" s="387" t="n"/>
      <c r="Q154" s="387" t="n"/>
      <c r="R154" s="387" t="n"/>
      <c r="S154" s="387" t="n"/>
      <c r="T154" s="387" t="n"/>
      <c r="U154" s="387" t="n"/>
      <c r="V154" s="383" t="n"/>
      <c r="W154" s="387" t="n"/>
      <c r="X154" s="383" t="n"/>
      <c r="Y154" s="387" t="n"/>
    </row>
    <row r="155" ht="3" customHeight="1" s="1883">
      <c r="D155" s="383" t="n"/>
      <c r="E155" s="383" t="n"/>
      <c r="F155" s="383" t="n"/>
      <c r="G155" s="383" t="n"/>
      <c r="H155" s="383" t="n"/>
      <c r="I155" s="383" t="n"/>
      <c r="J155" s="383" t="n"/>
      <c r="K155" s="383" t="n"/>
      <c r="L155" s="383" t="n"/>
      <c r="M155" s="383" t="n"/>
      <c r="N155" s="383" t="n"/>
      <c r="O155" s="383" t="n"/>
      <c r="P155" s="383" t="n"/>
      <c r="Q155" s="383" t="n"/>
      <c r="R155" s="383" t="n"/>
      <c r="S155" s="383" t="n"/>
      <c r="T155" s="383" t="n"/>
      <c r="U155" s="383" t="n"/>
      <c r="V155" s="383" t="n"/>
      <c r="W155" s="383" t="n"/>
      <c r="X155" s="383" t="n"/>
      <c r="Y155" s="383" t="n"/>
    </row>
    <row r="156" ht="15" customHeight="1" s="1883">
      <c r="D156" s="383" t="n"/>
      <c r="E156" s="383" t="n"/>
      <c r="F156" s="383" t="n"/>
      <c r="G156" s="383" t="n"/>
      <c r="H156" s="383" t="n"/>
      <c r="I156" s="383" t="n"/>
      <c r="J156" s="383" t="n"/>
      <c r="K156" s="383" t="n"/>
      <c r="L156" s="383" t="n"/>
      <c r="M156" s="383" t="n"/>
      <c r="N156" s="383" t="n"/>
      <c r="O156" s="383" t="n"/>
      <c r="P156" s="383" t="n"/>
      <c r="Q156" s="383" t="n"/>
      <c r="R156" s="383" t="n"/>
      <c r="S156" s="383" t="n"/>
      <c r="T156" s="383" t="n"/>
      <c r="U156" s="383" t="n"/>
      <c r="V156" s="383" t="n"/>
      <c r="W156" s="383" t="n"/>
      <c r="X156" s="383" t="n"/>
      <c r="Y156" s="383" t="n"/>
    </row>
    <row r="157" ht="15" customHeight="1" s="1883">
      <c r="D157" s="383" t="n"/>
      <c r="E157" s="383" t="n"/>
      <c r="F157" s="383" t="n"/>
      <c r="G157" s="383" t="n"/>
      <c r="H157" s="383" t="n"/>
      <c r="I157" s="383" t="n"/>
      <c r="J157" s="383" t="n"/>
      <c r="K157" s="383" t="n"/>
      <c r="L157" s="383" t="n"/>
      <c r="M157" s="395" t="n"/>
      <c r="N157" s="383" t="n"/>
      <c r="O157" s="383" t="n"/>
      <c r="P157" s="383" t="n"/>
      <c r="Q157" s="383" t="n"/>
      <c r="R157" s="383" t="n"/>
      <c r="S157" s="383" t="n"/>
      <c r="T157" s="383" t="n"/>
      <c r="U157" s="383" t="n"/>
      <c r="V157" s="383" t="n"/>
      <c r="W157" s="383" t="n"/>
      <c r="X157" s="383" t="n"/>
      <c r="Y157" s="383" t="n"/>
    </row>
    <row r="158" ht="15" customHeight="1" s="1883">
      <c r="D158" s="383" t="n"/>
      <c r="E158" s="383" t="n"/>
      <c r="F158" s="383" t="n"/>
      <c r="G158" s="383" t="n"/>
      <c r="H158" s="383" t="n"/>
      <c r="I158" s="383" t="n"/>
      <c r="J158" s="1882" t="inlineStr">
        <is>
          <t>Year 4</t>
        </is>
      </c>
      <c r="X158" s="383" t="n"/>
      <c r="Y158" s="383" t="n"/>
    </row>
    <row r="161" ht="15" customHeight="1" s="1883">
      <c r="D161" s="383" t="n"/>
      <c r="E161" s="383" t="n"/>
      <c r="F161" s="383" t="n"/>
      <c r="G161" s="383" t="n"/>
      <c r="H161" s="383" t="n"/>
      <c r="I161" s="383" t="n"/>
      <c r="J161" s="386" t="inlineStr">
        <is>
          <t>Month 37</t>
        </is>
      </c>
      <c r="K161" s="386" t="inlineStr">
        <is>
          <t>Month 38</t>
        </is>
      </c>
      <c r="L161" s="386" t="inlineStr">
        <is>
          <t>Month 39</t>
        </is>
      </c>
      <c r="M161" s="386" t="inlineStr">
        <is>
          <t>Month 40</t>
        </is>
      </c>
      <c r="N161" s="386" t="inlineStr">
        <is>
          <t>Month 41</t>
        </is>
      </c>
      <c r="O161" s="386" t="inlineStr">
        <is>
          <t>Month 42</t>
        </is>
      </c>
      <c r="P161" s="386" t="inlineStr">
        <is>
          <t>Month 43</t>
        </is>
      </c>
      <c r="Q161" s="386" t="inlineStr">
        <is>
          <t>Month 44</t>
        </is>
      </c>
      <c r="R161" s="386" t="inlineStr">
        <is>
          <t>Month 45</t>
        </is>
      </c>
      <c r="S161" s="386" t="inlineStr">
        <is>
          <t>Month 46</t>
        </is>
      </c>
      <c r="T161" s="386" t="inlineStr">
        <is>
          <t>Month 47</t>
        </is>
      </c>
      <c r="U161" s="386" t="inlineStr">
        <is>
          <t>Month 48</t>
        </is>
      </c>
      <c r="V161" s="383" t="n"/>
      <c r="W161" s="386" t="inlineStr">
        <is>
          <t>Full-Year</t>
        </is>
      </c>
    </row>
    <row r="162" ht="3" customHeight="1" s="1883">
      <c r="D162" s="383" t="n"/>
      <c r="E162" s="383" t="n"/>
      <c r="F162" s="383" t="n"/>
      <c r="G162" s="383" t="n"/>
      <c r="H162" s="383" t="n"/>
      <c r="I162" s="383" t="n"/>
      <c r="J162" s="387" t="n"/>
      <c r="K162" s="387" t="n"/>
      <c r="L162" s="387" t="n"/>
      <c r="M162" s="387" t="n"/>
      <c r="N162" s="387" t="n"/>
      <c r="O162" s="387" t="n"/>
      <c r="P162" s="387" t="n"/>
      <c r="Q162" s="387" t="n"/>
      <c r="R162" s="387" t="n"/>
      <c r="S162" s="387" t="n"/>
      <c r="T162" s="387" t="n"/>
      <c r="U162" s="387" t="n"/>
      <c r="V162" s="383" t="n"/>
      <c r="W162" s="387" t="n"/>
    </row>
    <row r="163" ht="3" customHeight="1" s="1883">
      <c r="D163" s="383" t="n"/>
      <c r="E163" s="383" t="n"/>
      <c r="F163" s="383" t="n"/>
      <c r="G163" s="383" t="n"/>
      <c r="H163" s="383" t="n"/>
      <c r="I163" s="383" t="n"/>
      <c r="J163" s="383" t="n"/>
      <c r="K163" s="383" t="n"/>
      <c r="L163" s="383" t="n"/>
      <c r="M163" s="383" t="n"/>
      <c r="N163" s="383" t="n"/>
      <c r="O163" s="383" t="n"/>
      <c r="P163" s="383" t="n"/>
      <c r="Q163" s="383" t="n"/>
      <c r="R163" s="383" t="n"/>
      <c r="S163" s="383" t="n"/>
      <c r="T163" s="383" t="n"/>
      <c r="U163" s="383" t="n"/>
      <c r="V163" s="383" t="n"/>
      <c r="W163" s="383" t="n"/>
    </row>
    <row r="164" ht="15" customHeight="1" s="1883">
      <c r="D164" s="390" t="inlineStr">
        <is>
          <t>●</t>
        </is>
      </c>
      <c r="E164" s="385" t="inlineStr">
        <is>
          <t>New Users</t>
        </is>
      </c>
      <c r="F164" s="385" t="n"/>
      <c r="G164" s="385" t="n"/>
      <c r="H164" s="385" t="n"/>
      <c r="I164" s="383" t="n"/>
      <c r="J164" s="397" t="n"/>
      <c r="K164" s="383" t="n"/>
      <c r="L164" s="383" t="n"/>
      <c r="M164" s="383" t="n"/>
      <c r="N164" s="383" t="n"/>
      <c r="O164" s="383" t="n"/>
      <c r="P164" s="383" t="n"/>
      <c r="Q164" s="383" t="n"/>
      <c r="R164" s="383" t="n"/>
      <c r="S164" s="383" t="n"/>
      <c r="T164" s="383" t="n"/>
      <c r="U164" s="383" t="n"/>
      <c r="V164" s="383" t="n"/>
      <c r="W164" s="383" t="n"/>
    </row>
    <row r="165" ht="15" customHeight="1" s="1883">
      <c r="D165" s="390" t="n"/>
      <c r="E165" s="390" t="n"/>
      <c r="F165" s="385" t="inlineStr">
        <is>
          <t>Number of Activated Telephones</t>
        </is>
      </c>
      <c r="G165" s="383" t="n"/>
      <c r="H165" s="383" t="n"/>
      <c r="I165" s="383" t="n"/>
      <c r="J165" s="397">
        <f>'3C. Tel. - Revenue Drivers - 1 '!J137</f>
        <v/>
      </c>
      <c r="K165" s="397">
        <f>'3C. Tel. - Revenue Drivers - 1 '!K137</f>
        <v/>
      </c>
      <c r="L165" s="397">
        <f>'3C. Tel. - Revenue Drivers - 1 '!L137</f>
        <v/>
      </c>
      <c r="M165" s="397">
        <f>'3C. Tel. - Revenue Drivers - 1 '!M137</f>
        <v/>
      </c>
      <c r="N165" s="397">
        <f>'3C. Tel. - Revenue Drivers - 1 '!N137</f>
        <v/>
      </c>
      <c r="O165" s="397">
        <f>'3C. Tel. - Revenue Drivers - 1 '!O137</f>
        <v/>
      </c>
      <c r="P165" s="397">
        <f>'3C. Tel. - Revenue Drivers - 1 '!P137</f>
        <v/>
      </c>
      <c r="Q165" s="397">
        <f>'3C. Tel. - Revenue Drivers - 1 '!Q137</f>
        <v/>
      </c>
      <c r="R165" s="397">
        <f>'3C. Tel. - Revenue Drivers - 1 '!R137</f>
        <v/>
      </c>
      <c r="S165" s="397">
        <f>'3C. Tel. - Revenue Drivers - 1 '!S137</f>
        <v/>
      </c>
      <c r="T165" s="397">
        <f>'3C. Tel. - Revenue Drivers - 1 '!T137</f>
        <v/>
      </c>
      <c r="U165" s="397">
        <f>'3C. Tel. - Revenue Drivers - 1 '!U137</f>
        <v/>
      </c>
      <c r="V165" s="385" t="n"/>
      <c r="W165" s="397">
        <f>((J165)+(K165)+(L165)+(M165)+(N165)+(O165)+(P165)+(Q165)+(R165)+(S165)+(T165)+(U165))</f>
        <v/>
      </c>
    </row>
    <row r="166" ht="15" customHeight="1" s="1883">
      <c r="D166" s="390" t="n"/>
      <c r="E166" s="383" t="n"/>
      <c r="F166" s="383" t="inlineStr">
        <is>
          <t>Selling Price/Handset, including logistics</t>
        </is>
      </c>
      <c r="G166" s="383" t="n"/>
      <c r="H166" s="383" t="n"/>
      <c r="I166" s="383" t="n"/>
      <c r="J166" s="395">
        <f>($J$21)</f>
        <v/>
      </c>
      <c r="K166" s="395">
        <f>($J$21)</f>
        <v/>
      </c>
      <c r="L166" s="395">
        <f>($J$21)</f>
        <v/>
      </c>
      <c r="M166" s="395">
        <f>($J$21)</f>
        <v/>
      </c>
      <c r="N166" s="395">
        <f>($J$21)</f>
        <v/>
      </c>
      <c r="O166" s="395">
        <f>($J$21)</f>
        <v/>
      </c>
      <c r="P166" s="395">
        <f>($J$21)</f>
        <v/>
      </c>
      <c r="Q166" s="395">
        <f>($J$21)</f>
        <v/>
      </c>
      <c r="R166" s="395">
        <f>($J$21)</f>
        <v/>
      </c>
      <c r="S166" s="395">
        <f>($J$21)</f>
        <v/>
      </c>
      <c r="T166" s="395">
        <f>($J$21)</f>
        <v/>
      </c>
      <c r="U166" s="395">
        <f>($J$21)</f>
        <v/>
      </c>
      <c r="V166" s="383" t="n"/>
      <c r="W166" s="383" t="n"/>
    </row>
    <row r="167" ht="3" customHeight="1" s="1883">
      <c r="D167" s="383" t="n"/>
      <c r="E167" s="383" t="n"/>
      <c r="I167" s="383" t="n"/>
      <c r="J167" s="387" t="n"/>
      <c r="K167" s="387" t="n"/>
      <c r="L167" s="387" t="n"/>
      <c r="M167" s="387" t="n"/>
      <c r="N167" s="387" t="n"/>
      <c r="O167" s="387" t="n"/>
      <c r="P167" s="387" t="n"/>
      <c r="Q167" s="387" t="n"/>
      <c r="R167" s="387" t="n"/>
      <c r="S167" s="387" t="n"/>
      <c r="T167" s="387" t="n"/>
      <c r="U167" s="387" t="n"/>
      <c r="V167" s="383" t="n"/>
      <c r="W167" s="387" t="n"/>
    </row>
    <row r="168" ht="3" customHeight="1" s="1883">
      <c r="D168" s="383" t="n"/>
      <c r="E168" s="383" t="n"/>
      <c r="F168" s="383" t="n"/>
      <c r="G168" s="383" t="n"/>
      <c r="H168" s="383" t="n"/>
      <c r="I168" s="383" t="n"/>
      <c r="J168" s="383" t="n"/>
      <c r="K168" s="383" t="n"/>
      <c r="L168" s="383" t="n"/>
      <c r="M168" s="383" t="n"/>
      <c r="N168" s="383" t="n"/>
      <c r="O168" s="383" t="n"/>
      <c r="P168" s="383" t="n"/>
      <c r="Q168" s="383" t="n"/>
      <c r="R168" s="383" t="n"/>
      <c r="S168" s="383" t="n"/>
      <c r="T168" s="383" t="n"/>
      <c r="U168" s="383" t="n"/>
      <c r="V168" s="383" t="n"/>
      <c r="W168" s="383" t="n"/>
    </row>
    <row r="169" ht="15" customHeight="1" s="1883">
      <c r="D169" s="383" t="n"/>
      <c r="E169" s="383" t="n"/>
      <c r="F169" s="383" t="n"/>
      <c r="G169" s="385" t="inlineStr">
        <is>
          <t>Revenue, Handsets to New Users</t>
        </is>
      </c>
      <c r="H169" s="385" t="n"/>
      <c r="I169" s="383" t="n"/>
      <c r="J169" s="396">
        <f>((J165)*(J166))</f>
        <v/>
      </c>
      <c r="K169" s="396">
        <f>((K165)*(K166))</f>
        <v/>
      </c>
      <c r="L169" s="396">
        <f>((L165)*(L166))</f>
        <v/>
      </c>
      <c r="M169" s="396">
        <f>((M165)*(M166))</f>
        <v/>
      </c>
      <c r="N169" s="396">
        <f>((N165)*(N166))</f>
        <v/>
      </c>
      <c r="O169" s="396">
        <f>((O165)*(O166))</f>
        <v/>
      </c>
      <c r="P169" s="396">
        <f>((P165)*(P166))</f>
        <v/>
      </c>
      <c r="Q169" s="396">
        <f>((Q165)*(Q166))</f>
        <v/>
      </c>
      <c r="R169" s="396">
        <f>((R165)*(R166))</f>
        <v/>
      </c>
      <c r="S169" s="396">
        <f>((S165)*(S166))</f>
        <v/>
      </c>
      <c r="T169" s="396">
        <f>((T165)*(T166))</f>
        <v/>
      </c>
      <c r="U169" s="396">
        <f>((U165)*(U166))</f>
        <v/>
      </c>
      <c r="V169" s="383" t="n"/>
      <c r="W169" s="396">
        <f>((J169)+(K169)+(L169)+(M169)+(N169)+(O169)+(P169)+(Q169)+(R169)+(S169)+(T169)+(U169))</f>
        <v/>
      </c>
    </row>
    <row r="170" ht="3" customHeight="1" s="1883">
      <c r="D170" s="383" t="n"/>
      <c r="E170" s="383" t="n"/>
      <c r="F170" s="383" t="n"/>
      <c r="G170" s="385" t="n"/>
      <c r="H170" s="385" t="n"/>
      <c r="I170" s="383" t="n"/>
      <c r="J170" s="387" t="n"/>
      <c r="K170" s="387" t="n"/>
      <c r="L170" s="387" t="n"/>
      <c r="M170" s="387" t="n"/>
      <c r="N170" s="387" t="n"/>
      <c r="O170" s="387" t="n"/>
      <c r="P170" s="387" t="n"/>
      <c r="Q170" s="387" t="n"/>
      <c r="R170" s="387" t="n"/>
      <c r="S170" s="387" t="n"/>
      <c r="T170" s="387" t="n"/>
      <c r="U170" s="387" t="n"/>
      <c r="V170" s="383" t="n"/>
      <c r="W170" s="387" t="n"/>
    </row>
    <row r="171" ht="3" customHeight="1" s="1883">
      <c r="D171" s="383" t="n"/>
      <c r="E171" s="383" t="n"/>
      <c r="F171" s="383" t="n"/>
      <c r="G171" s="385" t="n"/>
      <c r="H171" s="385" t="n"/>
      <c r="I171" s="383" t="n"/>
      <c r="J171" s="383" t="n"/>
      <c r="K171" s="383" t="n"/>
      <c r="L171" s="383" t="n"/>
      <c r="M171" s="383" t="n"/>
      <c r="N171" s="383" t="n"/>
      <c r="O171" s="383" t="n"/>
      <c r="P171" s="383" t="n"/>
      <c r="Q171" s="383" t="n"/>
      <c r="R171" s="383" t="n"/>
      <c r="S171" s="383" t="n"/>
      <c r="T171" s="383" t="n"/>
      <c r="U171" s="383" t="n"/>
      <c r="V171" s="383" t="n"/>
      <c r="W171" s="383" t="n"/>
    </row>
    <row r="172" ht="15" customHeight="1" s="1883">
      <c r="D172" s="383" t="n"/>
      <c r="E172" s="383" t="n"/>
      <c r="F172" s="383" t="n"/>
      <c r="G172" s="385" t="n"/>
      <c r="H172" s="385" t="n"/>
      <c r="I172" s="383" t="n"/>
      <c r="J172" s="383" t="n"/>
      <c r="K172" s="383" t="n"/>
      <c r="L172" s="383" t="n"/>
      <c r="M172" s="383" t="n"/>
      <c r="N172" s="383" t="n"/>
      <c r="O172" s="383" t="n"/>
      <c r="P172" s="383" t="n"/>
      <c r="Q172" s="383" t="n"/>
      <c r="R172" s="383" t="n"/>
      <c r="S172" s="383" t="n"/>
      <c r="T172" s="383" t="n"/>
      <c r="U172" s="383" t="n"/>
      <c r="V172" s="383" t="n"/>
      <c r="W172" s="383" t="n"/>
    </row>
    <row r="173" ht="15" customHeight="1" s="1883">
      <c r="D173" s="383" t="n"/>
      <c r="E173" s="383" t="n"/>
      <c r="F173" s="383" t="inlineStr">
        <is>
          <t>Cost/handset, including logistics</t>
        </is>
      </c>
      <c r="H173" s="383" t="n"/>
      <c r="I173" s="383" t="n"/>
      <c r="J173" s="870">
        <f>($J$30)</f>
        <v/>
      </c>
      <c r="K173" s="870">
        <f>($J$30)</f>
        <v/>
      </c>
      <c r="L173" s="870">
        <f>($J$30)</f>
        <v/>
      </c>
      <c r="M173" s="870">
        <f>($J$30)</f>
        <v/>
      </c>
      <c r="N173" s="871">
        <f>($J$31)</f>
        <v/>
      </c>
      <c r="O173" s="871">
        <f>($J$31)</f>
        <v/>
      </c>
      <c r="P173" s="871">
        <f>($J$31)</f>
        <v/>
      </c>
      <c r="Q173" s="871">
        <f>($J$31)</f>
        <v/>
      </c>
      <c r="R173" s="871">
        <f>($J$31)</f>
        <v/>
      </c>
      <c r="S173" s="871">
        <f>($J$31)</f>
        <v/>
      </c>
      <c r="T173" s="871">
        <f>($J$31)</f>
        <v/>
      </c>
      <c r="U173" s="871">
        <f>($J$31)</f>
        <v/>
      </c>
      <c r="V173" s="383" t="n"/>
      <c r="W173" s="383" t="n"/>
    </row>
    <row r="174" ht="3" customHeight="1" s="1883">
      <c r="D174" s="383" t="n"/>
      <c r="E174" s="383" t="n"/>
      <c r="F174" s="383" t="n"/>
      <c r="G174" s="383" t="n"/>
      <c r="H174" s="383" t="n"/>
      <c r="I174" s="383" t="n"/>
      <c r="J174" s="387" t="n"/>
      <c r="K174" s="387" t="n"/>
      <c r="L174" s="387" t="n"/>
      <c r="M174" s="387" t="n"/>
      <c r="N174" s="387" t="n"/>
      <c r="O174" s="387" t="n"/>
      <c r="P174" s="387" t="n"/>
      <c r="Q174" s="387" t="n"/>
      <c r="R174" s="387" t="n"/>
      <c r="S174" s="387" t="n"/>
      <c r="T174" s="387" t="n"/>
      <c r="U174" s="387" t="n"/>
      <c r="V174" s="383" t="n"/>
      <c r="W174" s="387" t="n"/>
    </row>
    <row r="175" ht="3" customHeight="1" s="1883">
      <c r="D175" s="383" t="n"/>
      <c r="E175" s="383" t="n"/>
      <c r="F175" s="383" t="n"/>
      <c r="G175" s="383" t="n"/>
      <c r="H175" s="383" t="n"/>
      <c r="I175" s="383" t="n"/>
      <c r="J175" s="383" t="n"/>
      <c r="K175" s="383" t="n"/>
      <c r="L175" s="383" t="n"/>
      <c r="M175" s="383" t="n"/>
      <c r="N175" s="383" t="n"/>
      <c r="O175" s="383" t="n"/>
      <c r="P175" s="383" t="n"/>
      <c r="Q175" s="383" t="n"/>
      <c r="R175" s="383" t="n"/>
      <c r="S175" s="383" t="n"/>
      <c r="T175" s="383" t="n"/>
      <c r="U175" s="383" t="n"/>
      <c r="V175" s="383" t="n"/>
      <c r="W175" s="383" t="n"/>
    </row>
    <row r="176" ht="15" customHeight="1" s="1883">
      <c r="D176" s="383" t="n"/>
      <c r="E176" s="383" t="n"/>
      <c r="F176" s="383" t="n"/>
      <c r="G176" s="385" t="inlineStr">
        <is>
          <t>CoGS, Handsets to New Users</t>
        </is>
      </c>
      <c r="H176" s="383" t="n"/>
      <c r="I176" s="383" t="n"/>
      <c r="J176" s="396">
        <f>((J165)*(J173))</f>
        <v/>
      </c>
      <c r="K176" s="396">
        <f>((K165)*(K173))</f>
        <v/>
      </c>
      <c r="L176" s="396">
        <f>((L165)*(L173))</f>
        <v/>
      </c>
      <c r="M176" s="396">
        <f>((M165)*(M173))</f>
        <v/>
      </c>
      <c r="N176" s="396">
        <f>((N165)*(N173))</f>
        <v/>
      </c>
      <c r="O176" s="396">
        <f>((O165)*(O173))</f>
        <v/>
      </c>
      <c r="P176" s="396">
        <f>((P165)*(P173))</f>
        <v/>
      </c>
      <c r="Q176" s="396">
        <f>((Q165)*(Q173))</f>
        <v/>
      </c>
      <c r="R176" s="396">
        <f>((R165)*(R173))</f>
        <v/>
      </c>
      <c r="S176" s="396">
        <f>((S165)*(S173))</f>
        <v/>
      </c>
      <c r="T176" s="396">
        <f>((T165)*(T173))</f>
        <v/>
      </c>
      <c r="U176" s="396">
        <f>((U165)*(U173))</f>
        <v/>
      </c>
      <c r="V176" s="383" t="n"/>
      <c r="W176" s="396">
        <f>((J176)+(K176)+(L176)+(M176)+(N176)+(O176)+(P176)+(Q176)+(R176)+(S176)+(T176)+(U176))</f>
        <v/>
      </c>
    </row>
    <row r="180" ht="15" customHeight="1" s="1883">
      <c r="D180" s="390" t="inlineStr">
        <is>
          <t>●</t>
        </is>
      </c>
      <c r="E180" s="385" t="inlineStr">
        <is>
          <t>Renewals</t>
        </is>
      </c>
      <c r="F180" s="383" t="n"/>
      <c r="G180" s="383" t="n"/>
      <c r="H180" s="383" t="n"/>
      <c r="I180" s="383" t="n"/>
      <c r="J180" s="383" t="n"/>
      <c r="K180" s="383" t="n"/>
      <c r="L180" s="383" t="n"/>
      <c r="M180" s="383" t="n"/>
      <c r="N180" s="383" t="n"/>
      <c r="O180" s="383" t="n"/>
      <c r="P180" s="383" t="n"/>
      <c r="Q180" s="383" t="n"/>
      <c r="R180" s="383" t="n"/>
      <c r="S180" s="383" t="n"/>
      <c r="T180" s="383" t="n"/>
      <c r="U180" s="383" t="n"/>
      <c r="V180" s="383" t="n"/>
      <c r="W180" s="383" t="n"/>
      <c r="X180" s="383" t="n"/>
      <c r="Y180" s="383" t="n"/>
    </row>
    <row r="181" ht="15" customHeight="1" s="1883">
      <c r="D181" s="383" t="n"/>
      <c r="E181" s="383" t="n"/>
      <c r="F181" s="385" t="inlineStr">
        <is>
          <t xml:space="preserve">Number of Renewals </t>
        </is>
      </c>
      <c r="G181" s="383" t="n"/>
      <c r="H181" s="383" t="n"/>
      <c r="I181" s="383" t="n"/>
      <c r="J181" s="397">
        <f>'3C. Tel. - Revenue Drivers - 1 '!J138</f>
        <v/>
      </c>
      <c r="K181" s="397">
        <f>'3C. Tel. - Revenue Drivers - 1 '!K138</f>
        <v/>
      </c>
      <c r="L181" s="397">
        <f>'3C. Tel. - Revenue Drivers - 1 '!L138</f>
        <v/>
      </c>
      <c r="M181" s="397">
        <f>'3C. Tel. - Revenue Drivers - 1 '!M138</f>
        <v/>
      </c>
      <c r="N181" s="397">
        <f>'3C. Tel. - Revenue Drivers - 1 '!N138</f>
        <v/>
      </c>
      <c r="O181" s="397">
        <f>'3C. Tel. - Revenue Drivers - 1 '!O138</f>
        <v/>
      </c>
      <c r="P181" s="397">
        <f>'3C. Tel. - Revenue Drivers - 1 '!P138</f>
        <v/>
      </c>
      <c r="Q181" s="397">
        <f>'3C. Tel. - Revenue Drivers - 1 '!Q138</f>
        <v/>
      </c>
      <c r="R181" s="397">
        <f>'3C. Tel. - Revenue Drivers - 1 '!R138</f>
        <v/>
      </c>
      <c r="S181" s="397">
        <f>'3C. Tel. - Revenue Drivers - 1 '!S138</f>
        <v/>
      </c>
      <c r="T181" s="397">
        <f>'3C. Tel. - Revenue Drivers - 1 '!T138</f>
        <v/>
      </c>
      <c r="U181" s="397">
        <f>'3C. Tel. - Revenue Drivers - 1 '!U138</f>
        <v/>
      </c>
      <c r="V181" s="383" t="n"/>
      <c r="W181" s="397">
        <f>((J181)+(K181)+(L181)+(M181)+(N181)+(O181)+(P181)+(Q181)+(R181)+(S181)+(T181)+(U181))</f>
        <v/>
      </c>
      <c r="X181" s="383" t="n"/>
      <c r="Y181" s="383" t="n"/>
    </row>
    <row r="182" ht="15" customHeight="1" s="1883">
      <c r="D182" s="383" t="n"/>
      <c r="E182" s="383" t="n"/>
      <c r="F182" s="383" t="inlineStr">
        <is>
          <t>Cost/handset, including logistics</t>
        </is>
      </c>
      <c r="H182" s="383" t="n"/>
      <c r="I182" s="383" t="n"/>
      <c r="J182" s="870">
        <f>($J$30)</f>
        <v/>
      </c>
      <c r="K182" s="870">
        <f>($J$30)</f>
        <v/>
      </c>
      <c r="L182" s="870">
        <f>($J$30)</f>
        <v/>
      </c>
      <c r="M182" s="870">
        <f>($J$30)</f>
        <v/>
      </c>
      <c r="N182" s="871">
        <f>($J$31)</f>
        <v/>
      </c>
      <c r="O182" s="871">
        <f>($J$31)</f>
        <v/>
      </c>
      <c r="P182" s="871">
        <f>($J$31)</f>
        <v/>
      </c>
      <c r="Q182" s="871">
        <f>($J$31)</f>
        <v/>
      </c>
      <c r="R182" s="871">
        <f>($J$31)</f>
        <v/>
      </c>
      <c r="S182" s="871">
        <f>($J$31)</f>
        <v/>
      </c>
      <c r="T182" s="871">
        <f>($J$31)</f>
        <v/>
      </c>
      <c r="U182" s="871">
        <f>($J$31)</f>
        <v/>
      </c>
      <c r="V182" s="383" t="n"/>
      <c r="W182" s="383" t="n"/>
      <c r="X182" s="383" t="n"/>
      <c r="Y182" s="383" t="n"/>
    </row>
    <row r="183" ht="3" customHeight="1" s="1883">
      <c r="D183" s="383" t="n"/>
      <c r="E183" s="383" t="n"/>
      <c r="F183" s="383" t="n"/>
      <c r="G183" s="383" t="n"/>
      <c r="H183" s="383" t="n"/>
      <c r="I183" s="383" t="n"/>
      <c r="J183" s="387" t="n"/>
      <c r="K183" s="387" t="n"/>
      <c r="L183" s="387" t="n"/>
      <c r="M183" s="387" t="n"/>
      <c r="N183" s="387" t="n"/>
      <c r="O183" s="387" t="n"/>
      <c r="P183" s="387" t="n"/>
      <c r="Q183" s="387" t="n"/>
      <c r="R183" s="387" t="n"/>
      <c r="S183" s="387" t="n"/>
      <c r="T183" s="387" t="n"/>
      <c r="U183" s="387" t="n"/>
      <c r="V183" s="383" t="n"/>
      <c r="W183" s="387" t="n"/>
      <c r="X183" s="383" t="n"/>
      <c r="Y183" s="383" t="n"/>
    </row>
    <row r="184" ht="3" customHeight="1" s="1883">
      <c r="D184" s="383" t="n"/>
      <c r="E184" s="383" t="n"/>
      <c r="F184" s="383" t="n"/>
      <c r="G184" s="383" t="n"/>
      <c r="H184" s="383" t="n"/>
      <c r="I184" s="383" t="n"/>
      <c r="J184" s="383" t="n"/>
      <c r="K184" s="383" t="n"/>
      <c r="L184" s="383" t="n"/>
      <c r="M184" s="383" t="n"/>
      <c r="N184" s="383" t="n"/>
      <c r="O184" s="383" t="n"/>
      <c r="P184" s="383" t="n"/>
      <c r="Q184" s="383" t="n"/>
      <c r="R184" s="383" t="n"/>
      <c r="S184" s="383" t="n"/>
      <c r="T184" s="383" t="n"/>
      <c r="U184" s="383" t="n"/>
      <c r="V184" s="383" t="n"/>
      <c r="W184" s="383" t="n"/>
      <c r="X184" s="383" t="n"/>
      <c r="Y184" s="383" t="n"/>
    </row>
    <row r="185" ht="15" customHeight="1" s="1883">
      <c r="D185" s="383" t="n"/>
      <c r="E185" s="383" t="n"/>
      <c r="F185" s="383" t="n"/>
      <c r="G185" s="385" t="inlineStr">
        <is>
          <t>CoGS, Handsets to Renewals</t>
        </is>
      </c>
      <c r="H185" s="383" t="n"/>
      <c r="I185" s="383" t="n"/>
      <c r="J185" s="396">
        <f>((J181)*(J182))</f>
        <v/>
      </c>
      <c r="K185" s="396">
        <f>((K181)*(K182))</f>
        <v/>
      </c>
      <c r="L185" s="396">
        <f>((L181)*(L182))</f>
        <v/>
      </c>
      <c r="M185" s="396">
        <f>((M181)*(M182))</f>
        <v/>
      </c>
      <c r="N185" s="396">
        <f>((N181)*(N182))</f>
        <v/>
      </c>
      <c r="O185" s="396">
        <f>((O181)*(O182))</f>
        <v/>
      </c>
      <c r="P185" s="396">
        <f>((P181)*(P182))</f>
        <v/>
      </c>
      <c r="Q185" s="396">
        <f>((Q181)*(Q182))</f>
        <v/>
      </c>
      <c r="R185" s="396">
        <f>((R181)*(R182))</f>
        <v/>
      </c>
      <c r="S185" s="396">
        <f>((S181)*(S182))</f>
        <v/>
      </c>
      <c r="T185" s="396">
        <f>((T181)*(T182))</f>
        <v/>
      </c>
      <c r="U185" s="396">
        <f>((U181)*(U182))</f>
        <v/>
      </c>
      <c r="V185" s="396" t="n"/>
      <c r="W185" s="396">
        <f>((J185)+(K185)+(L185)+(M185)+(N185)+(O185)+(P185)+(Q185)+(R185)+(S185)+(T185)+(U185))</f>
        <v/>
      </c>
      <c r="X185" s="383" t="n"/>
      <c r="Y185" s="383" t="n"/>
    </row>
    <row r="186" ht="3" customHeight="1" s="1883">
      <c r="D186" s="383" t="n"/>
      <c r="E186" s="383" t="n"/>
      <c r="F186" s="383" t="n"/>
      <c r="G186" s="383" t="n"/>
      <c r="H186" s="383" t="n"/>
      <c r="I186" s="383" t="n"/>
      <c r="J186" s="387" t="n"/>
      <c r="K186" s="387" t="n"/>
      <c r="L186" s="387" t="n"/>
      <c r="M186" s="387" t="n"/>
      <c r="N186" s="387" t="n"/>
      <c r="O186" s="387" t="n"/>
      <c r="P186" s="387" t="n"/>
      <c r="Q186" s="387" t="n"/>
      <c r="R186" s="387" t="n"/>
      <c r="S186" s="387" t="n"/>
      <c r="T186" s="387" t="n"/>
      <c r="U186" s="387" t="n"/>
      <c r="V186" s="383" t="n"/>
      <c r="W186" s="387" t="n"/>
      <c r="X186" s="383" t="n"/>
      <c r="Y186" s="383" t="n"/>
    </row>
    <row r="187" ht="3" customHeight="1" s="1883">
      <c r="D187" s="383" t="n"/>
      <c r="E187" s="383" t="n"/>
      <c r="F187" s="383" t="n"/>
      <c r="G187" s="383" t="n"/>
      <c r="H187" s="383" t="n"/>
      <c r="I187" s="383" t="n"/>
      <c r="J187" s="383" t="n"/>
      <c r="K187" s="383" t="n"/>
      <c r="L187" s="383" t="n"/>
      <c r="M187" s="383" t="n"/>
      <c r="N187" s="383" t="n"/>
      <c r="O187" s="383" t="n"/>
      <c r="P187" s="383" t="n"/>
      <c r="Q187" s="383" t="n"/>
      <c r="R187" s="383" t="n"/>
      <c r="S187" s="383" t="n"/>
      <c r="T187" s="383" t="n"/>
      <c r="U187" s="383" t="n"/>
      <c r="V187" s="383" t="n"/>
      <c r="W187" s="383" t="n"/>
      <c r="X187" s="383" t="n"/>
      <c r="Y187" s="383" t="n"/>
    </row>
    <row r="188" ht="15" customHeight="1" s="1883">
      <c r="D188" s="383" t="n"/>
      <c r="E188" s="383" t="n"/>
      <c r="F188" s="383" t="n"/>
      <c r="G188" s="383" t="n"/>
      <c r="H188" s="383" t="n"/>
      <c r="I188" s="383" t="n"/>
      <c r="J188" s="383" t="n"/>
      <c r="K188" s="383" t="n"/>
      <c r="L188" s="383" t="n"/>
      <c r="M188" s="383" t="n"/>
      <c r="N188" s="383" t="n"/>
      <c r="O188" s="383" t="n"/>
      <c r="P188" s="383" t="n"/>
      <c r="Q188" s="383" t="n"/>
      <c r="R188" s="383" t="n"/>
      <c r="S188" s="383" t="n"/>
      <c r="T188" s="383" t="n"/>
      <c r="U188" s="383" t="n"/>
      <c r="V188" s="383" t="n"/>
      <c r="W188" s="1910" t="n"/>
      <c r="X188" s="383" t="n"/>
      <c r="Y188" s="383" t="n"/>
    </row>
    <row r="189" ht="15" customHeight="1" s="1883">
      <c r="D189" s="390" t="inlineStr">
        <is>
          <t>●</t>
        </is>
      </c>
      <c r="E189" s="385" t="inlineStr">
        <is>
          <t>Warranty (0.11% of Hardware Revenue)</t>
        </is>
      </c>
      <c r="F189" s="383" t="n"/>
      <c r="G189" s="383" t="n"/>
      <c r="H189" s="383" t="n"/>
      <c r="I189" s="383" t="n"/>
      <c r="J189" s="494">
        <f>((0.001)*(J169))</f>
        <v/>
      </c>
      <c r="K189" s="494">
        <f>((0.001)*(K169))</f>
        <v/>
      </c>
      <c r="L189" s="494">
        <f>((0.001)*(L169))</f>
        <v/>
      </c>
      <c r="M189" s="494">
        <f>((0.001)*(M169))</f>
        <v/>
      </c>
      <c r="N189" s="494">
        <f>((0.001)*(N169))</f>
        <v/>
      </c>
      <c r="O189" s="494">
        <f>((0.001)*(O169))</f>
        <v/>
      </c>
      <c r="P189" s="494">
        <f>((0.001)*(P169))</f>
        <v/>
      </c>
      <c r="Q189" s="494">
        <f>((0.001)*(Q169))</f>
        <v/>
      </c>
      <c r="R189" s="494">
        <f>((0.001)*(R169))</f>
        <v/>
      </c>
      <c r="S189" s="494">
        <f>((0.001)*(S169))</f>
        <v/>
      </c>
      <c r="T189" s="494">
        <f>((0.001)*(T169))</f>
        <v/>
      </c>
      <c r="U189" s="494">
        <f>((0.001)*(U169))</f>
        <v/>
      </c>
      <c r="V189" s="383" t="n"/>
      <c r="W189" s="494">
        <f>((J189)+(K189)+(L189)+(M189)+(N189)+(O189)+(P189)+(Q189)+(R189)+(S189)+(T189)+(U189))</f>
        <v/>
      </c>
      <c r="X189" s="383" t="n"/>
      <c r="Y189" s="383" t="n"/>
    </row>
    <row r="190" ht="15" customHeight="1" s="1883">
      <c r="D190" s="383" t="n"/>
      <c r="E190" s="383" t="n"/>
      <c r="F190" s="383" t="n"/>
      <c r="G190" s="383" t="n"/>
      <c r="H190" s="383" t="n"/>
      <c r="I190" s="383" t="n"/>
      <c r="J190" s="383" t="n"/>
      <c r="K190" s="383" t="n"/>
      <c r="L190" s="383" t="n"/>
      <c r="M190" s="383" t="n"/>
      <c r="N190" s="383" t="n"/>
      <c r="O190" s="383" t="n"/>
      <c r="P190" s="383" t="n"/>
      <c r="Q190" s="383" t="n"/>
      <c r="R190" s="383" t="n"/>
      <c r="S190" s="383" t="n"/>
      <c r="T190" s="383" t="n"/>
      <c r="U190" s="383" t="n"/>
      <c r="V190" s="383" t="n"/>
      <c r="W190" s="383" t="n"/>
      <c r="X190" s="383" t="n"/>
      <c r="Y190" s="383" t="n"/>
    </row>
    <row r="191" ht="15" customHeight="1" s="1883">
      <c r="D191" s="383" t="n"/>
      <c r="E191" s="383" t="n"/>
      <c r="F191" s="383" t="n"/>
      <c r="G191" s="383" t="n"/>
      <c r="H191" s="463" t="inlineStr">
        <is>
          <t>Net Revenue = Revenue Less CoGS</t>
        </is>
      </c>
      <c r="I191" s="464" t="n"/>
      <c r="J191" s="465">
        <f>((J169)-(J176)-(J185)-(J189))</f>
        <v/>
      </c>
      <c r="K191" s="465">
        <f>((K169)-(K176)-(K185)-(K189))</f>
        <v/>
      </c>
      <c r="L191" s="465">
        <f>((L169)-(L176)-(L185)-(L189))</f>
        <v/>
      </c>
      <c r="M191" s="465">
        <f>((M169)-(M176)-(M185)-(M189))</f>
        <v/>
      </c>
      <c r="N191" s="465">
        <f>((N169)-(N176)-(N185)-(N189))</f>
        <v/>
      </c>
      <c r="O191" s="465">
        <f>((O169)-(O176)-(O185)-(O189))</f>
        <v/>
      </c>
      <c r="P191" s="465">
        <f>((P169)-(P176)-(P185)-(P189))</f>
        <v/>
      </c>
      <c r="Q191" s="465">
        <f>((Q169)-(Q176)-(Q185)-(Q189))</f>
        <v/>
      </c>
      <c r="R191" s="465">
        <f>((R169)-(R176)-(R185)-(R189))</f>
        <v/>
      </c>
      <c r="S191" s="465">
        <f>((S169)-(S176)-(S185)-(S189))</f>
        <v/>
      </c>
      <c r="T191" s="465">
        <f>((T169)-(T176)-(T185)-(T189))</f>
        <v/>
      </c>
      <c r="U191" s="465">
        <f>((U169)-(U176)-(U185)-(U189))</f>
        <v/>
      </c>
      <c r="V191" s="465" t="n"/>
      <c r="W191" s="465">
        <f>((W169)-(W176)-(W185)-(W189))</f>
        <v/>
      </c>
      <c r="X191" s="383" t="n"/>
      <c r="Y191" s="396">
        <f>((W169)-(W176)-(W185)-(W189))</f>
        <v/>
      </c>
    </row>
    <row r="196" ht="15" customHeight="1" s="1883">
      <c r="D196" s="383" t="n"/>
      <c r="E196" s="383" t="n"/>
      <c r="F196" s="383" t="n"/>
      <c r="G196" s="383" t="n"/>
      <c r="H196" s="383" t="n"/>
      <c r="I196" s="383" t="n"/>
      <c r="J196" s="1882" t="inlineStr">
        <is>
          <t>Year 5</t>
        </is>
      </c>
    </row>
    <row r="197" ht="3" customHeight="1" s="1883">
      <c r="D197" s="383" t="n"/>
      <c r="E197" s="383" t="n"/>
      <c r="F197" s="383" t="n"/>
      <c r="G197" s="383" t="n"/>
      <c r="H197" s="383" t="n"/>
      <c r="I197" s="383" t="n"/>
      <c r="J197" s="387" t="n"/>
      <c r="K197" s="387" t="n"/>
      <c r="L197" s="387" t="n"/>
      <c r="M197" s="387" t="n"/>
      <c r="N197" s="387" t="n"/>
      <c r="O197" s="387" t="n"/>
      <c r="P197" s="387" t="n"/>
      <c r="Q197" s="387" t="n"/>
      <c r="R197" s="387" t="n"/>
      <c r="S197" s="387" t="n"/>
      <c r="T197" s="387" t="n"/>
      <c r="U197" s="387" t="n"/>
      <c r="V197" s="387" t="n"/>
      <c r="W197" s="387" t="n"/>
    </row>
    <row r="198" ht="3" customHeight="1" s="1883">
      <c r="D198" s="383" t="n"/>
      <c r="E198" s="383" t="n"/>
      <c r="F198" s="383" t="n"/>
      <c r="G198" s="383" t="n"/>
      <c r="H198" s="383" t="n"/>
      <c r="I198" s="383" t="n"/>
      <c r="J198" s="383" t="n"/>
      <c r="K198" s="383" t="n"/>
      <c r="L198" s="383" t="n"/>
      <c r="M198" s="383" t="n"/>
      <c r="N198" s="383" t="n"/>
      <c r="O198" s="383" t="n"/>
      <c r="P198" s="383" t="n"/>
      <c r="Q198" s="383" t="n"/>
      <c r="R198" s="383" t="n"/>
      <c r="S198" s="383" t="n"/>
      <c r="T198" s="383" t="n"/>
      <c r="U198" s="383" t="n"/>
      <c r="V198" s="383" t="n"/>
      <c r="W198" s="383" t="n"/>
    </row>
    <row r="199" ht="15" customHeight="1" s="1883">
      <c r="D199" s="383" t="n"/>
      <c r="E199" s="383" t="n"/>
      <c r="F199" s="383" t="n"/>
      <c r="G199" s="383" t="n"/>
      <c r="H199" s="383" t="n"/>
      <c r="I199" s="383" t="n"/>
      <c r="J199" s="386" t="inlineStr">
        <is>
          <t>Month 49</t>
        </is>
      </c>
      <c r="K199" s="386" t="inlineStr">
        <is>
          <t>Month 50</t>
        </is>
      </c>
      <c r="L199" s="386" t="inlineStr">
        <is>
          <t>Month 51</t>
        </is>
      </c>
      <c r="M199" s="386" t="inlineStr">
        <is>
          <t>Month 52</t>
        </is>
      </c>
      <c r="N199" s="386" t="inlineStr">
        <is>
          <t>Month 53</t>
        </is>
      </c>
      <c r="O199" s="386" t="inlineStr">
        <is>
          <t>Month 54</t>
        </is>
      </c>
      <c r="P199" s="386" t="inlineStr">
        <is>
          <t>Month 55</t>
        </is>
      </c>
      <c r="Q199" s="386" t="inlineStr">
        <is>
          <t>Month 56</t>
        </is>
      </c>
      <c r="R199" s="386" t="inlineStr">
        <is>
          <t>Month 57</t>
        </is>
      </c>
      <c r="S199" s="386" t="inlineStr">
        <is>
          <t>Month 58</t>
        </is>
      </c>
      <c r="T199" s="386" t="inlineStr">
        <is>
          <t>Month 59</t>
        </is>
      </c>
      <c r="U199" s="386" t="inlineStr">
        <is>
          <t>Month 60</t>
        </is>
      </c>
      <c r="V199" s="383" t="n"/>
      <c r="W199" s="386" t="inlineStr">
        <is>
          <t>Full-Year</t>
        </is>
      </c>
    </row>
    <row r="200" ht="3" customHeight="1" s="1883">
      <c r="D200" s="383" t="n"/>
      <c r="E200" s="383" t="n"/>
      <c r="F200" s="383" t="n"/>
      <c r="G200" s="383" t="n"/>
      <c r="H200" s="383" t="n"/>
      <c r="I200" s="383" t="n"/>
      <c r="J200" s="387" t="n"/>
      <c r="K200" s="387" t="n"/>
      <c r="L200" s="387" t="n"/>
      <c r="M200" s="387" t="n"/>
      <c r="N200" s="387" t="n"/>
      <c r="O200" s="387" t="n"/>
      <c r="P200" s="387" t="n"/>
      <c r="Q200" s="387" t="n"/>
      <c r="R200" s="387" t="n"/>
      <c r="S200" s="387" t="n"/>
      <c r="T200" s="387" t="n"/>
      <c r="U200" s="387" t="n"/>
      <c r="V200" s="383" t="n"/>
      <c r="W200" s="387" t="n"/>
    </row>
    <row r="201" ht="3" customHeight="1" s="1883">
      <c r="D201" s="383" t="n"/>
      <c r="E201" s="383" t="n"/>
      <c r="F201" s="383" t="n"/>
      <c r="G201" s="383" t="n"/>
      <c r="H201" s="383" t="n"/>
      <c r="I201" s="383" t="n"/>
      <c r="J201" s="383" t="n"/>
      <c r="K201" s="383" t="n"/>
      <c r="L201" s="383" t="n"/>
      <c r="M201" s="383" t="n"/>
      <c r="N201" s="383" t="n"/>
      <c r="O201" s="383" t="n"/>
      <c r="P201" s="383" t="n"/>
      <c r="Q201" s="383" t="n"/>
      <c r="R201" s="383" t="n"/>
      <c r="S201" s="383" t="n"/>
      <c r="T201" s="383" t="n"/>
      <c r="U201" s="383" t="n"/>
      <c r="V201" s="383" t="n"/>
      <c r="W201" s="383" t="n"/>
    </row>
    <row r="202" ht="15" customHeight="1" s="1883">
      <c r="D202" s="390" t="inlineStr">
        <is>
          <t>●</t>
        </is>
      </c>
      <c r="E202" s="385" t="inlineStr">
        <is>
          <t>New Users</t>
        </is>
      </c>
      <c r="F202" s="385" t="n"/>
      <c r="G202" s="385" t="n"/>
      <c r="H202" s="385" t="n"/>
      <c r="I202" s="383" t="n"/>
      <c r="J202" s="383" t="n"/>
      <c r="K202" s="383" t="n"/>
      <c r="L202" s="383" t="n"/>
      <c r="M202" s="383" t="n"/>
      <c r="N202" s="383" t="n"/>
      <c r="O202" s="383" t="n"/>
      <c r="P202" s="383" t="n"/>
      <c r="Q202" s="383" t="n"/>
      <c r="R202" s="383" t="n"/>
      <c r="S202" s="383" t="n"/>
      <c r="T202" s="383" t="n"/>
      <c r="U202" s="383" t="n"/>
      <c r="V202" s="383" t="n"/>
      <c r="W202" s="383" t="n"/>
    </row>
    <row r="203" ht="15" customHeight="1" s="1883">
      <c r="D203" s="390" t="n"/>
      <c r="E203" s="390" t="n"/>
      <c r="F203" s="385" t="inlineStr">
        <is>
          <t>Number of Activated Telephones</t>
        </is>
      </c>
      <c r="G203" s="383" t="n"/>
      <c r="H203" s="383" t="n"/>
      <c r="I203" s="383" t="n"/>
      <c r="J203" s="397">
        <f>'3C. Tel. - Revenue Drivers - 1 '!J155</f>
        <v/>
      </c>
      <c r="K203" s="397">
        <f>'3C. Tel. - Revenue Drivers - 1 '!K155</f>
        <v/>
      </c>
      <c r="L203" s="397">
        <f>'3C. Tel. - Revenue Drivers - 1 '!L155</f>
        <v/>
      </c>
      <c r="M203" s="397">
        <f>'3C. Tel. - Revenue Drivers - 1 '!M155</f>
        <v/>
      </c>
      <c r="N203" s="397">
        <f>'3C. Tel. - Revenue Drivers - 1 '!N155</f>
        <v/>
      </c>
      <c r="O203" s="397">
        <f>'3C. Tel. - Revenue Drivers - 1 '!O155</f>
        <v/>
      </c>
      <c r="P203" s="397">
        <f>'3C. Tel. - Revenue Drivers - 1 '!P155</f>
        <v/>
      </c>
      <c r="Q203" s="397">
        <f>'3C. Tel. - Revenue Drivers - 1 '!Q155</f>
        <v/>
      </c>
      <c r="R203" s="397">
        <f>'3C. Tel. - Revenue Drivers - 1 '!R155</f>
        <v/>
      </c>
      <c r="S203" s="397">
        <f>'3C. Tel. - Revenue Drivers - 1 '!S155</f>
        <v/>
      </c>
      <c r="T203" s="397">
        <f>'3C. Tel. - Revenue Drivers - 1 '!T155</f>
        <v/>
      </c>
      <c r="U203" s="397">
        <f>'3C. Tel. - Revenue Drivers - 1 '!U155</f>
        <v/>
      </c>
      <c r="V203" s="385" t="n"/>
      <c r="W203" s="397">
        <f>((J203)+(K203)+(L203)+(M203)+(N203)+(O203)+(P203)+(Q203)+(R203)+(S203)+(T203)+(U203))</f>
        <v/>
      </c>
    </row>
    <row r="204" ht="15" customHeight="1" s="1883">
      <c r="D204" s="390" t="n"/>
      <c r="E204" s="383" t="n"/>
      <c r="F204" s="383" t="inlineStr">
        <is>
          <t>Selling Price/Handset, including logistics</t>
        </is>
      </c>
      <c r="G204" s="383" t="n"/>
      <c r="H204" s="383" t="n"/>
      <c r="I204" s="383" t="n"/>
      <c r="J204" s="395">
        <f>($J$22)</f>
        <v/>
      </c>
      <c r="K204" s="395">
        <f>($J$22)</f>
        <v/>
      </c>
      <c r="L204" s="395">
        <f>($J$22)</f>
        <v/>
      </c>
      <c r="M204" s="395">
        <f>($J$22)</f>
        <v/>
      </c>
      <c r="N204" s="395">
        <f>($J$22)</f>
        <v/>
      </c>
      <c r="O204" s="395">
        <f>($J$22)</f>
        <v/>
      </c>
      <c r="P204" s="395">
        <f>($J$22)</f>
        <v/>
      </c>
      <c r="Q204" s="395">
        <f>($J$22)</f>
        <v/>
      </c>
      <c r="R204" s="395">
        <f>($J$22)</f>
        <v/>
      </c>
      <c r="S204" s="395">
        <f>($J$22)</f>
        <v/>
      </c>
      <c r="T204" s="395">
        <f>($J$22)</f>
        <v/>
      </c>
      <c r="U204" s="395">
        <f>($J$22)</f>
        <v/>
      </c>
      <c r="V204" s="383" t="n"/>
      <c r="W204" s="383" t="n"/>
    </row>
    <row r="205" ht="3" customHeight="1" s="1883">
      <c r="D205" s="383" t="n"/>
      <c r="E205" s="383" t="n"/>
      <c r="I205" s="383" t="n"/>
      <c r="J205" s="387" t="n"/>
      <c r="K205" s="387" t="n"/>
      <c r="L205" s="387" t="n"/>
      <c r="M205" s="387" t="n"/>
      <c r="N205" s="387" t="n"/>
      <c r="O205" s="387" t="n"/>
      <c r="P205" s="387" t="n"/>
      <c r="Q205" s="387" t="n"/>
      <c r="R205" s="387" t="n"/>
      <c r="S205" s="387" t="n"/>
      <c r="T205" s="387" t="n"/>
      <c r="U205" s="387" t="n"/>
      <c r="V205" s="383" t="n"/>
      <c r="W205" s="387" t="n"/>
    </row>
    <row r="206" ht="3" customHeight="1" s="1883">
      <c r="D206" s="383" t="n"/>
      <c r="E206" s="383" t="n"/>
      <c r="F206" s="383" t="n"/>
      <c r="G206" s="383" t="n"/>
      <c r="H206" s="383" t="n"/>
      <c r="I206" s="383" t="n"/>
      <c r="J206" s="383" t="n"/>
      <c r="K206" s="383" t="n"/>
      <c r="L206" s="383" t="n"/>
      <c r="M206" s="383" t="n"/>
      <c r="N206" s="383" t="n"/>
      <c r="O206" s="383" t="n"/>
      <c r="P206" s="383" t="n"/>
      <c r="Q206" s="383" t="n"/>
      <c r="R206" s="383" t="n"/>
      <c r="S206" s="383" t="n"/>
      <c r="T206" s="383" t="n"/>
      <c r="U206" s="383" t="n"/>
      <c r="V206" s="383" t="n"/>
      <c r="W206" s="383" t="n"/>
    </row>
    <row r="207" ht="15" customHeight="1" s="1883">
      <c r="D207" s="383" t="n"/>
      <c r="E207" s="383" t="n"/>
      <c r="F207" s="383" t="n"/>
      <c r="G207" s="385" t="inlineStr">
        <is>
          <t>Revenue, Handsets to New Users</t>
        </is>
      </c>
      <c r="H207" s="385" t="n"/>
      <c r="I207" s="383" t="n"/>
      <c r="J207" s="396">
        <f>((J203)*(J204))</f>
        <v/>
      </c>
      <c r="K207" s="396">
        <f>((K203)*(K204))</f>
        <v/>
      </c>
      <c r="L207" s="396">
        <f>((L203)*(L204))</f>
        <v/>
      </c>
      <c r="M207" s="396">
        <f>((M203)*(M204))</f>
        <v/>
      </c>
      <c r="N207" s="396">
        <f>((N203)*(N204))</f>
        <v/>
      </c>
      <c r="O207" s="396">
        <f>((O203)*(O204))</f>
        <v/>
      </c>
      <c r="P207" s="396">
        <f>((P203)*(P204))</f>
        <v/>
      </c>
      <c r="Q207" s="396">
        <f>((Q203)*(Q204))</f>
        <v/>
      </c>
      <c r="R207" s="396">
        <f>((R203)*(R204))</f>
        <v/>
      </c>
      <c r="S207" s="396">
        <f>((S203)*(S204))</f>
        <v/>
      </c>
      <c r="T207" s="396">
        <f>((T203)*(T204))</f>
        <v/>
      </c>
      <c r="U207" s="396">
        <f>((U203)*(U204))</f>
        <v/>
      </c>
      <c r="V207" s="383" t="n"/>
      <c r="W207" s="396">
        <f>((J207)+(K207)+(L207)+(M207)+(N207)+(O207)+(P207)+(Q207)+(R207)+(S207)+(T207)+(U207))</f>
        <v/>
      </c>
    </row>
    <row r="211" ht="15" customHeight="1" s="1883">
      <c r="D211" s="383" t="n"/>
      <c r="E211" s="383" t="n"/>
      <c r="F211" s="383" t="inlineStr">
        <is>
          <t>Cost/handset, including logistics</t>
        </is>
      </c>
      <c r="H211" s="383" t="n"/>
      <c r="I211" s="383" t="n"/>
      <c r="J211" s="871">
        <f>($J$31)</f>
        <v/>
      </c>
      <c r="K211" s="871">
        <f>($J$31)</f>
        <v/>
      </c>
      <c r="L211" s="871">
        <f>($J$31)</f>
        <v/>
      </c>
      <c r="M211" s="871">
        <f>($J$31)</f>
        <v/>
      </c>
      <c r="N211" s="870">
        <f>($J$32)</f>
        <v/>
      </c>
      <c r="O211" s="870">
        <f>($J$32)</f>
        <v/>
      </c>
      <c r="P211" s="870">
        <f>($J$32)</f>
        <v/>
      </c>
      <c r="Q211" s="870">
        <f>($J$32)</f>
        <v/>
      </c>
      <c r="R211" s="870">
        <f>($J$32)</f>
        <v/>
      </c>
      <c r="S211" s="870">
        <f>($J$32)</f>
        <v/>
      </c>
      <c r="T211" s="870">
        <f>($J$32)</f>
        <v/>
      </c>
      <c r="U211" s="870">
        <f>($J$32)</f>
        <v/>
      </c>
      <c r="V211" s="383" t="n"/>
      <c r="W211" s="383" t="n"/>
    </row>
    <row r="212" ht="3" customHeight="1" s="1883">
      <c r="D212" s="383" t="n"/>
      <c r="E212" s="383" t="n"/>
      <c r="F212" s="383" t="n"/>
      <c r="G212" s="383" t="n"/>
      <c r="H212" s="383" t="n"/>
      <c r="I212" s="383" t="n"/>
      <c r="J212" s="387" t="n"/>
      <c r="K212" s="387" t="n"/>
      <c r="L212" s="387" t="n"/>
      <c r="M212" s="387" t="n"/>
      <c r="N212" s="387" t="n"/>
      <c r="O212" s="387" t="n"/>
      <c r="P212" s="387" t="n"/>
      <c r="Q212" s="387" t="n"/>
      <c r="R212" s="387" t="n"/>
      <c r="S212" s="387" t="n"/>
      <c r="T212" s="387" t="n"/>
      <c r="U212" s="387" t="n"/>
      <c r="V212" s="383" t="n"/>
      <c r="W212" s="387" t="n"/>
    </row>
    <row r="213" ht="3" customHeight="1" s="1883">
      <c r="D213" s="383" t="n"/>
      <c r="E213" s="383" t="n"/>
      <c r="F213" s="383" t="n"/>
      <c r="G213" s="383" t="n"/>
      <c r="H213" s="383" t="n"/>
      <c r="I213" s="383" t="n"/>
      <c r="J213" s="383" t="n"/>
      <c r="K213" s="383" t="n"/>
      <c r="L213" s="383" t="n"/>
      <c r="M213" s="383" t="n"/>
      <c r="N213" s="383" t="n"/>
      <c r="O213" s="383" t="n"/>
      <c r="P213" s="383" t="n"/>
      <c r="Q213" s="383" t="n"/>
      <c r="R213" s="383" t="n"/>
      <c r="S213" s="383" t="n"/>
      <c r="T213" s="383" t="n"/>
      <c r="U213" s="383" t="n"/>
      <c r="V213" s="383" t="n"/>
      <c r="W213" s="383" t="n"/>
    </row>
    <row r="214" ht="15" customHeight="1" s="1883">
      <c r="D214" s="383" t="n"/>
      <c r="E214" s="383" t="n"/>
      <c r="F214" s="383" t="n"/>
      <c r="G214" s="385" t="inlineStr">
        <is>
          <t>CoGS, Handsets to New Users</t>
        </is>
      </c>
      <c r="H214" s="383" t="n"/>
      <c r="I214" s="383" t="n"/>
      <c r="J214" s="396">
        <f>((J203)*(J211))</f>
        <v/>
      </c>
      <c r="K214" s="396">
        <f>((K203)*(K211))</f>
        <v/>
      </c>
      <c r="L214" s="396">
        <f>((L203)*(L211))</f>
        <v/>
      </c>
      <c r="M214" s="396">
        <f>((M203)*(M211))</f>
        <v/>
      </c>
      <c r="N214" s="396">
        <f>((N203)*(N211))</f>
        <v/>
      </c>
      <c r="O214" s="396">
        <f>((O203)*(O211))</f>
        <v/>
      </c>
      <c r="P214" s="396">
        <f>((P203)*(P211))</f>
        <v/>
      </c>
      <c r="Q214" s="396">
        <f>((Q203)*(Q211))</f>
        <v/>
      </c>
      <c r="R214" s="396">
        <f>((R203)*(R211))</f>
        <v/>
      </c>
      <c r="S214" s="396">
        <f>((S203)*(S211))</f>
        <v/>
      </c>
      <c r="T214" s="396">
        <f>((T203)*(T211))</f>
        <v/>
      </c>
      <c r="U214" s="396">
        <f>((U203)*(U211))</f>
        <v/>
      </c>
      <c r="V214" s="383" t="n"/>
      <c r="W214" s="396">
        <f>((J214)+(K214)+(L214)+(M214)+(N214)+(O214)+(P214)+(Q214)+(R214)+(S214)+(T214)+(U214))</f>
        <v/>
      </c>
    </row>
    <row r="215" ht="3" customHeight="1" s="1883">
      <c r="D215" s="383" t="n"/>
      <c r="E215" s="383" t="n"/>
      <c r="F215" s="383" t="n"/>
      <c r="G215" s="383" t="n"/>
      <c r="H215" s="383" t="n"/>
      <c r="I215" s="383" t="n"/>
      <c r="J215" s="387" t="n"/>
      <c r="K215" s="387" t="n"/>
      <c r="L215" s="387" t="n"/>
      <c r="M215" s="387" t="n"/>
      <c r="N215" s="387" t="n"/>
      <c r="O215" s="387" t="n"/>
      <c r="P215" s="387" t="n"/>
      <c r="Q215" s="387" t="n"/>
      <c r="R215" s="387" t="n"/>
      <c r="S215" s="387" t="n"/>
      <c r="T215" s="387" t="n"/>
      <c r="U215" s="387" t="n"/>
      <c r="V215" s="383" t="n"/>
      <c r="W215" s="387" t="n"/>
    </row>
    <row r="216" ht="3" customHeight="1" s="1883">
      <c r="D216" s="383" t="n"/>
      <c r="E216" s="383" t="n"/>
      <c r="F216" s="383" t="n"/>
      <c r="G216" s="383" t="n"/>
      <c r="H216" s="383" t="n"/>
      <c r="I216" s="383" t="n"/>
      <c r="J216" s="383" t="n"/>
      <c r="K216" s="383" t="n"/>
      <c r="L216" s="383" t="n"/>
      <c r="M216" s="383" t="n"/>
      <c r="N216" s="383" t="n"/>
      <c r="O216" s="383" t="n"/>
      <c r="P216" s="383" t="n"/>
      <c r="Q216" s="383" t="n"/>
      <c r="R216" s="383" t="n"/>
      <c r="S216" s="383" t="n"/>
      <c r="T216" s="383" t="n"/>
      <c r="U216" s="383" t="n"/>
      <c r="V216" s="383" t="n"/>
      <c r="W216" s="383" t="n"/>
    </row>
    <row r="217" ht="15" customHeight="1" s="1883">
      <c r="D217" s="383" t="n"/>
      <c r="E217" s="383" t="n"/>
      <c r="F217" s="383" t="n"/>
      <c r="G217" s="383" t="n"/>
      <c r="H217" s="383" t="n"/>
      <c r="I217" s="383" t="n"/>
      <c r="J217" s="383" t="n"/>
      <c r="K217" s="383" t="n"/>
      <c r="L217" s="383" t="n"/>
      <c r="M217" s="383" t="n"/>
      <c r="N217" s="383" t="n"/>
      <c r="O217" s="383" t="n"/>
      <c r="P217" s="383" t="n"/>
      <c r="Q217" s="383" t="n"/>
      <c r="R217" s="383" t="n"/>
      <c r="S217" s="383" t="n"/>
      <c r="T217" s="383" t="n"/>
      <c r="U217" s="383" t="n"/>
      <c r="V217" s="383" t="n"/>
      <c r="W217" s="383" t="n"/>
    </row>
    <row r="218" ht="15" customHeight="1" s="1883">
      <c r="D218" s="390" t="inlineStr">
        <is>
          <t>●</t>
        </is>
      </c>
      <c r="E218" s="385" t="inlineStr">
        <is>
          <t>Renewals</t>
        </is>
      </c>
      <c r="F218" s="383" t="n"/>
      <c r="G218" s="383" t="n"/>
      <c r="H218" s="383" t="n"/>
      <c r="I218" s="383" t="n"/>
      <c r="J218" s="383" t="n"/>
      <c r="K218" s="383" t="n"/>
      <c r="L218" s="383" t="n"/>
      <c r="M218" s="383" t="n"/>
      <c r="N218" s="383" t="n"/>
      <c r="O218" s="383" t="n"/>
      <c r="P218" s="383" t="n"/>
      <c r="Q218" s="383" t="n"/>
      <c r="R218" s="383" t="n"/>
      <c r="S218" s="383" t="n"/>
      <c r="T218" s="383" t="n"/>
      <c r="U218" s="383" t="n"/>
      <c r="V218" s="383" t="n"/>
      <c r="W218" s="383" t="n"/>
    </row>
    <row r="219" ht="15" customHeight="1" s="1883">
      <c r="D219" s="383" t="n"/>
      <c r="E219" s="383" t="n"/>
      <c r="F219" s="385" t="inlineStr">
        <is>
          <t xml:space="preserve">Number of Renewals </t>
        </is>
      </c>
      <c r="G219" s="383" t="n"/>
      <c r="H219" s="383" t="n"/>
      <c r="I219" s="383" t="n"/>
      <c r="J219" s="397">
        <f>'3C. Tel. - Revenue Drivers - 1 '!J156</f>
        <v/>
      </c>
      <c r="K219" s="397">
        <f>'3C. Tel. - Revenue Drivers - 1 '!K156</f>
        <v/>
      </c>
      <c r="L219" s="397">
        <f>'3C. Tel. - Revenue Drivers - 1 '!L156</f>
        <v/>
      </c>
      <c r="M219" s="397">
        <f>'3C. Tel. - Revenue Drivers - 1 '!M156</f>
        <v/>
      </c>
      <c r="N219" s="397">
        <f>'3C. Tel. - Revenue Drivers - 1 '!N156</f>
        <v/>
      </c>
      <c r="O219" s="397">
        <f>'3C. Tel. - Revenue Drivers - 1 '!O156</f>
        <v/>
      </c>
      <c r="P219" s="397">
        <f>'3C. Tel. - Revenue Drivers - 1 '!P156</f>
        <v/>
      </c>
      <c r="Q219" s="397">
        <f>'3C. Tel. - Revenue Drivers - 1 '!Q156</f>
        <v/>
      </c>
      <c r="R219" s="397">
        <f>'3C. Tel. - Revenue Drivers - 1 '!R156</f>
        <v/>
      </c>
      <c r="S219" s="397">
        <f>'3C. Tel. - Revenue Drivers - 1 '!S156</f>
        <v/>
      </c>
      <c r="T219" s="397">
        <f>'3C. Tel. - Revenue Drivers - 1 '!T156</f>
        <v/>
      </c>
      <c r="U219" s="397">
        <f>'3C. Tel. - Revenue Drivers - 1 '!U156</f>
        <v/>
      </c>
      <c r="V219" s="383" t="n"/>
      <c r="W219" s="397">
        <f>((J219)+(K219)+(L219)+(M219)+(N219)+(O219)+(P219)+(Q219)+(R219)+(S219)+(T219)+(U219))</f>
        <v/>
      </c>
    </row>
    <row r="220" ht="15" customHeight="1" s="1883">
      <c r="D220" s="383" t="n"/>
      <c r="E220" s="383" t="n"/>
      <c r="F220" s="383" t="inlineStr">
        <is>
          <t>Cost/handset, including logistics</t>
        </is>
      </c>
      <c r="H220" s="383" t="n"/>
      <c r="I220" s="383" t="n"/>
      <c r="J220" s="871">
        <f>($J$31)</f>
        <v/>
      </c>
      <c r="K220" s="871">
        <f>($J$31)</f>
        <v/>
      </c>
      <c r="L220" s="871">
        <f>($J$31)</f>
        <v/>
      </c>
      <c r="M220" s="871">
        <f>($J$31)</f>
        <v/>
      </c>
      <c r="N220" s="870">
        <f>($J$32)</f>
        <v/>
      </c>
      <c r="O220" s="870">
        <f>($J$32)</f>
        <v/>
      </c>
      <c r="P220" s="870">
        <f>($J$32)</f>
        <v/>
      </c>
      <c r="Q220" s="870">
        <f>($J$32)</f>
        <v/>
      </c>
      <c r="R220" s="870">
        <f>($J$32)</f>
        <v/>
      </c>
      <c r="S220" s="870">
        <f>($J$32)</f>
        <v/>
      </c>
      <c r="T220" s="870">
        <f>($J$32)</f>
        <v/>
      </c>
      <c r="U220" s="870">
        <f>($J$32)</f>
        <v/>
      </c>
      <c r="V220" s="383" t="n"/>
      <c r="W220" s="383" t="n"/>
    </row>
    <row r="221" ht="3" customHeight="1" s="1883">
      <c r="D221" s="383" t="n"/>
      <c r="E221" s="383" t="n"/>
      <c r="F221" s="383" t="n"/>
      <c r="G221" s="383" t="n"/>
      <c r="H221" s="383" t="n"/>
      <c r="I221" s="383" t="n"/>
      <c r="J221" s="387" t="n"/>
      <c r="K221" s="387" t="n"/>
      <c r="L221" s="387" t="n"/>
      <c r="M221" s="387" t="n"/>
      <c r="N221" s="387" t="n"/>
      <c r="O221" s="387" t="n"/>
      <c r="P221" s="387" t="n"/>
      <c r="Q221" s="387" t="n"/>
      <c r="R221" s="387" t="n"/>
      <c r="S221" s="387" t="n"/>
      <c r="T221" s="387" t="n"/>
      <c r="U221" s="387" t="n"/>
      <c r="V221" s="383" t="n"/>
      <c r="W221" s="387" t="n"/>
    </row>
    <row r="222" ht="3" customHeight="1" s="1883">
      <c r="D222" s="383" t="n"/>
      <c r="E222" s="383" t="n"/>
      <c r="F222" s="383" t="n"/>
      <c r="G222" s="383" t="n"/>
      <c r="H222" s="383" t="n"/>
      <c r="I222" s="383" t="n"/>
      <c r="J222" s="383" t="n"/>
      <c r="K222" s="383" t="n"/>
      <c r="L222" s="383" t="n"/>
      <c r="M222" s="383" t="n"/>
      <c r="N222" s="383" t="n"/>
      <c r="O222" s="383" t="n"/>
      <c r="P222" s="383" t="n"/>
      <c r="Q222" s="383" t="n"/>
      <c r="R222" s="383" t="n"/>
      <c r="S222" s="383" t="n"/>
      <c r="T222" s="383" t="n"/>
      <c r="U222" s="383" t="n"/>
      <c r="V222" s="383" t="n"/>
      <c r="W222" s="383" t="n"/>
    </row>
    <row r="223" ht="15" customHeight="1" s="1883">
      <c r="D223" s="383" t="n"/>
      <c r="E223" s="383" t="n"/>
      <c r="F223" s="383" t="n"/>
      <c r="G223" s="385" t="inlineStr">
        <is>
          <t>CoGS, Handsets to Renewals</t>
        </is>
      </c>
      <c r="H223" s="383" t="n"/>
      <c r="I223" s="383" t="n"/>
      <c r="J223" s="396">
        <f>((J219)*(J220))</f>
        <v/>
      </c>
      <c r="K223" s="396">
        <f>((K219)*(K220))</f>
        <v/>
      </c>
      <c r="L223" s="396">
        <f>((L219)*(L220))</f>
        <v/>
      </c>
      <c r="M223" s="396">
        <f>((M219)*(M220))</f>
        <v/>
      </c>
      <c r="N223" s="396">
        <f>((N219)*(N220))</f>
        <v/>
      </c>
      <c r="O223" s="396">
        <f>((O219)*(O220))</f>
        <v/>
      </c>
      <c r="P223" s="396">
        <f>((P219)*(P220))</f>
        <v/>
      </c>
      <c r="Q223" s="396">
        <f>((Q219)*(Q220))</f>
        <v/>
      </c>
      <c r="R223" s="396">
        <f>((R219)*(R220))</f>
        <v/>
      </c>
      <c r="S223" s="396">
        <f>((S219)*(S220))</f>
        <v/>
      </c>
      <c r="T223" s="396">
        <f>((T219)*(T220))</f>
        <v/>
      </c>
      <c r="U223" s="396">
        <f>((U219)*(U220))</f>
        <v/>
      </c>
      <c r="V223" s="396" t="n"/>
      <c r="W223" s="396">
        <f>((J223)+(K223)+(L223)+(M223)+(N223)+(O223)+(P223)+(Q223)+(R223)+(S223)+(T223)+(U223))</f>
        <v/>
      </c>
    </row>
    <row r="227" ht="15" customHeight="1" s="1883">
      <c r="D227" s="390" t="inlineStr">
        <is>
          <t>●</t>
        </is>
      </c>
      <c r="E227" s="385" t="inlineStr">
        <is>
          <t>Warranty (0.11% of Hardware Revenue)</t>
        </is>
      </c>
      <c r="F227" s="383" t="n"/>
      <c r="G227" s="383" t="n"/>
      <c r="H227" s="383" t="n"/>
      <c r="I227" s="383" t="n"/>
      <c r="J227" s="494">
        <f>((0.001)*(J207))</f>
        <v/>
      </c>
      <c r="K227" s="494">
        <f>((0.001)*(K207))</f>
        <v/>
      </c>
      <c r="L227" s="494">
        <f>((0.001)*(L207))</f>
        <v/>
      </c>
      <c r="M227" s="494">
        <f>((0.001)*(M207))</f>
        <v/>
      </c>
      <c r="N227" s="494">
        <f>((0.001)*(N207))</f>
        <v/>
      </c>
      <c r="O227" s="494">
        <f>((0.001)*(O207))</f>
        <v/>
      </c>
      <c r="P227" s="494">
        <f>((0.001)*(P207))</f>
        <v/>
      </c>
      <c r="Q227" s="494">
        <f>((0.001)*(Q207))</f>
        <v/>
      </c>
      <c r="R227" s="494">
        <f>((0.001)*(R207))</f>
        <v/>
      </c>
      <c r="S227" s="494">
        <f>((0.001)*(S207))</f>
        <v/>
      </c>
      <c r="T227" s="494">
        <f>((0.001)*(T207))</f>
        <v/>
      </c>
      <c r="U227" s="494">
        <f>((0.001)*(U207))</f>
        <v/>
      </c>
      <c r="V227" s="383" t="n"/>
      <c r="W227" s="494">
        <f>((J227)+(K227)+(L227)+(M227)+(N227)+(O227)+(P227)+(Q227)+(R227)+(S227)+(T227)+(U227))</f>
        <v/>
      </c>
      <c r="X227" s="383" t="n"/>
      <c r="Y227" s="383" t="n"/>
    </row>
    <row r="228" ht="15" customHeight="1" s="1883">
      <c r="D228" s="383" t="n"/>
      <c r="E228" s="383" t="n"/>
      <c r="F228" s="383" t="n"/>
      <c r="G228" s="383" t="n"/>
      <c r="H228" s="383" t="n"/>
      <c r="I228" s="383" t="n"/>
      <c r="J228" s="383" t="n"/>
      <c r="K228" s="383" t="n"/>
      <c r="L228" s="383" t="n"/>
      <c r="M228" s="383" t="n"/>
      <c r="N228" s="383" t="n"/>
      <c r="O228" s="383" t="n"/>
      <c r="P228" s="383" t="n"/>
      <c r="Q228" s="383" t="n"/>
      <c r="R228" s="383" t="n"/>
      <c r="S228" s="383" t="n"/>
      <c r="T228" s="383" t="n"/>
      <c r="U228" s="383" t="n"/>
      <c r="V228" s="383" t="n"/>
      <c r="W228" s="383" t="n"/>
      <c r="X228" s="383" t="n"/>
      <c r="Y228" s="383" t="n"/>
    </row>
    <row r="229" ht="15" customHeight="1" s="1883">
      <c r="D229" s="383" t="n"/>
      <c r="E229" s="383" t="n"/>
      <c r="F229" s="383" t="n"/>
      <c r="G229" s="383" t="n"/>
      <c r="H229" s="463" t="inlineStr">
        <is>
          <t>Net Revenue = Revenue Less CoGS</t>
        </is>
      </c>
      <c r="I229" s="464" t="n"/>
      <c r="J229" s="465">
        <f>((J207)-(J214)-(J223)-(J227))</f>
        <v/>
      </c>
      <c r="K229" s="465">
        <f>((K207)-(K214)-(K223)-(K227))</f>
        <v/>
      </c>
      <c r="L229" s="465">
        <f>((L207)-(L214)-(L223)-(L227))</f>
        <v/>
      </c>
      <c r="M229" s="465">
        <f>((M207)-(M214)-(M223)-(M227))</f>
        <v/>
      </c>
      <c r="N229" s="465">
        <f>((N207)-(N214)-(N223)-(N227))</f>
        <v/>
      </c>
      <c r="O229" s="465">
        <f>((O207)-(O214)-(O223)-(O227))</f>
        <v/>
      </c>
      <c r="P229" s="465">
        <f>((P207)-(P214)-(P223)-(P227))</f>
        <v/>
      </c>
      <c r="Q229" s="465">
        <f>((Q207)-(Q214)-(Q223)-(Q227))</f>
        <v/>
      </c>
      <c r="R229" s="465">
        <f>((R207)-(R214)-(R223)-(R227))</f>
        <v/>
      </c>
      <c r="S229" s="465">
        <f>((S207)-(S214)-(S223)-(S227))</f>
        <v/>
      </c>
      <c r="T229" s="465">
        <f>((T207)-(T214)-(T223)-(T227))</f>
        <v/>
      </c>
      <c r="U229" s="465">
        <f>((U207)-(U214)-(U223)-(U227))</f>
        <v/>
      </c>
      <c r="V229" s="465" t="n"/>
      <c r="W229" s="465">
        <f>((W207)-(W214)-(W223)-(W227))</f>
        <v/>
      </c>
      <c r="X229" s="383" t="n"/>
      <c r="Y229" s="396">
        <f>((W207)-(W214)-(W223)-(W227))</f>
        <v/>
      </c>
    </row>
    <row r="230" ht="3" customHeight="1" s="1883">
      <c r="D230" s="383" t="n"/>
      <c r="E230" s="383" t="n"/>
      <c r="F230" s="383" t="n"/>
      <c r="G230" s="383" t="n"/>
      <c r="H230" s="383" t="n"/>
      <c r="I230" s="383" t="n"/>
      <c r="J230" s="387" t="n"/>
      <c r="K230" s="387" t="n"/>
      <c r="L230" s="387" t="n"/>
      <c r="M230" s="387" t="n"/>
      <c r="N230" s="387" t="n"/>
      <c r="O230" s="387" t="n"/>
      <c r="P230" s="387" t="n"/>
      <c r="Q230" s="387" t="n"/>
      <c r="R230" s="387" t="n"/>
      <c r="S230" s="387" t="n"/>
      <c r="T230" s="387" t="n"/>
      <c r="U230" s="387" t="n"/>
      <c r="V230" s="383" t="n"/>
      <c r="W230" s="387" t="n"/>
      <c r="X230" s="383" t="n"/>
      <c r="Y230" s="387" t="n"/>
    </row>
    <row r="231" ht="3" customHeight="1" s="1883">
      <c r="D231" s="383" t="n"/>
      <c r="E231" s="383" t="n"/>
      <c r="F231" s="383" t="n"/>
      <c r="G231" s="383" t="n"/>
      <c r="H231" s="383" t="n"/>
      <c r="I231" s="383" t="n"/>
      <c r="J231" s="383" t="n"/>
      <c r="K231" s="383" t="n"/>
      <c r="L231" s="383" t="n"/>
      <c r="M231" s="383" t="n"/>
      <c r="N231" s="383" t="n"/>
      <c r="O231" s="383" t="n"/>
      <c r="P231" s="383" t="n"/>
      <c r="Q231" s="383" t="n"/>
      <c r="R231" s="383" t="n"/>
      <c r="S231" s="383" t="n"/>
      <c r="T231" s="383" t="n"/>
      <c r="U231" s="383" t="n"/>
      <c r="V231" s="383" t="n"/>
      <c r="W231" s="383" t="n"/>
      <c r="X231" s="383" t="n"/>
      <c r="Y231" s="383" t="n"/>
    </row>
    <row r="232" ht="15" customHeight="1" s="1883">
      <c r="D232" s="383" t="n"/>
      <c r="E232" s="383" t="n"/>
      <c r="F232" s="383" t="n"/>
      <c r="G232" s="383" t="n"/>
      <c r="H232" s="383" t="n"/>
      <c r="I232" s="383" t="n"/>
      <c r="J232" s="383" t="n"/>
      <c r="K232" s="383" t="n"/>
      <c r="L232" s="383" t="n"/>
      <c r="M232" s="383" t="n"/>
      <c r="N232" s="383" t="n"/>
      <c r="O232" s="383" t="n"/>
      <c r="P232" s="383" t="n"/>
      <c r="Q232" s="383" t="n"/>
      <c r="R232" s="383" t="n"/>
      <c r="S232" s="383" t="n"/>
      <c r="T232" s="383" t="n"/>
      <c r="U232" s="383" t="n"/>
      <c r="V232" s="383" t="n"/>
      <c r="W232" s="383" t="n"/>
      <c r="X232" s="383" t="n"/>
      <c r="Y232" s="383" t="n"/>
    </row>
    <row r="233" ht="15" customHeight="1" s="1883">
      <c r="D233" s="383" t="n"/>
      <c r="E233" s="383" t="n"/>
      <c r="F233" s="383" t="n"/>
      <c r="G233" s="383" t="n"/>
      <c r="H233" s="383" t="n"/>
      <c r="I233" s="383" t="n"/>
      <c r="J233" s="383" t="n"/>
      <c r="K233" s="383" t="n"/>
      <c r="L233" s="383" t="n"/>
      <c r="M233" s="383" t="n"/>
      <c r="N233" s="383" t="n"/>
      <c r="O233" s="383" t="n"/>
      <c r="P233" s="383" t="n"/>
      <c r="Q233" s="383" t="n"/>
      <c r="R233" s="383" t="n"/>
      <c r="S233" s="383" t="n"/>
      <c r="T233" s="383" t="n"/>
      <c r="U233" s="383" t="n"/>
      <c r="V233" s="383" t="n"/>
      <c r="W233" s="383" t="n"/>
      <c r="X233" s="383" t="n"/>
      <c r="Y233" s="383" t="n"/>
    </row>
    <row r="234" ht="15" customHeight="1" s="1883">
      <c r="D234" s="383" t="n"/>
      <c r="E234" s="383" t="n"/>
      <c r="F234" s="383" t="n"/>
      <c r="G234" s="383" t="n"/>
      <c r="H234" s="383" t="n"/>
      <c r="I234" s="383" t="n"/>
      <c r="J234" s="1882" t="inlineStr">
        <is>
          <t>Year 6</t>
        </is>
      </c>
      <c r="X234" s="383" t="n"/>
      <c r="Y234" s="383" t="n"/>
    </row>
    <row r="235" ht="3" customHeight="1" s="1883">
      <c r="D235" s="383" t="n"/>
      <c r="E235" s="383" t="n"/>
      <c r="F235" s="383" t="n"/>
      <c r="G235" s="383" t="n"/>
      <c r="H235" s="383" t="n"/>
      <c r="I235" s="383" t="n"/>
      <c r="J235" s="387" t="n"/>
      <c r="K235" s="387" t="n"/>
      <c r="L235" s="387" t="n"/>
      <c r="M235" s="387" t="n"/>
      <c r="N235" s="387" t="n"/>
      <c r="O235" s="387" t="n"/>
      <c r="P235" s="387" t="n"/>
      <c r="Q235" s="387" t="n"/>
      <c r="R235" s="387" t="n"/>
      <c r="S235" s="387" t="n"/>
      <c r="T235" s="387" t="n"/>
      <c r="U235" s="387" t="n"/>
      <c r="V235" s="387" t="n"/>
      <c r="W235" s="387" t="n"/>
      <c r="X235" s="383" t="n"/>
      <c r="Y235" s="383" t="n"/>
    </row>
    <row r="236" ht="3" customHeight="1" s="1883">
      <c r="D236" s="383" t="n"/>
      <c r="E236" s="383" t="n"/>
      <c r="F236" s="383" t="n"/>
      <c r="G236" s="383" t="n"/>
      <c r="H236" s="383" t="n"/>
      <c r="I236" s="383" t="n"/>
      <c r="J236" s="383" t="n"/>
      <c r="K236" s="383" t="n"/>
      <c r="L236" s="383" t="n"/>
      <c r="M236" s="383" t="n"/>
      <c r="N236" s="383" t="n"/>
      <c r="O236" s="383" t="n"/>
      <c r="P236" s="383" t="n"/>
      <c r="Q236" s="383" t="n"/>
      <c r="R236" s="383" t="n"/>
      <c r="S236" s="383" t="n"/>
      <c r="T236" s="383" t="n"/>
      <c r="U236" s="383" t="n"/>
      <c r="V236" s="383" t="n"/>
      <c r="W236" s="383" t="n"/>
      <c r="X236" s="383" t="n"/>
      <c r="Y236" s="383" t="n"/>
    </row>
    <row r="237" ht="15" customHeight="1" s="1883">
      <c r="D237" s="383" t="n"/>
      <c r="E237" s="383" t="n"/>
      <c r="F237" s="383" t="n"/>
      <c r="G237" s="383" t="n"/>
      <c r="H237" s="383" t="n"/>
      <c r="I237" s="383" t="n"/>
      <c r="J237" s="386" t="inlineStr">
        <is>
          <t>Month 61</t>
        </is>
      </c>
      <c r="K237" s="386" t="inlineStr">
        <is>
          <t>Month 62</t>
        </is>
      </c>
      <c r="L237" s="386" t="inlineStr">
        <is>
          <t>Month 63</t>
        </is>
      </c>
      <c r="M237" s="386" t="inlineStr">
        <is>
          <t>Month 64</t>
        </is>
      </c>
      <c r="N237" s="386" t="inlineStr">
        <is>
          <t>Month 65</t>
        </is>
      </c>
      <c r="O237" s="386" t="inlineStr">
        <is>
          <t>Month 66</t>
        </is>
      </c>
      <c r="P237" s="386" t="inlineStr">
        <is>
          <t>Month 67</t>
        </is>
      </c>
      <c r="Q237" s="386" t="inlineStr">
        <is>
          <t>Month 68</t>
        </is>
      </c>
      <c r="R237" s="386" t="inlineStr">
        <is>
          <t>Month 69</t>
        </is>
      </c>
      <c r="S237" s="386" t="inlineStr">
        <is>
          <t>Month 70</t>
        </is>
      </c>
      <c r="T237" s="386" t="inlineStr">
        <is>
          <t>Month 71</t>
        </is>
      </c>
      <c r="U237" s="386" t="inlineStr">
        <is>
          <t>Month 72</t>
        </is>
      </c>
      <c r="V237" s="383" t="n"/>
      <c r="W237" s="386" t="inlineStr">
        <is>
          <t>Full-Year</t>
        </is>
      </c>
      <c r="X237" s="383" t="n"/>
      <c r="Y237" s="383" t="n"/>
    </row>
    <row r="238" ht="3" customHeight="1" s="1883">
      <c r="D238" s="383" t="n"/>
      <c r="E238" s="383" t="n"/>
      <c r="F238" s="383" t="n"/>
      <c r="G238" s="383" t="n"/>
      <c r="H238" s="383" t="n"/>
      <c r="I238" s="383" t="n"/>
      <c r="J238" s="387" t="n"/>
      <c r="K238" s="387" t="n"/>
      <c r="L238" s="387" t="n"/>
      <c r="M238" s="387" t="n"/>
      <c r="N238" s="387" t="n"/>
      <c r="O238" s="387" t="n"/>
      <c r="P238" s="387" t="n"/>
      <c r="Q238" s="387" t="n"/>
      <c r="R238" s="387" t="n"/>
      <c r="S238" s="387" t="n"/>
      <c r="T238" s="387" t="n"/>
      <c r="U238" s="387" t="n"/>
      <c r="V238" s="383" t="n"/>
      <c r="W238" s="387" t="n"/>
      <c r="X238" s="383" t="n"/>
      <c r="Y238" s="383" t="n"/>
    </row>
    <row r="239" ht="3" customHeight="1" s="1883">
      <c r="D239" s="383" t="n"/>
      <c r="E239" s="383" t="n"/>
      <c r="F239" s="383" t="n"/>
      <c r="G239" s="383" t="n"/>
      <c r="H239" s="383" t="n"/>
      <c r="I239" s="383" t="n"/>
      <c r="J239" s="383" t="n"/>
      <c r="K239" s="383" t="n"/>
      <c r="L239" s="383" t="n"/>
      <c r="M239" s="383" t="n"/>
      <c r="N239" s="383" t="n"/>
      <c r="O239" s="383" t="n"/>
      <c r="P239" s="383" t="n"/>
      <c r="Q239" s="383" t="n"/>
      <c r="R239" s="383" t="n"/>
      <c r="S239" s="383" t="n"/>
      <c r="T239" s="383" t="n"/>
      <c r="U239" s="383" t="n"/>
      <c r="V239" s="383" t="n"/>
      <c r="W239" s="383" t="n"/>
      <c r="X239" s="383" t="n"/>
      <c r="Y239" s="383" t="n"/>
    </row>
    <row r="240" ht="15" customHeight="1" s="1883">
      <c r="D240" s="390" t="inlineStr">
        <is>
          <t>●</t>
        </is>
      </c>
      <c r="E240" s="385" t="inlineStr">
        <is>
          <t>New Users</t>
        </is>
      </c>
      <c r="F240" s="385" t="n"/>
      <c r="G240" s="385" t="n"/>
      <c r="H240" s="385" t="n"/>
      <c r="I240" s="383" t="n"/>
      <c r="J240" s="383" t="n"/>
      <c r="K240" s="383" t="n"/>
      <c r="L240" s="383" t="n"/>
      <c r="M240" s="383" t="n"/>
      <c r="N240" s="383" t="n"/>
      <c r="O240" s="383" t="n"/>
      <c r="P240" s="383" t="n"/>
      <c r="Q240" s="383" t="n"/>
      <c r="R240" s="383" t="n"/>
      <c r="S240" s="383" t="n"/>
      <c r="T240" s="383" t="n"/>
      <c r="U240" s="383" t="n"/>
      <c r="V240" s="383" t="n"/>
      <c r="W240" s="383" t="n"/>
      <c r="X240" s="383" t="n"/>
      <c r="Y240" s="383" t="n"/>
    </row>
    <row r="241" ht="15" customHeight="1" s="1883">
      <c r="D241" s="390" t="n"/>
      <c r="E241" s="390" t="n"/>
      <c r="F241" s="385" t="inlineStr">
        <is>
          <t>Number of Activated Telephones</t>
        </is>
      </c>
      <c r="G241" s="383" t="n"/>
      <c r="H241" s="383" t="n"/>
      <c r="I241" s="383" t="n"/>
      <c r="J241" s="397">
        <f>'3C. Tel. - Revenue Drivers - 1 '!J173</f>
        <v/>
      </c>
      <c r="K241" s="397">
        <f>'3C. Tel. - Revenue Drivers - 1 '!K173</f>
        <v/>
      </c>
      <c r="L241" s="397">
        <f>'3C. Tel. - Revenue Drivers - 1 '!L173</f>
        <v/>
      </c>
      <c r="M241" s="397">
        <f>'3C. Tel. - Revenue Drivers - 1 '!M173</f>
        <v/>
      </c>
      <c r="N241" s="397">
        <f>'3C. Tel. - Revenue Drivers - 1 '!N173</f>
        <v/>
      </c>
      <c r="O241" s="397">
        <f>'3C. Tel. - Revenue Drivers - 1 '!O173</f>
        <v/>
      </c>
      <c r="P241" s="397">
        <f>'3C. Tel. - Revenue Drivers - 1 '!P173</f>
        <v/>
      </c>
      <c r="Q241" s="397">
        <f>'3C. Tel. - Revenue Drivers - 1 '!Q173</f>
        <v/>
      </c>
      <c r="R241" s="397">
        <f>'3C. Tel. - Revenue Drivers - 1 '!R173</f>
        <v/>
      </c>
      <c r="S241" s="397">
        <f>'3C. Tel. - Revenue Drivers - 1 '!S173</f>
        <v/>
      </c>
      <c r="T241" s="397">
        <f>'3C. Tel. - Revenue Drivers - 1 '!T173</f>
        <v/>
      </c>
      <c r="U241" s="397">
        <f>'3C. Tel. - Revenue Drivers - 1 '!U173</f>
        <v/>
      </c>
      <c r="V241" s="383" t="n"/>
      <c r="W241" s="397">
        <f>((J241)+(K241)+(L241)+(M241)+(N241)+(O241)+(P241)+(Q241)+(R241)+(S241)+(T241)+(U241))</f>
        <v/>
      </c>
    </row>
    <row r="242" ht="15" customHeight="1" s="1883">
      <c r="D242" s="390" t="n"/>
      <c r="E242" s="383" t="n"/>
      <c r="F242" s="383" t="inlineStr">
        <is>
          <t>Selling Price/Handset, including logistics</t>
        </is>
      </c>
      <c r="G242" s="383" t="n"/>
      <c r="H242" s="383" t="n"/>
      <c r="I242" s="383" t="n"/>
      <c r="J242" s="395">
        <f>($J$23)</f>
        <v/>
      </c>
      <c r="K242" s="395">
        <f>($J$23)</f>
        <v/>
      </c>
      <c r="L242" s="395">
        <f>($J$23)</f>
        <v/>
      </c>
      <c r="M242" s="395">
        <f>($J$23)</f>
        <v/>
      </c>
      <c r="N242" s="395">
        <f>($J$23)</f>
        <v/>
      </c>
      <c r="O242" s="395">
        <f>($J$23)</f>
        <v/>
      </c>
      <c r="P242" s="395">
        <f>($J$23)</f>
        <v/>
      </c>
      <c r="Q242" s="395">
        <f>($J$23)</f>
        <v/>
      </c>
      <c r="R242" s="395">
        <f>($J$23)</f>
        <v/>
      </c>
      <c r="S242" s="395">
        <f>($J$23)</f>
        <v/>
      </c>
      <c r="T242" s="395">
        <f>($J$23)</f>
        <v/>
      </c>
      <c r="U242" s="395">
        <f>($J$23)</f>
        <v/>
      </c>
      <c r="V242" s="383" t="n"/>
      <c r="W242" s="383" t="n"/>
    </row>
    <row r="243" ht="3" customHeight="1" s="1883">
      <c r="D243" s="383" t="n"/>
      <c r="E243" s="383" t="n"/>
      <c r="I243" s="383" t="n"/>
      <c r="J243" s="387" t="n"/>
      <c r="K243" s="387" t="n"/>
      <c r="L243" s="387" t="n"/>
      <c r="M243" s="387" t="n"/>
      <c r="N243" s="387" t="n"/>
      <c r="O243" s="387" t="n"/>
      <c r="P243" s="387" t="n"/>
      <c r="Q243" s="387" t="n"/>
      <c r="R243" s="387" t="n"/>
      <c r="S243" s="387" t="n"/>
      <c r="T243" s="387" t="n"/>
      <c r="U243" s="387" t="n"/>
      <c r="V243" s="383" t="n"/>
      <c r="W243" s="387" t="n"/>
    </row>
    <row r="244" ht="3" customHeight="1" s="1883">
      <c r="D244" s="383" t="n"/>
      <c r="E244" s="383" t="n"/>
      <c r="F244" s="383" t="n"/>
      <c r="G244" s="383" t="n"/>
      <c r="H244" s="383" t="n"/>
      <c r="I244" s="383" t="n"/>
      <c r="J244" s="383" t="n"/>
      <c r="K244" s="383" t="n"/>
      <c r="L244" s="383" t="n"/>
      <c r="M244" s="383" t="n"/>
      <c r="N244" s="383" t="n"/>
      <c r="O244" s="383" t="n"/>
      <c r="P244" s="383" t="n"/>
      <c r="Q244" s="383" t="n"/>
      <c r="R244" s="383" t="n"/>
      <c r="S244" s="383" t="n"/>
      <c r="T244" s="383" t="n"/>
      <c r="U244" s="383" t="n"/>
      <c r="V244" s="383" t="n"/>
      <c r="W244" s="383" t="n"/>
    </row>
    <row r="245" ht="15" customHeight="1" s="1883">
      <c r="D245" s="383" t="n"/>
      <c r="E245" s="383" t="n"/>
      <c r="F245" s="383" t="n"/>
      <c r="G245" s="385" t="inlineStr">
        <is>
          <t>Revenue, Handsets to New Users</t>
        </is>
      </c>
      <c r="H245" s="385" t="n"/>
      <c r="I245" s="383" t="n"/>
      <c r="J245" s="396">
        <f>((J241)*(J242))</f>
        <v/>
      </c>
      <c r="K245" s="396">
        <f>((K241)*(K242))</f>
        <v/>
      </c>
      <c r="L245" s="396">
        <f>((L241)*(L242))</f>
        <v/>
      </c>
      <c r="M245" s="396">
        <f>((M241)*(M242))</f>
        <v/>
      </c>
      <c r="N245" s="396">
        <f>((N241)*(N242))</f>
        <v/>
      </c>
      <c r="O245" s="396">
        <f>((O241)*(O242))</f>
        <v/>
      </c>
      <c r="P245" s="396">
        <f>((P241)*(P242))</f>
        <v/>
      </c>
      <c r="Q245" s="396">
        <f>((Q241)*(Q242))</f>
        <v/>
      </c>
      <c r="R245" s="396">
        <f>((R241)*(R242))</f>
        <v/>
      </c>
      <c r="S245" s="396">
        <f>((S241)*(S242))</f>
        <v/>
      </c>
      <c r="T245" s="396">
        <f>((T241)*(T242))</f>
        <v/>
      </c>
      <c r="U245" s="396">
        <f>((U241)*(U242))</f>
        <v/>
      </c>
      <c r="V245" s="383" t="n"/>
      <c r="W245" s="396">
        <f>((J245)+(K245)+(L245)+(M245)+(N245)+(O245)+(P245)+(Q245)+(R245)+(S245)+(T245)+(U245))</f>
        <v/>
      </c>
    </row>
    <row r="246" ht="3" customHeight="1" s="1883">
      <c r="D246" s="383" t="n"/>
      <c r="E246" s="383" t="n"/>
      <c r="F246" s="383" t="n"/>
      <c r="G246" s="385" t="n"/>
      <c r="H246" s="385" t="n"/>
      <c r="I246" s="383" t="n"/>
      <c r="J246" s="387" t="n"/>
      <c r="K246" s="387" t="n"/>
      <c r="L246" s="387" t="n"/>
      <c r="M246" s="387" t="n"/>
      <c r="N246" s="387" t="n"/>
      <c r="O246" s="387" t="n"/>
      <c r="P246" s="387" t="n"/>
      <c r="Q246" s="387" t="n"/>
      <c r="R246" s="387" t="n"/>
      <c r="S246" s="387" t="n"/>
      <c r="T246" s="387" t="n"/>
      <c r="U246" s="387" t="n"/>
      <c r="V246" s="383" t="n"/>
      <c r="W246" s="387" t="n"/>
    </row>
    <row r="247" ht="3" customHeight="1" s="1883">
      <c r="D247" s="383" t="n"/>
      <c r="E247" s="383" t="n"/>
      <c r="F247" s="383" t="n"/>
      <c r="G247" s="385" t="n"/>
      <c r="H247" s="385" t="n"/>
      <c r="I247" s="383" t="n"/>
      <c r="J247" s="383" t="n"/>
      <c r="K247" s="383" t="n"/>
      <c r="L247" s="383" t="n"/>
      <c r="M247" s="383" t="n"/>
      <c r="N247" s="383" t="n"/>
      <c r="O247" s="383" t="n"/>
      <c r="P247" s="383" t="n"/>
      <c r="Q247" s="383" t="n"/>
      <c r="R247" s="383" t="n"/>
      <c r="S247" s="383" t="n"/>
      <c r="T247" s="383" t="n"/>
      <c r="U247" s="383" t="n"/>
      <c r="V247" s="383" t="n"/>
      <c r="W247" s="383" t="n"/>
    </row>
    <row r="248" ht="15" customHeight="1" s="1883">
      <c r="D248" s="383" t="n"/>
      <c r="E248" s="383" t="n"/>
      <c r="F248" s="383" t="n"/>
      <c r="G248" s="385" t="n"/>
      <c r="H248" s="385" t="n"/>
      <c r="I248" s="383" t="n"/>
      <c r="J248" s="383" t="n"/>
      <c r="K248" s="383" t="n"/>
      <c r="L248" s="383" t="n"/>
      <c r="M248" s="383" t="n"/>
      <c r="N248" s="383" t="n"/>
      <c r="O248" s="383" t="n"/>
      <c r="P248" s="383" t="n"/>
      <c r="Q248" s="383" t="n"/>
      <c r="R248" s="383" t="n"/>
      <c r="S248" s="383" t="n"/>
      <c r="T248" s="383" t="n"/>
      <c r="U248" s="383" t="n"/>
      <c r="V248" s="383" t="n"/>
      <c r="W248" s="383" t="n"/>
    </row>
    <row r="249" ht="15" customHeight="1" s="1883">
      <c r="D249" s="383" t="n"/>
      <c r="E249" s="383" t="n"/>
      <c r="F249" s="383" t="inlineStr">
        <is>
          <t>Cost/handset, including logistics</t>
        </is>
      </c>
      <c r="H249" s="383" t="n"/>
      <c r="I249" s="383" t="n"/>
      <c r="J249" s="870">
        <f>($J$32)</f>
        <v/>
      </c>
      <c r="K249" s="870">
        <f>($J$32)</f>
        <v/>
      </c>
      <c r="L249" s="870">
        <f>($J$32)</f>
        <v/>
      </c>
      <c r="M249" s="870">
        <f>($J$32)</f>
        <v/>
      </c>
      <c r="N249" s="871">
        <f>($J$33)</f>
        <v/>
      </c>
      <c r="O249" s="871">
        <f>($J$33)</f>
        <v/>
      </c>
      <c r="P249" s="871">
        <f>($J$33)</f>
        <v/>
      </c>
      <c r="Q249" s="871">
        <f>($J$33)</f>
        <v/>
      </c>
      <c r="R249" s="871">
        <f>($J$33)</f>
        <v/>
      </c>
      <c r="S249" s="871">
        <f>($J$33)</f>
        <v/>
      </c>
      <c r="T249" s="871">
        <f>($J$33)</f>
        <v/>
      </c>
      <c r="U249" s="871">
        <f>($J$33)</f>
        <v/>
      </c>
      <c r="V249" s="383" t="n"/>
      <c r="W249" s="383" t="n"/>
    </row>
    <row r="250" ht="3" customHeight="1" s="1883">
      <c r="D250" s="383" t="n"/>
      <c r="E250" s="383" t="n"/>
      <c r="F250" s="383" t="n"/>
      <c r="G250" s="383" t="n"/>
      <c r="H250" s="383" t="n"/>
      <c r="I250" s="383" t="n"/>
      <c r="J250" s="387" t="n"/>
      <c r="K250" s="387" t="n"/>
      <c r="L250" s="387" t="n"/>
      <c r="M250" s="387" t="n"/>
      <c r="N250" s="387" t="n"/>
      <c r="O250" s="387" t="n"/>
      <c r="P250" s="387" t="n"/>
      <c r="Q250" s="387" t="n"/>
      <c r="R250" s="387" t="n"/>
      <c r="S250" s="387" t="n"/>
      <c r="T250" s="387" t="n"/>
      <c r="U250" s="387" t="n"/>
      <c r="V250" s="383" t="n"/>
      <c r="W250" s="387" t="n"/>
    </row>
    <row r="251" ht="3" customHeight="1" s="1883">
      <c r="D251" s="383" t="n"/>
      <c r="E251" s="383" t="n"/>
      <c r="F251" s="383" t="n"/>
      <c r="G251" s="383" t="n"/>
      <c r="H251" s="383" t="n"/>
      <c r="I251" s="383" t="n"/>
      <c r="J251" s="383" t="n"/>
      <c r="K251" s="383" t="n"/>
      <c r="L251" s="383" t="n"/>
      <c r="M251" s="383" t="n"/>
      <c r="N251" s="383" t="n"/>
      <c r="O251" s="383" t="n"/>
      <c r="P251" s="383" t="n"/>
      <c r="Q251" s="383" t="n"/>
      <c r="R251" s="383" t="n"/>
      <c r="S251" s="383" t="n"/>
      <c r="T251" s="383" t="n"/>
      <c r="U251" s="383" t="n"/>
      <c r="V251" s="383" t="n"/>
      <c r="W251" s="383" t="n"/>
    </row>
    <row r="252" ht="15" customHeight="1" s="1883">
      <c r="D252" s="383" t="n"/>
      <c r="E252" s="383" t="n"/>
      <c r="F252" s="383" t="n"/>
      <c r="G252" s="385" t="inlineStr">
        <is>
          <t>CoGS, Handsets to New Users</t>
        </is>
      </c>
      <c r="H252" s="383" t="n"/>
      <c r="I252" s="383" t="n"/>
      <c r="J252" s="396">
        <f>((J241)*(J249))</f>
        <v/>
      </c>
      <c r="K252" s="396">
        <f>((K241)*(K249))</f>
        <v/>
      </c>
      <c r="L252" s="396">
        <f>((L241)*(L249))</f>
        <v/>
      </c>
      <c r="M252" s="396">
        <f>((M241)*(M249))</f>
        <v/>
      </c>
      <c r="N252" s="396">
        <f>((N241)*(N249))</f>
        <v/>
      </c>
      <c r="O252" s="396">
        <f>((O241)*(O249))</f>
        <v/>
      </c>
      <c r="P252" s="396">
        <f>((P241)*(P249))</f>
        <v/>
      </c>
      <c r="Q252" s="396">
        <f>((Q241)*(Q249))</f>
        <v/>
      </c>
      <c r="R252" s="396">
        <f>((R241)*(R249))</f>
        <v/>
      </c>
      <c r="S252" s="396">
        <f>((S241)*(S249))</f>
        <v/>
      </c>
      <c r="T252" s="396">
        <f>((T241)*(T249))</f>
        <v/>
      </c>
      <c r="U252" s="396">
        <f>((U241)*(U249))</f>
        <v/>
      </c>
      <c r="V252" s="383" t="n"/>
      <c r="W252" s="396">
        <f>((J252)+(K252)+(L252)+(M252)+(N252)+(O252)+(P252)+(Q252)+(R252)+(S252)+(T252)+(U252))</f>
        <v/>
      </c>
    </row>
    <row r="253" ht="3" customHeight="1" s="1883">
      <c r="D253" s="383" t="n"/>
      <c r="E253" s="383" t="n"/>
      <c r="F253" s="383" t="n"/>
      <c r="G253" s="383" t="n"/>
      <c r="H253" s="383" t="n"/>
      <c r="I253" s="383" t="n"/>
      <c r="J253" s="387" t="n"/>
      <c r="K253" s="387" t="n"/>
      <c r="L253" s="387" t="n"/>
      <c r="M253" s="387" t="n"/>
      <c r="N253" s="387" t="n"/>
      <c r="O253" s="387" t="n"/>
      <c r="P253" s="387" t="n"/>
      <c r="Q253" s="387" t="n"/>
      <c r="R253" s="387" t="n"/>
      <c r="S253" s="387" t="n"/>
      <c r="T253" s="387" t="n"/>
      <c r="U253" s="387" t="n"/>
      <c r="V253" s="383" t="n"/>
      <c r="W253" s="387" t="n"/>
    </row>
    <row r="254" ht="3" customHeight="1" s="1883">
      <c r="D254" s="383" t="n"/>
      <c r="E254" s="383" t="n"/>
      <c r="F254" s="383" t="n"/>
      <c r="G254" s="383" t="n"/>
      <c r="H254" s="383" t="n"/>
      <c r="I254" s="383" t="n"/>
      <c r="J254" s="383" t="n"/>
      <c r="K254" s="383" t="n"/>
      <c r="L254" s="383" t="n"/>
      <c r="M254" s="383" t="n"/>
      <c r="N254" s="383" t="n"/>
      <c r="O254" s="383" t="n"/>
      <c r="P254" s="383" t="n"/>
      <c r="Q254" s="383" t="n"/>
      <c r="R254" s="383" t="n"/>
      <c r="S254" s="383" t="n"/>
      <c r="T254" s="383" t="n"/>
      <c r="U254" s="383" t="n"/>
      <c r="V254" s="383" t="n"/>
      <c r="W254" s="383" t="n"/>
    </row>
    <row r="255" ht="15" customHeight="1" s="1883">
      <c r="D255" s="383" t="n"/>
      <c r="E255" s="383" t="n"/>
      <c r="F255" s="383" t="n"/>
      <c r="G255" s="383" t="n"/>
      <c r="H255" s="383" t="n"/>
      <c r="I255" s="383" t="n"/>
      <c r="J255" s="383" t="n"/>
      <c r="K255" s="383" t="n"/>
      <c r="L255" s="383" t="n"/>
      <c r="M255" s="383" t="n"/>
      <c r="N255" s="383" t="n"/>
      <c r="O255" s="383" t="n"/>
      <c r="P255" s="383" t="n"/>
      <c r="Q255" s="383" t="n"/>
      <c r="R255" s="383" t="n"/>
      <c r="S255" s="383" t="n"/>
      <c r="T255" s="383" t="n"/>
      <c r="U255" s="383" t="n"/>
      <c r="V255" s="383" t="n"/>
      <c r="W255" s="383" t="n"/>
    </row>
    <row r="256" ht="15" customHeight="1" s="1883">
      <c r="D256" s="390" t="inlineStr">
        <is>
          <t>●</t>
        </is>
      </c>
      <c r="E256" s="385" t="inlineStr">
        <is>
          <t>Renewals</t>
        </is>
      </c>
      <c r="F256" s="383" t="n"/>
      <c r="G256" s="383" t="n"/>
      <c r="H256" s="383" t="n"/>
      <c r="I256" s="383" t="n"/>
      <c r="J256" s="383" t="n"/>
      <c r="K256" s="383" t="n"/>
      <c r="L256" s="383" t="n"/>
      <c r="M256" s="383" t="n"/>
      <c r="N256" s="383" t="n"/>
      <c r="O256" s="383" t="n"/>
      <c r="P256" s="383" t="n"/>
      <c r="Q256" s="383" t="n"/>
      <c r="R256" s="383" t="n"/>
      <c r="S256" s="383" t="n"/>
      <c r="T256" s="383" t="n"/>
      <c r="U256" s="383" t="n"/>
      <c r="V256" s="383" t="n"/>
      <c r="W256" s="383" t="n"/>
    </row>
    <row r="257" ht="15" customHeight="1" s="1883">
      <c r="D257" s="383" t="n"/>
      <c r="E257" s="383" t="n"/>
      <c r="F257" s="385" t="inlineStr">
        <is>
          <t xml:space="preserve">Number of Renewals </t>
        </is>
      </c>
      <c r="G257" s="383" t="n"/>
      <c r="H257" s="383" t="n"/>
      <c r="I257" s="383" t="n"/>
      <c r="J257" s="397">
        <f>'3C. Tel. - Revenue Drivers - 1 '!J174</f>
        <v/>
      </c>
      <c r="K257" s="397">
        <f>'3C. Tel. - Revenue Drivers - 1 '!K174</f>
        <v/>
      </c>
      <c r="L257" s="397">
        <f>'3C. Tel. - Revenue Drivers - 1 '!L174</f>
        <v/>
      </c>
      <c r="M257" s="397">
        <f>'3C. Tel. - Revenue Drivers - 1 '!M174</f>
        <v/>
      </c>
      <c r="N257" s="397">
        <f>'3C. Tel. - Revenue Drivers - 1 '!N174</f>
        <v/>
      </c>
      <c r="O257" s="397">
        <f>'3C. Tel. - Revenue Drivers - 1 '!O174</f>
        <v/>
      </c>
      <c r="P257" s="397">
        <f>'3C. Tel. - Revenue Drivers - 1 '!P174</f>
        <v/>
      </c>
      <c r="Q257" s="397">
        <f>'3C. Tel. - Revenue Drivers - 1 '!Q174</f>
        <v/>
      </c>
      <c r="R257" s="397">
        <f>'3C. Tel. - Revenue Drivers - 1 '!R174</f>
        <v/>
      </c>
      <c r="S257" s="397">
        <f>'3C. Tel. - Revenue Drivers - 1 '!S174</f>
        <v/>
      </c>
      <c r="T257" s="397">
        <f>'3C. Tel. - Revenue Drivers - 1 '!T174</f>
        <v/>
      </c>
      <c r="U257" s="397">
        <f>'3C. Tel. - Revenue Drivers - 1 '!U174</f>
        <v/>
      </c>
      <c r="V257" s="383" t="n"/>
      <c r="W257" s="397">
        <f>((J257)+(K257)+(L257)+(M257)+(N257)+(O257)+(P257)+(Q257)+(R257)+(S257)+(T257)+(U257))</f>
        <v/>
      </c>
      <c r="X257" s="383" t="n"/>
      <c r="Y257" s="383" t="n"/>
    </row>
    <row r="258" ht="15" customHeight="1" s="1883">
      <c r="D258" s="383" t="n"/>
      <c r="E258" s="383" t="n"/>
      <c r="F258" s="383" t="inlineStr">
        <is>
          <t>Cost/handset, including logistics</t>
        </is>
      </c>
      <c r="H258" s="383" t="n"/>
      <c r="I258" s="383" t="n"/>
      <c r="J258" s="870">
        <f>($J$32)</f>
        <v/>
      </c>
      <c r="K258" s="870">
        <f>($J$32)</f>
        <v/>
      </c>
      <c r="L258" s="870">
        <f>($J$32)</f>
        <v/>
      </c>
      <c r="M258" s="870">
        <f>($J$32)</f>
        <v/>
      </c>
      <c r="N258" s="871">
        <f>($J$33)</f>
        <v/>
      </c>
      <c r="O258" s="871">
        <f>($J$33)</f>
        <v/>
      </c>
      <c r="P258" s="871">
        <f>($J$33)</f>
        <v/>
      </c>
      <c r="Q258" s="871">
        <f>($J$33)</f>
        <v/>
      </c>
      <c r="R258" s="871">
        <f>($J$33)</f>
        <v/>
      </c>
      <c r="S258" s="871">
        <f>($J$33)</f>
        <v/>
      </c>
      <c r="T258" s="871">
        <f>($J$33)</f>
        <v/>
      </c>
      <c r="U258" s="871">
        <f>($J$33)</f>
        <v/>
      </c>
      <c r="V258" s="383" t="n"/>
      <c r="W258" s="383" t="n"/>
      <c r="X258" s="383" t="n"/>
      <c r="Y258" s="383" t="n"/>
    </row>
    <row r="259" ht="3" customHeight="1" s="1883">
      <c r="D259" s="383" t="n"/>
      <c r="E259" s="383" t="n"/>
      <c r="F259" s="383" t="n"/>
      <c r="G259" s="383" t="n"/>
      <c r="H259" s="383" t="n"/>
      <c r="I259" s="383" t="n"/>
      <c r="J259" s="387" t="n"/>
      <c r="K259" s="387" t="n"/>
      <c r="L259" s="387" t="n"/>
      <c r="M259" s="387" t="n"/>
      <c r="N259" s="387" t="n"/>
      <c r="O259" s="387" t="n"/>
      <c r="P259" s="387" t="n"/>
      <c r="Q259" s="387" t="n"/>
      <c r="R259" s="387" t="n"/>
      <c r="S259" s="387" t="n"/>
      <c r="T259" s="387" t="n"/>
      <c r="U259" s="387" t="n"/>
      <c r="V259" s="383" t="n"/>
      <c r="W259" s="387" t="n"/>
      <c r="X259" s="383" t="n"/>
      <c r="Y259" s="383" t="n"/>
    </row>
    <row r="260" ht="3" customHeight="1" s="1883">
      <c r="D260" s="383" t="n"/>
      <c r="E260" s="383" t="n"/>
      <c r="F260" s="383" t="n"/>
      <c r="G260" s="383" t="n"/>
      <c r="H260" s="383" t="n"/>
      <c r="I260" s="383" t="n"/>
      <c r="J260" s="383" t="n"/>
      <c r="K260" s="383" t="n"/>
      <c r="L260" s="383" t="n"/>
      <c r="M260" s="383" t="n"/>
      <c r="N260" s="383" t="n"/>
      <c r="O260" s="383" t="n"/>
      <c r="P260" s="383" t="n"/>
      <c r="Q260" s="383" t="n"/>
      <c r="R260" s="383" t="n"/>
      <c r="S260" s="383" t="n"/>
      <c r="T260" s="383" t="n"/>
      <c r="U260" s="383" t="n"/>
      <c r="V260" s="383" t="n"/>
      <c r="W260" s="383" t="n"/>
      <c r="X260" s="383" t="n"/>
      <c r="Y260" s="383" t="n"/>
    </row>
    <row r="261" ht="15" customHeight="1" s="1883">
      <c r="D261" s="383" t="n"/>
      <c r="E261" s="383" t="n"/>
      <c r="F261" s="383" t="n"/>
      <c r="G261" s="385" t="inlineStr">
        <is>
          <t>CoGS, Handsets to Renewals</t>
        </is>
      </c>
      <c r="H261" s="383" t="n"/>
      <c r="I261" s="383" t="n"/>
      <c r="J261" s="396">
        <f>((J257)*(J258))</f>
        <v/>
      </c>
      <c r="K261" s="396">
        <f>((K257)*(K258))</f>
        <v/>
      </c>
      <c r="L261" s="396">
        <f>((L257)*(L258))</f>
        <v/>
      </c>
      <c r="M261" s="396">
        <f>((M257)*(M258))</f>
        <v/>
      </c>
      <c r="N261" s="396">
        <f>((N257)*(N258))</f>
        <v/>
      </c>
      <c r="O261" s="396">
        <f>((O257)*(O258))</f>
        <v/>
      </c>
      <c r="P261" s="396">
        <f>((P257)*(P258))</f>
        <v/>
      </c>
      <c r="Q261" s="396">
        <f>((Q257)*(Q258))</f>
        <v/>
      </c>
      <c r="R261" s="396">
        <f>((R257)*(R258))</f>
        <v/>
      </c>
      <c r="S261" s="396">
        <f>((S257)*(S258))</f>
        <v/>
      </c>
      <c r="T261" s="396">
        <f>((T257)*(T258))</f>
        <v/>
      </c>
      <c r="U261" s="396">
        <f>((U257)*(U258))</f>
        <v/>
      </c>
      <c r="V261" s="396" t="n"/>
      <c r="W261" s="396">
        <f>((J261)+(K261)+(L261)+(M261)+(N261)+(O261)+(P261)+(Q261)+(R261)+(S261)+(T261)+(U261))</f>
        <v/>
      </c>
      <c r="X261" s="383" t="n"/>
      <c r="Y261" s="383" t="n"/>
    </row>
    <row r="262" ht="3" customHeight="1" s="1883">
      <c r="D262" s="383" t="n"/>
      <c r="E262" s="383" t="n"/>
      <c r="F262" s="383" t="n"/>
      <c r="G262" s="383" t="n"/>
      <c r="H262" s="383" t="n"/>
      <c r="I262" s="383" t="n"/>
      <c r="J262" s="387" t="n"/>
      <c r="K262" s="387" t="n"/>
      <c r="L262" s="387" t="n"/>
      <c r="M262" s="387" t="n"/>
      <c r="N262" s="387" t="n"/>
      <c r="O262" s="387" t="n"/>
      <c r="P262" s="387" t="n"/>
      <c r="Q262" s="387" t="n"/>
      <c r="R262" s="387" t="n"/>
      <c r="S262" s="387" t="n"/>
      <c r="T262" s="387" t="n"/>
      <c r="U262" s="387" t="n"/>
      <c r="V262" s="383" t="n"/>
      <c r="W262" s="387" t="n"/>
      <c r="X262" s="383" t="n"/>
      <c r="Y262" s="383" t="n"/>
    </row>
    <row r="263" ht="3" customHeight="1" s="1883">
      <c r="D263" s="383" t="n"/>
      <c r="E263" s="383" t="n"/>
      <c r="F263" s="383" t="n"/>
      <c r="G263" s="383" t="n"/>
      <c r="H263" s="383" t="n"/>
      <c r="I263" s="383" t="n"/>
      <c r="J263" s="383" t="n"/>
      <c r="K263" s="383" t="n"/>
      <c r="L263" s="383" t="n"/>
      <c r="M263" s="383" t="n"/>
      <c r="N263" s="383" t="n"/>
      <c r="O263" s="383" t="n"/>
      <c r="P263" s="383" t="n"/>
      <c r="Q263" s="383" t="n"/>
      <c r="R263" s="383" t="n"/>
      <c r="S263" s="383" t="n"/>
      <c r="T263" s="383" t="n"/>
      <c r="U263" s="383" t="n"/>
      <c r="V263" s="383" t="n"/>
      <c r="W263" s="383" t="n"/>
      <c r="X263" s="383" t="n"/>
      <c r="Y263" s="383" t="n"/>
    </row>
    <row r="264" ht="15" customHeight="1" s="1883">
      <c r="D264" s="383" t="n"/>
      <c r="E264" s="383" t="n"/>
      <c r="F264" s="383" t="n"/>
      <c r="G264" s="383" t="n"/>
      <c r="H264" s="383" t="n"/>
      <c r="I264" s="383" t="n"/>
      <c r="J264" s="383" t="n"/>
      <c r="K264" s="383" t="n"/>
      <c r="L264" s="383" t="n"/>
      <c r="M264" s="383" t="n"/>
      <c r="N264" s="383" t="n"/>
      <c r="O264" s="383" t="n"/>
      <c r="P264" s="383" t="n"/>
      <c r="Q264" s="383" t="n"/>
      <c r="R264" s="383" t="n"/>
      <c r="S264" s="383" t="n"/>
      <c r="T264" s="383" t="n"/>
      <c r="U264" s="383" t="n"/>
      <c r="V264" s="383" t="n"/>
      <c r="W264" s="383" t="n"/>
      <c r="X264" s="383" t="n"/>
      <c r="Y264" s="383" t="n"/>
    </row>
    <row r="265" ht="15" customHeight="1" s="1883">
      <c r="D265" s="390" t="inlineStr">
        <is>
          <t>●</t>
        </is>
      </c>
      <c r="E265" s="385" t="inlineStr">
        <is>
          <t>Warranty (0.11% of Hardware Revenue)</t>
        </is>
      </c>
      <c r="F265" s="383" t="n"/>
      <c r="G265" s="383" t="n"/>
      <c r="H265" s="383" t="n"/>
      <c r="I265" s="383" t="n"/>
      <c r="J265" s="494">
        <f>((0.001)*(J245))</f>
        <v/>
      </c>
      <c r="K265" s="494">
        <f>((0.001)*(K245))</f>
        <v/>
      </c>
      <c r="L265" s="494">
        <f>((0.001)*(L245))</f>
        <v/>
      </c>
      <c r="M265" s="494">
        <f>((0.001)*(M245))</f>
        <v/>
      </c>
      <c r="N265" s="494">
        <f>((0.001)*(N245))</f>
        <v/>
      </c>
      <c r="O265" s="494">
        <f>((0.001)*(O245))</f>
        <v/>
      </c>
      <c r="P265" s="494">
        <f>((0.001)*(P245))</f>
        <v/>
      </c>
      <c r="Q265" s="494">
        <f>((0.001)*(Q245))</f>
        <v/>
      </c>
      <c r="R265" s="494">
        <f>((0.001)*(R245))</f>
        <v/>
      </c>
      <c r="S265" s="494">
        <f>((0.001)*(S245))</f>
        <v/>
      </c>
      <c r="T265" s="494">
        <f>((0.001)*(T245))</f>
        <v/>
      </c>
      <c r="U265" s="494">
        <f>((0.001)*(U245))</f>
        <v/>
      </c>
      <c r="V265" s="383" t="n"/>
      <c r="W265" s="494">
        <f>((J265)+(K265)+(L265)+(M265)+(N265)+(O265)+(P265)+(Q265)+(R265)+(S265)+(T265)+(U265))</f>
        <v/>
      </c>
      <c r="X265" s="383" t="n"/>
      <c r="Y265" s="383" t="n"/>
    </row>
    <row r="266" ht="15" customHeight="1" s="1883">
      <c r="D266" s="383" t="n"/>
      <c r="E266" s="383" t="n"/>
      <c r="F266" s="383" t="n"/>
      <c r="G266" s="383" t="n"/>
      <c r="H266" s="383" t="n"/>
      <c r="I266" s="383" t="n"/>
      <c r="J266" s="383" t="n"/>
      <c r="K266" s="383" t="n"/>
      <c r="L266" s="383" t="n"/>
      <c r="M266" s="383" t="n"/>
      <c r="N266" s="383" t="n"/>
      <c r="O266" s="383" t="n"/>
      <c r="P266" s="383" t="n"/>
      <c r="Q266" s="383" t="n"/>
      <c r="R266" s="383" t="n"/>
      <c r="S266" s="383" t="n"/>
      <c r="T266" s="383" t="n"/>
      <c r="U266" s="383" t="n"/>
      <c r="V266" s="383" t="n"/>
      <c r="W266" s="383" t="n"/>
      <c r="X266" s="383" t="n"/>
      <c r="Y266" s="383" t="n"/>
    </row>
    <row r="267" ht="15" customHeight="1" s="1883">
      <c r="D267" s="383" t="n"/>
      <c r="E267" s="383" t="n"/>
      <c r="F267" s="383" t="n"/>
      <c r="G267" s="383" t="n"/>
      <c r="H267" s="463" t="inlineStr">
        <is>
          <t>Net Revenue = Revenue Less CoGS</t>
        </is>
      </c>
      <c r="I267" s="383" t="n"/>
      <c r="J267" s="465">
        <f>((J245)-(J252)-(J261)-(J265))</f>
        <v/>
      </c>
      <c r="K267" s="465">
        <f>((K245)-(K252)-(K261)-(K265))</f>
        <v/>
      </c>
      <c r="L267" s="465">
        <f>((L245)-(L252)-(L261)-(L265))</f>
        <v/>
      </c>
      <c r="M267" s="465">
        <f>((M245)-(M252)-(M261)-(M265))</f>
        <v/>
      </c>
      <c r="N267" s="465">
        <f>((N245)-(N252)-(N261)-(N265))</f>
        <v/>
      </c>
      <c r="O267" s="465">
        <f>((O245)-(O252)-(O261)-(O265))</f>
        <v/>
      </c>
      <c r="P267" s="465">
        <f>((P245)-(P252)-(P261)-(P265))</f>
        <v/>
      </c>
      <c r="Q267" s="465">
        <f>((Q245)-(Q252)-(Q261)-(Q265))</f>
        <v/>
      </c>
      <c r="R267" s="465">
        <f>((R245)-(R252)-(R261)-(R265))</f>
        <v/>
      </c>
      <c r="S267" s="465">
        <f>((S245)-(S252)-(S261)-(S265))</f>
        <v/>
      </c>
      <c r="T267" s="465">
        <f>((T245)-(T252)-(T261)-(T265))</f>
        <v/>
      </c>
      <c r="U267" s="465">
        <f>((U245)-(U252)-(U261)-(U265))</f>
        <v/>
      </c>
      <c r="V267" s="464" t="n"/>
      <c r="W267" s="465">
        <f>((W245)-(W252)-(W261)-(W265))</f>
        <v/>
      </c>
      <c r="X267" s="383" t="n"/>
      <c r="Y267" s="396">
        <f>((W245)-(W252)-(W261)-(W265))</f>
        <v/>
      </c>
    </row>
    <row r="274" ht="15" customHeight="1" s="1883">
      <c r="B274" s="388" t="inlineStr">
        <is>
          <t>II.</t>
        </is>
      </c>
      <c r="C274" s="383" t="n"/>
      <c r="D274" s="385" t="inlineStr">
        <is>
          <t>Market Reasearch Services</t>
        </is>
      </c>
      <c r="E274" s="385" t="n"/>
      <c r="F274" s="385" t="n"/>
      <c r="G274" s="385" t="n"/>
      <c r="H274" s="385" t="n"/>
      <c r="I274" s="383" t="n"/>
      <c r="J274" s="383" t="n"/>
      <c r="K274" s="383" t="n"/>
      <c r="L274" s="383" t="n"/>
      <c r="M274" s="383" t="n"/>
      <c r="N274" s="383" t="n"/>
      <c r="O274" s="383" t="n"/>
      <c r="P274" s="383" t="n"/>
      <c r="Q274" s="383" t="n"/>
      <c r="R274" s="383" t="n"/>
      <c r="S274" s="383" t="n"/>
      <c r="T274" s="383" t="n"/>
      <c r="U274" s="383" t="n"/>
      <c r="V274" s="383" t="n"/>
      <c r="W274" s="383" t="n"/>
    </row>
    <row r="275" ht="3" customHeight="1" s="1883">
      <c r="B275" s="383" t="n"/>
      <c r="C275" s="383" t="n"/>
      <c r="D275" s="387" t="n"/>
      <c r="E275" s="387" t="n"/>
      <c r="F275" s="387" t="n"/>
      <c r="G275" s="387" t="n"/>
      <c r="H275" s="387" t="n"/>
      <c r="I275" s="383" t="n"/>
      <c r="J275" s="383" t="n"/>
      <c r="K275" s="383" t="n"/>
      <c r="L275" s="383" t="n"/>
      <c r="M275" s="383" t="n"/>
      <c r="N275" s="383" t="n"/>
      <c r="O275" s="383" t="n"/>
      <c r="P275" s="383" t="n"/>
      <c r="Q275" s="383" t="n"/>
      <c r="R275" s="383" t="n"/>
      <c r="S275" s="383" t="n"/>
      <c r="T275" s="383" t="n"/>
      <c r="U275" s="383" t="n"/>
      <c r="V275" s="383" t="n"/>
      <c r="W275" s="383" t="n"/>
    </row>
    <row r="276" ht="3" customHeight="1" s="1883">
      <c r="B276" s="383" t="n"/>
      <c r="C276" s="383" t="n"/>
      <c r="D276" s="383" t="n"/>
      <c r="E276" s="383" t="n"/>
      <c r="F276" s="383" t="n"/>
      <c r="G276" s="383" t="n"/>
      <c r="H276" s="383" t="n"/>
      <c r="I276" s="383" t="n"/>
      <c r="J276" s="383" t="n"/>
      <c r="K276" s="383" t="n"/>
      <c r="L276" s="383" t="n"/>
      <c r="M276" s="383" t="n"/>
      <c r="N276" s="383" t="n"/>
      <c r="O276" s="383" t="n"/>
      <c r="P276" s="383" t="n"/>
      <c r="Q276" s="383" t="n"/>
      <c r="R276" s="383" t="n"/>
      <c r="S276" s="383" t="n"/>
      <c r="T276" s="383" t="n"/>
      <c r="U276" s="383" t="n"/>
      <c r="V276" s="383" t="n"/>
      <c r="W276" s="383" t="n"/>
    </row>
    <row r="277" ht="15" customHeight="1" s="1883">
      <c r="B277" s="383" t="n"/>
      <c r="C277" s="383" t="n"/>
      <c r="D277" s="383" t="n"/>
      <c r="E277" s="383" t="n"/>
      <c r="F277" s="383" t="n"/>
      <c r="G277" s="383" t="n"/>
      <c r="H277" s="383" t="n"/>
      <c r="I277" s="383" t="n"/>
      <c r="J277" s="1882" t="inlineStr">
        <is>
          <t>Year 1</t>
        </is>
      </c>
    </row>
    <row r="278" ht="3" customHeight="1" s="1883">
      <c r="B278" s="383" t="n"/>
      <c r="C278" s="383" t="n"/>
      <c r="D278" s="383" t="n"/>
      <c r="E278" s="383" t="n"/>
      <c r="F278" s="383" t="n"/>
      <c r="G278" s="383" t="n"/>
      <c r="H278" s="383" t="n"/>
      <c r="I278" s="383" t="n"/>
      <c r="J278" s="387" t="n"/>
      <c r="K278" s="387" t="n"/>
      <c r="L278" s="387" t="n"/>
      <c r="M278" s="387" t="n"/>
      <c r="N278" s="387" t="n"/>
      <c r="O278" s="387" t="n"/>
      <c r="P278" s="387" t="n"/>
      <c r="Q278" s="387" t="n"/>
      <c r="R278" s="387" t="n"/>
      <c r="S278" s="387" t="n"/>
      <c r="T278" s="387" t="n"/>
      <c r="U278" s="387" t="n"/>
      <c r="V278" s="387" t="n"/>
      <c r="W278" s="387" t="n"/>
    </row>
    <row r="279" ht="3" customHeight="1" s="1883">
      <c r="B279" s="383" t="n"/>
      <c r="C279" s="383" t="n"/>
      <c r="D279" s="383" t="n"/>
      <c r="E279" s="383" t="n"/>
      <c r="F279" s="383" t="n"/>
      <c r="G279" s="383" t="n"/>
      <c r="H279" s="383" t="n"/>
      <c r="I279" s="383" t="n"/>
      <c r="J279" s="383" t="n"/>
      <c r="K279" s="383" t="n"/>
      <c r="L279" s="383" t="n"/>
      <c r="M279" s="383" t="n"/>
      <c r="N279" s="383" t="n"/>
      <c r="O279" s="383" t="n"/>
      <c r="P279" s="383" t="n"/>
      <c r="Q279" s="383" t="n"/>
      <c r="R279" s="383" t="n"/>
      <c r="S279" s="383" t="n"/>
      <c r="T279" s="383" t="n"/>
      <c r="U279" s="383" t="n"/>
      <c r="V279" s="383" t="n"/>
      <c r="W279" s="383" t="n"/>
    </row>
    <row r="280" ht="15" customHeight="1" s="1883">
      <c r="B280" s="383" t="n"/>
      <c r="C280" s="383" t="n"/>
      <c r="D280" s="383" t="n"/>
      <c r="E280" s="383" t="n"/>
      <c r="F280" s="383" t="n"/>
      <c r="G280" s="383" t="n"/>
      <c r="H280" s="383" t="n"/>
      <c r="I280" s="383" t="n"/>
      <c r="J280" s="386" t="inlineStr">
        <is>
          <t>Month 1</t>
        </is>
      </c>
      <c r="K280" s="386" t="inlineStr">
        <is>
          <t>Month 2</t>
        </is>
      </c>
      <c r="L280" s="386" t="inlineStr">
        <is>
          <t>Month 3</t>
        </is>
      </c>
      <c r="M280" s="386" t="inlineStr">
        <is>
          <t>Month 4</t>
        </is>
      </c>
      <c r="N280" s="386" t="inlineStr">
        <is>
          <t>Month 5</t>
        </is>
      </c>
      <c r="O280" s="386" t="inlineStr">
        <is>
          <t>Month 6</t>
        </is>
      </c>
      <c r="P280" s="386" t="inlineStr">
        <is>
          <t>Month 7</t>
        </is>
      </c>
      <c r="Q280" s="386" t="inlineStr">
        <is>
          <t>Month 8</t>
        </is>
      </c>
      <c r="R280" s="386" t="inlineStr">
        <is>
          <t>Month 9</t>
        </is>
      </c>
      <c r="S280" s="386" t="inlineStr">
        <is>
          <t>Month 10</t>
        </is>
      </c>
      <c r="T280" s="386" t="inlineStr">
        <is>
          <t>Month 11</t>
        </is>
      </c>
      <c r="U280" s="386" t="inlineStr">
        <is>
          <t>Month 12</t>
        </is>
      </c>
      <c r="V280" s="383" t="n"/>
      <c r="W280" s="386" t="inlineStr">
        <is>
          <t>Full-Year</t>
        </is>
      </c>
    </row>
    <row r="281" ht="3" customHeight="1" s="1883">
      <c r="B281" s="383" t="n"/>
      <c r="C281" s="383" t="n"/>
      <c r="D281" s="383" t="n"/>
      <c r="E281" s="383" t="n"/>
      <c r="F281" s="383" t="n"/>
      <c r="G281" s="383" t="n"/>
      <c r="H281" s="383" t="n"/>
      <c r="I281" s="383" t="n"/>
      <c r="J281" s="387" t="n"/>
      <c r="K281" s="387" t="n"/>
      <c r="L281" s="387" t="n"/>
      <c r="M281" s="387" t="n"/>
      <c r="N281" s="387" t="n"/>
      <c r="O281" s="387" t="n"/>
      <c r="P281" s="387" t="n"/>
      <c r="Q281" s="387" t="n"/>
      <c r="R281" s="387" t="n"/>
      <c r="S281" s="387" t="n"/>
      <c r="T281" s="387" t="n"/>
      <c r="U281" s="387" t="n"/>
      <c r="V281" s="383" t="n"/>
      <c r="W281" s="387" t="n"/>
    </row>
    <row r="282" ht="3" customHeight="1" s="1883">
      <c r="B282" s="383" t="n"/>
      <c r="C282" s="383" t="n"/>
      <c r="D282" s="383" t="n"/>
      <c r="E282" s="383" t="n"/>
      <c r="F282" s="383" t="n"/>
      <c r="G282" s="383" t="n"/>
      <c r="H282" s="383" t="n"/>
      <c r="I282" s="383" t="n"/>
      <c r="J282" s="383" t="n"/>
      <c r="K282" s="383" t="n"/>
      <c r="L282" s="383" t="n"/>
      <c r="M282" s="383" t="n"/>
      <c r="N282" s="383" t="n"/>
      <c r="O282" s="383" t="n"/>
      <c r="P282" s="383" t="n"/>
      <c r="Q282" s="383" t="n"/>
      <c r="R282" s="383" t="n"/>
      <c r="S282" s="383" t="n"/>
      <c r="T282" s="383" t="n"/>
      <c r="U282" s="383" t="n"/>
      <c r="V282" s="383" t="n"/>
      <c r="W282" s="383" t="n"/>
    </row>
    <row r="283" ht="15" customHeight="1" s="1883">
      <c r="B283" s="383" t="n"/>
      <c r="C283" s="383" t="n"/>
      <c r="D283" s="487" t="inlineStr">
        <is>
          <t>Average Number of Phones in Use</t>
        </is>
      </c>
      <c r="E283" s="488" t="n"/>
      <c r="F283" s="488" t="n"/>
      <c r="G283" s="488" t="n"/>
      <c r="H283" s="488" t="n"/>
      <c r="I283" s="383" t="n"/>
      <c r="J283" s="391">
        <f>'3C. Tel. - Revenue Drivers - 1 '!J190</f>
        <v/>
      </c>
      <c r="K283" s="391">
        <f>'3C. Tel. - Revenue Drivers - 1 '!K190</f>
        <v/>
      </c>
      <c r="L283" s="391">
        <f>'3C. Tel. - Revenue Drivers - 1 '!L190</f>
        <v/>
      </c>
      <c r="M283" s="391">
        <f>'3C. Tel. - Revenue Drivers - 1 '!M190</f>
        <v/>
      </c>
      <c r="N283" s="391">
        <f>'3C. Tel. - Revenue Drivers - 1 '!N190</f>
        <v/>
      </c>
      <c r="O283" s="391">
        <f>'3C. Tel. - Revenue Drivers - 1 '!O190</f>
        <v/>
      </c>
      <c r="P283" s="391">
        <f>'3C. Tel. - Revenue Drivers - 1 '!P190</f>
        <v/>
      </c>
      <c r="Q283" s="391">
        <f>'3C. Tel. - Revenue Drivers - 1 '!Q190</f>
        <v/>
      </c>
      <c r="R283" s="391">
        <f>'3C. Tel. - Revenue Drivers - 1 '!R190</f>
        <v/>
      </c>
      <c r="S283" s="391">
        <f>'3C. Tel. - Revenue Drivers - 1 '!S190</f>
        <v/>
      </c>
      <c r="T283" s="391">
        <f>'3C. Tel. - Revenue Drivers - 1 '!T190</f>
        <v/>
      </c>
      <c r="U283" s="391">
        <f>'3C. Tel. - Revenue Drivers - 1 '!U190</f>
        <v/>
      </c>
      <c r="V283" s="383" t="n"/>
      <c r="W283" s="383" t="n"/>
    </row>
    <row r="284" ht="15" customHeight="1" s="1883">
      <c r="B284" s="383" t="n"/>
      <c r="C284" s="383" t="n"/>
      <c r="D284" s="618" t="inlineStr">
        <is>
          <t>Revenue Generating Customers (Customers Earning Rewards)</t>
        </is>
      </c>
      <c r="E284" s="619" t="n"/>
      <c r="F284" s="619" t="n"/>
      <c r="G284" s="619" t="n"/>
      <c r="H284" s="619" t="n"/>
      <c r="I284" s="620" t="n"/>
      <c r="J284" s="621">
        <f>'3E. Tel. Attrit. Renew. Reward'!G286</f>
        <v/>
      </c>
      <c r="K284" s="621">
        <f>'3E. Tel. Attrit. Renew. Reward'!H286</f>
        <v/>
      </c>
      <c r="L284" s="621">
        <f>'3E. Tel. Attrit. Renew. Reward'!I286</f>
        <v/>
      </c>
      <c r="M284" s="621">
        <f>'3E. Tel. Attrit. Renew. Reward'!J286</f>
        <v/>
      </c>
      <c r="N284" s="621">
        <f>'3E. Tel. Attrit. Renew. Reward'!K286</f>
        <v/>
      </c>
      <c r="O284" s="621">
        <f>'3E. Tel. Attrit. Renew. Reward'!L286</f>
        <v/>
      </c>
      <c r="P284" s="621">
        <f>'3E. Tel. Attrit. Renew. Reward'!M286</f>
        <v/>
      </c>
      <c r="Q284" s="621">
        <f>'3E. Tel. Attrit. Renew. Reward'!N286</f>
        <v/>
      </c>
      <c r="R284" s="621">
        <f>'3E. Tel. Attrit. Renew. Reward'!O286</f>
        <v/>
      </c>
      <c r="S284" s="621">
        <f>'3E. Tel. Attrit. Renew. Reward'!P286</f>
        <v/>
      </c>
      <c r="T284" s="621">
        <f>'3E. Tel. Attrit. Renew. Reward'!Q286</f>
        <v/>
      </c>
      <c r="U284" s="621">
        <f>'3E. Tel. Attrit. Renew. Reward'!R286</f>
        <v/>
      </c>
      <c r="V284" s="383" t="n"/>
      <c r="W284" s="383" t="n"/>
    </row>
    <row r="285" ht="15" customHeight="1" s="1883">
      <c r="B285" s="383" t="n"/>
      <c r="C285" s="383" t="n"/>
      <c r="D285" s="422" t="inlineStr">
        <is>
          <t xml:space="preserve">Minutes/Month/Revenue Generating Phone </t>
        </is>
      </c>
      <c r="E285" s="383" t="n"/>
      <c r="F285" s="383" t="n"/>
      <c r="G285" s="383" t="n"/>
      <c r="H285" s="383" t="n"/>
      <c r="I285" s="383" t="n"/>
      <c r="J285" s="485">
        <f>'3C. Tel. - Revenue Drivers - 1 '!J189</f>
        <v/>
      </c>
      <c r="K285" s="485">
        <f>'3C. Tel. - Revenue Drivers - 1 '!K189</f>
        <v/>
      </c>
      <c r="L285" s="485">
        <f>'3C. Tel. - Revenue Drivers - 1 '!L189</f>
        <v/>
      </c>
      <c r="M285" s="485">
        <f>'3C. Tel. - Revenue Drivers - 1 '!M189</f>
        <v/>
      </c>
      <c r="N285" s="485">
        <f>'3C. Tel. - Revenue Drivers - 1 '!N189</f>
        <v/>
      </c>
      <c r="O285" s="485">
        <f>'3C. Tel. - Revenue Drivers - 1 '!O189</f>
        <v/>
      </c>
      <c r="P285" s="485">
        <f>'3C. Tel. - Revenue Drivers - 1 '!P189</f>
        <v/>
      </c>
      <c r="Q285" s="485">
        <f>'3C. Tel. - Revenue Drivers - 1 '!Q189</f>
        <v/>
      </c>
      <c r="R285" s="485">
        <f>'3C. Tel. - Revenue Drivers - 1 '!R189</f>
        <v/>
      </c>
      <c r="S285" s="485">
        <f>'3C. Tel. - Revenue Drivers - 1 '!S189</f>
        <v/>
      </c>
      <c r="T285" s="485">
        <f>'3C. Tel. - Revenue Drivers - 1 '!T189</f>
        <v/>
      </c>
      <c r="U285" s="485">
        <f>'3C. Tel. - Revenue Drivers - 1 '!U189</f>
        <v/>
      </c>
      <c r="V285" s="383" t="n"/>
      <c r="W285" s="383" t="n"/>
    </row>
    <row r="286" ht="15" customHeight="1" s="1883">
      <c r="B286" s="383" t="n"/>
      <c r="C286" s="383" t="n"/>
      <c r="E286" s="385" t="inlineStr">
        <is>
          <t>Hours/Month, All Revenue Generating Phones</t>
        </is>
      </c>
      <c r="F286" s="385" t="n"/>
      <c r="G286" s="385" t="n"/>
      <c r="H286" s="385" t="n"/>
      <c r="I286" s="385" t="n"/>
      <c r="J286" s="447">
        <f>(((J284)*(J285))/(60))</f>
        <v/>
      </c>
      <c r="K286" s="447">
        <f>(((K284)*(K285))/(60))</f>
        <v/>
      </c>
      <c r="L286" s="447">
        <f>(((L284)*(L285))/(60))</f>
        <v/>
      </c>
      <c r="M286" s="447">
        <f>(((M284)*(M285))/(60))</f>
        <v/>
      </c>
      <c r="N286" s="447">
        <f>(((N284)*(N285))/(60))</f>
        <v/>
      </c>
      <c r="O286" s="447">
        <f>(((O284)*(O285))/(60))</f>
        <v/>
      </c>
      <c r="P286" s="447">
        <f>(((P284)*(P285))/(60))</f>
        <v/>
      </c>
      <c r="Q286" s="447">
        <f>(((Q284)*(Q285))/(60))</f>
        <v/>
      </c>
      <c r="R286" s="447">
        <f>(((R284)*(R285))/(60))</f>
        <v/>
      </c>
      <c r="S286" s="447">
        <f>(((S284)*(S285))/(60))</f>
        <v/>
      </c>
      <c r="T286" s="447">
        <f>(((T284)*(T285))/(60))</f>
        <v/>
      </c>
      <c r="U286" s="447">
        <f>(((U284)*(U285))/(60))</f>
        <v/>
      </c>
      <c r="V286" s="383" t="n"/>
      <c r="W286" s="383" t="n"/>
    </row>
    <row r="287" ht="15" customHeight="1" s="1883">
      <c r="B287" s="383" t="n"/>
      <c r="C287" s="383" t="n"/>
      <c r="D287" s="383" t="n"/>
      <c r="E287" s="383" t="n"/>
      <c r="F287" s="383" t="n"/>
      <c r="G287" s="383" t="n"/>
      <c r="H287" s="383" t="n"/>
      <c r="I287" s="383" t="n"/>
      <c r="J287" s="383" t="n"/>
      <c r="K287" s="383" t="n"/>
      <c r="L287" s="383" t="n"/>
      <c r="M287" s="383" t="n"/>
      <c r="N287" s="383" t="n"/>
      <c r="O287" s="383" t="n"/>
      <c r="P287" s="383" t="n"/>
      <c r="Q287" s="383" t="n"/>
      <c r="R287" s="383" t="n"/>
      <c r="S287" s="383" t="n"/>
      <c r="T287" s="383" t="n"/>
      <c r="U287" s="383" t="n"/>
      <c r="V287" s="383" t="n"/>
      <c r="W287" s="383" t="n"/>
      <c r="Y287" s="1917" t="n"/>
    </row>
    <row r="288" ht="15" customHeight="1" s="1883">
      <c r="B288" s="383" t="n"/>
      <c r="C288" s="383" t="n"/>
      <c r="D288" s="383" t="inlineStr">
        <is>
          <t>Billable Hour Conversion Rate</t>
        </is>
      </c>
      <c r="E288" s="383" t="n"/>
      <c r="F288" s="383" t="n"/>
      <c r="G288" s="383" t="n"/>
      <c r="H288" s="383" t="n"/>
      <c r="I288" s="383" t="n"/>
      <c r="J288" s="489">
        <f>'3C. Tel. - Revenue Drivers - 1 '!J229</f>
        <v/>
      </c>
      <c r="K288" s="489">
        <f>'3C. Tel. - Revenue Drivers - 1 '!K229</f>
        <v/>
      </c>
      <c r="L288" s="489">
        <f>'3C. Tel. - Revenue Drivers - 1 '!L229</f>
        <v/>
      </c>
      <c r="M288" s="489">
        <f>'3C. Tel. - Revenue Drivers - 1 '!M229</f>
        <v/>
      </c>
      <c r="N288" s="489">
        <f>'3C. Tel. - Revenue Drivers - 1 '!N229</f>
        <v/>
      </c>
      <c r="O288" s="489">
        <f>'3C. Tel. - Revenue Drivers - 1 '!O229</f>
        <v/>
      </c>
      <c r="P288" s="489">
        <f>'3C. Tel. - Revenue Drivers - 1 '!P229</f>
        <v/>
      </c>
      <c r="Q288" s="489">
        <f>'3C. Tel. - Revenue Drivers - 1 '!Q229</f>
        <v/>
      </c>
      <c r="R288" s="489">
        <f>'3C. Tel. - Revenue Drivers - 1 '!R229</f>
        <v/>
      </c>
      <c r="S288" s="489">
        <f>'3C. Tel. - Revenue Drivers - 1 '!S229</f>
        <v/>
      </c>
      <c r="T288" s="489">
        <f>'3C. Tel. - Revenue Drivers - 1 '!T229</f>
        <v/>
      </c>
      <c r="U288" s="489">
        <f>'3C. Tel. - Revenue Drivers - 1 '!U229</f>
        <v/>
      </c>
      <c r="V288" s="383" t="n"/>
      <c r="W288" s="383" t="n"/>
    </row>
    <row r="289" ht="15" customHeight="1" s="1883">
      <c r="E289" s="385" t="inlineStr">
        <is>
          <t>Billable Hours/Month</t>
        </is>
      </c>
      <c r="F289" s="385" t="n"/>
      <c r="G289" s="385" t="n"/>
      <c r="H289" s="385" t="n"/>
      <c r="I289" s="383" t="n"/>
      <c r="J289" s="447">
        <f>((J286)*(J288))</f>
        <v/>
      </c>
      <c r="K289" s="447">
        <f>((K286)*(K288))</f>
        <v/>
      </c>
      <c r="L289" s="447">
        <f>((L286)*(L288))</f>
        <v/>
      </c>
      <c r="M289" s="447">
        <f>((M286)*(M288))</f>
        <v/>
      </c>
      <c r="N289" s="447">
        <f>((N286)*(N288))</f>
        <v/>
      </c>
      <c r="O289" s="447">
        <f>((O286)*(O288))</f>
        <v/>
      </c>
      <c r="P289" s="447">
        <f>((P286)*(P288))</f>
        <v/>
      </c>
      <c r="Q289" s="447">
        <f>((Q286)*(Q288))</f>
        <v/>
      </c>
      <c r="R289" s="447">
        <f>((R286)*(R288))</f>
        <v/>
      </c>
      <c r="S289" s="447">
        <f>((S286)*(S288))</f>
        <v/>
      </c>
      <c r="T289" s="447">
        <f>((T286)*(T288))</f>
        <v/>
      </c>
      <c r="U289" s="447">
        <f>((U286)*(U288))</f>
        <v/>
      </c>
      <c r="V289" s="383" t="n"/>
      <c r="W289" s="383" t="n"/>
      <c r="X289" s="383" t="n"/>
      <c r="Y289" s="383" t="n"/>
    </row>
    <row r="290" ht="15" customHeight="1" s="1883">
      <c r="D290" s="383" t="n"/>
      <c r="E290" s="383" t="n"/>
      <c r="F290" s="383" t="n"/>
      <c r="G290" s="383" t="n"/>
      <c r="H290" s="383" t="n"/>
      <c r="I290" s="383" t="n"/>
      <c r="J290" s="383" t="n"/>
      <c r="K290" s="383" t="n"/>
      <c r="L290" s="383" t="n"/>
      <c r="M290" s="383" t="n"/>
      <c r="N290" s="383" t="n"/>
      <c r="O290" s="383" t="n"/>
      <c r="P290" s="383" t="n"/>
      <c r="Q290" s="383" t="n"/>
      <c r="R290" s="383" t="n"/>
      <c r="S290" s="383" t="n"/>
      <c r="T290" s="383" t="n"/>
      <c r="U290" s="383" t="n"/>
      <c r="V290" s="383" t="n"/>
      <c r="W290" s="383" t="n"/>
      <c r="X290" s="383" t="n"/>
      <c r="Y290" s="383" t="n"/>
    </row>
    <row r="291" ht="15" customHeight="1" s="1883">
      <c r="D291" s="383" t="inlineStr">
        <is>
          <t>Standard Rate/Billable Hour</t>
        </is>
      </c>
      <c r="E291" s="383" t="n"/>
      <c r="F291" s="383" t="n"/>
      <c r="G291" s="383" t="n"/>
      <c r="H291" s="383" t="n"/>
      <c r="I291" s="383" t="n"/>
      <c r="J291" s="2021">
        <f>'3C. Tel. - Revenue Drivers - 1 '!J254</f>
        <v/>
      </c>
      <c r="K291" s="2021">
        <f>'3C. Tel. - Revenue Drivers - 1 '!K254</f>
        <v/>
      </c>
      <c r="L291" s="2021">
        <f>'3C. Tel. - Revenue Drivers - 1 '!L254</f>
        <v/>
      </c>
      <c r="M291" s="2021">
        <f>'3C. Tel. - Revenue Drivers - 1 '!M254</f>
        <v/>
      </c>
      <c r="N291" s="2021">
        <f>'3C. Tel. - Revenue Drivers - 1 '!N254</f>
        <v/>
      </c>
      <c r="O291" s="2021">
        <f>'3C. Tel. - Revenue Drivers - 1 '!O254</f>
        <v/>
      </c>
      <c r="P291" s="2021">
        <f>'3C. Tel. - Revenue Drivers - 1 '!P254</f>
        <v/>
      </c>
      <c r="Q291" s="2021">
        <f>'3C. Tel. - Revenue Drivers - 1 '!Q254</f>
        <v/>
      </c>
      <c r="R291" s="2021">
        <f>'3C. Tel. - Revenue Drivers - 1 '!R254</f>
        <v/>
      </c>
      <c r="S291" s="2021">
        <f>'3C. Tel. - Revenue Drivers - 1 '!S254</f>
        <v/>
      </c>
      <c r="T291" s="2021">
        <f>'3C. Tel. - Revenue Drivers - 1 '!T254</f>
        <v/>
      </c>
      <c r="U291" s="2021">
        <f>'3C. Tel. - Revenue Drivers - 1 '!U254</f>
        <v/>
      </c>
      <c r="V291" s="383" t="n"/>
      <c r="W291" s="383" t="n"/>
      <c r="X291" s="383" t="n"/>
      <c r="Y291" s="383" t="n"/>
    </row>
    <row r="292" ht="15" customHeight="1" s="1883">
      <c r="D292" s="383" t="inlineStr">
        <is>
          <t>Discount</t>
        </is>
      </c>
      <c r="E292" s="383" t="n"/>
      <c r="F292" s="383" t="n"/>
      <c r="G292" s="383" t="n"/>
      <c r="H292" s="383" t="n"/>
      <c r="I292" s="383" t="n"/>
      <c r="J292" s="470">
        <f>'3C. Tel. - Revenue Drivers - 1 '!J255</f>
        <v/>
      </c>
      <c r="K292" s="470">
        <f>'3C. Tel. - Revenue Drivers - 1 '!K255</f>
        <v/>
      </c>
      <c r="L292" s="470">
        <f>'3C. Tel. - Revenue Drivers - 1 '!L255</f>
        <v/>
      </c>
      <c r="M292" s="470">
        <f>'3C. Tel. - Revenue Drivers - 1 '!M255</f>
        <v/>
      </c>
      <c r="N292" s="470">
        <f>'3C. Tel. - Revenue Drivers - 1 '!N255</f>
        <v/>
      </c>
      <c r="O292" s="470">
        <f>'3C. Tel. - Revenue Drivers - 1 '!O255</f>
        <v/>
      </c>
      <c r="P292" s="470">
        <f>'3C. Tel. - Revenue Drivers - 1 '!P255</f>
        <v/>
      </c>
      <c r="Q292" s="470">
        <f>'3C. Tel. - Revenue Drivers - 1 '!Q255</f>
        <v/>
      </c>
      <c r="R292" s="470">
        <f>'3C. Tel. - Revenue Drivers - 1 '!R255</f>
        <v/>
      </c>
      <c r="S292" s="470">
        <f>'3C. Tel. - Revenue Drivers - 1 '!S255</f>
        <v/>
      </c>
      <c r="T292" s="470">
        <f>'3C. Tel. - Revenue Drivers - 1 '!T255</f>
        <v/>
      </c>
      <c r="U292" s="470">
        <f>'3C. Tel. - Revenue Drivers - 1 '!U255</f>
        <v/>
      </c>
      <c r="V292" s="383" t="n"/>
      <c r="W292" s="383" t="n"/>
      <c r="X292" s="383" t="n"/>
      <c r="Y292" s="383" t="n"/>
    </row>
    <row r="293" ht="15" customHeight="1" s="1883">
      <c r="E293" s="385" t="inlineStr">
        <is>
          <t>Realized Rate/Billable Hour</t>
        </is>
      </c>
      <c r="F293" s="383" t="n"/>
      <c r="G293" s="383" t="n"/>
      <c r="H293" s="383" t="n"/>
      <c r="I293" s="383" t="n"/>
      <c r="J293" s="2022">
        <f>(((1)-(J292))*(J291))</f>
        <v/>
      </c>
      <c r="K293" s="2022">
        <f>(((1)-(K292))*(K291))</f>
        <v/>
      </c>
      <c r="L293" s="2022">
        <f>(((1)-(L292))*(L291))</f>
        <v/>
      </c>
      <c r="M293" s="2022">
        <f>(((1)-(M292))*(M291))</f>
        <v/>
      </c>
      <c r="N293" s="2022">
        <f>(((1)-(N292))*(N291))</f>
        <v/>
      </c>
      <c r="O293" s="2022">
        <f>(((1)-(O292))*(O291))</f>
        <v/>
      </c>
      <c r="P293" s="2022">
        <f>(((1)-(P292))*(P291))</f>
        <v/>
      </c>
      <c r="Q293" s="2022">
        <f>(((1)-(Q292))*(Q291))</f>
        <v/>
      </c>
      <c r="R293" s="2022">
        <f>(((1)-(R292))*(R291))</f>
        <v/>
      </c>
      <c r="S293" s="2022">
        <f>(((1)-(S292))*(S291))</f>
        <v/>
      </c>
      <c r="T293" s="2022">
        <f>(((1)-(T292))*(T291))</f>
        <v/>
      </c>
      <c r="U293" s="2022">
        <f>(((1)-(U292))*(U291))</f>
        <v/>
      </c>
      <c r="V293" s="383" t="n"/>
      <c r="W293" s="383" t="n"/>
      <c r="X293" s="383" t="n"/>
      <c r="Y293" s="383" t="n"/>
    </row>
    <row r="294" ht="3" customHeight="1" s="1883">
      <c r="D294" s="383" t="n"/>
      <c r="E294" s="383" t="n"/>
      <c r="F294" s="383" t="n"/>
      <c r="G294" s="383" t="n"/>
      <c r="H294" s="383" t="n"/>
      <c r="I294" s="383" t="n"/>
      <c r="J294" s="387" t="n"/>
      <c r="K294" s="387" t="n"/>
      <c r="L294" s="387" t="n"/>
      <c r="M294" s="387" t="n"/>
      <c r="N294" s="387" t="n"/>
      <c r="O294" s="387" t="n"/>
      <c r="P294" s="387" t="n"/>
      <c r="Q294" s="387" t="n"/>
      <c r="R294" s="387" t="n"/>
      <c r="S294" s="387" t="n"/>
      <c r="T294" s="387" t="n"/>
      <c r="U294" s="387" t="n"/>
      <c r="V294" s="383" t="n"/>
      <c r="W294" s="383" t="n"/>
      <c r="X294" s="383" t="n"/>
      <c r="Y294" s="383" t="n"/>
    </row>
    <row r="295" ht="3" customHeight="1" s="1883">
      <c r="D295" s="383" t="n"/>
      <c r="E295" s="383" t="n"/>
      <c r="F295" s="383" t="n"/>
      <c r="G295" s="383" t="n"/>
      <c r="H295" s="383" t="n"/>
      <c r="I295" s="383" t="n"/>
      <c r="J295" s="383" t="n"/>
      <c r="K295" s="383" t="n"/>
      <c r="L295" s="383" t="n"/>
      <c r="M295" s="383" t="n"/>
      <c r="N295" s="383" t="n"/>
      <c r="O295" s="383" t="n"/>
      <c r="P295" s="383" t="n"/>
      <c r="Q295" s="383" t="n"/>
      <c r="R295" s="383" t="n"/>
      <c r="S295" s="383" t="n"/>
      <c r="T295" s="383" t="n"/>
      <c r="U295" s="383" t="n"/>
      <c r="V295" s="383" t="n"/>
      <c r="W295" s="383" t="n"/>
      <c r="X295" s="383" t="n"/>
      <c r="Y295" s="383" t="n"/>
    </row>
    <row r="296" ht="15" customHeight="1" s="1883">
      <c r="D296" s="383" t="n"/>
      <c r="F296" s="491" t="inlineStr">
        <is>
          <t>Realized Revenue</t>
        </is>
      </c>
      <c r="G296" s="492" t="n"/>
      <c r="H296" s="492" t="n"/>
      <c r="I296" s="492" t="n"/>
      <c r="J296" s="493">
        <f>((J289)*(J293))</f>
        <v/>
      </c>
      <c r="K296" s="493">
        <f>((K289)*(K293))</f>
        <v/>
      </c>
      <c r="L296" s="493">
        <f>((L289)*(L293))</f>
        <v/>
      </c>
      <c r="M296" s="493">
        <f>((M289)*(M293))</f>
        <v/>
      </c>
      <c r="N296" s="493">
        <f>((N289)*(N293))</f>
        <v/>
      </c>
      <c r="O296" s="493">
        <f>((O289)*(O293))</f>
        <v/>
      </c>
      <c r="P296" s="493">
        <f>((P289)*(P293))</f>
        <v/>
      </c>
      <c r="Q296" s="493">
        <f>((Q289)*(Q293))</f>
        <v/>
      </c>
      <c r="R296" s="493">
        <f>((R289)*(R293))</f>
        <v/>
      </c>
      <c r="S296" s="493">
        <f>((S289)*(S293))</f>
        <v/>
      </c>
      <c r="T296" s="493">
        <f>((T289)*(T293))</f>
        <v/>
      </c>
      <c r="U296" s="493">
        <f>((U289)*(U293))</f>
        <v/>
      </c>
      <c r="V296" s="492" t="n"/>
      <c r="W296" s="493">
        <f>((J296)+(K296)+(L296)+(M296)+(N296)+(O296)+(P296)+(Q296)+(R296)+(S296)+(T296)+(U296))</f>
        <v/>
      </c>
      <c r="X296" s="383" t="n"/>
      <c r="Y296" s="396">
        <f>'3C. Tel. - Revenue Drivers - 1 '!V293</f>
        <v/>
      </c>
    </row>
    <row r="297" ht="3" customHeight="1" s="1883">
      <c r="D297" s="383" t="n"/>
      <c r="E297" s="383" t="n"/>
      <c r="F297" s="383" t="n"/>
      <c r="G297" s="383" t="n"/>
      <c r="H297" s="383" t="n"/>
      <c r="I297" s="383" t="n"/>
      <c r="J297" s="387" t="n"/>
      <c r="K297" s="387" t="n"/>
      <c r="L297" s="387" t="n"/>
      <c r="M297" s="387" t="n"/>
      <c r="N297" s="387" t="n"/>
      <c r="O297" s="387" t="n"/>
      <c r="P297" s="387" t="n"/>
      <c r="Q297" s="387" t="n"/>
      <c r="R297" s="387" t="n"/>
      <c r="S297" s="387" t="n"/>
      <c r="T297" s="387" t="n"/>
      <c r="U297" s="387" t="n"/>
      <c r="V297" s="387" t="n"/>
      <c r="W297" s="387" t="n"/>
      <c r="X297" s="383" t="n"/>
      <c r="Y297" s="495" t="n"/>
    </row>
    <row r="298" ht="3" customHeight="1" s="1883">
      <c r="D298" s="383" t="n"/>
      <c r="E298" s="383" t="n"/>
      <c r="F298" s="383" t="n"/>
      <c r="G298" s="383" t="n"/>
      <c r="H298" s="383" t="n"/>
      <c r="I298" s="383" t="n"/>
      <c r="J298" s="383" t="n"/>
      <c r="K298" s="383" t="n"/>
      <c r="L298" s="383" t="n"/>
      <c r="M298" s="383" t="n"/>
      <c r="N298" s="383" t="n"/>
      <c r="O298" s="383" t="n"/>
      <c r="P298" s="383" t="n"/>
      <c r="Q298" s="383" t="n"/>
      <c r="R298" s="383" t="n"/>
      <c r="S298" s="383" t="n"/>
      <c r="T298" s="383" t="n"/>
      <c r="U298" s="383" t="n"/>
      <c r="V298" s="383" t="n"/>
      <c r="W298" s="383" t="n"/>
      <c r="X298" s="383" t="n"/>
      <c r="Y298" s="395" t="n"/>
    </row>
    <row r="299" ht="15" customHeight="1" s="1883">
      <c r="D299" s="383" t="n"/>
      <c r="E299" s="383" t="n"/>
      <c r="F299" s="383" t="n"/>
      <c r="G299" s="383" t="n"/>
      <c r="H299" s="383" t="n"/>
      <c r="I299" s="383" t="n"/>
      <c r="J299" s="383" t="n"/>
      <c r="K299" s="383" t="n"/>
      <c r="L299" s="383" t="n"/>
      <c r="M299" s="383" t="n"/>
      <c r="N299" s="383" t="n"/>
      <c r="O299" s="383" t="n"/>
      <c r="P299" s="383" t="n"/>
      <c r="Q299" s="383" t="n"/>
      <c r="R299" s="383" t="n"/>
      <c r="S299" s="383" t="n"/>
      <c r="T299" s="383" t="n"/>
      <c r="U299" s="383" t="n"/>
      <c r="V299" s="383" t="n"/>
      <c r="W299" s="383" t="n"/>
      <c r="X299" s="383" t="n"/>
      <c r="Y299" s="395" t="n"/>
    </row>
    <row r="300" ht="15" customHeight="1" s="1883">
      <c r="D300" s="383" t="n"/>
      <c r="E300" s="383" t="n"/>
      <c r="F300" s="383" t="n"/>
      <c r="G300" s="502" t="inlineStr">
        <is>
          <t>Less: Rewards Paid to Users</t>
        </is>
      </c>
      <c r="H300" s="503" t="n"/>
      <c r="I300" s="503" t="n"/>
      <c r="J300" s="512">
        <f>'3E. Tel. Attrit. Renew. Reward'!G395</f>
        <v/>
      </c>
      <c r="K300" s="512">
        <f>'3E. Tel. Attrit. Renew. Reward'!H395</f>
        <v/>
      </c>
      <c r="L300" s="520">
        <f>'3E. Tel. Attrit. Renew. Reward'!I395</f>
        <v/>
      </c>
      <c r="M300" s="520">
        <f>'3E. Tel. Attrit. Renew. Reward'!J395</f>
        <v/>
      </c>
      <c r="N300" s="520">
        <f>'3E. Tel. Attrit. Renew. Reward'!K395</f>
        <v/>
      </c>
      <c r="O300" s="520">
        <f>'3E. Tel. Attrit. Renew. Reward'!L395</f>
        <v/>
      </c>
      <c r="P300" s="520">
        <f>'3E. Tel. Attrit. Renew. Reward'!M395</f>
        <v/>
      </c>
      <c r="Q300" s="520">
        <f>'3E. Tel. Attrit. Renew. Reward'!N395</f>
        <v/>
      </c>
      <c r="R300" s="520">
        <f>'3E. Tel. Attrit. Renew. Reward'!O395</f>
        <v/>
      </c>
      <c r="S300" s="520">
        <f>'3E. Tel. Attrit. Renew. Reward'!P395</f>
        <v/>
      </c>
      <c r="T300" s="520">
        <f>'3E. Tel. Attrit. Renew. Reward'!Q395</f>
        <v/>
      </c>
      <c r="U300" s="520">
        <f>'3E. Tel. Attrit. Renew. Reward'!R395</f>
        <v/>
      </c>
      <c r="V300" s="503" t="n"/>
      <c r="W300" s="520">
        <f>((J300)+(K300)+(L300)+(M300)+(N300)+(O300)+(P300)+(Q300)+(R300)+(S300)+(T300)+(U300))</f>
        <v/>
      </c>
      <c r="X300" s="462" t="n"/>
      <c r="Y300" s="494">
        <f>SUM('3E. Tel. Attrit. Renew. Reward'!G395:R395)</f>
        <v/>
      </c>
    </row>
    <row r="301" ht="3" customHeight="1" s="1883">
      <c r="D301" s="383" t="n"/>
      <c r="E301" s="383" t="n"/>
      <c r="F301" s="383" t="n"/>
      <c r="G301" s="383" t="n"/>
      <c r="H301" s="383" t="n"/>
      <c r="I301" s="383" t="n"/>
      <c r="J301" s="387" t="n"/>
      <c r="K301" s="387" t="n"/>
      <c r="L301" s="387" t="n"/>
      <c r="M301" s="387" t="n"/>
      <c r="N301" s="387" t="n"/>
      <c r="O301" s="387" t="n"/>
      <c r="P301" s="387" t="n"/>
      <c r="Q301" s="387" t="n"/>
      <c r="R301" s="387" t="n"/>
      <c r="S301" s="387" t="n"/>
      <c r="T301" s="387" t="n"/>
      <c r="U301" s="387" t="n"/>
      <c r="V301" s="383" t="n"/>
      <c r="W301" s="387" t="n"/>
      <c r="X301" s="383" t="n"/>
      <c r="Y301" s="495" t="n"/>
    </row>
    <row r="302" ht="3" customHeight="1" s="1883">
      <c r="D302" s="383" t="n"/>
      <c r="E302" s="383" t="n"/>
      <c r="F302" s="383" t="n"/>
      <c r="G302" s="383" t="n"/>
      <c r="H302" s="383" t="n"/>
      <c r="I302" s="383" t="n"/>
      <c r="J302" s="383" t="n"/>
      <c r="K302" s="383" t="n"/>
      <c r="L302" s="383" t="n"/>
      <c r="M302" s="383" t="n"/>
      <c r="N302" s="383" t="n"/>
      <c r="O302" s="383" t="n"/>
      <c r="P302" s="383" t="n"/>
      <c r="Q302" s="383" t="n"/>
      <c r="R302" s="383" t="n"/>
      <c r="S302" s="383" t="n"/>
      <c r="T302" s="383" t="n"/>
      <c r="U302" s="383" t="n"/>
      <c r="V302" s="383" t="n"/>
      <c r="W302" s="383" t="n"/>
      <c r="X302" s="383" t="n"/>
      <c r="Y302" s="395" t="n"/>
    </row>
    <row r="303" ht="15" customHeight="1" s="1883">
      <c r="D303" s="383" t="n"/>
      <c r="E303" s="383" t="n"/>
      <c r="F303" s="383" t="n"/>
      <c r="G303" s="383" t="n"/>
      <c r="H303" s="383" t="n"/>
      <c r="I303" s="383" t="n"/>
      <c r="J303" s="383" t="n"/>
      <c r="K303" s="383" t="n"/>
      <c r="L303" s="383" t="n"/>
      <c r="M303" s="383" t="n"/>
      <c r="N303" s="383" t="n"/>
      <c r="O303" s="383" t="n"/>
      <c r="P303" s="383" t="n"/>
      <c r="Q303" s="383" t="n"/>
      <c r="R303" s="383" t="n"/>
      <c r="S303" s="383" t="n"/>
      <c r="T303" s="383" t="n"/>
      <c r="U303" s="383" t="n"/>
      <c r="V303" s="383" t="n"/>
      <c r="W303" s="383" t="n"/>
      <c r="X303" s="383" t="n"/>
      <c r="Y303" s="395" t="n"/>
    </row>
    <row r="304" ht="15" customHeight="1" s="1883">
      <c r="D304" s="383" t="n"/>
      <c r="E304" s="383" t="n"/>
      <c r="F304" s="383" t="n"/>
      <c r="G304" s="383" t="n"/>
      <c r="H304" s="513" t="inlineStr">
        <is>
          <t>Net Revenue, Market Research Services</t>
        </is>
      </c>
      <c r="I304" s="514" t="n"/>
      <c r="J304" s="515">
        <f>((J296)-(J300))</f>
        <v/>
      </c>
      <c r="K304" s="515">
        <f>((K296)-(K300))</f>
        <v/>
      </c>
      <c r="L304" s="515">
        <f>((L296)-(L300))</f>
        <v/>
      </c>
      <c r="M304" s="515">
        <f>((M296)-(M300))</f>
        <v/>
      </c>
      <c r="N304" s="515">
        <f>((N296)-(N300))</f>
        <v/>
      </c>
      <c r="O304" s="515">
        <f>((O296)-(O300))</f>
        <v/>
      </c>
      <c r="P304" s="515">
        <f>((P296)-(P300))</f>
        <v/>
      </c>
      <c r="Q304" s="515">
        <f>((Q296)-(Q300))</f>
        <v/>
      </c>
      <c r="R304" s="515">
        <f>((R296)-(R300))</f>
        <v/>
      </c>
      <c r="S304" s="515">
        <f>((S296)-(S300))</f>
        <v/>
      </c>
      <c r="T304" s="515">
        <f>((T296)-(T300))</f>
        <v/>
      </c>
      <c r="U304" s="515">
        <f>((U296)-(U300))</f>
        <v/>
      </c>
      <c r="V304" s="515">
        <f>((V296)-(V300))</f>
        <v/>
      </c>
      <c r="W304" s="515">
        <f>((W296)-(W300))</f>
        <v/>
      </c>
      <c r="X304" s="383" t="n"/>
      <c r="Y304" s="396">
        <f>((Y296)-(Y300))</f>
        <v/>
      </c>
    </row>
    <row r="309" ht="15" customHeight="1" s="1883">
      <c r="D309" s="383" t="n"/>
      <c r="E309" s="383" t="n"/>
      <c r="F309" s="383" t="n"/>
      <c r="G309" s="383" t="n"/>
      <c r="H309" s="383" t="n"/>
      <c r="I309" s="383" t="n"/>
      <c r="J309" s="1882" t="inlineStr">
        <is>
          <t>Year 2</t>
        </is>
      </c>
    </row>
    <row r="310" ht="3" customHeight="1" s="1883">
      <c r="D310" s="383" t="n"/>
      <c r="E310" s="383" t="n"/>
      <c r="F310" s="383" t="n"/>
      <c r="G310" s="383" t="n"/>
      <c r="H310" s="383" t="n"/>
      <c r="I310" s="383" t="n"/>
      <c r="J310" s="387" t="n"/>
      <c r="K310" s="387" t="n"/>
      <c r="L310" s="387" t="n"/>
      <c r="M310" s="387" t="n"/>
      <c r="N310" s="387" t="n"/>
      <c r="O310" s="387" t="n"/>
      <c r="P310" s="387" t="n"/>
      <c r="Q310" s="387" t="n"/>
      <c r="R310" s="387" t="n"/>
      <c r="S310" s="387" t="n"/>
      <c r="T310" s="387" t="n"/>
      <c r="U310" s="387" t="n"/>
      <c r="V310" s="387" t="n"/>
      <c r="W310" s="387" t="n"/>
    </row>
    <row r="311" ht="3" customHeight="1" s="1883">
      <c r="D311" s="383" t="n"/>
      <c r="E311" s="383" t="n"/>
      <c r="F311" s="383" t="n"/>
      <c r="G311" s="383" t="n"/>
      <c r="H311" s="383" t="n"/>
      <c r="I311" s="383" t="n"/>
      <c r="J311" s="383" t="n"/>
      <c r="K311" s="383" t="n"/>
      <c r="L311" s="383" t="n"/>
      <c r="M311" s="383" t="n"/>
      <c r="N311" s="383" t="n"/>
      <c r="O311" s="383" t="n"/>
      <c r="P311" s="383" t="n"/>
      <c r="Q311" s="383" t="n"/>
      <c r="R311" s="383" t="n"/>
      <c r="S311" s="383" t="n"/>
      <c r="T311" s="383" t="n"/>
      <c r="U311" s="383" t="n"/>
      <c r="V311" s="383" t="n"/>
      <c r="W311" s="383" t="n"/>
    </row>
    <row r="312" ht="15" customHeight="1" s="1883">
      <c r="D312" s="383" t="n"/>
      <c r="E312" s="383" t="n"/>
      <c r="F312" s="383" t="n"/>
      <c r="G312" s="383" t="n"/>
      <c r="H312" s="383" t="n"/>
      <c r="I312" s="383" t="n"/>
      <c r="J312" s="386" t="inlineStr">
        <is>
          <t>Month 13</t>
        </is>
      </c>
      <c r="K312" s="386" t="inlineStr">
        <is>
          <t>Month 14</t>
        </is>
      </c>
      <c r="L312" s="386" t="inlineStr">
        <is>
          <t>Month 15</t>
        </is>
      </c>
      <c r="M312" s="386" t="inlineStr">
        <is>
          <t>Month 16</t>
        </is>
      </c>
      <c r="N312" s="386" t="inlineStr">
        <is>
          <t>Month 17</t>
        </is>
      </c>
      <c r="O312" s="386" t="inlineStr">
        <is>
          <t>Month 18</t>
        </is>
      </c>
      <c r="P312" s="386" t="inlineStr">
        <is>
          <t>Month 19</t>
        </is>
      </c>
      <c r="Q312" s="386" t="inlineStr">
        <is>
          <t>Month 20</t>
        </is>
      </c>
      <c r="R312" s="386" t="inlineStr">
        <is>
          <t>Month 21</t>
        </is>
      </c>
      <c r="S312" s="386" t="inlineStr">
        <is>
          <t>Month 22</t>
        </is>
      </c>
      <c r="T312" s="386" t="inlineStr">
        <is>
          <t>Month 23</t>
        </is>
      </c>
      <c r="U312" s="386" t="inlineStr">
        <is>
          <t>Month 24</t>
        </is>
      </c>
      <c r="V312" s="383" t="n"/>
      <c r="W312" s="386" t="inlineStr">
        <is>
          <t>Full-Year</t>
        </is>
      </c>
    </row>
    <row r="313" ht="3" customHeight="1" s="1883">
      <c r="D313" s="383" t="n"/>
      <c r="E313" s="383" t="n"/>
      <c r="F313" s="383" t="n"/>
      <c r="G313" s="383" t="n"/>
      <c r="H313" s="383" t="n"/>
      <c r="I313" s="383" t="n"/>
      <c r="J313" s="387" t="n"/>
      <c r="K313" s="387" t="n"/>
      <c r="L313" s="387" t="n"/>
      <c r="M313" s="387" t="n"/>
      <c r="N313" s="387" t="n"/>
      <c r="O313" s="387" t="n"/>
      <c r="P313" s="387" t="n"/>
      <c r="Q313" s="387" t="n"/>
      <c r="R313" s="387" t="n"/>
      <c r="S313" s="387" t="n"/>
      <c r="T313" s="387" t="n"/>
      <c r="U313" s="387" t="n"/>
      <c r="V313" s="383" t="n"/>
      <c r="W313" s="387" t="n"/>
    </row>
    <row r="314" ht="3" customHeight="1" s="1883">
      <c r="D314" s="383" t="n"/>
      <c r="E314" s="383" t="n"/>
      <c r="F314" s="383" t="n"/>
      <c r="G314" s="383" t="n"/>
      <c r="H314" s="383" t="n"/>
      <c r="I314" s="383" t="n"/>
      <c r="J314" s="383" t="n"/>
      <c r="K314" s="383" t="n"/>
      <c r="L314" s="383" t="n"/>
      <c r="M314" s="383" t="n"/>
      <c r="N314" s="383" t="n"/>
      <c r="O314" s="383" t="n"/>
      <c r="P314" s="383" t="n"/>
      <c r="Q314" s="383" t="n"/>
      <c r="R314" s="383" t="n"/>
      <c r="S314" s="383" t="n"/>
      <c r="T314" s="383" t="n"/>
      <c r="U314" s="383" t="n"/>
      <c r="V314" s="383" t="n"/>
      <c r="W314" s="383" t="n"/>
    </row>
    <row r="315" ht="15" customHeight="1" s="1883">
      <c r="D315" s="487" t="inlineStr">
        <is>
          <t>Average Number of Phones in Use</t>
        </is>
      </c>
      <c r="E315" s="488" t="n"/>
      <c r="F315" s="488" t="n"/>
      <c r="G315" s="488" t="n"/>
      <c r="H315" s="488" t="n"/>
      <c r="I315" s="383" t="n"/>
      <c r="J315" s="391">
        <f>'3C. Tel. - Revenue Drivers - 1 '!J196</f>
        <v/>
      </c>
      <c r="K315" s="391">
        <f>'3C. Tel. - Revenue Drivers - 1 '!K196</f>
        <v/>
      </c>
      <c r="L315" s="391">
        <f>'3C. Tel. - Revenue Drivers - 1 '!L196</f>
        <v/>
      </c>
      <c r="M315" s="391">
        <f>'3C. Tel. - Revenue Drivers - 1 '!M196</f>
        <v/>
      </c>
      <c r="N315" s="391">
        <f>'3C. Tel. - Revenue Drivers - 1 '!N196</f>
        <v/>
      </c>
      <c r="O315" s="391">
        <f>'3C. Tel. - Revenue Drivers - 1 '!O196</f>
        <v/>
      </c>
      <c r="P315" s="391">
        <f>'3C. Tel. - Revenue Drivers - 1 '!P196</f>
        <v/>
      </c>
      <c r="Q315" s="391">
        <f>'3C. Tel. - Revenue Drivers - 1 '!Q196</f>
        <v/>
      </c>
      <c r="R315" s="391">
        <f>'3C. Tel. - Revenue Drivers - 1 '!R196</f>
        <v/>
      </c>
      <c r="S315" s="391">
        <f>'3C. Tel. - Revenue Drivers - 1 '!S196</f>
        <v/>
      </c>
      <c r="T315" s="391">
        <f>'3C. Tel. - Revenue Drivers - 1 '!T196</f>
        <v/>
      </c>
      <c r="U315" s="391">
        <f>'3C. Tel. - Revenue Drivers - 1 '!U196</f>
        <v/>
      </c>
      <c r="V315" s="383" t="n"/>
      <c r="W315" s="383" t="n"/>
    </row>
    <row r="316" ht="15" customHeight="1" s="1883">
      <c r="D316" s="618" t="inlineStr">
        <is>
          <t>Revenue Generating Customers (Customers Earning Rewards)</t>
        </is>
      </c>
      <c r="E316" s="619" t="n"/>
      <c r="F316" s="619" t="n"/>
      <c r="G316" s="619" t="n"/>
      <c r="H316" s="619" t="n"/>
      <c r="I316" s="620" t="n"/>
      <c r="J316" s="621">
        <f>'3E. Tel. Attrit. Renew. Reward'!S286</f>
        <v/>
      </c>
      <c r="K316" s="621">
        <f>'3E. Tel. Attrit. Renew. Reward'!T286</f>
        <v/>
      </c>
      <c r="L316" s="621">
        <f>'3E. Tel. Attrit. Renew. Reward'!U286</f>
        <v/>
      </c>
      <c r="M316" s="621">
        <f>'3E. Tel. Attrit. Renew. Reward'!V286</f>
        <v/>
      </c>
      <c r="N316" s="621">
        <f>'3E. Tel. Attrit. Renew. Reward'!W286</f>
        <v/>
      </c>
      <c r="O316" s="621">
        <f>'3E. Tel. Attrit. Renew. Reward'!X286</f>
        <v/>
      </c>
      <c r="P316" s="621">
        <f>'3E. Tel. Attrit. Renew. Reward'!Y286</f>
        <v/>
      </c>
      <c r="Q316" s="621">
        <f>'3E. Tel. Attrit. Renew. Reward'!Z286</f>
        <v/>
      </c>
      <c r="R316" s="621">
        <f>'3E. Tel. Attrit. Renew. Reward'!AA286</f>
        <v/>
      </c>
      <c r="S316" s="621">
        <f>'3E. Tel. Attrit. Renew. Reward'!AB286</f>
        <v/>
      </c>
      <c r="T316" s="621">
        <f>'3E. Tel. Attrit. Renew. Reward'!AC286</f>
        <v/>
      </c>
      <c r="U316" s="621">
        <f>'3E. Tel. Attrit. Renew. Reward'!AD286</f>
        <v/>
      </c>
      <c r="V316" s="383" t="n"/>
      <c r="W316" s="383" t="n"/>
    </row>
    <row r="317" ht="15" customHeight="1" s="1883">
      <c r="D317" s="422" t="inlineStr">
        <is>
          <t xml:space="preserve">Minutes/Month/Revenue Generating Phone </t>
        </is>
      </c>
      <c r="E317" s="383" t="n"/>
      <c r="F317" s="383" t="n"/>
      <c r="G317" s="383" t="n"/>
      <c r="H317" s="383" t="n"/>
      <c r="I317" s="383" t="n"/>
      <c r="J317" s="485">
        <f>'3C. Tel. - Revenue Drivers - 1 '!J195</f>
        <v/>
      </c>
      <c r="K317" s="485">
        <f>'3C. Tel. - Revenue Drivers - 1 '!K195</f>
        <v/>
      </c>
      <c r="L317" s="485">
        <f>'3C. Tel. - Revenue Drivers - 1 '!L195</f>
        <v/>
      </c>
      <c r="M317" s="485">
        <f>'3C. Tel. - Revenue Drivers - 1 '!M195</f>
        <v/>
      </c>
      <c r="N317" s="485">
        <f>'3C. Tel. - Revenue Drivers - 1 '!N195</f>
        <v/>
      </c>
      <c r="O317" s="485">
        <f>'3C. Tel. - Revenue Drivers - 1 '!O195</f>
        <v/>
      </c>
      <c r="P317" s="485">
        <f>'3C. Tel. - Revenue Drivers - 1 '!P195</f>
        <v/>
      </c>
      <c r="Q317" s="485">
        <f>'3C. Tel. - Revenue Drivers - 1 '!Q195</f>
        <v/>
      </c>
      <c r="R317" s="485">
        <f>'3C. Tel. - Revenue Drivers - 1 '!R195</f>
        <v/>
      </c>
      <c r="S317" s="485">
        <f>'3C. Tel. - Revenue Drivers - 1 '!S195</f>
        <v/>
      </c>
      <c r="T317" s="485">
        <f>'3C. Tel. - Revenue Drivers - 1 '!T195</f>
        <v/>
      </c>
      <c r="U317" s="485">
        <f>'3C. Tel. - Revenue Drivers - 1 '!U195</f>
        <v/>
      </c>
      <c r="V317" s="383" t="n"/>
      <c r="W317" s="383" t="n"/>
    </row>
    <row r="318" ht="15" customHeight="1" s="1883">
      <c r="E318" s="385" t="inlineStr">
        <is>
          <t>Hours/Month, All Revenue Generating Phones</t>
        </is>
      </c>
      <c r="F318" s="385" t="n"/>
      <c r="G318" s="385" t="n"/>
      <c r="H318" s="385" t="n"/>
      <c r="I318" s="383" t="n"/>
      <c r="J318" s="447">
        <f>(((J316)*(J317))/(60))</f>
        <v/>
      </c>
      <c r="K318" s="447">
        <f>(((K316)*(K317))/(60))</f>
        <v/>
      </c>
      <c r="L318" s="447">
        <f>(((L316)*(L317))/(60))</f>
        <v/>
      </c>
      <c r="M318" s="447">
        <f>(((M316)*(M317))/(60))</f>
        <v/>
      </c>
      <c r="N318" s="447">
        <f>(((N316)*(N317))/(60))</f>
        <v/>
      </c>
      <c r="O318" s="447">
        <f>(((O316)*(O317))/(60))</f>
        <v/>
      </c>
      <c r="P318" s="447">
        <f>(((P316)*(P317))/(60))</f>
        <v/>
      </c>
      <c r="Q318" s="447">
        <f>(((Q316)*(Q317))/(60))</f>
        <v/>
      </c>
      <c r="R318" s="447">
        <f>(((R316)*(R317))/(60))</f>
        <v/>
      </c>
      <c r="S318" s="447">
        <f>(((S316)*(S317))/(60))</f>
        <v/>
      </c>
      <c r="T318" s="447">
        <f>(((T316)*(T317))/(60))</f>
        <v/>
      </c>
      <c r="U318" s="447">
        <f>(((U316)*(U317))/(60))</f>
        <v/>
      </c>
      <c r="V318" s="383" t="n"/>
      <c r="W318" s="383" t="n"/>
    </row>
    <row r="319" ht="15" customHeight="1" s="1883">
      <c r="D319" s="383" t="n"/>
      <c r="E319" s="383" t="n"/>
      <c r="F319" s="383" t="n"/>
      <c r="G319" s="383" t="n"/>
      <c r="H319" s="383" t="n"/>
      <c r="I319" s="383" t="n"/>
      <c r="J319" s="383" t="n"/>
      <c r="K319" s="383" t="n"/>
      <c r="L319" s="383" t="n"/>
      <c r="M319" s="383" t="n"/>
      <c r="N319" s="383" t="n"/>
      <c r="O319" s="383" t="n"/>
      <c r="P319" s="383" t="n"/>
      <c r="Q319" s="383" t="n"/>
      <c r="R319" s="383" t="n"/>
      <c r="S319" s="383" t="n"/>
      <c r="T319" s="383" t="n"/>
      <c r="U319" s="383" t="n"/>
      <c r="V319" s="383" t="n"/>
      <c r="W319" s="383" t="n"/>
    </row>
    <row r="320" ht="15" customHeight="1" s="1883">
      <c r="D320" s="383" t="inlineStr">
        <is>
          <t>Billable Hour Conversion Rate</t>
        </is>
      </c>
      <c r="E320" s="383" t="n"/>
      <c r="F320" s="383" t="n"/>
      <c r="G320" s="383" t="n"/>
      <c r="H320" s="383" t="n"/>
      <c r="I320" s="383" t="n"/>
      <c r="J320" s="489">
        <f>'3C. Tel. - Revenue Drivers - 1 '!J231</f>
        <v/>
      </c>
      <c r="K320" s="489">
        <f>'3C. Tel. - Revenue Drivers - 1 '!K231</f>
        <v/>
      </c>
      <c r="L320" s="489">
        <f>'3C. Tel. - Revenue Drivers - 1 '!L231</f>
        <v/>
      </c>
      <c r="M320" s="489">
        <f>'3C. Tel. - Revenue Drivers - 1 '!M231</f>
        <v/>
      </c>
      <c r="N320" s="489">
        <f>'3C. Tel. - Revenue Drivers - 1 '!N231</f>
        <v/>
      </c>
      <c r="O320" s="489">
        <f>'3C. Tel. - Revenue Drivers - 1 '!O231</f>
        <v/>
      </c>
      <c r="P320" s="489">
        <f>'3C. Tel. - Revenue Drivers - 1 '!P231</f>
        <v/>
      </c>
      <c r="Q320" s="489">
        <f>'3C. Tel. - Revenue Drivers - 1 '!Q231</f>
        <v/>
      </c>
      <c r="R320" s="489">
        <f>'3C. Tel. - Revenue Drivers - 1 '!R231</f>
        <v/>
      </c>
      <c r="S320" s="489">
        <f>'3C. Tel. - Revenue Drivers - 1 '!S231</f>
        <v/>
      </c>
      <c r="T320" s="489">
        <f>'3C. Tel. - Revenue Drivers - 1 '!T231</f>
        <v/>
      </c>
      <c r="U320" s="489">
        <f>'3C. Tel. - Revenue Drivers - 1 '!U231</f>
        <v/>
      </c>
      <c r="V320" s="383" t="n"/>
      <c r="W320" s="383" t="n"/>
    </row>
    <row r="321" ht="15" customHeight="1" s="1883">
      <c r="E321" s="385" t="inlineStr">
        <is>
          <t>Billable Hours/Month</t>
        </is>
      </c>
      <c r="F321" s="385" t="n"/>
      <c r="G321" s="385" t="n"/>
      <c r="H321" s="385" t="n"/>
      <c r="I321" s="383" t="n"/>
      <c r="J321" s="447">
        <f>((J318)*(J320))</f>
        <v/>
      </c>
      <c r="K321" s="447">
        <f>((K318)*(K320))</f>
        <v/>
      </c>
      <c r="L321" s="447">
        <f>((L318)*(L320))</f>
        <v/>
      </c>
      <c r="M321" s="447">
        <f>((M318)*(M320))</f>
        <v/>
      </c>
      <c r="N321" s="447">
        <f>((N318)*(N320))</f>
        <v/>
      </c>
      <c r="O321" s="447">
        <f>((O318)*(O320))</f>
        <v/>
      </c>
      <c r="P321" s="447">
        <f>((P318)*(P320))</f>
        <v/>
      </c>
      <c r="Q321" s="447">
        <f>((Q318)*(Q320))</f>
        <v/>
      </c>
      <c r="R321" s="447">
        <f>((R318)*(R320))</f>
        <v/>
      </c>
      <c r="S321" s="447">
        <f>((S318)*(S320))</f>
        <v/>
      </c>
      <c r="T321" s="447">
        <f>((T318)*(T320))</f>
        <v/>
      </c>
      <c r="U321" s="447">
        <f>((U318)*(U320))</f>
        <v/>
      </c>
      <c r="V321" s="383" t="n"/>
      <c r="W321" s="383" t="n"/>
      <c r="X321" s="383" t="n"/>
      <c r="Y321" s="395" t="n"/>
    </row>
    <row r="322" ht="15" customHeight="1" s="1883">
      <c r="D322" s="383" t="n"/>
      <c r="E322" s="383" t="n"/>
      <c r="F322" s="383" t="n"/>
      <c r="G322" s="383" t="n"/>
      <c r="H322" s="383" t="n"/>
      <c r="I322" s="383" t="n"/>
      <c r="J322" s="383" t="n"/>
      <c r="K322" s="383" t="n"/>
      <c r="L322" s="383" t="n"/>
      <c r="M322" s="383" t="n"/>
      <c r="N322" s="383" t="n"/>
      <c r="O322" s="383" t="n"/>
      <c r="P322" s="383" t="n"/>
      <c r="Q322" s="383" t="n"/>
      <c r="R322" s="383" t="n"/>
      <c r="S322" s="383" t="n"/>
      <c r="T322" s="383" t="n"/>
      <c r="U322" s="383" t="n"/>
      <c r="V322" s="383" t="n"/>
      <c r="W322" s="383" t="n"/>
      <c r="X322" s="383" t="n"/>
      <c r="Y322" s="395" t="n"/>
    </row>
    <row r="323" ht="15" customHeight="1" s="1883">
      <c r="D323" s="383" t="inlineStr">
        <is>
          <t>Standard Rate/Billable Hour</t>
        </is>
      </c>
      <c r="E323" s="383" t="n"/>
      <c r="F323" s="383" t="n"/>
      <c r="G323" s="383" t="n"/>
      <c r="H323" s="383" t="n"/>
      <c r="I323" s="383" t="n"/>
      <c r="J323" s="2021">
        <f>'3C. Tel. - Revenue Drivers - 1 '!J260</f>
        <v/>
      </c>
      <c r="K323" s="2021">
        <f>'3C. Tel. - Revenue Drivers - 1 '!K260</f>
        <v/>
      </c>
      <c r="L323" s="2021">
        <f>'3C. Tel. - Revenue Drivers - 1 '!L260</f>
        <v/>
      </c>
      <c r="M323" s="2021">
        <f>'3C. Tel. - Revenue Drivers - 1 '!M260</f>
        <v/>
      </c>
      <c r="N323" s="2021">
        <f>'3C. Tel. - Revenue Drivers - 1 '!N260</f>
        <v/>
      </c>
      <c r="O323" s="2021">
        <f>'3C. Tel. - Revenue Drivers - 1 '!O260</f>
        <v/>
      </c>
      <c r="P323" s="2021">
        <f>'3C. Tel. - Revenue Drivers - 1 '!P260</f>
        <v/>
      </c>
      <c r="Q323" s="2021">
        <f>'3C. Tel. - Revenue Drivers - 1 '!Q260</f>
        <v/>
      </c>
      <c r="R323" s="2021">
        <f>'3C. Tel. - Revenue Drivers - 1 '!R260</f>
        <v/>
      </c>
      <c r="S323" s="2021">
        <f>'3C. Tel. - Revenue Drivers - 1 '!S260</f>
        <v/>
      </c>
      <c r="T323" s="2021">
        <f>'3C. Tel. - Revenue Drivers - 1 '!T260</f>
        <v/>
      </c>
      <c r="U323" s="2021">
        <f>'3C. Tel. - Revenue Drivers - 1 '!U260</f>
        <v/>
      </c>
      <c r="V323" s="383" t="n"/>
      <c r="W323" s="383" t="n"/>
      <c r="X323" s="383" t="n"/>
      <c r="Y323" s="395" t="n"/>
    </row>
    <row r="324" ht="15" customHeight="1" s="1883">
      <c r="D324" s="383" t="inlineStr">
        <is>
          <t>Discount</t>
        </is>
      </c>
      <c r="E324" s="383" t="n"/>
      <c r="F324" s="383" t="n"/>
      <c r="G324" s="383" t="n"/>
      <c r="H324" s="383" t="n"/>
      <c r="I324" s="383" t="n"/>
      <c r="J324" s="470">
        <f>'3C. Tel. - Revenue Drivers - 1 '!J261</f>
        <v/>
      </c>
      <c r="K324" s="470">
        <f>'3C. Tel. - Revenue Drivers - 1 '!K261</f>
        <v/>
      </c>
      <c r="L324" s="470">
        <f>'3C. Tel. - Revenue Drivers - 1 '!L261</f>
        <v/>
      </c>
      <c r="M324" s="470">
        <f>'3C. Tel. - Revenue Drivers - 1 '!M261</f>
        <v/>
      </c>
      <c r="N324" s="470">
        <f>'3C. Tel. - Revenue Drivers - 1 '!N261</f>
        <v/>
      </c>
      <c r="O324" s="470">
        <f>'3C. Tel. - Revenue Drivers - 1 '!O261</f>
        <v/>
      </c>
      <c r="P324" s="470">
        <f>'3C. Tel. - Revenue Drivers - 1 '!P261</f>
        <v/>
      </c>
      <c r="Q324" s="470">
        <f>'3C. Tel. - Revenue Drivers - 1 '!Q261</f>
        <v/>
      </c>
      <c r="R324" s="470">
        <f>'3C. Tel. - Revenue Drivers - 1 '!R261</f>
        <v/>
      </c>
      <c r="S324" s="470">
        <f>'3C. Tel. - Revenue Drivers - 1 '!S261</f>
        <v/>
      </c>
      <c r="T324" s="470">
        <f>'3C. Tel. - Revenue Drivers - 1 '!T261</f>
        <v/>
      </c>
      <c r="U324" s="470">
        <f>'3C. Tel. - Revenue Drivers - 1 '!U261</f>
        <v/>
      </c>
      <c r="V324" s="383" t="n"/>
      <c r="W324" s="383" t="n"/>
      <c r="X324" s="383" t="n"/>
      <c r="Y324" s="395" t="n"/>
    </row>
    <row r="325" ht="15" customHeight="1" s="1883">
      <c r="E325" s="385" t="inlineStr">
        <is>
          <t>Realized Rate/Billable Hour</t>
        </is>
      </c>
      <c r="F325" s="383" t="n"/>
      <c r="G325" s="383" t="n"/>
      <c r="H325" s="383" t="n"/>
      <c r="I325" s="383" t="n"/>
      <c r="J325" s="2022">
        <f>(((1)-(J324))*(J323))</f>
        <v/>
      </c>
      <c r="K325" s="2022">
        <f>(((1)-(K324))*(K323))</f>
        <v/>
      </c>
      <c r="L325" s="2022">
        <f>(((1)-(L324))*(L323))</f>
        <v/>
      </c>
      <c r="M325" s="2022">
        <f>(((1)-(M324))*(M323))</f>
        <v/>
      </c>
      <c r="N325" s="2022">
        <f>(((1)-(N324))*(N323))</f>
        <v/>
      </c>
      <c r="O325" s="2022">
        <f>(((1)-(O324))*(O323))</f>
        <v/>
      </c>
      <c r="P325" s="2022">
        <f>(((1)-(P324))*(P323))</f>
        <v/>
      </c>
      <c r="Q325" s="2022">
        <f>(((1)-(Q324))*(Q323))</f>
        <v/>
      </c>
      <c r="R325" s="2022">
        <f>(((1)-(R324))*(R323))</f>
        <v/>
      </c>
      <c r="S325" s="2022">
        <f>(((1)-(S324))*(S323))</f>
        <v/>
      </c>
      <c r="T325" s="2022">
        <f>(((1)-(T324))*(T323))</f>
        <v/>
      </c>
      <c r="U325" s="2022">
        <f>(((1)-(U324))*(U323))</f>
        <v/>
      </c>
      <c r="V325" s="383" t="n"/>
      <c r="W325" s="383" t="n"/>
      <c r="X325" s="383" t="n"/>
      <c r="Y325" s="395" t="n"/>
    </row>
    <row r="326" ht="3" customHeight="1" s="1883">
      <c r="D326" s="383" t="n"/>
      <c r="E326" s="383" t="n"/>
      <c r="F326" s="383" t="n"/>
      <c r="G326" s="383" t="n"/>
      <c r="H326" s="383" t="n"/>
      <c r="I326" s="383" t="n"/>
      <c r="J326" s="387" t="n"/>
      <c r="K326" s="387" t="n"/>
      <c r="L326" s="387" t="n"/>
      <c r="M326" s="387" t="n"/>
      <c r="N326" s="387" t="n"/>
      <c r="O326" s="387" t="n"/>
      <c r="P326" s="387" t="n"/>
      <c r="Q326" s="387" t="n"/>
      <c r="R326" s="387" t="n"/>
      <c r="S326" s="387" t="n"/>
      <c r="T326" s="387" t="n"/>
      <c r="U326" s="387" t="n"/>
      <c r="V326" s="383" t="n"/>
      <c r="W326" s="383" t="n"/>
      <c r="X326" s="383" t="n"/>
      <c r="Y326" s="395" t="n"/>
    </row>
    <row r="327" ht="3" customHeight="1" s="1883">
      <c r="D327" s="383" t="n"/>
      <c r="E327" s="383" t="n"/>
      <c r="F327" s="383" t="n"/>
      <c r="G327" s="383" t="n"/>
      <c r="H327" s="383" t="n"/>
      <c r="I327" s="383" t="n"/>
      <c r="J327" s="383" t="n"/>
      <c r="K327" s="383" t="n"/>
      <c r="L327" s="383" t="n"/>
      <c r="M327" s="383" t="n"/>
      <c r="N327" s="383" t="n"/>
      <c r="O327" s="383" t="n"/>
      <c r="P327" s="383" t="n"/>
      <c r="Q327" s="383" t="n"/>
      <c r="R327" s="383" t="n"/>
      <c r="S327" s="383" t="n"/>
      <c r="T327" s="383" t="n"/>
      <c r="U327" s="383" t="n"/>
      <c r="V327" s="383" t="n"/>
      <c r="W327" s="383" t="n"/>
      <c r="X327" s="383" t="n"/>
      <c r="Y327" s="395" t="n"/>
    </row>
    <row r="328" ht="15" customHeight="1" s="1883">
      <c r="D328" s="383" t="n"/>
      <c r="F328" s="491" t="inlineStr">
        <is>
          <t>Realized Revenue</t>
        </is>
      </c>
      <c r="G328" s="492" t="n"/>
      <c r="H328" s="492" t="n"/>
      <c r="I328" s="492" t="n"/>
      <c r="J328" s="493">
        <f>((J321)*(J325))</f>
        <v/>
      </c>
      <c r="K328" s="493">
        <f>((K321)*(K325))</f>
        <v/>
      </c>
      <c r="L328" s="493">
        <f>((L321)*(L325))</f>
        <v/>
      </c>
      <c r="M328" s="493">
        <f>((M321)*(M325))</f>
        <v/>
      </c>
      <c r="N328" s="493">
        <f>((N321)*(N325))</f>
        <v/>
      </c>
      <c r="O328" s="493">
        <f>((O321)*(O325))</f>
        <v/>
      </c>
      <c r="P328" s="493">
        <f>((P321)*(P325))</f>
        <v/>
      </c>
      <c r="Q328" s="493">
        <f>((Q321)*(Q325))</f>
        <v/>
      </c>
      <c r="R328" s="493">
        <f>((R321)*(R325))</f>
        <v/>
      </c>
      <c r="S328" s="493">
        <f>((S321)*(S325))</f>
        <v/>
      </c>
      <c r="T328" s="493">
        <f>((T321)*(T325))</f>
        <v/>
      </c>
      <c r="U328" s="493">
        <f>((U321)*(U325))</f>
        <v/>
      </c>
      <c r="V328" s="526" t="n"/>
      <c r="W328" s="493">
        <f>((J328)+(K328)+(L328)+(M328)+(N328)+(O328)+(P328)+(Q328)+(R328)+(S328)+(T328)+(U328))</f>
        <v/>
      </c>
      <c r="X328" s="383" t="n"/>
      <c r="Y328" s="396">
        <f>'3C. Tel. - Revenue Drivers - 1 '!V294</f>
        <v/>
      </c>
    </row>
    <row r="329" ht="3" customHeight="1" s="1883">
      <c r="D329" s="383" t="n"/>
      <c r="E329" s="383" t="n"/>
      <c r="F329" s="383" t="n"/>
      <c r="G329" s="383" t="n"/>
      <c r="H329" s="383" t="n"/>
      <c r="I329" s="383" t="n"/>
      <c r="J329" s="387" t="n"/>
      <c r="K329" s="387" t="n"/>
      <c r="L329" s="387" t="n"/>
      <c r="M329" s="387" t="n"/>
      <c r="N329" s="387" t="n"/>
      <c r="O329" s="387" t="n"/>
      <c r="P329" s="387" t="n"/>
      <c r="Q329" s="387" t="n"/>
      <c r="R329" s="387" t="n"/>
      <c r="S329" s="387" t="n"/>
      <c r="T329" s="387" t="n"/>
      <c r="U329" s="387" t="n"/>
      <c r="V329" s="387" t="n"/>
      <c r="W329" s="387" t="n"/>
      <c r="X329" s="383" t="n"/>
      <c r="Y329" s="495" t="n"/>
    </row>
    <row r="330" ht="3" customHeight="1" s="1883">
      <c r="D330" s="383" t="n"/>
      <c r="E330" s="383" t="n"/>
      <c r="F330" s="383" t="n"/>
      <c r="G330" s="383" t="n"/>
      <c r="H330" s="383" t="n"/>
      <c r="I330" s="383" t="n"/>
      <c r="J330" s="383" t="n"/>
      <c r="K330" s="383" t="n"/>
      <c r="L330" s="383" t="n"/>
      <c r="M330" s="383" t="n"/>
      <c r="N330" s="383" t="n"/>
      <c r="O330" s="383" t="n"/>
      <c r="P330" s="383" t="n"/>
      <c r="Q330" s="383" t="n"/>
      <c r="R330" s="383" t="n"/>
      <c r="S330" s="383" t="n"/>
      <c r="T330" s="383" t="n"/>
      <c r="U330" s="383" t="n"/>
      <c r="V330" s="383" t="n"/>
      <c r="W330" s="383" t="n"/>
      <c r="X330" s="383" t="n"/>
      <c r="Y330" s="395" t="n"/>
    </row>
    <row r="331" ht="15" customHeight="1" s="1883">
      <c r="D331" s="383" t="n"/>
      <c r="E331" s="383" t="n"/>
      <c r="F331" s="383" t="n"/>
      <c r="G331" s="383" t="n"/>
      <c r="H331" s="383" t="n"/>
      <c r="I331" s="383" t="n"/>
      <c r="J331" s="383" t="n"/>
      <c r="K331" s="383" t="n"/>
      <c r="L331" s="383" t="n"/>
      <c r="M331" s="383" t="n"/>
      <c r="N331" s="383" t="n"/>
      <c r="O331" s="383" t="n"/>
      <c r="P331" s="383" t="n"/>
      <c r="Q331" s="383" t="n"/>
      <c r="R331" s="383" t="n"/>
      <c r="S331" s="383" t="n"/>
      <c r="T331" s="383" t="n"/>
      <c r="U331" s="383" t="n"/>
      <c r="V331" s="383" t="n"/>
      <c r="W331" s="383" t="n"/>
      <c r="X331" s="383" t="n"/>
      <c r="Y331" s="395" t="n"/>
    </row>
    <row r="332" ht="15" customHeight="1" s="1883">
      <c r="D332" s="383" t="n"/>
      <c r="E332" s="383" t="n"/>
      <c r="F332" s="383" t="n"/>
      <c r="G332" s="502" t="inlineStr">
        <is>
          <t>Less: Rewards Paid to Users</t>
        </is>
      </c>
      <c r="H332" s="503" t="n"/>
      <c r="I332" s="503" t="n"/>
      <c r="J332" s="520">
        <f>'3E. Tel. Attrit. Renew. Reward'!S395</f>
        <v/>
      </c>
      <c r="K332" s="520">
        <f>'3E. Tel. Attrit. Renew. Reward'!T395</f>
        <v/>
      </c>
      <c r="L332" s="520">
        <f>'3E. Tel. Attrit. Renew. Reward'!U395</f>
        <v/>
      </c>
      <c r="M332" s="520">
        <f>'3E. Tel. Attrit. Renew. Reward'!V395</f>
        <v/>
      </c>
      <c r="N332" s="520">
        <f>'3E. Tel. Attrit. Renew. Reward'!W395</f>
        <v/>
      </c>
      <c r="O332" s="520">
        <f>'3E. Tel. Attrit. Renew. Reward'!X395</f>
        <v/>
      </c>
      <c r="P332" s="520">
        <f>'3E. Tel. Attrit. Renew. Reward'!Y395</f>
        <v/>
      </c>
      <c r="Q332" s="520">
        <f>'3E. Tel. Attrit. Renew. Reward'!Z395</f>
        <v/>
      </c>
      <c r="R332" s="520">
        <f>'3E. Tel. Attrit. Renew. Reward'!AA395</f>
        <v/>
      </c>
      <c r="S332" s="520">
        <f>'3E. Tel. Attrit. Renew. Reward'!AB395</f>
        <v/>
      </c>
      <c r="T332" s="520">
        <f>'3E. Tel. Attrit. Renew. Reward'!AC395</f>
        <v/>
      </c>
      <c r="U332" s="520">
        <f>'3E. Tel. Attrit. Renew. Reward'!AD395</f>
        <v/>
      </c>
      <c r="V332" s="503" t="n"/>
      <c r="W332" s="520">
        <f>((J332)+(K332)+(L332)+(M332)+(N332)+(O332)+(P332)+(Q332)+(R332)+(S332)+(T332)+(U332))</f>
        <v/>
      </c>
      <c r="X332" s="462" t="n"/>
      <c r="Y332" s="494">
        <f>SUM('3E. Tel. Attrit. Renew. Reward'!S395:AD395)</f>
        <v/>
      </c>
    </row>
    <row r="333" ht="3" customHeight="1" s="1883">
      <c r="D333" s="383" t="n"/>
      <c r="E333" s="383" t="n"/>
      <c r="F333" s="383" t="n"/>
      <c r="G333" s="383" t="n"/>
      <c r="H333" s="383" t="n"/>
      <c r="I333" s="383" t="n"/>
      <c r="J333" s="387" t="n"/>
      <c r="K333" s="387" t="n"/>
      <c r="L333" s="387" t="n"/>
      <c r="M333" s="387" t="n"/>
      <c r="N333" s="387" t="n"/>
      <c r="O333" s="387" t="n"/>
      <c r="P333" s="387" t="n"/>
      <c r="Q333" s="387" t="n"/>
      <c r="R333" s="387" t="n"/>
      <c r="S333" s="387" t="n"/>
      <c r="T333" s="387" t="n"/>
      <c r="U333" s="387" t="n"/>
      <c r="V333" s="383" t="n"/>
      <c r="W333" s="387" t="n"/>
      <c r="X333" s="383" t="n"/>
      <c r="Y333" s="495" t="n"/>
    </row>
    <row r="334" ht="3" customHeight="1" s="1883">
      <c r="D334" s="383" t="n"/>
      <c r="E334" s="383" t="n"/>
      <c r="F334" s="383" t="n"/>
      <c r="G334" s="383" t="n"/>
      <c r="H334" s="383" t="n"/>
      <c r="I334" s="383" t="n"/>
      <c r="J334" s="383" t="n"/>
      <c r="K334" s="383" t="n"/>
      <c r="L334" s="383" t="n"/>
      <c r="M334" s="383" t="n"/>
      <c r="N334" s="383" t="n"/>
      <c r="O334" s="383" t="n"/>
      <c r="P334" s="383" t="n"/>
      <c r="Q334" s="383" t="n"/>
      <c r="R334" s="383" t="n"/>
      <c r="S334" s="383" t="n"/>
      <c r="T334" s="383" t="n"/>
      <c r="U334" s="383" t="n"/>
      <c r="V334" s="383" t="n"/>
      <c r="W334" s="383" t="n"/>
      <c r="X334" s="383" t="n"/>
      <c r="Y334" s="395" t="n"/>
    </row>
    <row r="335" ht="15" customHeight="1" s="1883">
      <c r="D335" s="383" t="n"/>
      <c r="E335" s="383" t="n"/>
      <c r="F335" s="383" t="n"/>
      <c r="G335" s="383" t="n"/>
      <c r="H335" s="383" t="n"/>
      <c r="I335" s="383" t="n"/>
      <c r="J335" s="383" t="n"/>
      <c r="K335" s="383" t="n"/>
      <c r="L335" s="383" t="n"/>
      <c r="M335" s="383" t="n"/>
      <c r="N335" s="383" t="n"/>
      <c r="O335" s="383" t="n"/>
      <c r="P335" s="383" t="n"/>
      <c r="Q335" s="383" t="n"/>
      <c r="R335" s="383" t="n"/>
      <c r="S335" s="383" t="n"/>
      <c r="T335" s="383" t="n"/>
      <c r="U335" s="383" t="n"/>
      <c r="V335" s="383" t="n"/>
      <c r="W335" s="383" t="n"/>
      <c r="X335" s="383" t="n"/>
      <c r="Y335" s="395" t="n"/>
    </row>
    <row r="336" ht="15" customHeight="1" s="1883">
      <c r="D336" s="383" t="n"/>
      <c r="E336" s="383" t="n"/>
      <c r="F336" s="383" t="n"/>
      <c r="G336" s="383" t="n"/>
      <c r="H336" s="513" t="inlineStr">
        <is>
          <t>Net Revenue, Market Research Services</t>
        </is>
      </c>
      <c r="I336" s="514" t="n"/>
      <c r="J336" s="515">
        <f>((J328)-(J332))</f>
        <v/>
      </c>
      <c r="K336" s="515">
        <f>((K328)-(K332))</f>
        <v/>
      </c>
      <c r="L336" s="515">
        <f>((L328)-(L332))</f>
        <v/>
      </c>
      <c r="M336" s="515">
        <f>((M328)-(M332))</f>
        <v/>
      </c>
      <c r="N336" s="515">
        <f>((N328)-(N332))</f>
        <v/>
      </c>
      <c r="O336" s="515">
        <f>((O328)-(O332))</f>
        <v/>
      </c>
      <c r="P336" s="515">
        <f>((P328)-(P332))</f>
        <v/>
      </c>
      <c r="Q336" s="515">
        <f>((Q328)-(Q332))</f>
        <v/>
      </c>
      <c r="R336" s="515">
        <f>((R328)-(R332))</f>
        <v/>
      </c>
      <c r="S336" s="515">
        <f>((S328)-(S332))</f>
        <v/>
      </c>
      <c r="T336" s="515">
        <f>((T328)-(T332))</f>
        <v/>
      </c>
      <c r="U336" s="515">
        <f>((U328)-(U332))</f>
        <v/>
      </c>
      <c r="V336" s="515" t="n"/>
      <c r="W336" s="515">
        <f>((W328)-(W332))</f>
        <v/>
      </c>
      <c r="X336" s="383" t="n"/>
      <c r="Y336" s="396">
        <f>((Y328)-(Y332))</f>
        <v/>
      </c>
    </row>
    <row r="341" ht="15" customHeight="1" s="1883">
      <c r="D341" s="383" t="n"/>
      <c r="E341" s="383" t="n"/>
      <c r="F341" s="383" t="n"/>
      <c r="G341" s="383" t="n"/>
      <c r="H341" s="383" t="n"/>
      <c r="I341" s="383" t="n"/>
      <c r="J341" s="1882" t="inlineStr">
        <is>
          <t>Year 3</t>
        </is>
      </c>
    </row>
    <row r="342" ht="3" customHeight="1" s="1883">
      <c r="D342" s="383" t="n"/>
      <c r="E342" s="383" t="n"/>
      <c r="F342" s="383" t="n"/>
      <c r="G342" s="383" t="n"/>
      <c r="H342" s="383" t="n"/>
      <c r="I342" s="383" t="n"/>
      <c r="J342" s="387" t="n"/>
      <c r="K342" s="387" t="n"/>
      <c r="L342" s="387" t="n"/>
      <c r="M342" s="387" t="n"/>
      <c r="N342" s="387" t="n"/>
      <c r="O342" s="387" t="n"/>
      <c r="P342" s="387" t="n"/>
      <c r="Q342" s="387" t="n"/>
      <c r="R342" s="387" t="n"/>
      <c r="S342" s="387" t="n"/>
      <c r="T342" s="387" t="n"/>
      <c r="U342" s="387" t="n"/>
      <c r="V342" s="387" t="n"/>
      <c r="W342" s="387" t="n"/>
    </row>
    <row r="343" ht="3" customHeight="1" s="1883">
      <c r="D343" s="383" t="n"/>
      <c r="E343" s="383" t="n"/>
      <c r="F343" s="383" t="n"/>
      <c r="G343" s="383" t="n"/>
      <c r="H343" s="383" t="n"/>
      <c r="I343" s="383" t="n"/>
      <c r="J343" s="383" t="n"/>
      <c r="K343" s="383" t="n"/>
      <c r="L343" s="383" t="n"/>
      <c r="M343" s="383" t="n"/>
      <c r="N343" s="383" t="n"/>
      <c r="O343" s="383" t="n"/>
      <c r="P343" s="383" t="n"/>
      <c r="Q343" s="383" t="n"/>
      <c r="R343" s="383" t="n"/>
      <c r="S343" s="383" t="n"/>
      <c r="T343" s="383" t="n"/>
      <c r="U343" s="383" t="n"/>
      <c r="V343" s="383" t="n"/>
      <c r="W343" s="383" t="n"/>
    </row>
    <row r="344" ht="15" customHeight="1" s="1883">
      <c r="D344" s="383" t="n"/>
      <c r="E344" s="383" t="n"/>
      <c r="F344" s="383" t="n"/>
      <c r="G344" s="383" t="n"/>
      <c r="H344" s="383" t="n"/>
      <c r="I344" s="383" t="n"/>
      <c r="J344" s="386" t="inlineStr">
        <is>
          <t>Month 25</t>
        </is>
      </c>
      <c r="K344" s="386" t="inlineStr">
        <is>
          <t>Month 26</t>
        </is>
      </c>
      <c r="L344" s="386" t="inlineStr">
        <is>
          <t>Month 27</t>
        </is>
      </c>
      <c r="M344" s="386" t="inlineStr">
        <is>
          <t>Month 28</t>
        </is>
      </c>
      <c r="N344" s="386" t="inlineStr">
        <is>
          <t>Month 29</t>
        </is>
      </c>
      <c r="O344" s="386" t="inlineStr">
        <is>
          <t>Month 30</t>
        </is>
      </c>
      <c r="P344" s="386" t="inlineStr">
        <is>
          <t>Month 31</t>
        </is>
      </c>
      <c r="Q344" s="386" t="inlineStr">
        <is>
          <t>Month 32</t>
        </is>
      </c>
      <c r="R344" s="386" t="inlineStr">
        <is>
          <t>Month 33</t>
        </is>
      </c>
      <c r="S344" s="386" t="inlineStr">
        <is>
          <t>Month 34</t>
        </is>
      </c>
      <c r="T344" s="386" t="inlineStr">
        <is>
          <t>Month 35</t>
        </is>
      </c>
      <c r="U344" s="386" t="inlineStr">
        <is>
          <t>Month 36</t>
        </is>
      </c>
      <c r="V344" s="383" t="n"/>
      <c r="W344" s="386" t="inlineStr">
        <is>
          <t>Full-Year</t>
        </is>
      </c>
    </row>
    <row r="345" ht="3" customHeight="1" s="1883">
      <c r="D345" s="383" t="n"/>
      <c r="E345" s="383" t="n"/>
      <c r="F345" s="383" t="n"/>
      <c r="G345" s="383" t="n"/>
      <c r="H345" s="383" t="n"/>
      <c r="I345" s="383" t="n"/>
      <c r="J345" s="387" t="n"/>
      <c r="K345" s="387" t="n"/>
      <c r="L345" s="387" t="n"/>
      <c r="M345" s="387" t="n"/>
      <c r="N345" s="387" t="n"/>
      <c r="O345" s="387" t="n"/>
      <c r="P345" s="387" t="n"/>
      <c r="Q345" s="387" t="n"/>
      <c r="R345" s="387" t="n"/>
      <c r="S345" s="387" t="n"/>
      <c r="T345" s="387" t="n"/>
      <c r="U345" s="387" t="n"/>
      <c r="V345" s="383" t="n"/>
      <c r="W345" s="387" t="n"/>
    </row>
    <row r="346" ht="3" customHeight="1" s="1883">
      <c r="D346" s="383" t="n"/>
      <c r="E346" s="383" t="n"/>
      <c r="F346" s="383" t="n"/>
      <c r="G346" s="383" t="n"/>
      <c r="H346" s="383" t="n"/>
      <c r="I346" s="383" t="n"/>
      <c r="J346" s="383" t="n"/>
      <c r="K346" s="383" t="n"/>
      <c r="L346" s="383" t="n"/>
      <c r="M346" s="383" t="n"/>
      <c r="N346" s="383" t="n"/>
      <c r="O346" s="383" t="n"/>
      <c r="P346" s="383" t="n"/>
      <c r="Q346" s="383" t="n"/>
      <c r="R346" s="383" t="n"/>
      <c r="S346" s="383" t="n"/>
      <c r="T346" s="383" t="n"/>
      <c r="U346" s="383" t="n"/>
      <c r="V346" s="383" t="n"/>
      <c r="W346" s="383" t="n"/>
    </row>
    <row r="347" ht="15" customHeight="1" s="1883">
      <c r="D347" s="487" t="inlineStr">
        <is>
          <t>Average Number of Phones in Use</t>
        </is>
      </c>
      <c r="E347" s="488" t="n"/>
      <c r="F347" s="488" t="n"/>
      <c r="G347" s="488" t="n"/>
      <c r="H347" s="488" t="n"/>
      <c r="I347" s="383" t="n"/>
      <c r="J347" s="391">
        <f>'3C. Tel. - Revenue Drivers - 1 '!J202</f>
        <v/>
      </c>
      <c r="K347" s="391">
        <f>'3C. Tel. - Revenue Drivers - 1 '!K202</f>
        <v/>
      </c>
      <c r="L347" s="391">
        <f>'3C. Tel. - Revenue Drivers - 1 '!L202</f>
        <v/>
      </c>
      <c r="M347" s="391">
        <f>'3C. Tel. - Revenue Drivers - 1 '!M202</f>
        <v/>
      </c>
      <c r="N347" s="391">
        <f>'3C. Tel. - Revenue Drivers - 1 '!N202</f>
        <v/>
      </c>
      <c r="O347" s="391">
        <f>'3C. Tel. - Revenue Drivers - 1 '!O202</f>
        <v/>
      </c>
      <c r="P347" s="391">
        <f>'3C. Tel. - Revenue Drivers - 1 '!P202</f>
        <v/>
      </c>
      <c r="Q347" s="391">
        <f>'3C. Tel. - Revenue Drivers - 1 '!Q202</f>
        <v/>
      </c>
      <c r="R347" s="391">
        <f>'3C. Tel. - Revenue Drivers - 1 '!R202</f>
        <v/>
      </c>
      <c r="S347" s="391">
        <f>'3C. Tel. - Revenue Drivers - 1 '!S202</f>
        <v/>
      </c>
      <c r="T347" s="391">
        <f>'3C. Tel. - Revenue Drivers - 1 '!T202</f>
        <v/>
      </c>
      <c r="U347" s="391">
        <f>'3C. Tel. - Revenue Drivers - 1 '!U202</f>
        <v/>
      </c>
      <c r="V347" s="383" t="n"/>
      <c r="W347" s="383" t="n"/>
    </row>
    <row r="348" ht="15" customHeight="1" s="1883">
      <c r="D348" s="618" t="inlineStr">
        <is>
          <t>Revenue Generating Customers (Customers Earning Rewards)</t>
        </is>
      </c>
      <c r="E348" s="619" t="n"/>
      <c r="F348" s="619" t="n"/>
      <c r="G348" s="619" t="n"/>
      <c r="H348" s="619" t="n"/>
      <c r="I348" s="593" t="n"/>
      <c r="J348" s="621">
        <f>'3E. Tel. Attrit. Renew. Reward'!AE286</f>
        <v/>
      </c>
      <c r="K348" s="621">
        <f>'3E. Tel. Attrit. Renew. Reward'!AF286</f>
        <v/>
      </c>
      <c r="L348" s="621">
        <f>'3E. Tel. Attrit. Renew. Reward'!AG286</f>
        <v/>
      </c>
      <c r="M348" s="621">
        <f>'3E. Tel. Attrit. Renew. Reward'!AH286</f>
        <v/>
      </c>
      <c r="N348" s="621">
        <f>'3E. Tel. Attrit. Renew. Reward'!AI286</f>
        <v/>
      </c>
      <c r="O348" s="621">
        <f>'3E. Tel. Attrit. Renew. Reward'!AJ286</f>
        <v/>
      </c>
      <c r="P348" s="621">
        <f>'3E. Tel. Attrit. Renew. Reward'!AK286</f>
        <v/>
      </c>
      <c r="Q348" s="621">
        <f>'3E. Tel. Attrit. Renew. Reward'!AL286</f>
        <v/>
      </c>
      <c r="R348" s="621">
        <f>'3E. Tel. Attrit. Renew. Reward'!AM286</f>
        <v/>
      </c>
      <c r="S348" s="621">
        <f>'3E. Tel. Attrit. Renew. Reward'!AN286</f>
        <v/>
      </c>
      <c r="T348" s="621">
        <f>'3E. Tel. Attrit. Renew. Reward'!AO286</f>
        <v/>
      </c>
      <c r="U348" s="621">
        <f>'3E. Tel. Attrit. Renew. Reward'!AP286</f>
        <v/>
      </c>
      <c r="V348" s="383" t="n"/>
      <c r="W348" s="383" t="n"/>
    </row>
    <row r="349" ht="15" customHeight="1" s="1883">
      <c r="D349" s="422" t="inlineStr">
        <is>
          <t xml:space="preserve">Minutes/Month/Revenue Generating Phone </t>
        </is>
      </c>
      <c r="E349" s="383" t="n"/>
      <c r="F349" s="383" t="n"/>
      <c r="G349" s="383" t="n"/>
      <c r="H349" s="383" t="n"/>
      <c r="I349" s="383" t="n"/>
      <c r="J349" s="485">
        <f>'3C. Tel. - Revenue Drivers - 1 '!J201</f>
        <v/>
      </c>
      <c r="K349" s="485">
        <f>'3C. Tel. - Revenue Drivers - 1 '!K201</f>
        <v/>
      </c>
      <c r="L349" s="485">
        <f>'3C. Tel. - Revenue Drivers - 1 '!L201</f>
        <v/>
      </c>
      <c r="M349" s="485">
        <f>'3C. Tel. - Revenue Drivers - 1 '!M201</f>
        <v/>
      </c>
      <c r="N349" s="485">
        <f>'3C. Tel. - Revenue Drivers - 1 '!N201</f>
        <v/>
      </c>
      <c r="O349" s="485">
        <f>'3C. Tel. - Revenue Drivers - 1 '!O201</f>
        <v/>
      </c>
      <c r="P349" s="485">
        <f>'3C. Tel. - Revenue Drivers - 1 '!P201</f>
        <v/>
      </c>
      <c r="Q349" s="485">
        <f>'3C. Tel. - Revenue Drivers - 1 '!Q201</f>
        <v/>
      </c>
      <c r="R349" s="485">
        <f>'3C. Tel. - Revenue Drivers - 1 '!R201</f>
        <v/>
      </c>
      <c r="S349" s="485">
        <f>'3C. Tel. - Revenue Drivers - 1 '!S201</f>
        <v/>
      </c>
      <c r="T349" s="485">
        <f>'3C. Tel. - Revenue Drivers - 1 '!T201</f>
        <v/>
      </c>
      <c r="U349" s="485">
        <f>'3C. Tel. - Revenue Drivers - 1 '!U201</f>
        <v/>
      </c>
      <c r="V349" s="383" t="n"/>
      <c r="W349" s="383" t="n"/>
    </row>
    <row r="350" ht="15" customHeight="1" s="1883">
      <c r="E350" s="385" t="inlineStr">
        <is>
          <t>Hours/Month, All Revenue Generating Phones</t>
        </is>
      </c>
      <c r="F350" s="385" t="n"/>
      <c r="G350" s="385" t="n"/>
      <c r="H350" s="385" t="n"/>
      <c r="I350" s="383" t="n"/>
      <c r="J350" s="447">
        <f>(((J348)*(J349))/(60))</f>
        <v/>
      </c>
      <c r="K350" s="447">
        <f>(((K348)*(K349))/(60))</f>
        <v/>
      </c>
      <c r="L350" s="447">
        <f>(((L348)*(L349))/(60))</f>
        <v/>
      </c>
      <c r="M350" s="447">
        <f>(((M348)*(M349))/(60))</f>
        <v/>
      </c>
      <c r="N350" s="447">
        <f>(((N348)*(N349))/(60))</f>
        <v/>
      </c>
      <c r="O350" s="447">
        <f>(((O348)*(O349))/(60))</f>
        <v/>
      </c>
      <c r="P350" s="447">
        <f>(((P348)*(P349))/(60))</f>
        <v/>
      </c>
      <c r="Q350" s="447">
        <f>(((Q348)*(Q349))/(60))</f>
        <v/>
      </c>
      <c r="R350" s="447">
        <f>(((R348)*(R349))/(60))</f>
        <v/>
      </c>
      <c r="S350" s="447">
        <f>(((S348)*(S349))/(60))</f>
        <v/>
      </c>
      <c r="T350" s="447">
        <f>(((T348)*(T349))/(60))</f>
        <v/>
      </c>
      <c r="U350" s="447">
        <f>(((U348)*(U349))/(60))</f>
        <v/>
      </c>
      <c r="V350" s="383" t="n"/>
      <c r="W350" s="383" t="n"/>
    </row>
    <row r="351" ht="15" customHeight="1" s="1883">
      <c r="D351" s="383" t="n"/>
      <c r="E351" s="383" t="n"/>
      <c r="F351" s="383" t="n"/>
      <c r="G351" s="383" t="n"/>
      <c r="H351" s="383" t="n"/>
      <c r="I351" s="383" t="n"/>
      <c r="J351" s="383" t="n"/>
      <c r="K351" s="383" t="n"/>
      <c r="L351" s="383" t="n"/>
      <c r="M351" s="383" t="n"/>
      <c r="N351" s="383" t="n"/>
      <c r="O351" s="383" t="n"/>
      <c r="P351" s="383" t="n"/>
      <c r="Q351" s="383" t="n"/>
      <c r="R351" s="383" t="n"/>
      <c r="S351" s="383" t="n"/>
      <c r="T351" s="383" t="n"/>
      <c r="U351" s="383" t="n"/>
      <c r="V351" s="383" t="n"/>
      <c r="W351" s="383" t="n"/>
    </row>
    <row r="352" ht="15" customHeight="1" s="1883">
      <c r="D352" s="383" t="inlineStr">
        <is>
          <t>Billable Hour Conversion Rate</t>
        </is>
      </c>
      <c r="E352" s="383" t="n"/>
      <c r="F352" s="383" t="n"/>
      <c r="G352" s="383" t="n"/>
      <c r="H352" s="383" t="n"/>
      <c r="I352" s="383" t="n"/>
      <c r="J352" s="489">
        <f>'3C. Tel. - Revenue Drivers - 1 '!J233</f>
        <v/>
      </c>
      <c r="K352" s="489">
        <f>'3C. Tel. - Revenue Drivers - 1 '!K233</f>
        <v/>
      </c>
      <c r="L352" s="489">
        <f>'3C. Tel. - Revenue Drivers - 1 '!L233</f>
        <v/>
      </c>
      <c r="M352" s="489">
        <f>'3C. Tel. - Revenue Drivers - 1 '!M233</f>
        <v/>
      </c>
      <c r="N352" s="489">
        <f>'3C. Tel. - Revenue Drivers - 1 '!N233</f>
        <v/>
      </c>
      <c r="O352" s="489">
        <f>'3C. Tel. - Revenue Drivers - 1 '!O233</f>
        <v/>
      </c>
      <c r="P352" s="489">
        <f>'3C. Tel. - Revenue Drivers - 1 '!P233</f>
        <v/>
      </c>
      <c r="Q352" s="489">
        <f>'3C. Tel. - Revenue Drivers - 1 '!Q233</f>
        <v/>
      </c>
      <c r="R352" s="489">
        <f>'3C. Tel. - Revenue Drivers - 1 '!R233</f>
        <v/>
      </c>
      <c r="S352" s="489">
        <f>'3C. Tel. - Revenue Drivers - 1 '!S233</f>
        <v/>
      </c>
      <c r="T352" s="489">
        <f>'3C. Tel. - Revenue Drivers - 1 '!T233</f>
        <v/>
      </c>
      <c r="U352" s="489">
        <f>'3C. Tel. - Revenue Drivers - 1 '!U233</f>
        <v/>
      </c>
      <c r="V352" s="383" t="n"/>
      <c r="W352" s="383" t="n"/>
    </row>
    <row r="353" ht="15" customHeight="1" s="1883">
      <c r="E353" s="385" t="inlineStr">
        <is>
          <t>Billable Hours/Month</t>
        </is>
      </c>
      <c r="F353" s="385" t="n"/>
      <c r="G353" s="385" t="n"/>
      <c r="H353" s="385" t="n"/>
      <c r="I353" s="383" t="n"/>
      <c r="J353" s="447">
        <f>((J350)*(J352))</f>
        <v/>
      </c>
      <c r="K353" s="447">
        <f>((K350)*(K352))</f>
        <v/>
      </c>
      <c r="L353" s="447">
        <f>((L350)*(L352))</f>
        <v/>
      </c>
      <c r="M353" s="447">
        <f>((M350)*(M352))</f>
        <v/>
      </c>
      <c r="N353" s="447">
        <f>((N350)*(N352))</f>
        <v/>
      </c>
      <c r="O353" s="447">
        <f>((O350)*(O352))</f>
        <v/>
      </c>
      <c r="P353" s="447">
        <f>((P350)*(P352))</f>
        <v/>
      </c>
      <c r="Q353" s="447">
        <f>((Q350)*(Q352))</f>
        <v/>
      </c>
      <c r="R353" s="447">
        <f>((R350)*(R352))</f>
        <v/>
      </c>
      <c r="S353" s="447">
        <f>((S350)*(S352))</f>
        <v/>
      </c>
      <c r="T353" s="447">
        <f>((T350)*(T352))</f>
        <v/>
      </c>
      <c r="U353" s="447">
        <f>((U350)*(U352))</f>
        <v/>
      </c>
      <c r="V353" s="383" t="n"/>
      <c r="W353" s="383" t="n"/>
      <c r="X353" s="383" t="n"/>
      <c r="Y353" s="395" t="n"/>
    </row>
    <row r="354" ht="15" customHeight="1" s="1883">
      <c r="D354" s="383" t="n"/>
      <c r="E354" s="383" t="n"/>
      <c r="F354" s="383" t="n"/>
      <c r="G354" s="383" t="n"/>
      <c r="H354" s="383" t="n"/>
      <c r="I354" s="383" t="n"/>
      <c r="J354" s="383" t="n"/>
      <c r="K354" s="383" t="n"/>
      <c r="L354" s="383" t="n"/>
      <c r="M354" s="383" t="n"/>
      <c r="N354" s="383" t="n"/>
      <c r="O354" s="383" t="n"/>
      <c r="P354" s="383" t="n"/>
      <c r="Q354" s="383" t="n"/>
      <c r="R354" s="383" t="n"/>
      <c r="S354" s="383" t="n"/>
      <c r="T354" s="383" t="n"/>
      <c r="U354" s="383" t="n"/>
      <c r="V354" s="383" t="n"/>
      <c r="W354" s="383" t="n"/>
      <c r="X354" s="383" t="n"/>
      <c r="Y354" s="395" t="n"/>
    </row>
    <row r="355" ht="15" customHeight="1" s="1883">
      <c r="D355" s="383" t="inlineStr">
        <is>
          <t>Standard Rate/Billable Hour</t>
        </is>
      </c>
      <c r="E355" s="383" t="n"/>
      <c r="F355" s="383" t="n"/>
      <c r="G355" s="383" t="n"/>
      <c r="H355" s="383" t="n"/>
      <c r="I355" s="383" t="n"/>
      <c r="J355" s="2021">
        <f>'3C. Tel. - Revenue Drivers - 1 '!J266</f>
        <v/>
      </c>
      <c r="K355" s="2021">
        <f>'3C. Tel. - Revenue Drivers - 1 '!K266</f>
        <v/>
      </c>
      <c r="L355" s="2021">
        <f>'3C. Tel. - Revenue Drivers - 1 '!L266</f>
        <v/>
      </c>
      <c r="M355" s="2021">
        <f>'3C. Tel. - Revenue Drivers - 1 '!M266</f>
        <v/>
      </c>
      <c r="N355" s="2021">
        <f>'3C. Tel. - Revenue Drivers - 1 '!N266</f>
        <v/>
      </c>
      <c r="O355" s="2021">
        <f>'3C. Tel. - Revenue Drivers - 1 '!O266</f>
        <v/>
      </c>
      <c r="P355" s="2021">
        <f>'3C. Tel. - Revenue Drivers - 1 '!P266</f>
        <v/>
      </c>
      <c r="Q355" s="2021">
        <f>'3C. Tel. - Revenue Drivers - 1 '!Q266</f>
        <v/>
      </c>
      <c r="R355" s="2021">
        <f>'3C. Tel. - Revenue Drivers - 1 '!R266</f>
        <v/>
      </c>
      <c r="S355" s="2021">
        <f>'3C. Tel. - Revenue Drivers - 1 '!S266</f>
        <v/>
      </c>
      <c r="T355" s="2021">
        <f>'3C. Tel. - Revenue Drivers - 1 '!T266</f>
        <v/>
      </c>
      <c r="U355" s="2021">
        <f>'3C. Tel. - Revenue Drivers - 1 '!U266</f>
        <v/>
      </c>
      <c r="V355" s="383" t="n"/>
      <c r="W355" s="383" t="n"/>
      <c r="X355" s="383" t="n"/>
      <c r="Y355" s="395" t="n"/>
    </row>
    <row r="356" ht="15" customHeight="1" s="1883">
      <c r="D356" s="383" t="inlineStr">
        <is>
          <t>Discount</t>
        </is>
      </c>
      <c r="E356" s="383" t="n"/>
      <c r="F356" s="383" t="n"/>
      <c r="G356" s="383" t="n"/>
      <c r="H356" s="383" t="n"/>
      <c r="I356" s="383" t="n"/>
      <c r="J356" s="470">
        <f>'3C. Tel. - Revenue Drivers - 1 '!J267</f>
        <v/>
      </c>
      <c r="K356" s="470">
        <f>'3C. Tel. - Revenue Drivers - 1 '!K267</f>
        <v/>
      </c>
      <c r="L356" s="470">
        <f>'3C. Tel. - Revenue Drivers - 1 '!L267</f>
        <v/>
      </c>
      <c r="M356" s="470">
        <f>'3C. Tel. - Revenue Drivers - 1 '!M267</f>
        <v/>
      </c>
      <c r="N356" s="470">
        <f>'3C. Tel. - Revenue Drivers - 1 '!N267</f>
        <v/>
      </c>
      <c r="O356" s="470">
        <f>'3C. Tel. - Revenue Drivers - 1 '!O267</f>
        <v/>
      </c>
      <c r="P356" s="470">
        <f>'3C. Tel. - Revenue Drivers - 1 '!P267</f>
        <v/>
      </c>
      <c r="Q356" s="470">
        <f>'3C. Tel. - Revenue Drivers - 1 '!Q267</f>
        <v/>
      </c>
      <c r="R356" s="470">
        <f>'3C. Tel. - Revenue Drivers - 1 '!R267</f>
        <v/>
      </c>
      <c r="S356" s="470">
        <f>'3C. Tel. - Revenue Drivers - 1 '!S267</f>
        <v/>
      </c>
      <c r="T356" s="470">
        <f>'3C. Tel. - Revenue Drivers - 1 '!T267</f>
        <v/>
      </c>
      <c r="U356" s="470">
        <f>'3C. Tel. - Revenue Drivers - 1 '!U267</f>
        <v/>
      </c>
      <c r="V356" s="383" t="n"/>
      <c r="W356" s="383" t="n"/>
      <c r="X356" s="383" t="n"/>
      <c r="Y356" s="395" t="n"/>
    </row>
    <row r="357" ht="15" customHeight="1" s="1883">
      <c r="E357" s="385" t="inlineStr">
        <is>
          <t>Realized Rate/Billable Hour</t>
        </is>
      </c>
      <c r="F357" s="383" t="n"/>
      <c r="G357" s="383" t="n"/>
      <c r="H357" s="383" t="n"/>
      <c r="I357" s="383" t="n"/>
      <c r="J357" s="2022">
        <f>(((1)-(J356))*(J355))</f>
        <v/>
      </c>
      <c r="K357" s="2022">
        <f>(((1)-(K356))*(K355))</f>
        <v/>
      </c>
      <c r="L357" s="2022">
        <f>(((1)-(L356))*(L355))</f>
        <v/>
      </c>
      <c r="M357" s="2022">
        <f>(((1)-(M356))*(M355))</f>
        <v/>
      </c>
      <c r="N357" s="2022">
        <f>(((1)-(N356))*(N355))</f>
        <v/>
      </c>
      <c r="O357" s="2022">
        <f>(((1)-(O356))*(O355))</f>
        <v/>
      </c>
      <c r="P357" s="2022">
        <f>(((1)-(P356))*(P355))</f>
        <v/>
      </c>
      <c r="Q357" s="2022">
        <f>(((1)-(Q356))*(Q355))</f>
        <v/>
      </c>
      <c r="R357" s="2022">
        <f>(((1)-(R356))*(R355))</f>
        <v/>
      </c>
      <c r="S357" s="2022">
        <f>(((1)-(S356))*(S355))</f>
        <v/>
      </c>
      <c r="T357" s="2022">
        <f>(((1)-(T356))*(T355))</f>
        <v/>
      </c>
      <c r="U357" s="2022">
        <f>(((1)-(U356))*(U355))</f>
        <v/>
      </c>
      <c r="V357" s="383" t="n"/>
      <c r="W357" s="383" t="n"/>
      <c r="X357" s="383" t="n"/>
      <c r="Y357" s="395" t="n"/>
    </row>
    <row r="358" ht="3" customHeight="1" s="1883">
      <c r="D358" s="383" t="n"/>
      <c r="E358" s="383" t="n"/>
      <c r="F358" s="383" t="n"/>
      <c r="G358" s="383" t="n"/>
      <c r="H358" s="383" t="n"/>
      <c r="I358" s="383" t="n"/>
      <c r="J358" s="387" t="n"/>
      <c r="K358" s="387" t="n"/>
      <c r="L358" s="387" t="n"/>
      <c r="M358" s="387" t="n"/>
      <c r="N358" s="387" t="n"/>
      <c r="O358" s="387" t="n"/>
      <c r="P358" s="387" t="n"/>
      <c r="Q358" s="387" t="n"/>
      <c r="R358" s="387" t="n"/>
      <c r="S358" s="387" t="n"/>
      <c r="T358" s="387" t="n"/>
      <c r="U358" s="387" t="n"/>
      <c r="V358" s="383" t="n"/>
      <c r="W358" s="383" t="n"/>
      <c r="X358" s="383" t="n"/>
      <c r="Y358" s="395" t="n"/>
    </row>
    <row r="359" ht="3" customHeight="1" s="1883">
      <c r="D359" s="383" t="n"/>
      <c r="E359" s="383" t="n"/>
      <c r="F359" s="383" t="n"/>
      <c r="G359" s="383" t="n"/>
      <c r="H359" s="383" t="n"/>
      <c r="I359" s="383" t="n"/>
      <c r="J359" s="383" t="n"/>
      <c r="K359" s="383" t="n"/>
      <c r="L359" s="383" t="n"/>
      <c r="M359" s="383" t="n"/>
      <c r="N359" s="383" t="n"/>
      <c r="O359" s="383" t="n"/>
      <c r="P359" s="383" t="n"/>
      <c r="Q359" s="383" t="n"/>
      <c r="R359" s="383" t="n"/>
      <c r="S359" s="383" t="n"/>
      <c r="T359" s="383" t="n"/>
      <c r="U359" s="383" t="n"/>
      <c r="V359" s="383" t="n"/>
      <c r="W359" s="383" t="n"/>
      <c r="X359" s="383" t="n"/>
      <c r="Y359" s="395" t="n"/>
    </row>
    <row r="360" ht="15" customHeight="1" s="1883">
      <c r="D360" s="383" t="n"/>
      <c r="F360" s="491" t="inlineStr">
        <is>
          <t>Realized Revenue</t>
        </is>
      </c>
      <c r="G360" s="492" t="n"/>
      <c r="H360" s="492" t="n"/>
      <c r="I360" s="492" t="n"/>
      <c r="J360" s="493">
        <f>((J353)*(J357))</f>
        <v/>
      </c>
      <c r="K360" s="493">
        <f>((K353)*(K357))</f>
        <v/>
      </c>
      <c r="L360" s="493">
        <f>((L353)*(L357))</f>
        <v/>
      </c>
      <c r="M360" s="493">
        <f>((M353)*(M357))</f>
        <v/>
      </c>
      <c r="N360" s="493">
        <f>((N353)*(N357))</f>
        <v/>
      </c>
      <c r="O360" s="493">
        <f>((O353)*(O357))</f>
        <v/>
      </c>
      <c r="P360" s="493">
        <f>((P353)*(P357))</f>
        <v/>
      </c>
      <c r="Q360" s="493">
        <f>((Q353)*(Q357))</f>
        <v/>
      </c>
      <c r="R360" s="493">
        <f>((R353)*(R357))</f>
        <v/>
      </c>
      <c r="S360" s="493">
        <f>((S353)*(S357))</f>
        <v/>
      </c>
      <c r="T360" s="493">
        <f>((T353)*(T357))</f>
        <v/>
      </c>
      <c r="U360" s="493">
        <f>((U353)*(U357))</f>
        <v/>
      </c>
      <c r="V360" s="526" t="n"/>
      <c r="W360" s="493">
        <f>((J360)+(K360)+(L360)+(M360)+(N360)+(O360)+(P360)+(Q360)+(R360)+(S360)+(T360)+(U360))</f>
        <v/>
      </c>
      <c r="X360" s="383" t="n"/>
      <c r="Y360" s="396">
        <f>'3C. Tel. - Revenue Drivers - 1 '!V295</f>
        <v/>
      </c>
    </row>
    <row r="361" ht="3" customHeight="1" s="1883">
      <c r="D361" s="383" t="n"/>
      <c r="E361" s="383" t="n"/>
      <c r="F361" s="383" t="n"/>
      <c r="G361" s="383" t="n"/>
      <c r="H361" s="383" t="n"/>
      <c r="I361" s="383" t="n"/>
      <c r="J361" s="387" t="n"/>
      <c r="K361" s="387" t="n"/>
      <c r="L361" s="387" t="n"/>
      <c r="M361" s="387" t="n"/>
      <c r="N361" s="387" t="n"/>
      <c r="O361" s="387" t="n"/>
      <c r="P361" s="387" t="n"/>
      <c r="Q361" s="387" t="n"/>
      <c r="R361" s="387" t="n"/>
      <c r="S361" s="387" t="n"/>
      <c r="T361" s="387" t="n"/>
      <c r="U361" s="387" t="n"/>
      <c r="V361" s="387" t="n"/>
      <c r="W361" s="387" t="n"/>
      <c r="X361" s="383" t="n"/>
      <c r="Y361" s="387" t="n"/>
    </row>
    <row r="362" ht="3" customHeight="1" s="1883">
      <c r="D362" s="383" t="n"/>
      <c r="E362" s="383" t="n"/>
      <c r="F362" s="383" t="n"/>
      <c r="G362" s="383" t="n"/>
      <c r="H362" s="383" t="n"/>
      <c r="I362" s="383" t="n"/>
      <c r="J362" s="383" t="n"/>
      <c r="K362" s="383" t="n"/>
      <c r="L362" s="383" t="n"/>
      <c r="M362" s="383" t="n"/>
      <c r="N362" s="383" t="n"/>
      <c r="O362" s="383" t="n"/>
      <c r="P362" s="383" t="n"/>
      <c r="Q362" s="383" t="n"/>
      <c r="R362" s="383" t="n"/>
      <c r="S362" s="383" t="n"/>
      <c r="T362" s="383" t="n"/>
      <c r="U362" s="383" t="n"/>
      <c r="V362" s="383" t="n"/>
      <c r="W362" s="383" t="n"/>
      <c r="X362" s="383" t="n"/>
      <c r="Y362" s="383" t="n"/>
    </row>
    <row r="363" ht="15" customHeight="1" s="1883">
      <c r="D363" s="383" t="n"/>
      <c r="E363" s="383" t="n"/>
      <c r="F363" s="383" t="n"/>
      <c r="G363" s="383" t="n"/>
      <c r="H363" s="383" t="n"/>
      <c r="I363" s="383" t="n"/>
      <c r="J363" s="383" t="n"/>
      <c r="K363" s="383" t="n"/>
      <c r="L363" s="383" t="n"/>
      <c r="M363" s="383" t="n"/>
      <c r="N363" s="383" t="n"/>
      <c r="O363" s="383" t="n"/>
      <c r="P363" s="383" t="n"/>
      <c r="Q363" s="383" t="n"/>
      <c r="R363" s="383" t="n"/>
      <c r="S363" s="383" t="n"/>
      <c r="T363" s="383" t="n"/>
      <c r="U363" s="383" t="n"/>
      <c r="V363" s="383" t="n"/>
      <c r="W363" s="383" t="n"/>
      <c r="X363" s="383" t="n"/>
      <c r="Y363" s="383" t="n"/>
    </row>
    <row r="364" ht="15" customHeight="1" s="1883">
      <c r="D364" s="383" t="n"/>
      <c r="E364" s="383" t="n"/>
      <c r="F364" s="383" t="n"/>
      <c r="G364" s="502" t="inlineStr">
        <is>
          <t>Less: Rewards Paid to Users</t>
        </is>
      </c>
      <c r="H364" s="503" t="n"/>
      <c r="I364" s="503" t="n"/>
      <c r="J364" s="520">
        <f>'3E. Tel. Attrit. Renew. Reward'!AE395</f>
        <v/>
      </c>
      <c r="K364" s="520">
        <f>'3E. Tel. Attrit. Renew. Reward'!AF395</f>
        <v/>
      </c>
      <c r="L364" s="520">
        <f>'3E. Tel. Attrit. Renew. Reward'!AG395</f>
        <v/>
      </c>
      <c r="M364" s="520">
        <f>'3E. Tel. Attrit. Renew. Reward'!AH395</f>
        <v/>
      </c>
      <c r="N364" s="520">
        <f>'3E. Tel. Attrit. Renew. Reward'!AI395</f>
        <v/>
      </c>
      <c r="O364" s="520">
        <f>'3E. Tel. Attrit. Renew. Reward'!AJ395</f>
        <v/>
      </c>
      <c r="P364" s="520">
        <f>'3E. Tel. Attrit. Renew. Reward'!AK395</f>
        <v/>
      </c>
      <c r="Q364" s="520">
        <f>'3E. Tel. Attrit. Renew. Reward'!AL395</f>
        <v/>
      </c>
      <c r="R364" s="520">
        <f>'3E. Tel. Attrit. Renew. Reward'!AM395</f>
        <v/>
      </c>
      <c r="S364" s="520">
        <f>'3E. Tel. Attrit. Renew. Reward'!AN395</f>
        <v/>
      </c>
      <c r="T364" s="520">
        <f>'3E. Tel. Attrit. Renew. Reward'!AO395</f>
        <v/>
      </c>
      <c r="U364" s="520">
        <f>'3E. Tel. Attrit. Renew. Reward'!AP395</f>
        <v/>
      </c>
      <c r="V364" s="503" t="n"/>
      <c r="W364" s="520">
        <f>((J364)+(K364)+(L364)+(M364)+(N364)+(O364)+(P364)+(Q364)+(R364)+(S364)+(T364)+(U364))</f>
        <v/>
      </c>
      <c r="X364" s="383" t="n"/>
      <c r="Y364" s="494">
        <f>SUM('3E. Tel. Attrit. Renew. Reward'!AE395:AP395)</f>
        <v/>
      </c>
    </row>
    <row r="365" ht="3" customHeight="1" s="1883">
      <c r="D365" s="383" t="n"/>
      <c r="E365" s="383" t="n"/>
      <c r="F365" s="383" t="n"/>
      <c r="G365" s="383" t="n"/>
      <c r="H365" s="383" t="n"/>
      <c r="I365" s="383" t="n"/>
      <c r="J365" s="387" t="n"/>
      <c r="K365" s="387" t="n"/>
      <c r="L365" s="387" t="n"/>
      <c r="M365" s="387" t="n"/>
      <c r="N365" s="387" t="n"/>
      <c r="O365" s="387" t="n"/>
      <c r="P365" s="387" t="n"/>
      <c r="Q365" s="387" t="n"/>
      <c r="R365" s="387" t="n"/>
      <c r="S365" s="387" t="n"/>
      <c r="T365" s="387" t="n"/>
      <c r="U365" s="387" t="n"/>
      <c r="V365" s="387" t="n"/>
      <c r="W365" s="387" t="n"/>
      <c r="X365" s="383" t="n"/>
      <c r="Y365" s="387" t="n"/>
    </row>
    <row r="366" ht="3" customHeight="1" s="1883">
      <c r="D366" s="383" t="n"/>
      <c r="E366" s="383" t="n"/>
      <c r="F366" s="383" t="n"/>
      <c r="G366" s="383" t="n"/>
      <c r="H366" s="383" t="n"/>
      <c r="I366" s="383" t="n"/>
      <c r="J366" s="383" t="n"/>
      <c r="K366" s="383" t="n"/>
      <c r="L366" s="383" t="n"/>
      <c r="M366" s="383" t="n"/>
      <c r="N366" s="383" t="n"/>
      <c r="O366" s="383" t="n"/>
      <c r="P366" s="383" t="n"/>
      <c r="Q366" s="383" t="n"/>
      <c r="R366" s="383" t="n"/>
      <c r="S366" s="383" t="n"/>
      <c r="T366" s="383" t="n"/>
      <c r="U366" s="383" t="n"/>
      <c r="V366" s="383" t="n"/>
      <c r="W366" s="383" t="n"/>
      <c r="X366" s="383" t="n"/>
      <c r="Y366" s="383" t="n"/>
    </row>
    <row r="367" ht="15" customHeight="1" s="1883">
      <c r="D367" s="383" t="n"/>
      <c r="E367" s="383" t="n"/>
      <c r="F367" s="383" t="n"/>
      <c r="G367" s="383" t="n"/>
      <c r="H367" s="383" t="n"/>
      <c r="I367" s="383" t="n"/>
      <c r="J367" s="383" t="n"/>
      <c r="K367" s="383" t="n"/>
      <c r="L367" s="383" t="n"/>
      <c r="M367" s="383" t="n"/>
      <c r="N367" s="383" t="n"/>
      <c r="O367" s="383" t="n"/>
      <c r="P367" s="383" t="n"/>
      <c r="Q367" s="383" t="n"/>
      <c r="R367" s="383" t="n"/>
      <c r="S367" s="383" t="n"/>
      <c r="T367" s="383" t="n"/>
      <c r="U367" s="383" t="n"/>
      <c r="V367" s="383" t="n"/>
      <c r="W367" s="383" t="n"/>
      <c r="X367" s="383" t="n"/>
      <c r="Y367" s="383" t="n"/>
    </row>
    <row r="368" ht="15" customHeight="1" s="1883">
      <c r="D368" s="383" t="n"/>
      <c r="E368" s="383" t="n"/>
      <c r="F368" s="383" t="n"/>
      <c r="G368" s="383" t="n"/>
      <c r="H368" s="513" t="inlineStr">
        <is>
          <t>Net Revenue, Market Research Services</t>
        </is>
      </c>
      <c r="I368" s="514" t="n"/>
      <c r="J368" s="515">
        <f>((J360)-(J364))</f>
        <v/>
      </c>
      <c r="K368" s="515">
        <f>((K360)-(K364))</f>
        <v/>
      </c>
      <c r="L368" s="515">
        <f>((L360)-(L364))</f>
        <v/>
      </c>
      <c r="M368" s="515">
        <f>((M360)-(M364))</f>
        <v/>
      </c>
      <c r="N368" s="515">
        <f>((N360)-(N364))</f>
        <v/>
      </c>
      <c r="O368" s="515">
        <f>((O360)-(O364))</f>
        <v/>
      </c>
      <c r="P368" s="515">
        <f>((P360)-(P364))</f>
        <v/>
      </c>
      <c r="Q368" s="515">
        <f>((Q360)-(Q364))</f>
        <v/>
      </c>
      <c r="R368" s="515">
        <f>((R360)-(R364))</f>
        <v/>
      </c>
      <c r="S368" s="515">
        <f>((S360)-(S364))</f>
        <v/>
      </c>
      <c r="T368" s="515">
        <f>((T360)-(T364))</f>
        <v/>
      </c>
      <c r="U368" s="515">
        <f>((U360)-(U364))</f>
        <v/>
      </c>
      <c r="V368" s="515" t="n"/>
      <c r="W368" s="515">
        <f>((W360)-(W364))</f>
        <v/>
      </c>
      <c r="X368" s="383" t="n"/>
      <c r="Y368" s="396">
        <f>((Y360)-(Y364))</f>
        <v/>
      </c>
    </row>
    <row r="373" ht="15" customHeight="1" s="1883">
      <c r="D373" s="383" t="n"/>
      <c r="E373" s="383" t="n"/>
      <c r="F373" s="383" t="n"/>
      <c r="G373" s="383" t="n"/>
      <c r="H373" s="383" t="n"/>
      <c r="I373" s="383" t="n"/>
      <c r="J373" s="1882" t="inlineStr">
        <is>
          <t>Year 4</t>
        </is>
      </c>
    </row>
    <row r="374" ht="3" customHeight="1" s="1883">
      <c r="D374" s="383" t="n"/>
      <c r="E374" s="383" t="n"/>
      <c r="F374" s="383" t="n"/>
      <c r="G374" s="383" t="n"/>
      <c r="H374" s="383" t="n"/>
      <c r="I374" s="383" t="n"/>
      <c r="J374" s="387" t="n"/>
      <c r="K374" s="387" t="n"/>
      <c r="L374" s="387" t="n"/>
      <c r="M374" s="387" t="n"/>
      <c r="N374" s="387" t="n"/>
      <c r="O374" s="387" t="n"/>
      <c r="P374" s="387" t="n"/>
      <c r="Q374" s="387" t="n"/>
      <c r="R374" s="387" t="n"/>
      <c r="S374" s="387" t="n"/>
      <c r="T374" s="387" t="n"/>
      <c r="U374" s="387" t="n"/>
      <c r="V374" s="387" t="n"/>
      <c r="W374" s="387" t="n"/>
    </row>
    <row r="375" ht="3" customHeight="1" s="1883">
      <c r="D375" s="383" t="n"/>
      <c r="E375" s="383" t="n"/>
      <c r="F375" s="383" t="n"/>
      <c r="G375" s="383" t="n"/>
      <c r="H375" s="383" t="n"/>
      <c r="I375" s="383" t="n"/>
      <c r="J375" s="383" t="n"/>
      <c r="K375" s="383" t="n"/>
      <c r="L375" s="383" t="n"/>
      <c r="M375" s="383" t="n"/>
      <c r="N375" s="383" t="n"/>
      <c r="O375" s="383" t="n"/>
      <c r="P375" s="383" t="n"/>
      <c r="Q375" s="383" t="n"/>
      <c r="R375" s="383" t="n"/>
      <c r="S375" s="383" t="n"/>
      <c r="T375" s="383" t="n"/>
      <c r="U375" s="383" t="n"/>
      <c r="V375" s="383" t="n"/>
      <c r="W375" s="383" t="n"/>
    </row>
    <row r="376" ht="15" customHeight="1" s="1883">
      <c r="D376" s="383" t="n"/>
      <c r="E376" s="383" t="n"/>
      <c r="F376" s="383" t="n"/>
      <c r="G376" s="383" t="n"/>
      <c r="H376" s="383" t="n"/>
      <c r="I376" s="383" t="n"/>
      <c r="J376" s="386" t="inlineStr">
        <is>
          <t>Month 37</t>
        </is>
      </c>
      <c r="K376" s="386" t="inlineStr">
        <is>
          <t>Month 38</t>
        </is>
      </c>
      <c r="L376" s="386" t="inlineStr">
        <is>
          <t>Month 39</t>
        </is>
      </c>
      <c r="M376" s="386" t="inlineStr">
        <is>
          <t>Month 40</t>
        </is>
      </c>
      <c r="N376" s="386" t="inlineStr">
        <is>
          <t>Month 41</t>
        </is>
      </c>
      <c r="O376" s="386" t="inlineStr">
        <is>
          <t>Month 42</t>
        </is>
      </c>
      <c r="P376" s="386" t="inlineStr">
        <is>
          <t>Month 43</t>
        </is>
      </c>
      <c r="Q376" s="386" t="inlineStr">
        <is>
          <t>Month 44</t>
        </is>
      </c>
      <c r="R376" s="386" t="inlineStr">
        <is>
          <t>Month 45</t>
        </is>
      </c>
      <c r="S376" s="386" t="inlineStr">
        <is>
          <t>Month 46</t>
        </is>
      </c>
      <c r="T376" s="386" t="inlineStr">
        <is>
          <t>Month 47</t>
        </is>
      </c>
      <c r="U376" s="386" t="inlineStr">
        <is>
          <t>Month 48</t>
        </is>
      </c>
      <c r="V376" s="383" t="n"/>
      <c r="W376" s="386" t="inlineStr">
        <is>
          <t>Full-Year</t>
        </is>
      </c>
    </row>
    <row r="377" ht="3" customHeight="1" s="1883">
      <c r="D377" s="383" t="n"/>
      <c r="E377" s="383" t="n"/>
      <c r="F377" s="383" t="n"/>
      <c r="G377" s="383" t="n"/>
      <c r="H377" s="383" t="n"/>
      <c r="I377" s="383" t="n"/>
      <c r="J377" s="387" t="n"/>
      <c r="K377" s="387" t="n"/>
      <c r="L377" s="387" t="n"/>
      <c r="M377" s="387" t="n"/>
      <c r="N377" s="387" t="n"/>
      <c r="O377" s="387" t="n"/>
      <c r="P377" s="387" t="n"/>
      <c r="Q377" s="387" t="n"/>
      <c r="R377" s="387" t="n"/>
      <c r="S377" s="387" t="n"/>
      <c r="T377" s="387" t="n"/>
      <c r="U377" s="387" t="n"/>
      <c r="V377" s="383" t="n"/>
      <c r="W377" s="387" t="n"/>
    </row>
    <row r="378" ht="3" customHeight="1" s="1883">
      <c r="D378" s="383" t="n"/>
      <c r="E378" s="383" t="n"/>
      <c r="F378" s="383" t="n"/>
      <c r="G378" s="383" t="n"/>
      <c r="H378" s="383" t="n"/>
      <c r="I378" s="383" t="n"/>
      <c r="J378" s="383" t="n"/>
      <c r="K378" s="383" t="n"/>
      <c r="L378" s="383" t="n"/>
      <c r="M378" s="383" t="n"/>
      <c r="N378" s="383" t="n"/>
      <c r="O378" s="383" t="n"/>
      <c r="P378" s="383" t="n"/>
      <c r="Q378" s="383" t="n"/>
      <c r="R378" s="383" t="n"/>
      <c r="S378" s="383" t="n"/>
      <c r="T378" s="383" t="n"/>
      <c r="U378" s="383" t="n"/>
      <c r="V378" s="383" t="n"/>
      <c r="W378" s="383" t="n"/>
    </row>
    <row r="379" ht="15" customHeight="1" s="1883">
      <c r="D379" s="487" t="inlineStr">
        <is>
          <t>Average Number of Phones in Use</t>
        </is>
      </c>
      <c r="E379" s="488" t="n"/>
      <c r="F379" s="488" t="n"/>
      <c r="G379" s="488" t="n"/>
      <c r="H379" s="488" t="n"/>
      <c r="I379" s="383" t="n"/>
      <c r="J379" s="391">
        <f>'3C. Tel. - Revenue Drivers - 1 '!J208</f>
        <v/>
      </c>
      <c r="K379" s="391">
        <f>'3C. Tel. - Revenue Drivers - 1 '!K208</f>
        <v/>
      </c>
      <c r="L379" s="391">
        <f>'3C. Tel. - Revenue Drivers - 1 '!L208</f>
        <v/>
      </c>
      <c r="M379" s="391">
        <f>'3C. Tel. - Revenue Drivers - 1 '!M208</f>
        <v/>
      </c>
      <c r="N379" s="391">
        <f>'3C. Tel. - Revenue Drivers - 1 '!N208</f>
        <v/>
      </c>
      <c r="O379" s="391">
        <f>'3C. Tel. - Revenue Drivers - 1 '!O208</f>
        <v/>
      </c>
      <c r="P379" s="391">
        <f>'3C. Tel. - Revenue Drivers - 1 '!P208</f>
        <v/>
      </c>
      <c r="Q379" s="391">
        <f>'3C. Tel. - Revenue Drivers - 1 '!Q208</f>
        <v/>
      </c>
      <c r="R379" s="391">
        <f>'3C. Tel. - Revenue Drivers - 1 '!R208</f>
        <v/>
      </c>
      <c r="S379" s="391">
        <f>'3C. Tel. - Revenue Drivers - 1 '!S208</f>
        <v/>
      </c>
      <c r="T379" s="391">
        <f>'3C. Tel. - Revenue Drivers - 1 '!T208</f>
        <v/>
      </c>
      <c r="U379" s="391">
        <f>'3C. Tel. - Revenue Drivers - 1 '!U208</f>
        <v/>
      </c>
      <c r="V379" s="383" t="n"/>
      <c r="W379" s="383" t="n"/>
    </row>
    <row r="380" ht="15" customHeight="1" s="1883">
      <c r="D380" s="618" t="inlineStr">
        <is>
          <t>Revenue Generating Customers (Customers Earning Rewards)</t>
        </is>
      </c>
      <c r="E380" s="619" t="n"/>
      <c r="F380" s="619" t="n"/>
      <c r="G380" s="619" t="n"/>
      <c r="H380" s="619" t="n"/>
      <c r="I380" s="593" t="n"/>
      <c r="J380" s="621">
        <f>'3E. Tel. Attrit. Renew. Reward'!AQ286</f>
        <v/>
      </c>
      <c r="K380" s="621">
        <f>'3E. Tel. Attrit. Renew. Reward'!AR286</f>
        <v/>
      </c>
      <c r="L380" s="621">
        <f>'3E. Tel. Attrit. Renew. Reward'!AS286</f>
        <v/>
      </c>
      <c r="M380" s="621">
        <f>'3E. Tel. Attrit. Renew. Reward'!AT286</f>
        <v/>
      </c>
      <c r="N380" s="621">
        <f>'3E. Tel. Attrit. Renew. Reward'!AU286</f>
        <v/>
      </c>
      <c r="O380" s="621">
        <f>'3E. Tel. Attrit. Renew. Reward'!AV286</f>
        <v/>
      </c>
      <c r="P380" s="621">
        <f>'3E. Tel. Attrit. Renew. Reward'!AW286</f>
        <v/>
      </c>
      <c r="Q380" s="621">
        <f>'3E. Tel. Attrit. Renew. Reward'!AX286</f>
        <v/>
      </c>
      <c r="R380" s="621">
        <f>'3E. Tel. Attrit. Renew. Reward'!AY286</f>
        <v/>
      </c>
      <c r="S380" s="621">
        <f>'3E. Tel. Attrit. Renew. Reward'!AZ286</f>
        <v/>
      </c>
      <c r="T380" s="621">
        <f>'3E. Tel. Attrit. Renew. Reward'!BA286</f>
        <v/>
      </c>
      <c r="U380" s="621">
        <f>'3E. Tel. Attrit. Renew. Reward'!BB286</f>
        <v/>
      </c>
      <c r="V380" s="383" t="n"/>
      <c r="W380" s="383" t="n"/>
    </row>
    <row r="381" ht="15" customHeight="1" s="1883">
      <c r="D381" s="422" t="inlineStr">
        <is>
          <t xml:space="preserve">Minutes/Month/Revenue Generating Phone </t>
        </is>
      </c>
      <c r="E381" s="383" t="n"/>
      <c r="F381" s="383" t="n"/>
      <c r="G381" s="383" t="n"/>
      <c r="H381" s="383" t="n"/>
      <c r="I381" s="383" t="n"/>
      <c r="J381" s="485">
        <f>'3C. Tel. - Revenue Drivers - 1 '!J207</f>
        <v/>
      </c>
      <c r="K381" s="485">
        <f>'3C. Tel. - Revenue Drivers - 1 '!K207</f>
        <v/>
      </c>
      <c r="L381" s="485">
        <f>'3C. Tel. - Revenue Drivers - 1 '!L207</f>
        <v/>
      </c>
      <c r="M381" s="485">
        <f>'3C. Tel. - Revenue Drivers - 1 '!M207</f>
        <v/>
      </c>
      <c r="N381" s="485">
        <f>'3C. Tel. - Revenue Drivers - 1 '!N207</f>
        <v/>
      </c>
      <c r="O381" s="485">
        <f>'3C. Tel. - Revenue Drivers - 1 '!O207</f>
        <v/>
      </c>
      <c r="P381" s="485">
        <f>'3C. Tel. - Revenue Drivers - 1 '!P207</f>
        <v/>
      </c>
      <c r="Q381" s="485">
        <f>'3C. Tel. - Revenue Drivers - 1 '!Q207</f>
        <v/>
      </c>
      <c r="R381" s="485">
        <f>'3C. Tel. - Revenue Drivers - 1 '!R207</f>
        <v/>
      </c>
      <c r="S381" s="485">
        <f>'3C. Tel. - Revenue Drivers - 1 '!S207</f>
        <v/>
      </c>
      <c r="T381" s="485">
        <f>'3C. Tel. - Revenue Drivers - 1 '!T207</f>
        <v/>
      </c>
      <c r="U381" s="485">
        <f>'3C. Tel. - Revenue Drivers - 1 '!U207</f>
        <v/>
      </c>
      <c r="V381" s="383" t="n"/>
      <c r="W381" s="383" t="n"/>
    </row>
    <row r="382" ht="15" customHeight="1" s="1883">
      <c r="E382" s="385" t="inlineStr">
        <is>
          <t>Hours/Month, All Revenue Generating Phones</t>
        </is>
      </c>
      <c r="F382" s="385" t="n"/>
      <c r="G382" s="385" t="n"/>
      <c r="H382" s="385" t="n"/>
      <c r="I382" s="383" t="n"/>
      <c r="J382" s="447">
        <f>(((J380)*(J381))/(60))</f>
        <v/>
      </c>
      <c r="K382" s="447">
        <f>(((K380)*(K381))/(60))</f>
        <v/>
      </c>
      <c r="L382" s="447">
        <f>(((L380)*(L381))/(60))</f>
        <v/>
      </c>
      <c r="M382" s="447">
        <f>(((M380)*(M381))/(60))</f>
        <v/>
      </c>
      <c r="N382" s="447">
        <f>(((N380)*(N381))/(60))</f>
        <v/>
      </c>
      <c r="O382" s="447">
        <f>(((O380)*(O381))/(60))</f>
        <v/>
      </c>
      <c r="P382" s="447">
        <f>(((P380)*(P381))/(60))</f>
        <v/>
      </c>
      <c r="Q382" s="447">
        <f>(((Q380)*(Q381))/(60))</f>
        <v/>
      </c>
      <c r="R382" s="447">
        <f>(((R380)*(R381))/(60))</f>
        <v/>
      </c>
      <c r="S382" s="447">
        <f>(((S380)*(S381))/(60))</f>
        <v/>
      </c>
      <c r="T382" s="447">
        <f>(((T380)*(T381))/(60))</f>
        <v/>
      </c>
      <c r="U382" s="447">
        <f>(((U380)*(U381))/(60))</f>
        <v/>
      </c>
      <c r="V382" s="383" t="n"/>
      <c r="W382" s="383" t="n"/>
    </row>
    <row r="383" ht="15" customHeight="1" s="1883">
      <c r="D383" s="383" t="n"/>
      <c r="E383" s="383" t="n"/>
      <c r="F383" s="383" t="n"/>
      <c r="G383" s="383" t="n"/>
      <c r="H383" s="383" t="n"/>
      <c r="I383" s="383" t="n"/>
      <c r="J383" s="383" t="n"/>
      <c r="K383" s="383" t="n"/>
      <c r="L383" s="383" t="n"/>
      <c r="M383" s="383" t="n"/>
      <c r="N383" s="383" t="n"/>
      <c r="O383" s="383" t="n"/>
      <c r="P383" s="383" t="n"/>
      <c r="Q383" s="383" t="n"/>
      <c r="R383" s="383" t="n"/>
      <c r="S383" s="383" t="n"/>
      <c r="T383" s="383" t="n"/>
      <c r="U383" s="383" t="n"/>
      <c r="V383" s="383" t="n"/>
      <c r="W383" s="383" t="n"/>
    </row>
    <row r="384" ht="15" customHeight="1" s="1883">
      <c r="D384" s="383" t="inlineStr">
        <is>
          <t>Billable Hour Conversion Rate</t>
        </is>
      </c>
      <c r="E384" s="383" t="n"/>
      <c r="F384" s="383" t="n"/>
      <c r="G384" s="383" t="n"/>
      <c r="H384" s="383" t="n"/>
      <c r="I384" s="383" t="n"/>
      <c r="J384" s="489">
        <f>'3C. Tel. - Revenue Drivers - 1 '!J235</f>
        <v/>
      </c>
      <c r="K384" s="489">
        <f>'3C. Tel. - Revenue Drivers - 1 '!K235</f>
        <v/>
      </c>
      <c r="L384" s="489">
        <f>'3C. Tel. - Revenue Drivers - 1 '!L235</f>
        <v/>
      </c>
      <c r="M384" s="489">
        <f>'3C. Tel. - Revenue Drivers - 1 '!M235</f>
        <v/>
      </c>
      <c r="N384" s="489">
        <f>'3C. Tel. - Revenue Drivers - 1 '!N235</f>
        <v/>
      </c>
      <c r="O384" s="489">
        <f>'3C. Tel. - Revenue Drivers - 1 '!O235</f>
        <v/>
      </c>
      <c r="P384" s="489">
        <f>'3C. Tel. - Revenue Drivers - 1 '!P235</f>
        <v/>
      </c>
      <c r="Q384" s="489">
        <f>'3C. Tel. - Revenue Drivers - 1 '!Q235</f>
        <v/>
      </c>
      <c r="R384" s="489">
        <f>'3C. Tel. - Revenue Drivers - 1 '!R235</f>
        <v/>
      </c>
      <c r="S384" s="489">
        <f>'3C. Tel. - Revenue Drivers - 1 '!S235</f>
        <v/>
      </c>
      <c r="T384" s="489">
        <f>'3C. Tel. - Revenue Drivers - 1 '!T235</f>
        <v/>
      </c>
      <c r="U384" s="489">
        <f>'3C. Tel. - Revenue Drivers - 1 '!U235</f>
        <v/>
      </c>
      <c r="V384" s="383" t="n"/>
      <c r="W384" s="383" t="n"/>
    </row>
    <row r="385" ht="15" customHeight="1" s="1883">
      <c r="E385" s="385" t="inlineStr">
        <is>
          <t>Billable Hours/Month</t>
        </is>
      </c>
      <c r="F385" s="385" t="n"/>
      <c r="G385" s="385" t="n"/>
      <c r="H385" s="385" t="n"/>
      <c r="I385" s="383" t="n"/>
      <c r="J385" s="447">
        <f>((J382)*(J384))</f>
        <v/>
      </c>
      <c r="K385" s="447">
        <f>((K382)*(K384))</f>
        <v/>
      </c>
      <c r="L385" s="447">
        <f>((L382)*(L384))</f>
        <v/>
      </c>
      <c r="M385" s="447">
        <f>((M382)*(M384))</f>
        <v/>
      </c>
      <c r="N385" s="447">
        <f>((N382)*(N384))</f>
        <v/>
      </c>
      <c r="O385" s="447">
        <f>((O382)*(O384))</f>
        <v/>
      </c>
      <c r="P385" s="447">
        <f>((P382)*(P384))</f>
        <v/>
      </c>
      <c r="Q385" s="447">
        <f>((Q382)*(Q384))</f>
        <v/>
      </c>
      <c r="R385" s="447">
        <f>((R382)*(R384))</f>
        <v/>
      </c>
      <c r="S385" s="447">
        <f>((S382)*(S384))</f>
        <v/>
      </c>
      <c r="T385" s="447">
        <f>((T382)*(T384))</f>
        <v/>
      </c>
      <c r="U385" s="447">
        <f>((U382)*(U384))</f>
        <v/>
      </c>
      <c r="V385" s="383" t="n"/>
      <c r="W385" s="383" t="n"/>
      <c r="X385" s="383" t="n"/>
      <c r="Y385" s="383" t="n"/>
    </row>
    <row r="386" ht="15" customHeight="1" s="1883">
      <c r="D386" s="383" t="n"/>
      <c r="E386" s="383" t="n"/>
      <c r="F386" s="383" t="n"/>
      <c r="G386" s="383" t="n"/>
      <c r="H386" s="383" t="n"/>
      <c r="I386" s="383" t="n"/>
      <c r="J386" s="383" t="n"/>
      <c r="K386" s="383" t="n"/>
      <c r="L386" s="383" t="n"/>
      <c r="M386" s="383" t="n"/>
      <c r="N386" s="383" t="n"/>
      <c r="O386" s="383" t="n"/>
      <c r="P386" s="383" t="n"/>
      <c r="Q386" s="383" t="n"/>
      <c r="R386" s="383" t="n"/>
      <c r="S386" s="383" t="n"/>
      <c r="T386" s="383" t="n"/>
      <c r="U386" s="383" t="n"/>
      <c r="V386" s="383" t="n"/>
      <c r="W386" s="383" t="n"/>
      <c r="X386" s="383" t="n"/>
      <c r="Y386" s="383" t="n"/>
    </row>
    <row r="387" ht="15" customHeight="1" s="1883">
      <c r="D387" s="383" t="inlineStr">
        <is>
          <t>Standard Rate/Billable Hour</t>
        </is>
      </c>
      <c r="E387" s="383" t="n"/>
      <c r="F387" s="383" t="n"/>
      <c r="G387" s="383" t="n"/>
      <c r="H387" s="383" t="n"/>
      <c r="I387" s="383" t="n"/>
      <c r="J387" s="2021">
        <f>'3C. Tel. - Revenue Drivers - 1 '!J272</f>
        <v/>
      </c>
      <c r="K387" s="2021">
        <f>'3C. Tel. - Revenue Drivers - 1 '!K272</f>
        <v/>
      </c>
      <c r="L387" s="2021">
        <f>'3C. Tel. - Revenue Drivers - 1 '!L272</f>
        <v/>
      </c>
      <c r="M387" s="2021">
        <f>'3C. Tel. - Revenue Drivers - 1 '!M272</f>
        <v/>
      </c>
      <c r="N387" s="2021">
        <f>'3C. Tel. - Revenue Drivers - 1 '!N272</f>
        <v/>
      </c>
      <c r="O387" s="2021">
        <f>'3C. Tel. - Revenue Drivers - 1 '!O272</f>
        <v/>
      </c>
      <c r="P387" s="2021">
        <f>'3C. Tel. - Revenue Drivers - 1 '!P272</f>
        <v/>
      </c>
      <c r="Q387" s="2021">
        <f>'3C. Tel. - Revenue Drivers - 1 '!Q272</f>
        <v/>
      </c>
      <c r="R387" s="2021">
        <f>'3C. Tel. - Revenue Drivers - 1 '!R272</f>
        <v/>
      </c>
      <c r="S387" s="2021">
        <f>'3C. Tel. - Revenue Drivers - 1 '!S272</f>
        <v/>
      </c>
      <c r="T387" s="2021">
        <f>'3C. Tel. - Revenue Drivers - 1 '!T272</f>
        <v/>
      </c>
      <c r="U387" s="2021">
        <f>'3C. Tel. - Revenue Drivers - 1 '!U272</f>
        <v/>
      </c>
      <c r="V387" s="383" t="n"/>
      <c r="W387" s="383" t="n"/>
      <c r="X387" s="383" t="n"/>
      <c r="Y387" s="383" t="n"/>
    </row>
    <row r="388" ht="15" customHeight="1" s="1883">
      <c r="D388" s="383" t="inlineStr">
        <is>
          <t>Discount</t>
        </is>
      </c>
      <c r="E388" s="383" t="n"/>
      <c r="F388" s="383" t="n"/>
      <c r="G388" s="383" t="n"/>
      <c r="H388" s="383" t="n"/>
      <c r="I388" s="383" t="n"/>
      <c r="J388" s="470">
        <f>'3C. Tel. - Revenue Drivers - 1 '!J273</f>
        <v/>
      </c>
      <c r="K388" s="470">
        <f>'3C. Tel. - Revenue Drivers - 1 '!K273</f>
        <v/>
      </c>
      <c r="L388" s="470">
        <f>'3C. Tel. - Revenue Drivers - 1 '!L273</f>
        <v/>
      </c>
      <c r="M388" s="470">
        <f>'3C. Tel. - Revenue Drivers - 1 '!M273</f>
        <v/>
      </c>
      <c r="N388" s="470">
        <f>'3C. Tel. - Revenue Drivers - 1 '!N273</f>
        <v/>
      </c>
      <c r="O388" s="470">
        <f>'3C. Tel. - Revenue Drivers - 1 '!O273</f>
        <v/>
      </c>
      <c r="P388" s="470">
        <f>'3C. Tel. - Revenue Drivers - 1 '!P273</f>
        <v/>
      </c>
      <c r="Q388" s="470">
        <f>'3C. Tel. - Revenue Drivers - 1 '!Q273</f>
        <v/>
      </c>
      <c r="R388" s="470">
        <f>'3C. Tel. - Revenue Drivers - 1 '!R273</f>
        <v/>
      </c>
      <c r="S388" s="470">
        <f>'3C. Tel. - Revenue Drivers - 1 '!S273</f>
        <v/>
      </c>
      <c r="T388" s="470">
        <f>'3C. Tel. - Revenue Drivers - 1 '!T273</f>
        <v/>
      </c>
      <c r="U388" s="470">
        <f>'3C. Tel. - Revenue Drivers - 1 '!U273</f>
        <v/>
      </c>
      <c r="V388" s="383" t="n"/>
      <c r="W388" s="383" t="n"/>
      <c r="X388" s="383" t="n"/>
      <c r="Y388" s="383" t="n"/>
    </row>
    <row r="389" ht="15" customHeight="1" s="1883">
      <c r="E389" s="385" t="inlineStr">
        <is>
          <t>Realized Rate/Billable Hour</t>
        </is>
      </c>
      <c r="F389" s="383" t="n"/>
      <c r="G389" s="383" t="n"/>
      <c r="H389" s="383" t="n"/>
      <c r="I389" s="383" t="n"/>
      <c r="J389" s="2022">
        <f>(((1)-(J388))*(J387))</f>
        <v/>
      </c>
      <c r="K389" s="2022">
        <f>(((1)-(K388))*(K387))</f>
        <v/>
      </c>
      <c r="L389" s="2022">
        <f>(((1)-(L388))*(L387))</f>
        <v/>
      </c>
      <c r="M389" s="2022">
        <f>(((1)-(M388))*(M387))</f>
        <v/>
      </c>
      <c r="N389" s="2022">
        <f>(((1)-(N388))*(N387))</f>
        <v/>
      </c>
      <c r="O389" s="2022">
        <f>(((1)-(O388))*(O387))</f>
        <v/>
      </c>
      <c r="P389" s="2022">
        <f>(((1)-(P388))*(P387))</f>
        <v/>
      </c>
      <c r="Q389" s="2022">
        <f>(((1)-(Q388))*(Q387))</f>
        <v/>
      </c>
      <c r="R389" s="2022">
        <f>(((1)-(R388))*(R387))</f>
        <v/>
      </c>
      <c r="S389" s="2022">
        <f>(((1)-(S388))*(S387))</f>
        <v/>
      </c>
      <c r="T389" s="2022">
        <f>(((1)-(T388))*(T387))</f>
        <v/>
      </c>
      <c r="U389" s="2022">
        <f>(((1)-(U388))*(U387))</f>
        <v/>
      </c>
      <c r="V389" s="383" t="n"/>
      <c r="W389" s="383" t="n"/>
      <c r="X389" s="383" t="n"/>
      <c r="Y389" s="383" t="n"/>
    </row>
    <row r="390" ht="3" customHeight="1" s="1883">
      <c r="D390" s="383" t="n"/>
      <c r="E390" s="383" t="n"/>
      <c r="F390" s="383" t="n"/>
      <c r="G390" s="383" t="n"/>
      <c r="H390" s="383" t="n"/>
      <c r="I390" s="383" t="n"/>
      <c r="J390" s="387" t="n"/>
      <c r="K390" s="387" t="n"/>
      <c r="L390" s="387" t="n"/>
      <c r="M390" s="387" t="n"/>
      <c r="N390" s="387" t="n"/>
      <c r="O390" s="387" t="n"/>
      <c r="P390" s="387" t="n"/>
      <c r="Q390" s="387" t="n"/>
      <c r="R390" s="387" t="n"/>
      <c r="S390" s="387" t="n"/>
      <c r="T390" s="387" t="n"/>
      <c r="U390" s="387" t="n"/>
      <c r="V390" s="383" t="n"/>
      <c r="W390" s="383" t="n"/>
      <c r="X390" s="383" t="n"/>
      <c r="Y390" s="383" t="n"/>
    </row>
    <row r="391" ht="3" customHeight="1" s="1883">
      <c r="D391" s="383" t="n"/>
      <c r="E391" s="383" t="n"/>
      <c r="F391" s="383" t="n"/>
      <c r="G391" s="383" t="n"/>
      <c r="H391" s="383" t="n"/>
      <c r="I391" s="383" t="n"/>
      <c r="J391" s="383" t="n"/>
      <c r="K391" s="383" t="n"/>
      <c r="L391" s="383" t="n"/>
      <c r="M391" s="383" t="n"/>
      <c r="N391" s="383" t="n"/>
      <c r="O391" s="383" t="n"/>
      <c r="P391" s="383" t="n"/>
      <c r="Q391" s="383" t="n"/>
      <c r="R391" s="383" t="n"/>
      <c r="S391" s="383" t="n"/>
      <c r="T391" s="383" t="n"/>
      <c r="U391" s="383" t="n"/>
      <c r="V391" s="383" t="n"/>
      <c r="W391" s="383" t="n"/>
      <c r="X391" s="383" t="n"/>
      <c r="Y391" s="383" t="n"/>
    </row>
    <row r="392" ht="15" customHeight="1" s="1883">
      <c r="D392" s="383" t="n"/>
      <c r="F392" s="491" t="inlineStr">
        <is>
          <t>Realized Revenue</t>
        </is>
      </c>
      <c r="G392" s="492" t="n"/>
      <c r="H392" s="492" t="n"/>
      <c r="I392" s="492" t="n"/>
      <c r="J392" s="493">
        <f>((J385)*(J389))</f>
        <v/>
      </c>
      <c r="K392" s="493">
        <f>((K385)*(K389))</f>
        <v/>
      </c>
      <c r="L392" s="493">
        <f>((L385)*(L389))</f>
        <v/>
      </c>
      <c r="M392" s="493">
        <f>((M385)*(M389))</f>
        <v/>
      </c>
      <c r="N392" s="493">
        <f>((N385)*(N389))</f>
        <v/>
      </c>
      <c r="O392" s="493">
        <f>((O385)*(O389))</f>
        <v/>
      </c>
      <c r="P392" s="493">
        <f>((P385)*(P389))</f>
        <v/>
      </c>
      <c r="Q392" s="493">
        <f>((Q385)*(Q389))</f>
        <v/>
      </c>
      <c r="R392" s="493">
        <f>((R385)*(R389))</f>
        <v/>
      </c>
      <c r="S392" s="493">
        <f>((S385)*(S389))</f>
        <v/>
      </c>
      <c r="T392" s="493">
        <f>((T385)*(T389))</f>
        <v/>
      </c>
      <c r="U392" s="493">
        <f>((U385)*(U389))</f>
        <v/>
      </c>
      <c r="V392" s="526" t="n"/>
      <c r="W392" s="493">
        <f>((J392)+(K392)+(L392)+(M392)+(N392)+(O392)+(P392)+(Q392)+(R392)+(S392)+(T392)+(U392))</f>
        <v/>
      </c>
      <c r="X392" s="383" t="n"/>
      <c r="Y392" s="396">
        <f>'3C. Tel. - Revenue Drivers - 1 '!V296</f>
        <v/>
      </c>
    </row>
    <row r="393" ht="3" customHeight="1" s="1883">
      <c r="D393" s="383" t="n"/>
      <c r="E393" s="383" t="n"/>
      <c r="F393" s="383" t="n"/>
      <c r="G393" s="383" t="n"/>
      <c r="H393" s="383" t="n"/>
      <c r="I393" s="383" t="n"/>
      <c r="J393" s="387" t="n"/>
      <c r="K393" s="387" t="n"/>
      <c r="L393" s="387" t="n"/>
      <c r="M393" s="387" t="n"/>
      <c r="N393" s="387" t="n"/>
      <c r="O393" s="387" t="n"/>
      <c r="P393" s="387" t="n"/>
      <c r="Q393" s="387" t="n"/>
      <c r="R393" s="387" t="n"/>
      <c r="S393" s="387" t="n"/>
      <c r="T393" s="387" t="n"/>
      <c r="U393" s="387" t="n"/>
      <c r="V393" s="387" t="n"/>
      <c r="W393" s="387" t="n"/>
      <c r="X393" s="383" t="n"/>
      <c r="Y393" s="383" t="n"/>
    </row>
    <row r="394" ht="3" customHeight="1" s="1883">
      <c r="D394" s="383" t="n"/>
      <c r="E394" s="383" t="n"/>
      <c r="F394" s="383" t="n"/>
      <c r="G394" s="383" t="n"/>
      <c r="H394" s="383" t="n"/>
      <c r="I394" s="383" t="n"/>
      <c r="J394" s="383" t="n"/>
      <c r="K394" s="383" t="n"/>
      <c r="L394" s="383" t="n"/>
      <c r="M394" s="383" t="n"/>
      <c r="N394" s="383" t="n"/>
      <c r="O394" s="383" t="n"/>
      <c r="P394" s="383" t="n"/>
      <c r="Q394" s="383" t="n"/>
      <c r="R394" s="383" t="n"/>
      <c r="S394" s="383" t="n"/>
      <c r="T394" s="383" t="n"/>
      <c r="U394" s="383" t="n"/>
      <c r="V394" s="383" t="n"/>
      <c r="W394" s="383" t="n"/>
      <c r="X394" s="383" t="n"/>
      <c r="Y394" s="383" t="n"/>
    </row>
    <row r="395" ht="15" customHeight="1" s="1883">
      <c r="D395" s="383" t="n"/>
      <c r="E395" s="383" t="n"/>
      <c r="F395" s="383" t="n"/>
      <c r="G395" s="383" t="n"/>
      <c r="H395" s="383" t="n"/>
      <c r="I395" s="383" t="n"/>
      <c r="J395" s="383" t="n"/>
      <c r="K395" s="383" t="n"/>
      <c r="L395" s="383" t="n"/>
      <c r="M395" s="383" t="n"/>
      <c r="N395" s="383" t="n"/>
      <c r="O395" s="383" t="n"/>
      <c r="P395" s="383" t="n"/>
      <c r="Q395" s="383" t="n"/>
      <c r="R395" s="383" t="n"/>
      <c r="S395" s="383" t="n"/>
      <c r="T395" s="383" t="n"/>
      <c r="U395" s="383" t="n"/>
      <c r="V395" s="383" t="n"/>
      <c r="W395" s="383" t="n"/>
      <c r="X395" s="383" t="n"/>
      <c r="Y395" s="383" t="n"/>
    </row>
    <row r="396" ht="15" customHeight="1" s="1883">
      <c r="D396" s="383" t="n"/>
      <c r="E396" s="383" t="n"/>
      <c r="F396" s="383" t="n"/>
      <c r="G396" s="502" t="inlineStr">
        <is>
          <t>Less: Rewards Paid to Users</t>
        </is>
      </c>
      <c r="H396" s="503" t="n"/>
      <c r="I396" s="502" t="n"/>
      <c r="J396" s="520">
        <f>'3E. Tel. Attrit. Renew. Reward'!AQ395</f>
        <v/>
      </c>
      <c r="K396" s="520">
        <f>'3E. Tel. Attrit. Renew. Reward'!AR395</f>
        <v/>
      </c>
      <c r="L396" s="520">
        <f>'3E. Tel. Attrit. Renew. Reward'!AS395</f>
        <v/>
      </c>
      <c r="M396" s="520">
        <f>'3E. Tel. Attrit. Renew. Reward'!AT395</f>
        <v/>
      </c>
      <c r="N396" s="520">
        <f>'3E. Tel. Attrit. Renew. Reward'!AU395</f>
        <v/>
      </c>
      <c r="O396" s="520">
        <f>'3E. Tel. Attrit. Renew. Reward'!AV395</f>
        <v/>
      </c>
      <c r="P396" s="520">
        <f>'3E. Tel. Attrit. Renew. Reward'!AW395</f>
        <v/>
      </c>
      <c r="Q396" s="520">
        <f>'3E. Tel. Attrit. Renew. Reward'!AX395</f>
        <v/>
      </c>
      <c r="R396" s="520">
        <f>'3E. Tel. Attrit. Renew. Reward'!AY395</f>
        <v/>
      </c>
      <c r="S396" s="520">
        <f>'3E. Tel. Attrit. Renew. Reward'!AZ395</f>
        <v/>
      </c>
      <c r="T396" s="520">
        <f>'3E. Tel. Attrit. Renew. Reward'!BA395</f>
        <v/>
      </c>
      <c r="U396" s="520">
        <f>'3E. Tel. Attrit. Renew. Reward'!BB395</f>
        <v/>
      </c>
      <c r="V396" s="503" t="n"/>
      <c r="W396" s="520">
        <f>((J396)+(K396)+(L396)+(M396)+(N396)+(O396)+(P396)+(Q396)+(R396)+(S396)+(T396)+(U396))</f>
        <v/>
      </c>
      <c r="X396" s="383" t="n"/>
      <c r="Y396" s="494">
        <f>SUM('3E. Tel. Attrit. Renew. Reward'!AQ395:BB395)</f>
        <v/>
      </c>
    </row>
    <row r="397" ht="3" customHeight="1" s="1883">
      <c r="D397" s="383" t="n"/>
      <c r="E397" s="383" t="n"/>
      <c r="F397" s="383" t="n"/>
      <c r="G397" s="383" t="n"/>
      <c r="H397" s="383" t="n"/>
      <c r="I397" s="383" t="n"/>
      <c r="J397" s="387" t="n"/>
      <c r="K397" s="387" t="n"/>
      <c r="L397" s="387" t="n"/>
      <c r="M397" s="387" t="n"/>
      <c r="N397" s="387" t="n"/>
      <c r="O397" s="387" t="n"/>
      <c r="P397" s="387" t="n"/>
      <c r="Q397" s="387" t="n"/>
      <c r="R397" s="387" t="n"/>
      <c r="S397" s="387" t="n"/>
      <c r="T397" s="387" t="n"/>
      <c r="U397" s="387" t="n"/>
      <c r="V397" s="387" t="n"/>
      <c r="W397" s="387" t="n"/>
      <c r="X397" s="383" t="n"/>
      <c r="Y397" s="387" t="n"/>
    </row>
    <row r="398" ht="3" customHeight="1" s="1883">
      <c r="D398" s="383" t="n"/>
      <c r="E398" s="383" t="n"/>
      <c r="F398" s="383" t="n"/>
      <c r="G398" s="383" t="n"/>
      <c r="H398" s="383" t="n"/>
      <c r="I398" s="383" t="n"/>
      <c r="J398" s="383" t="n"/>
      <c r="K398" s="383" t="n"/>
      <c r="L398" s="383" t="n"/>
      <c r="M398" s="383" t="n"/>
      <c r="N398" s="383" t="n"/>
      <c r="O398" s="383" t="n"/>
      <c r="P398" s="383" t="n"/>
      <c r="Q398" s="383" t="n"/>
      <c r="R398" s="383" t="n"/>
      <c r="S398" s="383" t="n"/>
      <c r="T398" s="383" t="n"/>
      <c r="U398" s="383" t="n"/>
      <c r="V398" s="383" t="n"/>
      <c r="W398" s="383" t="n"/>
      <c r="X398" s="383" t="n"/>
      <c r="Y398" s="383" t="n"/>
    </row>
    <row r="399" ht="15" customHeight="1" s="1883">
      <c r="D399" s="383" t="n"/>
      <c r="E399" s="383" t="n"/>
      <c r="F399" s="383" t="n"/>
      <c r="G399" s="383" t="n"/>
      <c r="H399" s="383" t="n"/>
      <c r="I399" s="383" t="n"/>
      <c r="J399" s="383" t="n"/>
      <c r="K399" s="383" t="n"/>
      <c r="L399" s="383" t="n"/>
      <c r="M399" s="383" t="n"/>
      <c r="N399" s="383" t="n"/>
      <c r="O399" s="383" t="n"/>
      <c r="P399" s="383" t="n"/>
      <c r="Q399" s="383" t="n"/>
      <c r="R399" s="383" t="n"/>
      <c r="S399" s="383" t="n"/>
      <c r="T399" s="383" t="n"/>
      <c r="U399" s="383" t="n"/>
      <c r="V399" s="383" t="n"/>
      <c r="W399" s="383" t="n"/>
      <c r="X399" s="383" t="n"/>
      <c r="Y399" s="383" t="n"/>
    </row>
    <row r="400" ht="15" customHeight="1" s="1883">
      <c r="D400" s="383" t="n"/>
      <c r="E400" s="383" t="n"/>
      <c r="F400" s="383" t="n"/>
      <c r="G400" s="383" t="n"/>
      <c r="H400" s="513" t="inlineStr">
        <is>
          <t>Net Revenue, Market Research Services</t>
        </is>
      </c>
      <c r="I400" s="514" t="n"/>
      <c r="J400" s="515">
        <f>((J392)-(J396))</f>
        <v/>
      </c>
      <c r="K400" s="515">
        <f>((K392)-(K396))</f>
        <v/>
      </c>
      <c r="L400" s="515">
        <f>((L392)-(L396))</f>
        <v/>
      </c>
      <c r="M400" s="515">
        <f>((M392)-(M396))</f>
        <v/>
      </c>
      <c r="N400" s="515">
        <f>((N392)-(N396))</f>
        <v/>
      </c>
      <c r="O400" s="515">
        <f>((O392)-(O396))</f>
        <v/>
      </c>
      <c r="P400" s="515">
        <f>((P392)-(P396))</f>
        <v/>
      </c>
      <c r="Q400" s="515">
        <f>((Q392)-(Q396))</f>
        <v/>
      </c>
      <c r="R400" s="515">
        <f>((R392)-(R396))</f>
        <v/>
      </c>
      <c r="S400" s="515">
        <f>((S392)-(S396))</f>
        <v/>
      </c>
      <c r="T400" s="515">
        <f>((T392)-(T396))</f>
        <v/>
      </c>
      <c r="U400" s="515">
        <f>((U392)-(U396))</f>
        <v/>
      </c>
      <c r="V400" s="515" t="n"/>
      <c r="W400" s="515">
        <f>((W392)-(W396))</f>
        <v/>
      </c>
      <c r="X400" s="383" t="n"/>
      <c r="Y400" s="396">
        <f>((Y392)-(Y396))</f>
        <v/>
      </c>
    </row>
    <row r="405" ht="15" customHeight="1" s="1883">
      <c r="D405" s="383" t="n"/>
      <c r="E405" s="383" t="n"/>
      <c r="F405" s="383" t="n"/>
      <c r="G405" s="383" t="n"/>
      <c r="H405" s="383" t="n"/>
      <c r="I405" s="383" t="n"/>
      <c r="J405" s="1882" t="inlineStr">
        <is>
          <t>Year 5</t>
        </is>
      </c>
    </row>
    <row r="406" ht="3" customHeight="1" s="1883">
      <c r="D406" s="383" t="n"/>
      <c r="E406" s="383" t="n"/>
      <c r="F406" s="383" t="n"/>
      <c r="G406" s="383" t="n"/>
      <c r="H406" s="383" t="n"/>
      <c r="I406" s="383" t="n"/>
      <c r="J406" s="387" t="n"/>
      <c r="K406" s="387" t="n"/>
      <c r="L406" s="387" t="n"/>
      <c r="M406" s="387" t="n"/>
      <c r="N406" s="387" t="n"/>
      <c r="O406" s="387" t="n"/>
      <c r="P406" s="387" t="n"/>
      <c r="Q406" s="387" t="n"/>
      <c r="R406" s="387" t="n"/>
      <c r="S406" s="387" t="n"/>
      <c r="T406" s="387" t="n"/>
      <c r="U406" s="387" t="n"/>
      <c r="V406" s="387" t="n"/>
      <c r="W406" s="387" t="n"/>
    </row>
    <row r="407" ht="3" customHeight="1" s="1883">
      <c r="D407" s="383" t="n"/>
      <c r="E407" s="383" t="n"/>
      <c r="F407" s="383" t="n"/>
      <c r="G407" s="383" t="n"/>
      <c r="H407" s="383" t="n"/>
      <c r="I407" s="383" t="n"/>
      <c r="J407" s="383" t="n"/>
      <c r="K407" s="383" t="n"/>
      <c r="L407" s="383" t="n"/>
      <c r="M407" s="383" t="n"/>
      <c r="N407" s="383" t="n"/>
      <c r="O407" s="383" t="n"/>
      <c r="P407" s="383" t="n"/>
      <c r="Q407" s="383" t="n"/>
      <c r="R407" s="383" t="n"/>
      <c r="S407" s="383" t="n"/>
      <c r="T407" s="383" t="n"/>
      <c r="U407" s="383" t="n"/>
      <c r="V407" s="383" t="n"/>
      <c r="W407" s="383" t="n"/>
    </row>
    <row r="408" ht="15" customHeight="1" s="1883">
      <c r="D408" s="383" t="n"/>
      <c r="E408" s="383" t="n"/>
      <c r="F408" s="383" t="n"/>
      <c r="G408" s="383" t="n"/>
      <c r="H408" s="383" t="n"/>
      <c r="I408" s="383" t="n"/>
      <c r="J408" s="386" t="inlineStr">
        <is>
          <t>Month 49</t>
        </is>
      </c>
      <c r="K408" s="386" t="inlineStr">
        <is>
          <t>Month 50</t>
        </is>
      </c>
      <c r="L408" s="386" t="inlineStr">
        <is>
          <t>Month 51</t>
        </is>
      </c>
      <c r="M408" s="386" t="inlineStr">
        <is>
          <t>Month 52</t>
        </is>
      </c>
      <c r="N408" s="386" t="inlineStr">
        <is>
          <t>Month 53</t>
        </is>
      </c>
      <c r="O408" s="386" t="inlineStr">
        <is>
          <t>Month 54</t>
        </is>
      </c>
      <c r="P408" s="386" t="inlineStr">
        <is>
          <t>Month 55</t>
        </is>
      </c>
      <c r="Q408" s="386" t="inlineStr">
        <is>
          <t>Month 56</t>
        </is>
      </c>
      <c r="R408" s="386" t="inlineStr">
        <is>
          <t>Month 57</t>
        </is>
      </c>
      <c r="S408" s="386" t="inlineStr">
        <is>
          <t>Month 58</t>
        </is>
      </c>
      <c r="T408" s="386" t="inlineStr">
        <is>
          <t>Month 59</t>
        </is>
      </c>
      <c r="U408" s="386" t="inlineStr">
        <is>
          <t>Month 60</t>
        </is>
      </c>
      <c r="V408" s="383" t="n"/>
      <c r="W408" s="386" t="inlineStr">
        <is>
          <t>Full-Year</t>
        </is>
      </c>
    </row>
    <row r="409" ht="3" customHeight="1" s="1883">
      <c r="D409" s="383" t="n"/>
      <c r="E409" s="383" t="n"/>
      <c r="F409" s="383" t="n"/>
      <c r="G409" s="383" t="n"/>
      <c r="H409" s="383" t="n"/>
      <c r="I409" s="383" t="n"/>
      <c r="J409" s="387" t="n"/>
      <c r="K409" s="387" t="n"/>
      <c r="L409" s="387" t="n"/>
      <c r="M409" s="387" t="n"/>
      <c r="N409" s="387" t="n"/>
      <c r="O409" s="387" t="n"/>
      <c r="P409" s="387" t="n"/>
      <c r="Q409" s="387" t="n"/>
      <c r="R409" s="387" t="n"/>
      <c r="S409" s="387" t="n"/>
      <c r="T409" s="387" t="n"/>
      <c r="U409" s="387" t="n"/>
      <c r="V409" s="383" t="n"/>
      <c r="W409" s="387" t="n"/>
    </row>
    <row r="410" ht="3" customHeight="1" s="1883">
      <c r="D410" s="383" t="n"/>
      <c r="E410" s="383" t="n"/>
      <c r="F410" s="383" t="n"/>
      <c r="G410" s="383" t="n"/>
      <c r="H410" s="383" t="n"/>
      <c r="I410" s="383" t="n"/>
      <c r="J410" s="383" t="n"/>
      <c r="K410" s="383" t="n"/>
      <c r="L410" s="383" t="n"/>
      <c r="M410" s="383" t="n"/>
      <c r="N410" s="383" t="n"/>
      <c r="O410" s="383" t="n"/>
      <c r="P410" s="383" t="n"/>
      <c r="Q410" s="383" t="n"/>
      <c r="R410" s="383" t="n"/>
      <c r="S410" s="383" t="n"/>
      <c r="T410" s="383" t="n"/>
      <c r="U410" s="383" t="n"/>
      <c r="V410" s="383" t="n"/>
      <c r="W410" s="383" t="n"/>
    </row>
    <row r="411" ht="15" customHeight="1" s="1883">
      <c r="D411" s="487" t="inlineStr">
        <is>
          <t>Average Number of Phones in Use</t>
        </is>
      </c>
      <c r="E411" s="488" t="n"/>
      <c r="F411" s="488" t="n"/>
      <c r="G411" s="488" t="n"/>
      <c r="H411" s="488" t="n"/>
      <c r="I411" s="383" t="n"/>
      <c r="J411" s="391">
        <f>'3C. Tel. - Revenue Drivers - 1 '!J214</f>
        <v/>
      </c>
      <c r="K411" s="391">
        <f>'3C. Tel. - Revenue Drivers - 1 '!K214</f>
        <v/>
      </c>
      <c r="L411" s="391">
        <f>'3C. Tel. - Revenue Drivers - 1 '!L214</f>
        <v/>
      </c>
      <c r="M411" s="391">
        <f>'3C. Tel. - Revenue Drivers - 1 '!M214</f>
        <v/>
      </c>
      <c r="N411" s="391">
        <f>'3C. Tel. - Revenue Drivers - 1 '!N214</f>
        <v/>
      </c>
      <c r="O411" s="391">
        <f>'3C. Tel. - Revenue Drivers - 1 '!O214</f>
        <v/>
      </c>
      <c r="P411" s="391">
        <f>'3C. Tel. - Revenue Drivers - 1 '!P214</f>
        <v/>
      </c>
      <c r="Q411" s="391">
        <f>'3C. Tel. - Revenue Drivers - 1 '!Q214</f>
        <v/>
      </c>
      <c r="R411" s="391">
        <f>'3C. Tel. - Revenue Drivers - 1 '!R214</f>
        <v/>
      </c>
      <c r="S411" s="391">
        <f>'3C. Tel. - Revenue Drivers - 1 '!S214</f>
        <v/>
      </c>
      <c r="T411" s="391">
        <f>'3C. Tel. - Revenue Drivers - 1 '!T214</f>
        <v/>
      </c>
      <c r="U411" s="391">
        <f>'3C. Tel. - Revenue Drivers - 1 '!U214</f>
        <v/>
      </c>
      <c r="V411" s="391" t="n"/>
      <c r="W411" s="441" t="n"/>
    </row>
    <row r="412" ht="15" customHeight="1" s="1883">
      <c r="D412" s="618" t="inlineStr">
        <is>
          <t>Revenue Generating Customers (Customers Earning Rewards)</t>
        </is>
      </c>
      <c r="E412" s="619" t="n"/>
      <c r="F412" s="619" t="n"/>
      <c r="G412" s="619" t="n"/>
      <c r="H412" s="619" t="n"/>
      <c r="I412" s="383" t="n"/>
      <c r="J412" s="621">
        <f>'3E. Tel. Attrit. Renew. Reward'!BC286</f>
        <v/>
      </c>
      <c r="K412" s="621">
        <f>'3E. Tel. Attrit. Renew. Reward'!BD286</f>
        <v/>
      </c>
      <c r="L412" s="621">
        <f>'3E. Tel. Attrit. Renew. Reward'!BE286</f>
        <v/>
      </c>
      <c r="M412" s="621">
        <f>'3E. Tel. Attrit. Renew. Reward'!BF286</f>
        <v/>
      </c>
      <c r="N412" s="621">
        <f>'3E. Tel. Attrit. Renew. Reward'!BG286</f>
        <v/>
      </c>
      <c r="O412" s="621">
        <f>'3E. Tel. Attrit. Renew. Reward'!BH286</f>
        <v/>
      </c>
      <c r="P412" s="621">
        <f>'3E. Tel. Attrit. Renew. Reward'!BI286</f>
        <v/>
      </c>
      <c r="Q412" s="621">
        <f>'3E. Tel. Attrit. Renew. Reward'!BJ286</f>
        <v/>
      </c>
      <c r="R412" s="621">
        <f>'3E. Tel. Attrit. Renew. Reward'!BK286</f>
        <v/>
      </c>
      <c r="S412" s="621">
        <f>'3E. Tel. Attrit. Renew. Reward'!BL286</f>
        <v/>
      </c>
      <c r="T412" s="621">
        <f>'3E. Tel. Attrit. Renew. Reward'!BM286</f>
        <v/>
      </c>
      <c r="U412" s="621">
        <f>'3E. Tel. Attrit. Renew. Reward'!BN286</f>
        <v/>
      </c>
      <c r="V412" s="391" t="n"/>
      <c r="W412" s="441" t="n"/>
    </row>
    <row r="413" ht="15" customHeight="1" s="1883">
      <c r="D413" s="422" t="inlineStr">
        <is>
          <t xml:space="preserve">Minutes/Month/Revenue Generating Phone </t>
        </is>
      </c>
      <c r="E413" s="383" t="n"/>
      <c r="F413" s="383" t="n"/>
      <c r="G413" s="383" t="n"/>
      <c r="H413" s="383" t="n"/>
      <c r="I413" s="383" t="n"/>
      <c r="J413" s="485">
        <f>'3C. Tel. - Revenue Drivers - 1 '!J213</f>
        <v/>
      </c>
      <c r="K413" s="485">
        <f>'3C. Tel. - Revenue Drivers - 1 '!K213</f>
        <v/>
      </c>
      <c r="L413" s="485">
        <f>'3C. Tel. - Revenue Drivers - 1 '!L213</f>
        <v/>
      </c>
      <c r="M413" s="485">
        <f>'3C. Tel. - Revenue Drivers - 1 '!M213</f>
        <v/>
      </c>
      <c r="N413" s="485">
        <f>'3C. Tel. - Revenue Drivers - 1 '!N213</f>
        <v/>
      </c>
      <c r="O413" s="485">
        <f>'3C. Tel. - Revenue Drivers - 1 '!O213</f>
        <v/>
      </c>
      <c r="P413" s="485">
        <f>'3C. Tel. - Revenue Drivers - 1 '!P213</f>
        <v/>
      </c>
      <c r="Q413" s="485">
        <f>'3C. Tel. - Revenue Drivers - 1 '!Q213</f>
        <v/>
      </c>
      <c r="R413" s="485">
        <f>'3C. Tel. - Revenue Drivers - 1 '!R213</f>
        <v/>
      </c>
      <c r="S413" s="485">
        <f>'3C. Tel. - Revenue Drivers - 1 '!S213</f>
        <v/>
      </c>
      <c r="T413" s="485">
        <f>'3C. Tel. - Revenue Drivers - 1 '!T213</f>
        <v/>
      </c>
      <c r="U413" s="485">
        <f>'3C. Tel. - Revenue Drivers - 1 '!U213</f>
        <v/>
      </c>
      <c r="V413" s="485" t="n"/>
      <c r="W413" s="496" t="n"/>
    </row>
    <row r="414" ht="15" customHeight="1" s="1883">
      <c r="E414" s="385" t="inlineStr">
        <is>
          <t>Hours/Month, All Revenue Generating Phones</t>
        </is>
      </c>
      <c r="F414" s="385" t="n"/>
      <c r="G414" s="385" t="n"/>
      <c r="H414" s="385" t="n"/>
      <c r="I414" s="383" t="n"/>
      <c r="J414" s="447">
        <f>(((J412)*(J413))/(60))</f>
        <v/>
      </c>
      <c r="K414" s="447">
        <f>(((K412)*(K413))/(60))</f>
        <v/>
      </c>
      <c r="L414" s="447">
        <f>(((L412)*(L413))/(60))</f>
        <v/>
      </c>
      <c r="M414" s="447">
        <f>(((M412)*(M413))/(60))</f>
        <v/>
      </c>
      <c r="N414" s="447">
        <f>(((N412)*(N413))/(60))</f>
        <v/>
      </c>
      <c r="O414" s="447">
        <f>(((O412)*(O413))/(60))</f>
        <v/>
      </c>
      <c r="P414" s="447">
        <f>(((P412)*(P413))/(60))</f>
        <v/>
      </c>
      <c r="Q414" s="447">
        <f>(((Q412)*(Q413))/(60))</f>
        <v/>
      </c>
      <c r="R414" s="447">
        <f>(((R412)*(R413))/(60))</f>
        <v/>
      </c>
      <c r="S414" s="447">
        <f>(((S412)*(S413))/(60))</f>
        <v/>
      </c>
      <c r="T414" s="447">
        <f>(((T412)*(T413))/(60))</f>
        <v/>
      </c>
      <c r="U414" s="447">
        <f>(((U412)*(U413))/(60))</f>
        <v/>
      </c>
      <c r="V414" s="447" t="n"/>
      <c r="W414" s="497" t="n"/>
    </row>
    <row r="415" ht="15" customHeight="1" s="1883">
      <c r="D415" s="383" t="n"/>
      <c r="E415" s="383" t="n"/>
      <c r="F415" s="383" t="n"/>
      <c r="G415" s="383" t="n"/>
      <c r="H415" s="383" t="n"/>
      <c r="I415" s="383" t="n"/>
      <c r="J415" s="383" t="n"/>
      <c r="K415" s="383" t="n"/>
      <c r="L415" s="383" t="n"/>
      <c r="M415" s="383" t="n"/>
      <c r="N415" s="383" t="n"/>
      <c r="O415" s="383" t="n"/>
      <c r="P415" s="383" t="n"/>
      <c r="Q415" s="383" t="n"/>
      <c r="R415" s="383" t="n"/>
      <c r="S415" s="383" t="n"/>
      <c r="T415" s="383" t="n"/>
      <c r="U415" s="383" t="n"/>
      <c r="V415" s="383" t="n"/>
      <c r="W415" s="1910" t="n"/>
    </row>
    <row r="416" ht="15" customHeight="1" s="1883">
      <c r="D416" s="383" t="inlineStr">
        <is>
          <t>Billable Hour Conversion Rate</t>
        </is>
      </c>
      <c r="E416" s="383" t="n"/>
      <c r="F416" s="383" t="n"/>
      <c r="G416" s="383" t="n"/>
      <c r="H416" s="383" t="n"/>
      <c r="I416" s="383" t="n"/>
      <c r="J416" s="489">
        <f>'3C. Tel. - Revenue Drivers - 1 '!J237</f>
        <v/>
      </c>
      <c r="K416" s="489">
        <f>'3C. Tel. - Revenue Drivers - 1 '!K237</f>
        <v/>
      </c>
      <c r="L416" s="489">
        <f>'3C. Tel. - Revenue Drivers - 1 '!L237</f>
        <v/>
      </c>
      <c r="M416" s="489">
        <f>'3C. Tel. - Revenue Drivers - 1 '!M237</f>
        <v/>
      </c>
      <c r="N416" s="489">
        <f>'3C. Tel. - Revenue Drivers - 1 '!N237</f>
        <v/>
      </c>
      <c r="O416" s="489">
        <f>'3C. Tel. - Revenue Drivers - 1 '!O237</f>
        <v/>
      </c>
      <c r="P416" s="489">
        <f>'3C. Tel. - Revenue Drivers - 1 '!P237</f>
        <v/>
      </c>
      <c r="Q416" s="489">
        <f>'3C. Tel. - Revenue Drivers - 1 '!Q237</f>
        <v/>
      </c>
      <c r="R416" s="489">
        <f>'3C. Tel. - Revenue Drivers - 1 '!R237</f>
        <v/>
      </c>
      <c r="S416" s="489">
        <f>'3C. Tel. - Revenue Drivers - 1 '!S237</f>
        <v/>
      </c>
      <c r="T416" s="489">
        <f>'3C. Tel. - Revenue Drivers - 1 '!T237</f>
        <v/>
      </c>
      <c r="U416" s="489">
        <f>'3C. Tel. - Revenue Drivers - 1 '!U237</f>
        <v/>
      </c>
      <c r="V416" s="489" t="n"/>
      <c r="W416" s="498" t="n"/>
    </row>
    <row r="417" ht="15" customHeight="1" s="1883">
      <c r="E417" s="385" t="inlineStr">
        <is>
          <t>Billable Hours/Month</t>
        </is>
      </c>
      <c r="F417" s="385" t="n"/>
      <c r="G417" s="385" t="n"/>
      <c r="H417" s="385" t="n"/>
      <c r="I417" s="383" t="n"/>
      <c r="J417" s="447">
        <f>((J414)*(J416))</f>
        <v/>
      </c>
      <c r="K417" s="447">
        <f>((K414)*(K416))</f>
        <v/>
      </c>
      <c r="L417" s="447">
        <f>((L414)*(L416))</f>
        <v/>
      </c>
      <c r="M417" s="447">
        <f>((M414)*(M416))</f>
        <v/>
      </c>
      <c r="N417" s="447">
        <f>((N414)*(N416))</f>
        <v/>
      </c>
      <c r="O417" s="447">
        <f>((O414)*(O416))</f>
        <v/>
      </c>
      <c r="P417" s="447">
        <f>((P414)*(P416))</f>
        <v/>
      </c>
      <c r="Q417" s="447">
        <f>((Q414)*(Q416))</f>
        <v/>
      </c>
      <c r="R417" s="447">
        <f>((R414)*(R416))</f>
        <v/>
      </c>
      <c r="S417" s="447">
        <f>((S414)*(S416))</f>
        <v/>
      </c>
      <c r="T417" s="447">
        <f>((T414)*(T416))</f>
        <v/>
      </c>
      <c r="U417" s="447">
        <f>((U414)*(U416))</f>
        <v/>
      </c>
      <c r="V417" s="447" t="n"/>
      <c r="W417" s="497" t="n"/>
      <c r="X417" s="383" t="n"/>
      <c r="Y417" s="383" t="n"/>
    </row>
    <row r="418" ht="15" customHeight="1" s="1883">
      <c r="D418" s="383" t="n"/>
      <c r="E418" s="383" t="n"/>
      <c r="F418" s="383" t="n"/>
      <c r="G418" s="383" t="n"/>
      <c r="H418" s="383" t="n"/>
      <c r="I418" s="383" t="n"/>
      <c r="J418" s="383" t="n"/>
      <c r="K418" s="383" t="n"/>
      <c r="L418" s="383" t="n"/>
      <c r="M418" s="383" t="n"/>
      <c r="N418" s="383" t="n"/>
      <c r="O418" s="383" t="n"/>
      <c r="P418" s="383" t="n"/>
      <c r="Q418" s="383" t="n"/>
      <c r="R418" s="383" t="n"/>
      <c r="S418" s="383" t="n"/>
      <c r="T418" s="383" t="n"/>
      <c r="U418" s="383" t="n"/>
      <c r="V418" s="383" t="n"/>
      <c r="W418" s="1910" t="n"/>
      <c r="X418" s="383" t="n"/>
      <c r="Y418" s="383" t="n"/>
    </row>
    <row r="419" ht="15" customHeight="1" s="1883">
      <c r="D419" s="383" t="inlineStr">
        <is>
          <t>Standard Rate/Billable Hour</t>
        </is>
      </c>
      <c r="E419" s="383" t="n"/>
      <c r="F419" s="383" t="n"/>
      <c r="G419" s="383" t="n"/>
      <c r="H419" s="383" t="n"/>
      <c r="I419" s="383" t="n"/>
      <c r="J419" s="2021">
        <f>'3C. Tel. - Revenue Drivers - 1 '!J278</f>
        <v/>
      </c>
      <c r="K419" s="2021">
        <f>'3C. Tel. - Revenue Drivers - 1 '!K278</f>
        <v/>
      </c>
      <c r="L419" s="2021">
        <f>'3C. Tel. - Revenue Drivers - 1 '!L278</f>
        <v/>
      </c>
      <c r="M419" s="2021">
        <f>'3C. Tel. - Revenue Drivers - 1 '!M278</f>
        <v/>
      </c>
      <c r="N419" s="2021">
        <f>'3C. Tel. - Revenue Drivers - 1 '!N278</f>
        <v/>
      </c>
      <c r="O419" s="2021">
        <f>'3C. Tel. - Revenue Drivers - 1 '!O278</f>
        <v/>
      </c>
      <c r="P419" s="2021">
        <f>'3C. Tel. - Revenue Drivers - 1 '!P278</f>
        <v/>
      </c>
      <c r="Q419" s="2021">
        <f>'3C. Tel. - Revenue Drivers - 1 '!Q278</f>
        <v/>
      </c>
      <c r="R419" s="2021">
        <f>'3C. Tel. - Revenue Drivers - 1 '!R278</f>
        <v/>
      </c>
      <c r="S419" s="2021">
        <f>'3C. Tel. - Revenue Drivers - 1 '!S278</f>
        <v/>
      </c>
      <c r="T419" s="2021">
        <f>'3C. Tel. - Revenue Drivers - 1 '!T278</f>
        <v/>
      </c>
      <c r="U419" s="2021">
        <f>'3C. Tel. - Revenue Drivers - 1 '!U278</f>
        <v/>
      </c>
      <c r="V419" s="2021" t="n"/>
      <c r="W419" s="2023" t="n"/>
      <c r="X419" s="383" t="n"/>
      <c r="Y419" s="383" t="n"/>
    </row>
    <row r="420" ht="15" customHeight="1" s="1883">
      <c r="D420" s="383" t="inlineStr">
        <is>
          <t>Discount</t>
        </is>
      </c>
      <c r="E420" s="383" t="n"/>
      <c r="F420" s="383" t="n"/>
      <c r="G420" s="383" t="n"/>
      <c r="H420" s="383" t="n"/>
      <c r="I420" s="383" t="n"/>
      <c r="J420" s="490">
        <f>'3C. Tel. - Revenue Drivers - 1 '!J279</f>
        <v/>
      </c>
      <c r="K420" s="490">
        <f>'3C. Tel. - Revenue Drivers - 1 '!K279</f>
        <v/>
      </c>
      <c r="L420" s="490">
        <f>'3C. Tel. - Revenue Drivers - 1 '!L279</f>
        <v/>
      </c>
      <c r="M420" s="490">
        <f>'3C. Tel. - Revenue Drivers - 1 '!M279</f>
        <v/>
      </c>
      <c r="N420" s="490">
        <f>'3C. Tel. - Revenue Drivers - 1 '!N279</f>
        <v/>
      </c>
      <c r="O420" s="490">
        <f>'3C. Tel. - Revenue Drivers - 1 '!O279</f>
        <v/>
      </c>
      <c r="P420" s="490">
        <f>'3C. Tel. - Revenue Drivers - 1 '!P279</f>
        <v/>
      </c>
      <c r="Q420" s="490">
        <f>'3C. Tel. - Revenue Drivers - 1 '!Q279</f>
        <v/>
      </c>
      <c r="R420" s="490">
        <f>'3C. Tel. - Revenue Drivers - 1 '!R279</f>
        <v/>
      </c>
      <c r="S420" s="490">
        <f>'3C. Tel. - Revenue Drivers - 1 '!S279</f>
        <v/>
      </c>
      <c r="T420" s="490">
        <f>'3C. Tel. - Revenue Drivers - 1 '!T279</f>
        <v/>
      </c>
      <c r="U420" s="490">
        <f>'3C. Tel. - Revenue Drivers - 1 '!U279</f>
        <v/>
      </c>
      <c r="V420" s="490" t="n"/>
      <c r="W420" s="500" t="n"/>
      <c r="X420" s="383" t="n"/>
      <c r="Y420" s="383" t="n"/>
    </row>
    <row r="421" ht="15" customHeight="1" s="1883">
      <c r="E421" s="385" t="inlineStr">
        <is>
          <t>Realized Rate/Billable Hour</t>
        </is>
      </c>
      <c r="F421" s="383" t="n"/>
      <c r="G421" s="383" t="n"/>
      <c r="H421" s="383" t="n"/>
      <c r="I421" s="383" t="n"/>
      <c r="J421" s="2022">
        <f>(((1)-(J420))*(J419))</f>
        <v/>
      </c>
      <c r="K421" s="2022">
        <f>(((1)-(K420))*(K419))</f>
        <v/>
      </c>
      <c r="L421" s="2022">
        <f>(((1)-(L420))*(L419))</f>
        <v/>
      </c>
      <c r="M421" s="2022">
        <f>(((1)-(M420))*(M419))</f>
        <v/>
      </c>
      <c r="N421" s="2022">
        <f>(((1)-(N420))*(N419))</f>
        <v/>
      </c>
      <c r="O421" s="2022">
        <f>(((1)-(O420))*(O419))</f>
        <v/>
      </c>
      <c r="P421" s="2022">
        <f>(((1)-(P420))*(P419))</f>
        <v/>
      </c>
      <c r="Q421" s="2022">
        <f>(((1)-(Q420))*(Q419))</f>
        <v/>
      </c>
      <c r="R421" s="2022">
        <f>(((1)-(R420))*(R419))</f>
        <v/>
      </c>
      <c r="S421" s="2022">
        <f>(((1)-(S420))*(S419))</f>
        <v/>
      </c>
      <c r="T421" s="2022">
        <f>(((1)-(T420))*(T419))</f>
        <v/>
      </c>
      <c r="U421" s="2022">
        <f>(((1)-(U420))*(U419))</f>
        <v/>
      </c>
      <c r="V421" s="2022" t="n"/>
      <c r="W421" s="2024" t="n"/>
      <c r="X421" s="383" t="n"/>
      <c r="Y421" s="383" t="n"/>
    </row>
    <row r="422" ht="3" customHeight="1" s="1883">
      <c r="D422" s="383" t="n"/>
      <c r="E422" s="383" t="n"/>
      <c r="F422" s="383" t="n"/>
      <c r="G422" s="383" t="n"/>
      <c r="H422" s="383" t="n"/>
      <c r="I422" s="383" t="n"/>
      <c r="J422" s="387" t="n"/>
      <c r="K422" s="387" t="n"/>
      <c r="L422" s="387" t="n"/>
      <c r="M422" s="387" t="n"/>
      <c r="N422" s="387" t="n"/>
      <c r="O422" s="387" t="n"/>
      <c r="P422" s="387" t="n"/>
      <c r="Q422" s="387" t="n"/>
      <c r="R422" s="387" t="n"/>
      <c r="S422" s="387" t="n"/>
      <c r="T422" s="387" t="n"/>
      <c r="U422" s="387" t="n"/>
      <c r="V422" s="1910" t="n"/>
      <c r="W422" s="1910" t="n"/>
      <c r="X422" s="383" t="n"/>
      <c r="Y422" s="383" t="n"/>
    </row>
    <row r="423" ht="3" customHeight="1" s="1883">
      <c r="D423" s="383" t="n"/>
      <c r="E423" s="383" t="n"/>
      <c r="F423" s="383" t="n"/>
      <c r="G423" s="383" t="n"/>
      <c r="H423" s="383" t="n"/>
      <c r="I423" s="383" t="n"/>
      <c r="J423" s="383" t="n"/>
      <c r="K423" s="383" t="n"/>
      <c r="L423" s="383" t="n"/>
      <c r="M423" s="383" t="n"/>
      <c r="N423" s="383" t="n"/>
      <c r="O423" s="383" t="n"/>
      <c r="P423" s="383" t="n"/>
      <c r="Q423" s="383" t="n"/>
      <c r="R423" s="383" t="n"/>
      <c r="S423" s="383" t="n"/>
      <c r="T423" s="383" t="n"/>
      <c r="U423" s="383" t="n"/>
      <c r="V423" s="383" t="n"/>
      <c r="W423" s="1910" t="n"/>
      <c r="X423" s="383" t="n"/>
      <c r="Y423" s="383" t="n"/>
    </row>
    <row r="424" ht="15" customHeight="1" s="1883">
      <c r="D424" s="383" t="n"/>
      <c r="F424" s="491" t="inlineStr">
        <is>
          <t>Realized Revenue</t>
        </is>
      </c>
      <c r="G424" s="492" t="n"/>
      <c r="H424" s="492" t="n"/>
      <c r="I424" s="383" t="n"/>
      <c r="J424" s="493">
        <f>((J417)*(J421))</f>
        <v/>
      </c>
      <c r="K424" s="493">
        <f>((K417)*(K421))</f>
        <v/>
      </c>
      <c r="L424" s="493">
        <f>((L417)*(L421))</f>
        <v/>
      </c>
      <c r="M424" s="493">
        <f>((M417)*(M421))</f>
        <v/>
      </c>
      <c r="N424" s="493">
        <f>((N417)*(N421))</f>
        <v/>
      </c>
      <c r="O424" s="493">
        <f>((O417)*(O421))</f>
        <v/>
      </c>
      <c r="P424" s="493">
        <f>((P417)*(P421))</f>
        <v/>
      </c>
      <c r="Q424" s="493">
        <f>((Q417)*(Q421))</f>
        <v/>
      </c>
      <c r="R424" s="493">
        <f>((R417)*(R421))</f>
        <v/>
      </c>
      <c r="S424" s="493">
        <f>((S417)*(S421))</f>
        <v/>
      </c>
      <c r="T424" s="493">
        <f>((T417)*(T421))</f>
        <v/>
      </c>
      <c r="U424" s="493">
        <f>((U417)*(U421))</f>
        <v/>
      </c>
      <c r="V424" s="493" t="n"/>
      <c r="W424" s="493">
        <f>((J424)+(K424)+(L424)+(M424)+(N424)+(O424)+(P424)+(Q424)+(R424)+(S424)+(T424)+(U424))</f>
        <v/>
      </c>
      <c r="X424" s="383" t="n"/>
      <c r="Y424" s="396">
        <f>'3C. Tel. - Revenue Drivers - 1 '!V297</f>
        <v/>
      </c>
    </row>
    <row r="425" ht="3" customHeight="1" s="1883">
      <c r="D425" s="383" t="n"/>
      <c r="E425" s="383" t="n"/>
      <c r="F425" s="383" t="n"/>
      <c r="G425" s="383" t="n"/>
      <c r="H425" s="383" t="n"/>
      <c r="I425" s="383" t="n"/>
      <c r="J425" s="387" t="n"/>
      <c r="K425" s="387" t="n"/>
      <c r="L425" s="387" t="n"/>
      <c r="M425" s="387" t="n"/>
      <c r="N425" s="387" t="n"/>
      <c r="O425" s="387" t="n"/>
      <c r="P425" s="387" t="n"/>
      <c r="Q425" s="387" t="n"/>
      <c r="R425" s="387" t="n"/>
      <c r="S425" s="387" t="n"/>
      <c r="T425" s="387" t="n"/>
      <c r="U425" s="387" t="n"/>
      <c r="V425" s="387" t="n"/>
      <c r="W425" s="387" t="n"/>
      <c r="X425" s="383" t="n"/>
      <c r="Y425" s="383" t="n"/>
    </row>
    <row r="426" ht="3" customHeight="1" s="1883">
      <c r="D426" s="383" t="n"/>
      <c r="E426" s="383" t="n"/>
      <c r="F426" s="383" t="n"/>
      <c r="G426" s="383" t="n"/>
      <c r="H426" s="383" t="n"/>
      <c r="I426" s="383" t="n"/>
      <c r="J426" s="383" t="n"/>
      <c r="K426" s="383" t="n"/>
      <c r="L426" s="383" t="n"/>
      <c r="M426" s="383" t="n"/>
      <c r="N426" s="383" t="n"/>
      <c r="O426" s="383" t="n"/>
      <c r="P426" s="383" t="n"/>
      <c r="Q426" s="383" t="n"/>
      <c r="R426" s="383" t="n"/>
      <c r="S426" s="383" t="n"/>
      <c r="T426" s="383" t="n"/>
      <c r="U426" s="383" t="n"/>
      <c r="V426" s="383" t="n"/>
      <c r="W426" s="383" t="n"/>
      <c r="X426" s="383" t="n"/>
      <c r="Y426" s="383" t="n"/>
    </row>
    <row r="427" ht="15" customHeight="1" s="1883">
      <c r="D427" s="383" t="n"/>
      <c r="E427" s="383" t="n"/>
      <c r="F427" s="383" t="n"/>
      <c r="G427" s="383" t="n"/>
      <c r="H427" s="383" t="n"/>
      <c r="I427" s="383" t="n"/>
      <c r="J427" s="383" t="n"/>
      <c r="K427" s="383" t="n"/>
      <c r="L427" s="383" t="n"/>
      <c r="M427" s="383" t="n"/>
      <c r="N427" s="383" t="n"/>
      <c r="O427" s="383" t="n"/>
      <c r="P427" s="383" t="n"/>
      <c r="Q427" s="383" t="n"/>
      <c r="R427" s="383" t="n"/>
      <c r="S427" s="383" t="n"/>
      <c r="T427" s="383" t="n"/>
      <c r="U427" s="383" t="n"/>
      <c r="V427" s="383" t="n"/>
      <c r="W427" s="383" t="n"/>
      <c r="X427" s="383" t="n"/>
      <c r="Y427" s="383" t="n"/>
    </row>
    <row r="428" ht="15" customHeight="1" s="1883">
      <c r="D428" s="383" t="n"/>
      <c r="E428" s="383" t="n"/>
      <c r="F428" s="383" t="n"/>
      <c r="G428" s="502" t="inlineStr">
        <is>
          <t>Less: Rewards Paid to Users</t>
        </is>
      </c>
      <c r="H428" s="503" t="n"/>
      <c r="I428" s="502" t="n"/>
      <c r="J428" s="520">
        <f>'3E. Tel. Attrit. Renew. Reward'!BC395</f>
        <v/>
      </c>
      <c r="K428" s="520">
        <f>'3E. Tel. Attrit. Renew. Reward'!BD395</f>
        <v/>
      </c>
      <c r="L428" s="520">
        <f>'3E. Tel. Attrit. Renew. Reward'!BE395</f>
        <v/>
      </c>
      <c r="M428" s="520">
        <f>'3E. Tel. Attrit. Renew. Reward'!BF395</f>
        <v/>
      </c>
      <c r="N428" s="520">
        <f>'3E. Tel. Attrit. Renew. Reward'!BG395</f>
        <v/>
      </c>
      <c r="O428" s="520">
        <f>'3E. Tel. Attrit. Renew. Reward'!BH395</f>
        <v/>
      </c>
      <c r="P428" s="520">
        <f>'3E. Tel. Attrit. Renew. Reward'!BI395</f>
        <v/>
      </c>
      <c r="Q428" s="520">
        <f>'3E. Tel. Attrit. Renew. Reward'!BJ395</f>
        <v/>
      </c>
      <c r="R428" s="520">
        <f>'3E. Tel. Attrit. Renew. Reward'!BK395</f>
        <v/>
      </c>
      <c r="S428" s="520">
        <f>'3E. Tel. Attrit. Renew. Reward'!BL395</f>
        <v/>
      </c>
      <c r="T428" s="520">
        <f>'3E. Tel. Attrit. Renew. Reward'!BM395</f>
        <v/>
      </c>
      <c r="U428" s="520">
        <f>'3E. Tel. Attrit. Renew. Reward'!BN395</f>
        <v/>
      </c>
      <c r="V428" s="503" t="n"/>
      <c r="W428" s="520">
        <f>((J428)+(K428)+(L428)+(M428)+(N428)+(O428)+(P428)+(Q428)+(R428)+(S428)+(T428)+(U428))</f>
        <v/>
      </c>
      <c r="X428" s="383" t="n"/>
      <c r="Y428" s="494">
        <f>SUM('3E. Tel. Attrit. Renew. Reward'!BC395:BN395)</f>
        <v/>
      </c>
    </row>
    <row r="429" ht="3" customHeight="1" s="1883">
      <c r="D429" s="383" t="n"/>
      <c r="E429" s="383" t="n"/>
      <c r="F429" s="383" t="n"/>
      <c r="G429" s="383" t="n"/>
      <c r="H429" s="383" t="n"/>
      <c r="I429" s="383" t="n"/>
      <c r="J429" s="387" t="n"/>
      <c r="K429" s="387" t="n"/>
      <c r="L429" s="387" t="n"/>
      <c r="M429" s="387" t="n"/>
      <c r="N429" s="387" t="n"/>
      <c r="O429" s="387" t="n"/>
      <c r="P429" s="387" t="n"/>
      <c r="Q429" s="387" t="n"/>
      <c r="R429" s="387" t="n"/>
      <c r="S429" s="387" t="n"/>
      <c r="T429" s="387" t="n"/>
      <c r="U429" s="387" t="n"/>
      <c r="V429" s="387" t="n"/>
      <c r="W429" s="387" t="n"/>
      <c r="X429" s="383" t="n"/>
      <c r="Y429" s="387" t="n"/>
    </row>
    <row r="430" ht="3" customHeight="1" s="1883">
      <c r="D430" s="383" t="n"/>
      <c r="E430" s="383" t="n"/>
      <c r="F430" s="383" t="n"/>
      <c r="G430" s="383" t="n"/>
      <c r="H430" s="383" t="n"/>
      <c r="I430" s="383" t="n"/>
      <c r="J430" s="383" t="n"/>
      <c r="K430" s="383" t="n"/>
      <c r="L430" s="383" t="n"/>
      <c r="M430" s="383" t="n"/>
      <c r="N430" s="383" t="n"/>
      <c r="O430" s="383" t="n"/>
      <c r="P430" s="383" t="n"/>
      <c r="Q430" s="383" t="n"/>
      <c r="R430" s="383" t="n"/>
      <c r="S430" s="383" t="n"/>
      <c r="T430" s="383" t="n"/>
      <c r="U430" s="383" t="n"/>
      <c r="V430" s="383" t="n"/>
      <c r="W430" s="383" t="n"/>
      <c r="X430" s="383" t="n"/>
      <c r="Y430" s="383" t="n"/>
    </row>
    <row r="431" ht="15" customHeight="1" s="1883">
      <c r="D431" s="383" t="n"/>
      <c r="E431" s="383" t="n"/>
      <c r="F431" s="383" t="n"/>
      <c r="G431" s="383" t="n"/>
      <c r="H431" s="383" t="n"/>
      <c r="I431" s="383" t="n"/>
      <c r="J431" s="383" t="n"/>
      <c r="K431" s="383" t="n"/>
      <c r="L431" s="383" t="n"/>
      <c r="M431" s="383" t="n"/>
      <c r="N431" s="383" t="n"/>
      <c r="O431" s="383" t="n"/>
      <c r="P431" s="383" t="n"/>
      <c r="Q431" s="383" t="n"/>
      <c r="R431" s="383" t="n"/>
      <c r="S431" s="383" t="n"/>
      <c r="T431" s="383" t="n"/>
      <c r="U431" s="383" t="n"/>
      <c r="V431" s="383" t="n"/>
      <c r="W431" s="383" t="n"/>
      <c r="X431" s="383" t="n"/>
      <c r="Y431" s="383" t="n"/>
    </row>
    <row r="432" ht="15" customHeight="1" s="1883">
      <c r="D432" s="383" t="n"/>
      <c r="E432" s="383" t="n"/>
      <c r="F432" s="383" t="n"/>
      <c r="G432" s="383" t="n"/>
      <c r="H432" s="513" t="inlineStr">
        <is>
          <t>Net Revenue, Market Research Services</t>
        </is>
      </c>
      <c r="I432" s="514" t="n"/>
      <c r="J432" s="515">
        <f>((J424)-(J428))</f>
        <v/>
      </c>
      <c r="K432" s="515">
        <f>((K424)-(K428))</f>
        <v/>
      </c>
      <c r="L432" s="515">
        <f>((L424)-(L428))</f>
        <v/>
      </c>
      <c r="M432" s="515">
        <f>((M424)-(M428))</f>
        <v/>
      </c>
      <c r="N432" s="515">
        <f>((N424)-(N428))</f>
        <v/>
      </c>
      <c r="O432" s="515">
        <f>((O424)-(O428))</f>
        <v/>
      </c>
      <c r="P432" s="515">
        <f>((P424)-(P428))</f>
        <v/>
      </c>
      <c r="Q432" s="515">
        <f>((Q424)-(Q428))</f>
        <v/>
      </c>
      <c r="R432" s="515">
        <f>((R424)-(R428))</f>
        <v/>
      </c>
      <c r="S432" s="515">
        <f>((S424)-(S428))</f>
        <v/>
      </c>
      <c r="T432" s="515">
        <f>((T424)-(T428))</f>
        <v/>
      </c>
      <c r="U432" s="515">
        <f>((U424)-(U428))</f>
        <v/>
      </c>
      <c r="V432" s="515" t="n"/>
      <c r="W432" s="515">
        <f>((W424)-(W428))</f>
        <v/>
      </c>
      <c r="X432" s="383" t="n"/>
      <c r="Y432" s="396">
        <f>((Y424)-(Y428))</f>
        <v/>
      </c>
    </row>
    <row r="439" ht="15" customHeight="1" s="1883">
      <c r="B439" s="118" t="inlineStr">
        <is>
          <t>∑, I + II</t>
        </is>
      </c>
      <c r="C439" s="383" t="n"/>
      <c r="D439" s="385" t="inlineStr">
        <is>
          <t>Total Net Revenue, Hardware + Market Reasearch Services</t>
        </is>
      </c>
      <c r="E439" s="385" t="n"/>
      <c r="F439" s="385" t="n"/>
      <c r="G439" s="385" t="n"/>
      <c r="H439" s="385" t="n"/>
      <c r="I439" s="383" t="n"/>
      <c r="J439" s="383" t="n"/>
      <c r="K439" s="383" t="n"/>
      <c r="L439" s="383" t="n"/>
      <c r="M439" s="383" t="n"/>
      <c r="N439" s="383" t="n"/>
      <c r="O439" s="383" t="n"/>
      <c r="P439" s="383" t="n"/>
      <c r="Q439" s="383" t="n"/>
      <c r="R439" s="383" t="n"/>
      <c r="S439" s="383" t="n"/>
      <c r="T439" s="383" t="n"/>
      <c r="U439" s="383" t="n"/>
      <c r="V439" s="383" t="n"/>
      <c r="W439" s="383" t="n"/>
    </row>
    <row r="440" ht="3" customHeight="1" s="1883">
      <c r="B440" s="383" t="n"/>
      <c r="C440" s="383" t="n"/>
      <c r="D440" s="387" t="n"/>
      <c r="E440" s="387" t="n"/>
      <c r="F440" s="387" t="n"/>
      <c r="G440" s="387" t="n"/>
      <c r="H440" s="387" t="n"/>
      <c r="I440" s="1910" t="n"/>
      <c r="J440" s="1910" t="n"/>
      <c r="K440" s="383" t="n"/>
      <c r="L440" s="383" t="n"/>
      <c r="M440" s="383" t="n"/>
      <c r="N440" s="383" t="n"/>
      <c r="O440" s="383" t="n"/>
      <c r="P440" s="383" t="n"/>
      <c r="Q440" s="383" t="n"/>
      <c r="R440" s="383" t="n"/>
      <c r="S440" s="383" t="n"/>
      <c r="T440" s="383" t="n"/>
      <c r="U440" s="383" t="n"/>
      <c r="V440" s="383" t="n"/>
      <c r="W440" s="383" t="n"/>
    </row>
    <row r="441" ht="3" customHeight="1" s="1883">
      <c r="B441" s="383" t="n"/>
      <c r="C441" s="383" t="n"/>
      <c r="D441" s="383" t="n"/>
      <c r="E441" s="383" t="n"/>
      <c r="F441" s="383" t="n"/>
      <c r="G441" s="383" t="n"/>
      <c r="H441" s="383" t="n"/>
      <c r="I441" s="383" t="n"/>
      <c r="J441" s="383" t="n"/>
      <c r="K441" s="383" t="n"/>
      <c r="L441" s="383" t="n"/>
      <c r="M441" s="383" t="n"/>
      <c r="N441" s="383" t="n"/>
      <c r="O441" s="383" t="n"/>
      <c r="P441" s="383" t="n"/>
      <c r="Q441" s="383" t="n"/>
      <c r="R441" s="383" t="n"/>
      <c r="S441" s="383" t="n"/>
      <c r="T441" s="383" t="n"/>
      <c r="U441" s="383" t="n"/>
      <c r="V441" s="383" t="n"/>
      <c r="W441" s="383" t="n"/>
    </row>
    <row r="442" ht="15" customHeight="1" s="1883">
      <c r="B442" s="383" t="n"/>
      <c r="C442" s="383" t="n"/>
      <c r="D442" s="383" t="n"/>
      <c r="E442" s="383" t="n"/>
      <c r="F442" s="383" t="n"/>
      <c r="G442" s="383" t="n"/>
      <c r="H442" s="383" t="n"/>
      <c r="I442" s="383" t="n"/>
      <c r="J442" s="1882" t="inlineStr">
        <is>
          <t>Year 1</t>
        </is>
      </c>
    </row>
    <row r="443" ht="3" customHeight="1" s="1883">
      <c r="B443" s="383" t="n"/>
      <c r="C443" s="383" t="n"/>
      <c r="D443" s="383" t="n"/>
      <c r="E443" s="383" t="n"/>
      <c r="F443" s="383" t="n"/>
      <c r="G443" s="383" t="n"/>
      <c r="H443" s="383" t="n"/>
      <c r="I443" s="383" t="n"/>
      <c r="J443" s="387" t="n"/>
      <c r="K443" s="387" t="n"/>
      <c r="L443" s="387" t="n"/>
      <c r="M443" s="387" t="n"/>
      <c r="N443" s="387" t="n"/>
      <c r="O443" s="387" t="n"/>
      <c r="P443" s="387" t="n"/>
      <c r="Q443" s="387" t="n"/>
      <c r="R443" s="387" t="n"/>
      <c r="S443" s="387" t="n"/>
      <c r="T443" s="387" t="n"/>
      <c r="U443" s="387" t="n"/>
      <c r="V443" s="387" t="n"/>
      <c r="W443" s="387" t="n"/>
    </row>
    <row r="444" ht="3" customHeight="1" s="1883">
      <c r="B444" s="383" t="n"/>
      <c r="C444" s="383" t="n"/>
      <c r="D444" s="383" t="n"/>
      <c r="E444" s="383" t="n"/>
      <c r="F444" s="383" t="n"/>
      <c r="G444" s="383" t="n"/>
      <c r="H444" s="383" t="n"/>
      <c r="I444" s="383" t="n"/>
      <c r="J444" s="383" t="n"/>
      <c r="K444" s="383" t="n"/>
      <c r="L444" s="383" t="n"/>
      <c r="M444" s="383" t="n"/>
      <c r="N444" s="383" t="n"/>
      <c r="O444" s="383" t="n"/>
      <c r="P444" s="383" t="n"/>
      <c r="Q444" s="383" t="n"/>
      <c r="R444" s="383" t="n"/>
      <c r="S444" s="383" t="n"/>
      <c r="T444" s="383" t="n"/>
      <c r="U444" s="383" t="n"/>
      <c r="V444" s="383" t="n"/>
      <c r="W444" s="383" t="n"/>
    </row>
    <row r="445" ht="15" customHeight="1" s="1883">
      <c r="B445" s="383" t="n"/>
      <c r="C445" s="383" t="n"/>
      <c r="D445" s="383" t="n"/>
      <c r="E445" s="383" t="n"/>
      <c r="F445" s="383" t="n"/>
      <c r="G445" s="383" t="n"/>
      <c r="H445" s="383" t="n"/>
      <c r="I445" s="383" t="n"/>
      <c r="J445" s="386" t="inlineStr">
        <is>
          <t>Month 1</t>
        </is>
      </c>
      <c r="K445" s="386" t="inlineStr">
        <is>
          <t>Month 2</t>
        </is>
      </c>
      <c r="L445" s="386" t="inlineStr">
        <is>
          <t>Month 3</t>
        </is>
      </c>
      <c r="M445" s="386" t="inlineStr">
        <is>
          <t>Month 4</t>
        </is>
      </c>
      <c r="N445" s="386" t="inlineStr">
        <is>
          <t>Month 5</t>
        </is>
      </c>
      <c r="O445" s="386" t="inlineStr">
        <is>
          <t>Month 6</t>
        </is>
      </c>
      <c r="P445" s="386" t="inlineStr">
        <is>
          <t>Month 7</t>
        </is>
      </c>
      <c r="Q445" s="386" t="inlineStr">
        <is>
          <t>Month 8</t>
        </is>
      </c>
      <c r="R445" s="386" t="inlineStr">
        <is>
          <t>Month 9</t>
        </is>
      </c>
      <c r="S445" s="386" t="inlineStr">
        <is>
          <t>Month 10</t>
        </is>
      </c>
      <c r="T445" s="386" t="inlineStr">
        <is>
          <t>Month 11</t>
        </is>
      </c>
      <c r="U445" s="386" t="inlineStr">
        <is>
          <t>Month 12</t>
        </is>
      </c>
      <c r="V445" s="383" t="n"/>
      <c r="W445" s="386" t="inlineStr">
        <is>
          <t>Full-Year</t>
        </is>
      </c>
    </row>
    <row r="446" ht="3" customHeight="1" s="1883">
      <c r="B446" s="383" t="n"/>
      <c r="C446" s="383" t="n"/>
      <c r="D446" s="383" t="n"/>
      <c r="E446" s="383" t="n"/>
      <c r="F446" s="383" t="n"/>
      <c r="G446" s="383" t="n"/>
      <c r="H446" s="383" t="n"/>
      <c r="I446" s="383" t="n"/>
      <c r="J446" s="387" t="n"/>
      <c r="K446" s="387" t="n"/>
      <c r="L446" s="387" t="n"/>
      <c r="M446" s="387" t="n"/>
      <c r="N446" s="387" t="n"/>
      <c r="O446" s="387" t="n"/>
      <c r="P446" s="387" t="n"/>
      <c r="Q446" s="387" t="n"/>
      <c r="R446" s="387" t="n"/>
      <c r="S446" s="387" t="n"/>
      <c r="T446" s="387" t="n"/>
      <c r="U446" s="387" t="n"/>
      <c r="V446" s="383" t="n"/>
      <c r="W446" s="387" t="n"/>
    </row>
    <row r="447" ht="3" customHeight="1" s="1883">
      <c r="B447" s="383" t="n"/>
      <c r="C447" s="383" t="n"/>
      <c r="D447" s="383" t="n"/>
      <c r="E447" s="383" t="n"/>
      <c r="F447" s="383" t="n"/>
      <c r="G447" s="383" t="n"/>
      <c r="H447" s="383" t="n"/>
      <c r="I447" s="383" t="n"/>
      <c r="J447" s="383" t="n"/>
      <c r="K447" s="383" t="n"/>
      <c r="L447" s="383" t="n"/>
      <c r="M447" s="383" t="n"/>
      <c r="N447" s="383" t="n"/>
      <c r="O447" s="383" t="n"/>
      <c r="P447" s="383" t="n"/>
      <c r="Q447" s="383" t="n"/>
      <c r="R447" s="383" t="n"/>
      <c r="S447" s="383" t="n"/>
      <c r="T447" s="383" t="n"/>
      <c r="U447" s="383" t="n"/>
      <c r="V447" s="383" t="n"/>
      <c r="W447" s="383" t="n"/>
    </row>
    <row r="448" ht="15" customHeight="1" s="1883">
      <c r="B448" s="383" t="n"/>
      <c r="C448" s="383" t="n"/>
      <c r="D448" s="383" t="inlineStr">
        <is>
          <t>Total Net Revenue, Hardware</t>
        </is>
      </c>
      <c r="E448" s="383" t="n"/>
      <c r="F448" s="383" t="n"/>
      <c r="G448" s="383" t="n"/>
      <c r="H448" s="383" t="n"/>
      <c r="I448" s="383" t="n"/>
      <c r="J448" s="395">
        <f>(J77)</f>
        <v/>
      </c>
      <c r="K448" s="395">
        <f>(K77)</f>
        <v/>
      </c>
      <c r="L448" s="395">
        <f>(L77)</f>
        <v/>
      </c>
      <c r="M448" s="395">
        <f>(M77)</f>
        <v/>
      </c>
      <c r="N448" s="395">
        <f>(N77)</f>
        <v/>
      </c>
      <c r="O448" s="395">
        <f>(O77)</f>
        <v/>
      </c>
      <c r="P448" s="395">
        <f>(P77)</f>
        <v/>
      </c>
      <c r="Q448" s="395">
        <f>(Q77)</f>
        <v/>
      </c>
      <c r="R448" s="395">
        <f>(R77)</f>
        <v/>
      </c>
      <c r="S448" s="395">
        <f>(S77)</f>
        <v/>
      </c>
      <c r="T448" s="395">
        <f>(T77)</f>
        <v/>
      </c>
      <c r="U448" s="395">
        <f>(U77)</f>
        <v/>
      </c>
      <c r="V448" s="383" t="n"/>
      <c r="W448" s="396">
        <f>((J448)+(K448)+(L448)+(M448)+(N448)+(O448)+(P448)+(Q448)+(R448)+(S448)+(T448)+(U448))</f>
        <v/>
      </c>
    </row>
    <row r="449" ht="15" customHeight="1" s="1883">
      <c r="D449" s="383" t="inlineStr">
        <is>
          <t>Total Net Revenue, Market Research Services</t>
        </is>
      </c>
      <c r="E449" s="383" t="n"/>
      <c r="F449" s="383" t="n"/>
      <c r="G449" s="383" t="n"/>
      <c r="H449" s="383" t="n"/>
      <c r="I449" s="383" t="n"/>
      <c r="J449" s="462">
        <f>(J304)</f>
        <v/>
      </c>
      <c r="K449" s="462">
        <f>(K304)</f>
        <v/>
      </c>
      <c r="L449" s="462">
        <f>(L304)</f>
        <v/>
      </c>
      <c r="M449" s="462">
        <f>(M304)</f>
        <v/>
      </c>
      <c r="N449" s="462">
        <f>(N304)</f>
        <v/>
      </c>
      <c r="O449" s="462">
        <f>(O304)</f>
        <v/>
      </c>
      <c r="P449" s="462">
        <f>(P304)</f>
        <v/>
      </c>
      <c r="Q449" s="462">
        <f>(Q304)</f>
        <v/>
      </c>
      <c r="R449" s="462">
        <f>(R304)</f>
        <v/>
      </c>
      <c r="S449" s="462">
        <f>(S304)</f>
        <v/>
      </c>
      <c r="T449" s="462">
        <f>(T304)</f>
        <v/>
      </c>
      <c r="U449" s="462">
        <f>(U304)</f>
        <v/>
      </c>
      <c r="V449" s="462">
        <f>(V304)</f>
        <v/>
      </c>
      <c r="W449" s="462">
        <f>(W304)</f>
        <v/>
      </c>
      <c r="X449" s="383" t="n"/>
      <c r="Y449" s="383" t="n"/>
    </row>
    <row r="450" ht="3" customHeight="1" s="1883">
      <c r="D450" s="383" t="n"/>
      <c r="E450" s="383" t="n"/>
      <c r="F450" s="383" t="n"/>
      <c r="G450" s="383" t="n"/>
      <c r="H450" s="383" t="n"/>
      <c r="I450" s="383" t="n"/>
      <c r="J450" s="387" t="n"/>
      <c r="K450" s="387" t="n"/>
      <c r="L450" s="387" t="n"/>
      <c r="M450" s="387" t="n"/>
      <c r="N450" s="387" t="n"/>
      <c r="O450" s="387" t="n"/>
      <c r="P450" s="387" t="n"/>
      <c r="Q450" s="387" t="n"/>
      <c r="R450" s="387" t="n"/>
      <c r="S450" s="387" t="n"/>
      <c r="T450" s="387" t="n"/>
      <c r="U450" s="387" t="n"/>
      <c r="V450" s="383" t="n"/>
      <c r="W450" s="387" t="n"/>
      <c r="X450" s="383" t="n"/>
      <c r="Y450" s="383" t="n"/>
    </row>
    <row r="451" ht="3" customHeight="1" s="1883">
      <c r="D451" s="383" t="n"/>
      <c r="E451" s="383" t="n"/>
      <c r="F451" s="383" t="n"/>
      <c r="G451" s="383" t="n"/>
      <c r="H451" s="383" t="n"/>
      <c r="I451" s="383" t="n"/>
      <c r="J451" s="383" t="n"/>
      <c r="K451" s="383" t="n"/>
      <c r="L451" s="383" t="n"/>
      <c r="M451" s="383" t="n"/>
      <c r="N451" s="383" t="n"/>
      <c r="O451" s="383" t="n"/>
      <c r="P451" s="383" t="n"/>
      <c r="Q451" s="383" t="n"/>
      <c r="R451" s="383" t="n"/>
      <c r="S451" s="383" t="n"/>
      <c r="T451" s="383" t="n"/>
      <c r="U451" s="383" t="n"/>
      <c r="V451" s="383" t="n"/>
      <c r="W451" s="383" t="n"/>
      <c r="X451" s="383" t="n"/>
      <c r="Y451" s="383" t="n"/>
    </row>
    <row r="452" ht="15" customHeight="1" s="1883">
      <c r="D452" s="383" t="n"/>
      <c r="E452" s="516" t="inlineStr">
        <is>
          <t>Total Net Revenue, Hardware + Market Research Services</t>
        </is>
      </c>
      <c r="F452" s="517" t="n"/>
      <c r="G452" s="517" t="n"/>
      <c r="H452" s="517" t="n"/>
      <c r="I452" s="517" t="n"/>
      <c r="J452" s="518">
        <f>SUM(J448:J449)</f>
        <v/>
      </c>
      <c r="K452" s="518">
        <f>SUM(K448:K449)</f>
        <v/>
      </c>
      <c r="L452" s="518">
        <f>SUM(L448:L449)</f>
        <v/>
      </c>
      <c r="M452" s="518">
        <f>SUM(M448:M449)</f>
        <v/>
      </c>
      <c r="N452" s="518">
        <f>SUM(N448:N449)</f>
        <v/>
      </c>
      <c r="O452" s="518">
        <f>SUM(O448:O449)</f>
        <v/>
      </c>
      <c r="P452" s="518">
        <f>SUM(P448:P449)</f>
        <v/>
      </c>
      <c r="Q452" s="518">
        <f>SUM(Q448:Q449)</f>
        <v/>
      </c>
      <c r="R452" s="518">
        <f>SUM(R448:R449)</f>
        <v/>
      </c>
      <c r="S452" s="518">
        <f>SUM(S448:S449)</f>
        <v/>
      </c>
      <c r="T452" s="518">
        <f>SUM(T448:T449)</f>
        <v/>
      </c>
      <c r="U452" s="518">
        <f>SUM(U448:U449)</f>
        <v/>
      </c>
      <c r="V452" s="517" t="n"/>
      <c r="W452" s="518">
        <f>((J452)+(K452)+(L452)+(M452)+(N452)+(O452)+(P452)+(Q452)+(R452)+(S452)+(T452)+(U452))</f>
        <v/>
      </c>
      <c r="X452" s="383" t="n"/>
      <c r="Y452" s="396">
        <f>SUM(W448:W449)</f>
        <v/>
      </c>
    </row>
    <row r="453" ht="3" customHeight="1" s="1883">
      <c r="D453" s="383" t="n"/>
      <c r="E453" s="383" t="n"/>
      <c r="F453" s="383" t="n"/>
      <c r="G453" s="383" t="n"/>
      <c r="H453" s="383" t="n"/>
      <c r="I453" s="383" t="n"/>
      <c r="J453" s="387" t="n"/>
      <c r="K453" s="387" t="n"/>
      <c r="L453" s="387" t="n"/>
      <c r="M453" s="387" t="n"/>
      <c r="N453" s="387" t="n"/>
      <c r="O453" s="387" t="n"/>
      <c r="P453" s="387" t="n"/>
      <c r="Q453" s="387" t="n"/>
      <c r="R453" s="387" t="n"/>
      <c r="S453" s="387" t="n"/>
      <c r="T453" s="387" t="n"/>
      <c r="U453" s="387" t="n"/>
      <c r="V453" s="383" t="n"/>
      <c r="W453" s="387" t="n"/>
      <c r="X453" s="383" t="n"/>
      <c r="Y453" s="387" t="n"/>
    </row>
    <row r="454" ht="3" customHeight="1" s="1883">
      <c r="D454" s="383" t="n"/>
      <c r="E454" s="383" t="n"/>
      <c r="F454" s="383" t="n"/>
      <c r="G454" s="383" t="n"/>
      <c r="H454" s="383" t="n"/>
      <c r="I454" s="383" t="n"/>
      <c r="J454" s="383" t="n"/>
      <c r="K454" s="383" t="n"/>
      <c r="L454" s="383" t="n"/>
      <c r="M454" s="383" t="n"/>
      <c r="N454" s="383" t="n"/>
      <c r="O454" s="383" t="n"/>
      <c r="P454" s="383" t="n"/>
      <c r="Q454" s="383" t="n"/>
      <c r="R454" s="383" t="n"/>
      <c r="S454" s="383" t="n"/>
      <c r="T454" s="383" t="n"/>
      <c r="U454" s="383" t="n"/>
      <c r="V454" s="383" t="n"/>
      <c r="W454" s="383" t="n"/>
      <c r="X454" s="383" t="n"/>
      <c r="Y454" s="383" t="n"/>
    </row>
    <row r="455" ht="15" customHeight="1" s="1883">
      <c r="D455" s="383" t="n"/>
      <c r="E455" s="383" t="n"/>
      <c r="F455" s="383" t="n"/>
      <c r="G455" s="383" t="n"/>
      <c r="H455" s="383" t="n"/>
      <c r="I455" s="383" t="n"/>
      <c r="J455" s="383" t="n"/>
      <c r="K455" s="383" t="n"/>
      <c r="L455" s="383" t="n"/>
      <c r="M455" s="383" t="n"/>
      <c r="N455" s="383" t="n"/>
      <c r="O455" s="383" t="n"/>
      <c r="P455" s="383" t="n"/>
      <c r="Q455" s="383" t="n"/>
      <c r="R455" s="383" t="n"/>
      <c r="S455" s="383" t="n"/>
      <c r="T455" s="383" t="n"/>
      <c r="U455" s="383" t="n"/>
      <c r="V455" s="383" t="n"/>
      <c r="W455" s="383" t="n"/>
      <c r="X455" s="383" t="n"/>
      <c r="Y455" s="383" t="n"/>
    </row>
    <row r="456" ht="15" customHeight="1" s="1883">
      <c r="D456" s="383" t="n"/>
      <c r="E456" s="383" t="n"/>
      <c r="F456" s="383" t="n"/>
      <c r="G456" s="383" t="n"/>
      <c r="H456" s="383" t="n"/>
      <c r="I456" s="383" t="n"/>
      <c r="J456" s="383" t="n"/>
      <c r="K456" s="383" t="n"/>
      <c r="L456" s="383" t="n"/>
      <c r="M456" s="383" t="n"/>
      <c r="N456" s="383" t="n"/>
      <c r="O456" s="383" t="n"/>
      <c r="P456" s="383" t="n"/>
      <c r="Q456" s="383" t="n"/>
      <c r="R456" s="383" t="n"/>
      <c r="S456" s="383" t="n"/>
      <c r="T456" s="383" t="n"/>
      <c r="U456" s="383" t="n"/>
      <c r="V456" s="383" t="n"/>
      <c r="W456" s="383" t="n"/>
      <c r="X456" s="383" t="n"/>
      <c r="Y456" s="383" t="n"/>
    </row>
    <row r="457" ht="15" customHeight="1" s="1883">
      <c r="D457" s="383" t="n"/>
      <c r="E457" s="383" t="n"/>
      <c r="F457" s="383" t="n"/>
      <c r="G457" s="383" t="n"/>
      <c r="H457" s="383" t="n"/>
      <c r="I457" s="383" t="n"/>
      <c r="J457" s="1882" t="inlineStr">
        <is>
          <t>Year 2</t>
        </is>
      </c>
      <c r="X457" s="383" t="n"/>
      <c r="Y457" s="383" t="n"/>
    </row>
    <row r="458" ht="3" customHeight="1" s="1883">
      <c r="D458" s="383" t="n"/>
      <c r="E458" s="383" t="n"/>
      <c r="F458" s="383" t="n"/>
      <c r="G458" s="383" t="n"/>
      <c r="H458" s="383" t="n"/>
      <c r="I458" s="383" t="n"/>
      <c r="J458" s="387" t="n"/>
      <c r="K458" s="387" t="n"/>
      <c r="L458" s="387" t="n"/>
      <c r="M458" s="387" t="n"/>
      <c r="N458" s="387" t="n"/>
      <c r="O458" s="387" t="n"/>
      <c r="P458" s="387" t="n"/>
      <c r="Q458" s="387" t="n"/>
      <c r="R458" s="387" t="n"/>
      <c r="S458" s="387" t="n"/>
      <c r="T458" s="387" t="n"/>
      <c r="U458" s="387" t="n"/>
      <c r="V458" s="387" t="n"/>
      <c r="W458" s="387" t="n"/>
      <c r="X458" s="383" t="n"/>
      <c r="Y458" s="383" t="n"/>
    </row>
    <row r="459" ht="3" customHeight="1" s="1883">
      <c r="D459" s="383" t="n"/>
      <c r="E459" s="383" t="n"/>
      <c r="F459" s="383" t="n"/>
      <c r="G459" s="383" t="n"/>
      <c r="H459" s="383" t="n"/>
      <c r="I459" s="383" t="n"/>
      <c r="J459" s="383" t="n"/>
      <c r="K459" s="383" t="n"/>
      <c r="L459" s="383" t="n"/>
      <c r="M459" s="383" t="n"/>
      <c r="N459" s="383" t="n"/>
      <c r="O459" s="383" t="n"/>
      <c r="P459" s="383" t="n"/>
      <c r="Q459" s="383" t="n"/>
      <c r="R459" s="383" t="n"/>
      <c r="S459" s="383" t="n"/>
      <c r="T459" s="383" t="n"/>
      <c r="U459" s="383" t="n"/>
      <c r="V459" s="383" t="n"/>
      <c r="W459" s="383" t="n"/>
      <c r="X459" s="383" t="n"/>
      <c r="Y459" s="383" t="n"/>
    </row>
    <row r="460" ht="15" customHeight="1" s="1883">
      <c r="D460" s="383" t="n"/>
      <c r="E460" s="383" t="n"/>
      <c r="F460" s="383" t="n"/>
      <c r="G460" s="383" t="n"/>
      <c r="H460" s="383" t="n"/>
      <c r="I460" s="383" t="n"/>
      <c r="J460" s="386" t="inlineStr">
        <is>
          <t>Month 13</t>
        </is>
      </c>
      <c r="K460" s="386" t="inlineStr">
        <is>
          <t>Month 14</t>
        </is>
      </c>
      <c r="L460" s="386" t="inlineStr">
        <is>
          <t>Month 15</t>
        </is>
      </c>
      <c r="M460" s="386" t="inlineStr">
        <is>
          <t>Month 16</t>
        </is>
      </c>
      <c r="N460" s="386" t="inlineStr">
        <is>
          <t>Month 17</t>
        </is>
      </c>
      <c r="O460" s="386" t="inlineStr">
        <is>
          <t>Month 18</t>
        </is>
      </c>
      <c r="P460" s="386" t="inlineStr">
        <is>
          <t>Month 19</t>
        </is>
      </c>
      <c r="Q460" s="386" t="inlineStr">
        <is>
          <t>Month 20</t>
        </is>
      </c>
      <c r="R460" s="386" t="inlineStr">
        <is>
          <t>Month 21</t>
        </is>
      </c>
      <c r="S460" s="386" t="inlineStr">
        <is>
          <t>Month 22</t>
        </is>
      </c>
      <c r="T460" s="386" t="inlineStr">
        <is>
          <t>Month 23</t>
        </is>
      </c>
      <c r="U460" s="386" t="inlineStr">
        <is>
          <t>Month 24</t>
        </is>
      </c>
      <c r="V460" s="383" t="n"/>
      <c r="W460" s="386" t="inlineStr">
        <is>
          <t>Full-Year</t>
        </is>
      </c>
      <c r="X460" s="383" t="n"/>
      <c r="Y460" s="383" t="n"/>
    </row>
    <row r="461" ht="3" customHeight="1" s="1883">
      <c r="D461" s="383" t="n"/>
      <c r="E461" s="383" t="n"/>
      <c r="F461" s="383" t="n"/>
      <c r="G461" s="383" t="n"/>
      <c r="H461" s="383" t="n"/>
      <c r="I461" s="383" t="n"/>
      <c r="J461" s="387" t="n"/>
      <c r="K461" s="387" t="n"/>
      <c r="L461" s="387" t="n"/>
      <c r="M461" s="387" t="n"/>
      <c r="N461" s="387" t="n"/>
      <c r="O461" s="387" t="n"/>
      <c r="P461" s="387" t="n"/>
      <c r="Q461" s="387" t="n"/>
      <c r="R461" s="387" t="n"/>
      <c r="S461" s="387" t="n"/>
      <c r="T461" s="387" t="n"/>
      <c r="U461" s="387" t="n"/>
      <c r="V461" s="383" t="n"/>
      <c r="W461" s="387" t="n"/>
      <c r="X461" s="383" t="n"/>
      <c r="Y461" s="383" t="n"/>
    </row>
    <row r="462" ht="3" customHeight="1" s="1883">
      <c r="D462" s="383" t="n"/>
      <c r="E462" s="383" t="n"/>
      <c r="F462" s="383" t="n"/>
      <c r="G462" s="383" t="n"/>
      <c r="H462" s="383" t="n"/>
      <c r="I462" s="383" t="n"/>
      <c r="J462" s="383" t="n"/>
      <c r="K462" s="383" t="n"/>
      <c r="L462" s="383" t="n"/>
      <c r="M462" s="383" t="n"/>
      <c r="N462" s="383" t="n"/>
      <c r="O462" s="383" t="n"/>
      <c r="P462" s="383" t="n"/>
      <c r="Q462" s="383" t="n"/>
      <c r="R462" s="383" t="n"/>
      <c r="S462" s="383" t="n"/>
      <c r="T462" s="383" t="n"/>
      <c r="U462" s="383" t="n"/>
      <c r="V462" s="383" t="n"/>
      <c r="W462" s="383" t="n"/>
      <c r="X462" s="383" t="n"/>
      <c r="Y462" s="383" t="n"/>
    </row>
    <row r="463" ht="15" customHeight="1" s="1883">
      <c r="D463" s="383" t="inlineStr">
        <is>
          <t>Total Net Revenue, Hardware</t>
        </is>
      </c>
      <c r="E463" s="383" t="n"/>
      <c r="F463" s="383" t="n"/>
      <c r="G463" s="383" t="n"/>
      <c r="H463" s="383" t="n"/>
      <c r="I463" s="383" t="n"/>
      <c r="J463" s="395">
        <f>(J115)</f>
        <v/>
      </c>
      <c r="K463" s="395">
        <f>(K115)</f>
        <v/>
      </c>
      <c r="L463" s="395">
        <f>(L115)</f>
        <v/>
      </c>
      <c r="M463" s="395">
        <f>(M115)</f>
        <v/>
      </c>
      <c r="N463" s="395">
        <f>(N115)</f>
        <v/>
      </c>
      <c r="O463" s="395">
        <f>(O115)</f>
        <v/>
      </c>
      <c r="P463" s="395">
        <f>(P115)</f>
        <v/>
      </c>
      <c r="Q463" s="395">
        <f>(Q115)</f>
        <v/>
      </c>
      <c r="R463" s="395">
        <f>(R115)</f>
        <v/>
      </c>
      <c r="S463" s="395">
        <f>(S115)</f>
        <v/>
      </c>
      <c r="T463" s="395">
        <f>(T115)</f>
        <v/>
      </c>
      <c r="U463" s="395">
        <f>(U115)</f>
        <v/>
      </c>
      <c r="V463" s="383" t="n"/>
      <c r="W463" s="396">
        <f>((J463)+(K463)+(L463)+(M463)+(N463)+(O463)+(P463)+(Q463)+(R463)+(S463)+(T463)+(U463))</f>
        <v/>
      </c>
      <c r="X463" s="383" t="n"/>
      <c r="Y463" s="383" t="n"/>
    </row>
    <row r="464" ht="15" customHeight="1" s="1883">
      <c r="D464" s="383" t="inlineStr">
        <is>
          <t>Total Net Revenue, Market Research Services</t>
        </is>
      </c>
      <c r="E464" s="383" t="n"/>
      <c r="F464" s="383" t="n"/>
      <c r="G464" s="383" t="n"/>
      <c r="H464" s="383" t="n"/>
      <c r="I464" s="383" t="n"/>
      <c r="J464" s="462">
        <f>(J336)</f>
        <v/>
      </c>
      <c r="K464" s="462">
        <f>(K336)</f>
        <v/>
      </c>
      <c r="L464" s="462">
        <f>(L336)</f>
        <v/>
      </c>
      <c r="M464" s="462">
        <f>(M336)</f>
        <v/>
      </c>
      <c r="N464" s="462">
        <f>(N336)</f>
        <v/>
      </c>
      <c r="O464" s="462">
        <f>(O336)</f>
        <v/>
      </c>
      <c r="P464" s="462">
        <f>(P336)</f>
        <v/>
      </c>
      <c r="Q464" s="462">
        <f>(Q336)</f>
        <v/>
      </c>
      <c r="R464" s="462">
        <f>(R336)</f>
        <v/>
      </c>
      <c r="S464" s="462">
        <f>(S336)</f>
        <v/>
      </c>
      <c r="T464" s="462">
        <f>(T336)</f>
        <v/>
      </c>
      <c r="U464" s="462">
        <f>(U336)</f>
        <v/>
      </c>
      <c r="V464" s="383" t="n"/>
      <c r="W464" s="494">
        <f>((J464)+(K464)+(L464)+(M464)+(N464)+(O464)+(P464)+(Q464)+(R464)+(S464)+(T464)+(U464))</f>
        <v/>
      </c>
      <c r="X464" s="383" t="n"/>
      <c r="Y464" s="383" t="n"/>
    </row>
    <row r="467" ht="15" customHeight="1" s="1883">
      <c r="D467" s="383" t="n"/>
      <c r="E467" s="516" t="inlineStr">
        <is>
          <t>Total Net Revenue, Hardware + Market Research Services</t>
        </is>
      </c>
      <c r="F467" s="517" t="n"/>
      <c r="G467" s="517" t="n"/>
      <c r="H467" s="517" t="n"/>
      <c r="I467" s="517" t="n"/>
      <c r="J467" s="518">
        <f>SUM(J463:J464)</f>
        <v/>
      </c>
      <c r="K467" s="518">
        <f>SUM(K463:K464)</f>
        <v/>
      </c>
      <c r="L467" s="518">
        <f>SUM(L463:L464)</f>
        <v/>
      </c>
      <c r="M467" s="518">
        <f>SUM(M463:M464)</f>
        <v/>
      </c>
      <c r="N467" s="518">
        <f>SUM(N463:N464)</f>
        <v/>
      </c>
      <c r="O467" s="518">
        <f>SUM(O463:O464)</f>
        <v/>
      </c>
      <c r="P467" s="518">
        <f>SUM(P463:P464)</f>
        <v/>
      </c>
      <c r="Q467" s="518">
        <f>SUM(Q463:Q464)</f>
        <v/>
      </c>
      <c r="R467" s="518">
        <f>SUM(R463:R464)</f>
        <v/>
      </c>
      <c r="S467" s="518">
        <f>SUM(S463:S464)</f>
        <v/>
      </c>
      <c r="T467" s="518">
        <f>SUM(T463:T464)</f>
        <v/>
      </c>
      <c r="U467" s="518">
        <f>SUM(U463:U464)</f>
        <v/>
      </c>
      <c r="V467" s="517" t="n"/>
      <c r="W467" s="518">
        <f>((J467)+(K467)+(L467)+(M467)+(N467)+(O467)+(P467)+(Q467)+(R467)+(S467)+(T467)+(U467))</f>
        <v/>
      </c>
      <c r="X467" s="383" t="n"/>
      <c r="Y467" s="396">
        <f>SUM(W463:W464)</f>
        <v/>
      </c>
    </row>
    <row r="468" ht="3" customHeight="1" s="1883">
      <c r="D468" s="383" t="n"/>
      <c r="E468" s="383" t="n"/>
      <c r="F468" s="383" t="n"/>
      <c r="G468" s="383" t="n"/>
      <c r="H468" s="383" t="n"/>
      <c r="I468" s="383" t="n"/>
      <c r="J468" s="387" t="n"/>
      <c r="K468" s="387" t="n"/>
      <c r="L468" s="387" t="n"/>
      <c r="M468" s="387" t="n"/>
      <c r="N468" s="387" t="n"/>
      <c r="O468" s="387" t="n"/>
      <c r="P468" s="387" t="n"/>
      <c r="Q468" s="387" t="n"/>
      <c r="R468" s="387" t="n"/>
      <c r="S468" s="387" t="n"/>
      <c r="T468" s="387" t="n"/>
      <c r="U468" s="387" t="n"/>
      <c r="V468" s="383" t="n"/>
      <c r="W468" s="387" t="n"/>
      <c r="X468" s="383" t="n"/>
      <c r="Y468" s="387" t="n"/>
    </row>
    <row r="469" ht="3" customHeight="1" s="1883">
      <c r="D469" s="383" t="n"/>
      <c r="E469" s="383" t="n"/>
      <c r="F469" s="383" t="n"/>
      <c r="G469" s="383" t="n"/>
      <c r="H469" s="383" t="n"/>
      <c r="I469" s="383" t="n"/>
      <c r="J469" s="383" t="n"/>
      <c r="K469" s="383" t="n"/>
      <c r="L469" s="383" t="n"/>
      <c r="M469" s="383" t="n"/>
      <c r="N469" s="383" t="n"/>
      <c r="O469" s="383" t="n"/>
      <c r="P469" s="383" t="n"/>
      <c r="Q469" s="383" t="n"/>
      <c r="R469" s="383" t="n"/>
      <c r="S469" s="383" t="n"/>
      <c r="T469" s="383" t="n"/>
      <c r="U469" s="383" t="n"/>
      <c r="V469" s="383" t="n"/>
      <c r="W469" s="383" t="n"/>
      <c r="X469" s="383" t="n"/>
      <c r="Y469" s="383" t="n"/>
    </row>
    <row r="470" ht="15" customHeight="1" s="1883">
      <c r="D470" s="383" t="n"/>
      <c r="E470" s="383" t="n"/>
      <c r="F470" s="383" t="n"/>
      <c r="G470" s="383" t="n"/>
      <c r="H470" s="383" t="n"/>
      <c r="I470" s="383" t="n"/>
      <c r="J470" s="383" t="n"/>
      <c r="K470" s="383" t="n"/>
      <c r="L470" s="383" t="n"/>
      <c r="M470" s="383" t="n"/>
      <c r="N470" s="383" t="n"/>
      <c r="O470" s="383" t="n"/>
      <c r="P470" s="383" t="n"/>
      <c r="Q470" s="383" t="n"/>
      <c r="R470" s="383" t="n"/>
      <c r="S470" s="383" t="n"/>
      <c r="T470" s="383" t="n"/>
      <c r="U470" s="383" t="n"/>
      <c r="V470" s="383" t="n"/>
      <c r="W470" s="383" t="n"/>
      <c r="X470" s="383" t="n"/>
      <c r="Y470" s="383" t="n"/>
    </row>
    <row r="471" ht="15" customHeight="1" s="1883">
      <c r="D471" s="383" t="n"/>
      <c r="E471" s="383" t="n"/>
      <c r="F471" s="383" t="n"/>
      <c r="G471" s="383" t="n"/>
      <c r="H471" s="383" t="n"/>
      <c r="I471" s="383" t="n"/>
      <c r="J471" s="383" t="n"/>
      <c r="K471" s="383" t="n"/>
      <c r="L471" s="383" t="n"/>
      <c r="M471" s="383" t="n"/>
      <c r="N471" s="383" t="n"/>
      <c r="O471" s="383" t="n"/>
      <c r="P471" s="383" t="n"/>
      <c r="Q471" s="383" t="n"/>
      <c r="R471" s="383" t="n"/>
      <c r="S471" s="383" t="n"/>
      <c r="T471" s="383" t="n"/>
      <c r="U471" s="383" t="n"/>
      <c r="V471" s="383" t="n"/>
      <c r="W471" s="383" t="n"/>
      <c r="X471" s="383" t="n"/>
      <c r="Y471" s="383" t="n"/>
    </row>
    <row r="472" ht="15" customHeight="1" s="1883">
      <c r="D472" s="383" t="n"/>
      <c r="E472" s="383" t="n"/>
      <c r="F472" s="383" t="n"/>
      <c r="G472" s="383" t="n"/>
      <c r="H472" s="383" t="n"/>
      <c r="I472" s="383" t="n"/>
      <c r="J472" s="1882" t="inlineStr">
        <is>
          <t>Year 3</t>
        </is>
      </c>
      <c r="X472" s="383" t="n"/>
      <c r="Y472" s="383" t="n"/>
    </row>
    <row r="473" ht="3" customHeight="1" s="1883">
      <c r="D473" s="383" t="n"/>
      <c r="E473" s="383" t="n"/>
      <c r="F473" s="383" t="n"/>
      <c r="G473" s="383" t="n"/>
      <c r="H473" s="383" t="n"/>
      <c r="I473" s="383" t="n"/>
      <c r="J473" s="387" t="n"/>
      <c r="K473" s="387" t="n"/>
      <c r="L473" s="387" t="n"/>
      <c r="M473" s="387" t="n"/>
      <c r="N473" s="387" t="n"/>
      <c r="O473" s="387" t="n"/>
      <c r="P473" s="387" t="n"/>
      <c r="Q473" s="387" t="n"/>
      <c r="R473" s="387" t="n"/>
      <c r="S473" s="387" t="n"/>
      <c r="T473" s="387" t="n"/>
      <c r="U473" s="387" t="n"/>
      <c r="V473" s="387" t="n"/>
      <c r="W473" s="387" t="n"/>
      <c r="X473" s="383" t="n"/>
      <c r="Y473" s="383" t="n"/>
    </row>
    <row r="474" ht="3" customHeight="1" s="1883">
      <c r="D474" s="383" t="n"/>
      <c r="E474" s="383" t="n"/>
      <c r="F474" s="383" t="n"/>
      <c r="G474" s="383" t="n"/>
      <c r="H474" s="383" t="n"/>
      <c r="I474" s="383" t="n"/>
      <c r="J474" s="383" t="n"/>
      <c r="K474" s="383" t="n"/>
      <c r="L474" s="383" t="n"/>
      <c r="M474" s="383" t="n"/>
      <c r="N474" s="383" t="n"/>
      <c r="O474" s="383" t="n"/>
      <c r="P474" s="383" t="n"/>
      <c r="Q474" s="383" t="n"/>
      <c r="R474" s="383" t="n"/>
      <c r="S474" s="383" t="n"/>
      <c r="T474" s="383" t="n"/>
      <c r="U474" s="383" t="n"/>
      <c r="V474" s="383" t="n"/>
      <c r="W474" s="383" t="n"/>
      <c r="X474" s="383" t="n"/>
      <c r="Y474" s="383" t="n"/>
    </row>
    <row r="475" ht="15" customHeight="1" s="1883">
      <c r="D475" s="383" t="n"/>
      <c r="E475" s="383" t="n"/>
      <c r="F475" s="383" t="n"/>
      <c r="G475" s="383" t="n"/>
      <c r="H475" s="383" t="n"/>
      <c r="I475" s="383" t="n"/>
      <c r="J475" s="386" t="inlineStr">
        <is>
          <t>Month 25</t>
        </is>
      </c>
      <c r="K475" s="386" t="inlineStr">
        <is>
          <t>Month 26</t>
        </is>
      </c>
      <c r="L475" s="386" t="inlineStr">
        <is>
          <t>Month 27</t>
        </is>
      </c>
      <c r="M475" s="386" t="inlineStr">
        <is>
          <t>Month 28</t>
        </is>
      </c>
      <c r="N475" s="386" t="inlineStr">
        <is>
          <t>Month 29</t>
        </is>
      </c>
      <c r="O475" s="386" t="inlineStr">
        <is>
          <t>Month 30</t>
        </is>
      </c>
      <c r="P475" s="386" t="inlineStr">
        <is>
          <t>Month 31</t>
        </is>
      </c>
      <c r="Q475" s="386" t="inlineStr">
        <is>
          <t>Month 32</t>
        </is>
      </c>
      <c r="R475" s="386" t="inlineStr">
        <is>
          <t>Month 33</t>
        </is>
      </c>
      <c r="S475" s="386" t="inlineStr">
        <is>
          <t>Month 34</t>
        </is>
      </c>
      <c r="T475" s="386" t="inlineStr">
        <is>
          <t>Month 35</t>
        </is>
      </c>
      <c r="U475" s="386" t="inlineStr">
        <is>
          <t>Month 36</t>
        </is>
      </c>
      <c r="V475" s="383" t="n"/>
      <c r="W475" s="386" t="inlineStr">
        <is>
          <t>Full-Year</t>
        </is>
      </c>
      <c r="X475" s="383" t="n"/>
      <c r="Y475" s="383" t="n"/>
    </row>
    <row r="476" ht="3" customHeight="1" s="1883">
      <c r="D476" s="383" t="n"/>
      <c r="E476" s="383" t="n"/>
      <c r="F476" s="383" t="n"/>
      <c r="G476" s="383" t="n"/>
      <c r="H476" s="383" t="n"/>
      <c r="I476" s="383" t="n"/>
      <c r="J476" s="387" t="n"/>
      <c r="K476" s="387" t="n"/>
      <c r="L476" s="387" t="n"/>
      <c r="M476" s="387" t="n"/>
      <c r="N476" s="387" t="n"/>
      <c r="O476" s="387" t="n"/>
      <c r="P476" s="387" t="n"/>
      <c r="Q476" s="387" t="n"/>
      <c r="R476" s="387" t="n"/>
      <c r="S476" s="387" t="n"/>
      <c r="T476" s="387" t="n"/>
      <c r="U476" s="387" t="n"/>
      <c r="V476" s="383" t="n"/>
      <c r="W476" s="387" t="n"/>
      <c r="X476" s="383" t="n"/>
      <c r="Y476" s="383" t="n"/>
    </row>
    <row r="477" ht="3" customHeight="1" s="1883">
      <c r="D477" s="383" t="n"/>
      <c r="E477" s="383" t="n"/>
      <c r="F477" s="383" t="n"/>
      <c r="G477" s="383" t="n"/>
      <c r="H477" s="383" t="n"/>
      <c r="I477" s="383" t="n"/>
      <c r="J477" s="383" t="n"/>
      <c r="K477" s="383" t="n"/>
      <c r="L477" s="383" t="n"/>
      <c r="M477" s="383" t="n"/>
      <c r="N477" s="383" t="n"/>
      <c r="O477" s="383" t="n"/>
      <c r="P477" s="383" t="n"/>
      <c r="Q477" s="383" t="n"/>
      <c r="R477" s="383" t="n"/>
      <c r="S477" s="383" t="n"/>
      <c r="T477" s="383" t="n"/>
      <c r="U477" s="383" t="n"/>
      <c r="V477" s="383" t="n"/>
      <c r="W477" s="383" t="n"/>
      <c r="X477" s="383" t="n"/>
      <c r="Y477" s="383" t="n"/>
    </row>
    <row r="478" ht="15" customHeight="1" s="1883">
      <c r="D478" s="383" t="inlineStr">
        <is>
          <t>Total Net Revenue, Hardware</t>
        </is>
      </c>
      <c r="E478" s="383" t="n"/>
      <c r="F478" s="383" t="n"/>
      <c r="G478" s="383" t="n"/>
      <c r="H478" s="383" t="n"/>
      <c r="I478" s="383" t="n"/>
      <c r="J478" s="395">
        <f>(J153)</f>
        <v/>
      </c>
      <c r="K478" s="395">
        <f>(K153)</f>
        <v/>
      </c>
      <c r="L478" s="395">
        <f>(L153)</f>
        <v/>
      </c>
      <c r="M478" s="395">
        <f>(M153)</f>
        <v/>
      </c>
      <c r="N478" s="395">
        <f>(N153)</f>
        <v/>
      </c>
      <c r="O478" s="395">
        <f>(O153)</f>
        <v/>
      </c>
      <c r="P478" s="395">
        <f>(P153)</f>
        <v/>
      </c>
      <c r="Q478" s="395">
        <f>(Q153)</f>
        <v/>
      </c>
      <c r="R478" s="395">
        <f>(R153)</f>
        <v/>
      </c>
      <c r="S478" s="395">
        <f>(S153)</f>
        <v/>
      </c>
      <c r="T478" s="395">
        <f>(T153)</f>
        <v/>
      </c>
      <c r="U478" s="395">
        <f>(U153)</f>
        <v/>
      </c>
      <c r="V478" s="383" t="n"/>
      <c r="W478" s="396">
        <f>((J478)+(K478)+(L478)+(M478)+(N478)+(O478)+(P478)+(Q478)+(R478)+(S478)+(T478)+(U478))</f>
        <v/>
      </c>
      <c r="X478" s="383" t="n"/>
      <c r="Y478" s="383" t="n"/>
    </row>
    <row r="479" ht="15" customHeight="1" s="1883">
      <c r="D479" s="383" t="inlineStr">
        <is>
          <t>Total Net Revenue, Market Research Services</t>
        </is>
      </c>
      <c r="E479" s="383" t="n"/>
      <c r="F479" s="383" t="n"/>
      <c r="G479" s="383" t="n"/>
      <c r="H479" s="383" t="n"/>
      <c r="I479" s="383" t="n"/>
      <c r="J479" s="462">
        <f>(J368)</f>
        <v/>
      </c>
      <c r="K479" s="462">
        <f>(K368)</f>
        <v/>
      </c>
      <c r="L479" s="462">
        <f>(L368)</f>
        <v/>
      </c>
      <c r="M479" s="462">
        <f>(M368)</f>
        <v/>
      </c>
      <c r="N479" s="462">
        <f>(N368)</f>
        <v/>
      </c>
      <c r="O479" s="462">
        <f>(O368)</f>
        <v/>
      </c>
      <c r="P479" s="462">
        <f>(P368)</f>
        <v/>
      </c>
      <c r="Q479" s="462">
        <f>(Q368)</f>
        <v/>
      </c>
      <c r="R479" s="462">
        <f>(R368)</f>
        <v/>
      </c>
      <c r="S479" s="462">
        <f>(S368)</f>
        <v/>
      </c>
      <c r="T479" s="462">
        <f>(T368)</f>
        <v/>
      </c>
      <c r="U479" s="462">
        <f>(U368)</f>
        <v/>
      </c>
      <c r="V479" s="383" t="n"/>
      <c r="W479" s="494">
        <f>((J479)+(K479)+(L479)+(M479)+(N479)+(O479)+(P479)+(Q479)+(R479)+(S479)+(T479)+(U479))</f>
        <v/>
      </c>
      <c r="X479" s="383" t="n"/>
      <c r="Y479" s="383" t="n"/>
    </row>
    <row r="482" ht="15" customHeight="1" s="1883">
      <c r="D482" s="383" t="n"/>
      <c r="E482" s="516" t="inlineStr">
        <is>
          <t>Total Net Revenue, Hardware + Market Research Services</t>
        </is>
      </c>
      <c r="F482" s="517" t="n"/>
      <c r="G482" s="517" t="n"/>
      <c r="H482" s="517" t="n"/>
      <c r="I482" s="517" t="n"/>
      <c r="J482" s="518">
        <f>SUM(J478:J479)</f>
        <v/>
      </c>
      <c r="K482" s="518">
        <f>SUM(K478:K479)</f>
        <v/>
      </c>
      <c r="L482" s="518">
        <f>SUM(L478:L479)</f>
        <v/>
      </c>
      <c r="M482" s="518">
        <f>SUM(M478:M479)</f>
        <v/>
      </c>
      <c r="N482" s="518">
        <f>SUM(N478:N479)</f>
        <v/>
      </c>
      <c r="O482" s="518">
        <f>SUM(O478:O479)</f>
        <v/>
      </c>
      <c r="P482" s="518">
        <f>SUM(P478:P479)</f>
        <v/>
      </c>
      <c r="Q482" s="518">
        <f>SUM(Q478:Q479)</f>
        <v/>
      </c>
      <c r="R482" s="518">
        <f>SUM(R478:R479)</f>
        <v/>
      </c>
      <c r="S482" s="518">
        <f>SUM(S478:S479)</f>
        <v/>
      </c>
      <c r="T482" s="518">
        <f>SUM(T478:T479)</f>
        <v/>
      </c>
      <c r="U482" s="518">
        <f>SUM(U478:U479)</f>
        <v/>
      </c>
      <c r="V482" s="517" t="n"/>
      <c r="W482" s="518">
        <f>((J482)+(K482)+(L482)+(M482)+(N482)+(O482)+(P482)+(Q482)+(R482)+(S482)+(T482)+(U482))</f>
        <v/>
      </c>
      <c r="X482" s="383" t="n"/>
      <c r="Y482" s="396">
        <f>SUM(W478:W479)</f>
        <v/>
      </c>
    </row>
    <row r="483" ht="3" customHeight="1" s="1883">
      <c r="D483" s="383" t="n"/>
      <c r="E483" s="383" t="n"/>
      <c r="F483" s="383" t="n"/>
      <c r="G483" s="383" t="n"/>
      <c r="H483" s="383" t="n"/>
      <c r="I483" s="383" t="n"/>
      <c r="J483" s="387" t="n"/>
      <c r="K483" s="387" t="n"/>
      <c r="L483" s="387" t="n"/>
      <c r="M483" s="387" t="n"/>
      <c r="N483" s="387" t="n"/>
      <c r="O483" s="387" t="n"/>
      <c r="P483" s="387" t="n"/>
      <c r="Q483" s="387" t="n"/>
      <c r="R483" s="387" t="n"/>
      <c r="S483" s="387" t="n"/>
      <c r="T483" s="387" t="n"/>
      <c r="U483" s="387" t="n"/>
      <c r="V483" s="383" t="n"/>
      <c r="W483" s="387" t="n"/>
      <c r="X483" s="383" t="n"/>
      <c r="Y483" s="387" t="n"/>
    </row>
    <row r="484" ht="3" customHeight="1" s="1883">
      <c r="D484" s="383" t="n"/>
      <c r="E484" s="383" t="n"/>
      <c r="F484" s="383" t="n"/>
      <c r="G484" s="383" t="n"/>
      <c r="H484" s="383" t="n"/>
      <c r="I484" s="383" t="n"/>
      <c r="J484" s="383" t="n"/>
      <c r="K484" s="383" t="n"/>
      <c r="L484" s="383" t="n"/>
      <c r="M484" s="383" t="n"/>
      <c r="N484" s="383" t="n"/>
      <c r="O484" s="383" t="n"/>
      <c r="P484" s="383" t="n"/>
      <c r="Q484" s="383" t="n"/>
      <c r="R484" s="383" t="n"/>
      <c r="S484" s="383" t="n"/>
      <c r="T484" s="383" t="n"/>
      <c r="U484" s="383" t="n"/>
      <c r="V484" s="383" t="n"/>
      <c r="W484" s="383" t="n"/>
      <c r="X484" s="383" t="n"/>
      <c r="Y484" s="383" t="n"/>
    </row>
    <row r="485" ht="15" customHeight="1" s="1883">
      <c r="D485" s="383" t="n"/>
      <c r="E485" s="383" t="n"/>
      <c r="F485" s="383" t="n"/>
      <c r="G485" s="383" t="n"/>
      <c r="H485" s="383" t="n"/>
      <c r="I485" s="383" t="n"/>
      <c r="J485" s="383" t="n"/>
      <c r="K485" s="383" t="n"/>
      <c r="L485" s="383" t="n"/>
      <c r="M485" s="383" t="n"/>
      <c r="N485" s="383" t="n"/>
      <c r="O485" s="383" t="n"/>
      <c r="P485" s="383" t="n"/>
      <c r="Q485" s="383" t="n"/>
      <c r="R485" s="383" t="n"/>
      <c r="S485" s="383" t="n"/>
      <c r="T485" s="383" t="n"/>
      <c r="U485" s="383" t="n"/>
      <c r="V485" s="383" t="n"/>
      <c r="W485" s="383" t="n"/>
      <c r="X485" s="383" t="n"/>
      <c r="Y485" s="383" t="n"/>
    </row>
    <row r="486" ht="15" customHeight="1" s="1883">
      <c r="D486" s="383" t="n"/>
      <c r="E486" s="383" t="n"/>
      <c r="F486" s="383" t="n"/>
      <c r="G486" s="383" t="n"/>
      <c r="H486" s="383" t="n"/>
      <c r="I486" s="383" t="n"/>
      <c r="J486" s="383" t="n"/>
      <c r="K486" s="383" t="n"/>
      <c r="L486" s="383" t="n"/>
      <c r="M486" s="383" t="n"/>
      <c r="N486" s="383" t="n"/>
      <c r="O486" s="383" t="n"/>
      <c r="P486" s="383" t="n"/>
      <c r="Q486" s="383" t="n"/>
      <c r="R486" s="383" t="n"/>
      <c r="S486" s="383" t="n"/>
      <c r="T486" s="383" t="n"/>
      <c r="U486" s="383" t="n"/>
      <c r="V486" s="383" t="n"/>
      <c r="W486" s="383" t="n"/>
      <c r="X486" s="383" t="n"/>
      <c r="Y486" s="383" t="n"/>
    </row>
    <row r="487" ht="15" customHeight="1" s="1883">
      <c r="D487" s="383" t="n"/>
      <c r="E487" s="383" t="n"/>
      <c r="F487" s="383" t="n"/>
      <c r="G487" s="383" t="n"/>
      <c r="H487" s="383" t="n"/>
      <c r="I487" s="383" t="n"/>
      <c r="J487" s="1882" t="inlineStr">
        <is>
          <t>Year 4</t>
        </is>
      </c>
      <c r="X487" s="383" t="n"/>
      <c r="Y487" s="383" t="n"/>
    </row>
    <row r="488" ht="3" customHeight="1" s="1883">
      <c r="D488" s="383" t="n"/>
      <c r="E488" s="383" t="n"/>
      <c r="F488" s="383" t="n"/>
      <c r="G488" s="383" t="n"/>
      <c r="H488" s="383" t="n"/>
      <c r="I488" s="383" t="n"/>
      <c r="J488" s="387" t="n"/>
      <c r="K488" s="387" t="n"/>
      <c r="L488" s="387" t="n"/>
      <c r="M488" s="387" t="n"/>
      <c r="N488" s="387" t="n"/>
      <c r="O488" s="387" t="n"/>
      <c r="P488" s="387" t="n"/>
      <c r="Q488" s="387" t="n"/>
      <c r="R488" s="387" t="n"/>
      <c r="S488" s="387" t="n"/>
      <c r="T488" s="387" t="n"/>
      <c r="U488" s="387" t="n"/>
      <c r="V488" s="387" t="n"/>
      <c r="W488" s="387" t="n"/>
      <c r="X488" s="383" t="n"/>
      <c r="Y488" s="383" t="n"/>
    </row>
    <row r="489" ht="3" customHeight="1" s="1883">
      <c r="D489" s="383" t="n"/>
      <c r="E489" s="383" t="n"/>
      <c r="F489" s="383" t="n"/>
      <c r="G489" s="383" t="n"/>
      <c r="H489" s="383" t="n"/>
      <c r="I489" s="383" t="n"/>
      <c r="J489" s="383" t="n"/>
      <c r="K489" s="383" t="n"/>
      <c r="L489" s="383" t="n"/>
      <c r="M489" s="383" t="n"/>
      <c r="N489" s="383" t="n"/>
      <c r="O489" s="383" t="n"/>
      <c r="P489" s="383" t="n"/>
      <c r="Q489" s="383" t="n"/>
      <c r="R489" s="383" t="n"/>
      <c r="S489" s="383" t="n"/>
      <c r="T489" s="383" t="n"/>
      <c r="U489" s="383" t="n"/>
      <c r="V489" s="383" t="n"/>
      <c r="W489" s="383" t="n"/>
      <c r="X489" s="383" t="n"/>
      <c r="Y489" s="383" t="n"/>
    </row>
    <row r="490" ht="15" customHeight="1" s="1883">
      <c r="D490" s="383" t="n"/>
      <c r="E490" s="383" t="n"/>
      <c r="F490" s="383" t="n"/>
      <c r="G490" s="383" t="n"/>
      <c r="H490" s="383" t="n"/>
      <c r="I490" s="383" t="n"/>
      <c r="J490" s="386" t="inlineStr">
        <is>
          <t>Month 37</t>
        </is>
      </c>
      <c r="K490" s="386" t="inlineStr">
        <is>
          <t>Month 38</t>
        </is>
      </c>
      <c r="L490" s="386" t="inlineStr">
        <is>
          <t>Month 39</t>
        </is>
      </c>
      <c r="M490" s="386" t="inlineStr">
        <is>
          <t>Month 40</t>
        </is>
      </c>
      <c r="N490" s="386" t="inlineStr">
        <is>
          <t>Month 41</t>
        </is>
      </c>
      <c r="O490" s="386" t="inlineStr">
        <is>
          <t>Month 42</t>
        </is>
      </c>
      <c r="P490" s="386" t="inlineStr">
        <is>
          <t>Month 43</t>
        </is>
      </c>
      <c r="Q490" s="386" t="inlineStr">
        <is>
          <t>Month 44</t>
        </is>
      </c>
      <c r="R490" s="386" t="inlineStr">
        <is>
          <t>Month 45</t>
        </is>
      </c>
      <c r="S490" s="386" t="inlineStr">
        <is>
          <t>Month 46</t>
        </is>
      </c>
      <c r="T490" s="386" t="inlineStr">
        <is>
          <t>Month 47</t>
        </is>
      </c>
      <c r="U490" s="386" t="inlineStr">
        <is>
          <t>Month 48</t>
        </is>
      </c>
      <c r="V490" s="383" t="n"/>
      <c r="W490" s="386" t="inlineStr">
        <is>
          <t>Full-Year</t>
        </is>
      </c>
      <c r="X490" s="383" t="n"/>
      <c r="Y490" s="383" t="n"/>
    </row>
    <row r="491" ht="3" customHeight="1" s="1883">
      <c r="D491" s="383" t="n"/>
      <c r="E491" s="383" t="n"/>
      <c r="F491" s="383" t="n"/>
      <c r="G491" s="383" t="n"/>
      <c r="H491" s="383" t="n"/>
      <c r="I491" s="383" t="n"/>
      <c r="J491" s="387" t="n"/>
      <c r="K491" s="387" t="n"/>
      <c r="L491" s="387" t="n"/>
      <c r="M491" s="387" t="n"/>
      <c r="N491" s="387" t="n"/>
      <c r="O491" s="387" t="n"/>
      <c r="P491" s="387" t="n"/>
      <c r="Q491" s="387" t="n"/>
      <c r="R491" s="387" t="n"/>
      <c r="S491" s="387" t="n"/>
      <c r="T491" s="387" t="n"/>
      <c r="U491" s="387" t="n"/>
      <c r="V491" s="383" t="n"/>
      <c r="W491" s="387" t="n"/>
      <c r="X491" s="383" t="n"/>
      <c r="Y491" s="383" t="n"/>
    </row>
    <row r="492" ht="3" customHeight="1" s="1883">
      <c r="D492" s="383" t="n"/>
      <c r="E492" s="383" t="n"/>
      <c r="F492" s="383" t="n"/>
      <c r="G492" s="383" t="n"/>
      <c r="H492" s="383" t="n"/>
      <c r="I492" s="383" t="n"/>
      <c r="J492" s="383" t="n"/>
      <c r="K492" s="383" t="n"/>
      <c r="L492" s="383" t="n"/>
      <c r="M492" s="383" t="n"/>
      <c r="N492" s="383" t="n"/>
      <c r="O492" s="383" t="n"/>
      <c r="P492" s="383" t="n"/>
      <c r="Q492" s="383" t="n"/>
      <c r="R492" s="383" t="n"/>
      <c r="S492" s="383" t="n"/>
      <c r="T492" s="383" t="n"/>
      <c r="U492" s="383" t="n"/>
      <c r="V492" s="383" t="n"/>
      <c r="W492" s="383" t="n"/>
      <c r="X492" s="383" t="n"/>
      <c r="Y492" s="383" t="n"/>
    </row>
    <row r="493" ht="15" customHeight="1" s="1883">
      <c r="D493" s="383" t="inlineStr">
        <is>
          <t>Total Net Revenue, Hardware</t>
        </is>
      </c>
      <c r="E493" s="383" t="n"/>
      <c r="F493" s="383" t="n"/>
      <c r="G493" s="383" t="n"/>
      <c r="H493" s="383" t="n"/>
      <c r="I493" s="383" t="n"/>
      <c r="J493" s="395">
        <f>(J191)</f>
        <v/>
      </c>
      <c r="K493" s="395">
        <f>(K191)</f>
        <v/>
      </c>
      <c r="L493" s="395">
        <f>(L191)</f>
        <v/>
      </c>
      <c r="M493" s="395">
        <f>(M191)</f>
        <v/>
      </c>
      <c r="N493" s="395">
        <f>(N191)</f>
        <v/>
      </c>
      <c r="O493" s="395">
        <f>(O191)</f>
        <v/>
      </c>
      <c r="P493" s="395">
        <f>(P191)</f>
        <v/>
      </c>
      <c r="Q493" s="395">
        <f>(Q191)</f>
        <v/>
      </c>
      <c r="R493" s="395">
        <f>(R191)</f>
        <v/>
      </c>
      <c r="S493" s="395">
        <f>(S191)</f>
        <v/>
      </c>
      <c r="T493" s="395">
        <f>(T191)</f>
        <v/>
      </c>
      <c r="U493" s="395">
        <f>(U191)</f>
        <v/>
      </c>
      <c r="W493" s="396">
        <f>((J493)+(K493)+(L493)+(M493)+(N493)+(O493)+(P493)+(Q493)+(R493)+(S493)+(T493)+(U493))</f>
        <v/>
      </c>
      <c r="X493" s="383" t="n"/>
      <c r="Y493" s="383" t="n"/>
    </row>
    <row r="494" ht="15" customHeight="1" s="1883">
      <c r="D494" s="383" t="inlineStr">
        <is>
          <t>Total Net Revenue, Market Research Services</t>
        </is>
      </c>
      <c r="E494" s="383" t="n"/>
      <c r="F494" s="383" t="n"/>
      <c r="G494" s="383" t="n"/>
      <c r="H494" s="383" t="n"/>
      <c r="I494" s="383" t="n"/>
      <c r="J494" s="462">
        <f>(J400)</f>
        <v/>
      </c>
      <c r="K494" s="462">
        <f>(K400)</f>
        <v/>
      </c>
      <c r="L494" s="462">
        <f>(L400)</f>
        <v/>
      </c>
      <c r="M494" s="462">
        <f>(M400)</f>
        <v/>
      </c>
      <c r="N494" s="462">
        <f>(N400)</f>
        <v/>
      </c>
      <c r="O494" s="462">
        <f>(O400)</f>
        <v/>
      </c>
      <c r="P494" s="462">
        <f>(P400)</f>
        <v/>
      </c>
      <c r="Q494" s="462">
        <f>(Q400)</f>
        <v/>
      </c>
      <c r="R494" s="462">
        <f>(R400)</f>
        <v/>
      </c>
      <c r="S494" s="462">
        <f>(S400)</f>
        <v/>
      </c>
      <c r="T494" s="462">
        <f>(T400)</f>
        <v/>
      </c>
      <c r="U494" s="462">
        <f>(U400)</f>
        <v/>
      </c>
      <c r="V494" s="383" t="n"/>
      <c r="W494" s="494">
        <f>((J494)+(K494)+(L494)+(M494)+(N494)+(O494)+(P494)+(Q494)+(R494)+(S494)+(T494)+(U494))</f>
        <v/>
      </c>
      <c r="X494" s="383" t="n"/>
      <c r="Y494" s="383" t="n"/>
    </row>
    <row r="497" ht="15" customHeight="1" s="1883">
      <c r="D497" s="383" t="n"/>
      <c r="E497" s="516" t="inlineStr">
        <is>
          <t>Total Net Revenue, Hardware + Market Research Services</t>
        </is>
      </c>
      <c r="F497" s="517" t="n"/>
      <c r="G497" s="517" t="n"/>
      <c r="H497" s="476" t="n"/>
      <c r="I497" s="476" t="n"/>
      <c r="J497" s="518">
        <f>SUM(J493:J494)</f>
        <v/>
      </c>
      <c r="K497" s="518">
        <f>SUM(K493:K494)</f>
        <v/>
      </c>
      <c r="L497" s="518">
        <f>SUM(L493:L494)</f>
        <v/>
      </c>
      <c r="M497" s="518">
        <f>SUM(M493:M494)</f>
        <v/>
      </c>
      <c r="N497" s="518">
        <f>SUM(N493:N494)</f>
        <v/>
      </c>
      <c r="O497" s="518">
        <f>SUM(O493:O494)</f>
        <v/>
      </c>
      <c r="P497" s="518">
        <f>SUM(P493:P494)</f>
        <v/>
      </c>
      <c r="Q497" s="518">
        <f>SUM(Q493:Q494)</f>
        <v/>
      </c>
      <c r="R497" s="518">
        <f>SUM(R493:R494)</f>
        <v/>
      </c>
      <c r="S497" s="518">
        <f>SUM(S493:S494)</f>
        <v/>
      </c>
      <c r="T497" s="518">
        <f>SUM(T493:T494)</f>
        <v/>
      </c>
      <c r="U497" s="527">
        <f>SUM(U493:U494)</f>
        <v/>
      </c>
      <c r="V497" s="476" t="n"/>
      <c r="W497" s="518">
        <f>((J497)+(K497)+(L497)+(M497)+(N497)+(O497)+(P497)+(Q497)+(R497)+(S497)+(T497)+(U497))</f>
        <v/>
      </c>
      <c r="X497" s="383" t="n"/>
      <c r="Y497" s="396">
        <f>SUM(W493:W494)</f>
        <v/>
      </c>
    </row>
    <row r="498" ht="3" customHeight="1" s="1883">
      <c r="D498" s="383" t="n"/>
      <c r="E498" s="383" t="n"/>
      <c r="F498" s="383" t="n"/>
      <c r="G498" s="383" t="n"/>
      <c r="H498" s="383" t="n"/>
      <c r="I498" s="383" t="n"/>
      <c r="J498" s="387" t="n"/>
      <c r="K498" s="387" t="n"/>
      <c r="L498" s="387" t="n"/>
      <c r="M498" s="387" t="n"/>
      <c r="N498" s="387" t="n"/>
      <c r="O498" s="387" t="n"/>
      <c r="P498" s="387" t="n"/>
      <c r="Q498" s="387" t="n"/>
      <c r="R498" s="387" t="n"/>
      <c r="S498" s="387" t="n"/>
      <c r="T498" s="387" t="n"/>
      <c r="U498" s="387" t="n"/>
      <c r="V498" s="383" t="n"/>
      <c r="W498" s="387" t="n"/>
      <c r="X498" s="383" t="n"/>
      <c r="Y498" s="387" t="n"/>
    </row>
    <row r="499" ht="3" customHeight="1" s="1883">
      <c r="D499" s="383" t="n"/>
      <c r="E499" s="383" t="n"/>
      <c r="F499" s="383" t="n"/>
      <c r="G499" s="383" t="n"/>
      <c r="H499" s="383" t="n"/>
      <c r="I499" s="383" t="n"/>
      <c r="J499" s="383" t="n"/>
      <c r="K499" s="383" t="n"/>
      <c r="L499" s="383" t="n"/>
      <c r="M499" s="383" t="n"/>
      <c r="N499" s="383" t="n"/>
      <c r="O499" s="383" t="n"/>
      <c r="P499" s="383" t="n"/>
      <c r="Q499" s="383" t="n"/>
      <c r="R499" s="383" t="n"/>
      <c r="S499" s="383" t="n"/>
      <c r="T499" s="383" t="n"/>
      <c r="U499" s="383" t="n"/>
      <c r="V499" s="383" t="n"/>
      <c r="W499" s="383" t="n"/>
      <c r="X499" s="383" t="n"/>
      <c r="Y499" s="383" t="n"/>
    </row>
    <row r="500" ht="15" customHeight="1" s="1883">
      <c r="D500" s="383" t="n"/>
      <c r="E500" s="383" t="n"/>
      <c r="F500" s="383" t="n"/>
      <c r="G500" s="383" t="n"/>
      <c r="H500" s="383" t="n"/>
      <c r="I500" s="383" t="n"/>
      <c r="J500" s="383" t="n"/>
      <c r="K500" s="383" t="n"/>
      <c r="L500" s="383" t="n"/>
      <c r="M500" s="383" t="n"/>
      <c r="N500" s="383" t="n"/>
      <c r="O500" s="383" t="n"/>
      <c r="P500" s="383" t="n"/>
      <c r="Q500" s="383" t="n"/>
      <c r="R500" s="383" t="n"/>
      <c r="S500" s="383" t="n"/>
      <c r="T500" s="383" t="n"/>
      <c r="U500" s="383" t="n"/>
      <c r="V500" s="383" t="n"/>
      <c r="W500" s="383" t="n"/>
      <c r="X500" s="383" t="n"/>
      <c r="Y500" s="383" t="n"/>
    </row>
    <row r="501" ht="15" customHeight="1" s="1883">
      <c r="D501" s="383" t="n"/>
      <c r="E501" s="383" t="n"/>
      <c r="F501" s="383" t="n"/>
      <c r="G501" s="383" t="n"/>
      <c r="H501" s="383" t="n"/>
      <c r="I501" s="383" t="n"/>
      <c r="J501" s="383" t="n"/>
      <c r="K501" s="383" t="n"/>
      <c r="L501" s="383" t="n"/>
      <c r="M501" s="383" t="n"/>
      <c r="N501" s="383" t="n"/>
      <c r="O501" s="383" t="n"/>
      <c r="P501" s="383" t="n"/>
      <c r="Q501" s="383" t="n"/>
      <c r="R501" s="383" t="n"/>
      <c r="S501" s="383" t="n"/>
      <c r="T501" s="383" t="n"/>
      <c r="U501" s="383" t="n"/>
      <c r="V501" s="383" t="n"/>
      <c r="W501" s="383" t="n"/>
      <c r="X501" s="383" t="n"/>
      <c r="Y501" s="383" t="n"/>
    </row>
    <row r="502" ht="15" customHeight="1" s="1883">
      <c r="D502" s="383" t="n"/>
      <c r="E502" s="383" t="n"/>
      <c r="F502" s="383" t="n"/>
      <c r="G502" s="383" t="n"/>
      <c r="H502" s="383" t="n"/>
      <c r="I502" s="383" t="n"/>
      <c r="J502" s="1882" t="inlineStr">
        <is>
          <t>Year 5</t>
        </is>
      </c>
      <c r="X502" s="383" t="n"/>
      <c r="Y502" s="383" t="n"/>
    </row>
    <row r="503" ht="3" customHeight="1" s="1883">
      <c r="D503" s="383" t="n"/>
      <c r="E503" s="383" t="n"/>
      <c r="F503" s="383" t="n"/>
      <c r="G503" s="383" t="n"/>
      <c r="H503" s="383" t="n"/>
      <c r="I503" s="383" t="n"/>
      <c r="J503" s="387" t="n"/>
      <c r="K503" s="387" t="n"/>
      <c r="L503" s="387" t="n"/>
      <c r="M503" s="387" t="n"/>
      <c r="N503" s="387" t="n"/>
      <c r="O503" s="387" t="n"/>
      <c r="P503" s="387" t="n"/>
      <c r="Q503" s="387" t="n"/>
      <c r="R503" s="387" t="n"/>
      <c r="S503" s="387" t="n"/>
      <c r="T503" s="387" t="n"/>
      <c r="U503" s="387" t="n"/>
      <c r="V503" s="387" t="n"/>
      <c r="W503" s="387" t="n"/>
      <c r="X503" s="383" t="n"/>
      <c r="Y503" s="383" t="n"/>
    </row>
    <row r="504" ht="3" customHeight="1" s="1883">
      <c r="D504" s="383" t="n"/>
      <c r="E504" s="383" t="n"/>
      <c r="F504" s="383" t="n"/>
      <c r="G504" s="383" t="n"/>
      <c r="H504" s="383" t="n"/>
      <c r="I504" s="383" t="n"/>
      <c r="J504" s="383" t="n"/>
      <c r="K504" s="383" t="n"/>
      <c r="L504" s="383" t="n"/>
      <c r="M504" s="383" t="n"/>
      <c r="N504" s="383" t="n"/>
      <c r="O504" s="383" t="n"/>
      <c r="P504" s="383" t="n"/>
      <c r="Q504" s="383" t="n"/>
      <c r="R504" s="383" t="n"/>
      <c r="S504" s="383" t="n"/>
      <c r="T504" s="383" t="n"/>
      <c r="U504" s="383" t="n"/>
      <c r="V504" s="383" t="n"/>
      <c r="W504" s="383" t="n"/>
      <c r="X504" s="383" t="n"/>
      <c r="Y504" s="383" t="n"/>
    </row>
    <row r="505" ht="15" customHeight="1" s="1883">
      <c r="D505" s="383" t="n"/>
      <c r="E505" s="383" t="n"/>
      <c r="F505" s="383" t="n"/>
      <c r="G505" s="383" t="n"/>
      <c r="H505" s="383" t="n"/>
      <c r="I505" s="383" t="n"/>
      <c r="J505" s="386" t="inlineStr">
        <is>
          <t>Month 49</t>
        </is>
      </c>
      <c r="K505" s="386" t="inlineStr">
        <is>
          <t>Month 50</t>
        </is>
      </c>
      <c r="L505" s="386" t="inlineStr">
        <is>
          <t>Month 51</t>
        </is>
      </c>
      <c r="M505" s="386" t="inlineStr">
        <is>
          <t>Month 52</t>
        </is>
      </c>
      <c r="N505" s="386" t="inlineStr">
        <is>
          <t>Month 53</t>
        </is>
      </c>
      <c r="O505" s="386" t="inlineStr">
        <is>
          <t>Month 54</t>
        </is>
      </c>
      <c r="P505" s="386" t="inlineStr">
        <is>
          <t>Month 55</t>
        </is>
      </c>
      <c r="Q505" s="386" t="inlineStr">
        <is>
          <t>Month 56</t>
        </is>
      </c>
      <c r="R505" s="386" t="inlineStr">
        <is>
          <t>Month 57</t>
        </is>
      </c>
      <c r="S505" s="386" t="inlineStr">
        <is>
          <t>Month 58</t>
        </is>
      </c>
      <c r="T505" s="386" t="inlineStr">
        <is>
          <t>Month 59</t>
        </is>
      </c>
      <c r="U505" s="386" t="inlineStr">
        <is>
          <t>Month 60</t>
        </is>
      </c>
      <c r="V505" s="383" t="n"/>
      <c r="W505" s="386" t="inlineStr">
        <is>
          <t>Full-Year</t>
        </is>
      </c>
      <c r="X505" s="383" t="n"/>
      <c r="Y505" s="383" t="n"/>
    </row>
    <row r="506" ht="3" customHeight="1" s="1883">
      <c r="D506" s="383" t="n"/>
      <c r="E506" s="383" t="n"/>
      <c r="F506" s="383" t="n"/>
      <c r="G506" s="383" t="n"/>
      <c r="H506" s="383" t="n"/>
      <c r="I506" s="383" t="n"/>
      <c r="J506" s="387" t="n"/>
      <c r="K506" s="387" t="n"/>
      <c r="L506" s="387" t="n"/>
      <c r="M506" s="387" t="n"/>
      <c r="N506" s="387" t="n"/>
      <c r="O506" s="387" t="n"/>
      <c r="P506" s="387" t="n"/>
      <c r="Q506" s="387" t="n"/>
      <c r="R506" s="387" t="n"/>
      <c r="S506" s="387" t="n"/>
      <c r="T506" s="387" t="n"/>
      <c r="U506" s="387" t="n"/>
      <c r="V506" s="383" t="n"/>
      <c r="W506" s="387" t="n"/>
      <c r="X506" s="383" t="n"/>
      <c r="Y506" s="383" t="n"/>
    </row>
    <row r="507" ht="3" customHeight="1" s="1883">
      <c r="D507" s="383" t="n"/>
      <c r="E507" s="383" t="n"/>
      <c r="F507" s="383" t="n"/>
      <c r="G507" s="383" t="n"/>
      <c r="H507" s="383" t="n"/>
      <c r="I507" s="383" t="n"/>
      <c r="J507" s="383" t="n"/>
      <c r="K507" s="383" t="n"/>
      <c r="L507" s="383" t="n"/>
      <c r="M507" s="383" t="n"/>
      <c r="N507" s="383" t="n"/>
      <c r="O507" s="383" t="n"/>
      <c r="P507" s="383" t="n"/>
      <c r="Q507" s="383" t="n"/>
      <c r="R507" s="383" t="n"/>
      <c r="S507" s="383" t="n"/>
      <c r="T507" s="383" t="n"/>
      <c r="U507" s="383" t="n"/>
      <c r="V507" s="383" t="n"/>
      <c r="W507" s="383" t="n"/>
      <c r="X507" s="383" t="n"/>
      <c r="Y507" s="383" t="n"/>
    </row>
    <row r="508" ht="15" customHeight="1" s="1883">
      <c r="D508" s="383" t="inlineStr">
        <is>
          <t>Total Net Revenue, Hardware</t>
        </is>
      </c>
      <c r="E508" s="383" t="n"/>
      <c r="F508" s="383" t="n"/>
      <c r="G508" s="383" t="n"/>
      <c r="H508" s="383" t="n"/>
      <c r="I508" s="383" t="n"/>
      <c r="J508" s="395">
        <f>(J229)</f>
        <v/>
      </c>
      <c r="K508" s="395">
        <f>(K229)</f>
        <v/>
      </c>
      <c r="L508" s="395">
        <f>(L229)</f>
        <v/>
      </c>
      <c r="M508" s="395">
        <f>(M229)</f>
        <v/>
      </c>
      <c r="N508" s="395">
        <f>(N229)</f>
        <v/>
      </c>
      <c r="O508" s="395">
        <f>(O229)</f>
        <v/>
      </c>
      <c r="P508" s="395">
        <f>(P229)</f>
        <v/>
      </c>
      <c r="Q508" s="395">
        <f>(Q229)</f>
        <v/>
      </c>
      <c r="R508" s="395">
        <f>(R229)</f>
        <v/>
      </c>
      <c r="S508" s="395">
        <f>(S229)</f>
        <v/>
      </c>
      <c r="T508" s="395">
        <f>(T229)</f>
        <v/>
      </c>
      <c r="U508" s="395">
        <f>(U229)</f>
        <v/>
      </c>
      <c r="V508" s="383" t="n"/>
      <c r="W508" s="396">
        <f>((J508)+(K508)+(L508)+(M508)+(N508)+(O508)+(P508)+(Q508)+(R508)+(S508)+(T508)+(U508))</f>
        <v/>
      </c>
      <c r="X508" s="383" t="n"/>
      <c r="Y508" s="383" t="n"/>
    </row>
    <row r="509" ht="15" customHeight="1" s="1883">
      <c r="D509" s="383" t="inlineStr">
        <is>
          <t>Total Net Revenue, Market Research Services</t>
        </is>
      </c>
      <c r="E509" s="383" t="n"/>
      <c r="F509" s="383" t="n"/>
      <c r="G509" s="383" t="n"/>
      <c r="H509" s="383" t="n"/>
      <c r="I509" s="383" t="n"/>
      <c r="J509" s="462">
        <f>(J432)</f>
        <v/>
      </c>
      <c r="K509" s="462">
        <f>(K432)</f>
        <v/>
      </c>
      <c r="L509" s="462">
        <f>(L432)</f>
        <v/>
      </c>
      <c r="M509" s="462">
        <f>(M432)</f>
        <v/>
      </c>
      <c r="N509" s="462">
        <f>(N432)</f>
        <v/>
      </c>
      <c r="O509" s="462">
        <f>(O432)</f>
        <v/>
      </c>
      <c r="P509" s="462">
        <f>(P432)</f>
        <v/>
      </c>
      <c r="Q509" s="462">
        <f>(Q432)</f>
        <v/>
      </c>
      <c r="R509" s="462">
        <f>(R432)</f>
        <v/>
      </c>
      <c r="S509" s="462">
        <f>(S432)</f>
        <v/>
      </c>
      <c r="T509" s="462">
        <f>(T432)</f>
        <v/>
      </c>
      <c r="U509" s="462">
        <f>(U432)</f>
        <v/>
      </c>
      <c r="V509" s="383" t="n"/>
      <c r="W509" s="494">
        <f>((J509)+(K509)+(L509)+(M509)+(N509)+(O509)+(P509)+(Q509)+(R509)+(S509)+(T509)+(U509))</f>
        <v/>
      </c>
      <c r="X509" s="383" t="n"/>
      <c r="Y509" s="383" t="n"/>
    </row>
    <row r="510" ht="3" customHeight="1" s="1883">
      <c r="D510" s="383" t="n"/>
      <c r="E510" s="383" t="n"/>
      <c r="F510" s="383" t="n"/>
      <c r="G510" s="383" t="n"/>
      <c r="H510" s="383" t="n"/>
      <c r="I510" s="383" t="n"/>
      <c r="J510" s="387" t="n"/>
      <c r="K510" s="387" t="n"/>
      <c r="L510" s="387" t="n"/>
      <c r="M510" s="387" t="n"/>
      <c r="N510" s="387" t="n"/>
      <c r="O510" s="387" t="n"/>
      <c r="P510" s="387" t="n"/>
      <c r="Q510" s="387" t="n"/>
      <c r="R510" s="387" t="n"/>
      <c r="S510" s="387" t="n"/>
      <c r="T510" s="387" t="n"/>
      <c r="U510" s="387" t="n"/>
      <c r="V510" s="383" t="n"/>
      <c r="W510" s="387" t="n"/>
      <c r="X510" s="383" t="n"/>
      <c r="Y510" s="383" t="n"/>
    </row>
    <row r="511" ht="3" customHeight="1" s="1883">
      <c r="D511" s="383" t="n"/>
      <c r="E511" s="383" t="n"/>
      <c r="F511" s="383" t="n"/>
      <c r="G511" s="383" t="n"/>
      <c r="H511" s="383" t="n"/>
      <c r="I511" s="383" t="n"/>
      <c r="J511" s="383" t="n"/>
      <c r="K511" s="383" t="n"/>
      <c r="L511" s="383" t="n"/>
      <c r="M511" s="383" t="n"/>
      <c r="N511" s="383" t="n"/>
      <c r="O511" s="383" t="n"/>
      <c r="P511" s="383" t="n"/>
      <c r="Q511" s="383" t="n"/>
      <c r="R511" s="383" t="n"/>
      <c r="S511" s="383" t="n"/>
      <c r="T511" s="383" t="n"/>
      <c r="U511" s="383" t="n"/>
      <c r="V511" s="383" t="n"/>
      <c r="W511" s="383" t="n"/>
      <c r="X511" s="383" t="n"/>
      <c r="Y511" s="383" t="n"/>
    </row>
    <row r="512" ht="15" customHeight="1" s="1883">
      <c r="D512" s="383" t="n"/>
      <c r="E512" s="516" t="inlineStr">
        <is>
          <t>Total Net Revenue, Hardware + Market Research Services</t>
        </is>
      </c>
      <c r="F512" s="517" t="n"/>
      <c r="G512" s="517" t="n"/>
      <c r="H512" s="476" t="n"/>
      <c r="I512" s="476" t="n"/>
      <c r="J512" s="518">
        <f>SUM(J508:J509)</f>
        <v/>
      </c>
      <c r="K512" s="518">
        <f>SUM(K508:K509)</f>
        <v/>
      </c>
      <c r="L512" s="518">
        <f>SUM(L508:L509)</f>
        <v/>
      </c>
      <c r="M512" s="518">
        <f>SUM(M508:M509)</f>
        <v/>
      </c>
      <c r="N512" s="518">
        <f>SUM(N508:N509)</f>
        <v/>
      </c>
      <c r="O512" s="518">
        <f>SUM(O508:O509)</f>
        <v/>
      </c>
      <c r="P512" s="518">
        <f>SUM(P508:P509)</f>
        <v/>
      </c>
      <c r="Q512" s="518">
        <f>SUM(Q508:Q509)</f>
        <v/>
      </c>
      <c r="R512" s="518">
        <f>SUM(R508:R509)</f>
        <v/>
      </c>
      <c r="S512" s="518">
        <f>SUM(S508:S509)</f>
        <v/>
      </c>
      <c r="T512" s="518">
        <f>SUM(T508:T509)</f>
        <v/>
      </c>
      <c r="U512" s="527">
        <f>SUM(U508:U509)</f>
        <v/>
      </c>
      <c r="V512" s="476" t="n"/>
      <c r="W512" s="518">
        <f>((J512)+(K512)+(L512)+(M512)+(N512)+(O512)+(P512)+(Q512)+(R512)+(S512)+(T512)+(U512))</f>
        <v/>
      </c>
      <c r="X512" s="383" t="n"/>
      <c r="Y512" s="396">
        <f>SUM(W508:W509)</f>
        <v/>
      </c>
    </row>
  </sheetData>
  <mergeCells count="16">
    <mergeCell ref="J158:W158"/>
    <mergeCell ref="J44:W44"/>
    <mergeCell ref="J82:W82"/>
    <mergeCell ref="J309:W309"/>
    <mergeCell ref="J502:W502"/>
    <mergeCell ref="J120:W120"/>
    <mergeCell ref="J341:W341"/>
    <mergeCell ref="J234:W234"/>
    <mergeCell ref="J373:W373"/>
    <mergeCell ref="J442:W442"/>
    <mergeCell ref="J196:W196"/>
    <mergeCell ref="J472:W472"/>
    <mergeCell ref="J405:W405"/>
    <mergeCell ref="J457:W457"/>
    <mergeCell ref="J487:W487"/>
    <mergeCell ref="J277:W277"/>
  </mergeCells>
  <pageMargins left="0.7" right="0.7" top="0.75" bottom="0.75" header="0.3" footer="0.3"/>
  <pageSetup orientation="portrait" horizontalDpi="0" verticalDpi="0"/>
  <legacyDrawing xmlns:r="http://schemas.openxmlformats.org/officeDocument/2006/relationships" r:id="anysvml"/>
</worksheet>
</file>

<file path=xl/worksheets/sheet9.xml><?xml version="1.0" encoding="utf-8"?>
<worksheet xmlns="http://schemas.openxmlformats.org/spreadsheetml/2006/main">
  <sheetPr>
    <tabColor rgb="FFCCFFCC"/>
    <outlinePr summaryBelow="0" summaryRight="0"/>
    <pageSetUpPr fitToPage="1"/>
  </sheetPr>
  <dimension ref="B2:V311"/>
  <sheetViews>
    <sheetView topLeftCell="A275" zoomScale="146" zoomScaleNormal="146" workbookViewId="0">
      <selection activeCell="F308" sqref="F308"/>
    </sheetView>
  </sheetViews>
  <sheetFormatPr baseColWidth="10" defaultColWidth="17.33203125" defaultRowHeight="15" customHeight="1"/>
  <cols>
    <col width="2.6640625" customWidth="1" style="1883" min="1" max="1"/>
    <col width="4.6640625" customWidth="1" style="1883" min="2" max="2"/>
    <col width="0.6640625" customWidth="1" style="1883" min="3" max="3"/>
    <col width="21.1640625" customWidth="1" style="1883" min="4" max="4"/>
    <col width="0.6640625" customWidth="1" style="1883" min="5" max="5"/>
    <col width="18.6640625" customWidth="1" style="1883" min="6" max="6"/>
    <col width="1.6640625" customWidth="1" style="1883" min="7" max="9"/>
    <col width="15.6640625" customWidth="1" style="1883" min="10" max="11"/>
    <col width="15.83203125" customWidth="1" style="1883" min="12" max="12"/>
    <col width="15.6640625" customWidth="1" style="1883" min="13" max="20"/>
    <col width="15.5" customWidth="1" style="1883" min="21" max="21"/>
    <col width="15.6640625" customWidth="1" style="1883" min="22" max="22"/>
    <col width="2.6640625" customWidth="1" style="1883" min="23" max="23"/>
    <col width="15.6640625" customWidth="1" style="1883" min="24" max="32"/>
  </cols>
  <sheetData>
    <row r="2">
      <c r="B2" s="385" t="inlineStr">
        <is>
          <t>PURE TECHNOLOGY</t>
        </is>
      </c>
      <c r="I2" s="626" t="n"/>
      <c r="J2" s="626" t="n"/>
      <c r="K2" s="626" t="n"/>
      <c r="L2" s="626" t="n"/>
      <c r="M2" s="626" t="n"/>
      <c r="N2" s="626" t="n"/>
      <c r="O2" s="626" t="n"/>
      <c r="P2" s="626" t="n"/>
      <c r="Q2" s="626" t="n"/>
      <c r="R2" s="626" t="n"/>
      <c r="S2" s="626" t="n"/>
      <c r="T2" s="626" t="n"/>
      <c r="U2" s="626" t="n"/>
      <c r="V2" s="626" t="n"/>
    </row>
    <row r="3" ht="4.5" customHeight="1" s="1883">
      <c r="B3" s="383" t="n"/>
      <c r="I3" s="626" t="n"/>
      <c r="J3" s="626" t="n"/>
      <c r="K3" s="626" t="n"/>
      <c r="L3" s="626" t="n"/>
      <c r="M3" s="626" t="n"/>
      <c r="N3" s="626" t="n"/>
      <c r="O3" s="626" t="n"/>
      <c r="P3" s="626" t="n"/>
      <c r="Q3" s="626" t="n"/>
      <c r="R3" s="626" t="n"/>
      <c r="S3" s="626" t="n"/>
      <c r="T3" s="626" t="n"/>
      <c r="U3" s="626" t="n"/>
      <c r="V3" s="626" t="n"/>
    </row>
    <row r="4">
      <c r="B4" s="423" t="inlineStr">
        <is>
          <t>TELEPHONE - REVENUE DRIVERS</t>
        </is>
      </c>
      <c r="C4" s="626" t="n"/>
      <c r="E4" s="626" t="n"/>
      <c r="F4" s="626" t="n"/>
      <c r="G4" s="626" t="n"/>
      <c r="H4" s="626" t="n"/>
      <c r="I4" s="626" t="n"/>
      <c r="J4" s="626" t="n"/>
      <c r="K4" s="626" t="n"/>
      <c r="L4" s="626" t="n"/>
      <c r="M4" s="626" t="n"/>
      <c r="N4" s="626" t="n"/>
      <c r="O4" s="626" t="n"/>
      <c r="P4" s="626" t="n"/>
      <c r="Q4" s="626" t="n"/>
      <c r="R4" s="626" t="n"/>
      <c r="S4" s="626" t="n"/>
      <c r="T4" s="626" t="n"/>
      <c r="U4" s="626" t="n"/>
      <c r="V4" s="626" t="n"/>
    </row>
    <row r="5" ht="4.5" customHeight="1" s="1883">
      <c r="B5" s="422" t="n"/>
      <c r="C5" s="626" t="n"/>
      <c r="D5" s="626" t="n"/>
      <c r="E5" s="626" t="n"/>
      <c r="F5" s="626" t="n"/>
      <c r="G5" s="626" t="n"/>
      <c r="H5" s="626" t="n"/>
      <c r="I5" s="626" t="n"/>
      <c r="J5" s="626" t="n"/>
      <c r="K5" s="626" t="n"/>
      <c r="L5" s="626" t="n"/>
      <c r="M5" s="626" t="n"/>
      <c r="N5" s="626" t="n"/>
      <c r="O5" s="626" t="n"/>
      <c r="P5" s="626" t="n"/>
      <c r="Q5" s="626" t="n"/>
      <c r="R5" s="626" t="n"/>
      <c r="S5" s="626" t="n"/>
      <c r="T5" s="626" t="n"/>
      <c r="U5" s="626" t="n"/>
      <c r="V5" s="626" t="n"/>
    </row>
    <row r="6">
      <c r="B6" s="423" t="inlineStr">
        <is>
          <t>MONTHS 1 - 60</t>
        </is>
      </c>
      <c r="C6" s="626" t="n"/>
      <c r="D6" s="626" t="n"/>
      <c r="E6" s="626" t="n"/>
      <c r="F6" s="626" t="n"/>
      <c r="G6" s="626" t="n"/>
      <c r="H6" s="626" t="n"/>
      <c r="I6" s="626" t="n"/>
      <c r="J6" s="626" t="n"/>
      <c r="K6" s="626" t="n"/>
      <c r="L6" s="626" t="n"/>
      <c r="M6" s="626" t="n"/>
      <c r="N6" s="626" t="n"/>
      <c r="O6" s="626" t="n"/>
      <c r="P6" s="626" t="n"/>
      <c r="Q6" s="626" t="n"/>
      <c r="R6" s="626" t="n"/>
      <c r="S6" s="626" t="n"/>
      <c r="T6" s="626" t="n"/>
      <c r="U6" s="626" t="n"/>
      <c r="V6" s="626" t="n"/>
    </row>
    <row r="7" ht="13" customHeight="1" s="1883">
      <c r="B7" s="626" t="n"/>
      <c r="C7" s="626" t="n"/>
      <c r="D7" s="626" t="n"/>
      <c r="E7" s="626" t="n"/>
      <c r="F7" s="626" t="n"/>
      <c r="G7" s="626" t="n"/>
      <c r="H7" s="626" t="n"/>
      <c r="I7" s="626" t="n"/>
      <c r="J7" s="626" t="n"/>
      <c r="K7" s="626" t="n"/>
      <c r="L7" s="626" t="n"/>
      <c r="M7" s="626" t="n"/>
      <c r="N7" s="626" t="n"/>
      <c r="O7" s="626" t="n"/>
      <c r="P7" s="626" t="n"/>
      <c r="Q7" s="626" t="n"/>
      <c r="R7" s="626" t="n"/>
      <c r="S7" s="626" t="n"/>
      <c r="T7" s="626" t="n"/>
      <c r="U7" s="626" t="n"/>
      <c r="V7" s="626" t="n"/>
    </row>
    <row r="8" ht="3" customHeight="1" s="1883" thickBot="1">
      <c r="B8" s="925" t="n"/>
      <c r="C8" s="925" t="n"/>
      <c r="D8" s="925" t="n"/>
      <c r="E8" s="925" t="n"/>
      <c r="F8" s="925" t="n"/>
      <c r="G8" s="626" t="n"/>
      <c r="H8" s="626" t="n"/>
      <c r="I8" s="626" t="n"/>
      <c r="J8" s="626" t="n"/>
      <c r="K8" s="626" t="n"/>
      <c r="L8" s="626" t="n"/>
      <c r="M8" s="626" t="n"/>
      <c r="N8" s="626" t="n"/>
      <c r="O8" s="626" t="n"/>
      <c r="P8" s="626" t="n"/>
      <c r="Q8" s="626" t="n"/>
      <c r="R8" s="626" t="n"/>
      <c r="S8" s="626" t="n"/>
      <c r="T8" s="626" t="n"/>
      <c r="U8" s="626" t="n"/>
      <c r="V8" s="626" t="n"/>
    </row>
    <row r="9" ht="3" customHeight="1" s="1883" thickTop="1">
      <c r="B9" s="626" t="n"/>
      <c r="C9" s="626" t="n"/>
      <c r="D9" s="626" t="n"/>
      <c r="E9" s="626" t="n"/>
      <c r="F9" s="626" t="n"/>
      <c r="G9" s="626" t="n"/>
      <c r="H9" s="626" t="n"/>
      <c r="I9" s="626" t="n"/>
      <c r="J9" s="626" t="n"/>
      <c r="K9" s="626" t="n"/>
      <c r="L9" s="626" t="n"/>
      <c r="M9" s="626" t="n"/>
      <c r="N9" s="626" t="n"/>
      <c r="O9" s="626" t="n"/>
      <c r="P9" s="626" t="n"/>
      <c r="Q9" s="626" t="n"/>
      <c r="R9" s="626" t="n"/>
      <c r="S9" s="626" t="n"/>
      <c r="T9" s="626" t="n"/>
      <c r="U9" s="626" t="n"/>
      <c r="V9" s="626" t="n"/>
    </row>
    <row r="10" ht="13" customHeight="1" s="1883">
      <c r="B10" s="626" t="n"/>
      <c r="C10" s="626" t="n"/>
      <c r="D10" s="626" t="n"/>
      <c r="E10" s="626" t="n"/>
      <c r="F10" s="626" t="n"/>
      <c r="G10" s="626" t="n"/>
      <c r="H10" s="626" t="n"/>
      <c r="I10" s="626" t="n"/>
      <c r="J10" s="626" t="n"/>
      <c r="K10" s="626" t="n"/>
      <c r="L10" s="626" t="n"/>
      <c r="M10" s="626" t="n"/>
      <c r="N10" s="626" t="n"/>
      <c r="O10" s="626" t="n"/>
      <c r="P10" s="626" t="n"/>
      <c r="Q10" s="626" t="n"/>
      <c r="R10" s="626" t="n"/>
      <c r="S10" s="626" t="n"/>
      <c r="T10" s="626" t="n"/>
      <c r="U10" s="626" t="n"/>
      <c r="V10" s="626" t="n"/>
    </row>
    <row r="11">
      <c r="B11" s="658" t="inlineStr">
        <is>
          <t>A.</t>
        </is>
      </c>
      <c r="C11" s="626" t="n"/>
      <c r="D11" s="118" t="inlineStr">
        <is>
          <t>Revenue Drivers</t>
        </is>
      </c>
      <c r="E11" s="626" t="n"/>
      <c r="F11" s="626" t="n"/>
      <c r="G11" s="626" t="n"/>
      <c r="H11" s="626" t="n"/>
      <c r="I11" s="626" t="n"/>
      <c r="J11" s="626" t="n"/>
      <c r="K11" s="626" t="n"/>
      <c r="L11" s="626" t="n"/>
      <c r="M11" s="626" t="n"/>
      <c r="N11" s="626" t="n"/>
      <c r="O11" s="626" t="n"/>
      <c r="P11" s="626" t="n"/>
      <c r="Q11" s="626" t="n"/>
      <c r="R11" s="626" t="n"/>
      <c r="S11" s="626" t="n"/>
      <c r="T11" s="626" t="n"/>
      <c r="U11" s="626" t="n"/>
      <c r="V11" s="626" t="n"/>
    </row>
    <row r="12" ht="3" customHeight="1" s="1883">
      <c r="B12" s="926" t="n"/>
      <c r="C12" s="926" t="n"/>
      <c r="D12" s="926" t="n"/>
      <c r="E12" s="926" t="n"/>
      <c r="F12" s="926" t="n"/>
      <c r="G12" s="1968" t="n"/>
      <c r="H12" s="1968" t="n"/>
      <c r="I12" s="626" t="n"/>
      <c r="J12" s="626" t="n"/>
      <c r="K12" s="626" t="n"/>
      <c r="L12" s="626" t="n"/>
      <c r="M12" s="626" t="n"/>
      <c r="N12" s="626" t="n"/>
      <c r="O12" s="626" t="n"/>
      <c r="P12" s="626" t="n"/>
      <c r="Q12" s="626" t="n"/>
      <c r="R12" s="626" t="n"/>
      <c r="S12" s="626" t="n"/>
      <c r="T12" s="626" t="n"/>
      <c r="U12" s="626" t="n"/>
      <c r="V12" s="626" t="n"/>
    </row>
    <row r="13" ht="3" customHeight="1" s="1883">
      <c r="B13" s="626" t="n"/>
      <c r="C13" s="626" t="n"/>
      <c r="D13" s="626" t="n"/>
      <c r="E13" s="626" t="n"/>
      <c r="F13" s="626" t="n"/>
      <c r="G13" s="626" t="n"/>
      <c r="H13" s="626" t="n"/>
      <c r="I13" s="626" t="n"/>
      <c r="J13" s="626" t="n"/>
      <c r="K13" s="626" t="n"/>
      <c r="L13" s="626" t="n"/>
      <c r="M13" s="626" t="n"/>
      <c r="N13" s="626" t="n"/>
      <c r="O13" s="626" t="n"/>
      <c r="P13" s="626" t="n"/>
      <c r="Q13" s="626" t="n"/>
      <c r="R13" s="626" t="n"/>
      <c r="S13" s="626" t="n"/>
      <c r="T13" s="626" t="n"/>
      <c r="U13" s="626" t="n"/>
      <c r="V13" s="626" t="n"/>
    </row>
    <row r="14" ht="13" customHeight="1" s="1883">
      <c r="B14" s="626" t="n"/>
      <c r="C14" s="626" t="n"/>
      <c r="D14" s="626" t="n"/>
      <c r="E14" s="626" t="n"/>
      <c r="F14" s="626" t="n"/>
      <c r="G14" s="626" t="n"/>
      <c r="H14" s="626" t="n"/>
      <c r="I14" s="626" t="n"/>
      <c r="J14" s="626" t="n"/>
      <c r="K14" s="626" t="n"/>
      <c r="L14" s="626" t="n"/>
      <c r="M14" s="626" t="n"/>
      <c r="N14" s="626" t="n"/>
      <c r="O14" s="626" t="n"/>
      <c r="P14" s="626" t="n"/>
      <c r="Q14" s="626" t="n"/>
      <c r="R14" s="626" t="n"/>
      <c r="S14" s="626" t="n"/>
      <c r="T14" s="626" t="n"/>
      <c r="U14" s="626" t="n"/>
      <c r="V14" s="626" t="n"/>
    </row>
    <row r="15">
      <c r="B15" s="467" t="inlineStr">
        <is>
          <t>I.</t>
        </is>
      </c>
      <c r="C15" s="626" t="n"/>
      <c r="D15" s="1908" t="inlineStr">
        <is>
          <t>New Phones Activated</t>
        </is>
      </c>
      <c r="E15" s="1908" t="n"/>
      <c r="F15" s="626" t="n"/>
      <c r="G15" s="626" t="n"/>
      <c r="H15" s="626" t="n"/>
      <c r="I15" s="626" t="n"/>
      <c r="J15" s="1904" t="inlineStr">
        <is>
          <t>Fiscal Years 1 - 6</t>
        </is>
      </c>
    </row>
    <row r="18">
      <c r="B18" s="930" t="n"/>
      <c r="C18" s="626" t="n"/>
      <c r="D18" s="117" t="inlineStr">
        <is>
          <t>Year</t>
        </is>
      </c>
      <c r="E18" s="117" t="n"/>
      <c r="F18" s="117" t="inlineStr">
        <is>
          <t>Months</t>
        </is>
      </c>
      <c r="G18" s="117" t="n"/>
      <c r="H18" s="117" t="n"/>
      <c r="I18" s="626" t="n"/>
      <c r="J18" s="117" t="inlineStr">
        <is>
          <t>Month 1</t>
        </is>
      </c>
      <c r="K18" s="117" t="inlineStr">
        <is>
          <t>Month 2</t>
        </is>
      </c>
      <c r="L18" s="117" t="inlineStr">
        <is>
          <t>Month 3</t>
        </is>
      </c>
      <c r="M18" s="117" t="inlineStr">
        <is>
          <t>Month 4</t>
        </is>
      </c>
      <c r="N18" s="117" t="inlineStr">
        <is>
          <t>Month 5</t>
        </is>
      </c>
      <c r="O18" s="117" t="inlineStr">
        <is>
          <t>Month 6</t>
        </is>
      </c>
      <c r="P18" s="117" t="inlineStr">
        <is>
          <t>Month 7</t>
        </is>
      </c>
      <c r="Q18" s="117" t="inlineStr">
        <is>
          <t>Month 8</t>
        </is>
      </c>
      <c r="R18" s="117" t="inlineStr">
        <is>
          <t>Month 9</t>
        </is>
      </c>
      <c r="S18" s="117" t="inlineStr">
        <is>
          <t>Month 10</t>
        </is>
      </c>
      <c r="T18" s="117" t="inlineStr">
        <is>
          <t>Month 11</t>
        </is>
      </c>
      <c r="U18" s="117" t="inlineStr">
        <is>
          <t>Month 12</t>
        </is>
      </c>
      <c r="V18" s="117" t="inlineStr">
        <is>
          <t>Ʃ, Full-Year</t>
        </is>
      </c>
    </row>
    <row r="19" ht="3" customHeight="1" s="1883">
      <c r="B19" s="930" t="n"/>
      <c r="C19" s="626" t="n"/>
      <c r="D19" s="926" t="n"/>
      <c r="E19" s="626" t="n"/>
      <c r="F19" s="926" t="n"/>
      <c r="G19" s="1968" t="n"/>
      <c r="H19" s="1968" t="n"/>
      <c r="I19" s="626" t="n"/>
      <c r="J19" s="926" t="n"/>
      <c r="K19" s="926" t="n"/>
      <c r="L19" s="926" t="n"/>
      <c r="M19" s="926" t="n"/>
      <c r="N19" s="926" t="n"/>
      <c r="O19" s="926" t="n"/>
      <c r="P19" s="926" t="n"/>
      <c r="Q19" s="926" t="n"/>
      <c r="R19" s="926" t="n"/>
      <c r="S19" s="926" t="n"/>
      <c r="T19" s="926" t="n"/>
      <c r="U19" s="926" t="n"/>
      <c r="V19" s="926" t="n"/>
    </row>
    <row r="20" ht="3" customHeight="1" s="1883">
      <c r="B20" s="930" t="n"/>
      <c r="C20" s="626" t="n"/>
      <c r="D20" s="626" t="n"/>
      <c r="E20" s="626" t="n"/>
      <c r="F20" s="626" t="n"/>
      <c r="G20" s="626" t="n"/>
      <c r="H20" s="626" t="n"/>
      <c r="I20" s="626" t="n"/>
      <c r="J20" s="1968" t="n"/>
      <c r="K20" s="1968" t="n"/>
      <c r="L20" s="1968" t="n"/>
      <c r="M20" s="1968" t="n"/>
      <c r="N20" s="1968" t="n"/>
      <c r="O20" s="1968" t="n"/>
      <c r="P20" s="1968" t="n"/>
      <c r="Q20" s="1968" t="n"/>
      <c r="R20" s="1968" t="n"/>
      <c r="S20" s="1968" t="n"/>
      <c r="T20" s="1968" t="n"/>
      <c r="U20" s="1968" t="n"/>
      <c r="V20" s="1968" t="n"/>
    </row>
    <row r="21">
      <c r="B21" s="930" t="n"/>
      <c r="C21" s="626" t="n"/>
      <c r="D21" s="117" t="inlineStr">
        <is>
          <t>Year 0</t>
        </is>
      </c>
      <c r="E21" s="117" t="n"/>
      <c r="F21" s="133" t="inlineStr">
        <is>
          <t>-12 - -1</t>
        </is>
      </c>
      <c r="G21" s="133" t="n"/>
      <c r="H21" s="133" t="n"/>
      <c r="I21" s="1968" t="n"/>
      <c r="J21" s="931" t="n"/>
      <c r="K21" s="931" t="n"/>
      <c r="L21" s="931" t="n"/>
      <c r="M21" s="931" t="n"/>
      <c r="N21" s="931" t="n"/>
      <c r="O21" s="931" t="n"/>
      <c r="P21" s="931" t="n"/>
      <c r="Q21" s="931" t="n"/>
      <c r="R21" s="931" t="n"/>
      <c r="S21" s="931" t="n"/>
      <c r="T21" s="931" t="n"/>
      <c r="U21" s="931" t="n"/>
      <c r="V21" s="931" t="n"/>
    </row>
    <row r="22">
      <c r="B22" s="930" t="n"/>
      <c r="C22" s="626" t="n"/>
      <c r="D22" s="117" t="inlineStr">
        <is>
          <t>Year 1</t>
        </is>
      </c>
      <c r="E22" s="117" t="n"/>
      <c r="F22" s="134" t="inlineStr">
        <is>
          <t>1 - 12</t>
        </is>
      </c>
      <c r="G22" s="134" t="n"/>
      <c r="H22" s="134" t="n"/>
      <c r="I22" s="626" t="n"/>
      <c r="J22" s="135">
        <f>'3F. Revenue &amp; COGS Assumptions'!G12</f>
        <v/>
      </c>
      <c r="K22" s="135">
        <f>'3F. Revenue &amp; COGS Assumptions'!H12</f>
        <v/>
      </c>
      <c r="L22" s="135">
        <f>'3F. Revenue &amp; COGS Assumptions'!I12</f>
        <v/>
      </c>
      <c r="M22" s="135">
        <f>'3F. Revenue &amp; COGS Assumptions'!J12</f>
        <v/>
      </c>
      <c r="N22" s="135">
        <f>'3F. Revenue &amp; COGS Assumptions'!K12</f>
        <v/>
      </c>
      <c r="O22" s="135">
        <f>'3F. Revenue &amp; COGS Assumptions'!L12</f>
        <v/>
      </c>
      <c r="P22" s="135">
        <f>'3F. Revenue &amp; COGS Assumptions'!M12</f>
        <v/>
      </c>
      <c r="Q22" s="135">
        <f>'3F. Revenue &amp; COGS Assumptions'!N12</f>
        <v/>
      </c>
      <c r="R22" s="135">
        <f>'3F. Revenue &amp; COGS Assumptions'!O12</f>
        <v/>
      </c>
      <c r="S22" s="135">
        <f>'3F. Revenue &amp; COGS Assumptions'!P12</f>
        <v/>
      </c>
      <c r="T22" s="135">
        <f>'3F. Revenue &amp; COGS Assumptions'!Q12</f>
        <v/>
      </c>
      <c r="U22" s="135">
        <f>'3F. Revenue &amp; COGS Assumptions'!R12</f>
        <v/>
      </c>
      <c r="V22" s="136">
        <f>((J22)+(K22)+(L22)+(M22)+(N22)+(O22)+(P22)+(Q22)+(R22)+(S22)+(T22)+(U22))</f>
        <v/>
      </c>
    </row>
    <row r="23">
      <c r="B23" s="930" t="n"/>
      <c r="C23" s="626" t="n"/>
      <c r="D23" s="117" t="inlineStr">
        <is>
          <t>Year 2</t>
        </is>
      </c>
      <c r="E23" s="117" t="n"/>
      <c r="F23" s="137" t="inlineStr">
        <is>
          <t>13 - 24</t>
        </is>
      </c>
      <c r="G23" s="137" t="n"/>
      <c r="H23" s="137" t="n"/>
      <c r="I23" s="626" t="n"/>
      <c r="J23" s="135">
        <f>'3F. Revenue &amp; COGS Assumptions'!G13</f>
        <v/>
      </c>
      <c r="K23" s="135">
        <f>'3F. Revenue &amp; COGS Assumptions'!H13</f>
        <v/>
      </c>
      <c r="L23" s="135">
        <f>'3F. Revenue &amp; COGS Assumptions'!I13</f>
        <v/>
      </c>
      <c r="M23" s="135">
        <f>'3F. Revenue &amp; COGS Assumptions'!J13</f>
        <v/>
      </c>
      <c r="N23" s="135">
        <f>'3F. Revenue &amp; COGS Assumptions'!K13</f>
        <v/>
      </c>
      <c r="O23" s="135">
        <f>'3F. Revenue &amp; COGS Assumptions'!L13</f>
        <v/>
      </c>
      <c r="P23" s="135">
        <f>'3F. Revenue &amp; COGS Assumptions'!M13</f>
        <v/>
      </c>
      <c r="Q23" s="135">
        <f>'3F. Revenue &amp; COGS Assumptions'!N13</f>
        <v/>
      </c>
      <c r="R23" s="135">
        <f>'3F. Revenue &amp; COGS Assumptions'!O13</f>
        <v/>
      </c>
      <c r="S23" s="135">
        <f>'3F. Revenue &amp; COGS Assumptions'!P13</f>
        <v/>
      </c>
      <c r="T23" s="135">
        <f>'3F. Revenue &amp; COGS Assumptions'!Q13</f>
        <v/>
      </c>
      <c r="U23" s="135">
        <f>'3F. Revenue &amp; COGS Assumptions'!R13</f>
        <v/>
      </c>
      <c r="V23" s="136">
        <f>((J23)+(K23)+(L23)+(M23)+(N23)+(O23)+(P23)+(Q23)+(R23)+(S23)+(T23)+(U23))</f>
        <v/>
      </c>
    </row>
    <row r="24">
      <c r="B24" s="930" t="n"/>
      <c r="C24" s="626" t="n"/>
      <c r="D24" s="117" t="inlineStr">
        <is>
          <t>Year 3</t>
        </is>
      </c>
      <c r="E24" s="117" t="n"/>
      <c r="F24" s="137" t="inlineStr">
        <is>
          <t>25 - 36</t>
        </is>
      </c>
      <c r="G24" s="137" t="n"/>
      <c r="H24" s="137" t="n"/>
      <c r="I24" s="626" t="n"/>
      <c r="J24" s="135">
        <f>'3F. Revenue &amp; COGS Assumptions'!G14</f>
        <v/>
      </c>
      <c r="K24" s="135">
        <f>'3F. Revenue &amp; COGS Assumptions'!H14</f>
        <v/>
      </c>
      <c r="L24" s="135">
        <f>'3F. Revenue &amp; COGS Assumptions'!I14</f>
        <v/>
      </c>
      <c r="M24" s="135">
        <f>'3F. Revenue &amp; COGS Assumptions'!J14</f>
        <v/>
      </c>
      <c r="N24" s="135">
        <f>'3F. Revenue &amp; COGS Assumptions'!K14</f>
        <v/>
      </c>
      <c r="O24" s="135">
        <f>'3F. Revenue &amp; COGS Assumptions'!L14</f>
        <v/>
      </c>
      <c r="P24" s="135">
        <f>'3F. Revenue &amp; COGS Assumptions'!M14</f>
        <v/>
      </c>
      <c r="Q24" s="135">
        <f>'3F. Revenue &amp; COGS Assumptions'!N14</f>
        <v/>
      </c>
      <c r="R24" s="135">
        <f>'3F. Revenue &amp; COGS Assumptions'!O14</f>
        <v/>
      </c>
      <c r="S24" s="135">
        <f>'3F. Revenue &amp; COGS Assumptions'!P14</f>
        <v/>
      </c>
      <c r="T24" s="135">
        <f>'3F. Revenue &amp; COGS Assumptions'!Q14</f>
        <v/>
      </c>
      <c r="U24" s="135">
        <f>'3F. Revenue &amp; COGS Assumptions'!R14</f>
        <v/>
      </c>
      <c r="V24" s="136">
        <f>((J24)+(K24)+(L24)+(M24)+(N24)+(O24)+(P24)+(Q24)+(R24)+(S24)+(T24)+(U24))</f>
        <v/>
      </c>
    </row>
    <row r="25">
      <c r="B25" s="930" t="n"/>
      <c r="C25" s="626" t="n"/>
      <c r="D25" s="117" t="inlineStr">
        <is>
          <t>Year 4</t>
        </is>
      </c>
      <c r="E25" s="117" t="n"/>
      <c r="F25" s="137" t="inlineStr">
        <is>
          <t>37 - 48</t>
        </is>
      </c>
      <c r="G25" s="137" t="n"/>
      <c r="H25" s="137" t="n"/>
      <c r="I25" s="626" t="n"/>
      <c r="J25" s="135">
        <f>'3F. Revenue &amp; COGS Assumptions'!G15</f>
        <v/>
      </c>
      <c r="K25" s="135">
        <f>'3F. Revenue &amp; COGS Assumptions'!H15</f>
        <v/>
      </c>
      <c r="L25" s="135">
        <f>'3F. Revenue &amp; COGS Assumptions'!I15</f>
        <v/>
      </c>
      <c r="M25" s="135">
        <f>'3F. Revenue &amp; COGS Assumptions'!J15</f>
        <v/>
      </c>
      <c r="N25" s="135">
        <f>'3F. Revenue &amp; COGS Assumptions'!K15</f>
        <v/>
      </c>
      <c r="O25" s="135">
        <f>'3F. Revenue &amp; COGS Assumptions'!L15</f>
        <v/>
      </c>
      <c r="P25" s="135">
        <f>'3F. Revenue &amp; COGS Assumptions'!M15</f>
        <v/>
      </c>
      <c r="Q25" s="135">
        <f>'3F. Revenue &amp; COGS Assumptions'!N15</f>
        <v/>
      </c>
      <c r="R25" s="135">
        <f>'3F. Revenue &amp; COGS Assumptions'!O15</f>
        <v/>
      </c>
      <c r="S25" s="135">
        <f>'3F. Revenue &amp; COGS Assumptions'!P15</f>
        <v/>
      </c>
      <c r="T25" s="135">
        <f>'3F. Revenue &amp; COGS Assumptions'!Q15</f>
        <v/>
      </c>
      <c r="U25" s="135">
        <f>'3F. Revenue &amp; COGS Assumptions'!R15</f>
        <v/>
      </c>
      <c r="V25" s="136">
        <f>((J25)+(K25)+(L25)+(M25)+(N25)+(O25)+(P25)+(Q25)+(R25)+(S25)+(T25)+(U25))</f>
        <v/>
      </c>
    </row>
    <row r="26">
      <c r="B26" s="930" t="n"/>
      <c r="C26" s="626" t="n"/>
      <c r="D26" s="117" t="inlineStr">
        <is>
          <t>Year 5</t>
        </is>
      </c>
      <c r="E26" s="117" t="n"/>
      <c r="F26" s="137" t="inlineStr">
        <is>
          <t>49 - 60</t>
        </is>
      </c>
      <c r="G26" s="137" t="n"/>
      <c r="H26" s="137" t="n"/>
      <c r="I26" s="626" t="n"/>
      <c r="J26" s="135">
        <f>'3F. Revenue &amp; COGS Assumptions'!G16</f>
        <v/>
      </c>
      <c r="K26" s="135">
        <f>'3F. Revenue &amp; COGS Assumptions'!H16</f>
        <v/>
      </c>
      <c r="L26" s="135">
        <f>'3F. Revenue &amp; COGS Assumptions'!I16</f>
        <v/>
      </c>
      <c r="M26" s="135">
        <f>'3F. Revenue &amp; COGS Assumptions'!J16</f>
        <v/>
      </c>
      <c r="N26" s="135">
        <f>'3F. Revenue &amp; COGS Assumptions'!K16</f>
        <v/>
      </c>
      <c r="O26" s="135">
        <f>'3F. Revenue &amp; COGS Assumptions'!L16</f>
        <v/>
      </c>
      <c r="P26" s="135">
        <f>'3F. Revenue &amp; COGS Assumptions'!M16</f>
        <v/>
      </c>
      <c r="Q26" s="135">
        <f>'3F. Revenue &amp; COGS Assumptions'!N16</f>
        <v/>
      </c>
      <c r="R26" s="135">
        <f>'3F. Revenue &amp; COGS Assumptions'!O16</f>
        <v/>
      </c>
      <c r="S26" s="135">
        <f>'3F. Revenue &amp; COGS Assumptions'!P16</f>
        <v/>
      </c>
      <c r="T26" s="135">
        <f>'3F. Revenue &amp; COGS Assumptions'!Q16</f>
        <v/>
      </c>
      <c r="U26" s="135">
        <f>'3F. Revenue &amp; COGS Assumptions'!R16</f>
        <v/>
      </c>
      <c r="V26" s="136">
        <f>((J26)+(K26)+(L26)+(M26)+(N26)+(O26)+(P26)+(Q26)+(R26)+(S26)+(T26)+(U26))</f>
        <v/>
      </c>
    </row>
    <row r="27">
      <c r="B27" s="930" t="n"/>
      <c r="C27" s="626" t="n"/>
      <c r="D27" s="117" t="inlineStr">
        <is>
          <t>Year 6</t>
        </is>
      </c>
      <c r="E27" s="117" t="n"/>
      <c r="F27" s="137" t="inlineStr">
        <is>
          <t>61 - 72</t>
        </is>
      </c>
      <c r="G27" s="137" t="n"/>
      <c r="H27" s="137" t="n"/>
      <c r="I27" s="626" t="n"/>
      <c r="J27" s="135">
        <f>'3F. Revenue &amp; COGS Assumptions'!G17</f>
        <v/>
      </c>
      <c r="K27" s="135">
        <f>'3F. Revenue &amp; COGS Assumptions'!H17</f>
        <v/>
      </c>
      <c r="L27" s="135">
        <f>'3F. Revenue &amp; COGS Assumptions'!I17</f>
        <v/>
      </c>
      <c r="M27" s="135">
        <f>'3F. Revenue &amp; COGS Assumptions'!J17</f>
        <v/>
      </c>
      <c r="N27" s="135">
        <f>'3F. Revenue &amp; COGS Assumptions'!K17</f>
        <v/>
      </c>
      <c r="O27" s="135">
        <f>'3F. Revenue &amp; COGS Assumptions'!L17</f>
        <v/>
      </c>
      <c r="P27" s="135">
        <f>'3F. Revenue &amp; COGS Assumptions'!M17</f>
        <v/>
      </c>
      <c r="Q27" s="135">
        <f>'3F. Revenue &amp; COGS Assumptions'!N17</f>
        <v/>
      </c>
      <c r="R27" s="135">
        <f>'3F. Revenue &amp; COGS Assumptions'!O17</f>
        <v/>
      </c>
      <c r="S27" s="135">
        <f>'3F. Revenue &amp; COGS Assumptions'!P17</f>
        <v/>
      </c>
      <c r="T27" s="135">
        <f>'3F. Revenue &amp; COGS Assumptions'!Q17</f>
        <v/>
      </c>
      <c r="U27" s="135">
        <f>'3F. Revenue &amp; COGS Assumptions'!R17</f>
        <v/>
      </c>
      <c r="V27" s="136">
        <f>((J27)+(K27)+(L27)+(M27)+(N27)+(O27)+(P27)+(Q27)+(R27)+(S27)+(T27)+(U27))</f>
        <v/>
      </c>
    </row>
    <row r="28" ht="13" customHeight="1" s="1883">
      <c r="B28" s="930" t="n"/>
      <c r="C28" s="626" t="n"/>
      <c r="D28" s="626" t="n"/>
      <c r="E28" s="626" t="n"/>
      <c r="F28" s="626" t="n"/>
      <c r="G28" s="626" t="n"/>
      <c r="H28" s="626" t="n"/>
      <c r="I28" s="626" t="n"/>
      <c r="J28" s="932" t="n"/>
      <c r="K28" s="932" t="n"/>
      <c r="L28" s="932" t="n"/>
      <c r="M28" s="932" t="n"/>
      <c r="N28" s="932" t="n"/>
      <c r="O28" s="932" t="n"/>
      <c r="P28" s="932" t="n"/>
      <c r="Q28" s="932" t="n"/>
      <c r="R28" s="932" t="n"/>
      <c r="S28" s="932" t="n"/>
      <c r="T28" s="932" t="n"/>
      <c r="U28" s="932" t="n"/>
      <c r="V28" s="932" t="n"/>
    </row>
    <row r="29" ht="13" customHeight="1" s="1883">
      <c r="B29" s="930" t="n"/>
      <c r="C29" s="626" t="n"/>
      <c r="D29" s="626" t="n"/>
      <c r="E29" s="626" t="n"/>
      <c r="F29" s="626" t="n"/>
      <c r="G29" s="626" t="n"/>
      <c r="H29" s="626" t="n"/>
      <c r="I29" s="626" t="n"/>
      <c r="J29" s="932" t="n"/>
      <c r="K29" s="932" t="n"/>
      <c r="L29" s="932" t="n"/>
      <c r="M29" s="932" t="n"/>
      <c r="N29" s="932" t="n"/>
      <c r="O29" s="932" t="n"/>
      <c r="P29" s="932" t="n"/>
      <c r="Q29" s="932" t="n"/>
      <c r="R29" s="932" t="n"/>
      <c r="S29" s="932" t="n"/>
      <c r="T29" s="932" t="n"/>
      <c r="U29" s="932" t="n"/>
      <c r="V29" s="932" t="n"/>
    </row>
    <row r="30">
      <c r="B30" s="467" t="inlineStr">
        <is>
          <t>II.</t>
        </is>
      </c>
      <c r="C30" s="626" t="n"/>
      <c r="D30" s="118" t="inlineStr">
        <is>
          <t>Customer Attrition</t>
        </is>
      </c>
      <c r="E30" s="118" t="n"/>
      <c r="F30" s="626" t="n"/>
      <c r="G30" s="626" t="n"/>
      <c r="H30" s="626" t="n"/>
      <c r="I30" s="626" t="n"/>
      <c r="J30" s="1904" t="inlineStr">
        <is>
          <t>Fiscal Years 1 - 6</t>
        </is>
      </c>
    </row>
    <row r="33">
      <c r="B33" s="930" t="n"/>
      <c r="C33" s="626" t="n"/>
      <c r="D33" s="117" t="inlineStr">
        <is>
          <t>Year</t>
        </is>
      </c>
      <c r="E33" s="117" t="n"/>
      <c r="F33" s="117" t="inlineStr">
        <is>
          <t>Months</t>
        </is>
      </c>
      <c r="G33" s="117" t="n"/>
      <c r="H33" s="117" t="n"/>
      <c r="I33" s="626" t="n"/>
      <c r="J33" s="138" t="inlineStr">
        <is>
          <t>Month 1</t>
        </is>
      </c>
      <c r="K33" s="138" t="inlineStr">
        <is>
          <t>Month 2</t>
        </is>
      </c>
      <c r="L33" s="138" t="inlineStr">
        <is>
          <t>Month 3</t>
        </is>
      </c>
      <c r="M33" s="138" t="inlineStr">
        <is>
          <t>Month 4</t>
        </is>
      </c>
      <c r="N33" s="138" t="inlineStr">
        <is>
          <t>Month 5</t>
        </is>
      </c>
      <c r="O33" s="138" t="inlineStr">
        <is>
          <t>Month 6</t>
        </is>
      </c>
      <c r="P33" s="138" t="inlineStr">
        <is>
          <t>Month 7</t>
        </is>
      </c>
      <c r="Q33" s="138" t="inlineStr">
        <is>
          <t>Month 8</t>
        </is>
      </c>
      <c r="R33" s="138" t="inlineStr">
        <is>
          <t>Month 9</t>
        </is>
      </c>
      <c r="S33" s="138" t="inlineStr">
        <is>
          <t>Month 10</t>
        </is>
      </c>
      <c r="T33" s="138" t="inlineStr">
        <is>
          <t>Month 11</t>
        </is>
      </c>
      <c r="U33" s="138" t="inlineStr">
        <is>
          <t>Month 12</t>
        </is>
      </c>
      <c r="V33" s="138" t="inlineStr">
        <is>
          <t>Ʃ, Full-Year</t>
        </is>
      </c>
    </row>
    <row r="34" ht="3" customHeight="1" s="1883">
      <c r="B34" s="930" t="n"/>
      <c r="C34" s="626" t="n"/>
      <c r="D34" s="926" t="n"/>
      <c r="E34" s="626" t="n"/>
      <c r="F34" s="926" t="n"/>
      <c r="G34" s="1968" t="n"/>
      <c r="H34" s="1968" t="n"/>
      <c r="I34" s="626" t="n"/>
      <c r="J34" s="933" t="n"/>
      <c r="K34" s="933" t="n"/>
      <c r="L34" s="933" t="n"/>
      <c r="M34" s="933" t="n"/>
      <c r="N34" s="933" t="n"/>
      <c r="O34" s="933" t="n"/>
      <c r="P34" s="933" t="n"/>
      <c r="Q34" s="933" t="n"/>
      <c r="R34" s="933" t="n"/>
      <c r="S34" s="933" t="n"/>
      <c r="T34" s="933" t="n"/>
      <c r="U34" s="933" t="n"/>
      <c r="V34" s="933" t="n"/>
    </row>
    <row r="35" ht="3" customHeight="1" s="1883">
      <c r="B35" s="930" t="n"/>
      <c r="C35" s="626" t="n"/>
      <c r="D35" s="626" t="n"/>
      <c r="E35" s="626" t="n"/>
      <c r="F35" s="626" t="n"/>
      <c r="G35" s="626" t="n"/>
      <c r="H35" s="626" t="n"/>
      <c r="I35" s="626" t="n"/>
      <c r="J35" s="934" t="n"/>
      <c r="K35" s="934" t="n"/>
      <c r="L35" s="934" t="n"/>
      <c r="M35" s="934" t="n"/>
      <c r="N35" s="934" t="n"/>
      <c r="O35" s="934" t="n"/>
      <c r="P35" s="934" t="n"/>
      <c r="Q35" s="934" t="n"/>
      <c r="R35" s="934" t="n"/>
      <c r="S35" s="934" t="n"/>
      <c r="T35" s="934" t="n"/>
      <c r="U35" s="934" t="n"/>
      <c r="V35" s="934" t="n"/>
    </row>
    <row r="36">
      <c r="B36" s="930" t="n"/>
      <c r="C36" s="626" t="n"/>
      <c r="D36" s="117" t="inlineStr">
        <is>
          <t>Year 0</t>
        </is>
      </c>
      <c r="E36" s="117" t="n"/>
      <c r="F36" s="133" t="inlineStr">
        <is>
          <t>-12 - -1</t>
        </is>
      </c>
      <c r="G36" s="133" t="n"/>
      <c r="H36" s="133" t="n"/>
      <c r="I36" s="1968" t="n"/>
      <c r="J36" s="931" t="n"/>
      <c r="K36" s="931" t="n"/>
      <c r="L36" s="931" t="n"/>
      <c r="M36" s="931" t="n"/>
      <c r="N36" s="931" t="n"/>
      <c r="O36" s="931" t="n"/>
      <c r="P36" s="931" t="n"/>
      <c r="Q36" s="931" t="n"/>
      <c r="R36" s="931" t="n"/>
      <c r="S36" s="931" t="n"/>
      <c r="T36" s="931" t="n"/>
      <c r="U36" s="931" t="n"/>
      <c r="V36" s="931" t="n"/>
    </row>
    <row r="37">
      <c r="B37" s="930" t="n"/>
      <c r="C37" s="626" t="n"/>
      <c r="D37" s="117" t="inlineStr">
        <is>
          <t>Year 1</t>
        </is>
      </c>
      <c r="E37" s="117" t="n"/>
      <c r="F37" s="134" t="inlineStr">
        <is>
          <t>1 - 12</t>
        </is>
      </c>
      <c r="G37" s="134" t="n"/>
      <c r="H37" s="134" t="n"/>
      <c r="I37" s="626" t="n"/>
      <c r="J37" s="135">
        <f>'3E. Tel. Attrit. Renew. Reward'!G100</f>
        <v/>
      </c>
      <c r="K37" s="135">
        <f>'3E. Tel. Attrit. Renew. Reward'!H100</f>
        <v/>
      </c>
      <c r="L37" s="135">
        <f>'3E. Tel. Attrit. Renew. Reward'!I100</f>
        <v/>
      </c>
      <c r="M37" s="135">
        <f>'3E. Tel. Attrit. Renew. Reward'!J100</f>
        <v/>
      </c>
      <c r="N37" s="135">
        <f>'3E. Tel. Attrit. Renew. Reward'!K100</f>
        <v/>
      </c>
      <c r="O37" s="135">
        <f>'3E. Tel. Attrit. Renew. Reward'!L100</f>
        <v/>
      </c>
      <c r="P37" s="135">
        <f>'3E. Tel. Attrit. Renew. Reward'!M100</f>
        <v/>
      </c>
      <c r="Q37" s="135">
        <f>'3E. Tel. Attrit. Renew. Reward'!N100</f>
        <v/>
      </c>
      <c r="R37" s="135">
        <f>'3E. Tel. Attrit. Renew. Reward'!O100</f>
        <v/>
      </c>
      <c r="S37" s="135">
        <f>'3E. Tel. Attrit. Renew. Reward'!P100</f>
        <v/>
      </c>
      <c r="T37" s="135">
        <f>'3E. Tel. Attrit. Renew. Reward'!Q100</f>
        <v/>
      </c>
      <c r="U37" s="135">
        <f>'3E. Tel. Attrit. Renew. Reward'!R100</f>
        <v/>
      </c>
      <c r="V37" s="136">
        <f>((J37)+(K37)+(L37)+(M37)+(N37)+(O37)+(P37)+(Q37)+(R37)+(S37)+(T37)+(U37))</f>
        <v/>
      </c>
    </row>
    <row r="38">
      <c r="B38" s="930" t="n"/>
      <c r="C38" s="626" t="n"/>
      <c r="D38" s="117" t="inlineStr">
        <is>
          <t>Year 2</t>
        </is>
      </c>
      <c r="E38" s="117" t="n"/>
      <c r="F38" s="137" t="inlineStr">
        <is>
          <t>13 - 24</t>
        </is>
      </c>
      <c r="G38" s="137" t="n"/>
      <c r="H38" s="137" t="n"/>
      <c r="I38" s="626" t="n"/>
      <c r="J38" s="135">
        <f>'3E. Tel. Attrit. Renew. Reward'!S100</f>
        <v/>
      </c>
      <c r="K38" s="135">
        <f>'3E. Tel. Attrit. Renew. Reward'!T100</f>
        <v/>
      </c>
      <c r="L38" s="135">
        <f>'3E. Tel. Attrit. Renew. Reward'!U100</f>
        <v/>
      </c>
      <c r="M38" s="135">
        <f>'3E. Tel. Attrit. Renew. Reward'!V100</f>
        <v/>
      </c>
      <c r="N38" s="135">
        <f>'3E. Tel. Attrit. Renew. Reward'!W100</f>
        <v/>
      </c>
      <c r="O38" s="135">
        <f>'3E. Tel. Attrit. Renew. Reward'!X100</f>
        <v/>
      </c>
      <c r="P38" s="135">
        <f>'3E. Tel. Attrit. Renew. Reward'!Y100</f>
        <v/>
      </c>
      <c r="Q38" s="135">
        <f>'3E. Tel. Attrit. Renew. Reward'!Z100</f>
        <v/>
      </c>
      <c r="R38" s="135">
        <f>'3E. Tel. Attrit. Renew. Reward'!AA100</f>
        <v/>
      </c>
      <c r="S38" s="135">
        <f>'3E. Tel. Attrit. Renew. Reward'!AB100</f>
        <v/>
      </c>
      <c r="T38" s="135">
        <f>'3E. Tel. Attrit. Renew. Reward'!AC100</f>
        <v/>
      </c>
      <c r="U38" s="135">
        <f>'3E. Tel. Attrit. Renew. Reward'!AD100</f>
        <v/>
      </c>
      <c r="V38" s="136">
        <f>((J38)+(K38)+(L38)+(M38)+(N38)+(O38)+(P38)+(Q38)+(R38)+(S38)+(T38)+(U38))</f>
        <v/>
      </c>
    </row>
    <row r="39">
      <c r="B39" s="930" t="n"/>
      <c r="C39" s="626" t="n"/>
      <c r="D39" s="117" t="inlineStr">
        <is>
          <t>Year 3</t>
        </is>
      </c>
      <c r="E39" s="117" t="n"/>
      <c r="F39" s="137" t="inlineStr">
        <is>
          <t>25 - 36</t>
        </is>
      </c>
      <c r="G39" s="137" t="n"/>
      <c r="H39" s="137" t="n"/>
      <c r="I39" s="626" t="n"/>
      <c r="J39" s="135">
        <f>'3E. Tel. Attrit. Renew. Reward'!AE100</f>
        <v/>
      </c>
      <c r="K39" s="135">
        <f>'3E. Tel. Attrit. Renew. Reward'!AF100</f>
        <v/>
      </c>
      <c r="L39" s="135">
        <f>'3E. Tel. Attrit. Renew. Reward'!AG100</f>
        <v/>
      </c>
      <c r="M39" s="135">
        <f>'3E. Tel. Attrit. Renew. Reward'!AH100</f>
        <v/>
      </c>
      <c r="N39" s="135">
        <f>'3E. Tel. Attrit. Renew. Reward'!AI100</f>
        <v/>
      </c>
      <c r="O39" s="135">
        <f>'3E. Tel. Attrit. Renew. Reward'!AJ100</f>
        <v/>
      </c>
      <c r="P39" s="135">
        <f>'3E. Tel. Attrit. Renew. Reward'!AK100</f>
        <v/>
      </c>
      <c r="Q39" s="135">
        <f>'3E. Tel. Attrit. Renew. Reward'!AL100</f>
        <v/>
      </c>
      <c r="R39" s="135">
        <f>'3E. Tel. Attrit. Renew. Reward'!AM100</f>
        <v/>
      </c>
      <c r="S39" s="135">
        <f>'3E. Tel. Attrit. Renew. Reward'!AN100</f>
        <v/>
      </c>
      <c r="T39" s="135">
        <f>'3E. Tel. Attrit. Renew. Reward'!AO100</f>
        <v/>
      </c>
      <c r="U39" s="135">
        <f>'3E. Tel. Attrit. Renew. Reward'!AP100</f>
        <v/>
      </c>
      <c r="V39" s="136">
        <f>((J39)+(K39)+(L39)+(M39)+(N39)+(O39)+(P39)+(Q39)+(R39)+(S39)+(T39)+(U39))</f>
        <v/>
      </c>
    </row>
    <row r="40">
      <c r="B40" s="930" t="n"/>
      <c r="C40" s="626" t="n"/>
      <c r="D40" s="117" t="inlineStr">
        <is>
          <t>Year 4</t>
        </is>
      </c>
      <c r="E40" s="117" t="n"/>
      <c r="F40" s="137" t="inlineStr">
        <is>
          <t>37 - 48</t>
        </is>
      </c>
      <c r="G40" s="137" t="n"/>
      <c r="H40" s="137" t="n"/>
      <c r="I40" s="626" t="n"/>
      <c r="J40" s="135">
        <f>'3E. Tel. Attrit. Renew. Reward'!AQ100</f>
        <v/>
      </c>
      <c r="K40" s="135">
        <f>'3E. Tel. Attrit. Renew. Reward'!AR100</f>
        <v/>
      </c>
      <c r="L40" s="135">
        <f>'3E. Tel. Attrit. Renew. Reward'!AS100</f>
        <v/>
      </c>
      <c r="M40" s="135">
        <f>'3E. Tel. Attrit. Renew. Reward'!AT100</f>
        <v/>
      </c>
      <c r="N40" s="135">
        <f>'3E. Tel. Attrit. Renew. Reward'!AU100</f>
        <v/>
      </c>
      <c r="O40" s="135">
        <f>'3E. Tel. Attrit. Renew. Reward'!AV100</f>
        <v/>
      </c>
      <c r="P40" s="135">
        <f>'3E. Tel. Attrit. Renew. Reward'!AW100</f>
        <v/>
      </c>
      <c r="Q40" s="135">
        <f>'3E. Tel. Attrit. Renew. Reward'!AX100</f>
        <v/>
      </c>
      <c r="R40" s="135">
        <f>'3E. Tel. Attrit. Renew. Reward'!AY100</f>
        <v/>
      </c>
      <c r="S40" s="135">
        <f>'3E. Tel. Attrit. Renew. Reward'!AZ100</f>
        <v/>
      </c>
      <c r="T40" s="135">
        <f>'3E. Tel. Attrit. Renew. Reward'!BA100</f>
        <v/>
      </c>
      <c r="U40" s="135">
        <f>'3E. Tel. Attrit. Renew. Reward'!BB100</f>
        <v/>
      </c>
      <c r="V40" s="136">
        <f>((J40)+(K40)+(L40)+(M40)+(N40)+(O40)+(P40)+(Q40)+(R40)+(S40)+(T40)+(U40))</f>
        <v/>
      </c>
    </row>
    <row r="41">
      <c r="B41" s="930" t="n"/>
      <c r="C41" s="626" t="n"/>
      <c r="D41" s="117" t="inlineStr">
        <is>
          <t>Year 5</t>
        </is>
      </c>
      <c r="E41" s="117" t="n"/>
      <c r="F41" s="137" t="inlineStr">
        <is>
          <t>49 - 60</t>
        </is>
      </c>
      <c r="G41" s="137" t="n"/>
      <c r="H41" s="137" t="n"/>
      <c r="I41" s="626" t="n"/>
      <c r="J41" s="135">
        <f>'3E. Tel. Attrit. Renew. Reward'!BC100</f>
        <v/>
      </c>
      <c r="K41" s="135">
        <f>'3E. Tel. Attrit. Renew. Reward'!BD100</f>
        <v/>
      </c>
      <c r="L41" s="135">
        <f>'3E. Tel. Attrit. Renew. Reward'!BE100</f>
        <v/>
      </c>
      <c r="M41" s="135">
        <f>'3E. Tel. Attrit. Renew. Reward'!BF100</f>
        <v/>
      </c>
      <c r="N41" s="135">
        <f>'3E. Tel. Attrit. Renew. Reward'!BG100</f>
        <v/>
      </c>
      <c r="O41" s="135">
        <f>'3E. Tel. Attrit. Renew. Reward'!BH100</f>
        <v/>
      </c>
      <c r="P41" s="135">
        <f>'3E. Tel. Attrit. Renew. Reward'!BI100</f>
        <v/>
      </c>
      <c r="Q41" s="135">
        <f>'3E. Tel. Attrit. Renew. Reward'!BJ100</f>
        <v/>
      </c>
      <c r="R41" s="135">
        <f>'3E. Tel. Attrit. Renew. Reward'!BK100</f>
        <v/>
      </c>
      <c r="S41" s="135">
        <f>'3E. Tel. Attrit. Renew. Reward'!BL100</f>
        <v/>
      </c>
      <c r="T41" s="135">
        <f>'3E. Tel. Attrit. Renew. Reward'!BM100</f>
        <v/>
      </c>
      <c r="U41" s="135">
        <f>'3E. Tel. Attrit. Renew. Reward'!BN100</f>
        <v/>
      </c>
      <c r="V41" s="136">
        <f>((J41)+(K41)+(L41)+(M41)+(N41)+(O41)+(P41)+(Q41)+(R41)+(S41)+(T41)+(U41))</f>
        <v/>
      </c>
    </row>
    <row r="42">
      <c r="B42" s="930" t="n"/>
      <c r="C42" s="626" t="n"/>
      <c r="D42" s="117" t="inlineStr">
        <is>
          <t>Year 6</t>
        </is>
      </c>
      <c r="E42" s="117" t="n"/>
      <c r="F42" s="137" t="inlineStr">
        <is>
          <t>61 - 72</t>
        </is>
      </c>
      <c r="G42" s="137" t="n"/>
      <c r="H42" s="137" t="n"/>
      <c r="I42" s="626" t="n"/>
      <c r="J42" s="135">
        <f>'3E. Tel. Attrit. Renew. Reward'!BO100</f>
        <v/>
      </c>
      <c r="K42" s="135">
        <f>'3E. Tel. Attrit. Renew. Reward'!BP100</f>
        <v/>
      </c>
      <c r="L42" s="135">
        <f>'3E. Tel. Attrit. Renew. Reward'!BQ100</f>
        <v/>
      </c>
      <c r="M42" s="135">
        <f>'3E. Tel. Attrit. Renew. Reward'!BR100</f>
        <v/>
      </c>
      <c r="N42" s="135">
        <f>'3E. Tel. Attrit. Renew. Reward'!BS100</f>
        <v/>
      </c>
      <c r="O42" s="135">
        <f>'3E. Tel. Attrit. Renew. Reward'!BT100</f>
        <v/>
      </c>
      <c r="P42" s="135">
        <f>'3E. Tel. Attrit. Renew. Reward'!BU100</f>
        <v/>
      </c>
      <c r="Q42" s="135">
        <f>'3E. Tel. Attrit. Renew. Reward'!BV100</f>
        <v/>
      </c>
      <c r="R42" s="135">
        <f>'3E. Tel. Attrit. Renew. Reward'!BW100</f>
        <v/>
      </c>
      <c r="S42" s="135">
        <f>'3E. Tel. Attrit. Renew. Reward'!BX100</f>
        <v/>
      </c>
      <c r="T42" s="135">
        <f>'3E. Tel. Attrit. Renew. Reward'!BY100</f>
        <v/>
      </c>
      <c r="U42" s="135">
        <f>'3E. Tel. Attrit. Renew. Reward'!BZ100</f>
        <v/>
      </c>
      <c r="V42" s="136">
        <f>((J42)+(K42)+(L42)+(M42)+(N42)+(O42)+(P42)+(Q42)+(R42)+(S42)+(T42)+(U42))</f>
        <v/>
      </c>
    </row>
    <row r="43">
      <c r="B43" s="930" t="n"/>
      <c r="C43" s="626" t="n"/>
      <c r="D43" s="117" t="n"/>
      <c r="E43" s="117" t="n"/>
      <c r="F43" s="137" t="n"/>
      <c r="G43" s="137" t="n"/>
      <c r="H43" s="137" t="n"/>
      <c r="I43" s="626" t="n"/>
      <c r="J43" s="135" t="n"/>
      <c r="K43" s="135" t="n"/>
      <c r="L43" s="135" t="n"/>
      <c r="M43" s="135" t="n"/>
      <c r="N43" s="135" t="n"/>
      <c r="O43" s="135" t="n"/>
      <c r="P43" s="135" t="n"/>
      <c r="Q43" s="135" t="n"/>
      <c r="R43" s="135" t="n"/>
      <c r="S43" s="135" t="n"/>
      <c r="T43" s="135" t="n"/>
      <c r="U43" s="135" t="n"/>
      <c r="V43" s="136" t="n"/>
    </row>
    <row r="44">
      <c r="B44" s="930" t="n"/>
      <c r="C44" s="626" t="n"/>
      <c r="D44" s="117" t="n"/>
      <c r="E44" s="117" t="n"/>
      <c r="F44" s="137" t="n"/>
      <c r="G44" s="137" t="n"/>
      <c r="H44" s="137" t="n"/>
      <c r="I44" s="626" t="n"/>
      <c r="J44" s="135" t="n"/>
      <c r="K44" s="135" t="n"/>
      <c r="L44" s="135" t="n"/>
      <c r="M44" s="135" t="n"/>
      <c r="N44" s="135" t="n"/>
      <c r="O44" s="135" t="n"/>
      <c r="P44" s="135" t="n"/>
      <c r="Q44" s="135" t="n"/>
      <c r="R44" s="135" t="n"/>
      <c r="S44" s="135" t="n"/>
      <c r="T44" s="135" t="n"/>
      <c r="U44" s="135" t="n"/>
      <c r="V44" s="136" t="n"/>
    </row>
    <row r="45">
      <c r="B45" s="467" t="inlineStr">
        <is>
          <t>III.</t>
        </is>
      </c>
      <c r="C45" s="626" t="n"/>
      <c r="D45" s="118" t="inlineStr">
        <is>
          <t>Renewals</t>
        </is>
      </c>
      <c r="E45" s="118" t="n"/>
      <c r="F45" s="626" t="n"/>
      <c r="G45" s="626" t="n"/>
      <c r="H45" s="626" t="n"/>
      <c r="I45" s="626" t="n"/>
      <c r="J45" s="1904" t="inlineStr">
        <is>
          <t>Fiscal Years 1 - 6</t>
        </is>
      </c>
    </row>
    <row r="46" ht="3" customHeight="1" s="1883">
      <c r="B46" s="929" t="n"/>
      <c r="C46" s="926" t="n"/>
      <c r="D46" s="926" t="n"/>
      <c r="E46" s="926" t="n"/>
      <c r="F46" s="926" t="n"/>
      <c r="G46" s="1968" t="n"/>
      <c r="H46" s="1968" t="n"/>
      <c r="I46" s="626" t="n"/>
      <c r="J46" s="933" t="n"/>
      <c r="K46" s="933" t="n"/>
      <c r="L46" s="933" t="n"/>
      <c r="M46" s="933" t="n"/>
      <c r="N46" s="933" t="n"/>
      <c r="O46" s="933" t="n"/>
      <c r="P46" s="933" t="n"/>
      <c r="Q46" s="933" t="n"/>
      <c r="R46" s="933" t="n"/>
      <c r="S46" s="933" t="n"/>
      <c r="T46" s="933" t="n"/>
      <c r="U46" s="933" t="n"/>
      <c r="V46" s="933" t="n"/>
    </row>
    <row r="47" ht="3" customHeight="1" s="1883">
      <c r="B47" s="930" t="n"/>
      <c r="C47" s="626" t="n"/>
      <c r="D47" s="626" t="n"/>
      <c r="E47" s="626" t="n"/>
      <c r="F47" s="626" t="n"/>
      <c r="G47" s="626" t="n"/>
      <c r="H47" s="626" t="n"/>
      <c r="I47" s="626" t="n"/>
      <c r="J47" s="932" t="n"/>
      <c r="K47" s="932" t="n"/>
      <c r="L47" s="932" t="n"/>
      <c r="M47" s="932" t="n"/>
      <c r="N47" s="932" t="n"/>
      <c r="O47" s="932" t="n"/>
      <c r="P47" s="932" t="n"/>
      <c r="Q47" s="932" t="n"/>
      <c r="R47" s="932" t="n"/>
      <c r="S47" s="932" t="n"/>
      <c r="T47" s="932" t="n"/>
      <c r="U47" s="932" t="n"/>
      <c r="V47" s="932" t="n"/>
    </row>
    <row r="48">
      <c r="B48" s="930" t="n"/>
      <c r="C48" s="626" t="n"/>
      <c r="D48" s="117" t="inlineStr">
        <is>
          <t>Year</t>
        </is>
      </c>
      <c r="E48" s="117" t="n"/>
      <c r="F48" s="117" t="inlineStr">
        <is>
          <t>Months</t>
        </is>
      </c>
      <c r="G48" s="117" t="n"/>
      <c r="H48" s="117" t="n"/>
      <c r="I48" s="626" t="n"/>
      <c r="J48" s="138" t="inlineStr">
        <is>
          <t>Month 1</t>
        </is>
      </c>
      <c r="K48" s="138" t="inlineStr">
        <is>
          <t>Month 2</t>
        </is>
      </c>
      <c r="L48" s="138" t="inlineStr">
        <is>
          <t>Month 3</t>
        </is>
      </c>
      <c r="M48" s="138" t="inlineStr">
        <is>
          <t>Month 4</t>
        </is>
      </c>
      <c r="N48" s="138" t="inlineStr">
        <is>
          <t>Month 5</t>
        </is>
      </c>
      <c r="O48" s="138" t="inlineStr">
        <is>
          <t>Month 6</t>
        </is>
      </c>
      <c r="P48" s="138" t="inlineStr">
        <is>
          <t>Month 7</t>
        </is>
      </c>
      <c r="Q48" s="138" t="inlineStr">
        <is>
          <t>Month 8</t>
        </is>
      </c>
      <c r="R48" s="138" t="inlineStr">
        <is>
          <t>Month 9</t>
        </is>
      </c>
      <c r="S48" s="138" t="inlineStr">
        <is>
          <t>Month 10</t>
        </is>
      </c>
      <c r="T48" s="138" t="inlineStr">
        <is>
          <t>Month 11</t>
        </is>
      </c>
      <c r="U48" s="138" t="inlineStr">
        <is>
          <t>Month 12</t>
        </is>
      </c>
      <c r="V48" s="138" t="inlineStr">
        <is>
          <t>Ʃ, Full-Year</t>
        </is>
      </c>
    </row>
    <row r="51">
      <c r="B51" s="930" t="n"/>
      <c r="C51" s="626" t="n"/>
      <c r="D51" s="117" t="inlineStr">
        <is>
          <t>Year 0</t>
        </is>
      </c>
      <c r="E51" s="117" t="n"/>
      <c r="F51" s="133" t="inlineStr">
        <is>
          <t>-12 - -1</t>
        </is>
      </c>
      <c r="G51" s="133" t="n"/>
      <c r="H51" s="133" t="n"/>
      <c r="I51" s="1968" t="n"/>
      <c r="J51" s="931" t="n"/>
      <c r="K51" s="931" t="n"/>
      <c r="L51" s="931" t="n"/>
      <c r="M51" s="931" t="n"/>
      <c r="N51" s="931" t="n"/>
      <c r="O51" s="931" t="n"/>
      <c r="P51" s="931" t="n"/>
      <c r="Q51" s="931" t="n"/>
      <c r="R51" s="931" t="n"/>
      <c r="S51" s="931" t="n"/>
      <c r="T51" s="931" t="n"/>
      <c r="U51" s="931" t="n"/>
      <c r="V51" s="931" t="n"/>
    </row>
    <row r="52">
      <c r="B52" s="930" t="n"/>
      <c r="C52" s="626" t="n"/>
      <c r="D52" s="117" t="inlineStr">
        <is>
          <t>Year 1</t>
        </is>
      </c>
      <c r="E52" s="117" t="n"/>
      <c r="F52" s="134" t="inlineStr">
        <is>
          <t>1 - 12</t>
        </is>
      </c>
      <c r="G52" s="134" t="n"/>
      <c r="H52" s="134" t="n"/>
      <c r="I52" s="626" t="n"/>
      <c r="J52" s="135">
        <f>'3E. Tel. Attrit. Renew. Reward'!G201</f>
        <v/>
      </c>
      <c r="K52" s="135">
        <f>'3E. Tel. Attrit. Renew. Reward'!H201</f>
        <v/>
      </c>
      <c r="L52" s="135">
        <f>'3E. Tel. Attrit. Renew. Reward'!I201</f>
        <v/>
      </c>
      <c r="M52" s="135">
        <f>'3E. Tel. Attrit. Renew. Reward'!J201</f>
        <v/>
      </c>
      <c r="N52" s="135">
        <f>'3E. Tel. Attrit. Renew. Reward'!K201</f>
        <v/>
      </c>
      <c r="O52" s="135">
        <f>'3E. Tel. Attrit. Renew. Reward'!L201</f>
        <v/>
      </c>
      <c r="P52" s="135">
        <f>'3E. Tel. Attrit. Renew. Reward'!M201</f>
        <v/>
      </c>
      <c r="Q52" s="135">
        <f>'3E. Tel. Attrit. Renew. Reward'!N201</f>
        <v/>
      </c>
      <c r="R52" s="135">
        <f>'3E. Tel. Attrit. Renew. Reward'!O201</f>
        <v/>
      </c>
      <c r="S52" s="135">
        <f>'3E. Tel. Attrit. Renew. Reward'!P201</f>
        <v/>
      </c>
      <c r="T52" s="135">
        <f>'3E. Tel. Attrit. Renew. Reward'!Q201</f>
        <v/>
      </c>
      <c r="U52" s="135">
        <f>'3E. Tel. Attrit. Renew. Reward'!R201</f>
        <v/>
      </c>
      <c r="V52" s="136">
        <f>((J52)+(K52)+(L52)+(M52)+(N52)+(O52)+(P52)+(Q52)+(R52)+(S52)+(T52)+(U52))</f>
        <v/>
      </c>
    </row>
    <row r="53">
      <c r="B53" s="930" t="n"/>
      <c r="C53" s="626" t="n"/>
      <c r="D53" s="117" t="inlineStr">
        <is>
          <t>Year 2</t>
        </is>
      </c>
      <c r="E53" s="117" t="n"/>
      <c r="F53" s="137" t="inlineStr">
        <is>
          <t>13 - 24</t>
        </is>
      </c>
      <c r="G53" s="137" t="n"/>
      <c r="H53" s="137" t="n"/>
      <c r="I53" s="626" t="n"/>
      <c r="J53" s="135">
        <f>'3E. Tel. Attrit. Renew. Reward'!S201</f>
        <v/>
      </c>
      <c r="K53" s="135">
        <f>'3E. Tel. Attrit. Renew. Reward'!T201</f>
        <v/>
      </c>
      <c r="L53" s="135">
        <f>'3E. Tel. Attrit. Renew. Reward'!U201</f>
        <v/>
      </c>
      <c r="M53" s="135">
        <f>'3E. Tel. Attrit. Renew. Reward'!V201</f>
        <v/>
      </c>
      <c r="N53" s="135">
        <f>'3E. Tel. Attrit. Renew. Reward'!W201</f>
        <v/>
      </c>
      <c r="O53" s="135">
        <f>'3E. Tel. Attrit. Renew. Reward'!X201</f>
        <v/>
      </c>
      <c r="P53" s="135">
        <f>'3E. Tel. Attrit. Renew. Reward'!Y201</f>
        <v/>
      </c>
      <c r="Q53" s="135">
        <f>'3E. Tel. Attrit. Renew. Reward'!Z201</f>
        <v/>
      </c>
      <c r="R53" s="135">
        <f>'3E. Tel. Attrit. Renew. Reward'!AA201</f>
        <v/>
      </c>
      <c r="S53" s="135">
        <f>'3E. Tel. Attrit. Renew. Reward'!AB201</f>
        <v/>
      </c>
      <c r="T53" s="135">
        <f>'3E. Tel. Attrit. Renew. Reward'!AC201</f>
        <v/>
      </c>
      <c r="U53" s="135">
        <f>'3E. Tel. Attrit. Renew. Reward'!AD201</f>
        <v/>
      </c>
      <c r="V53" s="136">
        <f>((J53)+(K53)+(L53)+(M53)+(N53)+(O53)+(P53)+(Q53)+(R53)+(S53)+(T53)+(U53))</f>
        <v/>
      </c>
    </row>
    <row r="54">
      <c r="B54" s="930" t="n"/>
      <c r="C54" s="626" t="n"/>
      <c r="D54" s="117" t="inlineStr">
        <is>
          <t>Year 3</t>
        </is>
      </c>
      <c r="E54" s="117" t="n"/>
      <c r="F54" s="137" t="inlineStr">
        <is>
          <t>25 - 36</t>
        </is>
      </c>
      <c r="G54" s="137" t="n"/>
      <c r="H54" s="137" t="n"/>
      <c r="I54" s="626" t="n"/>
      <c r="J54" s="135">
        <f>'3E. Tel. Attrit. Renew. Reward'!AE201</f>
        <v/>
      </c>
      <c r="K54" s="135">
        <f>'3E. Tel. Attrit. Renew. Reward'!AF201</f>
        <v/>
      </c>
      <c r="L54" s="135">
        <f>'3E. Tel. Attrit. Renew. Reward'!AG201</f>
        <v/>
      </c>
      <c r="M54" s="135">
        <f>'3E. Tel. Attrit. Renew. Reward'!AH201</f>
        <v/>
      </c>
      <c r="N54" s="135">
        <f>'3E. Tel. Attrit. Renew. Reward'!AI201</f>
        <v/>
      </c>
      <c r="O54" s="135">
        <f>'3E. Tel. Attrit. Renew. Reward'!AJ201</f>
        <v/>
      </c>
      <c r="P54" s="135">
        <f>'3E. Tel. Attrit. Renew. Reward'!AK201</f>
        <v/>
      </c>
      <c r="Q54" s="135">
        <f>'3E. Tel. Attrit. Renew. Reward'!AL201</f>
        <v/>
      </c>
      <c r="R54" s="135">
        <f>'3E. Tel. Attrit. Renew. Reward'!AM201</f>
        <v/>
      </c>
      <c r="S54" s="135">
        <f>'3E. Tel. Attrit. Renew. Reward'!AN201</f>
        <v/>
      </c>
      <c r="T54" s="135">
        <f>'3E. Tel. Attrit. Renew. Reward'!AO201</f>
        <v/>
      </c>
      <c r="U54" s="135">
        <f>'3E. Tel. Attrit. Renew. Reward'!AP201</f>
        <v/>
      </c>
      <c r="V54" s="136">
        <f>((J54)+(K54)+(L54)+(M54)+(N54)+(O54)+(P54)+(Q54)+(R54)+(S54)+(T54)+(U54))</f>
        <v/>
      </c>
    </row>
    <row r="55">
      <c r="B55" s="930" t="n"/>
      <c r="C55" s="626" t="n"/>
      <c r="D55" s="117" t="inlineStr">
        <is>
          <t>Year 4</t>
        </is>
      </c>
      <c r="E55" s="117" t="n"/>
      <c r="F55" s="137" t="inlineStr">
        <is>
          <t>37 - 48</t>
        </is>
      </c>
      <c r="G55" s="137" t="n"/>
      <c r="H55" s="137" t="n"/>
      <c r="I55" s="626" t="n"/>
      <c r="J55" s="135">
        <f>'3E. Tel. Attrit. Renew. Reward'!AQ201</f>
        <v/>
      </c>
      <c r="K55" s="135">
        <f>'3E. Tel. Attrit. Renew. Reward'!AR201</f>
        <v/>
      </c>
      <c r="L55" s="135">
        <f>'3E. Tel. Attrit. Renew. Reward'!AS201</f>
        <v/>
      </c>
      <c r="M55" s="135">
        <f>'3E. Tel. Attrit. Renew. Reward'!AT201</f>
        <v/>
      </c>
      <c r="N55" s="135">
        <f>'3E. Tel. Attrit. Renew. Reward'!AU201</f>
        <v/>
      </c>
      <c r="O55" s="135">
        <f>'3E. Tel. Attrit. Renew. Reward'!AV201</f>
        <v/>
      </c>
      <c r="P55" s="135">
        <f>'3E. Tel. Attrit. Renew. Reward'!AW201</f>
        <v/>
      </c>
      <c r="Q55" s="135">
        <f>'3E. Tel. Attrit. Renew. Reward'!AX201</f>
        <v/>
      </c>
      <c r="R55" s="135">
        <f>'3E. Tel. Attrit. Renew. Reward'!AY201</f>
        <v/>
      </c>
      <c r="S55" s="135">
        <f>'3E. Tel. Attrit. Renew. Reward'!AZ201</f>
        <v/>
      </c>
      <c r="T55" s="135">
        <f>'3E. Tel. Attrit. Renew. Reward'!BA201</f>
        <v/>
      </c>
      <c r="U55" s="135">
        <f>'3E. Tel. Attrit. Renew. Reward'!BB201</f>
        <v/>
      </c>
      <c r="V55" s="136">
        <f>((J55)+(K55)+(L55)+(M55)+(N55)+(O55)+(P55)+(Q55)+(R55)+(S55)+(T55)+(U55))</f>
        <v/>
      </c>
    </row>
    <row r="56">
      <c r="B56" s="930" t="n"/>
      <c r="C56" s="626" t="n"/>
      <c r="D56" s="117" t="inlineStr">
        <is>
          <t>Year 5</t>
        </is>
      </c>
      <c r="E56" s="117" t="n"/>
      <c r="F56" s="137" t="inlineStr">
        <is>
          <t>49 - 60</t>
        </is>
      </c>
      <c r="G56" s="137" t="n"/>
      <c r="H56" s="137" t="n"/>
      <c r="I56" s="626" t="n"/>
      <c r="J56" s="135">
        <f>'3E. Tel. Attrit. Renew. Reward'!BC201</f>
        <v/>
      </c>
      <c r="K56" s="135">
        <f>'3E. Tel. Attrit. Renew. Reward'!BD201</f>
        <v/>
      </c>
      <c r="L56" s="135">
        <f>'3E. Tel. Attrit. Renew. Reward'!BE201</f>
        <v/>
      </c>
      <c r="M56" s="135">
        <f>'3E. Tel. Attrit. Renew. Reward'!BF201</f>
        <v/>
      </c>
      <c r="N56" s="135">
        <f>'3E. Tel. Attrit. Renew. Reward'!BG201</f>
        <v/>
      </c>
      <c r="O56" s="135">
        <f>'3E. Tel. Attrit. Renew. Reward'!BH201</f>
        <v/>
      </c>
      <c r="P56" s="135">
        <f>'3E. Tel. Attrit. Renew. Reward'!BI201</f>
        <v/>
      </c>
      <c r="Q56" s="135">
        <f>'3E. Tel. Attrit. Renew. Reward'!BJ201</f>
        <v/>
      </c>
      <c r="R56" s="135">
        <f>'3E. Tel. Attrit. Renew. Reward'!BK201</f>
        <v/>
      </c>
      <c r="S56" s="135">
        <f>'3E. Tel. Attrit. Renew. Reward'!BL201</f>
        <v/>
      </c>
      <c r="T56" s="135">
        <f>'3E. Tel. Attrit. Renew. Reward'!BM201</f>
        <v/>
      </c>
      <c r="U56" s="135">
        <f>'3E. Tel. Attrit. Renew. Reward'!BN201</f>
        <v/>
      </c>
      <c r="V56" s="136">
        <f>((J56)+(K56)+(L56)+(M56)+(N56)+(O56)+(P56)+(Q56)+(R56)+(S56)+(T56)+(U56))</f>
        <v/>
      </c>
    </row>
    <row r="57">
      <c r="B57" s="930" t="n"/>
      <c r="C57" s="626" t="n"/>
      <c r="D57" s="117" t="inlineStr">
        <is>
          <t>Year 6</t>
        </is>
      </c>
      <c r="E57" s="117" t="n"/>
      <c r="F57" s="137" t="inlineStr">
        <is>
          <t>61 - 72</t>
        </is>
      </c>
      <c r="G57" s="137" t="n"/>
      <c r="H57" s="137" t="n"/>
      <c r="I57" s="626" t="n"/>
      <c r="J57" s="135">
        <f>'3E. Tel. Attrit. Renew. Reward'!BO201</f>
        <v/>
      </c>
      <c r="K57" s="135">
        <f>'3E. Tel. Attrit. Renew. Reward'!BP201</f>
        <v/>
      </c>
      <c r="L57" s="135">
        <f>'3E. Tel. Attrit. Renew. Reward'!BQ201</f>
        <v/>
      </c>
      <c r="M57" s="135">
        <f>'3E. Tel. Attrit. Renew. Reward'!BR201</f>
        <v/>
      </c>
      <c r="N57" s="135">
        <f>'3E. Tel. Attrit. Renew. Reward'!BS201</f>
        <v/>
      </c>
      <c r="O57" s="135">
        <f>'3E. Tel. Attrit. Renew. Reward'!BT201</f>
        <v/>
      </c>
      <c r="P57" s="135">
        <f>'3E. Tel. Attrit. Renew. Reward'!BU201</f>
        <v/>
      </c>
      <c r="Q57" s="135">
        <f>'3E. Tel. Attrit. Renew. Reward'!BV201</f>
        <v/>
      </c>
      <c r="R57" s="135">
        <f>'3E. Tel. Attrit. Renew. Reward'!BW201</f>
        <v/>
      </c>
      <c r="S57" s="135">
        <f>'3E. Tel. Attrit. Renew. Reward'!BX201</f>
        <v/>
      </c>
      <c r="T57" s="135">
        <f>'3E. Tel. Attrit. Renew. Reward'!BY201</f>
        <v/>
      </c>
      <c r="U57" s="135">
        <f>'3E. Tel. Attrit. Renew. Reward'!BZ201</f>
        <v/>
      </c>
      <c r="V57" s="136">
        <f>((J57)+(K57)+(L57)+(M57)+(N57)+(O57)+(P57)+(Q57)+(R57)+(S57)+(T57)+(U57))</f>
        <v/>
      </c>
    </row>
    <row r="58" ht="13" customHeight="1" s="1883">
      <c r="B58" s="930" t="n"/>
      <c r="C58" s="626" t="n"/>
      <c r="D58" s="626" t="n"/>
      <c r="E58" s="626" t="n"/>
      <c r="F58" s="626" t="n"/>
      <c r="G58" s="626" t="n"/>
      <c r="H58" s="626" t="n"/>
      <c r="I58" s="626" t="n"/>
      <c r="J58" s="932" t="n"/>
      <c r="K58" s="932" t="n"/>
      <c r="L58" s="932" t="n"/>
      <c r="M58" s="932" t="n"/>
      <c r="N58" s="932" t="n"/>
      <c r="O58" s="932" t="n"/>
      <c r="P58" s="932" t="n"/>
      <c r="Q58" s="932" t="n"/>
      <c r="R58" s="932" t="n"/>
      <c r="S58" s="932" t="n"/>
      <c r="T58" s="932" t="n"/>
      <c r="U58" s="932" t="n"/>
      <c r="V58" s="932" t="n"/>
    </row>
    <row r="59" ht="13" customHeight="1" s="1883">
      <c r="B59" s="930" t="n"/>
      <c r="C59" s="626" t="n"/>
      <c r="D59" s="626" t="n"/>
      <c r="E59" s="626" t="n"/>
      <c r="F59" s="626" t="n"/>
      <c r="G59" s="626" t="n"/>
      <c r="H59" s="626" t="n"/>
      <c r="I59" s="626" t="n"/>
      <c r="J59" s="932" t="n"/>
      <c r="K59" s="932" t="n"/>
      <c r="L59" s="932" t="n"/>
      <c r="M59" s="932" t="n"/>
      <c r="N59" s="932" t="n"/>
      <c r="O59" s="932" t="n"/>
      <c r="P59" s="932" t="n"/>
      <c r="Q59" s="932" t="n"/>
      <c r="R59" s="932" t="n"/>
      <c r="S59" s="932" t="n"/>
      <c r="T59" s="932" t="n"/>
      <c r="U59" s="932" t="n"/>
      <c r="V59" s="932" t="n"/>
    </row>
    <row r="60">
      <c r="B60" s="467" t="inlineStr">
        <is>
          <t>IV.</t>
        </is>
      </c>
      <c r="C60" s="626" t="n"/>
      <c r="D60" s="118" t="inlineStr">
        <is>
          <t>Active Phones</t>
        </is>
      </c>
      <c r="E60" s="118" t="n"/>
      <c r="F60" s="626" t="n"/>
      <c r="G60" s="626" t="n"/>
      <c r="H60" s="626" t="n"/>
      <c r="I60" s="626" t="n"/>
      <c r="J60" s="1904" t="inlineStr">
        <is>
          <t>Fiscal Years 1 - 6</t>
        </is>
      </c>
    </row>
    <row r="61" ht="3" customHeight="1" s="1883">
      <c r="B61" s="929" t="n"/>
      <c r="C61" s="926" t="n"/>
      <c r="D61" s="926" t="n"/>
      <c r="E61" s="926" t="n"/>
      <c r="F61" s="926" t="n"/>
      <c r="G61" s="1968" t="n"/>
      <c r="H61" s="1968" t="n"/>
      <c r="I61" s="626" t="n"/>
      <c r="J61" s="933" t="n"/>
      <c r="K61" s="933" t="n"/>
      <c r="L61" s="933" t="n"/>
      <c r="M61" s="933" t="n"/>
      <c r="N61" s="933" t="n"/>
      <c r="O61" s="933" t="n"/>
      <c r="P61" s="933" t="n"/>
      <c r="Q61" s="933" t="n"/>
      <c r="R61" s="933" t="n"/>
      <c r="S61" s="933" t="n"/>
      <c r="T61" s="933" t="n"/>
      <c r="U61" s="933" t="n"/>
      <c r="V61" s="933" t="n"/>
    </row>
    <row r="62" ht="3" customHeight="1" s="1883">
      <c r="B62" s="930" t="n"/>
      <c r="C62" s="626" t="n"/>
      <c r="D62" s="626" t="n"/>
      <c r="E62" s="626" t="n"/>
      <c r="F62" s="626" t="n"/>
      <c r="G62" s="626" t="n"/>
      <c r="H62" s="626" t="n"/>
      <c r="I62" s="626" t="n"/>
      <c r="J62" s="932" t="n"/>
      <c r="K62" s="932" t="n"/>
      <c r="L62" s="932" t="n"/>
      <c r="M62" s="932" t="n"/>
      <c r="N62" s="932" t="n"/>
      <c r="O62" s="932" t="n"/>
      <c r="P62" s="932" t="n"/>
      <c r="Q62" s="932" t="n"/>
      <c r="R62" s="932" t="n"/>
      <c r="S62" s="932" t="n"/>
      <c r="T62" s="932" t="n"/>
      <c r="U62" s="932" t="n"/>
      <c r="V62" s="932" t="n"/>
    </row>
    <row r="63">
      <c r="B63" s="930" t="n"/>
      <c r="C63" s="626" t="n"/>
      <c r="D63" s="117" t="inlineStr">
        <is>
          <t>Year</t>
        </is>
      </c>
      <c r="E63" s="117" t="n"/>
      <c r="F63" s="117" t="inlineStr">
        <is>
          <t>Months</t>
        </is>
      </c>
      <c r="G63" s="117" t="n"/>
      <c r="H63" s="117" t="n"/>
      <c r="I63" s="626" t="n"/>
      <c r="J63" s="138" t="inlineStr">
        <is>
          <t>Month 1</t>
        </is>
      </c>
      <c r="K63" s="138" t="inlineStr">
        <is>
          <t>Month 2</t>
        </is>
      </c>
      <c r="L63" s="138" t="inlineStr">
        <is>
          <t>Month 3</t>
        </is>
      </c>
      <c r="M63" s="138" t="inlineStr">
        <is>
          <t>Month 4</t>
        </is>
      </c>
      <c r="N63" s="138" t="inlineStr">
        <is>
          <t>Month 5</t>
        </is>
      </c>
      <c r="O63" s="138" t="inlineStr">
        <is>
          <t>Month 6</t>
        </is>
      </c>
      <c r="P63" s="138" t="inlineStr">
        <is>
          <t>Month 7</t>
        </is>
      </c>
      <c r="Q63" s="138" t="inlineStr">
        <is>
          <t>Month 8</t>
        </is>
      </c>
      <c r="R63" s="138" t="inlineStr">
        <is>
          <t>Month 9</t>
        </is>
      </c>
      <c r="S63" s="138" t="inlineStr">
        <is>
          <t>Month 10</t>
        </is>
      </c>
      <c r="T63" s="138" t="inlineStr">
        <is>
          <t>Month 11</t>
        </is>
      </c>
      <c r="U63" s="138" t="inlineStr">
        <is>
          <t>Month 12</t>
        </is>
      </c>
      <c r="V63" s="138" t="inlineStr">
        <is>
          <t>Ʃ, Full-Year</t>
        </is>
      </c>
    </row>
    <row r="66">
      <c r="D66" s="117" t="inlineStr">
        <is>
          <t>Year 0</t>
        </is>
      </c>
      <c r="E66" s="117" t="n"/>
      <c r="F66" s="133" t="inlineStr">
        <is>
          <t>-12 - -1</t>
        </is>
      </c>
      <c r="G66" s="133" t="n"/>
      <c r="H66" s="133" t="n"/>
      <c r="I66" s="1968" t="n"/>
      <c r="J66" s="931" t="n"/>
      <c r="K66" s="931" t="n"/>
      <c r="L66" s="931" t="n"/>
      <c r="M66" s="931" t="n"/>
      <c r="N66" s="931" t="n"/>
      <c r="O66" s="931" t="n"/>
      <c r="P66" s="931" t="n"/>
      <c r="Q66" s="931" t="n"/>
      <c r="R66" s="931" t="n"/>
      <c r="S66" s="931" t="n"/>
      <c r="T66" s="931" t="n"/>
      <c r="U66" s="931" t="n"/>
      <c r="V66" s="931" t="n"/>
    </row>
    <row r="67" ht="13" customHeight="1" s="1883">
      <c r="D67" s="626" t="n"/>
      <c r="E67" s="626" t="n"/>
      <c r="F67" s="626" t="n"/>
      <c r="G67" s="626" t="n"/>
      <c r="H67" s="626" t="n"/>
      <c r="I67" s="626" t="n"/>
      <c r="J67" s="932" t="n"/>
      <c r="K67" s="932" t="n"/>
      <c r="L67" s="932" t="n"/>
      <c r="M67" s="932" t="n"/>
      <c r="N67" s="932" t="n"/>
      <c r="O67" s="932" t="n"/>
      <c r="P67" s="932" t="n"/>
      <c r="Q67" s="932" t="n"/>
      <c r="R67" s="932" t="n"/>
      <c r="S67" s="932" t="n"/>
      <c r="T67" s="932" t="n"/>
      <c r="U67" s="932" t="n"/>
      <c r="V67" s="932" t="n"/>
    </row>
    <row r="68" ht="13" customHeight="1" s="1883">
      <c r="D68" s="626" t="n"/>
      <c r="E68" s="626" t="n"/>
      <c r="F68" s="626" t="n"/>
      <c r="G68" s="626" t="n"/>
      <c r="H68" s="626" t="n"/>
      <c r="I68" s="626" t="n"/>
      <c r="J68" s="932" t="n"/>
      <c r="K68" s="932" t="n"/>
      <c r="L68" s="932" t="n"/>
      <c r="M68" s="932" t="n"/>
      <c r="N68" s="932" t="n"/>
      <c r="O68" s="932" t="n"/>
      <c r="P68" s="932" t="n"/>
      <c r="Q68" s="932" t="n"/>
      <c r="R68" s="932" t="n"/>
      <c r="S68" s="932" t="n"/>
      <c r="T68" s="932" t="n"/>
      <c r="U68" s="932" t="n"/>
      <c r="V68" s="932" t="n"/>
    </row>
    <row r="69">
      <c r="D69" s="117" t="inlineStr">
        <is>
          <t>Year 1</t>
        </is>
      </c>
      <c r="E69" s="117" t="n"/>
      <c r="F69" s="134" t="inlineStr">
        <is>
          <t>1 - 12</t>
        </is>
      </c>
      <c r="G69" s="134" t="n"/>
      <c r="H69" s="134" t="n"/>
      <c r="I69" s="626" t="n"/>
      <c r="J69" s="932" t="n"/>
      <c r="K69" s="932" t="n"/>
      <c r="L69" s="932" t="n"/>
      <c r="M69" s="932" t="n"/>
      <c r="N69" s="932" t="n"/>
      <c r="O69" s="932" t="n"/>
      <c r="P69" s="932" t="n"/>
      <c r="Q69" s="932" t="n"/>
      <c r="R69" s="932" t="n"/>
      <c r="S69" s="932" t="n"/>
      <c r="T69" s="932" t="n"/>
      <c r="U69" s="932" t="n"/>
      <c r="V69" s="932" t="n"/>
    </row>
    <row r="70">
      <c r="D70" s="1905" t="inlineStr">
        <is>
          <t xml:space="preserve">     Beginning of Month</t>
        </is>
      </c>
      <c r="I70" s="626" t="n"/>
      <c r="J70" s="398" t="n">
        <v>0</v>
      </c>
      <c r="K70" s="135">
        <f>(J75)</f>
        <v/>
      </c>
      <c r="L70" s="135">
        <f>(K75)</f>
        <v/>
      </c>
      <c r="M70" s="135">
        <f>(L75)</f>
        <v/>
      </c>
      <c r="N70" s="135">
        <f>(M75)</f>
        <v/>
      </c>
      <c r="O70" s="135">
        <f>(N75)</f>
        <v/>
      </c>
      <c r="P70" s="135">
        <f>(O75)</f>
        <v/>
      </c>
      <c r="Q70" s="135">
        <f>(P75)</f>
        <v/>
      </c>
      <c r="R70" s="135">
        <f>(Q75)</f>
        <v/>
      </c>
      <c r="S70" s="135">
        <f>(R75)</f>
        <v/>
      </c>
      <c r="T70" s="135">
        <f>(S75)</f>
        <v/>
      </c>
      <c r="U70" s="135">
        <f>(T75)</f>
        <v/>
      </c>
      <c r="V70" s="398">
        <f>J70</f>
        <v/>
      </c>
    </row>
    <row r="71">
      <c r="D71" s="1907" t="inlineStr">
        <is>
          <t xml:space="preserve">     + New Users Activated</t>
        </is>
      </c>
      <c r="G71" s="426" t="n"/>
      <c r="H71" s="426" t="n"/>
      <c r="I71" s="935" t="n"/>
      <c r="J71" s="400">
        <f>J22</f>
        <v/>
      </c>
      <c r="K71" s="400">
        <f>K22</f>
        <v/>
      </c>
      <c r="L71" s="400">
        <f>L22</f>
        <v/>
      </c>
      <c r="M71" s="400">
        <f>M22</f>
        <v/>
      </c>
      <c r="N71" s="400">
        <f>N22</f>
        <v/>
      </c>
      <c r="O71" s="400">
        <f>O22</f>
        <v/>
      </c>
      <c r="P71" s="400">
        <f>P22</f>
        <v/>
      </c>
      <c r="Q71" s="400">
        <f>Q22</f>
        <v/>
      </c>
      <c r="R71" s="400">
        <f>R22</f>
        <v/>
      </c>
      <c r="S71" s="400">
        <f>S22</f>
        <v/>
      </c>
      <c r="T71" s="400">
        <f>T22</f>
        <v/>
      </c>
      <c r="U71" s="400">
        <f>U22</f>
        <v/>
      </c>
      <c r="V71" s="401">
        <f>((J71)+(K71)+(L71)+(M71)+(N71)+(O71)+(P71)+(Q71)+(R71)+(S71)+(T71)+(U71))</f>
        <v/>
      </c>
    </row>
    <row r="72">
      <c r="D72" s="1905" t="inlineStr">
        <is>
          <t xml:space="preserve">     - Attrition</t>
        </is>
      </c>
      <c r="I72" s="626" t="n"/>
      <c r="J72" s="135">
        <f>(J37)</f>
        <v/>
      </c>
      <c r="K72" s="135">
        <f>(K37)</f>
        <v/>
      </c>
      <c r="L72" s="135">
        <f>(L37)</f>
        <v/>
      </c>
      <c r="M72" s="135">
        <f>(M37)</f>
        <v/>
      </c>
      <c r="N72" s="135">
        <f>(N37)</f>
        <v/>
      </c>
      <c r="O72" s="135">
        <f>(O37)</f>
        <v/>
      </c>
      <c r="P72" s="135">
        <f>(P37)</f>
        <v/>
      </c>
      <c r="Q72" s="135">
        <f>(Q37)</f>
        <v/>
      </c>
      <c r="R72" s="135">
        <f>(R37)</f>
        <v/>
      </c>
      <c r="S72" s="135">
        <f>(S37)</f>
        <v/>
      </c>
      <c r="T72" s="135">
        <f>(T37)</f>
        <v/>
      </c>
      <c r="U72" s="135">
        <f>(U37)</f>
        <v/>
      </c>
      <c r="V72" s="136">
        <f>((J72)+(K72)+(L72)+(M72)+(N72)+(O72)+(P72)+(Q72)+(R72)+(S72)+(T72)+(U72))</f>
        <v/>
      </c>
    </row>
    <row r="73" ht="3" customHeight="1" s="1883">
      <c r="D73" s="626" t="n"/>
      <c r="E73" s="626" t="n"/>
      <c r="F73" s="937" t="n"/>
      <c r="G73" s="937" t="n"/>
      <c r="H73" s="937" t="n"/>
      <c r="I73" s="626" t="n"/>
      <c r="J73" s="933" t="n"/>
      <c r="K73" s="933" t="n"/>
      <c r="L73" s="933" t="n"/>
      <c r="M73" s="933" t="n"/>
      <c r="N73" s="933" t="n"/>
      <c r="O73" s="933" t="n"/>
      <c r="P73" s="933" t="n"/>
      <c r="Q73" s="933" t="n"/>
      <c r="R73" s="933" t="n"/>
      <c r="S73" s="933" t="n"/>
      <c r="T73" s="933" t="n"/>
      <c r="U73" s="933" t="n"/>
      <c r="V73" s="933" t="n"/>
    </row>
    <row r="74" ht="3" customHeight="1" s="1883">
      <c r="D74" s="626" t="n"/>
      <c r="E74" s="626" t="n"/>
      <c r="F74" s="937" t="n"/>
      <c r="G74" s="937" t="n"/>
      <c r="H74" s="937" t="n"/>
      <c r="I74" s="626" t="n"/>
      <c r="J74" s="932" t="n"/>
      <c r="K74" s="932" t="n"/>
      <c r="L74" s="932" t="n"/>
      <c r="M74" s="932" t="n"/>
      <c r="N74" s="932" t="n"/>
      <c r="O74" s="932" t="n"/>
      <c r="P74" s="932" t="n"/>
      <c r="Q74" s="932" t="n"/>
      <c r="R74" s="932" t="n"/>
      <c r="S74" s="932" t="n"/>
      <c r="T74" s="932" t="n"/>
      <c r="U74" s="932" t="n"/>
      <c r="V74" s="932" t="n"/>
    </row>
    <row r="75">
      <c r="D75" s="1908" t="inlineStr">
        <is>
          <t xml:space="preserve">          End of Month</t>
        </is>
      </c>
      <c r="I75" s="626" t="n"/>
      <c r="J75" s="136">
        <f>((J70)+(J71)-(J72))</f>
        <v/>
      </c>
      <c r="K75" s="136">
        <f>((K70)+(K71)-(K72))</f>
        <v/>
      </c>
      <c r="L75" s="136">
        <f>((L70)+(L71)-(L72))</f>
        <v/>
      </c>
      <c r="M75" s="136">
        <f>((M70)+(M71)-(M72))</f>
        <v/>
      </c>
      <c r="N75" s="136">
        <f>((N70)+(N71)-(N72))</f>
        <v/>
      </c>
      <c r="O75" s="136">
        <f>((O70)+(O71)-(O72))</f>
        <v/>
      </c>
      <c r="P75" s="136">
        <f>((P70)+(P71)-(P72))</f>
        <v/>
      </c>
      <c r="Q75" s="136">
        <f>((Q70)+(Q71)-(Q72))</f>
        <v/>
      </c>
      <c r="R75" s="136">
        <f>((R70)+(R71)-(R72))</f>
        <v/>
      </c>
      <c r="S75" s="136">
        <f>((S70)+(S71)-(S72))</f>
        <v/>
      </c>
      <c r="T75" s="136">
        <f>((T70)+(T71)-(T72))</f>
        <v/>
      </c>
      <c r="U75" s="136">
        <f>((U70)+(U71)-(U72))</f>
        <v/>
      </c>
      <c r="V75" s="136">
        <f>((V70)+(V71)-(V72))</f>
        <v/>
      </c>
    </row>
    <row r="76" ht="3" customHeight="1" s="1883">
      <c r="D76" s="116" t="n"/>
      <c r="E76" s="116" t="n"/>
      <c r="F76" s="116" t="n"/>
      <c r="G76" s="116" t="n"/>
      <c r="H76" s="116" t="n"/>
      <c r="I76" s="626" t="n"/>
      <c r="J76" s="933" t="n"/>
      <c r="K76" s="933" t="n"/>
      <c r="L76" s="933" t="n"/>
      <c r="M76" s="933" t="n"/>
      <c r="N76" s="933" t="n"/>
      <c r="O76" s="933" t="n"/>
      <c r="P76" s="933" t="n"/>
      <c r="Q76" s="933" t="n"/>
      <c r="R76" s="933" t="n"/>
      <c r="S76" s="933" t="n"/>
      <c r="T76" s="933" t="n"/>
      <c r="U76" s="938" t="n"/>
      <c r="V76" s="938" t="n"/>
    </row>
    <row r="77" ht="3" customHeight="1" s="1883">
      <c r="D77" s="116" t="n"/>
      <c r="E77" s="116" t="n"/>
      <c r="F77" s="116" t="n"/>
      <c r="G77" s="116" t="n"/>
      <c r="H77" s="116" t="n"/>
      <c r="I77" s="626" t="n"/>
      <c r="J77" s="932" t="n"/>
      <c r="K77" s="932" t="n"/>
      <c r="L77" s="932" t="n"/>
      <c r="M77" s="932" t="n"/>
      <c r="N77" s="932" t="n"/>
      <c r="O77" s="932" t="n"/>
      <c r="P77" s="932" t="n"/>
      <c r="Q77" s="932" t="n"/>
      <c r="R77" s="932" t="n"/>
      <c r="S77" s="932" t="n"/>
      <c r="T77" s="932" t="n"/>
      <c r="U77" s="402" t="n"/>
      <c r="V77" s="402" t="n"/>
    </row>
    <row r="78" ht="13" customHeight="1" s="1883">
      <c r="D78" s="626" t="n"/>
      <c r="E78" s="626" t="n"/>
      <c r="F78" s="937" t="n"/>
      <c r="G78" s="937" t="n"/>
      <c r="H78" s="937" t="n"/>
      <c r="I78" s="626" t="n"/>
      <c r="J78" s="932" t="n"/>
      <c r="K78" s="932" t="n"/>
      <c r="L78" s="932" t="n"/>
      <c r="M78" s="932" t="n"/>
      <c r="N78" s="932" t="n"/>
      <c r="O78" s="932" t="n"/>
      <c r="P78" s="932" t="n"/>
      <c r="Q78" s="932" t="n"/>
      <c r="R78" s="932" t="n"/>
      <c r="S78" s="932" t="n"/>
      <c r="T78" s="932" t="n"/>
      <c r="U78" s="402" t="n"/>
      <c r="V78" s="402" t="n"/>
    </row>
    <row r="79">
      <c r="D79" s="1908" t="inlineStr">
        <is>
          <t xml:space="preserve">         Average</t>
        </is>
      </c>
      <c r="I79" s="626" t="n"/>
      <c r="J79" s="136">
        <f>(((J70)+(J75))/(2))</f>
        <v/>
      </c>
      <c r="K79" s="136">
        <f>(((K70)+(K75))/(2))</f>
        <v/>
      </c>
      <c r="L79" s="136">
        <f>(((L70)+(L75))/(2))</f>
        <v/>
      </c>
      <c r="M79" s="136">
        <f>(((M70)+(M75))/(2))</f>
        <v/>
      </c>
      <c r="N79" s="136">
        <f>(((N70)+(N75))/(2))</f>
        <v/>
      </c>
      <c r="O79" s="136">
        <f>(((O70)+(O75))/(2))</f>
        <v/>
      </c>
      <c r="P79" s="136">
        <f>(((P70)+(P75))/(2))</f>
        <v/>
      </c>
      <c r="Q79" s="136">
        <f>(((Q70)+(Q75))/(2))</f>
        <v/>
      </c>
      <c r="R79" s="136">
        <f>(((R70)+(R75))/(2))</f>
        <v/>
      </c>
      <c r="S79" s="136">
        <f>(((S70)+(S75))/(2))</f>
        <v/>
      </c>
      <c r="T79" s="136">
        <f>(((T70)+(T75))/(2))</f>
        <v/>
      </c>
      <c r="U79" s="136">
        <f>(((U70)+(U75))/(2))</f>
        <v/>
      </c>
      <c r="V79" s="136">
        <f>(((J79)+(K79)+(L79)+(M79)+(N79)+(O79)+(P79)+(Q79)+(R79)+(S79)+(T79)+(U79))/(12))</f>
        <v/>
      </c>
    </row>
    <row r="83">
      <c r="D83" s="1909" t="inlineStr">
        <is>
          <t xml:space="preserve">     New Users Activated</t>
        </is>
      </c>
      <c r="G83" s="460" t="n"/>
      <c r="H83" s="460" t="n"/>
      <c r="I83" s="939" t="n"/>
      <c r="J83" s="409">
        <f>(J71)</f>
        <v/>
      </c>
      <c r="K83" s="409">
        <f>(K71)</f>
        <v/>
      </c>
      <c r="L83" s="409">
        <f>(L71)</f>
        <v/>
      </c>
      <c r="M83" s="409">
        <f>(M71)</f>
        <v/>
      </c>
      <c r="N83" s="409">
        <f>(N71)</f>
        <v/>
      </c>
      <c r="O83" s="409">
        <f>(O71)</f>
        <v/>
      </c>
      <c r="P83" s="409">
        <f>(P71)</f>
        <v/>
      </c>
      <c r="Q83" s="409">
        <f>(Q71)</f>
        <v/>
      </c>
      <c r="R83" s="409">
        <f>(R71)</f>
        <v/>
      </c>
      <c r="S83" s="409">
        <f>(S71)</f>
        <v/>
      </c>
      <c r="T83" s="409">
        <f>(T71)</f>
        <v/>
      </c>
      <c r="U83" s="409">
        <f>(U71)</f>
        <v/>
      </c>
      <c r="V83" s="410">
        <f>((J83)+(K83)+(L83)+(M83)+(N83)+(O83)+(P83)+(Q83)+(R83)+(S83)+(T83)+(U83))</f>
        <v/>
      </c>
    </row>
    <row r="84">
      <c r="D84" s="1913" t="inlineStr">
        <is>
          <t xml:space="preserve">     Renewals</t>
        </is>
      </c>
      <c r="G84" s="528" t="n"/>
      <c r="H84" s="528" t="n"/>
      <c r="I84" s="461" t="n"/>
      <c r="J84" s="411">
        <f>(J52)</f>
        <v/>
      </c>
      <c r="K84" s="411">
        <f>(K52)</f>
        <v/>
      </c>
      <c r="L84" s="411">
        <f>(L52)</f>
        <v/>
      </c>
      <c r="M84" s="411">
        <f>(M52)</f>
        <v/>
      </c>
      <c r="N84" s="411">
        <f>(N52)</f>
        <v/>
      </c>
      <c r="O84" s="411">
        <f>(O52)</f>
        <v/>
      </c>
      <c r="P84" s="411">
        <f>(P52)</f>
        <v/>
      </c>
      <c r="Q84" s="411">
        <f>(Q52)</f>
        <v/>
      </c>
      <c r="R84" s="411">
        <f>(R52)</f>
        <v/>
      </c>
      <c r="S84" s="411">
        <f>(S52)</f>
        <v/>
      </c>
      <c r="T84" s="411">
        <f>(T52)</f>
        <v/>
      </c>
      <c r="U84" s="411">
        <f>(U52)</f>
        <v/>
      </c>
      <c r="V84" s="411">
        <f>(V52)</f>
        <v/>
      </c>
    </row>
    <row r="85">
      <c r="D85" s="626" t="n"/>
      <c r="E85" s="626" t="n"/>
      <c r="F85" s="937" t="n"/>
      <c r="G85" s="937" t="n"/>
      <c r="H85" s="937" t="n"/>
      <c r="I85" s="626" t="n"/>
      <c r="J85" s="407" t="n"/>
      <c r="K85" s="407" t="n"/>
      <c r="L85" s="407" t="n"/>
      <c r="M85" s="407" t="n"/>
      <c r="N85" s="407" t="n"/>
      <c r="O85" s="407" t="n"/>
      <c r="P85" s="407" t="n"/>
      <c r="Q85" s="407" t="n"/>
      <c r="R85" s="407" t="n"/>
      <c r="S85" s="407" t="n"/>
      <c r="T85" s="407" t="n"/>
      <c r="U85" s="940" t="n"/>
      <c r="V85" s="940" t="n"/>
    </row>
    <row r="86">
      <c r="D86" s="626" t="n"/>
      <c r="E86" s="626" t="n"/>
      <c r="F86" s="937" t="n"/>
      <c r="G86" s="937" t="n"/>
      <c r="H86" s="937" t="n"/>
      <c r="I86" s="626" t="n"/>
      <c r="J86" s="407" t="n"/>
      <c r="K86" s="407" t="n"/>
      <c r="L86" s="407" t="n"/>
      <c r="M86" s="407" t="n"/>
      <c r="N86" s="407" t="n"/>
      <c r="O86" s="407" t="n"/>
      <c r="P86" s="407" t="n"/>
      <c r="Q86" s="407" t="n"/>
      <c r="R86" s="407" t="n"/>
      <c r="S86" s="407" t="n"/>
      <c r="T86" s="407" t="n"/>
      <c r="U86" s="940" t="n"/>
      <c r="V86" s="940" t="n"/>
    </row>
    <row r="87">
      <c r="D87" s="117" t="inlineStr">
        <is>
          <t>Year 2</t>
        </is>
      </c>
      <c r="E87" s="117" t="n"/>
      <c r="F87" s="137" t="inlineStr">
        <is>
          <t>13 - 24</t>
        </is>
      </c>
      <c r="G87" s="137" t="n"/>
      <c r="H87" s="137" t="n"/>
      <c r="I87" s="626" t="n"/>
      <c r="J87" s="407" t="n"/>
      <c r="K87" s="407" t="n"/>
      <c r="L87" s="407" t="n"/>
      <c r="M87" s="407" t="n"/>
      <c r="N87" s="407" t="n"/>
      <c r="O87" s="407" t="n"/>
      <c r="P87" s="407" t="n"/>
      <c r="Q87" s="407" t="n"/>
      <c r="R87" s="407" t="n"/>
      <c r="S87" s="407" t="n"/>
      <c r="T87" s="407" t="n"/>
      <c r="U87" s="940" t="n"/>
      <c r="V87" s="940" t="n"/>
    </row>
    <row r="88">
      <c r="D88" s="1905" t="inlineStr">
        <is>
          <t xml:space="preserve">     Beginning of Month</t>
        </is>
      </c>
      <c r="I88" s="626" t="n"/>
      <c r="J88" s="399">
        <f>(V75)</f>
        <v/>
      </c>
      <c r="K88" s="135">
        <f>(J93)</f>
        <v/>
      </c>
      <c r="L88" s="135">
        <f>(K93)</f>
        <v/>
      </c>
      <c r="M88" s="135">
        <f>(L93)</f>
        <v/>
      </c>
      <c r="N88" s="135">
        <f>(M93)</f>
        <v/>
      </c>
      <c r="O88" s="135">
        <f>(N93)</f>
        <v/>
      </c>
      <c r="P88" s="135">
        <f>(O93)</f>
        <v/>
      </c>
      <c r="Q88" s="135">
        <f>(P93)</f>
        <v/>
      </c>
      <c r="R88" s="135">
        <f>(Q93)</f>
        <v/>
      </c>
      <c r="S88" s="135">
        <f>(R93)</f>
        <v/>
      </c>
      <c r="T88" s="135">
        <f>(S93)</f>
        <v/>
      </c>
      <c r="U88" s="399">
        <f>(T93)</f>
        <v/>
      </c>
      <c r="V88" s="398">
        <f>J88</f>
        <v/>
      </c>
    </row>
    <row r="89">
      <c r="D89" s="1907" t="inlineStr">
        <is>
          <t xml:space="preserve">     + New Users Activated</t>
        </is>
      </c>
      <c r="G89" s="426" t="n"/>
      <c r="H89" s="426" t="n"/>
      <c r="I89" s="935" t="n"/>
      <c r="J89" s="400">
        <f>(J23)</f>
        <v/>
      </c>
      <c r="K89" s="400">
        <f>(K23)</f>
        <v/>
      </c>
      <c r="L89" s="400">
        <f>(L23)</f>
        <v/>
      </c>
      <c r="M89" s="400">
        <f>(M23)</f>
        <v/>
      </c>
      <c r="N89" s="400">
        <f>(N23)</f>
        <v/>
      </c>
      <c r="O89" s="400">
        <f>(O23)</f>
        <v/>
      </c>
      <c r="P89" s="400">
        <f>(P23)</f>
        <v/>
      </c>
      <c r="Q89" s="400">
        <f>(Q23)</f>
        <v/>
      </c>
      <c r="R89" s="400">
        <f>(R23)</f>
        <v/>
      </c>
      <c r="S89" s="400">
        <f>(S23)</f>
        <v/>
      </c>
      <c r="T89" s="400">
        <f>(T23)</f>
        <v/>
      </c>
      <c r="U89" s="403">
        <f>(U23)</f>
        <v/>
      </c>
      <c r="V89" s="404">
        <f>((J89)+(K89)+(L89)+(M89)+(N89)+(O89)+(P89)+(Q89)+(R89)+(S89)+(T89)+(U89))</f>
        <v/>
      </c>
    </row>
    <row r="90">
      <c r="D90" s="1905" t="inlineStr">
        <is>
          <t xml:space="preserve">     - Attrition</t>
        </is>
      </c>
      <c r="I90" s="626" t="n"/>
      <c r="J90" s="135">
        <f>(J38)</f>
        <v/>
      </c>
      <c r="K90" s="135">
        <f>(K38)</f>
        <v/>
      </c>
      <c r="L90" s="135">
        <f>(L38)</f>
        <v/>
      </c>
      <c r="M90" s="135">
        <f>(M38)</f>
        <v/>
      </c>
      <c r="N90" s="135">
        <f>(N38)</f>
        <v/>
      </c>
      <c r="O90" s="135">
        <f>(O38)</f>
        <v/>
      </c>
      <c r="P90" s="135">
        <f>(P38)</f>
        <v/>
      </c>
      <c r="Q90" s="135">
        <f>(Q38)</f>
        <v/>
      </c>
      <c r="R90" s="135">
        <f>(R38)</f>
        <v/>
      </c>
      <c r="S90" s="135">
        <f>(S38)</f>
        <v/>
      </c>
      <c r="T90" s="135">
        <f>(T38)</f>
        <v/>
      </c>
      <c r="U90" s="135">
        <f>(U38)</f>
        <v/>
      </c>
      <c r="V90" s="398">
        <f>((J90)+(K90)+(L90)+(M90)+(N90)+(O90)+(P90)+(Q90)+(R90)+(S90)+(T90)+(U90))</f>
        <v/>
      </c>
    </row>
    <row r="91" ht="3" customHeight="1" s="1883">
      <c r="D91" s="626" t="n"/>
      <c r="E91" s="626" t="n"/>
      <c r="F91" s="937" t="n"/>
      <c r="G91" s="937" t="n"/>
      <c r="H91" s="937" t="n"/>
      <c r="I91" s="626" t="n"/>
      <c r="J91" s="933" t="n"/>
      <c r="K91" s="933" t="n"/>
      <c r="L91" s="933" t="n"/>
      <c r="M91" s="933" t="n"/>
      <c r="N91" s="933" t="n"/>
      <c r="O91" s="933" t="n"/>
      <c r="P91" s="933" t="n"/>
      <c r="Q91" s="933" t="n"/>
      <c r="R91" s="933" t="n"/>
      <c r="S91" s="933" t="n"/>
      <c r="T91" s="933" t="n"/>
      <c r="U91" s="938" t="n"/>
      <c r="V91" s="938" t="n"/>
    </row>
    <row r="92" ht="3" customHeight="1" s="1883">
      <c r="D92" s="626" t="n"/>
      <c r="E92" s="626" t="n"/>
      <c r="F92" s="937" t="n"/>
      <c r="G92" s="937" t="n"/>
      <c r="H92" s="937" t="n"/>
      <c r="I92" s="626" t="n"/>
      <c r="J92" s="932" t="n"/>
      <c r="K92" s="932" t="n"/>
      <c r="L92" s="932" t="n"/>
      <c r="M92" s="932" t="n"/>
      <c r="N92" s="932" t="n"/>
      <c r="O92" s="932" t="n"/>
      <c r="P92" s="932" t="n"/>
      <c r="Q92" s="932" t="n"/>
      <c r="R92" s="932" t="n"/>
      <c r="S92" s="932" t="n"/>
      <c r="T92" s="932" t="n"/>
      <c r="U92" s="402" t="n"/>
      <c r="V92" s="402" t="n"/>
    </row>
    <row r="93">
      <c r="D93" s="1908" t="inlineStr">
        <is>
          <t xml:space="preserve">          End of Month</t>
        </is>
      </c>
      <c r="I93" s="626" t="n"/>
      <c r="J93" s="136">
        <f>((J88)+(J89)-(J90))</f>
        <v/>
      </c>
      <c r="K93" s="136">
        <f>((K88)+(K89)-(K90))</f>
        <v/>
      </c>
      <c r="L93" s="136">
        <f>((L88)+(L89)-(L90))</f>
        <v/>
      </c>
      <c r="M93" s="136">
        <f>((M88)+(M89)-(M90))</f>
        <v/>
      </c>
      <c r="N93" s="136">
        <f>((N88)+(N89)-(N90))</f>
        <v/>
      </c>
      <c r="O93" s="136">
        <f>((O88)+(O89)-(O90))</f>
        <v/>
      </c>
      <c r="P93" s="136">
        <f>((P88)+(P89)-(P90))</f>
        <v/>
      </c>
      <c r="Q93" s="136">
        <f>((Q88)+(Q89)-(Q90))</f>
        <v/>
      </c>
      <c r="R93" s="136">
        <f>((R88)+(R89)-(R90))</f>
        <v/>
      </c>
      <c r="S93" s="136">
        <f>((S88)+(S89)-(S90))</f>
        <v/>
      </c>
      <c r="T93" s="136">
        <f>((T88)+(T89)-(T90))</f>
        <v/>
      </c>
      <c r="U93" s="136">
        <f>((U88)+(U89)-(U90))</f>
        <v/>
      </c>
      <c r="V93" s="136">
        <f>((V88)+(V89)-(V90))</f>
        <v/>
      </c>
    </row>
    <row r="94" ht="2" customHeight="1" s="1883">
      <c r="J94" s="628" t="n"/>
      <c r="K94" s="628" t="n"/>
      <c r="L94" s="628" t="n"/>
      <c r="M94" s="628" t="n"/>
      <c r="N94" s="628" t="n"/>
      <c r="O94" s="628" t="n"/>
      <c r="P94" s="628" t="n"/>
      <c r="Q94" s="628" t="n"/>
      <c r="R94" s="628" t="n"/>
      <c r="S94" s="628" t="n"/>
      <c r="T94" s="628" t="n"/>
      <c r="U94" s="628" t="n"/>
      <c r="V94" s="628" t="n"/>
    </row>
    <row r="95" ht="2" customHeight="1" s="1883"/>
    <row r="97">
      <c r="D97" s="1908" t="inlineStr">
        <is>
          <t xml:space="preserve">         Average</t>
        </is>
      </c>
      <c r="I97" s="626" t="n"/>
      <c r="J97" s="136">
        <f>(((J88)+(J93))/(2))</f>
        <v/>
      </c>
      <c r="K97" s="136">
        <f>(((K88)+(K93))/(2))</f>
        <v/>
      </c>
      <c r="L97" s="136">
        <f>(((L88)+(L93))/(2))</f>
        <v/>
      </c>
      <c r="M97" s="136">
        <f>(((M88)+(M93))/(2))</f>
        <v/>
      </c>
      <c r="N97" s="136">
        <f>(((N88)+(N93))/(2))</f>
        <v/>
      </c>
      <c r="O97" s="136">
        <f>(((O88)+(O93))/(2))</f>
        <v/>
      </c>
      <c r="P97" s="136">
        <f>(((P88)+(P93))/(2))</f>
        <v/>
      </c>
      <c r="Q97" s="136">
        <f>(((Q88)+(Q93))/(2))</f>
        <v/>
      </c>
      <c r="R97" s="136">
        <f>(((R88)+(R93))/(2))</f>
        <v/>
      </c>
      <c r="S97" s="136">
        <f>(((S88)+(S93))/(2))</f>
        <v/>
      </c>
      <c r="T97" s="136">
        <f>(((T88)+(T93))/(2))</f>
        <v/>
      </c>
      <c r="U97" s="136">
        <f>(((U88)+(U93))/(2))</f>
        <v/>
      </c>
      <c r="V97" s="136">
        <f>(((J97)+(K97)+(L97)+(M97)+(N97)+(O97)+(P97)+(Q97)+(R97)+(S97)+(T97)+(U97))/(12))</f>
        <v/>
      </c>
    </row>
    <row r="98" ht="3" customHeight="1" s="1883">
      <c r="D98" s="626" t="n"/>
      <c r="E98" s="626" t="n"/>
      <c r="F98" s="937" t="n"/>
      <c r="G98" s="937" t="n"/>
      <c r="H98" s="937" t="n"/>
      <c r="I98" s="626" t="n"/>
      <c r="J98" s="933" t="n"/>
      <c r="K98" s="933" t="n"/>
      <c r="L98" s="933" t="n"/>
      <c r="M98" s="933" t="n"/>
      <c r="N98" s="933" t="n"/>
      <c r="O98" s="933" t="n"/>
      <c r="P98" s="933" t="n"/>
      <c r="Q98" s="933" t="n"/>
      <c r="R98" s="933" t="n"/>
      <c r="S98" s="933" t="n"/>
      <c r="T98" s="933" t="n"/>
      <c r="U98" s="938" t="n"/>
      <c r="V98" s="938" t="n"/>
    </row>
    <row r="99" ht="3" customHeight="1" s="1883">
      <c r="D99" s="626" t="n"/>
      <c r="E99" s="626" t="n"/>
      <c r="F99" s="937" t="n"/>
      <c r="G99" s="937" t="n"/>
      <c r="H99" s="937" t="n"/>
      <c r="I99" s="626" t="n"/>
      <c r="J99" s="932" t="n"/>
      <c r="K99" s="932" t="n"/>
      <c r="L99" s="932" t="n"/>
      <c r="M99" s="932" t="n"/>
      <c r="N99" s="932" t="n"/>
      <c r="O99" s="932" t="n"/>
      <c r="P99" s="932" t="n"/>
      <c r="Q99" s="932" t="n"/>
      <c r="R99" s="932" t="n"/>
      <c r="S99" s="932" t="n"/>
      <c r="T99" s="932" t="n"/>
      <c r="U99" s="402" t="n"/>
      <c r="V99" s="402" t="n"/>
    </row>
    <row r="100">
      <c r="D100" s="626" t="n"/>
      <c r="E100" s="626" t="n"/>
      <c r="F100" s="937" t="n"/>
      <c r="G100" s="937" t="n"/>
      <c r="H100" s="937" t="n"/>
      <c r="I100" s="626" t="n"/>
      <c r="J100" s="932" t="n"/>
      <c r="K100" s="407" t="n"/>
      <c r="L100" s="407" t="n"/>
      <c r="M100" s="407" t="n"/>
      <c r="N100" s="407" t="n"/>
      <c r="O100" s="407" t="n"/>
      <c r="P100" s="407" t="n"/>
      <c r="Q100" s="407" t="n"/>
      <c r="R100" s="407" t="n"/>
      <c r="S100" s="407" t="n"/>
      <c r="T100" s="407" t="n"/>
      <c r="U100" s="940" t="n"/>
      <c r="V100" s="940" t="n"/>
    </row>
    <row r="101">
      <c r="D101" s="1909" t="inlineStr">
        <is>
          <t xml:space="preserve">     New Users Activated</t>
        </is>
      </c>
      <c r="G101" s="460" t="n"/>
      <c r="H101" s="460" t="n"/>
      <c r="I101" s="939" t="n"/>
      <c r="J101" s="409">
        <f>(J89)</f>
        <v/>
      </c>
      <c r="K101" s="409">
        <f>(K89)</f>
        <v/>
      </c>
      <c r="L101" s="409">
        <f>(L89)</f>
        <v/>
      </c>
      <c r="M101" s="409">
        <f>(M89)</f>
        <v/>
      </c>
      <c r="N101" s="409">
        <f>(N89)</f>
        <v/>
      </c>
      <c r="O101" s="409">
        <f>(O89)</f>
        <v/>
      </c>
      <c r="P101" s="409">
        <f>(P89)</f>
        <v/>
      </c>
      <c r="Q101" s="409">
        <f>(Q89)</f>
        <v/>
      </c>
      <c r="R101" s="409">
        <f>(R89)</f>
        <v/>
      </c>
      <c r="S101" s="409">
        <f>(S89)</f>
        <v/>
      </c>
      <c r="T101" s="409">
        <f>(T89)</f>
        <v/>
      </c>
      <c r="U101" s="409">
        <f>(U89)</f>
        <v/>
      </c>
      <c r="V101" s="410">
        <f>((J101)+(K101)+(L101)+(M101)+(N101)+(O101)+(P101)+(Q101)+(R101)+(S101)+(T101)+(U101))</f>
        <v/>
      </c>
    </row>
    <row r="102">
      <c r="D102" s="1913" t="inlineStr">
        <is>
          <t xml:space="preserve">     Renewals</t>
        </is>
      </c>
      <c r="G102" s="528" t="n"/>
      <c r="H102" s="528" t="n"/>
      <c r="I102" s="941" t="n"/>
      <c r="J102" s="411">
        <f>(J53)</f>
        <v/>
      </c>
      <c r="K102" s="411">
        <f>(K53)</f>
        <v/>
      </c>
      <c r="L102" s="411">
        <f>(L53)</f>
        <v/>
      </c>
      <c r="M102" s="411">
        <f>(M53)</f>
        <v/>
      </c>
      <c r="N102" s="411">
        <f>(N53)</f>
        <v/>
      </c>
      <c r="O102" s="411">
        <f>(O53)</f>
        <v/>
      </c>
      <c r="P102" s="411">
        <f>(P53)</f>
        <v/>
      </c>
      <c r="Q102" s="411">
        <f>(Q53)</f>
        <v/>
      </c>
      <c r="R102" s="411">
        <f>(R53)</f>
        <v/>
      </c>
      <c r="S102" s="411">
        <f>(S53)</f>
        <v/>
      </c>
      <c r="T102" s="411">
        <f>(T53)</f>
        <v/>
      </c>
      <c r="U102" s="411">
        <f>(U53)</f>
        <v/>
      </c>
      <c r="V102" s="454">
        <f>((J102)+(K102)+(L102)+(M102)+(N102)+(O102)+(P102)+(Q102)+(R102)+(S102)+(T102)+(U102))</f>
        <v/>
      </c>
    </row>
    <row r="103">
      <c r="D103" s="626" t="n"/>
      <c r="E103" s="626" t="n"/>
      <c r="F103" s="937" t="n"/>
      <c r="G103" s="937" t="n"/>
      <c r="H103" s="937" t="n"/>
      <c r="I103" s="626" t="n"/>
      <c r="J103" s="932" t="n"/>
      <c r="K103" s="407" t="n"/>
      <c r="L103" s="407" t="n"/>
      <c r="M103" s="407" t="n"/>
      <c r="N103" s="407" t="n"/>
      <c r="O103" s="407" t="n"/>
      <c r="P103" s="407" t="n"/>
      <c r="Q103" s="407" t="n"/>
      <c r="R103" s="407" t="n"/>
      <c r="S103" s="407" t="n"/>
      <c r="T103" s="407" t="n"/>
      <c r="U103" s="940" t="n"/>
      <c r="V103" s="940" t="n"/>
    </row>
    <row r="104">
      <c r="D104" s="626" t="n"/>
      <c r="E104" s="626" t="n"/>
      <c r="F104" s="937" t="n"/>
      <c r="G104" s="937" t="n"/>
      <c r="H104" s="937" t="n"/>
      <c r="I104" s="626" t="n"/>
      <c r="J104" s="932" t="n"/>
      <c r="K104" s="407" t="n"/>
      <c r="L104" s="407" t="n"/>
      <c r="M104" s="407" t="n"/>
      <c r="N104" s="407" t="n"/>
      <c r="O104" s="407" t="n"/>
      <c r="P104" s="407" t="n"/>
      <c r="Q104" s="407" t="n"/>
      <c r="R104" s="407" t="n"/>
      <c r="S104" s="407" t="n"/>
      <c r="T104" s="407" t="n"/>
      <c r="U104" s="940" t="n"/>
      <c r="V104" s="940" t="n"/>
    </row>
    <row r="105">
      <c r="D105" s="117" t="inlineStr">
        <is>
          <t>Year 3</t>
        </is>
      </c>
      <c r="E105" s="117" t="n"/>
      <c r="F105" s="137" t="inlineStr">
        <is>
          <t>25 - 36</t>
        </is>
      </c>
      <c r="G105" s="137" t="n"/>
      <c r="H105" s="137" t="n"/>
      <c r="I105" s="626" t="n"/>
      <c r="J105" s="932" t="n"/>
      <c r="K105" s="407" t="n"/>
      <c r="L105" s="407" t="n"/>
      <c r="M105" s="407" t="n"/>
      <c r="N105" s="407" t="n"/>
      <c r="O105" s="407" t="n"/>
      <c r="P105" s="407" t="n"/>
      <c r="Q105" s="407" t="n"/>
      <c r="R105" s="407" t="n"/>
      <c r="S105" s="407" t="n"/>
      <c r="T105" s="407" t="n"/>
      <c r="U105" s="940" t="n"/>
      <c r="V105" s="940" t="n"/>
    </row>
    <row r="106">
      <c r="D106" s="1905" t="inlineStr">
        <is>
          <t xml:space="preserve">     Beginning of Month</t>
        </is>
      </c>
      <c r="I106" s="626" t="n"/>
      <c r="J106" s="399">
        <f>(V93)</f>
        <v/>
      </c>
      <c r="K106" s="135">
        <f>(J111)</f>
        <v/>
      </c>
      <c r="L106" s="135">
        <f>(K111)</f>
        <v/>
      </c>
      <c r="M106" s="135">
        <f>(L111)</f>
        <v/>
      </c>
      <c r="N106" s="135">
        <f>(M111)</f>
        <v/>
      </c>
      <c r="O106" s="135">
        <f>(N111)</f>
        <v/>
      </c>
      <c r="P106" s="135">
        <f>(O111)</f>
        <v/>
      </c>
      <c r="Q106" s="135">
        <f>(P111)</f>
        <v/>
      </c>
      <c r="R106" s="135">
        <f>(Q111)</f>
        <v/>
      </c>
      <c r="S106" s="135">
        <f>(R111)</f>
        <v/>
      </c>
      <c r="T106" s="135">
        <f>(S111)</f>
        <v/>
      </c>
      <c r="U106" s="399">
        <f>(T111)</f>
        <v/>
      </c>
      <c r="V106" s="398">
        <f>J106</f>
        <v/>
      </c>
    </row>
    <row r="107">
      <c r="D107" s="1907" t="inlineStr">
        <is>
          <t xml:space="preserve">     + New Users Activated</t>
        </is>
      </c>
      <c r="G107" s="426" t="n"/>
      <c r="H107" s="426" t="n"/>
      <c r="I107" s="935" t="n"/>
      <c r="J107" s="400">
        <f>(J24)</f>
        <v/>
      </c>
      <c r="K107" s="400">
        <f>(K24)</f>
        <v/>
      </c>
      <c r="L107" s="400">
        <f>(L24)</f>
        <v/>
      </c>
      <c r="M107" s="400">
        <f>(M24)</f>
        <v/>
      </c>
      <c r="N107" s="400">
        <f>(N24)</f>
        <v/>
      </c>
      <c r="O107" s="400">
        <f>(O24)</f>
        <v/>
      </c>
      <c r="P107" s="400">
        <f>(P24)</f>
        <v/>
      </c>
      <c r="Q107" s="400">
        <f>(Q24)</f>
        <v/>
      </c>
      <c r="R107" s="400">
        <f>(R24)</f>
        <v/>
      </c>
      <c r="S107" s="400">
        <f>(S24)</f>
        <v/>
      </c>
      <c r="T107" s="400">
        <f>(T24)</f>
        <v/>
      </c>
      <c r="U107" s="403">
        <f>(U24)</f>
        <v/>
      </c>
      <c r="V107" s="404">
        <f>((J107)+(K107)+(L107)+(M107)+(N107)+(O107)+(P107)+(Q107)+(R107)+(S107)+(T107)+(U107))</f>
        <v/>
      </c>
    </row>
    <row r="108">
      <c r="D108" s="1905" t="inlineStr">
        <is>
          <t xml:space="preserve">     - Attrition</t>
        </is>
      </c>
      <c r="I108" s="626" t="n"/>
      <c r="J108" s="135">
        <f>(J39)</f>
        <v/>
      </c>
      <c r="K108" s="135">
        <f>(K39)</f>
        <v/>
      </c>
      <c r="L108" s="135">
        <f>(L39)</f>
        <v/>
      </c>
      <c r="M108" s="135">
        <f>(M39)</f>
        <v/>
      </c>
      <c r="N108" s="135">
        <f>(N39)</f>
        <v/>
      </c>
      <c r="O108" s="135">
        <f>(O39)</f>
        <v/>
      </c>
      <c r="P108" s="135">
        <f>(P39)</f>
        <v/>
      </c>
      <c r="Q108" s="135">
        <f>(Q39)</f>
        <v/>
      </c>
      <c r="R108" s="135">
        <f>(R39)</f>
        <v/>
      </c>
      <c r="S108" s="135">
        <f>(S39)</f>
        <v/>
      </c>
      <c r="T108" s="135">
        <f>(T39)</f>
        <v/>
      </c>
      <c r="U108" s="135">
        <f>(U39)</f>
        <v/>
      </c>
      <c r="V108" s="398">
        <f>((J108)+(K108)+(L108)+(M108)+(N108)+(O108)+(P108)+(Q108)+(R108)+(S108)+(T108)+(U108))</f>
        <v/>
      </c>
    </row>
    <row r="109" ht="3" customHeight="1" s="1883">
      <c r="D109" s="626" t="n"/>
      <c r="E109" s="626" t="n"/>
      <c r="F109" s="937" t="n"/>
      <c r="G109" s="937" t="n"/>
      <c r="H109" s="937" t="n"/>
      <c r="I109" s="626" t="n"/>
      <c r="J109" s="933" t="n"/>
      <c r="K109" s="933" t="n"/>
      <c r="L109" s="933" t="n"/>
      <c r="M109" s="933" t="n"/>
      <c r="N109" s="933" t="n"/>
      <c r="O109" s="933" t="n"/>
      <c r="P109" s="933" t="n"/>
      <c r="Q109" s="933" t="n"/>
      <c r="R109" s="933" t="n"/>
      <c r="S109" s="933" t="n"/>
      <c r="T109" s="933" t="n"/>
      <c r="U109" s="938" t="n"/>
      <c r="V109" s="938" t="n"/>
    </row>
    <row r="110" ht="3" customHeight="1" s="1883">
      <c r="D110" s="626" t="n"/>
      <c r="E110" s="626" t="n"/>
      <c r="F110" s="937" t="n"/>
      <c r="G110" s="937" t="n"/>
      <c r="H110" s="937" t="n"/>
      <c r="I110" s="626" t="n"/>
      <c r="J110" s="932" t="n"/>
      <c r="K110" s="932" t="n"/>
      <c r="L110" s="932" t="n"/>
      <c r="M110" s="932" t="n"/>
      <c r="N110" s="932" t="n"/>
      <c r="O110" s="932" t="n"/>
      <c r="P110" s="932" t="n"/>
      <c r="Q110" s="932" t="n"/>
      <c r="R110" s="932" t="n"/>
      <c r="S110" s="932" t="n"/>
      <c r="T110" s="932" t="n"/>
      <c r="U110" s="402" t="n"/>
      <c r="V110" s="402" t="n"/>
    </row>
    <row r="111">
      <c r="D111" s="1908" t="inlineStr">
        <is>
          <t xml:space="preserve">          End of Month</t>
        </is>
      </c>
      <c r="I111" s="626" t="n"/>
      <c r="J111" s="136">
        <f>((J106)+(J107)-(J108))</f>
        <v/>
      </c>
      <c r="K111" s="136">
        <f>((K106)+(K107)-(K108))</f>
        <v/>
      </c>
      <c r="L111" s="136">
        <f>((L106)+(L107)-(L108))</f>
        <v/>
      </c>
      <c r="M111" s="136">
        <f>((M106)+(M107)-(M108))</f>
        <v/>
      </c>
      <c r="N111" s="136">
        <f>((N106)+(N107)-(N108))</f>
        <v/>
      </c>
      <c r="O111" s="136">
        <f>((O106)+(O107)-(O108))</f>
        <v/>
      </c>
      <c r="P111" s="136">
        <f>((P106)+(P107)-(P108))</f>
        <v/>
      </c>
      <c r="Q111" s="136">
        <f>((Q106)+(Q107)-(Q108))</f>
        <v/>
      </c>
      <c r="R111" s="136">
        <f>((R106)+(R107)-(R108))</f>
        <v/>
      </c>
      <c r="S111" s="136">
        <f>((S106)+(S107)-(S108))</f>
        <v/>
      </c>
      <c r="T111" s="136">
        <f>((T106)+(T107)-(T108))</f>
        <v/>
      </c>
      <c r="U111" s="136">
        <f>((U106)+(U107)-(U108))</f>
        <v/>
      </c>
      <c r="V111" s="136">
        <f>((V106)+(V107)-(V108))</f>
        <v/>
      </c>
    </row>
    <row r="112" ht="3" customHeight="1" s="1883">
      <c r="J112" s="628" t="n"/>
      <c r="K112" s="628" t="n"/>
      <c r="L112" s="628" t="n"/>
      <c r="M112" s="628" t="n"/>
      <c r="N112" s="628" t="n"/>
      <c r="O112" s="628" t="n"/>
      <c r="P112" s="628" t="n"/>
      <c r="Q112" s="628" t="n"/>
      <c r="R112" s="628" t="n"/>
      <c r="S112" s="628" t="n"/>
      <c r="T112" s="628" t="n"/>
      <c r="U112" s="628" t="n"/>
      <c r="V112" s="628" t="n"/>
    </row>
    <row r="113" ht="3" customHeight="1" s="1883"/>
    <row r="115">
      <c r="D115" s="1908" t="inlineStr">
        <is>
          <t xml:space="preserve">         Average</t>
        </is>
      </c>
      <c r="I115" s="626" t="n"/>
      <c r="J115" s="136">
        <f>(((J106)+(J111))/(2))</f>
        <v/>
      </c>
      <c r="K115" s="136">
        <f>(((K106)+(K111))/(2))</f>
        <v/>
      </c>
      <c r="L115" s="136">
        <f>(((L106)+(L111))/(2))</f>
        <v/>
      </c>
      <c r="M115" s="136">
        <f>(((M106)+(M111))/(2))</f>
        <v/>
      </c>
      <c r="N115" s="136">
        <f>(((N106)+(N111))/(2))</f>
        <v/>
      </c>
      <c r="O115" s="136">
        <f>(((O106)+(O111))/(2))</f>
        <v/>
      </c>
      <c r="P115" s="136">
        <f>(((P106)+(P111))/(2))</f>
        <v/>
      </c>
      <c r="Q115" s="136">
        <f>(((Q106)+(Q111))/(2))</f>
        <v/>
      </c>
      <c r="R115" s="136">
        <f>(((R106)+(R111))/(2))</f>
        <v/>
      </c>
      <c r="S115" s="136">
        <f>(((S106)+(S111))/(2))</f>
        <v/>
      </c>
      <c r="T115" s="136">
        <f>(((T106)+(T111))/(2))</f>
        <v/>
      </c>
      <c r="U115" s="136">
        <f>(((U106)+(U111))/(2))</f>
        <v/>
      </c>
      <c r="V115" s="136">
        <f>(((J115)+(K115)+(L115)+(M115)+(N115)+(O115)+(P115)+(Q115)+(R115)+(S115)+(T115)+(U115))/(12))</f>
        <v/>
      </c>
    </row>
    <row r="116" ht="3" customHeight="1" s="1883">
      <c r="D116" s="626" t="n"/>
      <c r="E116" s="626" t="n"/>
      <c r="F116" s="937" t="n"/>
      <c r="G116" s="937" t="n"/>
      <c r="H116" s="937" t="n"/>
      <c r="I116" s="626" t="n"/>
      <c r="J116" s="933" t="n"/>
      <c r="K116" s="933" t="n"/>
      <c r="L116" s="933" t="n"/>
      <c r="M116" s="933" t="n"/>
      <c r="N116" s="933" t="n"/>
      <c r="O116" s="933" t="n"/>
      <c r="P116" s="933" t="n"/>
      <c r="Q116" s="933" t="n"/>
      <c r="R116" s="933" t="n"/>
      <c r="S116" s="933" t="n"/>
      <c r="T116" s="933" t="n"/>
      <c r="U116" s="938" t="n"/>
      <c r="V116" s="938" t="n"/>
    </row>
    <row r="117" ht="3" customHeight="1" s="1883">
      <c r="D117" s="626" t="n"/>
      <c r="E117" s="626" t="n"/>
      <c r="F117" s="937" t="n"/>
      <c r="G117" s="937" t="n"/>
      <c r="H117" s="937" t="n"/>
      <c r="I117" s="626" t="n"/>
      <c r="J117" s="932" t="n"/>
      <c r="K117" s="932" t="n"/>
      <c r="L117" s="932" t="n"/>
      <c r="M117" s="932" t="n"/>
      <c r="N117" s="932" t="n"/>
      <c r="O117" s="932" t="n"/>
      <c r="P117" s="932" t="n"/>
      <c r="Q117" s="932" t="n"/>
      <c r="R117" s="932" t="n"/>
      <c r="S117" s="932" t="n"/>
      <c r="T117" s="932" t="n"/>
      <c r="U117" s="402" t="n"/>
      <c r="V117" s="402" t="n"/>
    </row>
    <row r="118" ht="13" customHeight="1" s="1883">
      <c r="D118" s="626" t="n"/>
      <c r="E118" s="626" t="n"/>
      <c r="F118" s="937" t="n"/>
      <c r="G118" s="937" t="n"/>
      <c r="H118" s="937" t="n"/>
      <c r="I118" s="626" t="n"/>
      <c r="J118" s="932" t="n"/>
      <c r="K118" s="932" t="n"/>
      <c r="L118" s="932" t="n"/>
      <c r="M118" s="932" t="n"/>
      <c r="N118" s="932" t="n"/>
      <c r="O118" s="932" t="n"/>
      <c r="P118" s="932" t="n"/>
      <c r="Q118" s="932" t="n"/>
      <c r="R118" s="932" t="n"/>
      <c r="S118" s="932" t="n"/>
      <c r="T118" s="932" t="n"/>
      <c r="U118" s="402" t="n"/>
      <c r="V118" s="402" t="n"/>
    </row>
    <row r="119">
      <c r="D119" s="1909" t="inlineStr">
        <is>
          <t xml:space="preserve">     New Users Activated</t>
        </is>
      </c>
      <c r="G119" s="460" t="n"/>
      <c r="H119" s="460" t="n"/>
      <c r="I119" s="939" t="n"/>
      <c r="J119" s="409">
        <f>(J107)</f>
        <v/>
      </c>
      <c r="K119" s="409">
        <f>(K107)</f>
        <v/>
      </c>
      <c r="L119" s="409">
        <f>(L107)</f>
        <v/>
      </c>
      <c r="M119" s="409">
        <f>(M107)</f>
        <v/>
      </c>
      <c r="N119" s="409">
        <f>(N107)</f>
        <v/>
      </c>
      <c r="O119" s="409">
        <f>(O107)</f>
        <v/>
      </c>
      <c r="P119" s="409">
        <f>(P107)</f>
        <v/>
      </c>
      <c r="Q119" s="409">
        <f>(Q107)</f>
        <v/>
      </c>
      <c r="R119" s="409">
        <f>(R107)</f>
        <v/>
      </c>
      <c r="S119" s="409">
        <f>(S107)</f>
        <v/>
      </c>
      <c r="T119" s="409">
        <f>(T107)</f>
        <v/>
      </c>
      <c r="U119" s="409">
        <f>(U107)</f>
        <v/>
      </c>
      <c r="V119" s="410">
        <f>((J119)+(K119)+(L119)+(M119)+(N119)+(O119)+(P119)+(Q119)+(R119)+(S119)+(T119)+(U119))</f>
        <v/>
      </c>
    </row>
    <row r="120">
      <c r="D120" s="1912" t="inlineStr">
        <is>
          <t xml:space="preserve">     Renewals</t>
        </is>
      </c>
      <c r="G120" s="513" t="n"/>
      <c r="H120" s="513" t="n"/>
      <c r="I120" s="459" t="n"/>
      <c r="J120" s="411">
        <f>(J54)</f>
        <v/>
      </c>
      <c r="K120" s="411">
        <f>(K54)</f>
        <v/>
      </c>
      <c r="L120" s="411">
        <f>(L54)</f>
        <v/>
      </c>
      <c r="M120" s="411">
        <f>(M54)</f>
        <v/>
      </c>
      <c r="N120" s="411">
        <f>(N54)</f>
        <v/>
      </c>
      <c r="O120" s="411">
        <f>(O54)</f>
        <v/>
      </c>
      <c r="P120" s="411">
        <f>(P54)</f>
        <v/>
      </c>
      <c r="Q120" s="411">
        <f>(Q54)</f>
        <v/>
      </c>
      <c r="R120" s="411">
        <f>(R54)</f>
        <v/>
      </c>
      <c r="S120" s="411">
        <f>(S54)</f>
        <v/>
      </c>
      <c r="T120" s="411">
        <f>(T54)</f>
        <v/>
      </c>
      <c r="U120" s="411">
        <f>(U54)</f>
        <v/>
      </c>
      <c r="V120" s="455">
        <f>((J120)+(K120)+(L120)+(M120)+(N120)+(O120)+(P120)+(Q120)+(R120)+(S120)+(T120)+(U120))</f>
        <v/>
      </c>
    </row>
    <row r="121">
      <c r="D121" s="422" t="n"/>
      <c r="E121" s="422" t="n"/>
      <c r="F121" s="458" t="n"/>
      <c r="G121" s="458" t="n"/>
      <c r="H121" s="458" t="n"/>
      <c r="I121" s="422" t="n"/>
      <c r="J121" s="407" t="n"/>
      <c r="K121" s="407" t="n"/>
      <c r="L121" s="407" t="n"/>
      <c r="M121" s="407" t="n"/>
      <c r="N121" s="407" t="n"/>
      <c r="O121" s="407" t="n"/>
      <c r="P121" s="407" t="n"/>
      <c r="Q121" s="407" t="n"/>
      <c r="R121" s="407" t="n"/>
      <c r="S121" s="407" t="n"/>
      <c r="T121" s="407" t="n"/>
      <c r="U121" s="940" t="n"/>
      <c r="V121" s="940" t="n"/>
    </row>
    <row r="122">
      <c r="D122" s="422" t="n"/>
      <c r="E122" s="422" t="n"/>
      <c r="F122" s="458" t="n"/>
      <c r="G122" s="458" t="n"/>
      <c r="H122" s="458" t="n"/>
      <c r="I122" s="422" t="n"/>
      <c r="J122" s="407" t="n"/>
      <c r="K122" s="407" t="n"/>
      <c r="L122" s="407" t="n"/>
      <c r="M122" s="407" t="n"/>
      <c r="N122" s="407" t="n"/>
      <c r="O122" s="407" t="n"/>
      <c r="P122" s="407" t="n"/>
      <c r="Q122" s="407" t="n"/>
      <c r="R122" s="407" t="n"/>
      <c r="S122" s="407" t="n"/>
      <c r="T122" s="407" t="n"/>
      <c r="U122" s="940" t="n"/>
      <c r="V122" s="940" t="n"/>
    </row>
    <row r="123">
      <c r="D123" s="386" t="inlineStr">
        <is>
          <t>Year 4</t>
        </is>
      </c>
      <c r="E123" s="386" t="n"/>
      <c r="F123" s="456" t="inlineStr">
        <is>
          <t>37 - 48</t>
        </is>
      </c>
      <c r="G123" s="456" t="n"/>
      <c r="H123" s="456" t="n"/>
      <c r="I123" s="422" t="n"/>
      <c r="J123" s="407" t="n"/>
      <c r="K123" s="407" t="n"/>
      <c r="L123" s="407" t="n"/>
      <c r="M123" s="407" t="n"/>
      <c r="N123" s="407" t="n"/>
      <c r="O123" s="407" t="n"/>
      <c r="P123" s="407" t="n"/>
      <c r="Q123" s="407" t="n"/>
      <c r="R123" s="407" t="n"/>
      <c r="S123" s="407" t="n"/>
      <c r="T123" s="407" t="n"/>
      <c r="U123" s="940" t="n"/>
      <c r="V123" s="940" t="n"/>
    </row>
    <row r="124">
      <c r="D124" s="1910" t="inlineStr">
        <is>
          <t xml:space="preserve">     Beginning of Month</t>
        </is>
      </c>
      <c r="G124" s="383" t="n"/>
      <c r="H124" s="383" t="n"/>
      <c r="I124" s="422" t="n"/>
      <c r="J124" s="942">
        <f>(V111)</f>
        <v/>
      </c>
      <c r="K124" s="413">
        <f>(J129)</f>
        <v/>
      </c>
      <c r="L124" s="413">
        <f>(K129)</f>
        <v/>
      </c>
      <c r="M124" s="413">
        <f>(L129)</f>
        <v/>
      </c>
      <c r="N124" s="413">
        <f>(M129)</f>
        <v/>
      </c>
      <c r="O124" s="413">
        <f>(N129)</f>
        <v/>
      </c>
      <c r="P124" s="413">
        <f>(O129)</f>
        <v/>
      </c>
      <c r="Q124" s="413">
        <f>(P129)</f>
        <v/>
      </c>
      <c r="R124" s="413">
        <f>(Q129)</f>
        <v/>
      </c>
      <c r="S124" s="413">
        <f>(R129)</f>
        <v/>
      </c>
      <c r="T124" s="413">
        <f>(S129)</f>
        <v/>
      </c>
      <c r="U124" s="942">
        <f>(T129)</f>
        <v/>
      </c>
      <c r="V124" s="457">
        <f>J124</f>
        <v/>
      </c>
    </row>
    <row r="125">
      <c r="D125" s="1907" t="inlineStr">
        <is>
          <t xml:space="preserve">     + New Users Activated</t>
        </is>
      </c>
      <c r="G125" s="426" t="n"/>
      <c r="H125" s="426" t="n"/>
      <c r="I125" s="935" t="n"/>
      <c r="J125" s="400">
        <f>(J25)</f>
        <v/>
      </c>
      <c r="K125" s="400">
        <f>(K25)</f>
        <v/>
      </c>
      <c r="L125" s="400">
        <f>(L25)</f>
        <v/>
      </c>
      <c r="M125" s="400">
        <f>(M25)</f>
        <v/>
      </c>
      <c r="N125" s="400">
        <f>(N25)</f>
        <v/>
      </c>
      <c r="O125" s="400">
        <f>(O25)</f>
        <v/>
      </c>
      <c r="P125" s="400">
        <f>(P25)</f>
        <v/>
      </c>
      <c r="Q125" s="400">
        <f>(Q25)</f>
        <v/>
      </c>
      <c r="R125" s="400">
        <f>(R25)</f>
        <v/>
      </c>
      <c r="S125" s="400">
        <f>(S25)</f>
        <v/>
      </c>
      <c r="T125" s="400">
        <f>(T25)</f>
        <v/>
      </c>
      <c r="U125" s="403">
        <f>(U25)</f>
        <v/>
      </c>
      <c r="V125" s="404">
        <f>((J125)+(K125)+(L125)+(M125)+(N125)+(O125)+(P125)+(Q125)+(R125)+(S125)+(T125)+(U125))</f>
        <v/>
      </c>
    </row>
    <row r="126">
      <c r="D126" s="1905" t="inlineStr">
        <is>
          <t xml:space="preserve">     - Attrition</t>
        </is>
      </c>
      <c r="I126" s="626" t="n"/>
      <c r="J126" s="135">
        <f>(J40)</f>
        <v/>
      </c>
      <c r="K126" s="135">
        <f>(K40)</f>
        <v/>
      </c>
      <c r="L126" s="135">
        <f>(L40)</f>
        <v/>
      </c>
      <c r="M126" s="135">
        <f>(M40)</f>
        <v/>
      </c>
      <c r="N126" s="135">
        <f>(N40)</f>
        <v/>
      </c>
      <c r="O126" s="135">
        <f>(O40)</f>
        <v/>
      </c>
      <c r="P126" s="135">
        <f>(P40)</f>
        <v/>
      </c>
      <c r="Q126" s="135">
        <f>(Q40)</f>
        <v/>
      </c>
      <c r="R126" s="135">
        <f>(R40)</f>
        <v/>
      </c>
      <c r="S126" s="135">
        <f>(S40)</f>
        <v/>
      </c>
      <c r="T126" s="135">
        <f>(T40)</f>
        <v/>
      </c>
      <c r="U126" s="135">
        <f>(U40)</f>
        <v/>
      </c>
      <c r="V126" s="398">
        <f>((J126)+(K126)+(L126)+(M126)+(N126)+(O126)+(P126)+(Q126)+(R126)+(S126)+(T126)+(U126))</f>
        <v/>
      </c>
    </row>
    <row r="127" ht="3" customHeight="1" s="1883">
      <c r="J127" s="628" t="n"/>
      <c r="K127" s="628" t="n"/>
      <c r="L127" s="628" t="n"/>
      <c r="M127" s="628" t="n"/>
      <c r="N127" s="628" t="n"/>
      <c r="O127" s="628" t="n"/>
      <c r="P127" s="628" t="n"/>
      <c r="Q127" s="628" t="n"/>
      <c r="R127" s="628" t="n"/>
      <c r="S127" s="628" t="n"/>
      <c r="T127" s="628" t="n"/>
      <c r="U127" s="628" t="n"/>
      <c r="V127" s="628" t="n"/>
    </row>
    <row r="128" ht="3" customHeight="1" s="1883"/>
    <row r="129">
      <c r="D129" s="1908" t="inlineStr">
        <is>
          <t xml:space="preserve">          End of Month</t>
        </is>
      </c>
      <c r="I129" s="626" t="n"/>
      <c r="J129" s="136">
        <f>((J124)+(J125)-(J126))</f>
        <v/>
      </c>
      <c r="K129" s="136">
        <f>((K124)+(K125)-(K126))</f>
        <v/>
      </c>
      <c r="L129" s="136">
        <f>((L124)+(L125)-(L126))</f>
        <v/>
      </c>
      <c r="M129" s="136">
        <f>((M124)+(M125)-(M126))</f>
        <v/>
      </c>
      <c r="N129" s="136">
        <f>((N124)+(N125)-(N126))</f>
        <v/>
      </c>
      <c r="O129" s="136">
        <f>((O124)+(O125)-(O126))</f>
        <v/>
      </c>
      <c r="P129" s="136">
        <f>((P124)+(P125)-(P126))</f>
        <v/>
      </c>
      <c r="Q129" s="136">
        <f>((Q124)+(Q125)-(Q126))</f>
        <v/>
      </c>
      <c r="R129" s="136">
        <f>((R124)+(R125)-(R126))</f>
        <v/>
      </c>
      <c r="S129" s="136">
        <f>((S124)+(S125)-(S126))</f>
        <v/>
      </c>
      <c r="T129" s="136">
        <f>((T124)+(T125)-(T126))</f>
        <v/>
      </c>
      <c r="U129" s="136">
        <f>((U124)+(U125)-(U126))</f>
        <v/>
      </c>
      <c r="V129" s="136">
        <f>((V124)+(V125)-(V126))</f>
        <v/>
      </c>
    </row>
    <row r="130" ht="3" customHeight="1" s="1883">
      <c r="D130" s="626" t="n"/>
      <c r="E130" s="626" t="n"/>
      <c r="F130" s="626" t="n"/>
      <c r="G130" s="626" t="n"/>
      <c r="H130" s="626" t="n"/>
      <c r="I130" s="626" t="n"/>
      <c r="J130" s="933" t="n"/>
      <c r="K130" s="933" t="n"/>
      <c r="L130" s="933" t="n"/>
      <c r="M130" s="933" t="n"/>
      <c r="N130" s="933" t="n"/>
      <c r="O130" s="933" t="n"/>
      <c r="P130" s="933" t="n"/>
      <c r="Q130" s="933" t="n"/>
      <c r="R130" s="933" t="n"/>
      <c r="S130" s="933" t="n"/>
      <c r="T130" s="933" t="n"/>
      <c r="U130" s="938" t="n"/>
      <c r="V130" s="938" t="n"/>
    </row>
    <row r="131" ht="3" customHeight="1" s="1883">
      <c r="D131" s="626" t="n"/>
      <c r="E131" s="626" t="n"/>
      <c r="F131" s="626" t="n"/>
      <c r="G131" s="626" t="n"/>
      <c r="H131" s="626" t="n"/>
      <c r="I131" s="626" t="n"/>
      <c r="J131" s="932" t="n"/>
      <c r="K131" s="932" t="n"/>
      <c r="L131" s="932" t="n"/>
      <c r="M131" s="932" t="n"/>
      <c r="N131" s="932" t="n"/>
      <c r="O131" s="932" t="n"/>
      <c r="P131" s="932" t="n"/>
      <c r="Q131" s="932" t="n"/>
      <c r="R131" s="932" t="n"/>
      <c r="S131" s="932" t="n"/>
      <c r="T131" s="932" t="n"/>
      <c r="U131" s="402" t="n"/>
      <c r="V131" s="402" t="n"/>
    </row>
    <row r="132" ht="13" customHeight="1" s="1883">
      <c r="D132" s="626" t="n"/>
      <c r="E132" s="626" t="n"/>
      <c r="F132" s="626" t="n"/>
      <c r="G132" s="626" t="n"/>
      <c r="H132" s="626" t="n"/>
      <c r="I132" s="626" t="n"/>
      <c r="J132" s="932" t="n"/>
      <c r="K132" s="932" t="n"/>
      <c r="L132" s="932" t="n"/>
      <c r="M132" s="932" t="n"/>
      <c r="N132" s="932" t="n"/>
      <c r="O132" s="932" t="n"/>
      <c r="P132" s="932" t="n"/>
      <c r="Q132" s="932" t="n"/>
      <c r="R132" s="932" t="n"/>
      <c r="S132" s="932" t="n"/>
      <c r="T132" s="932" t="n"/>
      <c r="U132" s="402" t="n"/>
      <c r="V132" s="402" t="n"/>
    </row>
    <row r="133">
      <c r="D133" s="1908" t="inlineStr">
        <is>
          <t xml:space="preserve">         Average</t>
        </is>
      </c>
      <c r="I133" s="626" t="n"/>
      <c r="J133" s="136">
        <f>(((J124)+(J129))/(2))</f>
        <v/>
      </c>
      <c r="K133" s="136">
        <f>(((K124)+(K129))/(2))</f>
        <v/>
      </c>
      <c r="L133" s="136">
        <f>(((L124)+(L129))/(2))</f>
        <v/>
      </c>
      <c r="M133" s="136">
        <f>(((M124)+(M129))/(2))</f>
        <v/>
      </c>
      <c r="N133" s="136">
        <f>(((N124)+(N129))/(2))</f>
        <v/>
      </c>
      <c r="O133" s="136">
        <f>(((O124)+(O129))/(2))</f>
        <v/>
      </c>
      <c r="P133" s="136">
        <f>(((P124)+(P129))/(2))</f>
        <v/>
      </c>
      <c r="Q133" s="136">
        <f>(((Q124)+(Q129))/(2))</f>
        <v/>
      </c>
      <c r="R133" s="136">
        <f>(((R124)+(R129))/(2))</f>
        <v/>
      </c>
      <c r="S133" s="136">
        <f>(((S124)+(S129))/(2))</f>
        <v/>
      </c>
      <c r="T133" s="136">
        <f>(((T124)+(T129))/(2))</f>
        <v/>
      </c>
      <c r="U133" s="136">
        <f>(((U124)+(U129))/(2))</f>
        <v/>
      </c>
      <c r="V133" s="136">
        <f>(((J133)+(K133)+(L133)+(M133)+(N133)+(O133)+(P133)+(Q133)+(R133)+(S133)+(T133)+(U133))/(12))</f>
        <v/>
      </c>
    </row>
    <row r="134" ht="3" customHeight="1" s="1883">
      <c r="D134" s="626" t="n"/>
      <c r="E134" s="626" t="n"/>
      <c r="F134" s="937" t="n"/>
      <c r="G134" s="937" t="n"/>
      <c r="H134" s="937" t="n"/>
      <c r="I134" s="626" t="n"/>
      <c r="J134" s="933" t="n"/>
      <c r="K134" s="933" t="n"/>
      <c r="L134" s="933" t="n"/>
      <c r="M134" s="933" t="n"/>
      <c r="N134" s="933" t="n"/>
      <c r="O134" s="933" t="n"/>
      <c r="P134" s="933" t="n"/>
      <c r="Q134" s="933" t="n"/>
      <c r="R134" s="933" t="n"/>
      <c r="S134" s="933" t="n"/>
      <c r="T134" s="933" t="n"/>
      <c r="U134" s="933" t="n"/>
      <c r="V134" s="933" t="n"/>
    </row>
    <row r="135" ht="3" customHeight="1" s="1883">
      <c r="D135" s="626" t="n"/>
      <c r="E135" s="626" t="n"/>
      <c r="F135" s="937" t="n"/>
      <c r="G135" s="937" t="n"/>
      <c r="H135" s="937" t="n"/>
      <c r="I135" s="626" t="n"/>
      <c r="J135" s="932" t="n"/>
      <c r="K135" s="932" t="n"/>
      <c r="L135" s="932" t="n"/>
      <c r="M135" s="932" t="n"/>
      <c r="N135" s="932" t="n"/>
      <c r="O135" s="932" t="n"/>
      <c r="P135" s="932" t="n"/>
      <c r="Q135" s="932" t="n"/>
      <c r="R135" s="932" t="n"/>
      <c r="S135" s="932" t="n"/>
      <c r="T135" s="932" t="n"/>
      <c r="U135" s="932" t="n"/>
      <c r="V135" s="932" t="n"/>
    </row>
    <row r="136" ht="13" customHeight="1" s="1883">
      <c r="D136" s="626" t="n"/>
      <c r="E136" s="626" t="n"/>
      <c r="F136" s="626" t="n"/>
      <c r="G136" s="626" t="n"/>
      <c r="H136" s="626" t="n"/>
      <c r="I136" s="626" t="n"/>
      <c r="J136" s="932" t="n"/>
      <c r="K136" s="932" t="n"/>
      <c r="L136" s="932" t="n"/>
      <c r="M136" s="932" t="n"/>
      <c r="N136" s="932" t="n"/>
      <c r="O136" s="932" t="n"/>
      <c r="P136" s="932" t="n"/>
      <c r="Q136" s="932" t="n"/>
      <c r="R136" s="932" t="n"/>
      <c r="S136" s="932" t="n"/>
      <c r="T136" s="932" t="n"/>
      <c r="U136" s="932" t="n"/>
      <c r="V136" s="932" t="n"/>
    </row>
    <row r="137">
      <c r="D137" s="1909" t="inlineStr">
        <is>
          <t xml:space="preserve">     New Users Activated</t>
        </is>
      </c>
      <c r="G137" s="460" t="n"/>
      <c r="H137" s="460" t="n"/>
      <c r="I137" s="939" t="n"/>
      <c r="J137" s="409">
        <f>(J125)</f>
        <v/>
      </c>
      <c r="K137" s="409">
        <f>(K125)</f>
        <v/>
      </c>
      <c r="L137" s="409">
        <f>(L125)</f>
        <v/>
      </c>
      <c r="M137" s="409">
        <f>(M125)</f>
        <v/>
      </c>
      <c r="N137" s="409">
        <f>(N125)</f>
        <v/>
      </c>
      <c r="O137" s="409">
        <f>(O125)</f>
        <v/>
      </c>
      <c r="P137" s="409">
        <f>(P125)</f>
        <v/>
      </c>
      <c r="Q137" s="409">
        <f>(Q125)</f>
        <v/>
      </c>
      <c r="R137" s="409">
        <f>(R125)</f>
        <v/>
      </c>
      <c r="S137" s="409">
        <f>(S125)</f>
        <v/>
      </c>
      <c r="T137" s="409">
        <f>(T125)</f>
        <v/>
      </c>
      <c r="U137" s="409">
        <f>(U125)</f>
        <v/>
      </c>
      <c r="V137" s="410">
        <f>((J137)+(K137)+(L137)+(M137)+(N137)+(O137)+(P137)+(Q137)+(R137)+(S137)+(T137)+(U137))</f>
        <v/>
      </c>
    </row>
    <row r="138">
      <c r="D138" s="1912" t="inlineStr">
        <is>
          <t xml:space="preserve">     Renewals</t>
        </is>
      </c>
      <c r="G138" s="513" t="n"/>
      <c r="H138" s="513" t="n"/>
      <c r="I138" s="461" t="n"/>
      <c r="J138" s="411">
        <f>(J55)</f>
        <v/>
      </c>
      <c r="K138" s="411">
        <f>(K55)</f>
        <v/>
      </c>
      <c r="L138" s="411">
        <f>(L55)</f>
        <v/>
      </c>
      <c r="M138" s="411">
        <f>(M55)</f>
        <v/>
      </c>
      <c r="N138" s="411">
        <f>(N55)</f>
        <v/>
      </c>
      <c r="O138" s="411">
        <f>(O55)</f>
        <v/>
      </c>
      <c r="P138" s="411">
        <f>(P55)</f>
        <v/>
      </c>
      <c r="Q138" s="411">
        <f>(Q55)</f>
        <v/>
      </c>
      <c r="R138" s="411">
        <f>(R55)</f>
        <v/>
      </c>
      <c r="S138" s="411">
        <f>(S55)</f>
        <v/>
      </c>
      <c r="T138" s="411">
        <f>(T55)</f>
        <v/>
      </c>
      <c r="U138" s="411">
        <f>(U55)</f>
        <v/>
      </c>
      <c r="V138" s="455">
        <f>((J138)+(K138)+(L138)+(M138)+(N138)+(O138)+(P138)+(Q138)+(R138)+(S138)+(T138)+(U138))</f>
        <v/>
      </c>
    </row>
    <row r="139">
      <c r="D139" s="626" t="n"/>
      <c r="E139" s="626" t="n"/>
      <c r="F139" s="626" t="n"/>
      <c r="G139" s="626" t="n"/>
      <c r="H139" s="626" t="n"/>
      <c r="I139" s="626" t="n"/>
      <c r="J139" s="407" t="n"/>
      <c r="K139" s="407" t="n"/>
      <c r="L139" s="407" t="n"/>
      <c r="M139" s="407" t="n"/>
      <c r="N139" s="407" t="n"/>
      <c r="O139" s="407" t="n"/>
      <c r="P139" s="407" t="n"/>
      <c r="Q139" s="407" t="n"/>
      <c r="R139" s="407" t="n"/>
      <c r="S139" s="407" t="n"/>
      <c r="T139" s="407" t="n"/>
      <c r="U139" s="407" t="n"/>
      <c r="V139" s="407" t="n"/>
    </row>
    <row r="140">
      <c r="D140" s="626" t="n"/>
      <c r="E140" s="626" t="n"/>
      <c r="F140" s="626" t="n"/>
      <c r="G140" s="626" t="n"/>
      <c r="H140" s="626" t="n"/>
      <c r="I140" s="626" t="n"/>
      <c r="J140" s="407" t="n"/>
      <c r="K140" s="407" t="n"/>
      <c r="L140" s="407" t="n"/>
      <c r="M140" s="407" t="n"/>
      <c r="N140" s="407" t="n"/>
      <c r="O140" s="407" t="n"/>
      <c r="P140" s="407" t="n"/>
      <c r="Q140" s="407" t="n"/>
      <c r="R140" s="407" t="n"/>
      <c r="S140" s="407" t="n"/>
      <c r="T140" s="407" t="n"/>
      <c r="U140" s="407" t="n"/>
      <c r="V140" s="407" t="n"/>
    </row>
    <row r="141">
      <c r="D141" s="117" t="inlineStr">
        <is>
          <t>Year 5</t>
        </is>
      </c>
      <c r="E141" s="117" t="n"/>
      <c r="F141" s="137" t="inlineStr">
        <is>
          <t>49 - 60</t>
        </is>
      </c>
      <c r="G141" s="137" t="n"/>
      <c r="H141" s="137" t="n"/>
      <c r="I141" s="626" t="n"/>
      <c r="J141" s="407" t="n"/>
      <c r="K141" s="407" t="n"/>
      <c r="L141" s="407" t="n"/>
      <c r="M141" s="407" t="n"/>
      <c r="N141" s="407" t="n"/>
      <c r="O141" s="407" t="n"/>
      <c r="P141" s="407" t="n"/>
      <c r="Q141" s="407" t="n"/>
      <c r="R141" s="407" t="n"/>
      <c r="S141" s="407" t="n"/>
      <c r="T141" s="407" t="n"/>
      <c r="U141" s="407" t="n"/>
      <c r="V141" s="407" t="n"/>
    </row>
    <row r="142">
      <c r="D142" s="1905" t="inlineStr">
        <is>
          <t xml:space="preserve">     Beginning of Month</t>
        </is>
      </c>
      <c r="I142" s="626" t="n"/>
      <c r="J142" s="399">
        <f>(V129)</f>
        <v/>
      </c>
      <c r="K142" s="135">
        <f>(J147)</f>
        <v/>
      </c>
      <c r="L142" s="135">
        <f>(K147)</f>
        <v/>
      </c>
      <c r="M142" s="135">
        <f>(L147)</f>
        <v/>
      </c>
      <c r="N142" s="135">
        <f>(M147)</f>
        <v/>
      </c>
      <c r="O142" s="135">
        <f>(N147)</f>
        <v/>
      </c>
      <c r="P142" s="135">
        <f>(O147)</f>
        <v/>
      </c>
      <c r="Q142" s="135">
        <f>(P147)</f>
        <v/>
      </c>
      <c r="R142" s="135">
        <f>(Q147)</f>
        <v/>
      </c>
      <c r="S142" s="135">
        <f>(R147)</f>
        <v/>
      </c>
      <c r="T142" s="135">
        <f>(S147)</f>
        <v/>
      </c>
      <c r="U142" s="399">
        <f>(T147)</f>
        <v/>
      </c>
      <c r="V142" s="398">
        <f>J142</f>
        <v/>
      </c>
    </row>
    <row r="143">
      <c r="D143" s="1907" t="inlineStr">
        <is>
          <t xml:space="preserve">     + Activated</t>
        </is>
      </c>
      <c r="G143" s="426" t="n"/>
      <c r="H143" s="426" t="n"/>
      <c r="I143" s="935" t="n"/>
      <c r="J143" s="400">
        <f>(J26)</f>
        <v/>
      </c>
      <c r="K143" s="400">
        <f>(K26)</f>
        <v/>
      </c>
      <c r="L143" s="400">
        <f>(L26)</f>
        <v/>
      </c>
      <c r="M143" s="400">
        <f>(M26)</f>
        <v/>
      </c>
      <c r="N143" s="400">
        <f>(N26)</f>
        <v/>
      </c>
      <c r="O143" s="400">
        <f>(O26)</f>
        <v/>
      </c>
      <c r="P143" s="400">
        <f>(P26)</f>
        <v/>
      </c>
      <c r="Q143" s="400">
        <f>(Q26)</f>
        <v/>
      </c>
      <c r="R143" s="400">
        <f>(R26)</f>
        <v/>
      </c>
      <c r="S143" s="400">
        <f>(S26)</f>
        <v/>
      </c>
      <c r="T143" s="400">
        <f>(T26)</f>
        <v/>
      </c>
      <c r="U143" s="403">
        <f>(U26)</f>
        <v/>
      </c>
      <c r="V143" s="404">
        <f>((J143)+(K143)+(L143)+(M143)+(N143)+(O143)+(P143)+(Q143)+(R143)+(S143)+(T143)+(U143))</f>
        <v/>
      </c>
    </row>
    <row r="144">
      <c r="D144" s="1905" t="inlineStr">
        <is>
          <t xml:space="preserve">     - Attrition</t>
        </is>
      </c>
      <c r="I144" s="626" t="n"/>
      <c r="J144" s="135">
        <f>(J41)</f>
        <v/>
      </c>
      <c r="K144" s="135">
        <f>(K41)</f>
        <v/>
      </c>
      <c r="L144" s="135">
        <f>(L41)</f>
        <v/>
      </c>
      <c r="M144" s="135">
        <f>(M41)</f>
        <v/>
      </c>
      <c r="N144" s="135">
        <f>(N41)</f>
        <v/>
      </c>
      <c r="O144" s="135">
        <f>(O41)</f>
        <v/>
      </c>
      <c r="P144" s="135">
        <f>(P41)</f>
        <v/>
      </c>
      <c r="Q144" s="135">
        <f>(Q41)</f>
        <v/>
      </c>
      <c r="R144" s="135">
        <f>(R41)</f>
        <v/>
      </c>
      <c r="S144" s="135">
        <f>(S41)</f>
        <v/>
      </c>
      <c r="T144" s="135">
        <f>(T41)</f>
        <v/>
      </c>
      <c r="U144" s="135">
        <f>(U41)</f>
        <v/>
      </c>
      <c r="V144" s="398">
        <f>((J144)+(K144)+(L144)+(M144)+(N144)+(O144)+(P144)+(Q144)+(R144)+(S144)+(T144)+(U144))</f>
        <v/>
      </c>
    </row>
    <row r="145" ht="3" customHeight="1" s="1883">
      <c r="J145" s="628" t="n"/>
      <c r="K145" s="628" t="n"/>
      <c r="L145" s="628" t="n"/>
      <c r="M145" s="628" t="n"/>
      <c r="N145" s="628" t="n"/>
      <c r="O145" s="628" t="n"/>
      <c r="P145" s="628" t="n"/>
      <c r="Q145" s="628" t="n"/>
      <c r="R145" s="628" t="n"/>
      <c r="S145" s="628" t="n"/>
      <c r="T145" s="628" t="n"/>
      <c r="U145" s="628" t="n"/>
      <c r="V145" s="628" t="n"/>
    </row>
    <row r="146" ht="3" customHeight="1" s="1883"/>
    <row r="147">
      <c r="D147" s="1908" t="inlineStr">
        <is>
          <t xml:space="preserve">          End of Month</t>
        </is>
      </c>
      <c r="I147" s="626" t="n"/>
      <c r="J147" s="136">
        <f>((J142)+(J143)-(J144))</f>
        <v/>
      </c>
      <c r="K147" s="136">
        <f>((K142)+(K143)-(K144))</f>
        <v/>
      </c>
      <c r="L147" s="136">
        <f>((L142)+(L143)-(L144))</f>
        <v/>
      </c>
      <c r="M147" s="136">
        <f>((M142)+(M143)-(M144))</f>
        <v/>
      </c>
      <c r="N147" s="136">
        <f>((N142)+(N143)-(N144))</f>
        <v/>
      </c>
      <c r="O147" s="136">
        <f>((O142)+(O143)-(O144))</f>
        <v/>
      </c>
      <c r="P147" s="136">
        <f>((P142)+(P143)-(P144))</f>
        <v/>
      </c>
      <c r="Q147" s="136">
        <f>((Q142)+(Q143)-(Q144))</f>
        <v/>
      </c>
      <c r="R147" s="136">
        <f>((R142)+(R143)-(R144))</f>
        <v/>
      </c>
      <c r="S147" s="136">
        <f>((S142)+(S143)-(S144))</f>
        <v/>
      </c>
      <c r="T147" s="136">
        <f>((T142)+(T143)-(T144))</f>
        <v/>
      </c>
      <c r="U147" s="136">
        <f>((U142)+(U143)-(U144))</f>
        <v/>
      </c>
      <c r="V147" s="136">
        <f>((V142)+(V143)-(V144))</f>
        <v/>
      </c>
    </row>
    <row r="148" ht="3" customHeight="1" s="1883">
      <c r="D148" s="626" t="n"/>
      <c r="E148" s="626" t="n"/>
      <c r="F148" s="626" t="n"/>
      <c r="G148" s="626" t="n"/>
      <c r="H148" s="626" t="n"/>
      <c r="I148" s="626" t="n"/>
      <c r="J148" s="933" t="n"/>
      <c r="K148" s="933" t="n"/>
      <c r="L148" s="933" t="n"/>
      <c r="M148" s="933" t="n"/>
      <c r="N148" s="933" t="n"/>
      <c r="O148" s="933" t="n"/>
      <c r="P148" s="933" t="n"/>
      <c r="Q148" s="933" t="n"/>
      <c r="R148" s="933" t="n"/>
      <c r="S148" s="933" t="n"/>
      <c r="T148" s="933" t="n"/>
      <c r="U148" s="938" t="n"/>
      <c r="V148" s="938" t="n"/>
    </row>
    <row r="149" ht="3" customHeight="1" s="1883">
      <c r="D149" s="626" t="n"/>
      <c r="E149" s="626" t="n"/>
      <c r="F149" s="626" t="n"/>
      <c r="G149" s="626" t="n"/>
      <c r="H149" s="626" t="n"/>
      <c r="I149" s="626" t="n"/>
      <c r="J149" s="932" t="n"/>
      <c r="K149" s="932" t="n"/>
      <c r="L149" s="932" t="n"/>
      <c r="M149" s="932" t="n"/>
      <c r="N149" s="932" t="n"/>
      <c r="O149" s="932" t="n"/>
      <c r="P149" s="932" t="n"/>
      <c r="Q149" s="932" t="n"/>
      <c r="R149" s="932" t="n"/>
      <c r="S149" s="932" t="n"/>
      <c r="T149" s="932" t="n"/>
      <c r="U149" s="402" t="n"/>
      <c r="V149" s="402" t="n"/>
    </row>
    <row r="150" ht="13" customHeight="1" s="1883">
      <c r="D150" s="626" t="n"/>
      <c r="E150" s="626" t="n"/>
      <c r="F150" s="626" t="n"/>
      <c r="G150" s="626" t="n"/>
      <c r="H150" s="626" t="n"/>
      <c r="I150" s="626" t="n"/>
      <c r="J150" s="932" t="n"/>
      <c r="K150" s="932" t="n"/>
      <c r="L150" s="932" t="n"/>
      <c r="M150" s="932" t="n"/>
      <c r="N150" s="932" t="n"/>
      <c r="O150" s="932" t="n"/>
      <c r="P150" s="932" t="n"/>
      <c r="Q150" s="932" t="n"/>
      <c r="R150" s="932" t="n"/>
      <c r="S150" s="932" t="n"/>
      <c r="T150" s="932" t="n"/>
      <c r="U150" s="402" t="n"/>
      <c r="V150" s="402" t="n"/>
    </row>
    <row r="151">
      <c r="D151" s="1908" t="inlineStr">
        <is>
          <t xml:space="preserve">         Average</t>
        </is>
      </c>
      <c r="I151" s="626" t="n"/>
      <c r="J151" s="136">
        <f>(((J142)+(J147))/(2))</f>
        <v/>
      </c>
      <c r="K151" s="136">
        <f>(((K142)+(K147))/(2))</f>
        <v/>
      </c>
      <c r="L151" s="136">
        <f>(((L142)+(L147))/(2))</f>
        <v/>
      </c>
      <c r="M151" s="136">
        <f>(((M142)+(M147))/(2))</f>
        <v/>
      </c>
      <c r="N151" s="136">
        <f>(((N142)+(N147))/(2))</f>
        <v/>
      </c>
      <c r="O151" s="136">
        <f>(((O142)+(O147))/(2))</f>
        <v/>
      </c>
      <c r="P151" s="136">
        <f>(((P142)+(P147))/(2))</f>
        <v/>
      </c>
      <c r="Q151" s="136">
        <f>(((Q142)+(Q147))/(2))</f>
        <v/>
      </c>
      <c r="R151" s="136">
        <f>(((R142)+(R147))/(2))</f>
        <v/>
      </c>
      <c r="S151" s="136">
        <f>(((S142)+(S147))/(2))</f>
        <v/>
      </c>
      <c r="T151" s="136">
        <f>(((T142)+(T147))/(2))</f>
        <v/>
      </c>
      <c r="U151" s="136">
        <f>(((U142)+(U147))/(2))</f>
        <v/>
      </c>
      <c r="V151" s="136">
        <f>(((J151)+(K151)+(L151)+(M151)+(N151)+(O151)+(P151)+(Q151)+(R151)+(S151)+(T151)+(U151))/(12))</f>
        <v/>
      </c>
    </row>
    <row r="152" ht="3" customHeight="1" s="1883">
      <c r="D152" s="626" t="n"/>
      <c r="E152" s="626" t="n"/>
      <c r="F152" s="937" t="n"/>
      <c r="G152" s="937" t="n"/>
      <c r="H152" s="937" t="n"/>
      <c r="I152" s="626" t="n"/>
      <c r="J152" s="933" t="n"/>
      <c r="K152" s="933" t="n"/>
      <c r="L152" s="933" t="n"/>
      <c r="M152" s="933" t="n"/>
      <c r="N152" s="933" t="n"/>
      <c r="O152" s="933" t="n"/>
      <c r="P152" s="933" t="n"/>
      <c r="Q152" s="933" t="n"/>
      <c r="R152" s="933" t="n"/>
      <c r="S152" s="933" t="n"/>
      <c r="T152" s="933" t="n"/>
      <c r="U152" s="933" t="n"/>
      <c r="V152" s="933" t="n"/>
    </row>
    <row r="153" ht="3" customHeight="1" s="1883">
      <c r="D153" s="626" t="n"/>
      <c r="E153" s="626" t="n"/>
      <c r="F153" s="937" t="n"/>
      <c r="G153" s="937" t="n"/>
      <c r="H153" s="937" t="n"/>
      <c r="I153" s="626" t="n"/>
      <c r="J153" s="932" t="n"/>
      <c r="K153" s="932" t="n"/>
      <c r="L153" s="932" t="n"/>
      <c r="M153" s="932" t="n"/>
      <c r="N153" s="932" t="n"/>
      <c r="O153" s="932" t="n"/>
      <c r="P153" s="932" t="n"/>
      <c r="Q153" s="932" t="n"/>
      <c r="R153" s="932" t="n"/>
      <c r="S153" s="932" t="n"/>
      <c r="T153" s="932" t="n"/>
      <c r="U153" s="932" t="n"/>
      <c r="V153" s="932" t="n"/>
    </row>
    <row r="154" ht="13" customHeight="1" s="1883">
      <c r="D154" s="626" t="n"/>
      <c r="E154" s="626" t="n"/>
      <c r="F154" s="626" t="n"/>
      <c r="G154" s="626" t="n"/>
      <c r="H154" s="626" t="n"/>
      <c r="I154" s="626" t="n"/>
      <c r="J154" s="932" t="n"/>
      <c r="K154" s="932" t="n"/>
      <c r="L154" s="932" t="n"/>
      <c r="M154" s="932" t="n"/>
      <c r="N154" s="932" t="n"/>
      <c r="O154" s="932" t="n"/>
      <c r="P154" s="932" t="n"/>
      <c r="Q154" s="932" t="n"/>
      <c r="R154" s="932" t="n"/>
      <c r="S154" s="932" t="n"/>
      <c r="T154" s="932" t="n"/>
      <c r="U154" s="932" t="n"/>
      <c r="V154" s="932" t="n"/>
    </row>
    <row r="155">
      <c r="D155" s="1909" t="inlineStr">
        <is>
          <t xml:space="preserve">     New Users Activated</t>
        </is>
      </c>
      <c r="G155" s="460" t="n"/>
      <c r="H155" s="460" t="n"/>
      <c r="I155" s="939" t="n"/>
      <c r="J155" s="409">
        <f>(J143)</f>
        <v/>
      </c>
      <c r="K155" s="409">
        <f>(K143)</f>
        <v/>
      </c>
      <c r="L155" s="409">
        <f>(L143)</f>
        <v/>
      </c>
      <c r="M155" s="409">
        <f>(M143)</f>
        <v/>
      </c>
      <c r="N155" s="409">
        <f>(N143)</f>
        <v/>
      </c>
      <c r="O155" s="409">
        <f>(O143)</f>
        <v/>
      </c>
      <c r="P155" s="409">
        <f>(P143)</f>
        <v/>
      </c>
      <c r="Q155" s="409">
        <f>(Q143)</f>
        <v/>
      </c>
      <c r="R155" s="409">
        <f>(R143)</f>
        <v/>
      </c>
      <c r="S155" s="409">
        <f>(S143)</f>
        <v/>
      </c>
      <c r="T155" s="409">
        <f>(T143)</f>
        <v/>
      </c>
      <c r="U155" s="409">
        <f>(U143)</f>
        <v/>
      </c>
      <c r="V155" s="410">
        <f>((J155)+(K155)+(L155)+(M155)+(N155)+(O155)+(P155)+(Q155)+(R155)+(S155)+(T155)+(U155))</f>
        <v/>
      </c>
    </row>
    <row r="156">
      <c r="D156" s="1912" t="inlineStr">
        <is>
          <t xml:space="preserve">     Renewals</t>
        </is>
      </c>
      <c r="G156" s="513" t="n"/>
      <c r="H156" s="513" t="n"/>
      <c r="I156" s="459" t="n"/>
      <c r="J156" s="411">
        <f>(J56)</f>
        <v/>
      </c>
      <c r="K156" s="411">
        <f>(K56)</f>
        <v/>
      </c>
      <c r="L156" s="411">
        <f>(L56)</f>
        <v/>
      </c>
      <c r="M156" s="411">
        <f>(M56)</f>
        <v/>
      </c>
      <c r="N156" s="411">
        <f>(N56)</f>
        <v/>
      </c>
      <c r="O156" s="411">
        <f>(O56)</f>
        <v/>
      </c>
      <c r="P156" s="411">
        <f>(P56)</f>
        <v/>
      </c>
      <c r="Q156" s="411">
        <f>(Q56)</f>
        <v/>
      </c>
      <c r="R156" s="411">
        <f>(R56)</f>
        <v/>
      </c>
      <c r="S156" s="411">
        <f>(S56)</f>
        <v/>
      </c>
      <c r="T156" s="411">
        <f>(T56)</f>
        <v/>
      </c>
      <c r="U156" s="411">
        <f>(U56)</f>
        <v/>
      </c>
      <c r="V156" s="455">
        <f>((J156)+(K156)+(L156)+(M156)+(N156)+(O156)+(P156)+(Q156)+(R156)+(S156)+(T156)+(U156))</f>
        <v/>
      </c>
    </row>
    <row r="157">
      <c r="D157" s="626" t="n"/>
      <c r="E157" s="626" t="n"/>
      <c r="F157" s="626" t="n"/>
      <c r="G157" s="626" t="n"/>
      <c r="H157" s="626" t="n"/>
      <c r="I157" s="423" t="n"/>
      <c r="J157" s="408" t="n"/>
      <c r="K157" s="408" t="n"/>
      <c r="L157" s="408" t="n"/>
      <c r="M157" s="408" t="n"/>
      <c r="N157" s="408" t="n"/>
      <c r="O157" s="408" t="n"/>
      <c r="P157" s="408" t="n"/>
      <c r="Q157" s="408" t="n"/>
      <c r="R157" s="408" t="n"/>
      <c r="S157" s="408" t="n"/>
      <c r="T157" s="408" t="n"/>
      <c r="U157" s="408" t="n"/>
      <c r="V157" s="408" t="n"/>
    </row>
    <row r="158">
      <c r="D158" s="626" t="n"/>
      <c r="E158" s="626" t="n"/>
      <c r="F158" s="626" t="n"/>
      <c r="G158" s="626" t="n"/>
      <c r="H158" s="626" t="n"/>
      <c r="I158" s="423" t="n"/>
      <c r="J158" s="408" t="n"/>
      <c r="K158" s="408" t="n"/>
      <c r="L158" s="408" t="n"/>
      <c r="M158" s="408" t="n"/>
      <c r="N158" s="408" t="n"/>
      <c r="O158" s="408" t="n"/>
      <c r="P158" s="408" t="n"/>
      <c r="Q158" s="408" t="n"/>
      <c r="R158" s="408" t="n"/>
      <c r="S158" s="408" t="n"/>
      <c r="T158" s="408" t="n"/>
      <c r="U158" s="408" t="n"/>
      <c r="V158" s="408" t="n"/>
    </row>
    <row r="159">
      <c r="D159" s="117" t="inlineStr">
        <is>
          <t>Year 6</t>
        </is>
      </c>
      <c r="E159" s="117" t="n"/>
      <c r="F159" s="137" t="inlineStr">
        <is>
          <t>61 - 72</t>
        </is>
      </c>
      <c r="G159" s="626" t="n"/>
      <c r="H159" s="626" t="n"/>
      <c r="I159" s="423" t="n"/>
      <c r="J159" s="408" t="n"/>
      <c r="K159" s="408" t="n"/>
      <c r="L159" s="408" t="n"/>
      <c r="M159" s="408" t="n"/>
      <c r="N159" s="408" t="n"/>
      <c r="O159" s="408" t="n"/>
      <c r="P159" s="408" t="n"/>
      <c r="Q159" s="408" t="n"/>
      <c r="R159" s="408" t="n"/>
      <c r="S159" s="408" t="n"/>
      <c r="T159" s="408" t="n"/>
      <c r="U159" s="408" t="n"/>
      <c r="V159" s="408" t="n"/>
    </row>
    <row r="160">
      <c r="D160" s="1905" t="inlineStr">
        <is>
          <t xml:space="preserve">     Beginning of Month</t>
        </is>
      </c>
      <c r="G160" s="626" t="n"/>
      <c r="H160" s="626" t="n"/>
      <c r="I160" s="423" t="n"/>
      <c r="J160" s="399">
        <f>(V147)</f>
        <v/>
      </c>
      <c r="K160" s="135">
        <f>(J165)</f>
        <v/>
      </c>
      <c r="L160" s="135">
        <f>(K165)</f>
        <v/>
      </c>
      <c r="M160" s="135">
        <f>(L165)</f>
        <v/>
      </c>
      <c r="N160" s="135">
        <f>(M165)</f>
        <v/>
      </c>
      <c r="O160" s="135">
        <f>(N165)</f>
        <v/>
      </c>
      <c r="P160" s="135">
        <f>(O165)</f>
        <v/>
      </c>
      <c r="Q160" s="135">
        <f>(P165)</f>
        <v/>
      </c>
      <c r="R160" s="135">
        <f>(Q165)</f>
        <v/>
      </c>
      <c r="S160" s="135">
        <f>(R165)</f>
        <v/>
      </c>
      <c r="T160" s="135">
        <f>(S165)</f>
        <v/>
      </c>
      <c r="U160" s="135">
        <f>(T165)</f>
        <v/>
      </c>
      <c r="V160" s="398">
        <f>J160</f>
        <v/>
      </c>
    </row>
    <row r="161">
      <c r="D161" s="1907" t="inlineStr">
        <is>
          <t xml:space="preserve">     + Activated</t>
        </is>
      </c>
      <c r="G161" s="935" t="n"/>
      <c r="H161" s="935" t="n"/>
      <c r="I161" s="874" t="n"/>
      <c r="J161" s="400">
        <f>(J27)</f>
        <v/>
      </c>
      <c r="K161" s="400">
        <f>(K27)</f>
        <v/>
      </c>
      <c r="L161" s="400">
        <f>(L27)</f>
        <v/>
      </c>
      <c r="M161" s="400">
        <f>(M27)</f>
        <v/>
      </c>
      <c r="N161" s="400">
        <f>(N27)</f>
        <v/>
      </c>
      <c r="O161" s="400">
        <f>(O27)</f>
        <v/>
      </c>
      <c r="P161" s="400">
        <f>(P27)</f>
        <v/>
      </c>
      <c r="Q161" s="400">
        <f>(Q27)</f>
        <v/>
      </c>
      <c r="R161" s="400">
        <f>(R27)</f>
        <v/>
      </c>
      <c r="S161" s="400">
        <f>(S27)</f>
        <v/>
      </c>
      <c r="T161" s="400">
        <f>(T27)</f>
        <v/>
      </c>
      <c r="U161" s="400">
        <f>(U27)</f>
        <v/>
      </c>
      <c r="V161" s="404">
        <f>((J161)+(K161)+(L161)+(M161)+(N161)+(O161)+(P161)+(Q161)+(R161)+(S161)+(T161)+(U161))</f>
        <v/>
      </c>
    </row>
    <row r="162">
      <c r="D162" s="1905" t="inlineStr">
        <is>
          <t xml:space="preserve">     - Attrition</t>
        </is>
      </c>
      <c r="G162" s="626" t="n"/>
      <c r="H162" s="626" t="n"/>
      <c r="I162" s="423" t="n"/>
      <c r="J162" s="135">
        <f>(J42)</f>
        <v/>
      </c>
      <c r="K162" s="135">
        <f>(K42)</f>
        <v/>
      </c>
      <c r="L162" s="135">
        <f>(L42)</f>
        <v/>
      </c>
      <c r="M162" s="135">
        <f>(M42)</f>
        <v/>
      </c>
      <c r="N162" s="135">
        <f>(N42)</f>
        <v/>
      </c>
      <c r="O162" s="135">
        <f>(O42)</f>
        <v/>
      </c>
      <c r="P162" s="135">
        <f>(P42)</f>
        <v/>
      </c>
      <c r="Q162" s="135">
        <f>(Q42)</f>
        <v/>
      </c>
      <c r="R162" s="135">
        <f>(R42)</f>
        <v/>
      </c>
      <c r="S162" s="135">
        <f>(S42)</f>
        <v/>
      </c>
      <c r="T162" s="135">
        <f>(T42)</f>
        <v/>
      </c>
      <c r="U162" s="135">
        <f>(U42)</f>
        <v/>
      </c>
      <c r="V162" s="398">
        <f>((J162)+(K162)+(L162)+(M162)+(N162)+(O162)+(P162)+(Q162)+(R162)+(S162)+(T162)+(U162))</f>
        <v/>
      </c>
    </row>
    <row r="163" ht="3" customHeight="1" s="1883">
      <c r="D163" s="626" t="n"/>
      <c r="E163" s="626" t="n"/>
      <c r="F163" s="937" t="n"/>
      <c r="G163" s="626" t="n"/>
      <c r="H163" s="626" t="n"/>
      <c r="I163" s="423" t="n"/>
      <c r="J163" s="926" t="n"/>
      <c r="K163" s="926" t="n"/>
      <c r="L163" s="926" t="n"/>
      <c r="M163" s="926" t="n"/>
      <c r="N163" s="926" t="n"/>
      <c r="O163" s="926" t="n"/>
      <c r="P163" s="926" t="n"/>
      <c r="Q163" s="926" t="n"/>
      <c r="R163" s="926" t="n"/>
      <c r="S163" s="926" t="n"/>
      <c r="T163" s="926" t="n"/>
      <c r="U163" s="926" t="n"/>
      <c r="V163" s="943" t="n"/>
    </row>
    <row r="164" ht="3" customHeight="1" s="1883">
      <c r="D164" s="626" t="n"/>
      <c r="E164" s="626" t="n"/>
      <c r="F164" s="937" t="n"/>
      <c r="G164" s="626" t="n"/>
      <c r="H164" s="626" t="n"/>
      <c r="I164" s="423" t="n"/>
      <c r="J164" s="626" t="n"/>
      <c r="K164" s="626" t="n"/>
      <c r="L164" s="626" t="n"/>
      <c r="M164" s="626" t="n"/>
      <c r="N164" s="626" t="n"/>
      <c r="O164" s="626" t="n"/>
      <c r="P164" s="626" t="n"/>
      <c r="Q164" s="626" t="n"/>
      <c r="R164" s="626" t="n"/>
      <c r="S164" s="626" t="n"/>
      <c r="T164" s="626" t="n"/>
      <c r="U164" s="626" t="n"/>
      <c r="V164" s="405" t="n"/>
    </row>
    <row r="165">
      <c r="D165" s="1908" t="inlineStr">
        <is>
          <t xml:space="preserve">          End of Month</t>
        </is>
      </c>
      <c r="G165" s="626" t="n"/>
      <c r="H165" s="626" t="n"/>
      <c r="I165" s="423" t="n"/>
      <c r="J165" s="136">
        <f>((J160)+(J161)-(J162))</f>
        <v/>
      </c>
      <c r="K165" s="136">
        <f>((K160)+(K161)-(K162))</f>
        <v/>
      </c>
      <c r="L165" s="136">
        <f>((L160)+(L161)-(L162))</f>
        <v/>
      </c>
      <c r="M165" s="136">
        <f>((M160)+(M161)-(M162))</f>
        <v/>
      </c>
      <c r="N165" s="136">
        <f>((N160)+(N161)-(N162))</f>
        <v/>
      </c>
      <c r="O165" s="136">
        <f>((O160)+(O161)-(O162))</f>
        <v/>
      </c>
      <c r="P165" s="136">
        <f>((P160)+(P161)-(P162))</f>
        <v/>
      </c>
      <c r="Q165" s="136">
        <f>((Q160)+(Q161)-(Q162))</f>
        <v/>
      </c>
      <c r="R165" s="136">
        <f>((R160)+(R161)-(R162))</f>
        <v/>
      </c>
      <c r="S165" s="136">
        <f>((S160)+(S161)-(S162))</f>
        <v/>
      </c>
      <c r="T165" s="136">
        <f>((T160)+(T161)-(T162))</f>
        <v/>
      </c>
      <c r="U165" s="136">
        <f>((U160)+(U161)-(U162))</f>
        <v/>
      </c>
      <c r="V165" s="136">
        <f>((V160)+(V161)-(V162))</f>
        <v/>
      </c>
    </row>
    <row r="166" ht="3" customHeight="1" s="1883">
      <c r="D166" s="626" t="n"/>
      <c r="E166" s="626" t="n"/>
      <c r="F166" s="626" t="n"/>
      <c r="G166" s="626" t="n"/>
      <c r="H166" s="626" t="n"/>
      <c r="I166" s="423" t="n"/>
      <c r="J166" s="933" t="n"/>
      <c r="K166" s="933" t="n"/>
      <c r="L166" s="933" t="n"/>
      <c r="M166" s="933" t="n"/>
      <c r="N166" s="933" t="n"/>
      <c r="O166" s="933" t="n"/>
      <c r="P166" s="933" t="n"/>
      <c r="Q166" s="933" t="n"/>
      <c r="R166" s="933" t="n"/>
      <c r="S166" s="933" t="n"/>
      <c r="T166" s="933" t="n"/>
      <c r="U166" s="933" t="n"/>
      <c r="V166" s="938" t="n"/>
    </row>
    <row r="167" ht="3" customHeight="1" s="1883">
      <c r="D167" s="626" t="n"/>
      <c r="E167" s="626" t="n"/>
      <c r="F167" s="626" t="n"/>
      <c r="G167" s="626" t="n"/>
      <c r="H167" s="626" t="n"/>
      <c r="I167" s="423" t="n"/>
      <c r="J167" s="932" t="n"/>
      <c r="K167" s="932" t="n"/>
      <c r="L167" s="932" t="n"/>
      <c r="M167" s="932" t="n"/>
      <c r="N167" s="932" t="n"/>
      <c r="O167" s="932" t="n"/>
      <c r="P167" s="932" t="n"/>
      <c r="Q167" s="932" t="n"/>
      <c r="R167" s="932" t="n"/>
      <c r="S167" s="932" t="n"/>
      <c r="T167" s="932" t="n"/>
      <c r="U167" s="932" t="n"/>
      <c r="V167" s="408" t="n"/>
    </row>
    <row r="168">
      <c r="D168" s="626" t="n"/>
      <c r="E168" s="626" t="n"/>
      <c r="F168" s="626" t="n"/>
      <c r="G168" s="626" t="n"/>
      <c r="H168" s="626" t="n"/>
      <c r="I168" s="423" t="n"/>
      <c r="J168" s="408" t="n"/>
      <c r="K168" s="408" t="n"/>
      <c r="L168" s="408" t="n"/>
      <c r="M168" s="408" t="n"/>
      <c r="N168" s="408" t="n"/>
      <c r="O168" s="408" t="n"/>
      <c r="P168" s="408" t="n"/>
      <c r="Q168" s="408" t="n"/>
      <c r="R168" s="408" t="n"/>
      <c r="S168" s="408" t="n"/>
      <c r="T168" s="408" t="n"/>
      <c r="U168" s="408" t="n"/>
      <c r="V168" s="408" t="n"/>
    </row>
    <row r="169">
      <c r="D169" s="1908" t="inlineStr">
        <is>
          <t xml:space="preserve">         Average</t>
        </is>
      </c>
      <c r="G169" s="626" t="n"/>
      <c r="H169" s="626" t="n"/>
      <c r="I169" s="423" t="n"/>
      <c r="J169" s="136">
        <f>(((J160)+(J165))/(2))</f>
        <v/>
      </c>
      <c r="K169" s="136">
        <f>(((K160)+(K165))/(2))</f>
        <v/>
      </c>
      <c r="L169" s="136">
        <f>(((L160)+(L165))/(2))</f>
        <v/>
      </c>
      <c r="M169" s="136">
        <f>(((M160)+(M165))/(2))</f>
        <v/>
      </c>
      <c r="N169" s="136">
        <f>(((N160)+(N165))/(2))</f>
        <v/>
      </c>
      <c r="O169" s="136">
        <f>(((O160)+(O165))/(2))</f>
        <v/>
      </c>
      <c r="P169" s="136">
        <f>(((P160)+(P165))/(2))</f>
        <v/>
      </c>
      <c r="Q169" s="136">
        <f>(((Q160)+(Q165))/(2))</f>
        <v/>
      </c>
      <c r="R169" s="136">
        <f>(((R160)+(R165))/(2))</f>
        <v/>
      </c>
      <c r="S169" s="136">
        <f>(((S160)+(S165))/(2))</f>
        <v/>
      </c>
      <c r="T169" s="136">
        <f>(((T160)+(T165))/(2))</f>
        <v/>
      </c>
      <c r="U169" s="136">
        <f>(((U160)+(U165))/(2))</f>
        <v/>
      </c>
      <c r="V169" s="136">
        <f>(((J169)+(K169)+(L169)+(M169)+(N169)+(O169)+(P169)+(Q169)+(R169)+(S169)+(T169)+(U169))/(12))</f>
        <v/>
      </c>
    </row>
    <row r="170" ht="3" customHeight="1" s="1883">
      <c r="D170" s="626" t="n"/>
      <c r="E170" s="626" t="n"/>
      <c r="F170" s="937" t="n"/>
      <c r="G170" s="626" t="n"/>
      <c r="H170" s="626" t="n"/>
      <c r="I170" s="423" t="n"/>
      <c r="J170" s="933" t="n"/>
      <c r="K170" s="933" t="n"/>
      <c r="L170" s="933" t="n"/>
      <c r="M170" s="933" t="n"/>
      <c r="N170" s="933" t="n"/>
      <c r="O170" s="933" t="n"/>
      <c r="P170" s="933" t="n"/>
      <c r="Q170" s="933" t="n"/>
      <c r="R170" s="933" t="n"/>
      <c r="S170" s="933" t="n"/>
      <c r="T170" s="933" t="n"/>
      <c r="U170" s="933" t="n"/>
      <c r="V170" s="933" t="n"/>
    </row>
    <row r="171" ht="3" customHeight="1" s="1883">
      <c r="D171" s="626" t="n"/>
      <c r="E171" s="626" t="n"/>
      <c r="F171" s="937" t="n"/>
      <c r="G171" s="626" t="n"/>
      <c r="H171" s="626" t="n"/>
      <c r="I171" s="423" t="n"/>
      <c r="J171" s="932" t="n"/>
      <c r="K171" s="932" t="n"/>
      <c r="L171" s="932" t="n"/>
      <c r="M171" s="932" t="n"/>
      <c r="N171" s="932" t="n"/>
      <c r="O171" s="932" t="n"/>
      <c r="P171" s="932" t="n"/>
      <c r="Q171" s="932" t="n"/>
      <c r="R171" s="932" t="n"/>
      <c r="S171" s="932" t="n"/>
      <c r="T171" s="932" t="n"/>
      <c r="U171" s="932" t="n"/>
      <c r="V171" s="932" t="n"/>
    </row>
    <row r="172">
      <c r="D172" s="626" t="n"/>
      <c r="E172" s="626" t="n"/>
      <c r="F172" s="626" t="n"/>
      <c r="G172" s="626" t="n"/>
      <c r="H172" s="626" t="n"/>
      <c r="I172" s="423" t="n"/>
      <c r="J172" s="408" t="n"/>
      <c r="K172" s="408" t="n"/>
      <c r="L172" s="408" t="n"/>
      <c r="M172" s="408" t="n"/>
      <c r="N172" s="408" t="n"/>
      <c r="O172" s="408" t="n"/>
      <c r="P172" s="408" t="n"/>
      <c r="Q172" s="408" t="n"/>
      <c r="R172" s="408" t="n"/>
      <c r="S172" s="408" t="n"/>
      <c r="T172" s="408" t="n"/>
      <c r="U172" s="408" t="n"/>
      <c r="V172" s="408" t="n"/>
    </row>
    <row r="173">
      <c r="D173" s="1909" t="inlineStr">
        <is>
          <t xml:space="preserve">     New Users Activated</t>
        </is>
      </c>
      <c r="G173" s="939" t="n"/>
      <c r="H173" s="939" t="n"/>
      <c r="I173" s="939" t="n"/>
      <c r="J173" s="409">
        <f>(J161)</f>
        <v/>
      </c>
      <c r="K173" s="409">
        <f>(K161)</f>
        <v/>
      </c>
      <c r="L173" s="409">
        <f>(L161)</f>
        <v/>
      </c>
      <c r="M173" s="409">
        <f>(M161)</f>
        <v/>
      </c>
      <c r="N173" s="409">
        <f>(N161)</f>
        <v/>
      </c>
      <c r="O173" s="409">
        <f>(O161)</f>
        <v/>
      </c>
      <c r="P173" s="409">
        <f>(P161)</f>
        <v/>
      </c>
      <c r="Q173" s="409">
        <f>(Q161)</f>
        <v/>
      </c>
      <c r="R173" s="409">
        <f>(R161)</f>
        <v/>
      </c>
      <c r="S173" s="409">
        <f>(S161)</f>
        <v/>
      </c>
      <c r="T173" s="409">
        <f>(T161)</f>
        <v/>
      </c>
      <c r="U173" s="409">
        <f>(U161)</f>
        <v/>
      </c>
      <c r="V173" s="410">
        <f>((J173)+(K173)+(L173)+(M173)+(N173)+(O173)+(P173)+(Q173)+(R173)+(S173)+(T173)+(U173))</f>
        <v/>
      </c>
    </row>
    <row r="174">
      <c r="D174" s="1912" t="inlineStr">
        <is>
          <t xml:space="preserve">     Renewals</t>
        </is>
      </c>
      <c r="G174" s="941" t="n"/>
      <c r="H174" s="941" t="n"/>
      <c r="I174" s="941" t="n"/>
      <c r="J174" s="411">
        <f>(J57)</f>
        <v/>
      </c>
      <c r="K174" s="411">
        <f>(K57)</f>
        <v/>
      </c>
      <c r="L174" s="411">
        <f>(L57)</f>
        <v/>
      </c>
      <c r="M174" s="411">
        <f>(M57)</f>
        <v/>
      </c>
      <c r="N174" s="411">
        <f>(N57)</f>
        <v/>
      </c>
      <c r="O174" s="411">
        <f>(O57)</f>
        <v/>
      </c>
      <c r="P174" s="411">
        <f>(P57)</f>
        <v/>
      </c>
      <c r="Q174" s="411">
        <f>(Q57)</f>
        <v/>
      </c>
      <c r="R174" s="411">
        <f>(R57)</f>
        <v/>
      </c>
      <c r="S174" s="411">
        <f>(S57)</f>
        <v/>
      </c>
      <c r="T174" s="411">
        <f>(T57)</f>
        <v/>
      </c>
      <c r="U174" s="411">
        <f>(U57)</f>
        <v/>
      </c>
      <c r="V174" s="455">
        <f>((J174)+(K174)+(L174)+(M174)+(N174)+(O174)+(P174)+(Q174)+(R174)+(S174)+(T174)+(U174))</f>
        <v/>
      </c>
    </row>
    <row r="179">
      <c r="B179" s="467" t="inlineStr">
        <is>
          <t>V.</t>
        </is>
      </c>
      <c r="C179" s="626" t="n"/>
      <c r="D179" s="118" t="inlineStr">
        <is>
          <t>Billable Hours</t>
        </is>
      </c>
      <c r="E179" s="626" t="n"/>
      <c r="F179" s="626" t="n"/>
      <c r="G179" s="626" t="n"/>
      <c r="H179" s="626" t="n"/>
      <c r="I179" s="626" t="n"/>
      <c r="J179" s="1904" t="inlineStr">
        <is>
          <t>Fiscal Years 1 - 6</t>
        </is>
      </c>
    </row>
    <row r="180" ht="3" customHeight="1" s="1883">
      <c r="B180" s="929" t="n"/>
      <c r="C180" s="926" t="n"/>
      <c r="D180" s="926" t="n"/>
      <c r="E180" s="926" t="n"/>
      <c r="F180" s="926" t="n"/>
      <c r="G180" s="1968" t="n"/>
      <c r="H180" s="1968" t="n"/>
      <c r="I180" s="626" t="n"/>
      <c r="J180" s="933" t="n"/>
      <c r="K180" s="933" t="n"/>
      <c r="L180" s="933" t="n"/>
      <c r="M180" s="933" t="n"/>
      <c r="N180" s="933" t="n"/>
      <c r="O180" s="933" t="n"/>
      <c r="P180" s="933" t="n"/>
      <c r="Q180" s="933" t="n"/>
      <c r="R180" s="933" t="n"/>
      <c r="S180" s="933" t="n"/>
      <c r="T180" s="933" t="n"/>
      <c r="U180" s="933" t="n"/>
      <c r="V180" s="933" t="n"/>
    </row>
    <row r="181" ht="3" customHeight="1" s="1883">
      <c r="B181" s="930" t="n"/>
      <c r="C181" s="626" t="n"/>
      <c r="D181" s="626" t="n"/>
      <c r="E181" s="626" t="n"/>
      <c r="F181" s="626" t="n"/>
      <c r="G181" s="626" t="n"/>
      <c r="H181" s="626" t="n"/>
      <c r="I181" s="626" t="n"/>
      <c r="J181" s="932" t="n"/>
      <c r="K181" s="932" t="n"/>
      <c r="L181" s="932" t="n"/>
      <c r="M181" s="932" t="n"/>
      <c r="N181" s="932" t="n"/>
      <c r="O181" s="932" t="n"/>
      <c r="P181" s="932" t="n"/>
      <c r="Q181" s="932" t="n"/>
      <c r="R181" s="932" t="n"/>
      <c r="S181" s="932" t="n"/>
      <c r="T181" s="932" t="n"/>
      <c r="U181" s="932" t="n"/>
      <c r="V181" s="932" t="n"/>
    </row>
    <row r="182">
      <c r="B182" s="930" t="n"/>
      <c r="C182" s="626" t="n"/>
      <c r="D182" s="117" t="inlineStr">
        <is>
          <t>Year</t>
        </is>
      </c>
      <c r="E182" s="117" t="n"/>
      <c r="F182" s="117" t="inlineStr">
        <is>
          <t>Months</t>
        </is>
      </c>
      <c r="G182" s="117" t="n"/>
      <c r="H182" s="117" t="n"/>
      <c r="I182" s="626" t="n"/>
      <c r="J182" s="138" t="inlineStr">
        <is>
          <t>Month 1</t>
        </is>
      </c>
      <c r="K182" s="138" t="inlineStr">
        <is>
          <t>Month 2</t>
        </is>
      </c>
      <c r="L182" s="138" t="inlineStr">
        <is>
          <t>Month 3</t>
        </is>
      </c>
      <c r="M182" s="138" t="inlineStr">
        <is>
          <t>Month 4</t>
        </is>
      </c>
      <c r="N182" s="138" t="inlineStr">
        <is>
          <t>Month 5</t>
        </is>
      </c>
      <c r="O182" s="138" t="inlineStr">
        <is>
          <t>Month 6</t>
        </is>
      </c>
      <c r="P182" s="138" t="inlineStr">
        <is>
          <t>Month 7</t>
        </is>
      </c>
      <c r="Q182" s="138" t="inlineStr">
        <is>
          <t>Month 8</t>
        </is>
      </c>
      <c r="R182" s="138" t="inlineStr">
        <is>
          <t>Month 9</t>
        </is>
      </c>
      <c r="S182" s="138" t="inlineStr">
        <is>
          <t>Month 10</t>
        </is>
      </c>
      <c r="T182" s="138" t="inlineStr">
        <is>
          <t>Month 11</t>
        </is>
      </c>
      <c r="U182" s="138" t="inlineStr">
        <is>
          <t>Month 12</t>
        </is>
      </c>
      <c r="V182" s="138" t="inlineStr">
        <is>
          <t>Ʃ, Full-Year</t>
        </is>
      </c>
    </row>
    <row r="183" ht="3" customHeight="1" s="1883">
      <c r="B183" s="930" t="n"/>
      <c r="C183" s="626" t="n"/>
      <c r="D183" s="926" t="n"/>
      <c r="E183" s="626" t="n"/>
      <c r="F183" s="926" t="n"/>
      <c r="G183" s="1968" t="n"/>
      <c r="H183" s="1968" t="n"/>
      <c r="I183" s="626" t="n"/>
      <c r="J183" s="933" t="n"/>
      <c r="K183" s="933" t="n"/>
      <c r="L183" s="933" t="n"/>
      <c r="M183" s="933" t="n"/>
      <c r="N183" s="933" t="n"/>
      <c r="O183" s="933" t="n"/>
      <c r="P183" s="933" t="n"/>
      <c r="Q183" s="933" t="n"/>
      <c r="R183" s="933" t="n"/>
      <c r="S183" s="933" t="n"/>
      <c r="T183" s="933" t="n"/>
      <c r="U183" s="933" t="n"/>
      <c r="V183" s="933" t="n"/>
    </row>
    <row r="184" ht="3" customHeight="1" s="1883">
      <c r="B184" s="930" t="n"/>
      <c r="C184" s="626" t="n"/>
      <c r="D184" s="626" t="n"/>
      <c r="E184" s="626" t="n"/>
      <c r="F184" s="626" t="n"/>
      <c r="G184" s="626" t="n"/>
      <c r="H184" s="626" t="n"/>
      <c r="I184" s="626" t="n"/>
      <c r="J184" s="934" t="n"/>
      <c r="K184" s="934" t="n"/>
      <c r="L184" s="934" t="n"/>
      <c r="M184" s="934" t="n"/>
      <c r="N184" s="934" t="n"/>
      <c r="O184" s="934" t="n"/>
      <c r="P184" s="934" t="n"/>
      <c r="Q184" s="934" t="n"/>
      <c r="R184" s="934" t="n"/>
      <c r="S184" s="934" t="n"/>
      <c r="T184" s="934" t="n"/>
      <c r="U184" s="934" t="n"/>
      <c r="V184" s="934" t="n"/>
    </row>
    <row r="185">
      <c r="B185" s="930" t="n"/>
      <c r="C185" s="626" t="n"/>
      <c r="D185" s="386" t="inlineStr">
        <is>
          <t>Year 0</t>
        </is>
      </c>
      <c r="E185" s="386" t="n"/>
      <c r="F185" s="468" t="inlineStr">
        <is>
          <t>-12 - -1</t>
        </is>
      </c>
      <c r="G185" s="468" t="n"/>
      <c r="H185" s="468" t="n"/>
      <c r="I185" s="1906" t="n"/>
      <c r="J185" s="944" t="n"/>
      <c r="K185" s="944" t="n"/>
      <c r="L185" s="944" t="n"/>
      <c r="M185" s="944" t="n"/>
      <c r="N185" s="944" t="n"/>
      <c r="O185" s="944" t="n"/>
      <c r="P185" s="944" t="n"/>
      <c r="Q185" s="944" t="n"/>
      <c r="R185" s="944" t="n"/>
      <c r="S185" s="944" t="n"/>
      <c r="T185" s="944" t="n"/>
      <c r="U185" s="944" t="n"/>
      <c r="V185" s="944" t="n"/>
    </row>
    <row r="186">
      <c r="B186" s="930" t="n"/>
      <c r="C186" s="626" t="n"/>
      <c r="D186" s="422" t="n"/>
      <c r="E186" s="422" t="n"/>
      <c r="F186" s="422" t="n"/>
      <c r="G186" s="422" t="n"/>
      <c r="H186" s="422" t="n"/>
      <c r="I186" s="422" t="n"/>
      <c r="J186" s="422" t="n"/>
      <c r="K186" s="422" t="n"/>
      <c r="L186" s="422" t="n"/>
      <c r="M186" s="422" t="n"/>
      <c r="N186" s="422" t="n"/>
      <c r="O186" s="422" t="n"/>
      <c r="P186" s="422" t="n"/>
      <c r="Q186" s="422" t="n"/>
      <c r="R186" s="422" t="n"/>
      <c r="S186" s="422" t="n"/>
      <c r="T186" s="422" t="n"/>
      <c r="U186" s="422" t="n"/>
      <c r="V186" s="422" t="n"/>
    </row>
    <row r="187">
      <c r="B187" s="930" t="n"/>
      <c r="C187" s="626" t="n"/>
      <c r="D187" s="422" t="n"/>
      <c r="E187" s="422" t="n"/>
      <c r="F187" s="422" t="n"/>
      <c r="G187" s="422" t="n"/>
      <c r="H187" s="422" t="n"/>
      <c r="I187" s="422" t="n"/>
      <c r="J187" s="422" t="n"/>
      <c r="K187" s="422" t="n"/>
      <c r="L187" s="422" t="n"/>
      <c r="M187" s="422" t="n"/>
      <c r="N187" s="422" t="n"/>
      <c r="O187" s="422" t="n"/>
      <c r="P187" s="422" t="n"/>
      <c r="Q187" s="422" t="n"/>
      <c r="R187" s="422" t="n"/>
      <c r="S187" s="422" t="n"/>
      <c r="T187" s="422" t="n"/>
      <c r="U187" s="422" t="n"/>
      <c r="V187" s="422" t="n"/>
    </row>
    <row r="188">
      <c r="B188" s="930" t="n"/>
      <c r="C188" s="626" t="n"/>
      <c r="D188" s="386" t="inlineStr">
        <is>
          <t>Year 1</t>
        </is>
      </c>
      <c r="E188" s="386" t="n"/>
      <c r="F188" s="469" t="inlineStr">
        <is>
          <t>1 - 12</t>
        </is>
      </c>
      <c r="G188" s="469" t="n"/>
      <c r="H188" s="469" t="n"/>
      <c r="I188" s="422" t="n"/>
      <c r="J188" s="422" t="n"/>
      <c r="K188" s="422" t="n"/>
      <c r="L188" s="422" t="n"/>
      <c r="M188" s="422" t="n"/>
      <c r="N188" s="422" t="n"/>
      <c r="O188" s="422" t="n"/>
      <c r="P188" s="422" t="n"/>
      <c r="Q188" s="422" t="n"/>
      <c r="R188" s="422" t="n"/>
      <c r="S188" s="422" t="n"/>
      <c r="T188" s="422" t="n"/>
      <c r="U188" s="422" t="n"/>
      <c r="V188" s="422" t="n"/>
    </row>
    <row r="189">
      <c r="B189" s="930" t="n"/>
      <c r="C189" s="626" t="n"/>
      <c r="D189" s="1911" t="inlineStr">
        <is>
          <t xml:space="preserve">Billable Minutes/Month/Active Phone </t>
        </is>
      </c>
      <c r="G189" s="464" t="n"/>
      <c r="H189" s="464" t="n"/>
      <c r="I189" s="482" t="n"/>
      <c r="J189" s="483">
        <f>'3D. Tel. - Revenue Drivers - 2'!L21</f>
        <v/>
      </c>
      <c r="K189" s="483">
        <f>($J$189)</f>
        <v/>
      </c>
      <c r="L189" s="483">
        <f>($J$189)</f>
        <v/>
      </c>
      <c r="M189" s="483">
        <f>($J$189)</f>
        <v/>
      </c>
      <c r="N189" s="483">
        <f>($J$189)</f>
        <v/>
      </c>
      <c r="O189" s="483">
        <f>($J$189)</f>
        <v/>
      </c>
      <c r="P189" s="483">
        <f>($J$189)</f>
        <v/>
      </c>
      <c r="Q189" s="483">
        <f>($J$189)</f>
        <v/>
      </c>
      <c r="R189" s="483">
        <f>($J$189)</f>
        <v/>
      </c>
      <c r="S189" s="483">
        <f>($J$189)</f>
        <v/>
      </c>
      <c r="T189" s="483">
        <f>($J$189)</f>
        <v/>
      </c>
      <c r="U189" s="483">
        <f>($J$189)</f>
        <v/>
      </c>
      <c r="V189" s="422" t="n"/>
    </row>
    <row r="190">
      <c r="B190" s="930" t="n"/>
      <c r="C190" s="626" t="n"/>
      <c r="D190" s="1906" t="inlineStr">
        <is>
          <t>Average Number of Phones in Use</t>
        </is>
      </c>
      <c r="G190" s="383" t="n"/>
      <c r="H190" s="383" t="n"/>
      <c r="I190" s="422" t="n"/>
      <c r="J190" s="446">
        <f>J79</f>
        <v/>
      </c>
      <c r="K190" s="446">
        <f>K79</f>
        <v/>
      </c>
      <c r="L190" s="446">
        <f>L79</f>
        <v/>
      </c>
      <c r="M190" s="446">
        <f>M79</f>
        <v/>
      </c>
      <c r="N190" s="446">
        <f>N79</f>
        <v/>
      </c>
      <c r="O190" s="446">
        <f>O79</f>
        <v/>
      </c>
      <c r="P190" s="446">
        <f>P79</f>
        <v/>
      </c>
      <c r="Q190" s="446">
        <f>Q79</f>
        <v/>
      </c>
      <c r="R190" s="446">
        <f>R79</f>
        <v/>
      </c>
      <c r="S190" s="446">
        <f>S79</f>
        <v/>
      </c>
      <c r="T190" s="446">
        <f>T79</f>
        <v/>
      </c>
      <c r="U190" s="446">
        <f>U79</f>
        <v/>
      </c>
      <c r="V190" s="407" t="n"/>
    </row>
    <row r="191">
      <c r="B191" s="930" t="n"/>
      <c r="C191" s="626" t="n"/>
      <c r="D191" s="1882" t="inlineStr">
        <is>
          <t>Billable Hours, All Active Phones</t>
        </is>
      </c>
      <c r="G191" s="383" t="n"/>
      <c r="H191" s="383" t="n"/>
      <c r="I191" s="422" t="n"/>
      <c r="J191" s="447">
        <f>(((J189)*(J190))/(60))</f>
        <v/>
      </c>
      <c r="K191" s="447">
        <f>(((K189)*(K190))/(60))</f>
        <v/>
      </c>
      <c r="L191" s="447">
        <f>(((L189)*(L190))/(60))</f>
        <v/>
      </c>
      <c r="M191" s="447">
        <f>(((M189)*(M190))/(60))</f>
        <v/>
      </c>
      <c r="N191" s="447">
        <f>(((N189)*(N190))/(60))</f>
        <v/>
      </c>
      <c r="O191" s="447">
        <f>(((O189)*(O190))/(60))</f>
        <v/>
      </c>
      <c r="P191" s="447">
        <f>(((P189)*(P190))/(60))</f>
        <v/>
      </c>
      <c r="Q191" s="447">
        <f>(((Q189)*(Q190))/(60))</f>
        <v/>
      </c>
      <c r="R191" s="447">
        <f>(((R189)*(R190))/(60))</f>
        <v/>
      </c>
      <c r="S191" s="447">
        <f>(((S189)*(S190))/(60))</f>
        <v/>
      </c>
      <c r="T191" s="447">
        <f>(((T189)*(T190))/(60))</f>
        <v/>
      </c>
      <c r="U191" s="447">
        <f>(((U189)*(U190))/(60))</f>
        <v/>
      </c>
      <c r="V191" s="452">
        <f>((J191)+(K191)+(L191)+(M191)+(N191)+(O191)+(P191)+(Q191)+(R191)+(S191)+(T191)+(U191))</f>
        <v/>
      </c>
    </row>
    <row r="194">
      <c r="D194" s="386" t="inlineStr">
        <is>
          <t>Year 2</t>
        </is>
      </c>
      <c r="E194" s="386" t="n"/>
      <c r="F194" s="456" t="inlineStr">
        <is>
          <t>13 - 24</t>
        </is>
      </c>
      <c r="G194" s="456" t="n"/>
      <c r="H194" s="456" t="n"/>
      <c r="I194" s="422" t="n"/>
      <c r="J194" s="422" t="n"/>
      <c r="K194" s="422" t="n"/>
      <c r="L194" s="422" t="n"/>
      <c r="M194" s="422" t="n"/>
      <c r="N194" s="422" t="n"/>
      <c r="O194" s="422" t="n"/>
      <c r="P194" s="422" t="n"/>
      <c r="Q194" s="422" t="n"/>
      <c r="R194" s="422" t="n"/>
      <c r="S194" s="422" t="n"/>
      <c r="T194" s="422" t="n"/>
      <c r="U194" s="422" t="n"/>
      <c r="V194" s="422" t="n"/>
    </row>
    <row r="195">
      <c r="D195" s="1911" t="inlineStr">
        <is>
          <t xml:space="preserve">Billable Minutes/Month/Active Phone </t>
        </is>
      </c>
      <c r="G195" s="464" t="n"/>
      <c r="H195" s="464" t="n"/>
      <c r="I195" s="482" t="n"/>
      <c r="J195" s="483">
        <f>'3D. Tel. - Revenue Drivers - 2'!L22</f>
        <v/>
      </c>
      <c r="K195" s="483">
        <f>($J$195)</f>
        <v/>
      </c>
      <c r="L195" s="483">
        <f>($J$195)</f>
        <v/>
      </c>
      <c r="M195" s="483">
        <f>($J$195)</f>
        <v/>
      </c>
      <c r="N195" s="483">
        <f>($J$195)</f>
        <v/>
      </c>
      <c r="O195" s="483">
        <f>($J$195)</f>
        <v/>
      </c>
      <c r="P195" s="483">
        <f>($J$195)</f>
        <v/>
      </c>
      <c r="Q195" s="483">
        <f>($J$195)</f>
        <v/>
      </c>
      <c r="R195" s="483">
        <f>($J$195)</f>
        <v/>
      </c>
      <c r="S195" s="483">
        <f>($J$195)</f>
        <v/>
      </c>
      <c r="T195" s="483">
        <f>($J$195)</f>
        <v/>
      </c>
      <c r="U195" s="483">
        <f>($J$195)</f>
        <v/>
      </c>
      <c r="V195" s="422" t="n"/>
    </row>
    <row r="196">
      <c r="D196" s="1906" t="inlineStr">
        <is>
          <t>Average Number of Phones in Use</t>
        </is>
      </c>
      <c r="G196" s="383" t="n"/>
      <c r="H196" s="383" t="n"/>
      <c r="I196" s="422" t="n"/>
      <c r="J196" s="446">
        <f>(J97)</f>
        <v/>
      </c>
      <c r="K196" s="446">
        <f>(K97)</f>
        <v/>
      </c>
      <c r="L196" s="446">
        <f>(L97)</f>
        <v/>
      </c>
      <c r="M196" s="446">
        <f>(M97)</f>
        <v/>
      </c>
      <c r="N196" s="446">
        <f>(N97)</f>
        <v/>
      </c>
      <c r="O196" s="446">
        <f>(O97)</f>
        <v/>
      </c>
      <c r="P196" s="446">
        <f>(P97)</f>
        <v/>
      </c>
      <c r="Q196" s="446">
        <f>(Q97)</f>
        <v/>
      </c>
      <c r="R196" s="446">
        <f>(R97)</f>
        <v/>
      </c>
      <c r="S196" s="446">
        <f>(S97)</f>
        <v/>
      </c>
      <c r="T196" s="446">
        <f>(T97)</f>
        <v/>
      </c>
      <c r="U196" s="446">
        <f>(U97)</f>
        <v/>
      </c>
      <c r="V196" s="422" t="n"/>
    </row>
    <row r="197">
      <c r="D197" s="1882" t="inlineStr">
        <is>
          <t>Billable Hours, All Active Phones</t>
        </is>
      </c>
      <c r="G197" s="383" t="n"/>
      <c r="H197" s="383" t="n"/>
      <c r="I197" s="422" t="n"/>
      <c r="J197" s="447">
        <f>(((J195)*(J196))/(60))</f>
        <v/>
      </c>
      <c r="K197" s="447">
        <f>(((K195)*(K196))/(60))</f>
        <v/>
      </c>
      <c r="L197" s="447">
        <f>(((L195)*(L196))/(60))</f>
        <v/>
      </c>
      <c r="M197" s="447">
        <f>(((M195)*(M196))/(60))</f>
        <v/>
      </c>
      <c r="N197" s="447">
        <f>(((N195)*(N196))/(60))</f>
        <v/>
      </c>
      <c r="O197" s="447">
        <f>(((O195)*(O196))/(60))</f>
        <v/>
      </c>
      <c r="P197" s="447">
        <f>(((P195)*(P196))/(60))</f>
        <v/>
      </c>
      <c r="Q197" s="447">
        <f>(((Q195)*(Q196))/(60))</f>
        <v/>
      </c>
      <c r="R197" s="447">
        <f>(((R195)*(R196))/(60))</f>
        <v/>
      </c>
      <c r="S197" s="447">
        <f>(((S195)*(S196))/(60))</f>
        <v/>
      </c>
      <c r="T197" s="447">
        <f>(((T195)*(T196))/(60))</f>
        <v/>
      </c>
      <c r="U197" s="447">
        <f>(((U195)*(U196))/(60))</f>
        <v/>
      </c>
      <c r="V197" s="452">
        <f>((J197)+(K197)+(L197)+(M197)+(N197)+(O197)+(P197)+(Q197)+(R197)+(S197)+(T197)+(U197))</f>
        <v/>
      </c>
    </row>
    <row r="198">
      <c r="D198" s="422" t="n"/>
      <c r="E198" s="422" t="n"/>
      <c r="F198" s="422" t="n"/>
      <c r="G198" s="422" t="n"/>
      <c r="H198" s="422" t="n"/>
      <c r="I198" s="422" t="n"/>
      <c r="J198" s="422" t="n"/>
      <c r="K198" s="422" t="n"/>
      <c r="L198" s="422" t="n"/>
      <c r="M198" s="422" t="n"/>
      <c r="N198" s="422" t="n"/>
      <c r="O198" s="422" t="n"/>
      <c r="P198" s="422" t="n"/>
      <c r="Q198" s="422" t="n"/>
      <c r="R198" s="422" t="n"/>
      <c r="S198" s="422" t="n"/>
      <c r="T198" s="422" t="n"/>
      <c r="U198" s="422" t="n"/>
      <c r="V198" s="422" t="n"/>
    </row>
    <row r="199">
      <c r="D199" s="422" t="n"/>
      <c r="E199" s="422" t="n"/>
      <c r="F199" s="422" t="n"/>
      <c r="G199" s="422" t="n"/>
      <c r="H199" s="422" t="n"/>
      <c r="I199" s="422" t="n"/>
      <c r="J199" s="422" t="n"/>
      <c r="K199" s="422" t="n"/>
      <c r="L199" s="422" t="n"/>
      <c r="M199" s="422" t="n"/>
      <c r="N199" s="422" t="n"/>
      <c r="O199" s="422" t="n"/>
      <c r="P199" s="422" t="n"/>
      <c r="Q199" s="422" t="n"/>
      <c r="R199" s="422" t="n"/>
      <c r="S199" s="422" t="n"/>
      <c r="T199" s="422" t="n"/>
      <c r="U199" s="422" t="n"/>
      <c r="V199" s="422" t="n"/>
    </row>
    <row r="200">
      <c r="D200" s="386" t="inlineStr">
        <is>
          <t>Year 3</t>
        </is>
      </c>
      <c r="E200" s="386" t="n"/>
      <c r="F200" s="456" t="inlineStr">
        <is>
          <t>25 - 36</t>
        </is>
      </c>
      <c r="G200" s="456" t="n"/>
      <c r="H200" s="456" t="n"/>
      <c r="I200" s="422" t="n"/>
      <c r="J200" s="422" t="n"/>
      <c r="K200" s="422" t="n"/>
      <c r="L200" s="422" t="n"/>
      <c r="M200" s="422" t="n"/>
      <c r="N200" s="422" t="n"/>
      <c r="O200" s="422" t="n"/>
      <c r="P200" s="422" t="n"/>
      <c r="Q200" s="422" t="n"/>
      <c r="R200" s="422" t="n"/>
      <c r="S200" s="422" t="n"/>
      <c r="T200" s="422" t="n"/>
      <c r="U200" s="422" t="n"/>
      <c r="V200" s="422" t="n"/>
    </row>
    <row r="201">
      <c r="D201" s="1911" t="inlineStr">
        <is>
          <t xml:space="preserve">Billable Minutes/Month/Active Phone </t>
        </is>
      </c>
      <c r="G201" s="464" t="n"/>
      <c r="H201" s="464" t="n"/>
      <c r="I201" s="482" t="n"/>
      <c r="J201" s="483">
        <f>'3D. Tel. - Revenue Drivers - 2'!L23</f>
        <v/>
      </c>
      <c r="K201" s="483">
        <f>($J$201)</f>
        <v/>
      </c>
      <c r="L201" s="483">
        <f>($J$201)</f>
        <v/>
      </c>
      <c r="M201" s="483">
        <f>($J$201)</f>
        <v/>
      </c>
      <c r="N201" s="483">
        <f>($J$201)</f>
        <v/>
      </c>
      <c r="O201" s="483">
        <f>($J$201)</f>
        <v/>
      </c>
      <c r="P201" s="483">
        <f>($J$201)</f>
        <v/>
      </c>
      <c r="Q201" s="483">
        <f>($J$201)</f>
        <v/>
      </c>
      <c r="R201" s="483">
        <f>($J$201)</f>
        <v/>
      </c>
      <c r="S201" s="483">
        <f>($J$201)</f>
        <v/>
      </c>
      <c r="T201" s="483">
        <f>($J$201)</f>
        <v/>
      </c>
      <c r="U201" s="483">
        <f>($J$201)</f>
        <v/>
      </c>
      <c r="V201" s="422" t="n"/>
    </row>
    <row r="202">
      <c r="D202" s="1906" t="inlineStr">
        <is>
          <t>Average Number of Phones in Use</t>
        </is>
      </c>
      <c r="G202" s="383" t="n"/>
      <c r="H202" s="383" t="n"/>
      <c r="I202" s="422" t="n"/>
      <c r="J202" s="446">
        <f>(J115)</f>
        <v/>
      </c>
      <c r="K202" s="446">
        <f>(K115)</f>
        <v/>
      </c>
      <c r="L202" s="446">
        <f>(L115)</f>
        <v/>
      </c>
      <c r="M202" s="446">
        <f>(M115)</f>
        <v/>
      </c>
      <c r="N202" s="446">
        <f>(N115)</f>
        <v/>
      </c>
      <c r="O202" s="446">
        <f>(O115)</f>
        <v/>
      </c>
      <c r="P202" s="446">
        <f>(P115)</f>
        <v/>
      </c>
      <c r="Q202" s="446">
        <f>(Q115)</f>
        <v/>
      </c>
      <c r="R202" s="446">
        <f>(R115)</f>
        <v/>
      </c>
      <c r="S202" s="446">
        <f>(S115)</f>
        <v/>
      </c>
      <c r="T202" s="446">
        <f>(T115)</f>
        <v/>
      </c>
      <c r="U202" s="446">
        <f>(U115)</f>
        <v/>
      </c>
      <c r="V202" s="422" t="n"/>
    </row>
    <row r="203">
      <c r="D203" s="1882" t="inlineStr">
        <is>
          <t>Billable Hours, All Active Phones</t>
        </is>
      </c>
      <c r="G203" s="383" t="n"/>
      <c r="H203" s="383" t="n"/>
      <c r="I203" s="422" t="n"/>
      <c r="J203" s="447">
        <f>(((J201)*(J202))/(60))</f>
        <v/>
      </c>
      <c r="K203" s="447">
        <f>(((K201)*(K202))/(60))</f>
        <v/>
      </c>
      <c r="L203" s="447">
        <f>(((L201)*(L202))/(60))</f>
        <v/>
      </c>
      <c r="M203" s="447">
        <f>(((M201)*(M202))/(60))</f>
        <v/>
      </c>
      <c r="N203" s="447">
        <f>(((N201)*(N202))/(60))</f>
        <v/>
      </c>
      <c r="O203" s="447">
        <f>(((O201)*(O202))/(60))</f>
        <v/>
      </c>
      <c r="P203" s="447">
        <f>(((P201)*(P202))/(60))</f>
        <v/>
      </c>
      <c r="Q203" s="447">
        <f>(((Q201)*(Q202))/(60))</f>
        <v/>
      </c>
      <c r="R203" s="447">
        <f>(((R201)*(R202))/(60))</f>
        <v/>
      </c>
      <c r="S203" s="447">
        <f>(((S201)*(S202))/(60))</f>
        <v/>
      </c>
      <c r="T203" s="447">
        <f>(((T201)*(T202))/(60))</f>
        <v/>
      </c>
      <c r="U203" s="447">
        <f>(((U201)*(U202))/(60))</f>
        <v/>
      </c>
      <c r="V203" s="452">
        <f>((J203)+(K203)+(L203)+(M203)+(N203)+(O203)+(P203)+(Q203)+(R203)+(S203)+(T203)+(U203))</f>
        <v/>
      </c>
    </row>
    <row r="204">
      <c r="D204" s="422" t="n"/>
      <c r="E204" s="422" t="n"/>
      <c r="F204" s="422" t="n"/>
      <c r="G204" s="422" t="n"/>
      <c r="H204" s="422" t="n"/>
      <c r="I204" s="422" t="n"/>
      <c r="J204" s="422" t="n"/>
      <c r="K204" s="422" t="n"/>
      <c r="L204" s="422" t="n"/>
      <c r="M204" s="422" t="n"/>
      <c r="N204" s="422" t="n"/>
      <c r="O204" s="422" t="n"/>
      <c r="P204" s="422" t="n"/>
      <c r="Q204" s="422" t="n"/>
      <c r="R204" s="422" t="n"/>
      <c r="S204" s="422" t="n"/>
      <c r="T204" s="422" t="n"/>
      <c r="U204" s="422" t="n"/>
      <c r="V204" s="422" t="n"/>
    </row>
    <row r="205">
      <c r="D205" s="422" t="n"/>
      <c r="E205" s="422" t="n"/>
      <c r="F205" s="422" t="n"/>
      <c r="G205" s="422" t="n"/>
      <c r="H205" s="422" t="n"/>
      <c r="I205" s="422" t="n"/>
      <c r="J205" s="422" t="n"/>
      <c r="K205" s="422" t="n"/>
      <c r="L205" s="422" t="n"/>
      <c r="M205" s="422" t="n"/>
      <c r="N205" s="422" t="n"/>
      <c r="O205" s="422" t="n"/>
      <c r="P205" s="422" t="n"/>
      <c r="Q205" s="422" t="n"/>
      <c r="R205" s="422" t="n"/>
      <c r="S205" s="422" t="n"/>
      <c r="T205" s="422" t="n"/>
      <c r="U205" s="422" t="n"/>
      <c r="V205" s="422" t="n"/>
    </row>
    <row r="206">
      <c r="D206" s="386" t="inlineStr">
        <is>
          <t>Year 4</t>
        </is>
      </c>
      <c r="E206" s="386" t="n"/>
      <c r="F206" s="456" t="inlineStr">
        <is>
          <t>37 - 48</t>
        </is>
      </c>
      <c r="G206" s="456" t="n"/>
      <c r="H206" s="456" t="n"/>
      <c r="I206" s="422" t="n"/>
      <c r="J206" s="422" t="n"/>
      <c r="K206" s="422" t="n"/>
      <c r="L206" s="422" t="n"/>
      <c r="M206" s="422" t="n"/>
      <c r="N206" s="422" t="n"/>
      <c r="O206" s="422" t="n"/>
      <c r="P206" s="422" t="n"/>
      <c r="Q206" s="422" t="n"/>
      <c r="R206" s="422" t="n"/>
      <c r="S206" s="422" t="n"/>
      <c r="T206" s="422" t="n"/>
      <c r="U206" s="422" t="n"/>
      <c r="V206" s="422" t="n"/>
    </row>
    <row r="207">
      <c r="D207" s="1911" t="inlineStr">
        <is>
          <t xml:space="preserve">Billable Minutes/Month/Active Phone </t>
        </is>
      </c>
      <c r="G207" s="464" t="n"/>
      <c r="H207" s="464" t="n"/>
      <c r="I207" s="482" t="n"/>
      <c r="J207" s="483">
        <f>'3D. Tel. - Revenue Drivers - 2'!L24</f>
        <v/>
      </c>
      <c r="K207" s="483">
        <f>($J$207)</f>
        <v/>
      </c>
      <c r="L207" s="483">
        <f>($J$207)</f>
        <v/>
      </c>
      <c r="M207" s="483">
        <f>($J$207)</f>
        <v/>
      </c>
      <c r="N207" s="483">
        <f>($J$207)</f>
        <v/>
      </c>
      <c r="O207" s="483">
        <f>($J$207)</f>
        <v/>
      </c>
      <c r="P207" s="483">
        <f>($J$207)</f>
        <v/>
      </c>
      <c r="Q207" s="483">
        <f>($J$207)</f>
        <v/>
      </c>
      <c r="R207" s="483">
        <f>($J$207)</f>
        <v/>
      </c>
      <c r="S207" s="483">
        <f>($J$207)</f>
        <v/>
      </c>
      <c r="T207" s="483">
        <f>($J$207)</f>
        <v/>
      </c>
      <c r="U207" s="483">
        <f>($J$207)</f>
        <v/>
      </c>
      <c r="V207" s="422" t="n"/>
    </row>
    <row r="208">
      <c r="D208" s="1906" t="inlineStr">
        <is>
          <t>Average Number of Phones in Use</t>
        </is>
      </c>
      <c r="G208" s="383" t="n"/>
      <c r="H208" s="383" t="n"/>
      <c r="I208" s="422" t="n"/>
      <c r="J208" s="446">
        <f>(J133)</f>
        <v/>
      </c>
      <c r="K208" s="446">
        <f>(K133)</f>
        <v/>
      </c>
      <c r="L208" s="446">
        <f>(L133)</f>
        <v/>
      </c>
      <c r="M208" s="446">
        <f>(M133)</f>
        <v/>
      </c>
      <c r="N208" s="446">
        <f>(N133)</f>
        <v/>
      </c>
      <c r="O208" s="446">
        <f>(O133)</f>
        <v/>
      </c>
      <c r="P208" s="446">
        <f>(P133)</f>
        <v/>
      </c>
      <c r="Q208" s="446">
        <f>(Q133)</f>
        <v/>
      </c>
      <c r="R208" s="446">
        <f>(R133)</f>
        <v/>
      </c>
      <c r="S208" s="446">
        <f>(S133)</f>
        <v/>
      </c>
      <c r="T208" s="446">
        <f>(T133)</f>
        <v/>
      </c>
      <c r="U208" s="446">
        <f>(U133)</f>
        <v/>
      </c>
      <c r="V208" s="422" t="n"/>
    </row>
    <row r="209">
      <c r="B209" s="930" t="n"/>
      <c r="C209" s="626" t="n"/>
      <c r="D209" s="1882" t="inlineStr">
        <is>
          <t>Billable Hours, All Active Phones</t>
        </is>
      </c>
      <c r="G209" s="383" t="n"/>
      <c r="H209" s="383" t="n"/>
      <c r="I209" s="422" t="n"/>
      <c r="J209" s="447">
        <f>(((J207)*(J208))/(60))</f>
        <v/>
      </c>
      <c r="K209" s="447">
        <f>(((K207)*(K208))/(60))</f>
        <v/>
      </c>
      <c r="L209" s="447">
        <f>(((L207)*(L208))/(60))</f>
        <v/>
      </c>
      <c r="M209" s="447">
        <f>(((M207)*(M208))/(60))</f>
        <v/>
      </c>
      <c r="N209" s="447">
        <f>(((N207)*(N208))/(60))</f>
        <v/>
      </c>
      <c r="O209" s="447">
        <f>(((O207)*(O208))/(60))</f>
        <v/>
      </c>
      <c r="P209" s="447">
        <f>(((P207)*(P208))/(60))</f>
        <v/>
      </c>
      <c r="Q209" s="447">
        <f>(((Q207)*(Q208))/(60))</f>
        <v/>
      </c>
      <c r="R209" s="447">
        <f>(((R207)*(R208))/(60))</f>
        <v/>
      </c>
      <c r="S209" s="447">
        <f>(((S207)*(S208))/(60))</f>
        <v/>
      </c>
      <c r="T209" s="447">
        <f>(((T207)*(T208))/(60))</f>
        <v/>
      </c>
      <c r="U209" s="447">
        <f>(((U207)*(U208))/(60))</f>
        <v/>
      </c>
      <c r="V209" s="452">
        <f>((J209)+(K209)+(L209)+(M209)+(N209)+(O209)+(P209)+(Q209)+(R209)+(S209)+(T209)+(U209))</f>
        <v/>
      </c>
    </row>
    <row r="210">
      <c r="B210" s="930" t="n"/>
      <c r="C210" s="626" t="n"/>
      <c r="D210" s="422" t="n"/>
      <c r="E210" s="422" t="n"/>
      <c r="F210" s="422" t="n"/>
      <c r="G210" s="422" t="n"/>
      <c r="H210" s="422" t="n"/>
      <c r="I210" s="422" t="n"/>
      <c r="J210" s="422" t="n"/>
      <c r="K210" s="422" t="n"/>
      <c r="L210" s="422" t="n"/>
      <c r="M210" s="422" t="n"/>
      <c r="N210" s="422" t="n"/>
      <c r="O210" s="422" t="n"/>
      <c r="P210" s="422" t="n"/>
      <c r="Q210" s="422" t="n"/>
      <c r="R210" s="422" t="n"/>
      <c r="S210" s="422" t="n"/>
      <c r="T210" s="422" t="n"/>
      <c r="U210" s="422" t="n"/>
      <c r="V210" s="422" t="n"/>
    </row>
    <row r="211">
      <c r="B211" s="930" t="n"/>
      <c r="C211" s="626" t="n"/>
      <c r="D211" s="422" t="n"/>
      <c r="E211" s="422" t="n"/>
      <c r="F211" s="422" t="n"/>
      <c r="G211" s="422" t="n"/>
      <c r="H211" s="422" t="n"/>
      <c r="I211" s="422" t="n"/>
      <c r="J211" s="422" t="n"/>
      <c r="K211" s="422" t="n"/>
      <c r="L211" s="422" t="n"/>
      <c r="M211" s="422" t="n"/>
      <c r="N211" s="422" t="n"/>
      <c r="O211" s="422" t="n"/>
      <c r="P211" s="422" t="n"/>
      <c r="Q211" s="422" t="n"/>
      <c r="R211" s="422" t="n"/>
      <c r="S211" s="422" t="n"/>
      <c r="T211" s="422" t="n"/>
      <c r="U211" s="422" t="n"/>
      <c r="V211" s="422" t="n"/>
    </row>
    <row r="212">
      <c r="B212" s="930" t="n"/>
      <c r="C212" s="626" t="n"/>
      <c r="D212" s="386" t="inlineStr">
        <is>
          <t>Year 5</t>
        </is>
      </c>
      <c r="E212" s="386" t="n"/>
      <c r="F212" s="456" t="inlineStr">
        <is>
          <t>49 - 60</t>
        </is>
      </c>
      <c r="G212" s="456" t="n"/>
      <c r="H212" s="456" t="n"/>
      <c r="I212" s="422" t="n"/>
      <c r="J212" s="422" t="n"/>
      <c r="K212" s="422" t="n"/>
      <c r="L212" s="422" t="n"/>
      <c r="M212" s="422" t="n"/>
      <c r="N212" s="422" t="n"/>
      <c r="O212" s="422" t="n"/>
      <c r="P212" s="422" t="n"/>
      <c r="Q212" s="422" t="n"/>
      <c r="R212" s="422" t="n"/>
      <c r="S212" s="422" t="n"/>
      <c r="T212" s="422" t="n"/>
      <c r="U212" s="422" t="n"/>
      <c r="V212" s="422" t="n"/>
    </row>
    <row r="213">
      <c r="B213" s="930" t="n"/>
      <c r="C213" s="626" t="n"/>
      <c r="D213" s="1911" t="inlineStr">
        <is>
          <t xml:space="preserve">Billable Minutes/Month/Active Phone </t>
        </is>
      </c>
      <c r="G213" s="464" t="n"/>
      <c r="H213" s="464" t="n"/>
      <c r="I213" s="482" t="n"/>
      <c r="J213" s="483">
        <f>'3D. Tel. - Revenue Drivers - 2'!L25</f>
        <v/>
      </c>
      <c r="K213" s="483">
        <f>($J$213)</f>
        <v/>
      </c>
      <c r="L213" s="483">
        <f>($J$213)</f>
        <v/>
      </c>
      <c r="M213" s="483">
        <f>($J$213)</f>
        <v/>
      </c>
      <c r="N213" s="483">
        <f>($J$213)</f>
        <v/>
      </c>
      <c r="O213" s="483">
        <f>($J$213)</f>
        <v/>
      </c>
      <c r="P213" s="483">
        <f>($J$213)</f>
        <v/>
      </c>
      <c r="Q213" s="483">
        <f>($J$213)</f>
        <v/>
      </c>
      <c r="R213" s="483">
        <f>($J$213)</f>
        <v/>
      </c>
      <c r="S213" s="483">
        <f>($J$213)</f>
        <v/>
      </c>
      <c r="T213" s="483">
        <f>($J$213)</f>
        <v/>
      </c>
      <c r="U213" s="483">
        <f>($J$213)</f>
        <v/>
      </c>
      <c r="V213" s="422" t="n"/>
    </row>
    <row r="214">
      <c r="B214" s="930" t="n"/>
      <c r="C214" s="626" t="n"/>
      <c r="D214" s="1906" t="inlineStr">
        <is>
          <t>Average Number of Phones in Use</t>
        </is>
      </c>
      <c r="G214" s="383" t="n"/>
      <c r="H214" s="383" t="n"/>
      <c r="I214" s="422" t="n"/>
      <c r="J214" s="446">
        <f>(J151)</f>
        <v/>
      </c>
      <c r="K214" s="446">
        <f>(K151)</f>
        <v/>
      </c>
      <c r="L214" s="446">
        <f>(L151)</f>
        <v/>
      </c>
      <c r="M214" s="446">
        <f>(M151)</f>
        <v/>
      </c>
      <c r="N214" s="446">
        <f>(N151)</f>
        <v/>
      </c>
      <c r="O214" s="446">
        <f>(O151)</f>
        <v/>
      </c>
      <c r="P214" s="446">
        <f>(P151)</f>
        <v/>
      </c>
      <c r="Q214" s="446">
        <f>(Q151)</f>
        <v/>
      </c>
      <c r="R214" s="446">
        <f>(R151)</f>
        <v/>
      </c>
      <c r="S214" s="446">
        <f>(S151)</f>
        <v/>
      </c>
      <c r="T214" s="446">
        <f>(T151)</f>
        <v/>
      </c>
      <c r="U214" s="446">
        <f>(U151)</f>
        <v/>
      </c>
      <c r="V214" s="422" t="n"/>
    </row>
    <row r="215">
      <c r="B215" s="930" t="n"/>
      <c r="C215" s="626" t="n"/>
      <c r="D215" s="1882" t="inlineStr">
        <is>
          <t>Billable Hours, All Active Phones</t>
        </is>
      </c>
      <c r="G215" s="383" t="n"/>
      <c r="H215" s="383" t="n"/>
      <c r="I215" s="422" t="n"/>
      <c r="J215" s="447">
        <f>(((J213)*(J214))/(60))</f>
        <v/>
      </c>
      <c r="K215" s="447">
        <f>(((K213)*(K214))/(60))</f>
        <v/>
      </c>
      <c r="L215" s="447">
        <f>(((L213)*(L214))/(60))</f>
        <v/>
      </c>
      <c r="M215" s="447">
        <f>(((M213)*(M214))/(60))</f>
        <v/>
      </c>
      <c r="N215" s="447">
        <f>(((N213)*(N214))/(60))</f>
        <v/>
      </c>
      <c r="O215" s="447">
        <f>(((O213)*(O214))/(60))</f>
        <v/>
      </c>
      <c r="P215" s="447">
        <f>(((P213)*(P214))/(60))</f>
        <v/>
      </c>
      <c r="Q215" s="447">
        <f>(((Q213)*(Q214))/(60))</f>
        <v/>
      </c>
      <c r="R215" s="447">
        <f>(((R213)*(R214))/(60))</f>
        <v/>
      </c>
      <c r="S215" s="447">
        <f>(((S213)*(S214))/(60))</f>
        <v/>
      </c>
      <c r="T215" s="447">
        <f>(((T213)*(T214))/(60))</f>
        <v/>
      </c>
      <c r="U215" s="447">
        <f>(((U213)*(U214))/(60))</f>
        <v/>
      </c>
      <c r="V215" s="452">
        <f>((J215)+(K215)+(L215)+(M215)+(N215)+(O215)+(P215)+(Q215)+(R215)+(S215)+(T215)+(U215))</f>
        <v/>
      </c>
    </row>
    <row r="216">
      <c r="B216" s="930" t="n"/>
      <c r="C216" s="626" t="n"/>
      <c r="D216" s="422" t="n"/>
      <c r="E216" s="422" t="n"/>
      <c r="F216" s="422" t="n"/>
      <c r="G216" s="422" t="n"/>
      <c r="H216" s="422" t="n"/>
      <c r="I216" s="422" t="n"/>
      <c r="J216" s="422" t="n"/>
      <c r="K216" s="422" t="n"/>
      <c r="L216" s="422" t="n"/>
      <c r="M216" s="422" t="n"/>
      <c r="N216" s="422" t="n"/>
      <c r="O216" s="422" t="n"/>
      <c r="P216" s="422" t="n"/>
      <c r="Q216" s="422" t="n"/>
      <c r="R216" s="422" t="n"/>
      <c r="S216" s="422" t="n"/>
      <c r="T216" s="422" t="n"/>
      <c r="U216" s="422" t="n"/>
      <c r="V216" s="422" t="n"/>
    </row>
    <row r="217">
      <c r="B217" s="930" t="n"/>
      <c r="C217" s="626" t="n"/>
      <c r="D217" s="422" t="n"/>
      <c r="E217" s="422" t="n"/>
      <c r="F217" s="422" t="n"/>
      <c r="G217" s="422" t="n"/>
      <c r="H217" s="422" t="n"/>
      <c r="I217" s="422" t="n"/>
      <c r="J217" s="422" t="n"/>
      <c r="K217" s="422" t="n"/>
      <c r="L217" s="422" t="n"/>
      <c r="M217" s="422" t="n"/>
      <c r="N217" s="422" t="n"/>
      <c r="O217" s="422" t="n"/>
      <c r="P217" s="422" t="n"/>
      <c r="Q217" s="422" t="n"/>
      <c r="R217" s="422" t="n"/>
      <c r="S217" s="422" t="n"/>
      <c r="T217" s="422" t="n"/>
      <c r="U217" s="422" t="n"/>
      <c r="V217" s="422" t="n"/>
    </row>
    <row r="218">
      <c r="B218" s="930" t="n"/>
      <c r="C218" s="626" t="n"/>
      <c r="D218" s="422" t="n"/>
      <c r="E218" s="422" t="n"/>
      <c r="F218" s="422" t="n"/>
      <c r="G218" s="422" t="n"/>
      <c r="H218" s="422" t="n"/>
      <c r="I218" s="422" t="n"/>
      <c r="J218" s="422" t="n"/>
      <c r="K218" s="422" t="n"/>
      <c r="L218" s="422" t="n"/>
      <c r="M218" s="422" t="n"/>
      <c r="N218" s="422" t="n"/>
      <c r="O218" s="422" t="n"/>
      <c r="P218" s="422" t="n"/>
      <c r="Q218" s="422" t="n"/>
      <c r="R218" s="422" t="n"/>
      <c r="S218" s="422" t="n"/>
      <c r="T218" s="422" t="n"/>
      <c r="U218" s="422" t="n"/>
      <c r="V218" s="422" t="n"/>
    </row>
    <row r="219">
      <c r="B219" s="930" t="n"/>
      <c r="C219" s="626" t="n"/>
      <c r="D219" s="422" t="n"/>
      <c r="E219" s="422" t="n"/>
      <c r="F219" s="422" t="n"/>
      <c r="G219" s="422" t="n"/>
      <c r="H219" s="422" t="n"/>
      <c r="I219" s="422" t="n"/>
      <c r="J219" s="422" t="n"/>
      <c r="K219" s="422" t="n"/>
      <c r="L219" s="422" t="n"/>
      <c r="M219" s="422" t="n"/>
      <c r="N219" s="422" t="n"/>
      <c r="O219" s="422" t="n"/>
      <c r="P219" s="422" t="n"/>
      <c r="Q219" s="422" t="n"/>
      <c r="R219" s="422" t="n"/>
      <c r="S219" s="422" t="n"/>
      <c r="T219" s="422" t="n"/>
      <c r="U219" s="422" t="n"/>
      <c r="V219" s="422" t="n"/>
    </row>
    <row r="220">
      <c r="B220" s="930" t="n"/>
      <c r="C220" s="626" t="n"/>
      <c r="D220" s="422" t="n"/>
      <c r="E220" s="422" t="n"/>
      <c r="F220" s="422" t="n"/>
      <c r="G220" s="422" t="n"/>
      <c r="H220" s="422" t="n"/>
      <c r="I220" s="422" t="n"/>
      <c r="J220" s="422" t="n"/>
      <c r="K220" s="422" t="n"/>
      <c r="L220" s="422" t="n"/>
      <c r="M220" s="422" t="n"/>
      <c r="N220" s="422" t="n"/>
      <c r="O220" s="422" t="n"/>
      <c r="P220" s="422" t="n"/>
      <c r="Q220" s="422" t="n"/>
      <c r="R220" s="422" t="n"/>
      <c r="S220" s="422" t="n"/>
      <c r="T220" s="422" t="n"/>
      <c r="U220" s="422" t="n"/>
      <c r="V220" s="422" t="n"/>
    </row>
    <row r="221">
      <c r="B221" s="467" t="inlineStr">
        <is>
          <t>VI.</t>
        </is>
      </c>
      <c r="C221" s="626" t="n"/>
      <c r="D221" s="649" t="inlineStr">
        <is>
          <t xml:space="preserve">Billable Hour Conversion </t>
        </is>
      </c>
      <c r="E221" s="1906" t="n"/>
      <c r="F221" s="422" t="n"/>
      <c r="G221" s="422" t="n"/>
      <c r="H221" s="422" t="n"/>
      <c r="I221" s="422" t="n"/>
      <c r="J221" s="1904" t="inlineStr">
        <is>
          <t>Fiscal Years 1 - 6</t>
        </is>
      </c>
    </row>
    <row r="222" ht="3" customHeight="1" s="1883">
      <c r="B222" s="929" t="n"/>
      <c r="C222" s="926" t="n"/>
      <c r="D222" s="945" t="n"/>
      <c r="E222" s="945" t="n"/>
      <c r="F222" s="945" t="n"/>
      <c r="G222" s="1906" t="n"/>
      <c r="H222" s="1906" t="n"/>
      <c r="I222" s="422" t="n"/>
      <c r="J222" s="933" t="n"/>
      <c r="K222" s="933" t="n"/>
      <c r="L222" s="933" t="n"/>
      <c r="M222" s="933" t="n"/>
      <c r="N222" s="933" t="n"/>
      <c r="O222" s="933" t="n"/>
      <c r="P222" s="933" t="n"/>
      <c r="Q222" s="933" t="n"/>
      <c r="R222" s="933" t="n"/>
      <c r="S222" s="933" t="n"/>
      <c r="T222" s="933" t="n"/>
      <c r="U222" s="933" t="n"/>
      <c r="V222" s="933" t="n"/>
    </row>
    <row r="223" ht="3" customHeight="1" s="1883">
      <c r="B223" s="930" t="n"/>
      <c r="C223" s="626" t="n"/>
      <c r="D223" s="422" t="n"/>
      <c r="E223" s="422" t="n"/>
      <c r="F223" s="422" t="n"/>
      <c r="G223" s="422" t="n"/>
      <c r="H223" s="422" t="n"/>
      <c r="I223" s="422" t="n"/>
      <c r="J223" s="932" t="n"/>
      <c r="K223" s="932" t="n"/>
      <c r="L223" s="932" t="n"/>
      <c r="M223" s="932" t="n"/>
      <c r="N223" s="932" t="n"/>
      <c r="O223" s="932" t="n"/>
      <c r="P223" s="932" t="n"/>
      <c r="Q223" s="932" t="n"/>
      <c r="R223" s="932" t="n"/>
      <c r="S223" s="932" t="n"/>
      <c r="T223" s="932" t="n"/>
      <c r="U223" s="932" t="n"/>
      <c r="V223" s="932" t="n"/>
    </row>
    <row r="224">
      <c r="B224" s="930" t="n"/>
      <c r="C224" s="626" t="n"/>
      <c r="D224" s="386" t="inlineStr">
        <is>
          <t>Year</t>
        </is>
      </c>
      <c r="E224" s="386" t="n"/>
      <c r="F224" s="386" t="inlineStr">
        <is>
          <t>Months</t>
        </is>
      </c>
      <c r="G224" s="386" t="n"/>
      <c r="H224" s="386" t="n"/>
      <c r="I224" s="422" t="n"/>
      <c r="J224" s="138" t="inlineStr">
        <is>
          <t>Month 1</t>
        </is>
      </c>
      <c r="K224" s="138" t="inlineStr">
        <is>
          <t>Month 2</t>
        </is>
      </c>
      <c r="L224" s="138" t="inlineStr">
        <is>
          <t>Month 3</t>
        </is>
      </c>
      <c r="M224" s="138" t="inlineStr">
        <is>
          <t>Month 4</t>
        </is>
      </c>
      <c r="N224" s="138" t="inlineStr">
        <is>
          <t>Month 5</t>
        </is>
      </c>
      <c r="O224" s="138" t="inlineStr">
        <is>
          <t>Month 6</t>
        </is>
      </c>
      <c r="P224" s="138" t="inlineStr">
        <is>
          <t>Month 7</t>
        </is>
      </c>
      <c r="Q224" s="138" t="inlineStr">
        <is>
          <t>Month 8</t>
        </is>
      </c>
      <c r="R224" s="138" t="inlineStr">
        <is>
          <t>Month 9</t>
        </is>
      </c>
      <c r="S224" s="138" t="inlineStr">
        <is>
          <t>Month 10</t>
        </is>
      </c>
      <c r="T224" s="138" t="inlineStr">
        <is>
          <t>Month 11</t>
        </is>
      </c>
      <c r="U224" s="138" t="inlineStr">
        <is>
          <t>Month 12</t>
        </is>
      </c>
      <c r="V224" s="138" t="inlineStr">
        <is>
          <t>Ʃ, Full-Year</t>
        </is>
      </c>
    </row>
    <row r="227">
      <c r="D227" s="386" t="inlineStr">
        <is>
          <t>Year 0</t>
        </is>
      </c>
      <c r="E227" s="386" t="n"/>
      <c r="F227" s="468" t="inlineStr">
        <is>
          <t>-12 - -1</t>
        </is>
      </c>
      <c r="G227" s="468" t="n"/>
      <c r="H227" s="468" t="n"/>
      <c r="I227" s="1906" t="n"/>
      <c r="J227" s="946" t="n"/>
      <c r="K227" s="946" t="n"/>
      <c r="L227" s="946" t="n"/>
      <c r="M227" s="946" t="n"/>
      <c r="N227" s="946" t="n"/>
      <c r="O227" s="946" t="n"/>
      <c r="P227" s="946" t="n"/>
      <c r="Q227" s="946" t="n"/>
      <c r="R227" s="946" t="n"/>
      <c r="S227" s="946" t="n"/>
      <c r="T227" s="946" t="n"/>
      <c r="U227" s="946" t="n"/>
    </row>
    <row r="228">
      <c r="D228" s="422" t="n"/>
      <c r="E228" s="422" t="n"/>
      <c r="F228" s="422" t="n"/>
      <c r="G228" s="422" t="n"/>
      <c r="H228" s="422" t="n"/>
      <c r="I228" s="422" t="n"/>
      <c r="J228" s="478" t="n"/>
      <c r="K228" s="478" t="n"/>
      <c r="L228" s="478" t="n"/>
      <c r="M228" s="478" t="n"/>
      <c r="N228" s="478" t="n"/>
      <c r="O228" s="478" t="n"/>
      <c r="P228" s="478" t="n"/>
      <c r="Q228" s="478" t="n"/>
      <c r="R228" s="478" t="n"/>
      <c r="S228" s="478" t="n"/>
      <c r="T228" s="478" t="n"/>
      <c r="U228" s="478" t="n"/>
    </row>
    <row r="229">
      <c r="D229" s="386" t="inlineStr">
        <is>
          <t>Year 1</t>
        </is>
      </c>
      <c r="E229" s="386" t="n"/>
      <c r="F229" s="469" t="inlineStr">
        <is>
          <t>1 - 12</t>
        </is>
      </c>
      <c r="G229" s="469" t="n"/>
      <c r="H229" s="469" t="n"/>
      <c r="I229" s="422" t="n"/>
      <c r="J229" s="2025" t="n">
        <v>0.88</v>
      </c>
      <c r="K229" s="2025">
        <f>($J$229)</f>
        <v/>
      </c>
      <c r="L229" s="2025">
        <f>($J$229)</f>
        <v/>
      </c>
      <c r="M229" s="2025">
        <f>($J$229)</f>
        <v/>
      </c>
      <c r="N229" s="2025">
        <f>($J$229)</f>
        <v/>
      </c>
      <c r="O229" s="2025">
        <f>($J$229)</f>
        <v/>
      </c>
      <c r="P229" s="2025">
        <f>($J$229)</f>
        <v/>
      </c>
      <c r="Q229" s="2025">
        <f>($J$229)</f>
        <v/>
      </c>
      <c r="R229" s="2025">
        <f>($J$229)</f>
        <v/>
      </c>
      <c r="S229" s="2025">
        <f>($J$229)</f>
        <v/>
      </c>
      <c r="T229" s="2025">
        <f>($J$229)</f>
        <v/>
      </c>
      <c r="U229" s="2025">
        <f>($J$229)</f>
        <v/>
      </c>
    </row>
    <row r="230">
      <c r="D230" s="422" t="n"/>
      <c r="E230" s="422" t="n"/>
      <c r="F230" s="422" t="n"/>
      <c r="G230" s="422" t="n"/>
      <c r="H230" s="422" t="n"/>
      <c r="I230" s="422" t="n"/>
      <c r="J230" s="2025" t="n"/>
      <c r="K230" s="2025" t="n"/>
      <c r="L230" s="2025" t="n"/>
      <c r="M230" s="2025" t="n"/>
      <c r="N230" s="2025" t="n"/>
      <c r="O230" s="2025" t="n"/>
      <c r="P230" s="2025" t="n"/>
      <c r="Q230" s="2025" t="n"/>
      <c r="R230" s="2025" t="n"/>
      <c r="S230" s="2025" t="n"/>
      <c r="T230" s="2025" t="n"/>
      <c r="U230" s="2025" t="n"/>
    </row>
    <row r="231">
      <c r="D231" s="386" t="inlineStr">
        <is>
          <t>Year 2</t>
        </is>
      </c>
      <c r="E231" s="386" t="n"/>
      <c r="F231" s="456" t="inlineStr">
        <is>
          <t>13 - 24</t>
        </is>
      </c>
      <c r="G231" s="456" t="n"/>
      <c r="H231" s="456" t="n"/>
      <c r="I231" s="422" t="n"/>
      <c r="J231" s="2025" t="n">
        <v>0.7</v>
      </c>
      <c r="K231" s="2025">
        <f>($J$231)</f>
        <v/>
      </c>
      <c r="L231" s="2025">
        <f>($J$231)</f>
        <v/>
      </c>
      <c r="M231" s="2025">
        <f>($J$231)</f>
        <v/>
      </c>
      <c r="N231" s="2025">
        <f>($J$231)</f>
        <v/>
      </c>
      <c r="O231" s="2025">
        <f>($J$231)</f>
        <v/>
      </c>
      <c r="P231" s="2025">
        <f>($J$231)</f>
        <v/>
      </c>
      <c r="Q231" s="2025">
        <f>($J$231)</f>
        <v/>
      </c>
      <c r="R231" s="2025">
        <f>($J$231)</f>
        <v/>
      </c>
      <c r="S231" s="2025">
        <f>($J$231)</f>
        <v/>
      </c>
      <c r="T231" s="2025">
        <f>($J$231)</f>
        <v/>
      </c>
      <c r="U231" s="2025">
        <f>($J$231)</f>
        <v/>
      </c>
    </row>
    <row r="232">
      <c r="D232" s="422" t="n"/>
      <c r="E232" s="422" t="n"/>
      <c r="F232" s="422" t="n"/>
      <c r="G232" s="422" t="n"/>
      <c r="H232" s="422" t="n"/>
      <c r="I232" s="422" t="n"/>
      <c r="J232" s="2025" t="n"/>
      <c r="K232" s="2025" t="n"/>
      <c r="L232" s="2025" t="n"/>
      <c r="M232" s="2025" t="n"/>
      <c r="N232" s="2025" t="n"/>
      <c r="O232" s="2025" t="n"/>
      <c r="P232" s="2025" t="n"/>
      <c r="Q232" s="2025" t="n"/>
      <c r="R232" s="2025" t="n"/>
      <c r="S232" s="2025" t="n"/>
      <c r="T232" s="2025" t="n"/>
      <c r="U232" s="2025" t="n"/>
    </row>
    <row r="233">
      <c r="D233" s="386" t="inlineStr">
        <is>
          <t>Year 3</t>
        </is>
      </c>
      <c r="E233" s="386" t="n"/>
      <c r="F233" s="456" t="inlineStr">
        <is>
          <t>25 - 36</t>
        </is>
      </c>
      <c r="G233" s="456" t="n"/>
      <c r="H233" s="456" t="n"/>
      <c r="I233" s="422" t="n"/>
      <c r="J233" s="2025" t="n">
        <v>0.61</v>
      </c>
      <c r="K233" s="2025">
        <f>($J$233)</f>
        <v/>
      </c>
      <c r="L233" s="2025">
        <f>($J$233)</f>
        <v/>
      </c>
      <c r="M233" s="2025">
        <f>($J$233)</f>
        <v/>
      </c>
      <c r="N233" s="2025">
        <f>($J$233)</f>
        <v/>
      </c>
      <c r="O233" s="2025">
        <f>($J$233)</f>
        <v/>
      </c>
      <c r="P233" s="2025">
        <f>($J$233)</f>
        <v/>
      </c>
      <c r="Q233" s="2025">
        <f>($J$233)</f>
        <v/>
      </c>
      <c r="R233" s="2025">
        <f>($J$233)</f>
        <v/>
      </c>
      <c r="S233" s="2025">
        <f>($J$233)</f>
        <v/>
      </c>
      <c r="T233" s="2025">
        <f>($J$233)</f>
        <v/>
      </c>
      <c r="U233" s="2025">
        <f>($J$233)</f>
        <v/>
      </c>
    </row>
    <row r="234">
      <c r="D234" s="422" t="n"/>
      <c r="E234" s="422" t="n"/>
      <c r="F234" s="422" t="n"/>
      <c r="G234" s="422" t="n"/>
      <c r="H234" s="422" t="n"/>
      <c r="I234" s="422" t="n"/>
      <c r="J234" s="2025" t="n"/>
      <c r="K234" s="2025" t="n"/>
      <c r="L234" s="2025" t="n"/>
      <c r="M234" s="2025" t="n"/>
      <c r="N234" s="2025" t="n"/>
      <c r="O234" s="2025" t="n"/>
      <c r="P234" s="2025" t="n"/>
      <c r="Q234" s="2025" t="n"/>
      <c r="R234" s="2025" t="n"/>
      <c r="S234" s="2025" t="n"/>
      <c r="T234" s="2025" t="n"/>
      <c r="U234" s="2025" t="n"/>
    </row>
    <row r="235">
      <c r="D235" s="386" t="inlineStr">
        <is>
          <t>Year 4</t>
        </is>
      </c>
      <c r="E235" s="386" t="n"/>
      <c r="F235" s="456" t="inlineStr">
        <is>
          <t>37 - 48</t>
        </is>
      </c>
      <c r="G235" s="456" t="n"/>
      <c r="H235" s="456" t="n"/>
      <c r="I235" s="422" t="n"/>
      <c r="J235" s="2025" t="n">
        <v>0.556</v>
      </c>
      <c r="K235" s="2025">
        <f>($J$235)</f>
        <v/>
      </c>
      <c r="L235" s="2025">
        <f>($J$235)</f>
        <v/>
      </c>
      <c r="M235" s="2025">
        <f>($J$235)</f>
        <v/>
      </c>
      <c r="N235" s="2025">
        <f>($J$235)</f>
        <v/>
      </c>
      <c r="O235" s="2025">
        <f>($J$235)</f>
        <v/>
      </c>
      <c r="P235" s="2025">
        <f>($J$235)</f>
        <v/>
      </c>
      <c r="Q235" s="2025">
        <f>($J$235)</f>
        <v/>
      </c>
      <c r="R235" s="2025">
        <f>($J$235)</f>
        <v/>
      </c>
      <c r="S235" s="2025">
        <f>($J$235)</f>
        <v/>
      </c>
      <c r="T235" s="2025">
        <f>($J$235)</f>
        <v/>
      </c>
      <c r="U235" s="2025">
        <f>($J$235)</f>
        <v/>
      </c>
    </row>
    <row r="236">
      <c r="D236" s="422" t="n"/>
      <c r="E236" s="422" t="n"/>
      <c r="F236" s="422" t="n"/>
      <c r="G236" s="422" t="n"/>
      <c r="H236" s="422" t="n"/>
      <c r="I236" s="422" t="n"/>
      <c r="J236" s="2025" t="n"/>
      <c r="K236" s="2025" t="n"/>
      <c r="L236" s="2025" t="n"/>
      <c r="M236" s="2025" t="n"/>
      <c r="N236" s="2025" t="n"/>
      <c r="O236" s="2025" t="n"/>
      <c r="P236" s="2025" t="n"/>
      <c r="Q236" s="2025" t="n"/>
      <c r="R236" s="2025" t="n"/>
      <c r="S236" s="2025" t="n"/>
      <c r="T236" s="2025" t="n"/>
      <c r="U236" s="2025" t="n"/>
    </row>
    <row r="237">
      <c r="D237" s="386" t="inlineStr">
        <is>
          <t>Year 5</t>
        </is>
      </c>
      <c r="E237" s="386" t="n"/>
      <c r="F237" s="456" t="inlineStr">
        <is>
          <t>49 - 60</t>
        </is>
      </c>
      <c r="G237" s="456" t="n"/>
      <c r="H237" s="456" t="n"/>
      <c r="I237" s="422" t="n"/>
      <c r="J237" s="2025" t="n">
        <v>0.52</v>
      </c>
      <c r="K237" s="2025">
        <f>($J$237)</f>
        <v/>
      </c>
      <c r="L237" s="2025">
        <f>($J$237)</f>
        <v/>
      </c>
      <c r="M237" s="2025">
        <f>($J$237)</f>
        <v/>
      </c>
      <c r="N237" s="2025">
        <f>($J$237)</f>
        <v/>
      </c>
      <c r="O237" s="2025">
        <f>($J$237)</f>
        <v/>
      </c>
      <c r="P237" s="2025">
        <f>($J$237)</f>
        <v/>
      </c>
      <c r="Q237" s="2025">
        <f>($J$237)</f>
        <v/>
      </c>
      <c r="R237" s="2025">
        <f>($J$237)</f>
        <v/>
      </c>
      <c r="S237" s="2025">
        <f>($J$237)</f>
        <v/>
      </c>
      <c r="T237" s="2025">
        <f>($J$237)</f>
        <v/>
      </c>
      <c r="U237" s="2025">
        <f>($J$237)</f>
        <v/>
      </c>
    </row>
    <row r="244">
      <c r="B244" s="467" t="inlineStr">
        <is>
          <t>VII.</t>
        </is>
      </c>
      <c r="C244" s="626" t="n"/>
      <c r="D244" s="385" t="inlineStr">
        <is>
          <t>Rate Per Hour</t>
        </is>
      </c>
      <c r="E244" s="385" t="n"/>
      <c r="F244" s="422" t="n"/>
      <c r="G244" s="422" t="n"/>
      <c r="H244" s="422" t="n"/>
      <c r="I244" s="422" t="n"/>
      <c r="J244" s="1904" t="inlineStr">
        <is>
          <t>Fiscal Years 1 - 6</t>
        </is>
      </c>
    </row>
    <row r="245" ht="3" customHeight="1" s="1883">
      <c r="B245" s="929" t="n"/>
      <c r="C245" s="926" t="n"/>
      <c r="D245" s="945" t="n"/>
      <c r="E245" s="945" t="n"/>
      <c r="F245" s="945" t="n"/>
      <c r="G245" s="1906" t="n"/>
      <c r="H245" s="1906" t="n"/>
      <c r="I245" s="422" t="n"/>
      <c r="J245" s="933" t="n"/>
      <c r="K245" s="933" t="n"/>
      <c r="L245" s="933" t="n"/>
      <c r="M245" s="933" t="n"/>
      <c r="N245" s="933" t="n"/>
      <c r="O245" s="933" t="n"/>
      <c r="P245" s="933" t="n"/>
      <c r="Q245" s="933" t="n"/>
      <c r="R245" s="933" t="n"/>
      <c r="S245" s="933" t="n"/>
      <c r="T245" s="933" t="n"/>
      <c r="U245" s="933" t="n"/>
      <c r="V245" s="933" t="n"/>
    </row>
    <row r="246" ht="3" customHeight="1" s="1883">
      <c r="B246" s="930" t="n"/>
      <c r="C246" s="626" t="n"/>
      <c r="D246" s="422" t="n"/>
      <c r="E246" s="422" t="n"/>
      <c r="F246" s="422" t="n"/>
      <c r="G246" s="422" t="n"/>
      <c r="H246" s="422" t="n"/>
      <c r="I246" s="422" t="n"/>
      <c r="J246" s="932" t="n"/>
      <c r="K246" s="932" t="n"/>
      <c r="L246" s="932" t="n"/>
      <c r="M246" s="932" t="n"/>
      <c r="N246" s="932" t="n"/>
      <c r="O246" s="932" t="n"/>
      <c r="P246" s="932" t="n"/>
      <c r="Q246" s="932" t="n"/>
      <c r="R246" s="932" t="n"/>
      <c r="S246" s="932" t="n"/>
      <c r="T246" s="932" t="n"/>
      <c r="U246" s="932" t="n"/>
      <c r="V246" s="932" t="n"/>
    </row>
    <row r="247">
      <c r="B247" s="930" t="n"/>
      <c r="C247" s="626" t="n"/>
      <c r="D247" s="386" t="inlineStr">
        <is>
          <t>Year</t>
        </is>
      </c>
      <c r="E247" s="386" t="n"/>
      <c r="F247" s="386" t="inlineStr">
        <is>
          <t>Months</t>
        </is>
      </c>
      <c r="G247" s="386" t="n"/>
      <c r="H247" s="386" t="n"/>
      <c r="I247" s="422" t="n"/>
      <c r="J247" s="138" t="inlineStr">
        <is>
          <t>Month 1</t>
        </is>
      </c>
      <c r="K247" s="138" t="inlineStr">
        <is>
          <t>Month 2</t>
        </is>
      </c>
      <c r="L247" s="138" t="inlineStr">
        <is>
          <t>Month 3</t>
        </is>
      </c>
      <c r="M247" s="138" t="inlineStr">
        <is>
          <t>Month 4</t>
        </is>
      </c>
      <c r="N247" s="138" t="inlineStr">
        <is>
          <t>Month 5</t>
        </is>
      </c>
      <c r="O247" s="138" t="inlineStr">
        <is>
          <t>Month 6</t>
        </is>
      </c>
      <c r="P247" s="138" t="inlineStr">
        <is>
          <t>Month 7</t>
        </is>
      </c>
      <c r="Q247" s="138" t="inlineStr">
        <is>
          <t>Month 8</t>
        </is>
      </c>
      <c r="R247" s="138" t="inlineStr">
        <is>
          <t>Month 9</t>
        </is>
      </c>
      <c r="S247" s="138" t="inlineStr">
        <is>
          <t>Month 10</t>
        </is>
      </c>
      <c r="T247" s="138" t="inlineStr">
        <is>
          <t>Month 11</t>
        </is>
      </c>
      <c r="U247" s="138" t="inlineStr">
        <is>
          <t>Month 12</t>
        </is>
      </c>
      <c r="V247" s="138" t="inlineStr">
        <is>
          <t>Ʃ, Full-Year</t>
        </is>
      </c>
    </row>
    <row r="248" ht="3" customHeight="1" s="1883">
      <c r="B248" s="930" t="n"/>
      <c r="C248" s="626" t="n"/>
      <c r="D248" s="945" t="n"/>
      <c r="E248" s="422" t="n"/>
      <c r="F248" s="945" t="n"/>
      <c r="G248" s="1906" t="n"/>
      <c r="H248" s="1906" t="n"/>
      <c r="I248" s="422" t="n"/>
      <c r="J248" s="933" t="n"/>
      <c r="K248" s="933" t="n"/>
      <c r="L248" s="933" t="n"/>
      <c r="M248" s="933" t="n"/>
      <c r="N248" s="933" t="n"/>
      <c r="O248" s="933" t="n"/>
      <c r="P248" s="933" t="n"/>
      <c r="Q248" s="933" t="n"/>
      <c r="R248" s="933" t="n"/>
      <c r="S248" s="933" t="n"/>
      <c r="T248" s="933" t="n"/>
      <c r="U248" s="933" t="n"/>
      <c r="V248" s="933" t="n"/>
    </row>
    <row r="249" ht="3" customHeight="1" s="1883">
      <c r="B249" s="930" t="n"/>
      <c r="C249" s="626" t="n"/>
      <c r="D249" s="422" t="n"/>
      <c r="E249" s="422" t="n"/>
      <c r="F249" s="422" t="n"/>
      <c r="G249" s="422" t="n"/>
      <c r="H249" s="422" t="n"/>
      <c r="I249" s="422" t="n"/>
      <c r="J249" s="934" t="n"/>
      <c r="K249" s="934" t="n"/>
      <c r="L249" s="934" t="n"/>
      <c r="M249" s="934" t="n"/>
      <c r="N249" s="934" t="n"/>
      <c r="O249" s="934" t="n"/>
      <c r="P249" s="934" t="n"/>
      <c r="Q249" s="934" t="n"/>
      <c r="R249" s="934" t="n"/>
      <c r="S249" s="934" t="n"/>
      <c r="T249" s="934" t="n"/>
      <c r="U249" s="934" t="n"/>
      <c r="V249" s="934" t="n"/>
    </row>
    <row r="250">
      <c r="B250" s="930" t="n"/>
      <c r="C250" s="626" t="n"/>
      <c r="D250" s="386" t="inlineStr">
        <is>
          <t>Year 0</t>
        </is>
      </c>
      <c r="E250" s="386" t="n"/>
      <c r="F250" s="468" t="inlineStr">
        <is>
          <t>-12 - -1</t>
        </is>
      </c>
      <c r="G250" s="468" t="n"/>
      <c r="H250" s="468" t="n"/>
      <c r="I250" s="1906" t="n"/>
      <c r="J250" s="944" t="n"/>
      <c r="K250" s="944" t="n"/>
      <c r="L250" s="944" t="n"/>
      <c r="M250" s="944" t="n"/>
      <c r="N250" s="944" t="n"/>
      <c r="O250" s="944" t="n"/>
      <c r="P250" s="944" t="n"/>
      <c r="Q250" s="944" t="n"/>
      <c r="R250" s="944" t="n"/>
      <c r="S250" s="944" t="n"/>
      <c r="T250" s="944" t="n"/>
      <c r="U250" s="944" t="n"/>
      <c r="V250" s="944" t="n"/>
    </row>
    <row r="251">
      <c r="B251" s="930" t="n"/>
      <c r="C251" s="626" t="n"/>
      <c r="D251" s="422" t="n"/>
      <c r="E251" s="422" t="n"/>
      <c r="F251" s="422" t="n"/>
      <c r="G251" s="422" t="n"/>
      <c r="H251" s="422" t="n"/>
      <c r="I251" s="422" t="n"/>
      <c r="J251" s="422" t="n"/>
      <c r="K251" s="422" t="n"/>
      <c r="L251" s="422" t="n"/>
      <c r="M251" s="422" t="n"/>
      <c r="N251" s="422" t="n"/>
      <c r="O251" s="422" t="n"/>
      <c r="P251" s="422" t="n"/>
      <c r="Q251" s="422" t="n"/>
      <c r="R251" s="422" t="n"/>
      <c r="S251" s="422" t="n"/>
      <c r="T251" s="422" t="n"/>
      <c r="U251" s="422" t="n"/>
      <c r="V251" s="422" t="n"/>
    </row>
    <row r="252">
      <c r="B252" s="930" t="n"/>
      <c r="C252" s="626" t="n"/>
      <c r="D252" s="422" t="n"/>
      <c r="E252" s="422" t="n"/>
      <c r="F252" s="422" t="n"/>
      <c r="G252" s="422" t="n"/>
      <c r="H252" s="422" t="n"/>
      <c r="I252" s="422" t="n"/>
      <c r="J252" s="422" t="n"/>
      <c r="K252" s="422" t="n"/>
      <c r="L252" s="422" t="n"/>
      <c r="M252" s="422" t="n"/>
      <c r="N252" s="422" t="n"/>
      <c r="O252" s="422" t="n"/>
      <c r="P252" s="422" t="n"/>
      <c r="Q252" s="422" t="n"/>
      <c r="R252" s="422" t="n"/>
      <c r="S252" s="422" t="n"/>
      <c r="T252" s="422" t="n"/>
      <c r="U252" s="422" t="n"/>
      <c r="V252" s="422" t="n"/>
    </row>
    <row r="253">
      <c r="B253" s="930" t="n"/>
      <c r="C253" s="626" t="n"/>
      <c r="D253" s="386" t="inlineStr">
        <is>
          <t>Year 1</t>
        </is>
      </c>
      <c r="E253" s="386" t="n"/>
      <c r="F253" s="469" t="inlineStr">
        <is>
          <t>1 - 12</t>
        </is>
      </c>
      <c r="G253" s="469" t="n"/>
      <c r="H253" s="469" t="n"/>
      <c r="I253" s="422" t="n"/>
      <c r="J253" s="422" t="n"/>
      <c r="K253" s="422" t="n"/>
      <c r="L253" s="422" t="n"/>
      <c r="M253" s="422" t="n"/>
      <c r="N253" s="422" t="n"/>
      <c r="O253" s="422" t="n"/>
      <c r="P253" s="422" t="n"/>
      <c r="Q253" s="422" t="n"/>
      <c r="R253" s="422" t="n"/>
      <c r="S253" s="422" t="n"/>
      <c r="T253" s="422" t="n"/>
      <c r="U253" s="422" t="n"/>
      <c r="V253" s="422" t="n"/>
    </row>
    <row r="254">
      <c r="B254" s="930" t="n"/>
      <c r="C254" s="626" t="n"/>
      <c r="D254" s="1906" t="inlineStr">
        <is>
          <t>Standard Rate Per Phone Per Month (1 HR)</t>
        </is>
      </c>
      <c r="G254" s="383" t="n"/>
      <c r="H254" s="383" t="n"/>
      <c r="I254" s="422" t="n"/>
      <c r="J254" s="2026">
        <f>'3D. Tel. - Revenue Drivers - 2'!N21</f>
        <v/>
      </c>
      <c r="K254" s="2026">
        <f>($J$254)</f>
        <v/>
      </c>
      <c r="L254" s="2026">
        <f>($J$254)</f>
        <v/>
      </c>
      <c r="M254" s="2026">
        <f>($J$254)</f>
        <v/>
      </c>
      <c r="N254" s="2026">
        <f>($J$254)</f>
        <v/>
      </c>
      <c r="O254" s="2026">
        <f>($J$254)</f>
        <v/>
      </c>
      <c r="P254" s="2026">
        <f>($J$254)</f>
        <v/>
      </c>
      <c r="Q254" s="2026">
        <f>($J$254)</f>
        <v/>
      </c>
      <c r="R254" s="2026">
        <f>($J$254)</f>
        <v/>
      </c>
      <c r="S254" s="2026">
        <f>($J$254)</f>
        <v/>
      </c>
      <c r="T254" s="2026">
        <f>($J$254)</f>
        <v/>
      </c>
      <c r="U254" s="2026">
        <f>($J$254)</f>
        <v/>
      </c>
      <c r="V254" s="2027" t="n"/>
    </row>
    <row r="255">
      <c r="B255" s="930" t="n"/>
      <c r="C255" s="626" t="n"/>
      <c r="D255" s="1906" t="inlineStr">
        <is>
          <t>Discount</t>
        </is>
      </c>
      <c r="G255" s="383" t="n"/>
      <c r="H255" s="383" t="n"/>
      <c r="I255" s="422" t="n"/>
      <c r="J255" s="470">
        <f>($J$261)</f>
        <v/>
      </c>
      <c r="K255" s="470">
        <f>($J$261)</f>
        <v/>
      </c>
      <c r="L255" s="470">
        <f>($J$261)</f>
        <v/>
      </c>
      <c r="M255" s="470">
        <f>($J$261)</f>
        <v/>
      </c>
      <c r="N255" s="470">
        <f>($J$261)</f>
        <v/>
      </c>
      <c r="O255" s="470">
        <f>($J$261)</f>
        <v/>
      </c>
      <c r="P255" s="470">
        <f>($J$261)</f>
        <v/>
      </c>
      <c r="Q255" s="470">
        <f>($J$261)</f>
        <v/>
      </c>
      <c r="R255" s="470">
        <f>($J$261)</f>
        <v/>
      </c>
      <c r="S255" s="470">
        <f>($J$261)</f>
        <v/>
      </c>
      <c r="T255" s="470">
        <f>($J$261)</f>
        <v/>
      </c>
      <c r="U255" s="470">
        <f>($J$261)</f>
        <v/>
      </c>
      <c r="V255" s="422" t="n"/>
    </row>
    <row r="256">
      <c r="B256" s="930" t="n"/>
      <c r="C256" s="626" t="n"/>
      <c r="D256" s="1882" t="inlineStr">
        <is>
          <t>Rate Per Hour, Net (Realization)</t>
        </is>
      </c>
      <c r="G256" s="383" t="n"/>
      <c r="H256" s="383" t="n"/>
      <c r="I256" s="422" t="n"/>
      <c r="J256" s="2022">
        <f>(((1)-(J255))*(J254))</f>
        <v/>
      </c>
      <c r="K256" s="2022">
        <f>(((1)-(K255))*(K254))</f>
        <v/>
      </c>
      <c r="L256" s="2022">
        <f>(((1)-(L255))*(L254))</f>
        <v/>
      </c>
      <c r="M256" s="2022">
        <f>(((1)-(M255))*(M254))</f>
        <v/>
      </c>
      <c r="N256" s="2022">
        <f>(((1)-(N255))*(N254))</f>
        <v/>
      </c>
      <c r="O256" s="2022">
        <f>(((1)-(O255))*(O254))</f>
        <v/>
      </c>
      <c r="P256" s="2022">
        <f>(((1)-(P255))*(P254))</f>
        <v/>
      </c>
      <c r="Q256" s="2022">
        <f>(((1)-(Q255))*(Q254))</f>
        <v/>
      </c>
      <c r="R256" s="2022">
        <f>(((1)-(R255))*(R254))</f>
        <v/>
      </c>
      <c r="S256" s="2022">
        <f>(((1)-(S255))*(S254))</f>
        <v/>
      </c>
      <c r="T256" s="2022">
        <f>(((1)-(T255))*(T254))</f>
        <v/>
      </c>
      <c r="U256" s="2022">
        <f>(((1)-(U255))*(U254))</f>
        <v/>
      </c>
      <c r="V256" s="2027">
        <f>SUM(J256:U256)</f>
        <v/>
      </c>
    </row>
    <row r="259">
      <c r="D259" s="422" t="inlineStr">
        <is>
          <t>Year 2</t>
        </is>
      </c>
      <c r="E259" s="422" t="n"/>
      <c r="F259" s="480" t="inlineStr">
        <is>
          <t>13 - 24</t>
        </is>
      </c>
      <c r="G259" s="480" t="n"/>
      <c r="H259" s="480" t="n"/>
      <c r="I259" s="422" t="n"/>
      <c r="J259" s="422" t="n"/>
      <c r="K259" s="422" t="n"/>
      <c r="L259" s="422" t="n"/>
      <c r="M259" s="422" t="n"/>
      <c r="N259" s="422" t="n"/>
      <c r="O259" s="422" t="n"/>
      <c r="P259" s="422" t="n"/>
      <c r="Q259" s="422" t="n"/>
      <c r="R259" s="422" t="n"/>
      <c r="S259" s="422" t="n"/>
      <c r="T259" s="422" t="n"/>
      <c r="U259" s="422" t="n"/>
      <c r="V259" s="422" t="n"/>
    </row>
    <row r="260">
      <c r="D260" s="1914" t="inlineStr">
        <is>
          <t>Standard Rate Per Phone Per Month (1.25 HR)</t>
        </is>
      </c>
      <c r="G260" s="383" t="n"/>
      <c r="H260" s="383" t="n"/>
      <c r="I260" s="422" t="n"/>
      <c r="J260" s="2026">
        <f>'3D. Tel. - Revenue Drivers - 2'!N22</f>
        <v/>
      </c>
      <c r="K260" s="2026">
        <f>($J$260)</f>
        <v/>
      </c>
      <c r="L260" s="2026">
        <f>($J$260)</f>
        <v/>
      </c>
      <c r="M260" s="2026">
        <f>($J$260)</f>
        <v/>
      </c>
      <c r="N260" s="2026">
        <f>($J$260)</f>
        <v/>
      </c>
      <c r="O260" s="2026">
        <f>($J$260)</f>
        <v/>
      </c>
      <c r="P260" s="2026">
        <f>($J$260)</f>
        <v/>
      </c>
      <c r="Q260" s="2026">
        <f>($J$260)</f>
        <v/>
      </c>
      <c r="R260" s="2026">
        <f>($J$260)</f>
        <v/>
      </c>
      <c r="S260" s="2026">
        <f>($J$260)</f>
        <v/>
      </c>
      <c r="T260" s="2026">
        <f>($J$260)</f>
        <v/>
      </c>
      <c r="U260" s="2026">
        <f>($J$260)</f>
        <v/>
      </c>
      <c r="V260" s="422" t="n"/>
    </row>
    <row r="261">
      <c r="D261" s="1906" t="inlineStr">
        <is>
          <t>Discount</t>
        </is>
      </c>
      <c r="G261" s="383" t="n"/>
      <c r="H261" s="383" t="n"/>
      <c r="I261" s="422" t="n"/>
      <c r="J261" s="470" t="n">
        <v>0.16</v>
      </c>
      <c r="K261" s="470">
        <f>($J$261)</f>
        <v/>
      </c>
      <c r="L261" s="470">
        <f>($J$261)</f>
        <v/>
      </c>
      <c r="M261" s="470">
        <f>($J$261)</f>
        <v/>
      </c>
      <c r="N261" s="470">
        <f>($J$261)</f>
        <v/>
      </c>
      <c r="O261" s="470">
        <f>($J$261)</f>
        <v/>
      </c>
      <c r="P261" s="470">
        <f>($J$261)</f>
        <v/>
      </c>
      <c r="Q261" s="470">
        <f>($J$261)</f>
        <v/>
      </c>
      <c r="R261" s="470">
        <f>($J$261)</f>
        <v/>
      </c>
      <c r="S261" s="470">
        <f>($J$261)</f>
        <v/>
      </c>
      <c r="T261" s="470">
        <f>($J$261)</f>
        <v/>
      </c>
      <c r="U261" s="470">
        <f>($J$261)</f>
        <v/>
      </c>
      <c r="V261" s="422" t="n"/>
    </row>
    <row r="262">
      <c r="D262" s="1882" t="inlineStr">
        <is>
          <t>Rate Per Hour, Net (Realization)</t>
        </is>
      </c>
      <c r="G262" s="383" t="n"/>
      <c r="H262" s="383" t="n"/>
      <c r="I262" s="422" t="n"/>
      <c r="J262" s="2022">
        <f>(((1)-(J261))*(J260))</f>
        <v/>
      </c>
      <c r="K262" s="2022">
        <f>(((1)-(K261))*(K260))</f>
        <v/>
      </c>
      <c r="L262" s="2022">
        <f>(((1)-(L261))*(L260))</f>
        <v/>
      </c>
      <c r="M262" s="2022">
        <f>(((1)-(M261))*(M260))</f>
        <v/>
      </c>
      <c r="N262" s="2022">
        <f>(((1)-(N261))*(N260))</f>
        <v/>
      </c>
      <c r="O262" s="2022">
        <f>(((1)-(O261))*(O260))</f>
        <v/>
      </c>
      <c r="P262" s="2022">
        <f>(((1)-(P261))*(P260))</f>
        <v/>
      </c>
      <c r="Q262" s="2022">
        <f>(((1)-(Q261))*(Q260))</f>
        <v/>
      </c>
      <c r="R262" s="2022">
        <f>(((1)-(R261))*(R260))</f>
        <v/>
      </c>
      <c r="S262" s="2022">
        <f>(((1)-(S261))*(S260))</f>
        <v/>
      </c>
      <c r="T262" s="2022">
        <f>(((1)-(T261))*(T260))</f>
        <v/>
      </c>
      <c r="U262" s="2022">
        <f>(((1)-(U261))*(U260))</f>
        <v/>
      </c>
      <c r="V262" s="2027">
        <f>SUM(J262:U262)</f>
        <v/>
      </c>
    </row>
    <row r="263">
      <c r="D263" s="422" t="n"/>
      <c r="E263" s="422" t="n"/>
      <c r="F263" s="422" t="n"/>
      <c r="G263" s="422" t="n"/>
      <c r="H263" s="422" t="n"/>
      <c r="I263" s="422" t="n"/>
      <c r="J263" s="2027" t="n"/>
      <c r="K263" s="2027" t="n"/>
      <c r="L263" s="2027" t="n"/>
      <c r="M263" s="2027" t="n"/>
      <c r="N263" s="2027" t="n"/>
      <c r="O263" s="2027" t="n"/>
      <c r="P263" s="2027" t="n"/>
      <c r="Q263" s="2027" t="n"/>
      <c r="R263" s="2027" t="n"/>
      <c r="S263" s="2027" t="n"/>
      <c r="T263" s="2027" t="n"/>
      <c r="U263" s="2027" t="n"/>
      <c r="V263" s="422" t="n"/>
    </row>
    <row r="264">
      <c r="D264" s="422" t="n"/>
      <c r="E264" s="422" t="n"/>
      <c r="F264" s="422" t="n"/>
      <c r="G264" s="422" t="n"/>
      <c r="H264" s="422" t="n"/>
      <c r="I264" s="422" t="n"/>
      <c r="J264" s="422" t="n"/>
      <c r="K264" s="422" t="n"/>
      <c r="L264" s="422" t="n"/>
      <c r="M264" s="422" t="n"/>
      <c r="N264" s="422" t="n"/>
      <c r="O264" s="422" t="n"/>
      <c r="P264" s="422" t="n"/>
      <c r="Q264" s="422" t="n"/>
      <c r="R264" s="422" t="n"/>
      <c r="S264" s="422" t="n"/>
      <c r="T264" s="422" t="n"/>
      <c r="U264" s="422" t="n"/>
      <c r="V264" s="422" t="n"/>
    </row>
    <row r="265">
      <c r="D265" s="386" t="inlineStr">
        <is>
          <t>Year 3</t>
        </is>
      </c>
      <c r="E265" s="386" t="n"/>
      <c r="F265" s="456" t="inlineStr">
        <is>
          <t>25 - 36</t>
        </is>
      </c>
      <c r="G265" s="456" t="n"/>
      <c r="H265" s="456" t="n"/>
      <c r="I265" s="422" t="n"/>
      <c r="J265" s="422" t="n"/>
      <c r="K265" s="422" t="n"/>
      <c r="L265" s="422" t="n"/>
      <c r="M265" s="422" t="n"/>
      <c r="N265" s="422" t="n"/>
      <c r="O265" s="422" t="n"/>
      <c r="P265" s="422" t="n"/>
      <c r="Q265" s="422" t="n"/>
      <c r="R265" s="422" t="n"/>
      <c r="S265" s="422" t="n"/>
      <c r="T265" s="422" t="n"/>
      <c r="U265" s="422" t="n"/>
      <c r="V265" s="422" t="n"/>
    </row>
    <row r="266">
      <c r="D266" s="1906" t="inlineStr">
        <is>
          <t>Standard Rate Per Phone Per Month (1.5 HR)</t>
        </is>
      </c>
      <c r="G266" s="383" t="n"/>
      <c r="H266" s="383" t="n"/>
      <c r="I266" s="422" t="n"/>
      <c r="J266" s="2026">
        <f>'3D. Tel. - Revenue Drivers - 2'!N23</f>
        <v/>
      </c>
      <c r="K266" s="2026">
        <f>($J$266)</f>
        <v/>
      </c>
      <c r="L266" s="2026">
        <f>($J$266)</f>
        <v/>
      </c>
      <c r="M266" s="2026">
        <f>($J$266)</f>
        <v/>
      </c>
      <c r="N266" s="2026">
        <f>($J$266)</f>
        <v/>
      </c>
      <c r="O266" s="2026">
        <f>($J$266)</f>
        <v/>
      </c>
      <c r="P266" s="2026">
        <f>($J$266)</f>
        <v/>
      </c>
      <c r="Q266" s="2026">
        <f>($J$266)</f>
        <v/>
      </c>
      <c r="R266" s="2026">
        <f>($J$266)</f>
        <v/>
      </c>
      <c r="S266" s="2026">
        <f>($J$266)</f>
        <v/>
      </c>
      <c r="T266" s="2026">
        <f>($J$266)</f>
        <v/>
      </c>
      <c r="U266" s="2026">
        <f>($J$266)</f>
        <v/>
      </c>
      <c r="V266" s="2026" t="n"/>
    </row>
    <row r="267">
      <c r="D267" s="1906" t="inlineStr">
        <is>
          <t>Discount</t>
        </is>
      </c>
      <c r="G267" s="383" t="n"/>
      <c r="H267" s="383" t="n"/>
      <c r="I267" s="422" t="n"/>
      <c r="J267" s="470">
        <f>($J$261)</f>
        <v/>
      </c>
      <c r="K267" s="470">
        <f>($J$261)</f>
        <v/>
      </c>
      <c r="L267" s="470">
        <f>($J$261)</f>
        <v/>
      </c>
      <c r="M267" s="470">
        <f>($J$261)</f>
        <v/>
      </c>
      <c r="N267" s="470">
        <f>($J$261)</f>
        <v/>
      </c>
      <c r="O267" s="470">
        <f>($J$261)</f>
        <v/>
      </c>
      <c r="P267" s="470">
        <f>($J$261)</f>
        <v/>
      </c>
      <c r="Q267" s="470">
        <f>($J$261)</f>
        <v/>
      </c>
      <c r="R267" s="470">
        <f>($J$261)</f>
        <v/>
      </c>
      <c r="S267" s="470">
        <f>($J$261)</f>
        <v/>
      </c>
      <c r="T267" s="470">
        <f>($J$261)</f>
        <v/>
      </c>
      <c r="U267" s="470">
        <f>($J$261)</f>
        <v/>
      </c>
      <c r="V267" s="422" t="n"/>
    </row>
    <row r="268">
      <c r="D268" s="1882" t="inlineStr">
        <is>
          <t>Rate Per Hour, Net (Realization)</t>
        </is>
      </c>
      <c r="G268" s="383" t="n"/>
      <c r="H268" s="383" t="n"/>
      <c r="I268" s="422" t="n"/>
      <c r="J268" s="2022">
        <f>(((1)-(J267))*(J266))</f>
        <v/>
      </c>
      <c r="K268" s="2022">
        <f>(((1)-(K267))*(K266))</f>
        <v/>
      </c>
      <c r="L268" s="2022">
        <f>(((1)-(L267))*(L266))</f>
        <v/>
      </c>
      <c r="M268" s="2022">
        <f>(((1)-(M267))*(M266))</f>
        <v/>
      </c>
      <c r="N268" s="2022">
        <f>(((1)-(N267))*(N266))</f>
        <v/>
      </c>
      <c r="O268" s="2022">
        <f>(((1)-(O267))*(O266))</f>
        <v/>
      </c>
      <c r="P268" s="2022">
        <f>(((1)-(P267))*(P266))</f>
        <v/>
      </c>
      <c r="Q268" s="2022">
        <f>(((1)-(Q267))*(Q266))</f>
        <v/>
      </c>
      <c r="R268" s="2022">
        <f>(((1)-(R267))*(R266))</f>
        <v/>
      </c>
      <c r="S268" s="2022">
        <f>(((1)-(S267))*(S266))</f>
        <v/>
      </c>
      <c r="T268" s="2022">
        <f>(((1)-(T267))*(T266))</f>
        <v/>
      </c>
      <c r="U268" s="2022">
        <f>(((1)-(U267))*(U266))</f>
        <v/>
      </c>
      <c r="V268" s="2027">
        <f>SUM(J268:U268)</f>
        <v/>
      </c>
    </row>
    <row r="269">
      <c r="D269" s="386" t="n"/>
      <c r="E269" s="386" t="n"/>
      <c r="F269" s="386" t="n"/>
      <c r="G269" s="386" t="n"/>
      <c r="H269" s="386" t="n"/>
      <c r="I269" s="422" t="n"/>
      <c r="J269" s="422" t="n"/>
      <c r="K269" s="422" t="n"/>
      <c r="L269" s="422" t="n"/>
      <c r="M269" s="422" t="n"/>
      <c r="N269" s="422" t="n"/>
      <c r="O269" s="422" t="n"/>
      <c r="P269" s="422" t="n"/>
      <c r="Q269" s="422" t="n"/>
      <c r="R269" s="422" t="n"/>
      <c r="S269" s="422" t="n"/>
      <c r="T269" s="422" t="n"/>
      <c r="U269" s="422" t="n"/>
      <c r="V269" s="422" t="n"/>
    </row>
    <row r="270">
      <c r="D270" s="422" t="n"/>
      <c r="E270" s="422" t="n"/>
      <c r="F270" s="422" t="n"/>
      <c r="G270" s="422" t="n"/>
      <c r="H270" s="422" t="n"/>
      <c r="I270" s="422" t="n"/>
      <c r="J270" s="422" t="n"/>
      <c r="K270" s="422" t="n"/>
      <c r="L270" s="422" t="n"/>
      <c r="M270" s="422" t="n"/>
      <c r="N270" s="422" t="n"/>
      <c r="O270" s="422" t="n"/>
      <c r="P270" s="422" t="n"/>
      <c r="Q270" s="422" t="n"/>
      <c r="R270" s="422" t="n"/>
      <c r="S270" s="422" t="n"/>
      <c r="T270" s="422" t="n"/>
      <c r="U270" s="422" t="n"/>
      <c r="V270" s="422" t="n"/>
    </row>
    <row r="271">
      <c r="D271" s="386" t="inlineStr">
        <is>
          <t>Year 4</t>
        </is>
      </c>
      <c r="E271" s="386" t="n"/>
      <c r="F271" s="456" t="inlineStr">
        <is>
          <t>37 - 48</t>
        </is>
      </c>
      <c r="G271" s="456" t="n"/>
      <c r="H271" s="456" t="n"/>
      <c r="I271" s="422" t="n"/>
      <c r="J271" s="422" t="n"/>
      <c r="K271" s="422" t="n"/>
      <c r="L271" s="422" t="n"/>
      <c r="M271" s="422" t="n"/>
      <c r="N271" s="422" t="n"/>
      <c r="O271" s="422" t="n"/>
      <c r="P271" s="422" t="n"/>
      <c r="Q271" s="422" t="n"/>
      <c r="R271" s="422" t="n"/>
      <c r="S271" s="422" t="n"/>
      <c r="T271" s="422" t="n"/>
      <c r="U271" s="422" t="n"/>
      <c r="V271" s="422" t="n"/>
    </row>
    <row r="272">
      <c r="D272" s="1906" t="inlineStr">
        <is>
          <t>Standard Rate Per Phone Per Month (1.75 HR)</t>
        </is>
      </c>
      <c r="G272" s="383" t="n"/>
      <c r="H272" s="383" t="n"/>
      <c r="I272" s="422" t="n"/>
      <c r="J272" s="2026">
        <f>'3D. Tel. - Revenue Drivers - 2'!N24</f>
        <v/>
      </c>
      <c r="K272" s="2026">
        <f>($J$272)</f>
        <v/>
      </c>
      <c r="L272" s="2026">
        <f>($J$272)</f>
        <v/>
      </c>
      <c r="M272" s="2026">
        <f>($J$272)</f>
        <v/>
      </c>
      <c r="N272" s="2026">
        <f>($J$272)</f>
        <v/>
      </c>
      <c r="O272" s="2026">
        <f>($J$272)</f>
        <v/>
      </c>
      <c r="P272" s="2026">
        <f>($J$272)</f>
        <v/>
      </c>
      <c r="Q272" s="2026">
        <f>($J$272)</f>
        <v/>
      </c>
      <c r="R272" s="2026">
        <f>($J$272)</f>
        <v/>
      </c>
      <c r="S272" s="2026">
        <f>($J$272)</f>
        <v/>
      </c>
      <c r="T272" s="2026">
        <f>($J$272)</f>
        <v/>
      </c>
      <c r="U272" s="2026">
        <f>($J$272)</f>
        <v/>
      </c>
      <c r="V272" s="422" t="n"/>
    </row>
    <row r="273">
      <c r="B273" s="930" t="n"/>
      <c r="C273" s="626" t="n"/>
      <c r="D273" s="1906" t="inlineStr">
        <is>
          <t>Discount</t>
        </is>
      </c>
      <c r="G273" s="383" t="n"/>
      <c r="H273" s="383" t="n"/>
      <c r="I273" s="422" t="n"/>
      <c r="J273" s="470">
        <f>($J$261)</f>
        <v/>
      </c>
      <c r="K273" s="470">
        <f>($J$261)</f>
        <v/>
      </c>
      <c r="L273" s="470">
        <f>($J$261)</f>
        <v/>
      </c>
      <c r="M273" s="470">
        <f>($J$261)</f>
        <v/>
      </c>
      <c r="N273" s="470">
        <f>($J$261)</f>
        <v/>
      </c>
      <c r="O273" s="470">
        <f>($J$261)</f>
        <v/>
      </c>
      <c r="P273" s="470">
        <f>($J$261)</f>
        <v/>
      </c>
      <c r="Q273" s="470">
        <f>($J$261)</f>
        <v/>
      </c>
      <c r="R273" s="470">
        <f>($J$261)</f>
        <v/>
      </c>
      <c r="S273" s="470">
        <f>($J$261)</f>
        <v/>
      </c>
      <c r="T273" s="470">
        <f>($J$261)</f>
        <v/>
      </c>
      <c r="U273" s="470">
        <f>($J$261)</f>
        <v/>
      </c>
      <c r="V273" s="422" t="n"/>
    </row>
    <row r="274">
      <c r="B274" s="930" t="n"/>
      <c r="C274" s="626" t="n"/>
      <c r="D274" s="1882" t="inlineStr">
        <is>
          <t>Rate Per Hour, Net (Realization)</t>
        </is>
      </c>
      <c r="G274" s="383" t="n"/>
      <c r="H274" s="383" t="n"/>
      <c r="I274" s="422" t="n"/>
      <c r="J274" s="2022">
        <f>(((1)-(J273))*(J272))</f>
        <v/>
      </c>
      <c r="K274" s="2022">
        <f>(((1)-(K273))*(K272))</f>
        <v/>
      </c>
      <c r="L274" s="2022">
        <f>(((1)-(L273))*(L272))</f>
        <v/>
      </c>
      <c r="M274" s="2022">
        <f>(((1)-(M273))*(M272))</f>
        <v/>
      </c>
      <c r="N274" s="2022">
        <f>(((1)-(N273))*(N272))</f>
        <v/>
      </c>
      <c r="O274" s="2022">
        <f>(((1)-(O273))*(O272))</f>
        <v/>
      </c>
      <c r="P274" s="2022">
        <f>(((1)-(P273))*(P272))</f>
        <v/>
      </c>
      <c r="Q274" s="2022">
        <f>(((1)-(Q273))*(Q272))</f>
        <v/>
      </c>
      <c r="R274" s="2022">
        <f>(((1)-(R273))*(R272))</f>
        <v/>
      </c>
      <c r="S274" s="2022">
        <f>(((1)-(S273))*(S272))</f>
        <v/>
      </c>
      <c r="T274" s="2022">
        <f>(((1)-(T273))*(T272))</f>
        <v/>
      </c>
      <c r="U274" s="2022">
        <f>(((1)-(U273))*(U272))</f>
        <v/>
      </c>
      <c r="V274" s="2027">
        <f>SUM(J274:U274)</f>
        <v/>
      </c>
    </row>
    <row r="275">
      <c r="B275" s="930" t="n"/>
      <c r="C275" s="626" t="n"/>
      <c r="D275" s="386" t="n"/>
      <c r="E275" s="386" t="n"/>
      <c r="F275" s="386" t="n"/>
      <c r="G275" s="386" t="n"/>
      <c r="H275" s="386" t="n"/>
      <c r="I275" s="422" t="n"/>
      <c r="J275" s="422" t="n"/>
      <c r="K275" s="422" t="n"/>
      <c r="L275" s="422" t="n"/>
      <c r="M275" s="422" t="n"/>
      <c r="N275" s="422" t="n"/>
      <c r="O275" s="422" t="n"/>
      <c r="P275" s="422" t="n"/>
      <c r="Q275" s="422" t="n"/>
      <c r="R275" s="422" t="n"/>
      <c r="S275" s="422" t="n"/>
      <c r="T275" s="422" t="n"/>
      <c r="U275" s="422" t="n"/>
      <c r="V275" s="422" t="n"/>
    </row>
    <row r="276">
      <c r="B276" s="930" t="n"/>
      <c r="C276" s="626" t="n"/>
      <c r="D276" s="422" t="n"/>
      <c r="E276" s="422" t="n"/>
      <c r="F276" s="422" t="n"/>
      <c r="G276" s="422" t="n"/>
      <c r="H276" s="422" t="n"/>
      <c r="I276" s="422" t="n"/>
      <c r="J276" s="422" t="n"/>
      <c r="K276" s="422" t="n"/>
      <c r="L276" s="422" t="n"/>
      <c r="M276" s="422" t="n"/>
      <c r="N276" s="422" t="n"/>
      <c r="O276" s="422" t="n"/>
      <c r="P276" s="422" t="n"/>
      <c r="Q276" s="422" t="n"/>
      <c r="R276" s="422" t="n"/>
      <c r="S276" s="422" t="n"/>
      <c r="T276" s="422" t="n"/>
      <c r="U276" s="422" t="n"/>
      <c r="V276" s="422" t="n"/>
    </row>
    <row r="277">
      <c r="B277" s="930" t="n"/>
      <c r="C277" s="626" t="n"/>
      <c r="D277" s="386" t="inlineStr">
        <is>
          <t>Year 5</t>
        </is>
      </c>
      <c r="E277" s="386" t="n"/>
      <c r="F277" s="456" t="inlineStr">
        <is>
          <t>49 - 60</t>
        </is>
      </c>
      <c r="G277" s="456" t="n"/>
      <c r="H277" s="456" t="n"/>
      <c r="I277" s="422" t="n"/>
      <c r="J277" s="422" t="n"/>
      <c r="K277" s="422" t="n"/>
      <c r="L277" s="422" t="n"/>
      <c r="M277" s="422" t="n"/>
      <c r="N277" s="422" t="n"/>
      <c r="O277" s="422" t="n"/>
      <c r="P277" s="422" t="n"/>
      <c r="Q277" s="422" t="n"/>
      <c r="R277" s="422" t="n"/>
      <c r="S277" s="422" t="n"/>
      <c r="T277" s="422" t="n"/>
      <c r="U277" s="422" t="n"/>
      <c r="V277" s="422" t="n"/>
    </row>
    <row r="278">
      <c r="B278" s="930" t="n"/>
      <c r="C278" s="626" t="n"/>
      <c r="D278" s="1906" t="inlineStr">
        <is>
          <t>Standard Rate Per Phone Per Month (2 HR)</t>
        </is>
      </c>
      <c r="G278" s="383" t="n"/>
      <c r="H278" s="383" t="n"/>
      <c r="I278" s="422" t="n"/>
      <c r="J278" s="2026">
        <f>'3D. Tel. - Revenue Drivers - 2'!N25</f>
        <v/>
      </c>
      <c r="K278" s="2026">
        <f>($J$278)</f>
        <v/>
      </c>
      <c r="L278" s="2026">
        <f>($J$278)</f>
        <v/>
      </c>
      <c r="M278" s="2026">
        <f>($J$278)</f>
        <v/>
      </c>
      <c r="N278" s="2026">
        <f>($J$278)</f>
        <v/>
      </c>
      <c r="O278" s="2026">
        <f>($J$278)</f>
        <v/>
      </c>
      <c r="P278" s="2026">
        <f>($J$278)</f>
        <v/>
      </c>
      <c r="Q278" s="2026">
        <f>($J$278)</f>
        <v/>
      </c>
      <c r="R278" s="2026">
        <f>($J$278)</f>
        <v/>
      </c>
      <c r="S278" s="2026">
        <f>($J$278)</f>
        <v/>
      </c>
      <c r="T278" s="2026">
        <f>($J$278)</f>
        <v/>
      </c>
      <c r="U278" s="2026">
        <f>($J$278)</f>
        <v/>
      </c>
      <c r="V278" s="422" t="n"/>
    </row>
    <row r="279">
      <c r="B279" s="930" t="n"/>
      <c r="C279" s="626" t="n"/>
      <c r="D279" s="1906" t="inlineStr">
        <is>
          <t>Discount</t>
        </is>
      </c>
      <c r="G279" s="383" t="n"/>
      <c r="H279" s="383" t="n"/>
      <c r="I279" s="422" t="n"/>
      <c r="J279" s="645">
        <f>($J$261)*1.03</f>
        <v/>
      </c>
      <c r="K279" s="645">
        <f>($J$261)*1.03</f>
        <v/>
      </c>
      <c r="L279" s="645">
        <f>($J$261)*1.03</f>
        <v/>
      </c>
      <c r="M279" s="645">
        <f>($J$261)*1.03</f>
        <v/>
      </c>
      <c r="N279" s="645">
        <f>($J$261)*1.03</f>
        <v/>
      </c>
      <c r="O279" s="645">
        <f>($J$261)*1.03</f>
        <v/>
      </c>
      <c r="P279" s="645">
        <f>($J$261)*1.03</f>
        <v/>
      </c>
      <c r="Q279" s="645">
        <f>($J$261)*1.03</f>
        <v/>
      </c>
      <c r="R279" s="645">
        <f>($J$261)*1.03</f>
        <v/>
      </c>
      <c r="S279" s="645">
        <f>($J$261)*1.03</f>
        <v/>
      </c>
      <c r="T279" s="645">
        <f>($J$261)*1.03</f>
        <v/>
      </c>
      <c r="U279" s="645">
        <f>($J$261)*1.03</f>
        <v/>
      </c>
      <c r="V279" s="422" t="n"/>
    </row>
    <row r="280">
      <c r="B280" s="930" t="n"/>
      <c r="C280" s="626" t="n"/>
      <c r="D280" s="1882" t="inlineStr">
        <is>
          <t>Rate Per Hour, Net (Realization)</t>
        </is>
      </c>
      <c r="G280" s="383" t="n"/>
      <c r="H280" s="383" t="n"/>
      <c r="I280" s="422" t="n"/>
      <c r="J280" s="2022">
        <f>(((1)-(J279))*(J278))</f>
        <v/>
      </c>
      <c r="K280" s="2022">
        <f>(((1)-(K279))*(K278))</f>
        <v/>
      </c>
      <c r="L280" s="2022">
        <f>(((1)-(L279))*(L278))</f>
        <v/>
      </c>
      <c r="M280" s="2022">
        <f>(((1)-(M279))*(M278))</f>
        <v/>
      </c>
      <c r="N280" s="2022">
        <f>(((1)-(N279))*(N278))</f>
        <v/>
      </c>
      <c r="O280" s="2022">
        <f>(((1)-(O279))*(O278))</f>
        <v/>
      </c>
      <c r="P280" s="2022">
        <f>(((1)-(P279))*(P278))</f>
        <v/>
      </c>
      <c r="Q280" s="2022">
        <f>(((1)-(Q279))*(Q278))</f>
        <v/>
      </c>
      <c r="R280" s="2022">
        <f>(((1)-(R279))*(R278))</f>
        <v/>
      </c>
      <c r="S280" s="2022">
        <f>(((1)-(S279))*(S278))</f>
        <v/>
      </c>
      <c r="T280" s="2022">
        <f>(((1)-(T279))*(T278))</f>
        <v/>
      </c>
      <c r="U280" s="2022">
        <f>(((1)-(U279))*(U278))</f>
        <v/>
      </c>
      <c r="V280" s="2027">
        <f>SUM(J280:U280)</f>
        <v/>
      </c>
    </row>
    <row r="281">
      <c r="B281" s="930" t="n"/>
      <c r="C281" s="626" t="n"/>
      <c r="D281" s="386" t="n"/>
      <c r="E281" s="386" t="n"/>
      <c r="F281" s="386" t="n"/>
      <c r="G281" s="386" t="n"/>
      <c r="H281" s="386" t="n"/>
      <c r="I281" s="422" t="n"/>
      <c r="J281" s="2027" t="n"/>
      <c r="K281" s="2027" t="n"/>
      <c r="L281" s="2027" t="n"/>
      <c r="M281" s="2027" t="n"/>
      <c r="N281" s="2027" t="n"/>
      <c r="O281" s="2027" t="n"/>
      <c r="P281" s="2027" t="n"/>
      <c r="Q281" s="2027" t="n"/>
      <c r="R281" s="2027" t="n"/>
      <c r="S281" s="2027" t="n"/>
      <c r="T281" s="2027" t="n"/>
      <c r="U281" s="2027" t="n"/>
      <c r="V281" s="422" t="n"/>
    </row>
    <row r="282">
      <c r="B282" s="930" t="n"/>
      <c r="C282" s="626" t="n"/>
      <c r="D282" s="386" t="n"/>
      <c r="E282" s="386" t="n"/>
      <c r="F282" s="386" t="n"/>
      <c r="G282" s="386" t="n"/>
      <c r="H282" s="386" t="n"/>
      <c r="I282" s="422" t="n"/>
      <c r="J282" s="2027" t="n"/>
      <c r="K282" s="2027" t="n"/>
      <c r="L282" s="2027" t="n"/>
      <c r="M282" s="2027" t="n"/>
      <c r="N282" s="2027" t="n"/>
      <c r="O282" s="2027" t="n"/>
      <c r="P282" s="2027" t="n"/>
      <c r="Q282" s="2027" t="n"/>
      <c r="R282" s="2027" t="n"/>
      <c r="S282" s="2027" t="n"/>
      <c r="T282" s="2027" t="n"/>
      <c r="U282" s="2027" t="n"/>
      <c r="V282" s="422" t="n"/>
    </row>
    <row r="283">
      <c r="B283" s="930" t="n"/>
      <c r="C283" s="626" t="n"/>
      <c r="D283" s="386" t="n"/>
      <c r="E283" s="386" t="n"/>
      <c r="F283" s="386" t="n"/>
      <c r="G283" s="386" t="n"/>
      <c r="H283" s="386" t="n"/>
      <c r="I283" s="422" t="n"/>
      <c r="J283" s="2027" t="n"/>
      <c r="K283" s="2027" t="n"/>
      <c r="L283" s="2027" t="n"/>
      <c r="M283" s="2027" t="n"/>
      <c r="N283" s="2027" t="n"/>
      <c r="O283" s="2027" t="n"/>
      <c r="P283" s="2027" t="n"/>
      <c r="Q283" s="2027" t="n"/>
      <c r="R283" s="2027" t="n"/>
      <c r="S283" s="2027" t="n"/>
      <c r="T283" s="2027" t="n"/>
      <c r="U283" s="2027" t="n"/>
      <c r="V283" s="422" t="n"/>
    </row>
    <row r="284">
      <c r="B284" s="930" t="n"/>
      <c r="C284" s="626" t="n"/>
      <c r="D284" s="422" t="n"/>
      <c r="E284" s="422" t="n"/>
      <c r="F284" s="422" t="n"/>
      <c r="G284" s="422" t="n"/>
      <c r="H284" s="422" t="n"/>
      <c r="I284" s="422" t="n"/>
      <c r="J284" s="422" t="n"/>
      <c r="K284" s="422" t="n"/>
      <c r="L284" s="422" t="n"/>
      <c r="M284" s="422" t="n"/>
      <c r="N284" s="422" t="n"/>
      <c r="O284" s="422" t="n"/>
      <c r="P284" s="422" t="n"/>
      <c r="Q284" s="422" t="n"/>
      <c r="R284" s="422" t="n"/>
      <c r="S284" s="422" t="n"/>
      <c r="T284" s="422" t="n"/>
      <c r="U284" s="422" t="n"/>
      <c r="V284" s="422" t="n"/>
    </row>
    <row r="285">
      <c r="B285" s="930" t="n"/>
      <c r="C285" s="626" t="n"/>
      <c r="D285" s="422" t="n"/>
      <c r="E285" s="422" t="n"/>
      <c r="F285" s="422" t="n"/>
      <c r="G285" s="422" t="n"/>
      <c r="H285" s="422" t="n"/>
      <c r="I285" s="422" t="n"/>
      <c r="J285" s="422" t="n"/>
      <c r="K285" s="422" t="n"/>
      <c r="L285" s="422" t="n"/>
      <c r="M285" s="422" t="n"/>
      <c r="N285" s="422" t="n"/>
      <c r="O285" s="422" t="n"/>
      <c r="P285" s="422" t="n"/>
      <c r="Q285" s="422" t="n"/>
      <c r="R285" s="422" t="n"/>
      <c r="S285" s="422" t="n"/>
      <c r="T285" s="422" t="n"/>
      <c r="U285" s="422" t="n"/>
      <c r="V285" s="422" t="n"/>
    </row>
    <row r="286">
      <c r="B286" s="467" t="inlineStr">
        <is>
          <t>VIII.</t>
        </is>
      </c>
      <c r="C286" s="626" t="n"/>
      <c r="D286" s="385" t="inlineStr">
        <is>
          <t>Net Revenue, Market Research Services</t>
        </is>
      </c>
      <c r="E286" s="385" t="n"/>
      <c r="F286" s="422" t="n"/>
      <c r="G286" s="422" t="n"/>
      <c r="H286" s="422" t="n"/>
      <c r="I286" s="422" t="n"/>
      <c r="J286" s="1904" t="inlineStr">
        <is>
          <t>Fiscal Years 1 - 6</t>
        </is>
      </c>
    </row>
    <row r="289">
      <c r="D289" s="386" t="inlineStr">
        <is>
          <t>Year</t>
        </is>
      </c>
      <c r="E289" s="386" t="n"/>
      <c r="F289" s="386" t="inlineStr">
        <is>
          <t>Months</t>
        </is>
      </c>
      <c r="G289" s="386" t="n"/>
      <c r="H289" s="386" t="n"/>
      <c r="I289" s="422" t="n"/>
      <c r="J289" s="138" t="inlineStr">
        <is>
          <t>Month 1</t>
        </is>
      </c>
      <c r="K289" s="138" t="inlineStr">
        <is>
          <t>Month 2</t>
        </is>
      </c>
      <c r="L289" s="138" t="inlineStr">
        <is>
          <t>Month 3</t>
        </is>
      </c>
      <c r="M289" s="138" t="inlineStr">
        <is>
          <t>Month 4</t>
        </is>
      </c>
      <c r="N289" s="138" t="inlineStr">
        <is>
          <t>Month 5</t>
        </is>
      </c>
      <c r="O289" s="138" t="inlineStr">
        <is>
          <t>Month 6</t>
        </is>
      </c>
      <c r="P289" s="138" t="inlineStr">
        <is>
          <t>Month 7</t>
        </is>
      </c>
      <c r="Q289" s="138" t="inlineStr">
        <is>
          <t>Month 8</t>
        </is>
      </c>
      <c r="R289" s="138" t="inlineStr">
        <is>
          <t>Month 9</t>
        </is>
      </c>
      <c r="S289" s="138" t="inlineStr">
        <is>
          <t>Month 10</t>
        </is>
      </c>
      <c r="T289" s="138" t="inlineStr">
        <is>
          <t>Month 11</t>
        </is>
      </c>
      <c r="U289" s="138" t="inlineStr">
        <is>
          <t>Month 12</t>
        </is>
      </c>
      <c r="V289" s="138" t="inlineStr">
        <is>
          <t>Ʃ, Full-Year</t>
        </is>
      </c>
    </row>
    <row r="290" ht="3" customHeight="1" s="1883">
      <c r="D290" s="945" t="n"/>
      <c r="E290" s="422" t="n"/>
      <c r="F290" s="945" t="n"/>
      <c r="G290" s="1906" t="n"/>
      <c r="H290" s="1906" t="n"/>
      <c r="I290" s="422" t="n"/>
      <c r="J290" s="933" t="n"/>
      <c r="K290" s="933" t="n"/>
      <c r="L290" s="933" t="n"/>
      <c r="M290" s="933" t="n"/>
      <c r="N290" s="933" t="n"/>
      <c r="O290" s="933" t="n"/>
      <c r="P290" s="933" t="n"/>
      <c r="Q290" s="933" t="n"/>
      <c r="R290" s="933" t="n"/>
      <c r="S290" s="933" t="n"/>
      <c r="T290" s="933" t="n"/>
      <c r="U290" s="933" t="n"/>
      <c r="V290" s="933" t="n"/>
    </row>
    <row r="291" ht="3" customHeight="1" s="1883">
      <c r="D291" s="422" t="n"/>
      <c r="E291" s="422" t="n"/>
      <c r="F291" s="422" t="n"/>
      <c r="G291" s="422" t="n"/>
      <c r="H291" s="422" t="n"/>
      <c r="I291" s="422" t="n"/>
      <c r="J291" s="934" t="n"/>
      <c r="K291" s="934" t="n"/>
      <c r="L291" s="934" t="n"/>
      <c r="M291" s="934" t="n"/>
      <c r="N291" s="934" t="n"/>
      <c r="O291" s="934" t="n"/>
      <c r="P291" s="934" t="n"/>
      <c r="Q291" s="934" t="n"/>
      <c r="R291" s="934" t="n"/>
      <c r="S291" s="934" t="n"/>
      <c r="T291" s="934" t="n"/>
      <c r="U291" s="934" t="n"/>
      <c r="V291" s="934" t="n"/>
    </row>
    <row r="292">
      <c r="D292" s="386" t="inlineStr">
        <is>
          <t>Year 0</t>
        </is>
      </c>
      <c r="E292" s="386" t="n"/>
      <c r="F292" s="468" t="inlineStr">
        <is>
          <t>-12 - -1</t>
        </is>
      </c>
      <c r="G292" s="468" t="n"/>
      <c r="H292" s="468" t="n"/>
      <c r="I292" s="1906" t="n"/>
      <c r="J292" s="947">
        <f>((J185)*(J250))</f>
        <v/>
      </c>
      <c r="K292" s="947">
        <f>((K185)*(K250))</f>
        <v/>
      </c>
      <c r="L292" s="947">
        <f>((L185)*(L250))</f>
        <v/>
      </c>
      <c r="M292" s="947">
        <f>((M185)*(M250))</f>
        <v/>
      </c>
      <c r="N292" s="947">
        <f>((N185)*(N250))</f>
        <v/>
      </c>
      <c r="O292" s="947">
        <f>((O185)*(O250))</f>
        <v/>
      </c>
      <c r="P292" s="947">
        <f>((P185)*(P250))</f>
        <v/>
      </c>
      <c r="Q292" s="947">
        <f>((Q185)*(Q250))</f>
        <v/>
      </c>
      <c r="R292" s="947">
        <f>((R185)*(R250))</f>
        <v/>
      </c>
      <c r="S292" s="947">
        <f>((S185)*(S250))</f>
        <v/>
      </c>
      <c r="T292" s="947">
        <f>((T185)*(T250))</f>
        <v/>
      </c>
      <c r="U292" s="947">
        <f>((U185)*(U250))</f>
        <v/>
      </c>
      <c r="V292" s="947">
        <f>((J292)+(K292)+(L292)+(M292)+(N292)+(O292)+(P292)+(Q292)+(R292)+(S292)+(T292)+(U292))</f>
        <v/>
      </c>
    </row>
    <row r="293">
      <c r="D293" s="386" t="inlineStr">
        <is>
          <t>Year 1</t>
        </is>
      </c>
      <c r="E293" s="386" t="n"/>
      <c r="F293" s="469" t="inlineStr">
        <is>
          <t>1 - 12</t>
        </is>
      </c>
      <c r="G293" s="469" t="n"/>
      <c r="H293" s="469" t="n"/>
      <c r="I293" s="422" t="n"/>
      <c r="J293" s="474">
        <f>((J191)*(J229)*(J256))</f>
        <v/>
      </c>
      <c r="K293" s="474">
        <f>((K191)*(K229)*(K256))</f>
        <v/>
      </c>
      <c r="L293" s="474">
        <f>((L191)*(L229)*(L256))</f>
        <v/>
      </c>
      <c r="M293" s="474">
        <f>((M191)*(M229)*(M256))</f>
        <v/>
      </c>
      <c r="N293" s="474">
        <f>((N191)*(N229)*(N256))</f>
        <v/>
      </c>
      <c r="O293" s="474">
        <f>((O191)*(O229)*(O256))</f>
        <v/>
      </c>
      <c r="P293" s="474">
        <f>((P191)*(P229)*(P256))</f>
        <v/>
      </c>
      <c r="Q293" s="474">
        <f>((Q191)*(Q229)*(Q256))</f>
        <v/>
      </c>
      <c r="R293" s="474">
        <f>((R191)*(R229)*(R256))</f>
        <v/>
      </c>
      <c r="S293" s="474">
        <f>((S191)*(S229)*(S256))</f>
        <v/>
      </c>
      <c r="T293" s="474">
        <f>((T191)*(T229)*(T256))</f>
        <v/>
      </c>
      <c r="U293" s="474">
        <f>((U191)*(U229)*(U256))</f>
        <v/>
      </c>
      <c r="V293" s="475">
        <f>((J293)+(K293)+(L293)+(M293)+(N293)+(O293)+(P293)+(Q293)+(R293)+(S293)+(T293)+(U293))</f>
        <v/>
      </c>
    </row>
    <row r="294">
      <c r="D294" s="386" t="inlineStr">
        <is>
          <t>Year 2</t>
        </is>
      </c>
      <c r="E294" s="386" t="n"/>
      <c r="F294" s="456" t="inlineStr">
        <is>
          <t>13 - 24</t>
        </is>
      </c>
      <c r="G294" s="456" t="n"/>
      <c r="H294" s="456" t="n"/>
      <c r="I294" s="422" t="n"/>
      <c r="J294" s="474">
        <f>((J197)*(J231)*(J262))</f>
        <v/>
      </c>
      <c r="K294" s="474">
        <f>((K197)*(K231)*(K262))</f>
        <v/>
      </c>
      <c r="L294" s="474">
        <f>((L197)*(L231)*(L262))</f>
        <v/>
      </c>
      <c r="M294" s="474">
        <f>((M197)*(M231)*(M262))</f>
        <v/>
      </c>
      <c r="N294" s="474">
        <f>((N197)*(N231)*(N262))</f>
        <v/>
      </c>
      <c r="O294" s="474">
        <f>((O197)*(O231)*(O262))</f>
        <v/>
      </c>
      <c r="P294" s="474">
        <f>((P197)*(P231)*(P262))</f>
        <v/>
      </c>
      <c r="Q294" s="474">
        <f>((Q197)*(Q231)*(Q262))</f>
        <v/>
      </c>
      <c r="R294" s="474">
        <f>((R197)*(R231)*(R262))</f>
        <v/>
      </c>
      <c r="S294" s="474">
        <f>((S197)*(S231)*(S262))</f>
        <v/>
      </c>
      <c r="T294" s="474">
        <f>((T197)*(T231)*(T262))</f>
        <v/>
      </c>
      <c r="U294" s="474">
        <f>((U197)*(U231)*(U262))</f>
        <v/>
      </c>
      <c r="V294" s="475">
        <f>((J294)+(K294)+(L294)+(M294)+(N294)+(O294)+(P294)+(Q294)+(R294)+(S294)+(T294)+(U294))</f>
        <v/>
      </c>
    </row>
    <row r="295">
      <c r="D295" s="386" t="inlineStr">
        <is>
          <t>Year 3</t>
        </is>
      </c>
      <c r="E295" s="386" t="n"/>
      <c r="F295" s="456" t="inlineStr">
        <is>
          <t>25 - 36</t>
        </is>
      </c>
      <c r="G295" s="456" t="n"/>
      <c r="H295" s="456" t="n"/>
      <c r="I295" s="422" t="n"/>
      <c r="J295" s="474">
        <f>((J203)*(J233)*(J268))</f>
        <v/>
      </c>
      <c r="K295" s="474">
        <f>((K203)*(K233)*(K268))</f>
        <v/>
      </c>
      <c r="L295" s="474">
        <f>((L203)*(L233)*(L268))</f>
        <v/>
      </c>
      <c r="M295" s="474">
        <f>((M203)*(M233)*(M268))</f>
        <v/>
      </c>
      <c r="N295" s="474">
        <f>((N203)*(N233)*(N268))</f>
        <v/>
      </c>
      <c r="O295" s="474">
        <f>((O203)*(O233)*(O268))</f>
        <v/>
      </c>
      <c r="P295" s="474">
        <f>((P203)*(P233)*(P268))</f>
        <v/>
      </c>
      <c r="Q295" s="474">
        <f>((Q203)*(Q233)*(Q268))</f>
        <v/>
      </c>
      <c r="R295" s="474">
        <f>((R203)*(R233)*(R268))</f>
        <v/>
      </c>
      <c r="S295" s="474">
        <f>((S203)*(S233)*(S268))</f>
        <v/>
      </c>
      <c r="T295" s="474">
        <f>((T203)*(T233)*(T268))</f>
        <v/>
      </c>
      <c r="U295" s="474">
        <f>((U203)*(U233)*(U268))</f>
        <v/>
      </c>
      <c r="V295" s="475">
        <f>((J295)+(K295)+(L295)+(M295)+(N295)+(O295)+(P295)+(Q295)+(R295)+(S295)+(T295)+(U295))</f>
        <v/>
      </c>
    </row>
    <row r="296">
      <c r="D296" s="386" t="inlineStr">
        <is>
          <t>Year 4</t>
        </is>
      </c>
      <c r="E296" s="386" t="n"/>
      <c r="F296" s="456" t="inlineStr">
        <is>
          <t>37 - 48</t>
        </is>
      </c>
      <c r="G296" s="456" t="n"/>
      <c r="H296" s="456" t="n"/>
      <c r="I296" s="422" t="n"/>
      <c r="J296" s="474">
        <f>((J209)*(J235)*(J274))</f>
        <v/>
      </c>
      <c r="K296" s="474">
        <f>((K209)*(K235)*(K274))</f>
        <v/>
      </c>
      <c r="L296" s="474">
        <f>((L209)*(L235)*(L274))</f>
        <v/>
      </c>
      <c r="M296" s="474">
        <f>((M209)*(M235)*(M274))</f>
        <v/>
      </c>
      <c r="N296" s="474">
        <f>((N209)*(N235)*(N274))</f>
        <v/>
      </c>
      <c r="O296" s="474">
        <f>((O209)*(O235)*(O274))</f>
        <v/>
      </c>
      <c r="P296" s="474">
        <f>((P209)*(P235)*(P274))</f>
        <v/>
      </c>
      <c r="Q296" s="474">
        <f>((Q209)*(Q235)*(Q274))</f>
        <v/>
      </c>
      <c r="R296" s="474">
        <f>((R209)*(R235)*(R274))</f>
        <v/>
      </c>
      <c r="S296" s="474">
        <f>((S209)*(S235)*(S274))</f>
        <v/>
      </c>
      <c r="T296" s="474">
        <f>((T209)*(T235)*(T274))</f>
        <v/>
      </c>
      <c r="U296" s="474">
        <f>((U209)*(U235)*(U274))</f>
        <v/>
      </c>
      <c r="V296" s="475">
        <f>((J296)+(K296)+(L296)+(M296)+(N296)+(O296)+(P296)+(Q296)+(R296)+(S296)+(T296)+(U296))</f>
        <v/>
      </c>
    </row>
    <row r="297">
      <c r="D297" s="386" t="inlineStr">
        <is>
          <t>Year 5</t>
        </is>
      </c>
      <c r="E297" s="386" t="n"/>
      <c r="F297" s="456" t="inlineStr">
        <is>
          <t>49 - 60</t>
        </is>
      </c>
      <c r="G297" s="456" t="n"/>
      <c r="H297" s="456" t="n"/>
      <c r="I297" s="422" t="n"/>
      <c r="J297" s="474">
        <f>((J215)*(J237)*(J280))</f>
        <v/>
      </c>
      <c r="K297" s="474">
        <f>((K215)*(K237)*(K280))</f>
        <v/>
      </c>
      <c r="L297" s="474">
        <f>((L215)*(L237)*(L280))</f>
        <v/>
      </c>
      <c r="M297" s="474">
        <f>((M215)*(M237)*(M280))</f>
        <v/>
      </c>
      <c r="N297" s="474">
        <f>((N215)*(N237)*(N280))</f>
        <v/>
      </c>
      <c r="O297" s="474">
        <f>((O215)*(O237)*(O280))</f>
        <v/>
      </c>
      <c r="P297" s="474">
        <f>((P215)*(P237)*(P280))</f>
        <v/>
      </c>
      <c r="Q297" s="474">
        <f>((Q215)*(Q237)*(Q280))</f>
        <v/>
      </c>
      <c r="R297" s="474">
        <f>((R215)*(R237)*(R280))</f>
        <v/>
      </c>
      <c r="S297" s="474">
        <f>((S215)*(S237)*(S280))</f>
        <v/>
      </c>
      <c r="T297" s="474">
        <f>((T215)*(T237)*(T280))</f>
        <v/>
      </c>
      <c r="U297" s="474">
        <f>((U215)*(U237)*(U280))</f>
        <v/>
      </c>
      <c r="V297" s="475">
        <f>((J297)+(K297)+(L297)+(M297)+(N297)+(O297)+(P297)+(Q297)+(R297)+(S297)+(T297)+(U297))</f>
        <v/>
      </c>
    </row>
    <row r="306" ht="15" customHeight="1" s="1883">
      <c r="F306" s="477" t="inlineStr">
        <is>
          <t>Total Actualized Users</t>
        </is>
      </c>
      <c r="G306" s="477" t="n"/>
      <c r="H306" s="477" t="n"/>
      <c r="I306" s="476" t="n"/>
    </row>
    <row r="307" ht="15" customHeight="1" s="1883">
      <c r="F307" s="476" t="n"/>
      <c r="G307" s="476" t="n"/>
      <c r="H307" s="476" t="n"/>
      <c r="I307" s="476" t="n"/>
    </row>
    <row r="308" ht="15" customHeight="1" s="1883">
      <c r="F308" s="437">
        <f>U190</f>
        <v/>
      </c>
      <c r="G308" s="437" t="n"/>
      <c r="H308" s="437" t="n"/>
      <c r="I308" s="477" t="inlineStr">
        <is>
          <t>Phone Users</t>
        </is>
      </c>
    </row>
    <row r="309" ht="15" customHeight="1" s="1883">
      <c r="F309" s="437">
        <f>'P&amp;L Assumptions (Companion App)'!AD142</f>
        <v/>
      </c>
      <c r="G309" s="437" t="n"/>
      <c r="H309" s="437" t="n"/>
      <c r="I309" s="477" t="inlineStr">
        <is>
          <t>Companion App Users</t>
        </is>
      </c>
    </row>
    <row r="310" ht="15" customHeight="1" s="1883">
      <c r="F310" s="437">
        <f>'P&amp;L Assumptions (Computer App)'!AD142</f>
        <v/>
      </c>
      <c r="G310" s="437" t="n"/>
      <c r="H310" s="437" t="n"/>
      <c r="I310" s="477" t="inlineStr">
        <is>
          <t>Computer App Users</t>
        </is>
      </c>
    </row>
    <row r="311" ht="15" customHeight="1" s="1883">
      <c r="F311" s="448">
        <f>SUM(F308:F310)</f>
        <v/>
      </c>
      <c r="G311" s="448" t="n"/>
      <c r="H311" s="448" t="n"/>
      <c r="I311" s="476" t="n"/>
    </row>
  </sheetData>
  <mergeCells count="80">
    <mergeCell ref="D195:F195"/>
    <mergeCell ref="D189:F189"/>
    <mergeCell ref="J221:V221"/>
    <mergeCell ref="D278:F278"/>
    <mergeCell ref="J286:V286"/>
    <mergeCell ref="D75:F75"/>
    <mergeCell ref="D197:F197"/>
    <mergeCell ref="D273:F273"/>
    <mergeCell ref="D102:F102"/>
    <mergeCell ref="D165:F165"/>
    <mergeCell ref="D196:F196"/>
    <mergeCell ref="D143:F143"/>
    <mergeCell ref="D279:F279"/>
    <mergeCell ref="D133:F133"/>
    <mergeCell ref="D142:F142"/>
    <mergeCell ref="D207:F207"/>
    <mergeCell ref="D256:F256"/>
    <mergeCell ref="D129:F129"/>
    <mergeCell ref="J60:V60"/>
    <mergeCell ref="D191:F191"/>
    <mergeCell ref="D262:F262"/>
    <mergeCell ref="D144:F144"/>
    <mergeCell ref="J30:V30"/>
    <mergeCell ref="D119:F119"/>
    <mergeCell ref="D190:F190"/>
    <mergeCell ref="D208:F208"/>
    <mergeCell ref="D120:F120"/>
    <mergeCell ref="D107:F107"/>
    <mergeCell ref="D209:F209"/>
    <mergeCell ref="D147:F147"/>
    <mergeCell ref="D162:F162"/>
    <mergeCell ref="D156:F156"/>
    <mergeCell ref="D214:F214"/>
    <mergeCell ref="D137:F137"/>
    <mergeCell ref="D106:F106"/>
    <mergeCell ref="D93:F93"/>
    <mergeCell ref="J244:V244"/>
    <mergeCell ref="D201:F201"/>
    <mergeCell ref="D83:F83"/>
    <mergeCell ref="D280:F280"/>
    <mergeCell ref="D174:F174"/>
    <mergeCell ref="J45:V45"/>
    <mergeCell ref="D111:F111"/>
    <mergeCell ref="D108:F108"/>
    <mergeCell ref="D266:F266"/>
    <mergeCell ref="D160:F160"/>
    <mergeCell ref="D272:F272"/>
    <mergeCell ref="D268:F268"/>
    <mergeCell ref="D97:F97"/>
    <mergeCell ref="D274:F274"/>
    <mergeCell ref="D71:F71"/>
    <mergeCell ref="D255:F255"/>
    <mergeCell ref="D202:F202"/>
    <mergeCell ref="D173:F173"/>
    <mergeCell ref="D115:F115"/>
    <mergeCell ref="D138:F138"/>
    <mergeCell ref="J179:V179"/>
    <mergeCell ref="D84:F84"/>
    <mergeCell ref="D155:F155"/>
    <mergeCell ref="D101:F101"/>
    <mergeCell ref="D124:F124"/>
    <mergeCell ref="D213:F213"/>
    <mergeCell ref="D151:F151"/>
    <mergeCell ref="D126:F126"/>
    <mergeCell ref="D254:F254"/>
    <mergeCell ref="D70:F70"/>
    <mergeCell ref="D215:F215"/>
    <mergeCell ref="D125:F125"/>
    <mergeCell ref="D72:F72"/>
    <mergeCell ref="D161:F161"/>
    <mergeCell ref="D260:F260"/>
    <mergeCell ref="D89:F89"/>
    <mergeCell ref="D169:F169"/>
    <mergeCell ref="D79:F79"/>
    <mergeCell ref="D88:F88"/>
    <mergeCell ref="J15:V15"/>
    <mergeCell ref="D90:F90"/>
    <mergeCell ref="D203:F203"/>
    <mergeCell ref="D261:F261"/>
    <mergeCell ref="D267:F267"/>
  </mergeCells>
  <printOptions horizontalCentered="1" gridLines="1"/>
  <pageMargins left="0.7" right="0.7" top="0.75" bottom="0.75" header="0" footer="0"/>
  <pageSetup orientation="landscape" fitToHeight="0" pageOrder="overThenDown" cellComments="atEnd"/>
  <legacyDrawing xmlns:r="http://schemas.openxmlformats.org/officeDocument/2006/relationships" r:id="anysvml"/>
</worksheet>
</file>

<file path=xl/worksheets/sheet10.xml><?xml version="1.0" encoding="utf-8"?>
<worksheet xmlns="http://schemas.openxmlformats.org/spreadsheetml/2006/main">
  <sheetPr>
    <tabColor rgb="FFCCFFCC"/>
    <outlinePr summaryBelow="0" summaryRight="0"/>
    <pageSetUpPr fitToPage="1"/>
  </sheetPr>
  <dimension ref="B2:AK268"/>
  <sheetViews>
    <sheetView topLeftCell="A184" zoomScale="95" zoomScaleNormal="95" workbookViewId="0">
      <selection activeCell="AH107" sqref="AH107"/>
    </sheetView>
  </sheetViews>
  <sheetFormatPr baseColWidth="10" defaultColWidth="17.33203125" defaultRowHeight="15" customHeight="1"/>
  <cols>
    <col width="2.6640625" customWidth="1" style="1883" min="1" max="1"/>
    <col width="4.6640625" customWidth="1" style="1883" min="2" max="2"/>
    <col width="0.6640625" customWidth="1" style="1883" min="3" max="3"/>
    <col width="2.6640625" customWidth="1" style="1883" min="4" max="5"/>
    <col width="25.6640625" customWidth="1" style="1883" min="6" max="6"/>
    <col width="1.6640625" customWidth="1" style="1883" min="7" max="9"/>
    <col width="15.6640625" customWidth="1" style="1883" min="10" max="10"/>
    <col width="0.6640625" customWidth="1" style="1883" min="11" max="11"/>
    <col width="15.6640625" customWidth="1" style="1883" min="12" max="12"/>
    <col width="0.6640625" customWidth="1" style="1883" min="13" max="13"/>
    <col width="15.6640625" customWidth="1" style="1883" min="14" max="14"/>
    <col width="0.6640625" customWidth="1" style="1883" min="15" max="15"/>
    <col width="15.6640625" customWidth="1" style="1883" min="16" max="16"/>
    <col width="0.6640625" customWidth="1" style="1883" min="17" max="17"/>
    <col width="15.6640625" customWidth="1" style="1883" min="18" max="18"/>
    <col width="0.6640625" customWidth="1" style="1883" min="19" max="19"/>
    <col width="15.6640625" customWidth="1" style="1883" min="20" max="20"/>
    <col width="0.6640625" customWidth="1" style="1883" min="21" max="21"/>
    <col width="15.6640625" customWidth="1" style="1883" min="22" max="22"/>
    <col width="0.6640625" customWidth="1" style="1883" min="23" max="23"/>
    <col width="15.6640625" customWidth="1" style="1883" min="24" max="24"/>
    <col width="0.6640625" customWidth="1" style="1883" min="25" max="25"/>
    <col width="15.6640625" customWidth="1" style="1883" min="26" max="26"/>
    <col width="0.6640625" customWidth="1" style="1883" min="27" max="27"/>
    <col width="15.6640625" customWidth="1" style="1883" min="28" max="28"/>
    <col width="0.6640625" customWidth="1" style="1883" min="29" max="29"/>
    <col width="15.6640625" customWidth="1" style="1883" min="30" max="30"/>
    <col width="0.6640625" customWidth="1" style="1883" min="31" max="31"/>
    <col width="15.6640625" customWidth="1" style="1883" min="32" max="32"/>
    <col width="1.6640625" customWidth="1" style="1883" min="33" max="33"/>
    <col width="18.6640625" customWidth="1" style="1883" min="34" max="34"/>
    <col width="2.6640625" customWidth="1" style="1883" min="35" max="35"/>
    <col width="15.6640625" customWidth="1" style="1883" min="36" max="44"/>
  </cols>
  <sheetData>
    <row r="2">
      <c r="B2" s="385" t="inlineStr">
        <is>
          <t>PURE TECHNOLOGY</t>
        </is>
      </c>
      <c r="C2" s="116" t="n"/>
      <c r="D2" s="116" t="n"/>
      <c r="E2" s="116" t="n"/>
      <c r="F2" s="116" t="n"/>
      <c r="G2" s="116" t="n"/>
      <c r="H2" s="116" t="n"/>
      <c r="I2" s="116" t="n"/>
      <c r="J2" s="116" t="n"/>
      <c r="K2" s="116" t="n"/>
      <c r="L2" s="116" t="n"/>
      <c r="M2" s="116" t="n"/>
      <c r="N2" s="116" t="n"/>
      <c r="O2" s="116" t="n"/>
      <c r="P2" s="116" t="n"/>
      <c r="Q2" s="116" t="n"/>
      <c r="R2" s="116" t="n"/>
      <c r="S2" s="116" t="n"/>
      <c r="T2" s="116" t="n"/>
    </row>
    <row r="3" ht="4.5" customHeight="1" s="1883">
      <c r="B3" s="383" t="n"/>
      <c r="C3" s="116" t="n"/>
      <c r="D3" s="116" t="n"/>
      <c r="E3" s="116" t="n"/>
      <c r="F3" s="116" t="n"/>
      <c r="G3" s="116" t="n"/>
      <c r="H3" s="116" t="n"/>
      <c r="I3" s="116" t="n"/>
      <c r="J3" s="116" t="n"/>
      <c r="K3" s="116" t="n"/>
      <c r="L3" s="116" t="n"/>
      <c r="M3" s="116" t="n"/>
      <c r="N3" s="116" t="n"/>
      <c r="O3" s="116" t="n"/>
      <c r="P3" s="116" t="n"/>
      <c r="Q3" s="116" t="n"/>
      <c r="R3" s="116" t="n"/>
      <c r="S3" s="116" t="n"/>
      <c r="T3" s="116" t="n"/>
    </row>
    <row r="4">
      <c r="B4" s="423" t="inlineStr">
        <is>
          <t>TELEPHONE - REVENUE DRIVERS</t>
        </is>
      </c>
      <c r="C4" s="116" t="n"/>
      <c r="D4" s="116" t="n"/>
      <c r="E4" s="116" t="n"/>
      <c r="F4" s="116" t="n"/>
      <c r="G4" s="116" t="n"/>
      <c r="H4" s="116" t="n"/>
      <c r="I4" s="116" t="n"/>
      <c r="J4" s="116" t="n"/>
      <c r="K4" s="116" t="n"/>
      <c r="L4" s="116" t="n"/>
      <c r="M4" s="116" t="n"/>
      <c r="N4" s="116" t="n"/>
      <c r="O4" s="116" t="n"/>
      <c r="P4" s="116" t="n"/>
      <c r="Q4" s="116" t="n"/>
      <c r="R4" s="116" t="n"/>
      <c r="S4" s="116" t="n"/>
      <c r="T4" s="116" t="n"/>
    </row>
    <row r="5" ht="4.5" customHeight="1" s="1883">
      <c r="B5" s="422" t="n"/>
      <c r="C5" s="116" t="n"/>
      <c r="D5" s="116" t="n"/>
      <c r="E5" s="116" t="n"/>
      <c r="F5" s="116" t="n"/>
      <c r="G5" s="116" t="n"/>
      <c r="H5" s="116" t="n"/>
      <c r="I5" s="116" t="n"/>
      <c r="J5" s="116" t="n"/>
      <c r="K5" s="116" t="n"/>
      <c r="L5" s="116" t="n"/>
      <c r="M5" s="116" t="n"/>
      <c r="N5" s="116" t="n"/>
      <c r="O5" s="116" t="n"/>
      <c r="P5" s="116" t="n"/>
      <c r="Q5" s="116" t="n"/>
      <c r="R5" s="116" t="n"/>
      <c r="S5" s="116" t="n"/>
      <c r="T5" s="116" t="n"/>
    </row>
    <row r="6">
      <c r="B6" s="423" t="inlineStr">
        <is>
          <t>MONTHS 1 - 60</t>
        </is>
      </c>
      <c r="C6" s="116" t="n"/>
      <c r="D6" s="116" t="n"/>
      <c r="E6" s="116" t="n"/>
      <c r="F6" s="116" t="n"/>
      <c r="G6" s="116" t="n"/>
      <c r="H6" s="116" t="n"/>
      <c r="I6" s="116" t="n"/>
      <c r="J6" s="116" t="n"/>
      <c r="K6" s="116" t="n"/>
      <c r="L6" s="116" t="n"/>
      <c r="M6" s="116" t="n"/>
      <c r="N6" s="116" t="n"/>
      <c r="O6" s="116" t="n"/>
      <c r="P6" s="116" t="n"/>
      <c r="Q6" s="116" t="n"/>
      <c r="R6" s="116" t="n"/>
      <c r="S6" s="116" t="n"/>
      <c r="T6" s="116" t="n"/>
    </row>
    <row r="7">
      <c r="B7" s="626" t="n"/>
      <c r="C7" s="116" t="n"/>
      <c r="D7" s="116" t="n"/>
      <c r="E7" s="116" t="n"/>
      <c r="F7" s="116" t="n"/>
      <c r="G7" s="116" t="n"/>
      <c r="H7" s="116" t="n"/>
      <c r="I7" s="116" t="n"/>
      <c r="J7" s="116" t="n"/>
      <c r="K7" s="116" t="n"/>
      <c r="L7" s="116" t="n"/>
      <c r="M7" s="116" t="n"/>
      <c r="N7" s="116" t="n"/>
      <c r="O7" s="116" t="n"/>
      <c r="P7" s="116" t="n"/>
      <c r="Q7" s="116" t="n"/>
      <c r="R7" s="116" t="n"/>
      <c r="S7" s="116" t="n"/>
      <c r="T7" s="116" t="n"/>
    </row>
    <row r="8" ht="3" customHeight="1" s="1883" thickBot="1">
      <c r="B8" s="925" t="n"/>
      <c r="C8" s="816" t="n"/>
      <c r="D8" s="816" t="n"/>
      <c r="E8" s="816" t="n"/>
      <c r="F8" s="816" t="n"/>
      <c r="G8" s="116" t="n"/>
      <c r="H8" s="116" t="n"/>
      <c r="I8" s="116" t="n"/>
      <c r="J8" s="116" t="n"/>
      <c r="K8" s="116" t="n"/>
      <c r="L8" s="116" t="n"/>
      <c r="M8" s="116" t="n"/>
      <c r="N8" s="116" t="n"/>
      <c r="O8" s="116" t="n"/>
      <c r="P8" s="116" t="n"/>
      <c r="Q8" s="116" t="n"/>
      <c r="R8" s="116" t="n"/>
      <c r="S8" s="116" t="n"/>
      <c r="T8" s="116" t="n"/>
    </row>
    <row r="9" ht="3" customHeight="1" s="1883" thickTop="1">
      <c r="B9" s="626" t="n"/>
      <c r="C9" s="116" t="n"/>
      <c r="D9" s="116" t="n"/>
      <c r="E9" s="116" t="n"/>
      <c r="F9" s="116" t="n"/>
      <c r="G9" s="116" t="n"/>
      <c r="H9" s="116" t="n"/>
      <c r="I9" s="116" t="n"/>
      <c r="J9" s="116" t="n"/>
      <c r="K9" s="116" t="n"/>
      <c r="L9" s="116" t="n"/>
      <c r="M9" s="116" t="n"/>
      <c r="N9" s="116" t="n"/>
      <c r="O9" s="116" t="n"/>
      <c r="P9" s="116" t="n"/>
      <c r="Q9" s="116" t="n"/>
      <c r="R9" s="116" t="n"/>
      <c r="S9" s="116" t="n"/>
      <c r="T9" s="116" t="n"/>
    </row>
    <row r="10">
      <c r="B10" s="626" t="n"/>
      <c r="C10" s="116" t="n"/>
      <c r="D10" s="116" t="n"/>
      <c r="E10" s="116" t="n"/>
      <c r="F10" s="116" t="n"/>
      <c r="G10" s="116" t="n"/>
      <c r="H10" s="116" t="n"/>
      <c r="I10" s="116" t="n"/>
      <c r="J10" s="116" t="n"/>
      <c r="K10" s="116" t="n"/>
      <c r="L10" s="116" t="n"/>
      <c r="M10" s="116" t="n"/>
      <c r="N10" s="116" t="n"/>
      <c r="O10" s="116" t="n"/>
      <c r="P10" s="116" t="n"/>
      <c r="Q10" s="116" t="n"/>
      <c r="R10" s="116" t="n"/>
      <c r="S10" s="116" t="n"/>
      <c r="T10" s="116" t="n"/>
    </row>
    <row r="11">
      <c r="B11" s="116" t="n"/>
      <c r="C11" s="116" t="n"/>
      <c r="D11" s="116" t="n"/>
      <c r="E11" s="116" t="n"/>
      <c r="F11" s="116" t="n"/>
      <c r="G11" s="116" t="n"/>
      <c r="H11" s="116" t="n"/>
      <c r="I11" s="116" t="n"/>
      <c r="J11" s="116" t="n"/>
      <c r="K11" s="116" t="n"/>
      <c r="L11" s="116" t="n"/>
      <c r="M11" s="116" t="n"/>
      <c r="N11" s="116" t="n"/>
      <c r="O11" s="116" t="n"/>
      <c r="P11" s="116" t="n"/>
      <c r="Q11" s="116" t="n"/>
      <c r="R11" s="116" t="n"/>
      <c r="S11" s="116" t="n"/>
      <c r="T11" s="116" t="n"/>
    </row>
    <row r="12">
      <c r="B12" s="116" t="n"/>
      <c r="C12" s="116" t="n"/>
      <c r="D12" s="116" t="n"/>
      <c r="E12" s="116" t="n"/>
      <c r="F12" s="116" t="n"/>
      <c r="G12" s="116" t="n"/>
      <c r="H12" s="116" t="n"/>
      <c r="I12" s="116" t="n"/>
      <c r="J12" s="1882" t="inlineStr">
        <is>
          <t>Revenue Drivers</t>
        </is>
      </c>
    </row>
    <row r="13" ht="3" customHeight="1" s="1883">
      <c r="B13" s="116" t="n"/>
      <c r="C13" s="116" t="n"/>
      <c r="D13" s="116" t="n"/>
      <c r="E13" s="116" t="n"/>
      <c r="F13" s="116" t="n"/>
      <c r="G13" s="116" t="n"/>
      <c r="H13" s="116" t="n"/>
      <c r="I13" s="116" t="n"/>
      <c r="J13" s="948" t="n"/>
      <c r="K13" s="948" t="n"/>
      <c r="L13" s="948" t="n"/>
      <c r="M13" s="948" t="n"/>
      <c r="N13" s="948" t="n"/>
      <c r="O13" s="948" t="n"/>
      <c r="P13" s="948" t="n"/>
      <c r="Q13" s="948" t="n"/>
      <c r="R13" s="948" t="n"/>
      <c r="S13" s="387" t="n"/>
      <c r="T13" s="387" t="n"/>
    </row>
    <row r="14" ht="3" customHeight="1" s="1883">
      <c r="B14" s="116" t="n"/>
      <c r="C14" s="116" t="n"/>
      <c r="D14" s="116" t="n"/>
      <c r="E14" s="116" t="n"/>
      <c r="F14" s="116" t="n"/>
      <c r="G14" s="116" t="n"/>
      <c r="H14" s="116" t="n"/>
      <c r="I14" s="116" t="n"/>
      <c r="J14" s="383" t="n"/>
      <c r="K14" s="383" t="n"/>
      <c r="L14" s="383" t="n"/>
      <c r="M14" s="383" t="n"/>
      <c r="N14" s="383" t="n"/>
      <c r="O14" s="383" t="n"/>
      <c r="P14" s="383" t="n"/>
      <c r="Q14" s="383" t="n"/>
      <c r="R14" s="383" t="n"/>
      <c r="S14" s="383" t="n"/>
      <c r="T14" s="383" t="n"/>
    </row>
    <row r="15">
      <c r="B15" s="118" t="n"/>
      <c r="C15" s="118" t="n"/>
      <c r="D15" s="118" t="n"/>
      <c r="E15" s="118" t="n"/>
      <c r="F15" s="118" t="n"/>
      <c r="G15" s="116" t="n"/>
      <c r="H15" s="116" t="n"/>
      <c r="I15" s="116" t="n"/>
      <c r="J15" s="383" t="n"/>
      <c r="K15" s="383" t="n"/>
      <c r="L15" s="383" t="n"/>
      <c r="M15" s="383" t="n"/>
      <c r="N15" s="383" t="n"/>
      <c r="O15" s="383" t="n"/>
      <c r="P15" s="419" t="inlineStr">
        <is>
          <t>Billable</t>
        </is>
      </c>
      <c r="Q15" s="383" t="n"/>
      <c r="R15" s="383" t="n"/>
      <c r="S15" s="383" t="n"/>
      <c r="T15" s="386" t="n"/>
    </row>
    <row r="16">
      <c r="B16" s="118" t="n"/>
      <c r="C16" s="118" t="n"/>
      <c r="D16" s="118" t="n"/>
      <c r="E16" s="118" t="n"/>
      <c r="F16" s="118" t="n"/>
      <c r="G16" s="116" t="n"/>
      <c r="H16" s="116" t="n"/>
      <c r="I16" s="116" t="n"/>
      <c r="J16" s="383" t="n"/>
      <c r="K16" s="383" t="n"/>
      <c r="L16" s="386" t="inlineStr">
        <is>
          <t>Billable Time</t>
        </is>
      </c>
      <c r="M16" s="383" t="n"/>
      <c r="N16" s="386" t="inlineStr">
        <is>
          <t>Rate Per Hour</t>
        </is>
      </c>
      <c r="O16" s="383" t="n"/>
      <c r="P16" s="419" t="inlineStr">
        <is>
          <t>Conversion</t>
        </is>
      </c>
      <c r="Q16" s="383" t="n"/>
      <c r="R16" s="386" t="inlineStr">
        <is>
          <t>RPH Discount</t>
        </is>
      </c>
      <c r="S16" s="383" t="n"/>
      <c r="T16" s="386" t="inlineStr">
        <is>
          <t>Attrition</t>
        </is>
      </c>
      <c r="V16" s="117" t="inlineStr">
        <is>
          <t xml:space="preserve">Minutes </t>
        </is>
      </c>
      <c r="W16" s="117" t="n"/>
      <c r="X16" s="117" t="inlineStr">
        <is>
          <t>Hours</t>
        </is>
      </c>
    </row>
    <row r="17">
      <c r="J17" s="386" t="inlineStr">
        <is>
          <t>Year</t>
        </is>
      </c>
      <c r="K17" s="383" t="n"/>
      <c r="L17" s="484" t="inlineStr">
        <is>
          <t>Minutes/Month</t>
        </is>
      </c>
      <c r="M17" s="383" t="n"/>
      <c r="N17" s="484" t="inlineStr">
        <is>
          <t>$/Hour</t>
        </is>
      </c>
      <c r="O17" s="383" t="n"/>
      <c r="P17" s="486" t="inlineStr">
        <is>
          <t>% Rate</t>
        </is>
      </c>
      <c r="Q17" s="383" t="n"/>
      <c r="R17" s="484" t="inlineStr">
        <is>
          <t>% Discount</t>
        </is>
      </c>
      <c r="S17" s="383" t="n"/>
      <c r="T17" s="484" t="inlineStr">
        <is>
          <t>% Month</t>
        </is>
      </c>
      <c r="U17" s="116" t="n"/>
      <c r="V17" s="1707" t="inlineStr">
        <is>
          <t>Per Year</t>
        </is>
      </c>
      <c r="W17" s="1707" t="n"/>
      <c r="X17" s="1707" t="inlineStr">
        <is>
          <t>Per Year</t>
        </is>
      </c>
      <c r="Y17" s="116" t="n"/>
      <c r="Z17" s="116" t="n"/>
      <c r="AA17" s="116" t="n"/>
      <c r="AB17" s="116" t="n"/>
      <c r="AC17" s="116" t="n"/>
      <c r="AD17" s="116" t="n"/>
      <c r="AE17" s="116" t="n"/>
      <c r="AF17" s="116" t="n"/>
      <c r="AG17" s="116" t="n"/>
      <c r="AH17" s="116" t="n"/>
    </row>
    <row r="18" ht="3" customHeight="1" s="1883">
      <c r="J18" s="949" t="n"/>
      <c r="K18" s="383" t="n"/>
      <c r="L18" s="949" t="n"/>
      <c r="M18" s="383" t="n"/>
      <c r="N18" s="949" t="n"/>
      <c r="O18" s="383" t="n"/>
      <c r="P18" s="387" t="n"/>
      <c r="Q18" s="383" t="n"/>
      <c r="R18" s="949" t="n"/>
      <c r="S18" s="383" t="n"/>
      <c r="T18" s="949" t="n"/>
      <c r="U18" s="116" t="n"/>
      <c r="V18" s="949" t="n"/>
      <c r="W18" s="116" t="n"/>
      <c r="X18" s="949" t="n"/>
      <c r="Y18" s="116" t="n"/>
      <c r="Z18" s="116" t="n"/>
      <c r="AA18" s="116" t="n"/>
      <c r="AB18" s="116" t="n"/>
      <c r="AC18" s="116" t="n"/>
      <c r="AD18" s="116" t="n"/>
      <c r="AE18" s="116" t="n"/>
      <c r="AF18" s="116" t="n"/>
      <c r="AG18" s="116" t="n"/>
      <c r="AH18" s="116" t="n"/>
    </row>
    <row r="19" ht="3" customHeight="1" s="1883">
      <c r="J19" s="383" t="n"/>
      <c r="K19" s="383" t="n"/>
      <c r="L19" s="383" t="n"/>
      <c r="M19" s="383" t="n"/>
      <c r="N19" s="383" t="n"/>
      <c r="O19" s="383" t="n"/>
      <c r="P19" s="383" t="n"/>
      <c r="Q19" s="383" t="n"/>
      <c r="R19" s="383" t="n"/>
      <c r="S19" s="383" t="n"/>
      <c r="T19" s="383" t="n"/>
      <c r="U19" s="383" t="n"/>
      <c r="V19" s="383" t="n"/>
      <c r="W19" s="383" t="n"/>
      <c r="X19" s="383" t="n"/>
      <c r="Y19" s="116" t="n"/>
      <c r="Z19" s="116" t="n"/>
      <c r="AA19" s="116" t="n"/>
      <c r="AB19" s="116" t="n"/>
      <c r="AC19" s="116" t="n"/>
      <c r="AD19" s="116" t="n"/>
      <c r="AE19" s="116" t="n"/>
      <c r="AF19" s="116" t="n"/>
      <c r="AG19" s="116" t="n"/>
      <c r="AH19" s="116" t="n"/>
    </row>
    <row r="20">
      <c r="J20" s="386" t="inlineStr">
        <is>
          <t>Year 0</t>
        </is>
      </c>
      <c r="K20" s="383" t="n"/>
      <c r="L20" s="2021" t="n">
        <v>0</v>
      </c>
      <c r="M20" s="2021" t="n"/>
      <c r="N20" s="2021" t="n">
        <v>0</v>
      </c>
      <c r="O20" s="383" t="n"/>
      <c r="P20" s="383" t="n"/>
      <c r="Q20" s="383" t="n"/>
      <c r="R20" s="608" t="n">
        <v>0</v>
      </c>
      <c r="S20" s="383" t="n"/>
      <c r="T20" s="608" t="n">
        <v>0</v>
      </c>
      <c r="U20" s="116" t="n"/>
      <c r="V20" s="116">
        <f>L20*12</f>
        <v/>
      </c>
      <c r="W20" s="116" t="n"/>
      <c r="X20" s="116">
        <f>V20/60</f>
        <v/>
      </c>
      <c r="Y20" s="116" t="n"/>
      <c r="Z20" s="116" t="n"/>
      <c r="AA20" s="116" t="n"/>
      <c r="AB20" s="116" t="n"/>
      <c r="AC20" s="116" t="n"/>
      <c r="AD20" s="116" t="n"/>
      <c r="AE20" s="116" t="n"/>
      <c r="AF20" s="116" t="n"/>
      <c r="AG20" s="116" t="n"/>
      <c r="AH20" s="116" t="n"/>
    </row>
    <row r="21">
      <c r="J21" s="386" t="inlineStr">
        <is>
          <t>Year 1</t>
        </is>
      </c>
      <c r="K21" s="383" t="n"/>
      <c r="L21" s="606" t="n">
        <v>41.43</v>
      </c>
      <c r="M21" s="383" t="n"/>
      <c r="N21" s="605">
        <f>(215.2+310.67)/2</f>
        <v/>
      </c>
      <c r="O21" s="383" t="n"/>
      <c r="P21" s="2028">
        <f>'3C. Tel. - Revenue Drivers - 1 '!J229</f>
        <v/>
      </c>
      <c r="Q21" s="383" t="n"/>
      <c r="R21" s="608" t="n">
        <v>0.25</v>
      </c>
      <c r="S21" s="383" t="n"/>
      <c r="T21" s="608">
        <f>'3E. Tel. Attrit. Renew. Reward'!$G$11</f>
        <v/>
      </c>
      <c r="U21" s="116" t="n"/>
      <c r="V21" s="116">
        <f>L21*12</f>
        <v/>
      </c>
      <c r="W21" s="116" t="n"/>
      <c r="X21" s="116">
        <f>V21/60</f>
        <v/>
      </c>
      <c r="Y21" s="116" t="n"/>
      <c r="Z21" s="116" t="n"/>
      <c r="AA21" s="116" t="n"/>
      <c r="AB21" s="116" t="n"/>
      <c r="AC21" s="116" t="n"/>
      <c r="AD21" s="116" t="n"/>
      <c r="AE21" s="116" t="n"/>
      <c r="AF21" s="116" t="n"/>
      <c r="AG21" s="116" t="n"/>
      <c r="AH21" s="116" t="n"/>
    </row>
    <row r="22">
      <c r="J22" s="386" t="inlineStr">
        <is>
          <t>Year 2</t>
        </is>
      </c>
      <c r="K22" s="383" t="n"/>
      <c r="L22" s="606" t="n">
        <v>52</v>
      </c>
      <c r="M22" s="383" t="n"/>
      <c r="N22" s="605">
        <f>N21*1.01</f>
        <v/>
      </c>
      <c r="O22" s="383" t="n"/>
      <c r="P22" s="2028">
        <f>'3C. Tel. - Revenue Drivers - 1 '!J231</f>
        <v/>
      </c>
      <c r="Q22" s="383" t="n"/>
      <c r="R22" s="608" t="n">
        <v>0.25</v>
      </c>
      <c r="S22" s="383" t="n"/>
      <c r="T22" s="608">
        <f>'3E. Tel. Attrit. Renew. Reward'!$G$11</f>
        <v/>
      </c>
      <c r="U22" s="116" t="n"/>
      <c r="V22" s="116">
        <f>L22*12</f>
        <v/>
      </c>
      <c r="W22" s="116" t="n"/>
      <c r="X22" s="116">
        <f>V22/60</f>
        <v/>
      </c>
      <c r="Y22" s="116" t="n"/>
      <c r="Z22" s="116" t="n"/>
      <c r="AA22" s="116" t="n"/>
      <c r="AB22" s="116" t="n"/>
      <c r="AC22" s="116" t="n"/>
      <c r="AD22" s="116" t="n"/>
      <c r="AE22" s="116" t="n"/>
      <c r="AF22" s="116" t="n"/>
      <c r="AG22" s="116" t="n"/>
      <c r="AH22" s="116" t="n"/>
    </row>
    <row r="23">
      <c r="J23" s="386" t="inlineStr">
        <is>
          <t>Year 3</t>
        </is>
      </c>
      <c r="K23" s="383" t="n"/>
      <c r="L23" s="606" t="n">
        <v>70</v>
      </c>
      <c r="M23" s="383" t="n"/>
      <c r="N23" s="605">
        <f>N22*1.01</f>
        <v/>
      </c>
      <c r="O23" s="383" t="n"/>
      <c r="P23" s="2028">
        <f>'3C. Tel. - Revenue Drivers - 1 '!J233</f>
        <v/>
      </c>
      <c r="Q23" s="383" t="n"/>
      <c r="R23" s="608" t="n">
        <v>0.25</v>
      </c>
      <c r="S23" s="383" t="n"/>
      <c r="T23" s="608">
        <f>'3E. Tel. Attrit. Renew. Reward'!$G$11</f>
        <v/>
      </c>
      <c r="U23" s="116" t="n"/>
      <c r="V23" s="116">
        <f>L23*12</f>
        <v/>
      </c>
      <c r="W23" s="116" t="n"/>
      <c r="X23" s="116">
        <f>V23/60</f>
        <v/>
      </c>
      <c r="Y23" s="116" t="n"/>
      <c r="Z23" s="116" t="n"/>
      <c r="AA23" s="116" t="n"/>
      <c r="AB23" s="116" t="n"/>
      <c r="AC23" s="116" t="n"/>
      <c r="AD23" s="116" t="n"/>
      <c r="AE23" s="116" t="n"/>
      <c r="AF23" s="116" t="n"/>
      <c r="AG23" s="116" t="n"/>
      <c r="AH23" s="116" t="n"/>
    </row>
    <row r="24">
      <c r="J24" s="386" t="inlineStr">
        <is>
          <t>Year 4</t>
        </is>
      </c>
      <c r="K24" s="383" t="n"/>
      <c r="L24" s="606" t="n">
        <v>97</v>
      </c>
      <c r="M24" s="383" t="n"/>
      <c r="N24" s="605">
        <f>N23*1.01</f>
        <v/>
      </c>
      <c r="O24" s="383" t="n"/>
      <c r="P24" s="2028">
        <f>'3C. Tel. - Revenue Drivers - 1 '!J235</f>
        <v/>
      </c>
      <c r="Q24" s="383" t="n"/>
      <c r="R24" s="608" t="n">
        <v>0.25</v>
      </c>
      <c r="S24" s="383" t="n"/>
      <c r="T24" s="608">
        <f>'3E. Tel. Attrit. Renew. Reward'!$G$11</f>
        <v/>
      </c>
      <c r="U24" s="116" t="n"/>
      <c r="V24" s="116">
        <f>L24*12</f>
        <v/>
      </c>
      <c r="W24" s="116" t="n"/>
      <c r="X24" s="116">
        <f>V24/60</f>
        <v/>
      </c>
      <c r="Y24" s="116" t="n"/>
      <c r="Z24" s="116" t="n"/>
      <c r="AA24" s="116" t="n"/>
      <c r="AB24" s="116" t="n"/>
      <c r="AC24" s="116" t="n"/>
      <c r="AD24" s="116" t="n"/>
      <c r="AE24" s="116" t="n"/>
      <c r="AF24" s="116" t="n"/>
      <c r="AG24" s="116" t="n"/>
      <c r="AH24" s="116" t="n"/>
    </row>
    <row r="25">
      <c r="J25" s="386" t="inlineStr">
        <is>
          <t>Year 5</t>
        </is>
      </c>
      <c r="K25" s="383" t="n"/>
      <c r="L25" s="606" t="n">
        <v>106</v>
      </c>
      <c r="M25" s="383" t="n"/>
      <c r="N25" s="605">
        <f>N24*1.01</f>
        <v/>
      </c>
      <c r="O25" s="383" t="n"/>
      <c r="P25" s="2028">
        <f>'3C. Tel. - Revenue Drivers - 1 '!J237</f>
        <v/>
      </c>
      <c r="Q25" s="383" t="n"/>
      <c r="R25" s="608" t="n">
        <v>0.25</v>
      </c>
      <c r="S25" s="383" t="n"/>
      <c r="T25" s="608">
        <f>'3E. Tel. Attrit. Renew. Reward'!$G$11</f>
        <v/>
      </c>
      <c r="U25" s="116" t="n"/>
      <c r="V25" s="116">
        <f>L25*12</f>
        <v/>
      </c>
      <c r="W25" s="116" t="n"/>
      <c r="X25" s="116">
        <f>V25/60</f>
        <v/>
      </c>
      <c r="Y25" s="116" t="n"/>
      <c r="Z25" s="116" t="n"/>
      <c r="AA25" s="116" t="n"/>
      <c r="AB25" s="116" t="n"/>
      <c r="AC25" s="116" t="n"/>
      <c r="AD25" s="116" t="n"/>
      <c r="AE25" s="116" t="n"/>
      <c r="AF25" s="116" t="n"/>
      <c r="AG25" s="116" t="n"/>
      <c r="AH25" s="116" t="n"/>
    </row>
    <row r="26">
      <c r="J26" s="116" t="n"/>
      <c r="K26" s="116" t="n"/>
      <c r="L26" s="116" t="n"/>
      <c r="M26" s="116" t="n"/>
      <c r="N26" s="116" t="n"/>
      <c r="O26" s="116" t="n"/>
      <c r="P26" s="116" t="n"/>
      <c r="Q26" s="116" t="n"/>
      <c r="R26" s="116" t="n"/>
      <c r="S26" s="116" t="n"/>
      <c r="T26" s="116" t="n"/>
      <c r="U26" s="116" t="n"/>
      <c r="V26" s="116" t="n"/>
      <c r="W26" s="116" t="n"/>
      <c r="X26" s="116" t="n"/>
      <c r="Y26" s="116" t="n"/>
      <c r="Z26" s="116" t="n"/>
      <c r="AA26" s="116" t="n"/>
      <c r="AB26" s="116" t="n"/>
      <c r="AC26" s="116" t="n"/>
      <c r="AD26" s="116" t="n"/>
      <c r="AE26" s="116" t="n"/>
      <c r="AF26" s="116" t="n"/>
      <c r="AG26" s="116" t="n"/>
      <c r="AH26" s="116" t="n"/>
    </row>
    <row r="27">
      <c r="J27" s="116" t="n"/>
      <c r="K27" s="116" t="n"/>
      <c r="L27" s="116" t="n"/>
      <c r="M27" s="116" t="n"/>
      <c r="N27" s="116" t="n"/>
      <c r="O27" s="116" t="n"/>
      <c r="P27" s="116" t="n"/>
      <c r="Q27" s="116" t="n"/>
      <c r="R27" s="116" t="n"/>
      <c r="S27" s="116" t="n"/>
      <c r="T27" s="116" t="n"/>
      <c r="U27" s="116" t="n"/>
      <c r="V27" s="116" t="n"/>
      <c r="W27" s="116" t="n"/>
      <c r="X27" s="116" t="n"/>
      <c r="Y27" s="116" t="n"/>
      <c r="Z27" s="116" t="n"/>
      <c r="AA27" s="116" t="n"/>
      <c r="AB27" s="116" t="n"/>
      <c r="AC27" s="116" t="n"/>
      <c r="AD27" s="116" t="n"/>
      <c r="AE27" s="116" t="n"/>
      <c r="AF27" s="116" t="n"/>
      <c r="AG27" s="116" t="n"/>
      <c r="AH27" s="116" t="n"/>
    </row>
    <row r="28">
      <c r="J28" s="1915" t="inlineStr">
        <is>
          <t>Year 0 - Exploration, Organization and Ramp-Up</t>
        </is>
      </c>
    </row>
    <row r="29" ht="3" customHeight="1" s="1883">
      <c r="J29" s="950" t="n"/>
      <c r="K29" s="950" t="n"/>
      <c r="L29" s="950" t="n"/>
      <c r="M29" s="950" t="n"/>
      <c r="N29" s="950" t="n"/>
      <c r="O29" s="950" t="n"/>
      <c r="P29" s="950" t="n"/>
      <c r="Q29" s="950" t="n"/>
      <c r="R29" s="950" t="n"/>
      <c r="S29" s="950" t="n"/>
      <c r="T29" s="950" t="n"/>
      <c r="U29" s="950" t="n"/>
      <c r="V29" s="950" t="n"/>
      <c r="W29" s="950" t="n"/>
      <c r="X29" s="950" t="n"/>
      <c r="Y29" s="950" t="n"/>
      <c r="Z29" s="950" t="n"/>
      <c r="AA29" s="950" t="n"/>
      <c r="AB29" s="950" t="n"/>
      <c r="AC29" s="950" t="n"/>
      <c r="AD29" s="950" t="n"/>
      <c r="AE29" s="950" t="n"/>
      <c r="AF29" s="950" t="n"/>
      <c r="AG29" s="950" t="n"/>
      <c r="AH29" s="950" t="n"/>
    </row>
    <row r="30" ht="3" customHeight="1" s="1883">
      <c r="J30" s="116" t="n"/>
      <c r="K30" s="116" t="n"/>
      <c r="L30" s="116" t="n"/>
      <c r="M30" s="116" t="n"/>
      <c r="N30" s="116" t="n"/>
      <c r="O30" s="116" t="n"/>
      <c r="P30" s="116" t="n"/>
      <c r="Q30" s="116" t="n"/>
      <c r="R30" s="116" t="n"/>
      <c r="S30" s="116" t="n"/>
      <c r="T30" s="116" t="n"/>
      <c r="U30" s="116" t="n"/>
      <c r="V30" s="116" t="n"/>
      <c r="W30" s="116" t="n"/>
      <c r="X30" s="116" t="n"/>
      <c r="Y30" s="116" t="n"/>
      <c r="Z30" s="116" t="n"/>
      <c r="AA30" s="116" t="n"/>
      <c r="AB30" s="116" t="n"/>
      <c r="AC30" s="116" t="n"/>
      <c r="AD30" s="116" t="n"/>
      <c r="AE30" s="116" t="n"/>
      <c r="AF30" s="116" t="n"/>
      <c r="AG30" s="116" t="n"/>
      <c r="AH30" s="116" t="n"/>
    </row>
    <row r="31">
      <c r="J31" s="117" t="inlineStr">
        <is>
          <t>Month -12</t>
        </is>
      </c>
      <c r="K31" s="117" t="n"/>
      <c r="L31" s="117" t="inlineStr">
        <is>
          <t>Month -11</t>
        </is>
      </c>
      <c r="M31" s="117" t="n"/>
      <c r="N31" s="117" t="inlineStr">
        <is>
          <t>Month -10</t>
        </is>
      </c>
      <c r="O31" s="117" t="n"/>
      <c r="P31" s="117" t="inlineStr">
        <is>
          <t>Month -9</t>
        </is>
      </c>
      <c r="Q31" s="117" t="n"/>
      <c r="R31" s="117" t="inlineStr">
        <is>
          <t>Month -8</t>
        </is>
      </c>
      <c r="S31" s="117" t="n"/>
      <c r="T31" s="117" t="inlineStr">
        <is>
          <t>Month -7</t>
        </is>
      </c>
      <c r="U31" s="117" t="n"/>
      <c r="V31" s="117" t="inlineStr">
        <is>
          <t>Month -6</t>
        </is>
      </c>
      <c r="W31" s="117" t="n"/>
      <c r="X31" s="117" t="inlineStr">
        <is>
          <t>Month -5</t>
        </is>
      </c>
      <c r="Y31" s="117" t="n"/>
      <c r="Z31" s="117" t="inlineStr">
        <is>
          <t>Month -4</t>
        </is>
      </c>
      <c r="AA31" s="117" t="n"/>
      <c r="AB31" s="117" t="inlineStr">
        <is>
          <t>Month -3</t>
        </is>
      </c>
      <c r="AC31" s="117" t="n"/>
      <c r="AD31" s="117" t="inlineStr">
        <is>
          <t>Month -2</t>
        </is>
      </c>
      <c r="AE31" s="117" t="n"/>
      <c r="AF31" s="117" t="inlineStr">
        <is>
          <t>Month -1</t>
        </is>
      </c>
      <c r="AG31" s="116" t="n"/>
      <c r="AH31" s="117" t="inlineStr">
        <is>
          <t>Ʃ, Year 0</t>
        </is>
      </c>
    </row>
    <row r="34">
      <c r="B34" s="118" t="inlineStr">
        <is>
          <t>Revenue Drivers</t>
        </is>
      </c>
      <c r="C34" s="118" t="n"/>
      <c r="D34" s="116" t="n"/>
      <c r="E34" s="116" t="n"/>
      <c r="F34" s="116" t="n"/>
    </row>
    <row r="35" ht="3.75" customHeight="1" s="1883">
      <c r="B35" s="116" t="n"/>
      <c r="C35" s="116" t="n"/>
      <c r="D35" s="116" t="n"/>
      <c r="E35" s="116" t="n"/>
      <c r="F35" s="116" t="n"/>
    </row>
    <row r="36">
      <c r="B36" s="120" t="inlineStr">
        <is>
          <t>I.</t>
        </is>
      </c>
      <c r="C36" s="116" t="n"/>
      <c r="D36" s="118" t="inlineStr">
        <is>
          <t>Deployed Units</t>
        </is>
      </c>
      <c r="E36" s="116" t="n"/>
      <c r="F36" s="116" t="n"/>
    </row>
    <row r="37">
      <c r="B37" s="116" t="n"/>
      <c r="C37" s="116" t="n"/>
      <c r="D37" s="116" t="n"/>
      <c r="E37" s="116" t="inlineStr">
        <is>
          <t>Deployed Units, Beginning</t>
        </is>
      </c>
      <c r="F37" s="116" t="n"/>
    </row>
    <row r="38">
      <c r="B38" s="116" t="n"/>
      <c r="C38" s="116" t="n"/>
      <c r="D38" s="116" t="n"/>
      <c r="E38" s="116" t="inlineStr">
        <is>
          <t>Additions</t>
        </is>
      </c>
      <c r="F38" s="116" t="n"/>
    </row>
    <row r="39">
      <c r="B39" s="116" t="n"/>
      <c r="C39" s="116" t="n"/>
      <c r="D39" s="116" t="n"/>
      <c r="E39" s="116" t="inlineStr">
        <is>
          <t>Cancelations</t>
        </is>
      </c>
      <c r="F39" s="116" t="n"/>
    </row>
    <row r="40" ht="3" customHeight="1" s="1883">
      <c r="B40" s="116" t="n"/>
      <c r="C40" s="116" t="n"/>
      <c r="D40" s="116" t="n"/>
      <c r="E40" s="116" t="n"/>
      <c r="F40" s="116" t="n"/>
    </row>
    <row r="41" ht="3" customHeight="1" s="1883">
      <c r="B41" s="116" t="n"/>
      <c r="C41" s="116" t="n"/>
      <c r="D41" s="116" t="n"/>
      <c r="E41" s="116" t="n"/>
      <c r="F41" s="116" t="n"/>
    </row>
    <row r="42">
      <c r="B42" s="116" t="n"/>
      <c r="C42" s="116" t="n"/>
      <c r="D42" s="116" t="n"/>
      <c r="E42" s="116" t="n"/>
      <c r="F42" s="118" t="inlineStr">
        <is>
          <t>Deployed Units, Ending</t>
        </is>
      </c>
    </row>
    <row r="43" ht="3" customHeight="1" s="1883">
      <c r="B43" s="116" t="n"/>
      <c r="C43" s="116" t="n"/>
      <c r="D43" s="116" t="n"/>
      <c r="E43" s="116" t="n"/>
      <c r="F43" s="116" t="n"/>
    </row>
    <row r="44">
      <c r="B44" s="116" t="n"/>
      <c r="C44" s="116" t="n"/>
      <c r="D44" s="116" t="n"/>
      <c r="E44" s="116" t="n"/>
      <c r="F44" s="116" t="n"/>
    </row>
    <row r="45">
      <c r="B45" s="116" t="n"/>
      <c r="C45" s="116" t="n"/>
      <c r="D45" s="116" t="n"/>
      <c r="E45" s="116" t="n"/>
      <c r="F45" s="118" t="inlineStr">
        <is>
          <t>Deployed Units, Average</t>
        </is>
      </c>
    </row>
    <row r="49">
      <c r="B49" s="118" t="inlineStr">
        <is>
          <t>II.</t>
        </is>
      </c>
      <c r="C49" s="116" t="n"/>
      <c r="D49" s="118" t="inlineStr">
        <is>
          <t>Billable Time</t>
        </is>
      </c>
      <c r="E49" s="116" t="n"/>
      <c r="F49" s="116" t="n"/>
    </row>
    <row r="50" ht="4.5" customHeight="1" s="1883">
      <c r="B50" s="116" t="n"/>
      <c r="C50" s="116" t="n"/>
      <c r="D50" s="116" t="n"/>
      <c r="E50" s="116" t="n"/>
      <c r="F50" s="116" t="n"/>
    </row>
    <row r="51">
      <c r="B51" s="116" t="n"/>
      <c r="C51" s="116" t="n"/>
      <c r="D51" s="116" t="n"/>
      <c r="E51" s="116" t="inlineStr">
        <is>
          <t>Billable Time/Unit</t>
        </is>
      </c>
      <c r="F51" s="116" t="n"/>
    </row>
    <row r="52">
      <c r="B52" s="116" t="n"/>
      <c r="C52" s="116" t="n"/>
      <c r="D52" s="116" t="n"/>
      <c r="E52" s="116" t="inlineStr">
        <is>
          <t>Total Billable Hours</t>
        </is>
      </c>
      <c r="F52" s="116" t="n"/>
    </row>
    <row r="53">
      <c r="B53" s="116" t="n"/>
      <c r="C53" s="116" t="n"/>
      <c r="D53" s="116" t="n"/>
      <c r="E53" s="116" t="n"/>
      <c r="F53" s="116" t="n"/>
    </row>
    <row r="54">
      <c r="B54" s="116" t="n"/>
      <c r="C54" s="116" t="n"/>
      <c r="D54" s="116" t="n"/>
      <c r="E54" s="116" t="n"/>
      <c r="F54" s="116" t="n"/>
    </row>
    <row r="55">
      <c r="B55" s="118" t="inlineStr">
        <is>
          <t>III.</t>
        </is>
      </c>
      <c r="C55" s="116" t="n"/>
      <c r="D55" s="118" t="inlineStr">
        <is>
          <t>Rate Per Hour</t>
        </is>
      </c>
      <c r="E55" s="116" t="n"/>
      <c r="F55" s="116" t="n"/>
    </row>
    <row r="56" ht="4.5" customHeight="1" s="1883">
      <c r="B56" s="116" t="n"/>
      <c r="C56" s="116" t="n"/>
      <c r="D56" s="116" t="n"/>
      <c r="E56" s="116" t="n"/>
      <c r="F56" s="116" t="n"/>
    </row>
    <row r="57">
      <c r="B57" s="116" t="n"/>
      <c r="C57" s="116" t="n"/>
      <c r="D57" s="116" t="n"/>
      <c r="E57" s="116" t="inlineStr">
        <is>
          <t>Gross</t>
        </is>
      </c>
      <c r="F57" s="116" t="n"/>
    </row>
    <row r="58">
      <c r="B58" s="116" t="n"/>
      <c r="C58" s="116" t="n"/>
      <c r="D58" s="116" t="n"/>
      <c r="E58" s="116" t="inlineStr">
        <is>
          <t>Discount</t>
        </is>
      </c>
      <c r="F58" s="116" t="n"/>
    </row>
    <row r="59" ht="3" customHeight="1" s="1883">
      <c r="B59" s="116" t="n"/>
      <c r="C59" s="116" t="n"/>
      <c r="D59" s="116" t="n"/>
      <c r="E59" s="116" t="n"/>
      <c r="F59" s="116" t="n"/>
    </row>
    <row r="60" ht="3" customHeight="1" s="1883">
      <c r="B60" s="116" t="n"/>
      <c r="C60" s="116" t="n"/>
      <c r="D60" s="116" t="n"/>
      <c r="E60" s="116" t="n"/>
      <c r="F60" s="116" t="n"/>
    </row>
    <row r="61">
      <c r="B61" s="116" t="n"/>
      <c r="C61" s="116" t="n"/>
      <c r="D61" s="116" t="n"/>
      <c r="E61" s="116" t="n"/>
      <c r="F61" s="118" t="inlineStr">
        <is>
          <t>Rate Per Hour, Net</t>
        </is>
      </c>
    </row>
    <row r="65">
      <c r="B65" s="116" t="n"/>
      <c r="C65" s="116" t="n"/>
      <c r="D65" s="116" t="n"/>
      <c r="E65" s="116" t="n"/>
      <c r="F65" s="118" t="inlineStr">
        <is>
          <t>Gross Revenue</t>
        </is>
      </c>
      <c r="G65" s="116" t="n"/>
      <c r="H65" s="116" t="n"/>
      <c r="I65" s="116" t="n"/>
      <c r="J65" s="116" t="n"/>
      <c r="K65" s="116" t="n"/>
      <c r="L65" s="116" t="n"/>
      <c r="M65" s="116" t="n"/>
      <c r="N65" s="116" t="n"/>
      <c r="O65" s="116" t="n"/>
      <c r="P65" s="116" t="n"/>
      <c r="Q65" s="116" t="n"/>
      <c r="R65" s="116" t="n"/>
      <c r="S65" s="116" t="n"/>
      <c r="T65" s="116" t="n"/>
      <c r="U65" s="116" t="n"/>
      <c r="V65" s="116" t="n"/>
      <c r="W65" s="116" t="n"/>
      <c r="X65" s="116" t="n"/>
      <c r="Y65" s="116" t="n"/>
      <c r="Z65" s="116" t="n"/>
      <c r="AA65" s="116" t="n"/>
      <c r="AB65" s="116" t="n"/>
      <c r="AC65" s="116" t="n"/>
      <c r="AD65" s="116" t="n"/>
      <c r="AE65" s="116" t="n"/>
      <c r="AF65" s="116" t="n"/>
      <c r="AG65" s="116" t="n"/>
      <c r="AH65" s="116" t="n"/>
    </row>
    <row r="66">
      <c r="B66" s="116" t="n"/>
      <c r="C66" s="116" t="n"/>
      <c r="D66" s="116" t="n"/>
      <c r="E66" s="116" t="n"/>
      <c r="F66" s="116" t="n"/>
      <c r="G66" s="116" t="n"/>
      <c r="H66" s="116" t="n"/>
      <c r="I66" s="116" t="n"/>
      <c r="J66" s="116" t="n"/>
      <c r="K66" s="116" t="n"/>
      <c r="L66" s="116" t="n"/>
      <c r="M66" s="116" t="n"/>
      <c r="N66" s="116" t="n"/>
      <c r="O66" s="116" t="n"/>
      <c r="P66" s="116" t="n"/>
      <c r="Q66" s="116" t="n"/>
      <c r="R66" s="116" t="n"/>
      <c r="S66" s="116" t="n"/>
      <c r="T66" s="116" t="n"/>
      <c r="U66" s="116" t="n"/>
      <c r="V66" s="116" t="n"/>
      <c r="W66" s="116" t="n"/>
      <c r="X66" s="116" t="n"/>
      <c r="Y66" s="116" t="n"/>
      <c r="Z66" s="116" t="n"/>
      <c r="AA66" s="116" t="n"/>
      <c r="AB66" s="116" t="n"/>
      <c r="AC66" s="116" t="n"/>
      <c r="AD66" s="116" t="n"/>
      <c r="AE66" s="116" t="n"/>
      <c r="AF66" s="116" t="n"/>
      <c r="AG66" s="116" t="n"/>
      <c r="AH66" s="116" t="n"/>
    </row>
    <row r="67">
      <c r="B67" s="116" t="n"/>
      <c r="C67" s="116" t="n"/>
      <c r="D67" s="116" t="n"/>
      <c r="E67" s="116" t="n"/>
      <c r="F67" s="116" t="n"/>
      <c r="G67" s="116" t="n"/>
      <c r="H67" s="116" t="n"/>
      <c r="I67" s="116" t="n"/>
      <c r="J67" s="116" t="n"/>
      <c r="K67" s="116" t="n"/>
      <c r="L67" s="116" t="n"/>
      <c r="M67" s="116" t="n"/>
      <c r="N67" s="116" t="n"/>
      <c r="O67" s="116" t="n"/>
      <c r="P67" s="116" t="n"/>
      <c r="Q67" s="116" t="n"/>
      <c r="R67" s="116" t="n"/>
      <c r="S67" s="116" t="n"/>
      <c r="T67" s="116" t="n"/>
      <c r="U67" s="116" t="n"/>
      <c r="V67" s="116" t="n"/>
      <c r="W67" s="116" t="n"/>
      <c r="X67" s="116" t="n"/>
      <c r="Y67" s="116" t="n"/>
      <c r="Z67" s="116" t="n"/>
      <c r="AA67" s="116" t="n"/>
      <c r="AB67" s="116" t="n"/>
      <c r="AC67" s="116" t="n"/>
      <c r="AD67" s="116" t="n"/>
      <c r="AE67" s="116" t="n"/>
      <c r="AF67" s="116" t="n"/>
      <c r="AG67" s="116" t="n"/>
      <c r="AH67" s="116" t="n"/>
    </row>
    <row r="68">
      <c r="B68" s="116" t="n"/>
      <c r="C68" s="116" t="n"/>
      <c r="D68" s="116" t="n"/>
      <c r="E68" s="116" t="n"/>
      <c r="F68" s="116" t="n"/>
      <c r="G68" s="116" t="n"/>
      <c r="H68" s="116" t="n"/>
      <c r="I68" s="116" t="n"/>
      <c r="J68" s="116" t="n"/>
      <c r="K68" s="116" t="n"/>
      <c r="L68" s="116" t="n"/>
      <c r="M68" s="116" t="n"/>
      <c r="N68" s="116" t="n"/>
      <c r="O68" s="116" t="n"/>
      <c r="P68" s="116" t="n"/>
      <c r="Q68" s="116" t="n"/>
      <c r="R68" s="116" t="n"/>
      <c r="S68" s="116" t="n"/>
      <c r="T68" s="116" t="n"/>
      <c r="U68" s="116" t="n"/>
      <c r="V68" s="116" t="n"/>
      <c r="W68" s="116" t="n"/>
      <c r="X68" s="116" t="n"/>
      <c r="Y68" s="116" t="n"/>
      <c r="Z68" s="116" t="n"/>
      <c r="AA68" s="116" t="n"/>
      <c r="AB68" s="116" t="n"/>
      <c r="AC68" s="116" t="n"/>
      <c r="AD68" s="116" t="n"/>
      <c r="AE68" s="116" t="n"/>
      <c r="AF68" s="116" t="n"/>
      <c r="AG68" s="116" t="n"/>
      <c r="AH68" s="116" t="n"/>
    </row>
    <row r="69">
      <c r="B69" s="116" t="n"/>
      <c r="C69" s="116" t="n"/>
      <c r="D69" s="116" t="n"/>
      <c r="E69" s="116" t="n"/>
      <c r="F69" s="116" t="n"/>
      <c r="G69" s="116" t="n"/>
      <c r="H69" s="116" t="n"/>
      <c r="I69" s="116" t="n"/>
      <c r="J69" s="116" t="n"/>
      <c r="K69" s="116" t="n"/>
      <c r="L69" s="116" t="n"/>
      <c r="M69" s="116" t="n"/>
      <c r="N69" s="116" t="n"/>
      <c r="O69" s="116" t="n"/>
    </row>
    <row r="70">
      <c r="B70" s="116" t="n"/>
      <c r="C70" s="116" t="n"/>
      <c r="D70" s="116" t="n"/>
      <c r="E70" s="116" t="n"/>
      <c r="F70" s="116" t="n"/>
      <c r="G70" s="116" t="n"/>
      <c r="H70" s="116" t="n"/>
      <c r="I70" s="116" t="n"/>
      <c r="J70" s="1915" t="inlineStr">
        <is>
          <t>Year 1 - Steady State</t>
        </is>
      </c>
    </row>
    <row r="71" ht="3" customHeight="1" s="1883">
      <c r="B71" s="116" t="n"/>
      <c r="C71" s="116" t="n"/>
      <c r="D71" s="116" t="n"/>
      <c r="E71" s="116" t="n"/>
      <c r="F71" s="116" t="n"/>
      <c r="G71" s="116" t="n"/>
      <c r="H71" s="116" t="n"/>
      <c r="I71" s="116" t="n"/>
      <c r="J71" s="950" t="n"/>
      <c r="K71" s="950" t="n"/>
      <c r="L71" s="950" t="n"/>
      <c r="M71" s="950" t="n"/>
      <c r="N71" s="950" t="n"/>
      <c r="O71" s="950" t="n"/>
      <c r="P71" s="950" t="n"/>
      <c r="Q71" s="950" t="n"/>
      <c r="R71" s="950" t="n"/>
      <c r="S71" s="950" t="n"/>
      <c r="T71" s="950" t="n"/>
      <c r="U71" s="950" t="n"/>
      <c r="V71" s="950" t="n"/>
      <c r="W71" s="950" t="n"/>
      <c r="X71" s="950" t="n"/>
      <c r="Y71" s="950" t="n"/>
      <c r="Z71" s="950" t="n"/>
      <c r="AA71" s="950" t="n"/>
      <c r="AB71" s="950" t="n"/>
      <c r="AC71" s="950" t="n"/>
      <c r="AD71" s="950" t="n"/>
      <c r="AE71" s="950" t="n"/>
      <c r="AF71" s="950" t="n"/>
      <c r="AG71" s="950" t="n"/>
      <c r="AH71" s="950" t="n"/>
    </row>
    <row r="72" ht="3" customHeight="1" s="1883">
      <c r="B72" s="116" t="n"/>
      <c r="C72" s="116" t="n"/>
      <c r="D72" s="116" t="n"/>
      <c r="E72" s="116" t="n"/>
      <c r="F72" s="116" t="n"/>
      <c r="G72" s="116" t="n"/>
      <c r="H72" s="116" t="n"/>
      <c r="I72" s="116" t="n"/>
      <c r="J72" s="116" t="n"/>
      <c r="K72" s="116" t="n"/>
      <c r="L72" s="116" t="n"/>
      <c r="M72" s="116" t="n"/>
      <c r="N72" s="116" t="n"/>
      <c r="O72" s="116" t="n"/>
      <c r="P72" s="116" t="n"/>
      <c r="Q72" s="116" t="n"/>
      <c r="R72" s="116" t="n"/>
      <c r="S72" s="116" t="n"/>
      <c r="T72" s="116" t="n"/>
      <c r="U72" s="116" t="n"/>
      <c r="V72" s="116" t="n"/>
      <c r="W72" s="116" t="n"/>
      <c r="X72" s="116" t="n"/>
      <c r="Y72" s="116" t="n"/>
      <c r="Z72" s="116" t="n"/>
      <c r="AA72" s="116" t="n"/>
      <c r="AB72" s="116" t="n"/>
      <c r="AC72" s="116" t="n"/>
      <c r="AD72" s="116" t="n"/>
      <c r="AE72" s="116" t="n"/>
      <c r="AF72" s="116" t="n"/>
      <c r="AG72" s="116" t="n"/>
      <c r="AH72" s="116" t="n"/>
    </row>
    <row r="73">
      <c r="B73" s="116" t="n"/>
      <c r="C73" s="116" t="n"/>
      <c r="D73" s="116" t="n"/>
      <c r="E73" s="116" t="n"/>
      <c r="F73" s="116" t="n"/>
      <c r="G73" s="116" t="n"/>
      <c r="H73" s="116" t="n"/>
      <c r="I73" s="116" t="n"/>
      <c r="J73" s="117" t="inlineStr">
        <is>
          <t>Month 1</t>
        </is>
      </c>
      <c r="K73" s="117" t="n"/>
      <c r="L73" s="117" t="inlineStr">
        <is>
          <t>Month 2</t>
        </is>
      </c>
      <c r="M73" s="117" t="n"/>
      <c r="N73" s="117" t="inlineStr">
        <is>
          <t>Month 3</t>
        </is>
      </c>
      <c r="O73" s="117" t="n"/>
      <c r="P73" s="117" t="inlineStr">
        <is>
          <t>Month 4</t>
        </is>
      </c>
      <c r="Q73" s="117" t="n"/>
      <c r="R73" s="117" t="inlineStr">
        <is>
          <t>Month 5</t>
        </is>
      </c>
      <c r="S73" s="117" t="n"/>
      <c r="T73" s="117" t="inlineStr">
        <is>
          <t>Month 6</t>
        </is>
      </c>
      <c r="U73" s="117" t="n"/>
      <c r="V73" s="117" t="inlineStr">
        <is>
          <t>Month 7</t>
        </is>
      </c>
      <c r="W73" s="117" t="n"/>
      <c r="X73" s="117" t="inlineStr">
        <is>
          <t>Month 8</t>
        </is>
      </c>
      <c r="Y73" s="117" t="n"/>
      <c r="Z73" s="117" t="inlineStr">
        <is>
          <t>Month 9</t>
        </is>
      </c>
      <c r="AA73" s="117" t="n"/>
      <c r="AB73" s="117" t="inlineStr">
        <is>
          <t>Month 10</t>
        </is>
      </c>
      <c r="AC73" s="117" t="n"/>
      <c r="AD73" s="117" t="inlineStr">
        <is>
          <t>Month 11</t>
        </is>
      </c>
      <c r="AE73" s="117" t="n"/>
      <c r="AF73" s="117" t="inlineStr">
        <is>
          <t>Month 12</t>
        </is>
      </c>
      <c r="AG73" s="116" t="n"/>
      <c r="AH73" s="117" t="inlineStr">
        <is>
          <t>Ʃ, Year 1</t>
        </is>
      </c>
    </row>
    <row r="74" ht="3" customHeight="1" s="1883">
      <c r="B74" s="116" t="n"/>
      <c r="C74" s="116" t="n"/>
      <c r="D74" s="116" t="n"/>
      <c r="E74" s="116" t="n"/>
      <c r="F74" s="116" t="n"/>
      <c r="G74" s="116" t="n"/>
      <c r="H74" s="116" t="n"/>
      <c r="I74" s="116" t="n"/>
      <c r="J74" s="950" t="n"/>
      <c r="K74" s="116" t="n"/>
      <c r="L74" s="950" t="n"/>
      <c r="M74" s="116" t="n"/>
      <c r="N74" s="950" t="n"/>
      <c r="O74" s="116" t="n"/>
      <c r="P74" s="950" t="n"/>
      <c r="Q74" s="116" t="n"/>
      <c r="R74" s="950" t="n"/>
      <c r="S74" s="116" t="n"/>
      <c r="T74" s="950" t="n"/>
      <c r="U74" s="116" t="n"/>
      <c r="V74" s="950" t="n"/>
      <c r="W74" s="116" t="n"/>
      <c r="X74" s="950" t="n"/>
      <c r="Y74" s="116" t="n"/>
      <c r="Z74" s="950" t="n"/>
      <c r="AA74" s="116" t="n"/>
      <c r="AB74" s="950" t="n"/>
      <c r="AC74" s="116" t="n"/>
      <c r="AD74" s="950" t="n"/>
      <c r="AE74" s="116" t="n"/>
      <c r="AF74" s="950" t="n"/>
      <c r="AG74" s="116" t="n"/>
      <c r="AH74" s="950" t="n"/>
    </row>
    <row r="75" ht="3" customHeight="1" s="1883">
      <c r="B75" s="116" t="n"/>
      <c r="C75" s="116" t="n"/>
      <c r="D75" s="116" t="n"/>
      <c r="E75" s="116" t="n"/>
      <c r="F75" s="116" t="n"/>
      <c r="G75" s="116" t="n"/>
      <c r="H75" s="116" t="n"/>
      <c r="I75" s="116" t="n"/>
      <c r="J75" s="116" t="n"/>
      <c r="K75" s="116" t="n"/>
      <c r="L75" s="116" t="n"/>
      <c r="M75" s="116" t="n"/>
      <c r="N75" s="116" t="n"/>
      <c r="O75" s="116" t="n"/>
      <c r="P75" s="116" t="n"/>
      <c r="Q75" s="116" t="n"/>
      <c r="R75" s="116" t="n"/>
      <c r="S75" s="116" t="n"/>
      <c r="T75" s="116" t="n"/>
      <c r="U75" s="116" t="n"/>
      <c r="V75" s="116" t="n"/>
      <c r="W75" s="116" t="n"/>
      <c r="X75" s="116" t="n"/>
      <c r="Y75" s="116" t="n"/>
      <c r="Z75" s="116" t="n"/>
      <c r="AA75" s="116" t="n"/>
      <c r="AB75" s="116" t="n"/>
      <c r="AC75" s="116" t="n"/>
      <c r="AD75" s="116" t="n"/>
      <c r="AE75" s="116" t="n"/>
      <c r="AF75" s="116" t="n"/>
      <c r="AG75" s="116" t="n"/>
      <c r="AH75" s="116" t="n"/>
    </row>
    <row r="76">
      <c r="B76" s="118" t="inlineStr">
        <is>
          <t>Revenue Drivers</t>
        </is>
      </c>
      <c r="C76" s="118" t="n"/>
      <c r="D76" s="116" t="n"/>
      <c r="E76" s="116" t="n"/>
      <c r="F76" s="116" t="n"/>
      <c r="G76" s="116" t="n"/>
      <c r="H76" s="116" t="n"/>
      <c r="I76" s="116" t="n"/>
      <c r="J76" s="116" t="n"/>
      <c r="K76" s="116" t="n"/>
      <c r="L76" s="116" t="n"/>
      <c r="M76" s="116" t="n"/>
      <c r="N76" s="116" t="n"/>
      <c r="O76" s="116" t="n"/>
      <c r="P76" s="116" t="n"/>
      <c r="Q76" s="116" t="n"/>
      <c r="R76" s="116" t="n"/>
      <c r="S76" s="116" t="n"/>
      <c r="T76" s="116" t="n"/>
      <c r="U76" s="116" t="n"/>
      <c r="V76" s="116" t="n"/>
      <c r="W76" s="116" t="n"/>
      <c r="X76" s="116" t="n"/>
      <c r="Y76" s="116" t="n"/>
      <c r="Z76" s="116" t="n"/>
      <c r="AA76" s="116" t="n"/>
      <c r="AB76" s="116" t="n"/>
      <c r="AC76" s="116" t="n"/>
      <c r="AD76" s="116" t="n"/>
      <c r="AE76" s="116" t="n"/>
      <c r="AF76" s="116" t="n"/>
      <c r="AG76" s="116" t="n"/>
      <c r="AH76" s="116" t="n"/>
    </row>
    <row r="77" ht="4.5" customHeight="1" s="1883">
      <c r="B77" s="116" t="n"/>
      <c r="C77" s="116" t="n"/>
      <c r="D77" s="116" t="n"/>
      <c r="E77" s="116" t="n"/>
      <c r="F77" s="116" t="n"/>
      <c r="G77" s="116" t="n"/>
      <c r="H77" s="116" t="n"/>
      <c r="I77" s="116" t="n"/>
      <c r="J77" s="116" t="n"/>
      <c r="K77" s="116" t="n"/>
      <c r="L77" s="116" t="n"/>
      <c r="M77" s="116" t="n"/>
      <c r="N77" s="116" t="n"/>
      <c r="O77" s="116" t="n"/>
      <c r="P77" s="116" t="n"/>
      <c r="Q77" s="116" t="n"/>
      <c r="R77" s="116" t="n"/>
      <c r="S77" s="116" t="n"/>
      <c r="T77" s="116" t="n"/>
      <c r="U77" s="116" t="n"/>
      <c r="V77" s="116" t="n"/>
      <c r="W77" s="116" t="n"/>
      <c r="X77" s="116" t="n"/>
      <c r="Y77" s="116" t="n"/>
      <c r="Z77" s="116" t="n"/>
      <c r="AA77" s="116" t="n"/>
      <c r="AB77" s="116" t="n"/>
      <c r="AC77" s="116" t="n"/>
      <c r="AD77" s="116" t="n"/>
      <c r="AE77" s="116" t="n"/>
      <c r="AF77" s="116" t="n"/>
      <c r="AG77" s="116" t="n"/>
      <c r="AH77" s="116" t="n"/>
    </row>
    <row r="78">
      <c r="B78" s="120" t="inlineStr">
        <is>
          <t>I.</t>
        </is>
      </c>
      <c r="C78" s="116" t="n"/>
      <c r="D78" s="118" t="inlineStr">
        <is>
          <t>Deployed Units</t>
        </is>
      </c>
      <c r="E78" s="116" t="n"/>
      <c r="F78" s="116" t="n"/>
      <c r="G78" s="116" t="n"/>
      <c r="H78" s="116" t="n"/>
      <c r="I78" s="116" t="n"/>
      <c r="J78" s="122" t="n"/>
      <c r="K78" s="122" t="n"/>
      <c r="L78" s="122" t="n"/>
      <c r="M78" s="122" t="n"/>
      <c r="N78" s="122" t="n"/>
      <c r="O78" s="122" t="n"/>
      <c r="P78" s="122" t="n"/>
      <c r="Q78" s="122" t="n"/>
      <c r="R78" s="122" t="n"/>
      <c r="S78" s="122" t="n"/>
      <c r="T78" s="122" t="n"/>
      <c r="U78" s="122" t="n"/>
      <c r="V78" s="122" t="n"/>
      <c r="W78" s="122" t="n"/>
      <c r="X78" s="122" t="n"/>
      <c r="Y78" s="122" t="n"/>
      <c r="Z78" s="122" t="n"/>
      <c r="AA78" s="122" t="n"/>
      <c r="AB78" s="122" t="n"/>
      <c r="AC78" s="122" t="n"/>
      <c r="AD78" s="122" t="n"/>
      <c r="AE78" s="122" t="n"/>
      <c r="AF78" s="122" t="n"/>
      <c r="AG78" s="122" t="n"/>
      <c r="AH78" s="122" t="n"/>
    </row>
    <row r="79">
      <c r="B79" s="116" t="n"/>
      <c r="C79" s="116" t="n"/>
      <c r="D79" s="116" t="n"/>
      <c r="E79" s="116" t="inlineStr">
        <is>
          <t>Deployed Units, Beginning</t>
        </is>
      </c>
      <c r="F79" s="116" t="n"/>
      <c r="G79" s="116" t="n"/>
      <c r="H79" s="116" t="n"/>
      <c r="I79" s="116" t="n"/>
      <c r="J79" s="122" t="n">
        <v>0</v>
      </c>
      <c r="K79" s="122" t="n"/>
      <c r="L79" s="122">
        <f>(J84)</f>
        <v/>
      </c>
      <c r="M79" s="122" t="n"/>
      <c r="N79" s="122">
        <f>(L84)</f>
        <v/>
      </c>
      <c r="O79" s="122" t="n"/>
      <c r="P79" s="122">
        <f>(N84)</f>
        <v/>
      </c>
      <c r="Q79" s="122" t="n"/>
      <c r="R79" s="122">
        <f>(P84)</f>
        <v/>
      </c>
      <c r="S79" s="122" t="n"/>
      <c r="T79" s="122">
        <f>(R84)</f>
        <v/>
      </c>
      <c r="U79" s="122" t="n"/>
      <c r="V79" s="122">
        <f>(T84)</f>
        <v/>
      </c>
      <c r="W79" s="122" t="n"/>
      <c r="X79" s="122">
        <f>(V84)</f>
        <v/>
      </c>
      <c r="Y79" s="122" t="n"/>
      <c r="Z79" s="122">
        <f>(X84)</f>
        <v/>
      </c>
      <c r="AA79" s="122" t="n"/>
      <c r="AB79" s="122">
        <f>(Z84)</f>
        <v/>
      </c>
      <c r="AC79" s="122" t="n"/>
      <c r="AD79" s="122">
        <f>(AB84)</f>
        <v/>
      </c>
      <c r="AE79" s="122" t="n"/>
      <c r="AF79" s="122">
        <f>(AD84)</f>
        <v/>
      </c>
      <c r="AG79" s="122" t="n"/>
      <c r="AH79" s="123">
        <f>(J79)</f>
        <v/>
      </c>
    </row>
    <row r="80">
      <c r="B80" s="116" t="n"/>
      <c r="C80" s="116" t="n"/>
      <c r="D80" s="116" t="n"/>
      <c r="E80" s="116" t="inlineStr">
        <is>
          <t>Service Additions</t>
        </is>
      </c>
      <c r="F80" s="116" t="n"/>
      <c r="G80" s="116" t="n"/>
      <c r="H80" s="116" t="n"/>
      <c r="I80" s="116" t="n"/>
      <c r="J80" s="122">
        <f>'3F. Revenue &amp; COGS Assumptions'!G12</f>
        <v/>
      </c>
      <c r="K80" s="122" t="n"/>
      <c r="L80" s="122">
        <f>'3F. Revenue &amp; COGS Assumptions'!H12</f>
        <v/>
      </c>
      <c r="M80" s="122" t="n"/>
      <c r="N80" s="122">
        <f>'3F. Revenue &amp; COGS Assumptions'!I12</f>
        <v/>
      </c>
      <c r="O80" s="122" t="n"/>
      <c r="P80" s="122">
        <f>'3F. Revenue &amp; COGS Assumptions'!J12</f>
        <v/>
      </c>
      <c r="Q80" s="122" t="n"/>
      <c r="R80" s="122">
        <f>'3F. Revenue &amp; COGS Assumptions'!K12</f>
        <v/>
      </c>
      <c r="S80" s="122" t="n"/>
      <c r="T80" s="122">
        <f>'3F. Revenue &amp; COGS Assumptions'!L12</f>
        <v/>
      </c>
      <c r="U80" s="122" t="n"/>
      <c r="V80" s="122">
        <f>'3F. Revenue &amp; COGS Assumptions'!M12</f>
        <v/>
      </c>
      <c r="W80" s="122" t="n"/>
      <c r="X80" s="122">
        <f>'3F. Revenue &amp; COGS Assumptions'!N12</f>
        <v/>
      </c>
      <c r="Y80" s="122" t="n"/>
      <c r="Z80" s="122">
        <f>'3F. Revenue &amp; COGS Assumptions'!O12</f>
        <v/>
      </c>
      <c r="AA80" s="122" t="n"/>
      <c r="AB80" s="122">
        <f>'3F. Revenue &amp; COGS Assumptions'!P12</f>
        <v/>
      </c>
      <c r="AC80" s="122" t="n"/>
      <c r="AD80" s="122">
        <f>'3F. Revenue &amp; COGS Assumptions'!Q12</f>
        <v/>
      </c>
      <c r="AE80" s="122" t="n"/>
      <c r="AF80" s="122">
        <f>'3F. Revenue &amp; COGS Assumptions'!R12</f>
        <v/>
      </c>
      <c r="AG80" s="122" t="n"/>
      <c r="AH80" s="123">
        <f>((J80)+(L80)+(N80)+(P80)+(R80)+(T80)+(V80)+(X80)+(Z80)+(AB80)+(AD80)+(AF80))</f>
        <v/>
      </c>
    </row>
    <row r="81">
      <c r="B81" s="116" t="n"/>
      <c r="C81" s="116" t="n"/>
      <c r="D81" s="116" t="n"/>
      <c r="E81" s="951" t="inlineStr">
        <is>
          <t>Service Attrition</t>
        </is>
      </c>
      <c r="F81" s="951" t="n"/>
      <c r="G81" s="116" t="n"/>
      <c r="H81" s="116" t="n"/>
      <c r="I81" s="116" t="n"/>
      <c r="J81" s="952">
        <f>((J79)*($T$21))</f>
        <v/>
      </c>
      <c r="K81" s="952" t="n"/>
      <c r="L81" s="952">
        <f>'3E. Tel. Attrit. Renew. Reward'!H100</f>
        <v/>
      </c>
      <c r="M81" s="952" t="n"/>
      <c r="N81" s="952">
        <f>'3E. Tel. Attrit. Renew. Reward'!I100</f>
        <v/>
      </c>
      <c r="O81" s="952" t="n"/>
      <c r="P81" s="124">
        <f>'3E. Tel. Attrit. Renew. Reward'!J100</f>
        <v/>
      </c>
      <c r="Q81" s="953" t="n"/>
      <c r="R81" s="124">
        <f>'3E. Tel. Attrit. Renew. Reward'!K100</f>
        <v/>
      </c>
      <c r="S81" s="953" t="n"/>
      <c r="T81" s="124">
        <f>'3E. Tel. Attrit. Renew. Reward'!L100</f>
        <v/>
      </c>
      <c r="U81" s="953" t="n"/>
      <c r="V81" s="124">
        <f>'3E. Tel. Attrit. Renew. Reward'!M100</f>
        <v/>
      </c>
      <c r="W81" s="953" t="n"/>
      <c r="X81" s="124">
        <f>'3E. Tel. Attrit. Renew. Reward'!N100</f>
        <v/>
      </c>
      <c r="Y81" s="953" t="n"/>
      <c r="Z81" s="124">
        <f>'3E. Tel. Attrit. Renew. Reward'!O100</f>
        <v/>
      </c>
      <c r="AA81" s="953" t="n"/>
      <c r="AB81" s="124">
        <f>'3E. Tel. Attrit. Renew. Reward'!P100</f>
        <v/>
      </c>
      <c r="AC81" s="953" t="n"/>
      <c r="AD81" s="124">
        <f>'3E. Tel. Attrit. Renew. Reward'!Q100</f>
        <v/>
      </c>
      <c r="AE81" s="953" t="n"/>
      <c r="AF81" s="124">
        <f>'3E. Tel. Attrit. Renew. Reward'!R100</f>
        <v/>
      </c>
      <c r="AG81" s="952" t="n"/>
      <c r="AH81" s="954">
        <f>((J81)+(L81)+(N81)+(P81)+(R81)+(T81)+(V81)+(X81)+(Z81)+(AB81)+(AD81)+(AF81))</f>
        <v/>
      </c>
    </row>
    <row r="82" ht="3" customHeight="1" s="1883">
      <c r="B82" s="116" t="n"/>
      <c r="C82" s="116" t="n"/>
      <c r="D82" s="116" t="n"/>
      <c r="E82" s="116" t="n"/>
      <c r="F82" s="116" t="n"/>
      <c r="G82" s="116" t="n"/>
      <c r="H82" s="116" t="n"/>
      <c r="I82" s="116" t="n"/>
      <c r="J82" s="955" t="n"/>
      <c r="K82" s="122" t="n"/>
      <c r="L82" s="955" t="n"/>
      <c r="M82" s="122" t="n"/>
      <c r="N82" s="955" t="n"/>
      <c r="O82" s="122" t="n"/>
      <c r="P82" s="955" t="n"/>
      <c r="Q82" s="122" t="n"/>
      <c r="R82" s="955" t="n"/>
      <c r="S82" s="122" t="n"/>
      <c r="T82" s="955" t="n"/>
      <c r="U82" s="122" t="n"/>
      <c r="V82" s="955" t="n"/>
      <c r="W82" s="122" t="n"/>
      <c r="X82" s="955" t="n"/>
      <c r="Y82" s="122" t="n"/>
      <c r="Z82" s="955" t="n"/>
      <c r="AA82" s="122" t="n"/>
      <c r="AB82" s="955" t="n"/>
      <c r="AC82" s="122" t="n"/>
      <c r="AD82" s="955" t="n"/>
      <c r="AE82" s="122" t="n"/>
      <c r="AF82" s="955" t="n"/>
      <c r="AG82" s="122" t="n"/>
      <c r="AH82" s="955" t="n"/>
    </row>
    <row r="83" ht="3" customHeight="1" s="1883">
      <c r="B83" s="116" t="n"/>
      <c r="C83" s="116" t="n"/>
      <c r="D83" s="116" t="n"/>
      <c r="E83" s="116" t="n"/>
      <c r="F83" s="116" t="n"/>
      <c r="G83" s="116" t="n"/>
      <c r="H83" s="116" t="n"/>
      <c r="I83" s="116" t="n"/>
      <c r="J83" s="122" t="n"/>
      <c r="K83" s="122" t="n"/>
      <c r="L83" s="122" t="n"/>
      <c r="M83" s="122" t="n"/>
      <c r="N83" s="122" t="n"/>
      <c r="O83" s="122" t="n"/>
      <c r="P83" s="122" t="n"/>
      <c r="Q83" s="122" t="n"/>
      <c r="R83" s="122" t="n"/>
      <c r="S83" s="122" t="n"/>
      <c r="T83" s="122" t="n"/>
      <c r="U83" s="122" t="n"/>
      <c r="V83" s="122" t="n"/>
      <c r="W83" s="122" t="n"/>
      <c r="X83" s="122" t="n"/>
      <c r="Y83" s="122" t="n"/>
      <c r="Z83" s="122" t="n"/>
      <c r="AA83" s="122" t="n"/>
      <c r="AB83" s="122" t="n"/>
      <c r="AC83" s="122" t="n"/>
      <c r="AD83" s="122" t="n"/>
      <c r="AE83" s="122" t="n"/>
      <c r="AF83" s="122" t="n"/>
      <c r="AG83" s="122" t="n"/>
      <c r="AH83" s="122" t="n"/>
    </row>
    <row r="84">
      <c r="B84" s="116" t="n"/>
      <c r="C84" s="116" t="n"/>
      <c r="D84" s="116" t="n"/>
      <c r="E84" s="116" t="n"/>
      <c r="F84" s="118" t="inlineStr">
        <is>
          <t>Deployed Units, Ending</t>
        </is>
      </c>
      <c r="G84" s="116" t="n"/>
      <c r="H84" s="116" t="n"/>
      <c r="I84" s="116" t="n"/>
      <c r="J84" s="123">
        <f>((J79)+(J80)-(J81))</f>
        <v/>
      </c>
      <c r="K84" s="122" t="n"/>
      <c r="L84" s="123">
        <f>((L79)+(L80)-(L81))</f>
        <v/>
      </c>
      <c r="M84" s="122" t="n"/>
      <c r="N84" s="123">
        <f>((N79)+(N80)-(N81))</f>
        <v/>
      </c>
      <c r="O84" s="122" t="n"/>
      <c r="P84" s="123">
        <f>((P79)+(P80)-(P81))</f>
        <v/>
      </c>
      <c r="Q84" s="122" t="n"/>
      <c r="R84" s="123">
        <f>((R79)+(R80)-(R81))</f>
        <v/>
      </c>
      <c r="S84" s="122" t="n"/>
      <c r="T84" s="123">
        <f>((T79)+(T80)-(T81))</f>
        <v/>
      </c>
      <c r="U84" s="122" t="n"/>
      <c r="V84" s="123">
        <f>((V79)+(V80)-(V81))</f>
        <v/>
      </c>
      <c r="W84" s="122" t="n"/>
      <c r="X84" s="123">
        <f>((X79)+(X80)-(X81))</f>
        <v/>
      </c>
      <c r="Y84" s="122" t="n"/>
      <c r="Z84" s="123">
        <f>((Z79)+(Z80)-(Z81))</f>
        <v/>
      </c>
      <c r="AA84" s="122" t="n"/>
      <c r="AB84" s="123">
        <f>((AB79)+(AB80)-(AB81))</f>
        <v/>
      </c>
      <c r="AC84" s="122" t="n"/>
      <c r="AD84" s="123">
        <f>((AD79)+(AD80)-(AD81))</f>
        <v/>
      </c>
      <c r="AE84" s="122" t="n"/>
      <c r="AF84" s="123">
        <f>((AF79)+(AF80)-(AF81))</f>
        <v/>
      </c>
      <c r="AG84" s="122" t="n"/>
      <c r="AH84" s="123">
        <f>((AH79)+(AH80)-(AH81))</f>
        <v/>
      </c>
    </row>
    <row r="85" ht="3" customHeight="1" s="1883">
      <c r="B85" s="116" t="n"/>
      <c r="C85" s="116" t="n"/>
      <c r="D85" s="116" t="n"/>
      <c r="E85" s="116" t="n"/>
      <c r="F85" s="116" t="n"/>
      <c r="G85" s="116" t="n"/>
      <c r="H85" s="116" t="n"/>
      <c r="I85" s="116" t="n"/>
      <c r="J85" s="125" t="n"/>
      <c r="K85" s="122" t="n"/>
      <c r="L85" s="125" t="n"/>
      <c r="M85" s="122" t="n"/>
      <c r="N85" s="125" t="n"/>
      <c r="O85" s="122" t="n"/>
      <c r="P85" s="125" t="n"/>
      <c r="Q85" s="122" t="n"/>
      <c r="R85" s="125" t="n"/>
      <c r="S85" s="122" t="n"/>
      <c r="T85" s="125" t="n"/>
      <c r="U85" s="122" t="n"/>
      <c r="V85" s="125" t="n"/>
      <c r="W85" s="122" t="n"/>
      <c r="X85" s="125" t="n"/>
      <c r="Y85" s="122" t="n"/>
      <c r="Z85" s="125" t="n"/>
      <c r="AA85" s="122" t="n"/>
      <c r="AB85" s="125" t="n"/>
      <c r="AC85" s="122" t="n"/>
      <c r="AD85" s="125" t="n"/>
      <c r="AE85" s="122" t="n"/>
      <c r="AF85" s="125" t="n"/>
      <c r="AG85" s="122" t="n"/>
      <c r="AH85" s="125" t="n"/>
    </row>
    <row r="86">
      <c r="B86" s="116" t="n"/>
      <c r="C86" s="116" t="n"/>
      <c r="D86" s="116" t="n"/>
      <c r="E86" s="116" t="n"/>
      <c r="F86" s="116" t="n"/>
      <c r="G86" s="116" t="n"/>
      <c r="H86" s="116" t="n"/>
      <c r="I86" s="116" t="n"/>
      <c r="J86" s="122" t="n"/>
      <c r="K86" s="122" t="n"/>
      <c r="L86" s="122" t="n"/>
      <c r="M86" s="122" t="n"/>
      <c r="N86" s="122" t="n"/>
      <c r="O86" s="122" t="n"/>
      <c r="P86" s="122" t="n"/>
      <c r="Q86" s="122" t="n"/>
      <c r="R86" s="122" t="n"/>
      <c r="S86" s="122" t="n"/>
      <c r="T86" s="122" t="n"/>
      <c r="U86" s="122" t="n"/>
      <c r="V86" s="122" t="n"/>
      <c r="W86" s="122" t="n"/>
      <c r="X86" s="122" t="n"/>
      <c r="Y86" s="122" t="n"/>
      <c r="Z86" s="122" t="n"/>
      <c r="AA86" s="122" t="n"/>
      <c r="AB86" s="122" t="n"/>
      <c r="AC86" s="122" t="n"/>
      <c r="AD86" s="122" t="n"/>
      <c r="AE86" s="122" t="n"/>
      <c r="AF86" s="122" t="n"/>
      <c r="AG86" s="122" t="n"/>
      <c r="AH86" s="122" t="n"/>
    </row>
    <row r="87">
      <c r="B87" s="116" t="n"/>
      <c r="C87" s="116" t="n"/>
      <c r="D87" s="116" t="n"/>
      <c r="E87" s="116" t="n"/>
      <c r="F87" s="118" t="inlineStr">
        <is>
          <t>Deployed Units, Average</t>
        </is>
      </c>
      <c r="G87" s="116" t="n"/>
      <c r="H87" s="116" t="n"/>
      <c r="I87" s="116" t="n"/>
      <c r="J87" s="136">
        <f>(((J79)+(J84))/(2))</f>
        <v/>
      </c>
      <c r="K87" s="136" t="n"/>
      <c r="L87" s="136">
        <f>(((L79)+(L84))/(2))</f>
        <v/>
      </c>
      <c r="M87" s="136" t="n"/>
      <c r="N87" s="136">
        <f>(((N79)+(N84))/(2))</f>
        <v/>
      </c>
      <c r="O87" s="136" t="n"/>
      <c r="P87" s="136">
        <f>(((P79)+(P84))/(2))</f>
        <v/>
      </c>
      <c r="Q87" s="136" t="n"/>
      <c r="R87" s="136">
        <f>(((R79)+(R84))/(2))</f>
        <v/>
      </c>
      <c r="S87" s="136" t="n"/>
      <c r="T87" s="136">
        <f>(((T79)+(T84))/(2))</f>
        <v/>
      </c>
      <c r="U87" s="136" t="n"/>
      <c r="V87" s="136">
        <f>(((V79)+(V84))/(2))</f>
        <v/>
      </c>
      <c r="W87" s="136" t="n"/>
      <c r="X87" s="136">
        <f>(((X79)+(X84))/(2))</f>
        <v/>
      </c>
      <c r="Y87" s="136" t="n"/>
      <c r="Z87" s="136">
        <f>(((Z79)+(Z84))/(2))</f>
        <v/>
      </c>
      <c r="AA87" s="136" t="n"/>
      <c r="AB87" s="136">
        <f>(((AB79)+(AB84))/(2))</f>
        <v/>
      </c>
      <c r="AC87" s="136" t="n"/>
      <c r="AD87" s="136">
        <f>(((AD79)+(AD84))/(2))</f>
        <v/>
      </c>
      <c r="AE87" s="136" t="n"/>
      <c r="AF87" s="136">
        <f>(((AF79)+(AF84))/(2))</f>
        <v/>
      </c>
      <c r="AG87" s="136" t="n"/>
      <c r="AH87" s="136">
        <f>(((AH79)+(AH84))/(2))</f>
        <v/>
      </c>
    </row>
    <row r="88" ht="3" customHeight="1" s="1883">
      <c r="B88" s="116" t="n"/>
      <c r="C88" s="116" t="n"/>
      <c r="D88" s="116" t="n"/>
      <c r="E88" s="116" t="n"/>
      <c r="F88" s="116" t="n"/>
      <c r="G88" s="116" t="n"/>
      <c r="H88" s="116" t="n"/>
      <c r="I88" s="116" t="n"/>
      <c r="J88" s="125" t="n"/>
      <c r="K88" s="122" t="n"/>
      <c r="L88" s="125" t="n"/>
      <c r="M88" s="122" t="n"/>
      <c r="N88" s="125" t="n"/>
      <c r="O88" s="122" t="n"/>
      <c r="P88" s="125" t="n"/>
      <c r="Q88" s="122" t="n"/>
      <c r="R88" s="125" t="n"/>
      <c r="S88" s="122" t="n"/>
      <c r="T88" s="125" t="n"/>
      <c r="U88" s="122" t="n"/>
      <c r="V88" s="125" t="n"/>
      <c r="W88" s="122" t="n"/>
      <c r="X88" s="125" t="n"/>
      <c r="Y88" s="122" t="n"/>
      <c r="Z88" s="125" t="n"/>
      <c r="AA88" s="122" t="n"/>
      <c r="AB88" s="125" t="n"/>
      <c r="AC88" s="122" t="n"/>
      <c r="AD88" s="125" t="n"/>
      <c r="AE88" s="122" t="n"/>
      <c r="AF88" s="125" t="n"/>
      <c r="AG88" s="122" t="n"/>
      <c r="AH88" s="125" t="n"/>
    </row>
    <row r="89">
      <c r="B89" s="116" t="n"/>
      <c r="C89" s="116" t="n"/>
      <c r="D89" s="116" t="n"/>
      <c r="E89" s="116" t="n"/>
      <c r="F89" s="116" t="n"/>
      <c r="G89" s="116" t="n"/>
      <c r="H89" s="116" t="n"/>
      <c r="I89" s="116" t="n"/>
      <c r="J89" s="122" t="n"/>
      <c r="K89" s="122" t="n"/>
      <c r="L89" s="122" t="n"/>
      <c r="M89" s="122" t="n"/>
      <c r="N89" s="122" t="n"/>
      <c r="O89" s="122" t="n"/>
      <c r="P89" s="122" t="n"/>
      <c r="Q89" s="122" t="n"/>
      <c r="R89" s="122" t="n"/>
      <c r="S89" s="122" t="n"/>
      <c r="T89" s="122" t="n"/>
      <c r="U89" s="122" t="n"/>
      <c r="V89" s="122" t="n"/>
      <c r="W89" s="122" t="n"/>
      <c r="X89" s="122" t="n"/>
      <c r="Y89" s="122" t="n"/>
      <c r="Z89" s="122" t="n"/>
      <c r="AA89" s="122" t="n"/>
      <c r="AB89" s="122" t="n"/>
      <c r="AC89" s="122" t="n"/>
      <c r="AD89" s="122" t="n"/>
      <c r="AE89" s="122" t="n"/>
      <c r="AF89" s="122" t="n"/>
      <c r="AG89" s="122" t="n"/>
      <c r="AH89" s="122" t="n"/>
    </row>
    <row r="90">
      <c r="B90" s="116" t="n"/>
      <c r="C90" s="116" t="n"/>
      <c r="D90" s="116" t="n"/>
      <c r="E90" s="116" t="n"/>
      <c r="F90" s="116" t="n"/>
      <c r="G90" s="116" t="n"/>
      <c r="H90" s="116" t="n"/>
      <c r="I90" s="116" t="n"/>
      <c r="J90" s="116" t="n"/>
      <c r="K90" s="116" t="n"/>
      <c r="L90" s="116" t="n"/>
      <c r="M90" s="116" t="n"/>
      <c r="N90" s="116" t="n"/>
      <c r="O90" s="116" t="n"/>
      <c r="P90" s="116" t="n"/>
      <c r="Q90" s="116" t="n"/>
      <c r="R90" s="116" t="n"/>
      <c r="S90" s="116" t="n"/>
      <c r="T90" s="116" t="n"/>
      <c r="U90" s="116" t="n"/>
      <c r="V90" s="116" t="n"/>
      <c r="W90" s="116" t="n"/>
      <c r="X90" s="116" t="n"/>
      <c r="Y90" s="116" t="n"/>
      <c r="Z90" s="116" t="n"/>
      <c r="AA90" s="116" t="n"/>
      <c r="AB90" s="116" t="n"/>
      <c r="AC90" s="116" t="n"/>
      <c r="AD90" s="116" t="n"/>
      <c r="AE90" s="116" t="n"/>
      <c r="AF90" s="116" t="n"/>
      <c r="AG90" s="116" t="n"/>
      <c r="AH90" s="116" t="n"/>
    </row>
    <row r="91">
      <c r="B91" s="118" t="inlineStr">
        <is>
          <t>II.</t>
        </is>
      </c>
      <c r="C91" s="116" t="n"/>
      <c r="D91" s="118" t="inlineStr">
        <is>
          <t>Billable Time</t>
        </is>
      </c>
      <c r="E91" s="116" t="n"/>
      <c r="F91" s="116" t="n"/>
      <c r="G91" s="116" t="n"/>
      <c r="H91" s="116" t="n"/>
      <c r="I91" s="116" t="n"/>
      <c r="J91" s="116" t="n"/>
      <c r="K91" s="116" t="n"/>
      <c r="L91" s="116" t="n"/>
      <c r="M91" s="116" t="n"/>
      <c r="N91" s="116" t="n"/>
      <c r="O91" s="116" t="n"/>
      <c r="P91" s="116" t="n"/>
      <c r="Q91" s="116" t="n"/>
      <c r="R91" s="116" t="n"/>
      <c r="S91" s="116" t="n"/>
      <c r="T91" s="116" t="n"/>
      <c r="U91" s="116" t="n"/>
      <c r="V91" s="116" t="n"/>
      <c r="W91" s="116" t="n"/>
      <c r="X91" s="116" t="n"/>
      <c r="Y91" s="116" t="n"/>
      <c r="Z91" s="116" t="n"/>
      <c r="AA91" s="116" t="n"/>
      <c r="AB91" s="116" t="n"/>
      <c r="AC91" s="116" t="n"/>
      <c r="AD91" s="116" t="n"/>
      <c r="AE91" s="116" t="n"/>
      <c r="AF91" s="116" t="n"/>
      <c r="AG91" s="116" t="n"/>
      <c r="AH91" s="116" t="n"/>
    </row>
    <row r="92" ht="4.5" customHeight="1" s="1883">
      <c r="B92" s="116" t="n"/>
      <c r="C92" s="116" t="n"/>
      <c r="D92" s="116" t="n"/>
      <c r="E92" s="116" t="n"/>
      <c r="F92" s="116" t="n"/>
      <c r="G92" s="116" t="n"/>
      <c r="H92" s="116" t="n"/>
      <c r="I92" s="116" t="n"/>
      <c r="J92" s="116" t="n"/>
      <c r="K92" s="116" t="n"/>
      <c r="L92" s="116" t="n"/>
      <c r="M92" s="116" t="n"/>
      <c r="N92" s="116" t="n"/>
      <c r="O92" s="116" t="n"/>
      <c r="P92" s="116" t="n"/>
      <c r="Q92" s="116" t="n"/>
      <c r="R92" s="116" t="n"/>
      <c r="S92" s="116" t="n"/>
      <c r="T92" s="116" t="n"/>
      <c r="U92" s="116" t="n"/>
      <c r="V92" s="116" t="n"/>
      <c r="W92" s="116" t="n"/>
      <c r="X92" s="116" t="n"/>
      <c r="Y92" s="116" t="n"/>
      <c r="Z92" s="116" t="n"/>
      <c r="AA92" s="116" t="n"/>
      <c r="AB92" s="116" t="n"/>
      <c r="AC92" s="116" t="n"/>
      <c r="AD92" s="116" t="n"/>
      <c r="AE92" s="116" t="n"/>
      <c r="AF92" s="116" t="n"/>
      <c r="AG92" s="116" t="n"/>
      <c r="AH92" s="116" t="n"/>
    </row>
    <row r="93">
      <c r="B93" s="116" t="n"/>
      <c r="C93" s="116" t="n"/>
      <c r="D93" s="116" t="n"/>
      <c r="E93" s="956" t="inlineStr">
        <is>
          <t>Billable Time/Unit, Minutes</t>
        </is>
      </c>
      <c r="F93" s="956" t="n"/>
      <c r="G93" s="116" t="n"/>
      <c r="H93" s="116" t="n"/>
      <c r="I93" s="116" t="n"/>
      <c r="J93" s="957">
        <f>($L$21)</f>
        <v/>
      </c>
      <c r="K93" s="957" t="n"/>
      <c r="L93" s="957">
        <f>($L$21)</f>
        <v/>
      </c>
      <c r="M93" s="957" t="n"/>
      <c r="N93" s="957">
        <f>($L$21)</f>
        <v/>
      </c>
      <c r="O93" s="957" t="n"/>
      <c r="P93" s="957">
        <f>($L$21)</f>
        <v/>
      </c>
      <c r="Q93" s="957" t="n"/>
      <c r="R93" s="957">
        <f>($L$21)</f>
        <v/>
      </c>
      <c r="S93" s="957" t="n"/>
      <c r="T93" s="957">
        <f>($L$21)</f>
        <v/>
      </c>
      <c r="U93" s="957" t="n"/>
      <c r="V93" s="957">
        <f>($L$21)</f>
        <v/>
      </c>
      <c r="W93" s="957" t="n"/>
      <c r="X93" s="957">
        <f>($L$21)</f>
        <v/>
      </c>
      <c r="Y93" s="957" t="n"/>
      <c r="Z93" s="957">
        <f>($L$21)</f>
        <v/>
      </c>
      <c r="AA93" s="957" t="n"/>
      <c r="AB93" s="957">
        <f>($L$21)</f>
        <v/>
      </c>
      <c r="AC93" s="957" t="n"/>
      <c r="AD93" s="957">
        <f>($L$21)</f>
        <v/>
      </c>
      <c r="AE93" s="957" t="n"/>
      <c r="AF93" s="957">
        <f>($L$21)</f>
        <v/>
      </c>
      <c r="AG93" s="122" t="n"/>
      <c r="AH93" s="958" t="n"/>
    </row>
    <row r="94">
      <c r="B94" s="116" t="n"/>
      <c r="C94" s="116" t="n"/>
      <c r="D94" s="116" t="n"/>
      <c r="E94" s="118" t="inlineStr">
        <is>
          <t>Total Billable Hours</t>
        </is>
      </c>
      <c r="F94" s="116" t="n"/>
      <c r="G94" s="116" t="n"/>
      <c r="H94" s="116" t="n"/>
      <c r="I94" s="116" t="n"/>
      <c r="J94" s="123">
        <f>(((J87)*(J93))/(60))</f>
        <v/>
      </c>
      <c r="K94" s="123" t="n"/>
      <c r="L94" s="123">
        <f>(((L87)*(L93))/(60))</f>
        <v/>
      </c>
      <c r="M94" s="123" t="n"/>
      <c r="N94" s="123">
        <f>(((N87)*(N93))/(60))</f>
        <v/>
      </c>
      <c r="O94" s="123" t="n"/>
      <c r="P94" s="123">
        <f>(((P87)*(P93))/(60))</f>
        <v/>
      </c>
      <c r="Q94" s="123" t="n"/>
      <c r="R94" s="123">
        <f>(((R87)*(R93))/(60))</f>
        <v/>
      </c>
      <c r="S94" s="123" t="n"/>
      <c r="T94" s="123">
        <f>(((T87)*(T93))/(60))</f>
        <v/>
      </c>
      <c r="U94" s="123" t="n"/>
      <c r="V94" s="123">
        <f>(((V87)*(V93))/(60))</f>
        <v/>
      </c>
      <c r="W94" s="123" t="n"/>
      <c r="X94" s="123">
        <f>(((X87)*(X93))/(60))</f>
        <v/>
      </c>
      <c r="Y94" s="123" t="n"/>
      <c r="Z94" s="123">
        <f>(((Z87)*(Z93))/(60))</f>
        <v/>
      </c>
      <c r="AA94" s="123" t="n"/>
      <c r="AB94" s="123">
        <f>(((AB87)*(AB93))/(60))</f>
        <v/>
      </c>
      <c r="AC94" s="123" t="n"/>
      <c r="AD94" s="123">
        <f>(((AD87)*(AD93))/(60))</f>
        <v/>
      </c>
      <c r="AE94" s="123" t="n"/>
      <c r="AF94" s="123">
        <f>(((AF87)*(AF93))/(60))</f>
        <v/>
      </c>
      <c r="AG94" s="123" t="n"/>
      <c r="AH94" s="123">
        <f>((J94)+(L94)+(N94)+(P94)+(R94)+(T94)+(V94)+(X94)+(Z94)+(AB94)+(AD94)+(AF94))</f>
        <v/>
      </c>
    </row>
    <row r="95">
      <c r="B95" s="116" t="n"/>
      <c r="C95" s="116" t="n"/>
      <c r="D95" s="116" t="n"/>
      <c r="E95" s="116" t="inlineStr">
        <is>
          <t>Billable Hour Conversion Rate</t>
        </is>
      </c>
      <c r="F95" s="116" t="n"/>
      <c r="G95" s="116" t="n"/>
      <c r="H95" s="116" t="n"/>
      <c r="I95" s="116" t="n"/>
      <c r="J95" s="142">
        <f>P21</f>
        <v/>
      </c>
      <c r="K95" s="149" t="n"/>
      <c r="L95" s="142">
        <f>J95</f>
        <v/>
      </c>
      <c r="M95" s="149" t="n"/>
      <c r="N95" s="142">
        <f>L95</f>
        <v/>
      </c>
      <c r="O95" s="149" t="n"/>
      <c r="P95" s="142">
        <f>N95</f>
        <v/>
      </c>
      <c r="Q95" s="149" t="n"/>
      <c r="R95" s="142">
        <f>P95</f>
        <v/>
      </c>
      <c r="S95" s="149" t="n"/>
      <c r="T95" s="142">
        <f>R95</f>
        <v/>
      </c>
      <c r="U95" s="149" t="n"/>
      <c r="V95" s="142">
        <f>T95</f>
        <v/>
      </c>
      <c r="W95" s="149" t="n"/>
      <c r="X95" s="142">
        <f>V95</f>
        <v/>
      </c>
      <c r="Y95" s="149" t="n"/>
      <c r="Z95" s="142">
        <f>X95</f>
        <v/>
      </c>
      <c r="AA95" s="149" t="n"/>
      <c r="AB95" s="142">
        <f>Z95</f>
        <v/>
      </c>
      <c r="AC95" s="149" t="n"/>
      <c r="AD95" s="142">
        <f>AB95</f>
        <v/>
      </c>
      <c r="AE95" s="149" t="n"/>
      <c r="AF95" s="142">
        <f>AD95</f>
        <v/>
      </c>
      <c r="AG95" s="149" t="n"/>
      <c r="AH95" s="142">
        <f>AF95</f>
        <v/>
      </c>
    </row>
    <row r="97">
      <c r="B97" s="118" t="inlineStr">
        <is>
          <t>III.</t>
        </is>
      </c>
      <c r="C97" s="116" t="n"/>
      <c r="D97" s="118" t="inlineStr">
        <is>
          <t>Rate Per Hour</t>
        </is>
      </c>
      <c r="E97" s="116" t="n"/>
      <c r="F97" s="116" t="n"/>
      <c r="G97" s="116" t="n"/>
      <c r="H97" s="116" t="n"/>
      <c r="I97" s="116" t="n"/>
      <c r="J97" s="116" t="n"/>
      <c r="K97" s="116" t="n"/>
      <c r="L97" s="116" t="n"/>
      <c r="M97" s="116" t="n"/>
      <c r="N97" s="116" t="n"/>
      <c r="O97" s="116" t="n"/>
      <c r="P97" s="116" t="n"/>
      <c r="Q97" s="116" t="n"/>
      <c r="R97" s="116" t="n"/>
      <c r="S97" s="116" t="n"/>
      <c r="T97" s="116" t="n"/>
      <c r="U97" s="116" t="n"/>
      <c r="V97" s="116" t="n"/>
      <c r="W97" s="116" t="n"/>
      <c r="X97" s="116" t="n"/>
      <c r="Y97" s="116" t="n"/>
      <c r="Z97" s="116" t="n"/>
      <c r="AA97" s="116" t="n"/>
      <c r="AB97" s="116" t="n"/>
      <c r="AC97" s="116" t="n"/>
      <c r="AD97" s="116" t="n"/>
      <c r="AE97" s="116" t="n"/>
      <c r="AF97" s="116" t="n"/>
      <c r="AG97" s="116" t="n"/>
      <c r="AH97" s="116" t="n"/>
    </row>
    <row r="98" ht="4.5" customHeight="1" s="1883">
      <c r="B98" s="116" t="n"/>
      <c r="C98" s="116" t="n"/>
      <c r="D98" s="116" t="n"/>
      <c r="E98" s="116" t="n"/>
      <c r="F98" s="116" t="n"/>
      <c r="G98" s="116" t="n"/>
      <c r="H98" s="116" t="n"/>
      <c r="I98" s="116" t="n"/>
      <c r="J98" s="116" t="n"/>
      <c r="K98" s="116" t="n"/>
      <c r="L98" s="116" t="n"/>
      <c r="M98" s="116" t="n"/>
      <c r="N98" s="116" t="n"/>
      <c r="O98" s="116" t="n"/>
      <c r="P98" s="116" t="n"/>
      <c r="Q98" s="116" t="n"/>
      <c r="R98" s="116" t="n"/>
      <c r="S98" s="116" t="n"/>
      <c r="T98" s="116" t="n"/>
      <c r="U98" s="116" t="n"/>
      <c r="V98" s="116" t="n"/>
      <c r="W98" s="116" t="n"/>
      <c r="X98" s="116" t="n"/>
      <c r="Y98" s="116" t="n"/>
      <c r="Z98" s="116" t="n"/>
      <c r="AA98" s="116" t="n"/>
      <c r="AB98" s="116" t="n"/>
      <c r="AC98" s="116" t="n"/>
      <c r="AD98" s="116" t="n"/>
      <c r="AE98" s="116" t="n"/>
      <c r="AF98" s="116" t="n"/>
      <c r="AG98" s="116" t="n"/>
      <c r="AH98" s="116" t="n"/>
    </row>
    <row r="99">
      <c r="B99" s="116" t="n"/>
      <c r="C99" s="116" t="n"/>
      <c r="D99" s="116" t="n"/>
      <c r="E99" s="116" t="inlineStr">
        <is>
          <t>Gross</t>
        </is>
      </c>
      <c r="F99" s="116" t="n"/>
      <c r="G99" s="116" t="n"/>
      <c r="H99" s="116" t="n"/>
      <c r="I99" s="116" t="n"/>
      <c r="J99" s="2029">
        <f>($N$21)</f>
        <v/>
      </c>
      <c r="K99" s="2029" t="n"/>
      <c r="L99" s="2029">
        <f>($N$21)</f>
        <v/>
      </c>
      <c r="M99" s="2029" t="n"/>
      <c r="N99" s="2029">
        <f>($N$21)</f>
        <v/>
      </c>
      <c r="O99" s="2029" t="n"/>
      <c r="P99" s="2029">
        <f>($N$21)</f>
        <v/>
      </c>
      <c r="Q99" s="2029" t="n"/>
      <c r="R99" s="2029">
        <f>($N$21)</f>
        <v/>
      </c>
      <c r="S99" s="2029" t="n"/>
      <c r="T99" s="2029">
        <f>($N$21)</f>
        <v/>
      </c>
      <c r="U99" s="2029" t="n"/>
      <c r="V99" s="2029">
        <f>($N$21)</f>
        <v/>
      </c>
      <c r="W99" s="2029">
        <f>($N$21)</f>
        <v/>
      </c>
      <c r="X99" s="2029">
        <f>($N$21)</f>
        <v/>
      </c>
      <c r="Y99" s="2029" t="n"/>
      <c r="Z99" s="2029">
        <f>($N$21)</f>
        <v/>
      </c>
      <c r="AA99" s="2029" t="n"/>
      <c r="AB99" s="2029">
        <f>($N$21)</f>
        <v/>
      </c>
      <c r="AC99" s="2029" t="n"/>
      <c r="AD99" s="2029">
        <f>($N$21)</f>
        <v/>
      </c>
      <c r="AE99" s="2029" t="n"/>
      <c r="AF99" s="2029">
        <f>($N$21)</f>
        <v/>
      </c>
      <c r="AG99" s="2029" t="n"/>
      <c r="AH99" s="2030">
        <f>(((J99)+(L99)+(N99)+(P99)+(R99)+(T99)+(V99)+(X99)+(Z99)+(AB99)+(AD99)+(AF99))/(12))</f>
        <v/>
      </c>
    </row>
    <row r="100">
      <c r="B100" s="116" t="n"/>
      <c r="C100" s="116" t="n"/>
      <c r="D100" s="116" t="n"/>
      <c r="E100" s="116" t="inlineStr">
        <is>
          <t>Discount</t>
        </is>
      </c>
      <c r="F100" s="116" t="n"/>
      <c r="G100" s="116" t="n"/>
      <c r="H100" s="116" t="n"/>
      <c r="I100" s="116" t="n"/>
      <c r="J100" s="119">
        <f>(($R$21))</f>
        <v/>
      </c>
      <c r="K100" s="119" t="n"/>
      <c r="L100" s="119">
        <f>(($R$21))</f>
        <v/>
      </c>
      <c r="M100" s="119" t="n"/>
      <c r="N100" s="119">
        <f>(($R$21))</f>
        <v/>
      </c>
      <c r="O100" s="119" t="n"/>
      <c r="P100" s="119">
        <f>(($R$21))</f>
        <v/>
      </c>
      <c r="Q100" s="959" t="n"/>
      <c r="R100" s="119">
        <f>(($R$21))</f>
        <v/>
      </c>
      <c r="S100" s="959" t="n"/>
      <c r="T100" s="119">
        <f>(($R$21))</f>
        <v/>
      </c>
      <c r="U100" s="119" t="n"/>
      <c r="V100" s="119">
        <f>(($R$21))</f>
        <v/>
      </c>
      <c r="W100" s="960" t="n"/>
      <c r="X100" s="119">
        <f>(($R$21))</f>
        <v/>
      </c>
      <c r="Y100" s="960" t="n"/>
      <c r="Z100" s="119">
        <f>(($R$21))</f>
        <v/>
      </c>
      <c r="AA100" s="119" t="n"/>
      <c r="AB100" s="119">
        <f>(($R$21))</f>
        <v/>
      </c>
      <c r="AC100" s="961" t="n"/>
      <c r="AD100" s="119">
        <f>(($R$21))</f>
        <v/>
      </c>
      <c r="AE100" s="961" t="n"/>
      <c r="AF100" s="119">
        <f>(($R$21))</f>
        <v/>
      </c>
      <c r="AG100" s="116" t="n"/>
      <c r="AH100" s="128">
        <f>(((J100)+(L100)+(N100)+(P100)+(R100)+(T100)+(V100)+(X100)+(Z100)+(AB100)+(AD100)+(AF100))/(12))</f>
        <v/>
      </c>
    </row>
    <row r="101" ht="3" customHeight="1" s="1883">
      <c r="B101" s="116" t="n"/>
      <c r="C101" s="116" t="n"/>
      <c r="D101" s="116" t="n"/>
      <c r="E101" s="116" t="n"/>
      <c r="F101" s="116" t="n"/>
      <c r="G101" s="116" t="n"/>
      <c r="H101" s="116" t="n"/>
      <c r="I101" s="116" t="n"/>
      <c r="J101" s="950" t="n"/>
      <c r="K101" s="116" t="n"/>
      <c r="L101" s="950" t="n"/>
      <c r="M101" s="116" t="n"/>
      <c r="N101" s="950" t="n"/>
      <c r="O101" s="116" t="n"/>
      <c r="P101" s="950" t="n"/>
      <c r="Q101" s="116" t="n"/>
      <c r="R101" s="950" t="n"/>
      <c r="S101" s="116" t="n"/>
      <c r="T101" s="950" t="n"/>
      <c r="U101" s="116" t="n"/>
      <c r="V101" s="950" t="n"/>
      <c r="W101" s="116" t="n"/>
      <c r="X101" s="950" t="n"/>
      <c r="Y101" s="116" t="n"/>
      <c r="Z101" s="950" t="n"/>
      <c r="AA101" s="116" t="n"/>
      <c r="AB101" s="950" t="n"/>
      <c r="AC101" s="116" t="n"/>
      <c r="AD101" s="950" t="n"/>
      <c r="AE101" s="116" t="n"/>
      <c r="AF101" s="950" t="n"/>
      <c r="AG101" s="116" t="n"/>
      <c r="AH101" s="950" t="n"/>
    </row>
    <row r="102" ht="3" customHeight="1" s="1883">
      <c r="B102" s="116" t="n"/>
      <c r="C102" s="116" t="n"/>
      <c r="D102" s="116" t="n"/>
      <c r="E102" s="116" t="n"/>
      <c r="F102" s="116" t="n"/>
      <c r="G102" s="116" t="n"/>
      <c r="H102" s="116" t="n"/>
      <c r="I102" s="116" t="n"/>
      <c r="J102" s="116" t="n"/>
      <c r="K102" s="116" t="n"/>
      <c r="L102" s="116" t="n"/>
      <c r="M102" s="116" t="n"/>
      <c r="N102" s="116" t="n"/>
      <c r="O102" s="116" t="n"/>
      <c r="P102" s="116" t="n"/>
      <c r="Q102" s="116" t="n"/>
      <c r="R102" s="116" t="n"/>
      <c r="S102" s="116" t="n"/>
      <c r="T102" s="116" t="n"/>
      <c r="U102" s="116" t="n"/>
      <c r="V102" s="116" t="n"/>
      <c r="W102" s="116" t="n"/>
      <c r="X102" s="116" t="n"/>
      <c r="Y102" s="116" t="n"/>
      <c r="Z102" s="116" t="n"/>
      <c r="AA102" s="116" t="n"/>
      <c r="AB102" s="116" t="n"/>
      <c r="AC102" s="116" t="n"/>
      <c r="AD102" s="116" t="n"/>
      <c r="AE102" s="116" t="n"/>
      <c r="AF102" s="116" t="n"/>
      <c r="AG102" s="116" t="n"/>
      <c r="AH102" s="116" t="n"/>
    </row>
    <row r="103">
      <c r="B103" s="116" t="n"/>
      <c r="C103" s="116" t="n"/>
      <c r="D103" s="116" t="n"/>
      <c r="E103" s="116" t="n"/>
      <c r="F103" s="118" t="inlineStr">
        <is>
          <t>Rate Per Hour, Net</t>
        </is>
      </c>
      <c r="G103" s="116" t="n"/>
      <c r="H103" s="116" t="n"/>
      <c r="I103" s="116" t="n"/>
      <c r="J103" s="2030">
        <f>((J99)*((1)-(J100)))</f>
        <v/>
      </c>
      <c r="K103" s="2030" t="n"/>
      <c r="L103" s="2030">
        <f>((L99)*((1)-(L100)))</f>
        <v/>
      </c>
      <c r="M103" s="2030" t="n"/>
      <c r="N103" s="2030">
        <f>((N99)*((1)-(N100)))</f>
        <v/>
      </c>
      <c r="O103" s="2030" t="n"/>
      <c r="P103" s="2030">
        <f>((P99)*((1)-(P100)))</f>
        <v/>
      </c>
      <c r="Q103" s="2030" t="n"/>
      <c r="R103" s="2030">
        <f>((R99)*((1)-(R100)))</f>
        <v/>
      </c>
      <c r="S103" s="2030" t="n"/>
      <c r="T103" s="2030">
        <f>((T99)*((1)-(T100)))</f>
        <v/>
      </c>
      <c r="U103" s="2030" t="n"/>
      <c r="V103" s="2030">
        <f>((V99)*((1)-(V100)))</f>
        <v/>
      </c>
      <c r="W103" s="2030" t="n"/>
      <c r="X103" s="2030">
        <f>((X99)*((1)-(X100)))</f>
        <v/>
      </c>
      <c r="Y103" s="2030" t="n"/>
      <c r="Z103" s="2030">
        <f>((Z99)*((1)-(Z100)))</f>
        <v/>
      </c>
      <c r="AA103" s="2030" t="n"/>
      <c r="AB103" s="2030">
        <f>((AB99)*((1)-(AB100)))</f>
        <v/>
      </c>
      <c r="AC103" s="2030" t="n"/>
      <c r="AD103" s="2030">
        <f>((AD99)*((1)-(AD100)))</f>
        <v/>
      </c>
      <c r="AE103" s="2030" t="n"/>
      <c r="AF103" s="2030">
        <f>((AF99)*((1)-(AF100)))</f>
        <v/>
      </c>
      <c r="AG103" s="116" t="n"/>
      <c r="AH103" s="2030">
        <f>((AH99)*((1)-(AH100)))</f>
        <v/>
      </c>
    </row>
    <row r="104" ht="3" customHeight="1" s="1883">
      <c r="B104" s="116" t="n"/>
      <c r="C104" s="116" t="n"/>
      <c r="D104" s="116" t="n"/>
      <c r="E104" s="116" t="n"/>
      <c r="F104" s="116" t="n"/>
      <c r="G104" s="116" t="n"/>
      <c r="H104" s="116" t="n"/>
      <c r="I104" s="116" t="n"/>
      <c r="J104" s="121" t="n"/>
      <c r="K104" s="116" t="n"/>
      <c r="L104" s="121" t="n"/>
      <c r="M104" s="116" t="n"/>
      <c r="N104" s="121" t="n"/>
      <c r="O104" s="116" t="n"/>
      <c r="P104" s="121" t="n"/>
      <c r="Q104" s="116" t="n"/>
      <c r="R104" s="121" t="n"/>
      <c r="S104" s="116" t="n"/>
      <c r="T104" s="121" t="n"/>
      <c r="U104" s="116" t="n"/>
      <c r="V104" s="121" t="n"/>
      <c r="W104" s="116" t="n"/>
      <c r="X104" s="121" t="n"/>
      <c r="Y104" s="116" t="n"/>
      <c r="Z104" s="121" t="n"/>
      <c r="AA104" s="116" t="n"/>
      <c r="AB104" s="121" t="n"/>
      <c r="AC104" s="116" t="n"/>
      <c r="AD104" s="121" t="n"/>
      <c r="AE104" s="116" t="n"/>
      <c r="AF104" s="121" t="n"/>
      <c r="AG104" s="116" t="n"/>
      <c r="AH104" s="121" t="n"/>
    </row>
    <row r="105">
      <c r="B105" s="116" t="n"/>
      <c r="C105" s="116" t="n"/>
      <c r="D105" s="116" t="n"/>
      <c r="E105" s="116" t="n"/>
      <c r="F105" s="116" t="n"/>
      <c r="G105" s="116" t="n"/>
      <c r="H105" s="116" t="n"/>
      <c r="I105" s="116" t="n"/>
      <c r="J105" s="116" t="n"/>
      <c r="K105" s="116" t="n"/>
      <c r="L105" s="116" t="n"/>
      <c r="M105" s="116" t="n"/>
      <c r="N105" s="116" t="n"/>
      <c r="O105" s="116" t="n"/>
      <c r="P105" s="116" t="n"/>
      <c r="Q105" s="116" t="n"/>
      <c r="R105" s="116" t="n"/>
      <c r="S105" s="116" t="n"/>
      <c r="T105" s="116" t="n"/>
      <c r="U105" s="116" t="n"/>
      <c r="V105" s="116" t="n"/>
      <c r="W105" s="116" t="n"/>
      <c r="X105" s="116" t="n"/>
      <c r="Y105" s="116" t="n"/>
      <c r="Z105" s="116" t="n"/>
      <c r="AA105" s="116" t="n"/>
      <c r="AB105" s="116" t="n"/>
      <c r="AC105" s="116" t="n"/>
      <c r="AD105" s="116" t="n"/>
      <c r="AE105" s="116" t="n"/>
      <c r="AF105" s="116" t="n"/>
      <c r="AG105" s="116" t="n"/>
      <c r="AH105" s="116" t="n"/>
    </row>
    <row r="106">
      <c r="B106" s="116" t="n"/>
      <c r="C106" s="116" t="n"/>
      <c r="D106" s="116" t="n"/>
      <c r="E106" s="116" t="n"/>
      <c r="F106" s="116" t="n"/>
      <c r="G106" s="116" t="n"/>
      <c r="H106" s="116" t="n"/>
      <c r="I106" s="116" t="n"/>
      <c r="J106" s="116" t="n"/>
      <c r="K106" s="116" t="n"/>
      <c r="L106" s="116" t="n"/>
      <c r="M106" s="116" t="n"/>
      <c r="N106" s="116" t="n"/>
      <c r="O106" s="116" t="n"/>
      <c r="P106" s="116" t="n"/>
      <c r="Q106" s="116" t="n"/>
      <c r="R106" s="116" t="n"/>
      <c r="S106" s="116" t="n"/>
      <c r="T106" s="116" t="n"/>
      <c r="U106" s="116" t="n"/>
      <c r="V106" s="116" t="n"/>
      <c r="W106" s="116" t="n"/>
      <c r="X106" s="116" t="n"/>
      <c r="Y106" s="116" t="n"/>
      <c r="Z106" s="116" t="n"/>
      <c r="AA106" s="116" t="n"/>
      <c r="AB106" s="116" t="n"/>
      <c r="AC106" s="116" t="n"/>
      <c r="AD106" s="116" t="n"/>
      <c r="AE106" s="116" t="n"/>
      <c r="AF106" s="116" t="n"/>
      <c r="AG106" s="116" t="n"/>
      <c r="AH106" s="116" t="n"/>
    </row>
    <row r="107">
      <c r="B107" s="116" t="n"/>
      <c r="C107" s="116" t="n"/>
      <c r="D107" s="116" t="n"/>
      <c r="E107" s="116" t="n"/>
      <c r="F107" s="962" t="inlineStr">
        <is>
          <t>Gross Revenue</t>
        </is>
      </c>
      <c r="G107" s="116" t="n"/>
      <c r="H107" s="116" t="n"/>
      <c r="I107" s="116" t="n"/>
      <c r="J107" s="963">
        <f>((J94)*(J95)*(J103))</f>
        <v/>
      </c>
      <c r="K107" s="963">
        <f>((K94)*(K103))</f>
        <v/>
      </c>
      <c r="L107" s="963">
        <f>((L94)*(L95)*(L103))</f>
        <v/>
      </c>
      <c r="M107" s="963">
        <f>((M94)*(M103))</f>
        <v/>
      </c>
      <c r="N107" s="963">
        <f>((N94)*(N95)*(N103))</f>
        <v/>
      </c>
      <c r="O107" s="963">
        <f>((O94)*(O103))</f>
        <v/>
      </c>
      <c r="P107" s="963">
        <f>((P94)*(P95)*(P103))</f>
        <v/>
      </c>
      <c r="Q107" s="963">
        <f>((Q94)*(Q103))</f>
        <v/>
      </c>
      <c r="R107" s="963">
        <f>((R94)*(R95)*(R103))</f>
        <v/>
      </c>
      <c r="S107" s="963">
        <f>((S94)*(S103))</f>
        <v/>
      </c>
      <c r="T107" s="963">
        <f>((T94)*(T95)*(T103))</f>
        <v/>
      </c>
      <c r="U107" s="963">
        <f>((U94)*(U103))</f>
        <v/>
      </c>
      <c r="V107" s="963">
        <f>((V94)*(V95)*(V103))</f>
        <v/>
      </c>
      <c r="W107" s="963">
        <f>((W94)*(W103))</f>
        <v/>
      </c>
      <c r="X107" s="963">
        <f>((X94)*(X95)*(X103))</f>
        <v/>
      </c>
      <c r="Y107" s="963">
        <f>((Y94)*(Y103))</f>
        <v/>
      </c>
      <c r="Z107" s="963">
        <f>((Z94)*(Z95)*(Z103))</f>
        <v/>
      </c>
      <c r="AA107" s="963">
        <f>((AA94)*(AA103))</f>
        <v/>
      </c>
      <c r="AB107" s="963">
        <f>((AB94)*(AB95)*(AB103))</f>
        <v/>
      </c>
      <c r="AC107" s="963">
        <f>((AC94)*(AC103))</f>
        <v/>
      </c>
      <c r="AD107" s="963">
        <f>((AD94)*(AD95)*(AD103))</f>
        <v/>
      </c>
      <c r="AE107" s="963">
        <f>((AE94)*(AE103))</f>
        <v/>
      </c>
      <c r="AF107" s="963">
        <f>((AF94)*(AF95)*(AF103))</f>
        <v/>
      </c>
      <c r="AG107" s="116" t="n"/>
      <c r="AH107" s="963">
        <f>((AH94)*(AH95)*(AH103))</f>
        <v/>
      </c>
    </row>
    <row r="108" ht="3" customHeight="1" s="1883">
      <c r="B108" s="116" t="n"/>
      <c r="C108" s="116" t="n"/>
      <c r="D108" s="116" t="n"/>
      <c r="E108" s="116" t="n"/>
      <c r="F108" s="116" t="n"/>
      <c r="G108" s="116" t="n"/>
      <c r="H108" s="116" t="n"/>
      <c r="I108" s="116" t="n"/>
      <c r="J108" s="121" t="n"/>
      <c r="K108" s="116" t="n"/>
      <c r="L108" s="121" t="n"/>
      <c r="M108" s="116" t="n"/>
      <c r="N108" s="121" t="n"/>
      <c r="O108" s="116" t="n"/>
      <c r="P108" s="121" t="n"/>
      <c r="Q108" s="116" t="n"/>
      <c r="R108" s="121" t="n"/>
      <c r="S108" s="116" t="n"/>
      <c r="T108" s="121" t="n"/>
      <c r="U108" s="116" t="n"/>
      <c r="V108" s="121" t="n"/>
      <c r="W108" s="116" t="n"/>
      <c r="X108" s="121" t="n"/>
      <c r="Y108" s="116" t="n"/>
      <c r="Z108" s="121" t="n"/>
      <c r="AA108" s="116" t="n"/>
      <c r="AB108" s="121" t="n"/>
      <c r="AC108" s="116" t="n"/>
      <c r="AD108" s="121" t="n"/>
      <c r="AE108" s="116" t="n"/>
      <c r="AF108" s="121" t="n"/>
      <c r="AG108" s="116" t="n"/>
      <c r="AH108" s="121" t="n"/>
    </row>
    <row r="109" ht="16" customHeight="1" s="1883" thickTop="1">
      <c r="B109" s="116" t="n"/>
      <c r="C109" s="116" t="n"/>
      <c r="D109" s="116" t="n"/>
      <c r="E109" s="116" t="n"/>
      <c r="F109" s="116" t="n"/>
      <c r="G109" s="116" t="n"/>
      <c r="H109" s="116" t="n"/>
      <c r="I109" s="116" t="n"/>
      <c r="J109" s="116" t="n"/>
      <c r="K109" s="116" t="n"/>
      <c r="L109" s="116" t="n"/>
      <c r="M109" s="116" t="n"/>
      <c r="N109" s="116" t="n"/>
      <c r="O109" s="116" t="n"/>
      <c r="P109" s="116" t="n"/>
      <c r="Q109" s="116" t="n"/>
      <c r="R109" s="116" t="n"/>
      <c r="S109" s="116" t="n"/>
      <c r="T109" s="116" t="n"/>
      <c r="U109" s="116" t="n"/>
      <c r="V109" s="116" t="n"/>
      <c r="W109" s="116" t="n"/>
      <c r="X109" s="116" t="n"/>
      <c r="Y109" s="116" t="n"/>
      <c r="Z109" s="116" t="n"/>
      <c r="AA109" s="116" t="n"/>
      <c r="AB109" s="116" t="n"/>
      <c r="AC109" s="116" t="n"/>
      <c r="AD109" s="116" t="n"/>
      <c r="AE109" s="116" t="n"/>
      <c r="AF109" s="116" t="n"/>
      <c r="AG109" s="116" t="n"/>
      <c r="AH109" s="116" t="n"/>
    </row>
    <row r="110">
      <c r="B110" s="116" t="n"/>
      <c r="C110" s="116" t="n"/>
      <c r="D110" s="116" t="n"/>
      <c r="E110" s="116" t="n"/>
      <c r="F110" s="116" t="n"/>
      <c r="G110" s="116" t="n"/>
      <c r="H110" s="116" t="n"/>
      <c r="I110" s="116" t="n"/>
      <c r="J110" s="116" t="n"/>
      <c r="K110" s="116" t="n"/>
      <c r="L110" s="116" t="n"/>
      <c r="M110" s="116" t="n"/>
      <c r="N110" s="116" t="n"/>
      <c r="O110" s="116" t="n"/>
      <c r="P110" s="116" t="n"/>
      <c r="Q110" s="116" t="n"/>
      <c r="R110" s="116" t="n"/>
      <c r="S110" s="116" t="n"/>
      <c r="T110" s="116" t="n"/>
      <c r="U110" s="116" t="n"/>
      <c r="V110" s="116" t="n"/>
      <c r="W110" s="116" t="n"/>
      <c r="X110" s="116" t="n"/>
      <c r="Y110" s="116" t="n"/>
      <c r="Z110" s="116" t="n"/>
      <c r="AA110" s="116" t="n"/>
      <c r="AB110" s="116" t="n"/>
      <c r="AC110" s="116" t="n"/>
      <c r="AD110" s="116" t="n"/>
      <c r="AE110" s="116" t="n"/>
      <c r="AF110" s="116" t="n"/>
      <c r="AG110" s="116" t="n"/>
      <c r="AH110" s="116" t="n"/>
      <c r="AK110" s="504">
        <f>AH84</f>
        <v/>
      </c>
    </row>
    <row r="111">
      <c r="B111" s="116" t="n"/>
      <c r="C111" s="116" t="n"/>
      <c r="D111" s="116" t="n"/>
      <c r="E111" s="116" t="n"/>
      <c r="F111" s="116" t="n"/>
      <c r="G111" s="116" t="n"/>
      <c r="H111" s="116" t="n"/>
      <c r="I111" s="116" t="n"/>
      <c r="J111" s="1915" t="inlineStr">
        <is>
          <t>Year 2 - Steady State</t>
        </is>
      </c>
      <c r="AK111" s="504">
        <f>AH125</f>
        <v/>
      </c>
    </row>
    <row r="112" ht="15" customHeight="1" s="1883">
      <c r="AK112" s="504">
        <f>AH165</f>
        <v/>
      </c>
    </row>
    <row r="113" ht="15" customHeight="1" s="1883">
      <c r="AK113" s="504">
        <f>AH205</f>
        <v/>
      </c>
    </row>
    <row r="114">
      <c r="B114" s="116" t="n"/>
      <c r="C114" s="116" t="n"/>
      <c r="D114" s="116" t="n"/>
      <c r="E114" s="116" t="n"/>
      <c r="F114" s="116" t="n"/>
      <c r="G114" s="116" t="n"/>
      <c r="H114" s="116" t="n"/>
      <c r="I114" s="116" t="n"/>
      <c r="J114" s="117" t="inlineStr">
        <is>
          <t>Month 13</t>
        </is>
      </c>
      <c r="K114" s="117" t="n"/>
      <c r="L114" s="117" t="inlineStr">
        <is>
          <t>Month 14</t>
        </is>
      </c>
      <c r="M114" s="117" t="n"/>
      <c r="N114" s="117" t="inlineStr">
        <is>
          <t>Month 15</t>
        </is>
      </c>
      <c r="O114" s="117" t="n"/>
      <c r="P114" s="117" t="inlineStr">
        <is>
          <t>Month 16</t>
        </is>
      </c>
      <c r="Q114" s="117" t="n"/>
      <c r="R114" s="117" t="inlineStr">
        <is>
          <t>Month 17</t>
        </is>
      </c>
      <c r="S114" s="117" t="n"/>
      <c r="T114" s="117" t="inlineStr">
        <is>
          <t>Month 18</t>
        </is>
      </c>
      <c r="U114" s="117" t="n"/>
      <c r="V114" s="117" t="inlineStr">
        <is>
          <t>Month 19</t>
        </is>
      </c>
      <c r="W114" s="117" t="n"/>
      <c r="X114" s="117" t="inlineStr">
        <is>
          <t>Month 20</t>
        </is>
      </c>
      <c r="Y114" s="117" t="n"/>
      <c r="Z114" s="117" t="inlineStr">
        <is>
          <t>Month 21</t>
        </is>
      </c>
      <c r="AA114" s="117" t="n"/>
      <c r="AB114" s="117" t="inlineStr">
        <is>
          <t>Month 22</t>
        </is>
      </c>
      <c r="AC114" s="117" t="n"/>
      <c r="AD114" s="117" t="inlineStr">
        <is>
          <t>Month 23</t>
        </is>
      </c>
      <c r="AE114" s="117" t="n"/>
      <c r="AF114" s="117" t="inlineStr">
        <is>
          <t>Month 24</t>
        </is>
      </c>
      <c r="AG114" s="116" t="n"/>
      <c r="AH114" s="117" t="inlineStr">
        <is>
          <t>Ʃ, Year 1</t>
        </is>
      </c>
      <c r="AK114" s="504">
        <f>AH245</f>
        <v/>
      </c>
    </row>
    <row r="115" ht="3" customHeight="1" s="1883">
      <c r="B115" s="116" t="n"/>
      <c r="C115" s="116" t="n"/>
      <c r="D115" s="116" t="n"/>
      <c r="E115" s="116" t="n"/>
      <c r="F115" s="116" t="n"/>
      <c r="G115" s="116" t="n"/>
      <c r="H115" s="116" t="n"/>
      <c r="I115" s="116" t="n"/>
      <c r="J115" s="950" t="n"/>
      <c r="K115" s="116" t="n"/>
      <c r="L115" s="950" t="n"/>
      <c r="M115" s="116" t="n"/>
      <c r="N115" s="950" t="n"/>
      <c r="O115" s="116" t="n"/>
      <c r="P115" s="950" t="n"/>
      <c r="Q115" s="116" t="n"/>
      <c r="R115" s="950" t="n"/>
      <c r="S115" s="116" t="n"/>
      <c r="T115" s="950" t="n"/>
      <c r="U115" s="116" t="n"/>
      <c r="V115" s="950" t="n"/>
      <c r="W115" s="116" t="n"/>
      <c r="X115" s="950" t="n"/>
      <c r="Y115" s="116" t="n"/>
      <c r="Z115" s="950" t="n"/>
      <c r="AA115" s="116" t="n"/>
      <c r="AB115" s="950" t="n"/>
      <c r="AC115" s="116" t="n"/>
      <c r="AD115" s="950" t="n"/>
      <c r="AE115" s="116" t="n"/>
      <c r="AF115" s="950" t="n"/>
      <c r="AG115" s="116" t="n"/>
      <c r="AH115" s="950" t="n"/>
    </row>
    <row r="116" ht="3" customHeight="1" s="1883">
      <c r="B116" s="116" t="n"/>
      <c r="C116" s="116" t="n"/>
      <c r="D116" s="116" t="n"/>
      <c r="E116" s="116" t="n"/>
      <c r="F116" s="116" t="n"/>
      <c r="G116" s="116" t="n"/>
      <c r="H116" s="116" t="n"/>
      <c r="I116" s="116" t="n"/>
      <c r="J116" s="116" t="n"/>
      <c r="K116" s="116" t="n"/>
      <c r="L116" s="116" t="n"/>
      <c r="M116" s="116" t="n"/>
      <c r="N116" s="116" t="n"/>
      <c r="O116" s="116" t="n"/>
      <c r="P116" s="116" t="n"/>
      <c r="Q116" s="116" t="n"/>
      <c r="R116" s="116" t="n"/>
      <c r="S116" s="116" t="n"/>
      <c r="T116" s="116" t="n"/>
      <c r="U116" s="116" t="n"/>
      <c r="V116" s="116" t="n"/>
      <c r="W116" s="116" t="n"/>
      <c r="X116" s="116" t="n"/>
      <c r="Y116" s="116" t="n"/>
      <c r="Z116" s="116" t="n"/>
      <c r="AA116" s="116" t="n"/>
      <c r="AB116" s="116" t="n"/>
      <c r="AC116" s="116" t="n"/>
      <c r="AD116" s="116" t="n"/>
      <c r="AE116" s="116" t="n"/>
      <c r="AF116" s="116" t="n"/>
      <c r="AG116" s="116" t="n"/>
      <c r="AH116" s="116" t="n"/>
    </row>
    <row r="117">
      <c r="B117" s="118" t="inlineStr">
        <is>
          <t>Revenue Drivers</t>
        </is>
      </c>
      <c r="C117" s="118" t="n"/>
      <c r="D117" s="116" t="n"/>
      <c r="E117" s="116" t="n"/>
      <c r="F117" s="116" t="n"/>
      <c r="G117" s="116" t="n"/>
      <c r="H117" s="116" t="n"/>
      <c r="I117" s="116" t="n"/>
      <c r="J117" s="116" t="n"/>
      <c r="K117" s="116" t="n"/>
      <c r="L117" s="116" t="n"/>
      <c r="M117" s="116" t="n"/>
      <c r="N117" s="116" t="n"/>
      <c r="O117" s="116" t="n"/>
      <c r="P117" s="116" t="n"/>
      <c r="Q117" s="116" t="n"/>
      <c r="R117" s="116" t="n"/>
      <c r="S117" s="116" t="n"/>
      <c r="T117" s="116" t="n"/>
      <c r="U117" s="116" t="n"/>
      <c r="V117" s="116" t="n"/>
      <c r="W117" s="116" t="n"/>
      <c r="X117" s="116" t="n"/>
      <c r="Y117" s="116" t="n"/>
      <c r="Z117" s="116" t="n"/>
      <c r="AA117" s="116" t="n"/>
      <c r="AB117" s="116" t="n"/>
      <c r="AC117" s="116" t="n"/>
      <c r="AD117" s="116" t="n"/>
      <c r="AE117" s="116" t="n"/>
      <c r="AF117" s="116" t="n"/>
      <c r="AG117" s="116" t="n"/>
      <c r="AH117" s="116" t="n"/>
    </row>
    <row r="118" ht="4.5" customHeight="1" s="1883">
      <c r="B118" s="116" t="n"/>
      <c r="C118" s="116" t="n"/>
      <c r="D118" s="116" t="n"/>
      <c r="E118" s="116" t="n"/>
      <c r="F118" s="116" t="n"/>
      <c r="G118" s="116" t="n"/>
      <c r="H118" s="116" t="n"/>
      <c r="I118" s="116" t="n"/>
      <c r="J118" s="116" t="n"/>
      <c r="K118" s="116" t="n"/>
      <c r="L118" s="116" t="n"/>
      <c r="M118" s="116" t="n"/>
      <c r="N118" s="116" t="n"/>
      <c r="O118" s="116" t="n"/>
      <c r="P118" s="116" t="n"/>
      <c r="Q118" s="116" t="n"/>
      <c r="R118" s="116" t="n"/>
      <c r="S118" s="116" t="n"/>
      <c r="T118" s="116" t="n"/>
      <c r="U118" s="116" t="n"/>
      <c r="V118" s="116" t="n"/>
      <c r="W118" s="116" t="n"/>
      <c r="X118" s="116" t="n"/>
      <c r="Y118" s="116" t="n"/>
      <c r="Z118" s="116" t="n"/>
      <c r="AA118" s="116" t="n"/>
      <c r="AB118" s="116" t="n"/>
      <c r="AC118" s="116" t="n"/>
      <c r="AD118" s="116" t="n"/>
      <c r="AE118" s="116" t="n"/>
      <c r="AF118" s="116" t="n"/>
      <c r="AG118" s="116" t="n"/>
      <c r="AH118" s="116" t="n"/>
    </row>
    <row r="119">
      <c r="B119" s="120" t="inlineStr">
        <is>
          <t>I.</t>
        </is>
      </c>
      <c r="C119" s="116" t="n"/>
      <c r="D119" s="118" t="inlineStr">
        <is>
          <t>Deployed Units</t>
        </is>
      </c>
      <c r="E119" s="116" t="n"/>
      <c r="F119" s="116" t="n"/>
      <c r="G119" s="116" t="n"/>
      <c r="H119" s="116" t="n"/>
      <c r="I119" s="116" t="n"/>
      <c r="J119" s="116" t="n"/>
      <c r="K119" s="116" t="n"/>
      <c r="L119" s="116" t="n"/>
      <c r="M119" s="116" t="n"/>
      <c r="N119" s="116" t="n"/>
      <c r="O119" s="116" t="n"/>
      <c r="P119" s="116" t="n"/>
      <c r="Q119" s="116" t="n"/>
      <c r="R119" s="116" t="n"/>
      <c r="S119" s="116" t="n"/>
      <c r="T119" s="116" t="n"/>
      <c r="U119" s="116" t="n"/>
      <c r="V119" s="116" t="n"/>
      <c r="W119" s="116" t="n"/>
      <c r="X119" s="116" t="n"/>
      <c r="Y119" s="116" t="n"/>
      <c r="Z119" s="116" t="n"/>
      <c r="AA119" s="116" t="n"/>
      <c r="AB119" s="116" t="n"/>
      <c r="AC119" s="116" t="n"/>
      <c r="AD119" s="116" t="n"/>
      <c r="AE119" s="116" t="n"/>
      <c r="AF119" s="116" t="n"/>
      <c r="AG119" s="116" t="n"/>
      <c r="AH119" s="116" t="n"/>
    </row>
    <row r="120">
      <c r="B120" s="116" t="n"/>
      <c r="C120" s="116" t="n"/>
      <c r="D120" s="116" t="n"/>
      <c r="E120" s="116" t="inlineStr">
        <is>
          <t>Deployed Units, Beginning</t>
        </is>
      </c>
      <c r="F120" s="116" t="n"/>
      <c r="G120" s="116" t="n"/>
      <c r="H120" s="116" t="n"/>
      <c r="I120" s="116" t="n"/>
      <c r="J120" s="122">
        <f>(AH84)</f>
        <v/>
      </c>
      <c r="K120" s="122" t="n"/>
      <c r="L120" s="122">
        <f>(J125)</f>
        <v/>
      </c>
      <c r="M120" s="122" t="n"/>
      <c r="N120" s="122">
        <f>(L125)</f>
        <v/>
      </c>
      <c r="O120" s="122" t="n"/>
      <c r="P120" s="122">
        <f>(N125)</f>
        <v/>
      </c>
      <c r="Q120" s="122" t="n"/>
      <c r="R120" s="122">
        <f>(P125)</f>
        <v/>
      </c>
      <c r="S120" s="122" t="n"/>
      <c r="T120" s="122">
        <f>(R125)</f>
        <v/>
      </c>
      <c r="U120" s="122" t="n"/>
      <c r="V120" s="122">
        <f>(T125)</f>
        <v/>
      </c>
      <c r="W120" s="122" t="n"/>
      <c r="X120" s="122">
        <f>(V125)</f>
        <v/>
      </c>
      <c r="Y120" s="122" t="n"/>
      <c r="Z120" s="122">
        <f>(X125)</f>
        <v/>
      </c>
      <c r="AA120" s="122" t="n"/>
      <c r="AB120" s="122">
        <f>(Z125)</f>
        <v/>
      </c>
      <c r="AC120" s="122" t="n"/>
      <c r="AD120" s="122">
        <f>(AB125)</f>
        <v/>
      </c>
      <c r="AE120" s="122" t="n"/>
      <c r="AF120" s="122">
        <f>(AD125)</f>
        <v/>
      </c>
      <c r="AG120" s="122" t="n"/>
      <c r="AH120" s="123">
        <f>(J120)</f>
        <v/>
      </c>
    </row>
    <row r="121">
      <c r="B121" s="116" t="n"/>
      <c r="C121" s="116" t="n"/>
      <c r="D121" s="116" t="n"/>
      <c r="E121" s="116" t="inlineStr">
        <is>
          <t>Service Additions</t>
        </is>
      </c>
      <c r="F121" s="116" t="n"/>
      <c r="G121" s="116" t="n"/>
      <c r="H121" s="116" t="n"/>
      <c r="I121" s="116" t="n"/>
      <c r="J121" s="122">
        <f>'3F. Revenue &amp; COGS Assumptions'!G13</f>
        <v/>
      </c>
      <c r="K121" s="122" t="n"/>
      <c r="L121" s="122">
        <f>'3F. Revenue &amp; COGS Assumptions'!H13</f>
        <v/>
      </c>
      <c r="M121" s="122" t="n"/>
      <c r="N121" s="122">
        <f>'3F. Revenue &amp; COGS Assumptions'!I13</f>
        <v/>
      </c>
      <c r="O121" s="122" t="n"/>
      <c r="P121" s="122">
        <f>'3F. Revenue &amp; COGS Assumptions'!J13</f>
        <v/>
      </c>
      <c r="Q121" s="122" t="n"/>
      <c r="R121" s="122">
        <f>'3F. Revenue &amp; COGS Assumptions'!K13</f>
        <v/>
      </c>
      <c r="S121" s="122" t="n"/>
      <c r="T121" s="122">
        <f>'3F. Revenue &amp; COGS Assumptions'!L13</f>
        <v/>
      </c>
      <c r="U121" s="122" t="n"/>
      <c r="V121" s="122">
        <f>'3F. Revenue &amp; COGS Assumptions'!M13</f>
        <v/>
      </c>
      <c r="W121" s="122" t="n"/>
      <c r="X121" s="122">
        <f>'3F. Revenue &amp; COGS Assumptions'!N13</f>
        <v/>
      </c>
      <c r="Y121" s="122" t="n"/>
      <c r="Z121" s="122">
        <f>'3F. Revenue &amp; COGS Assumptions'!O13</f>
        <v/>
      </c>
      <c r="AA121" s="122" t="n"/>
      <c r="AB121" s="122">
        <f>'3F. Revenue &amp; COGS Assumptions'!P13</f>
        <v/>
      </c>
      <c r="AC121" s="122" t="n"/>
      <c r="AD121" s="122">
        <f>'3F. Revenue &amp; COGS Assumptions'!Q13</f>
        <v/>
      </c>
      <c r="AE121" s="122" t="n"/>
      <c r="AF121" s="122">
        <f>'3F. Revenue &amp; COGS Assumptions'!R13</f>
        <v/>
      </c>
      <c r="AG121" s="122" t="n"/>
      <c r="AH121" s="123">
        <f>((J121)+(L121)+(N121)+(P121)+(R121)+(T121)+(V121)+(X121)+(Z121)+(AB121)+(AD121)+(AF121))</f>
        <v/>
      </c>
    </row>
    <row r="122">
      <c r="B122" s="116" t="n"/>
      <c r="C122" s="116" t="n"/>
      <c r="D122" s="116" t="n"/>
      <c r="E122" s="129" t="inlineStr">
        <is>
          <t>Service Attrition</t>
        </is>
      </c>
      <c r="F122" s="129" t="n"/>
      <c r="G122" s="129" t="n"/>
      <c r="H122" s="129" t="n"/>
      <c r="I122" s="129" t="n"/>
      <c r="J122" s="124">
        <f>'3E. Tel. Attrit. Renew. Reward'!S100</f>
        <v/>
      </c>
      <c r="K122" s="953" t="n"/>
      <c r="L122" s="124">
        <f>'3E. Tel. Attrit. Renew. Reward'!T100</f>
        <v/>
      </c>
      <c r="M122" s="953" t="n"/>
      <c r="N122" s="124">
        <f>'3E. Tel. Attrit. Renew. Reward'!U100</f>
        <v/>
      </c>
      <c r="O122" s="953" t="n"/>
      <c r="P122" s="124">
        <f>'3E. Tel. Attrit. Renew. Reward'!V100</f>
        <v/>
      </c>
      <c r="Q122" s="953" t="n"/>
      <c r="R122" s="124">
        <f>'3E. Tel. Attrit. Renew. Reward'!W100</f>
        <v/>
      </c>
      <c r="S122" s="953" t="n"/>
      <c r="T122" s="124">
        <f>'3E. Tel. Attrit. Renew. Reward'!X100</f>
        <v/>
      </c>
      <c r="U122" s="953" t="n"/>
      <c r="V122" s="124">
        <f>'3E. Tel. Attrit. Renew. Reward'!Y100</f>
        <v/>
      </c>
      <c r="W122" s="953" t="n"/>
      <c r="X122" s="124">
        <f>'3E. Tel. Attrit. Renew. Reward'!Z100</f>
        <v/>
      </c>
      <c r="Y122" s="953" t="n"/>
      <c r="Z122" s="124">
        <f>'3E. Tel. Attrit. Renew. Reward'!AA100</f>
        <v/>
      </c>
      <c r="AA122" s="953" t="n"/>
      <c r="AB122" s="124">
        <f>'3E. Tel. Attrit. Renew. Reward'!AB100</f>
        <v/>
      </c>
      <c r="AC122" s="953" t="n"/>
      <c r="AD122" s="124">
        <f>'3E. Tel. Attrit. Renew. Reward'!AC100</f>
        <v/>
      </c>
      <c r="AE122" s="953" t="n"/>
      <c r="AF122" s="124">
        <f>'3E. Tel. Attrit. Renew. Reward'!AD100</f>
        <v/>
      </c>
      <c r="AG122" s="130" t="n"/>
      <c r="AH122" s="954">
        <f>((J122)+(L122)+(N122)+(P122)+(R122)+(T122)+(V122)+(X122)+(Z122)+(AB122)+(AD122)+(AF122))</f>
        <v/>
      </c>
    </row>
    <row r="123" ht="3" customHeight="1" s="1883">
      <c r="B123" s="116" t="n"/>
      <c r="C123" s="116" t="n"/>
      <c r="D123" s="116" t="n"/>
      <c r="E123" s="116" t="n"/>
      <c r="F123" s="116" t="n"/>
      <c r="G123" s="116" t="n"/>
      <c r="H123" s="116" t="n"/>
      <c r="I123" s="116" t="n"/>
      <c r="J123" s="955" t="n"/>
      <c r="K123" s="122" t="n"/>
      <c r="L123" s="955" t="n"/>
      <c r="M123" s="122" t="n"/>
      <c r="N123" s="955" t="n"/>
      <c r="O123" s="122" t="n"/>
      <c r="P123" s="955" t="n"/>
      <c r="Q123" s="122" t="n"/>
      <c r="R123" s="955" t="n"/>
      <c r="S123" s="122" t="n"/>
      <c r="T123" s="955" t="n"/>
      <c r="U123" s="122" t="n"/>
      <c r="V123" s="955" t="n"/>
      <c r="W123" s="122" t="n"/>
      <c r="X123" s="955" t="n"/>
      <c r="Y123" s="122" t="n"/>
      <c r="Z123" s="955" t="n"/>
      <c r="AA123" s="122" t="n"/>
      <c r="AB123" s="955" t="n"/>
      <c r="AC123" s="122" t="n"/>
      <c r="AD123" s="955" t="n"/>
      <c r="AE123" s="122" t="n"/>
      <c r="AF123" s="955" t="n"/>
      <c r="AG123" s="122" t="n"/>
      <c r="AH123" s="955" t="n"/>
    </row>
    <row r="124" ht="3" customHeight="1" s="1883">
      <c r="B124" s="116" t="n"/>
      <c r="C124" s="116" t="n"/>
      <c r="D124" s="116" t="n"/>
      <c r="E124" s="116" t="n"/>
      <c r="F124" s="116" t="n"/>
      <c r="G124" s="116" t="n"/>
      <c r="H124" s="116" t="n"/>
      <c r="I124" s="116" t="n"/>
      <c r="J124" s="122" t="n"/>
      <c r="K124" s="122" t="n"/>
      <c r="L124" s="122" t="n"/>
      <c r="M124" s="122" t="n"/>
      <c r="N124" s="122" t="n"/>
      <c r="O124" s="122" t="n"/>
      <c r="P124" s="122" t="n"/>
      <c r="Q124" s="122" t="n"/>
      <c r="R124" s="122" t="n"/>
      <c r="S124" s="122" t="n"/>
      <c r="T124" s="122" t="n"/>
      <c r="U124" s="122" t="n"/>
      <c r="V124" s="122" t="n"/>
      <c r="W124" s="122" t="n"/>
      <c r="X124" s="122" t="n"/>
      <c r="Y124" s="122" t="n"/>
      <c r="Z124" s="122" t="n"/>
      <c r="AA124" s="122" t="n"/>
      <c r="AB124" s="122" t="n"/>
      <c r="AC124" s="122" t="n"/>
      <c r="AD124" s="122" t="n"/>
      <c r="AE124" s="122" t="n"/>
      <c r="AF124" s="122" t="n"/>
      <c r="AG124" s="122" t="n"/>
      <c r="AH124" s="122" t="n"/>
    </row>
    <row r="125">
      <c r="B125" s="116" t="n"/>
      <c r="C125" s="116" t="n"/>
      <c r="D125" s="116" t="n"/>
      <c r="E125" s="116" t="n"/>
      <c r="F125" s="118" t="inlineStr">
        <is>
          <t>Deployed Units, Ending</t>
        </is>
      </c>
      <c r="G125" s="116" t="n"/>
      <c r="H125" s="116" t="n"/>
      <c r="I125" s="116" t="n"/>
      <c r="J125" s="123">
        <f>((J120)+(J121)-(J122))</f>
        <v/>
      </c>
      <c r="K125" s="122" t="n"/>
      <c r="L125" s="123">
        <f>((L120)+(L121)-(L122))</f>
        <v/>
      </c>
      <c r="M125" s="122" t="n"/>
      <c r="N125" s="123">
        <f>((N120)+(N121)-(N122))</f>
        <v/>
      </c>
      <c r="O125" s="122" t="n"/>
      <c r="P125" s="123">
        <f>((P120)+(P121)-(P122))</f>
        <v/>
      </c>
      <c r="Q125" s="122" t="n"/>
      <c r="R125" s="123">
        <f>((R120)+(R121)-(R122))</f>
        <v/>
      </c>
      <c r="S125" s="122" t="n"/>
      <c r="T125" s="123">
        <f>((T120)+(T121)-(T122))</f>
        <v/>
      </c>
      <c r="U125" s="122" t="n"/>
      <c r="V125" s="123">
        <f>((V120)+(V121)-(V122))</f>
        <v/>
      </c>
      <c r="W125" s="122" t="n"/>
      <c r="X125" s="123">
        <f>((X120)+(X121)-(X122))</f>
        <v/>
      </c>
      <c r="Y125" s="122" t="n"/>
      <c r="Z125" s="123">
        <f>((Z120)+(Z121)-(Z122))</f>
        <v/>
      </c>
      <c r="AA125" s="122" t="n"/>
      <c r="AB125" s="123">
        <f>((AB120)+(AB121)-(AB122))</f>
        <v/>
      </c>
      <c r="AC125" s="122" t="n"/>
      <c r="AD125" s="123">
        <f>((AD120)+(AD121)-(AD122))</f>
        <v/>
      </c>
      <c r="AE125" s="122" t="n"/>
      <c r="AF125" s="123">
        <f>((AF120)+(AF121)-(AF122))</f>
        <v/>
      </c>
      <c r="AG125" s="122" t="n"/>
      <c r="AH125" s="123">
        <f>((AH120)+(AH121)-(AH122))</f>
        <v/>
      </c>
    </row>
    <row r="126" ht="3" customHeight="1" s="1883">
      <c r="B126" s="116" t="n"/>
      <c r="C126" s="116" t="n"/>
      <c r="D126" s="116" t="n"/>
      <c r="E126" s="116" t="n"/>
      <c r="F126" s="116" t="n"/>
      <c r="G126" s="116" t="n"/>
      <c r="H126" s="116" t="n"/>
      <c r="I126" s="116" t="n"/>
      <c r="J126" s="125" t="n"/>
      <c r="K126" s="122" t="n"/>
      <c r="L126" s="125" t="n"/>
      <c r="M126" s="122" t="n"/>
      <c r="N126" s="125" t="n"/>
      <c r="O126" s="122" t="n"/>
      <c r="P126" s="125" t="n"/>
      <c r="Q126" s="122" t="n"/>
      <c r="R126" s="125" t="n"/>
      <c r="S126" s="122" t="n"/>
      <c r="T126" s="125" t="n"/>
      <c r="U126" s="122" t="n"/>
      <c r="V126" s="125" t="n"/>
      <c r="W126" s="122" t="n"/>
      <c r="X126" s="125" t="n"/>
      <c r="Y126" s="122" t="n"/>
      <c r="Z126" s="125" t="n"/>
      <c r="AA126" s="122" t="n"/>
      <c r="AB126" s="125" t="n"/>
      <c r="AC126" s="122" t="n"/>
      <c r="AD126" s="125" t="n"/>
      <c r="AE126" s="122" t="n"/>
      <c r="AF126" s="125" t="n"/>
      <c r="AG126" s="122" t="n"/>
      <c r="AH126" s="125" t="n"/>
    </row>
    <row r="127">
      <c r="B127" s="116" t="n"/>
      <c r="C127" s="116" t="n"/>
      <c r="D127" s="116" t="n"/>
      <c r="E127" s="116" t="n"/>
      <c r="F127" s="116" t="n"/>
      <c r="G127" s="116" t="n"/>
      <c r="H127" s="116" t="n"/>
      <c r="I127" s="116" t="n"/>
      <c r="J127" s="122" t="n"/>
      <c r="K127" s="122" t="n"/>
      <c r="L127" s="122" t="n"/>
      <c r="M127" s="122" t="n"/>
      <c r="N127" s="122" t="n"/>
      <c r="O127" s="122" t="n"/>
      <c r="P127" s="122" t="n"/>
      <c r="Q127" s="122" t="n"/>
      <c r="R127" s="122" t="n"/>
      <c r="S127" s="122" t="n"/>
      <c r="T127" s="122" t="n"/>
      <c r="U127" s="122" t="n"/>
      <c r="V127" s="122" t="n"/>
      <c r="W127" s="122" t="n"/>
      <c r="X127" s="122" t="n"/>
      <c r="Y127" s="122" t="n"/>
      <c r="Z127" s="122" t="n"/>
      <c r="AA127" s="122" t="n"/>
      <c r="AB127" s="122" t="n"/>
      <c r="AC127" s="122" t="n"/>
      <c r="AD127" s="122" t="n"/>
      <c r="AE127" s="122" t="n"/>
      <c r="AF127" s="122" t="n"/>
      <c r="AG127" s="122" t="n"/>
      <c r="AH127" s="122" t="n"/>
    </row>
    <row r="128">
      <c r="B128" s="116" t="n"/>
      <c r="C128" s="116" t="n"/>
      <c r="D128" s="116" t="n"/>
      <c r="E128" s="116" t="n"/>
      <c r="F128" s="118" t="inlineStr">
        <is>
          <t>Deployed Units, Average</t>
        </is>
      </c>
      <c r="G128" s="116" t="n"/>
      <c r="H128" s="116" t="n"/>
      <c r="I128" s="116" t="n"/>
      <c r="J128" s="136">
        <f>(((J120)+(J125))/(2))</f>
        <v/>
      </c>
      <c r="K128" s="136" t="n"/>
      <c r="L128" s="136">
        <f>(((L120)+(L125))/(2))</f>
        <v/>
      </c>
      <c r="M128" s="136" t="n"/>
      <c r="N128" s="136">
        <f>(((N120)+(N125))/(2))</f>
        <v/>
      </c>
      <c r="O128" s="136" t="n"/>
      <c r="P128" s="136">
        <f>(((P120)+(P125))/(2))</f>
        <v/>
      </c>
      <c r="Q128" s="136" t="n"/>
      <c r="R128" s="136">
        <f>(((R120)+(R125))/(2))</f>
        <v/>
      </c>
      <c r="S128" s="136" t="n"/>
      <c r="T128" s="136">
        <f>(((T120)+(T125))/(2))</f>
        <v/>
      </c>
      <c r="U128" s="136" t="n"/>
      <c r="V128" s="136">
        <f>(((V120)+(V125))/(2))</f>
        <v/>
      </c>
      <c r="W128" s="136" t="n"/>
      <c r="X128" s="136">
        <f>(((X120)+(X125))/(2))</f>
        <v/>
      </c>
      <c r="Y128" s="136" t="n"/>
      <c r="Z128" s="136">
        <f>(((Z120)+(Z125))/(2))</f>
        <v/>
      </c>
      <c r="AA128" s="136" t="n"/>
      <c r="AB128" s="136">
        <f>(((AB120)+(AB125))/(2))</f>
        <v/>
      </c>
      <c r="AC128" s="136" t="n"/>
      <c r="AD128" s="136">
        <f>(((AD120)+(AD125))/(2))</f>
        <v/>
      </c>
      <c r="AE128" s="136" t="n"/>
      <c r="AF128" s="136">
        <f>(((AF120)+(AF125))/(2))</f>
        <v/>
      </c>
      <c r="AG128" s="136" t="n"/>
      <c r="AH128" s="136">
        <f>(((AH120)+(AH125))/(2))</f>
        <v/>
      </c>
    </row>
    <row r="132">
      <c r="B132" s="118" t="inlineStr">
        <is>
          <t>II.</t>
        </is>
      </c>
      <c r="C132" s="116" t="n"/>
      <c r="D132" s="118" t="inlineStr">
        <is>
          <t>Billable Time</t>
        </is>
      </c>
      <c r="E132" s="116" t="n"/>
      <c r="F132" s="116" t="n"/>
      <c r="G132" s="116" t="n"/>
      <c r="H132" s="116" t="n"/>
      <c r="I132" s="116" t="n"/>
      <c r="J132" s="116" t="n"/>
      <c r="K132" s="116" t="n"/>
      <c r="L132" s="116" t="n"/>
      <c r="M132" s="116" t="n"/>
      <c r="N132" s="116" t="n"/>
      <c r="O132" s="116" t="n"/>
      <c r="P132" s="116" t="n"/>
      <c r="Q132" s="116" t="n"/>
      <c r="R132" s="116" t="n"/>
      <c r="S132" s="116" t="n"/>
      <c r="T132" s="116" t="n"/>
      <c r="U132" s="116" t="n"/>
      <c r="V132" s="116" t="n"/>
      <c r="W132" s="116" t="n"/>
      <c r="X132" s="116" t="n"/>
      <c r="Y132" s="116" t="n"/>
      <c r="Z132" s="116" t="n"/>
      <c r="AA132" s="116" t="n"/>
      <c r="AB132" s="116" t="n"/>
      <c r="AC132" s="116" t="n"/>
      <c r="AD132" s="116" t="n"/>
      <c r="AE132" s="116" t="n"/>
      <c r="AF132" s="116" t="n"/>
      <c r="AG132" s="116" t="n"/>
      <c r="AH132" s="116" t="n"/>
    </row>
    <row r="133" ht="4.5" customHeight="1" s="1883">
      <c r="B133" s="116" t="n"/>
      <c r="C133" s="116" t="n"/>
      <c r="D133" s="116" t="n"/>
      <c r="E133" s="116" t="n"/>
      <c r="F133" s="116" t="n"/>
      <c r="G133" s="116" t="n"/>
      <c r="H133" s="116" t="n"/>
      <c r="I133" s="116" t="n"/>
      <c r="J133" s="116" t="n"/>
      <c r="K133" s="116" t="n"/>
      <c r="L133" s="116" t="n"/>
      <c r="M133" s="116" t="n"/>
      <c r="N133" s="116" t="n"/>
      <c r="O133" s="116" t="n"/>
      <c r="P133" s="116" t="n"/>
      <c r="Q133" s="116" t="n"/>
      <c r="R133" s="116" t="n"/>
      <c r="S133" s="116" t="n"/>
      <c r="T133" s="116" t="n"/>
      <c r="U133" s="116" t="n"/>
      <c r="V133" s="116" t="n"/>
      <c r="W133" s="116" t="n"/>
      <c r="X133" s="116" t="n"/>
      <c r="Y133" s="116" t="n"/>
      <c r="Z133" s="116" t="n"/>
      <c r="AA133" s="116" t="n"/>
      <c r="AB133" s="116" t="n"/>
      <c r="AC133" s="116" t="n"/>
      <c r="AD133" s="116" t="n"/>
      <c r="AE133" s="116" t="n"/>
      <c r="AF133" s="116" t="n"/>
      <c r="AG133" s="116" t="n"/>
      <c r="AH133" s="116" t="n"/>
    </row>
    <row r="134">
      <c r="B134" s="116" t="n"/>
      <c r="C134" s="116" t="n"/>
      <c r="D134" s="116" t="n"/>
      <c r="E134" s="131" t="inlineStr">
        <is>
          <t>Billable Time/Unit</t>
        </is>
      </c>
      <c r="F134" s="131" t="n"/>
      <c r="G134" s="131" t="n"/>
      <c r="H134" s="131" t="n"/>
      <c r="I134" s="131" t="n"/>
      <c r="J134" s="132">
        <f>L22</f>
        <v/>
      </c>
      <c r="K134" s="131" t="n"/>
      <c r="L134" s="132">
        <f>J134</f>
        <v/>
      </c>
      <c r="M134" s="131" t="n"/>
      <c r="N134" s="132">
        <f>L134</f>
        <v/>
      </c>
      <c r="O134" s="131" t="n"/>
      <c r="P134" s="132">
        <f>N134</f>
        <v/>
      </c>
      <c r="Q134" s="131" t="n"/>
      <c r="R134" s="132">
        <f>P134</f>
        <v/>
      </c>
      <c r="S134" s="131" t="n"/>
      <c r="T134" s="132">
        <f>R134</f>
        <v/>
      </c>
      <c r="U134" s="131" t="n"/>
      <c r="V134" s="132">
        <f>T134</f>
        <v/>
      </c>
      <c r="W134" s="131" t="n"/>
      <c r="X134" s="132">
        <f>V134</f>
        <v/>
      </c>
      <c r="Y134" s="131">
        <f>W134</f>
        <v/>
      </c>
      <c r="Z134" s="132">
        <f>X134</f>
        <v/>
      </c>
      <c r="AA134" s="131" t="n"/>
      <c r="AB134" s="132">
        <f>Z134</f>
        <v/>
      </c>
      <c r="AC134" s="131" t="n"/>
      <c r="AD134" s="132">
        <f>AB134</f>
        <v/>
      </c>
      <c r="AE134" s="131" t="n"/>
      <c r="AF134" s="132">
        <f>AD134</f>
        <v/>
      </c>
      <c r="AG134" s="131" t="n"/>
      <c r="AH134" s="131" t="n"/>
    </row>
    <row r="135">
      <c r="B135" s="116" t="n"/>
      <c r="C135" s="116" t="n"/>
      <c r="D135" s="116" t="n"/>
      <c r="E135" s="118" t="inlineStr">
        <is>
          <t>Total Billable Hours</t>
        </is>
      </c>
      <c r="F135" s="116" t="n"/>
      <c r="G135" s="116" t="n"/>
      <c r="H135" s="116" t="n"/>
      <c r="I135" s="116" t="n"/>
      <c r="J135" s="123">
        <f>(((J128)*(J134))/(60))</f>
        <v/>
      </c>
      <c r="K135" s="116" t="n"/>
      <c r="L135" s="123">
        <f>(((L128)*(L134))/(60))</f>
        <v/>
      </c>
      <c r="M135" s="116" t="n"/>
      <c r="N135" s="123">
        <f>(((N128)*(N134))/(60))</f>
        <v/>
      </c>
      <c r="O135" s="116" t="n"/>
      <c r="P135" s="123">
        <f>(((P128)*(P134))/(60))</f>
        <v/>
      </c>
      <c r="Q135" s="116" t="n"/>
      <c r="R135" s="123">
        <f>(((R128)*(R134))/(60))</f>
        <v/>
      </c>
      <c r="S135" s="116" t="n"/>
      <c r="T135" s="123">
        <f>(((T128)*(T134))/(60))</f>
        <v/>
      </c>
      <c r="U135" s="116" t="n"/>
      <c r="V135" s="123">
        <f>(((V128)*(V134))/(60))</f>
        <v/>
      </c>
      <c r="W135" s="116" t="n"/>
      <c r="X135" s="123">
        <f>(((X128)*(X134))/(60))</f>
        <v/>
      </c>
      <c r="Y135" s="116" t="n"/>
      <c r="Z135" s="123">
        <f>(((Z128)*(Z134))/(60))</f>
        <v/>
      </c>
      <c r="AA135" s="116" t="n"/>
      <c r="AB135" s="123">
        <f>(((AB128)*(AB134))/(60))</f>
        <v/>
      </c>
      <c r="AC135" s="116" t="n"/>
      <c r="AD135" s="123">
        <f>(((AD128)*(AD134))/(60))</f>
        <v/>
      </c>
      <c r="AE135" s="116" t="n"/>
      <c r="AF135" s="123">
        <f>(((AF128)*(AF134))/(60))</f>
        <v/>
      </c>
      <c r="AG135" s="116" t="n"/>
      <c r="AH135" s="123">
        <f>SUM(J135:AG135)</f>
        <v/>
      </c>
    </row>
    <row r="136">
      <c r="B136" s="116" t="n"/>
      <c r="C136" s="116" t="n"/>
      <c r="D136" s="116" t="n"/>
      <c r="E136" s="116" t="inlineStr">
        <is>
          <t>Billable Hour Conversion Rate</t>
        </is>
      </c>
      <c r="F136" s="116" t="n"/>
      <c r="G136" s="116" t="n"/>
      <c r="H136" s="116" t="n"/>
      <c r="I136" s="116" t="n"/>
      <c r="J136" s="142">
        <f>P22</f>
        <v/>
      </c>
      <c r="K136" s="149" t="n"/>
      <c r="L136" s="142">
        <f>J136</f>
        <v/>
      </c>
      <c r="M136" s="149" t="n"/>
      <c r="N136" s="142">
        <f>L136</f>
        <v/>
      </c>
      <c r="O136" s="149" t="n"/>
      <c r="P136" s="142">
        <f>N136</f>
        <v/>
      </c>
      <c r="Q136" s="149" t="n"/>
      <c r="R136" s="142">
        <f>P136</f>
        <v/>
      </c>
      <c r="S136" s="149" t="n"/>
      <c r="T136" s="142">
        <f>R136</f>
        <v/>
      </c>
      <c r="U136" s="149" t="n"/>
      <c r="V136" s="142">
        <f>T136</f>
        <v/>
      </c>
      <c r="W136" s="149" t="n"/>
      <c r="X136" s="142">
        <f>V136</f>
        <v/>
      </c>
      <c r="Y136" s="149" t="n"/>
      <c r="Z136" s="142">
        <f>X136</f>
        <v/>
      </c>
      <c r="AA136" s="149" t="n"/>
      <c r="AB136" s="142">
        <f>Z136</f>
        <v/>
      </c>
      <c r="AC136" s="149" t="n"/>
      <c r="AD136" s="142">
        <f>AB136</f>
        <v/>
      </c>
      <c r="AE136" s="149" t="n"/>
      <c r="AF136" s="142">
        <f>AD136</f>
        <v/>
      </c>
      <c r="AG136" s="149" t="n"/>
      <c r="AH136" s="142">
        <f>AF136</f>
        <v/>
      </c>
    </row>
    <row r="137">
      <c r="B137" s="116" t="n"/>
      <c r="C137" s="116" t="n"/>
      <c r="D137" s="116" t="n"/>
      <c r="E137" s="116" t="n"/>
      <c r="F137" s="116" t="n"/>
      <c r="G137" s="116" t="n"/>
      <c r="H137" s="116" t="n"/>
      <c r="I137" s="116" t="n"/>
      <c r="J137" s="116" t="n"/>
      <c r="K137" s="116" t="n"/>
      <c r="L137" s="116" t="n"/>
      <c r="M137" s="116" t="n"/>
      <c r="N137" s="116" t="n"/>
      <c r="O137" s="116" t="n"/>
      <c r="P137" s="116" t="n"/>
      <c r="Q137" s="116" t="n"/>
      <c r="R137" s="116" t="n"/>
      <c r="S137" s="116" t="n"/>
      <c r="T137" s="116" t="n"/>
      <c r="U137" s="116" t="n"/>
      <c r="V137" s="116" t="n"/>
      <c r="W137" s="116" t="n"/>
      <c r="X137" s="116" t="n"/>
      <c r="Y137" s="116" t="n"/>
      <c r="Z137" s="116" t="n"/>
      <c r="AA137" s="116" t="n"/>
      <c r="AB137" s="116" t="n"/>
      <c r="AC137" s="116" t="n"/>
      <c r="AD137" s="116" t="n"/>
      <c r="AE137" s="116" t="n"/>
      <c r="AF137" s="116" t="n"/>
      <c r="AG137" s="116" t="n"/>
      <c r="AH137" s="116" t="n"/>
    </row>
    <row r="138">
      <c r="B138" s="118" t="inlineStr">
        <is>
          <t>III.</t>
        </is>
      </c>
      <c r="C138" s="116" t="n"/>
      <c r="D138" s="118" t="inlineStr">
        <is>
          <t>Rate Per Hour</t>
        </is>
      </c>
      <c r="E138" s="116" t="n"/>
      <c r="F138" s="116" t="n"/>
      <c r="G138" s="116" t="n"/>
      <c r="H138" s="116" t="n"/>
      <c r="I138" s="116" t="n"/>
      <c r="J138" s="116" t="n"/>
      <c r="K138" s="116" t="n"/>
      <c r="L138" s="116" t="n"/>
      <c r="M138" s="116" t="n"/>
      <c r="N138" s="116" t="n"/>
      <c r="O138" s="116" t="n"/>
      <c r="P138" s="116" t="n"/>
      <c r="Q138" s="116" t="n"/>
      <c r="R138" s="116" t="n"/>
      <c r="S138" s="116" t="n"/>
      <c r="T138" s="116" t="n"/>
      <c r="U138" s="116" t="n"/>
      <c r="V138" s="116" t="n"/>
      <c r="W138" s="116" t="n"/>
      <c r="X138" s="116" t="n"/>
      <c r="Y138" s="116" t="n"/>
      <c r="Z138" s="116" t="n"/>
      <c r="AA138" s="116" t="n"/>
      <c r="AB138" s="116" t="n"/>
      <c r="AC138" s="116" t="n"/>
      <c r="AD138" s="116" t="n"/>
      <c r="AE138" s="116" t="n"/>
      <c r="AF138" s="116" t="n"/>
      <c r="AG138" s="116" t="n"/>
      <c r="AH138" s="116" t="n"/>
    </row>
    <row r="139" ht="4.5" customHeight="1" s="1883">
      <c r="B139" s="116" t="n"/>
      <c r="C139" s="116" t="n"/>
      <c r="D139" s="116" t="n"/>
      <c r="E139" s="116" t="n"/>
      <c r="F139" s="116" t="n"/>
      <c r="G139" s="116" t="n"/>
      <c r="H139" s="116" t="n"/>
      <c r="I139" s="116" t="n"/>
      <c r="J139" s="116" t="n"/>
      <c r="K139" s="116" t="n"/>
      <c r="L139" s="116" t="n"/>
      <c r="M139" s="116" t="n"/>
      <c r="N139" s="116" t="n"/>
      <c r="O139" s="116" t="n"/>
      <c r="P139" s="116" t="n"/>
      <c r="Q139" s="116" t="n"/>
      <c r="R139" s="116" t="n"/>
      <c r="S139" s="116" t="n"/>
      <c r="T139" s="116" t="n"/>
      <c r="U139" s="116" t="n"/>
      <c r="V139" s="116" t="n"/>
      <c r="W139" s="116" t="n"/>
      <c r="X139" s="116" t="n"/>
      <c r="Y139" s="116" t="n"/>
      <c r="Z139" s="116" t="n"/>
      <c r="AA139" s="116" t="n"/>
      <c r="AB139" s="116" t="n"/>
      <c r="AC139" s="116" t="n"/>
      <c r="AD139" s="116" t="n"/>
      <c r="AE139" s="116" t="n"/>
      <c r="AF139" s="116" t="n"/>
      <c r="AG139" s="116" t="n"/>
      <c r="AH139" s="116" t="n"/>
    </row>
    <row r="140">
      <c r="B140" s="116" t="n"/>
      <c r="C140" s="116" t="n"/>
      <c r="D140" s="116" t="n"/>
      <c r="E140" s="116" t="inlineStr">
        <is>
          <t>Gross</t>
        </is>
      </c>
      <c r="F140" s="116" t="n"/>
      <c r="G140" s="116" t="n"/>
      <c r="H140" s="116" t="n"/>
      <c r="I140" s="116" t="n"/>
      <c r="J140" s="2029">
        <f>($N$22)</f>
        <v/>
      </c>
      <c r="K140" s="2029" t="n"/>
      <c r="L140" s="2029">
        <f>($N$22)</f>
        <v/>
      </c>
      <c r="M140" s="2029" t="n"/>
      <c r="N140" s="2029">
        <f>($N$22)</f>
        <v/>
      </c>
      <c r="O140" s="2029" t="n"/>
      <c r="P140" s="2029">
        <f>($N$22)</f>
        <v/>
      </c>
      <c r="Q140" s="2029" t="n"/>
      <c r="R140" s="2029">
        <f>($N$22)</f>
        <v/>
      </c>
      <c r="S140" s="2029" t="n"/>
      <c r="T140" s="2029">
        <f>($N$22)</f>
        <v/>
      </c>
      <c r="U140" s="2029" t="n"/>
      <c r="V140" s="2029">
        <f>($N$22)</f>
        <v/>
      </c>
      <c r="W140" s="2029">
        <f>($N$21)</f>
        <v/>
      </c>
      <c r="X140" s="2029">
        <f>($N$22)</f>
        <v/>
      </c>
      <c r="Y140" s="2029" t="n"/>
      <c r="Z140" s="2029">
        <f>($N$22)</f>
        <v/>
      </c>
      <c r="AA140" s="2029" t="n"/>
      <c r="AB140" s="2029">
        <f>($N$22)</f>
        <v/>
      </c>
      <c r="AC140" s="2029" t="n"/>
      <c r="AD140" s="2029">
        <f>($N$22)</f>
        <v/>
      </c>
      <c r="AE140" s="2029" t="n"/>
      <c r="AF140" s="2029">
        <f>($N$22)</f>
        <v/>
      </c>
      <c r="AG140" s="2029" t="n"/>
      <c r="AH140" s="2030">
        <f>($N$22)</f>
        <v/>
      </c>
    </row>
    <row r="141">
      <c r="B141" s="116" t="n"/>
      <c r="C141" s="116" t="n"/>
      <c r="D141" s="116" t="n"/>
      <c r="E141" s="116" t="inlineStr">
        <is>
          <t>Discount</t>
        </is>
      </c>
      <c r="F141" s="116" t="n"/>
      <c r="G141" s="116" t="n"/>
      <c r="H141" s="116" t="n"/>
      <c r="I141" s="116" t="n"/>
      <c r="J141" s="119">
        <f>(($R$21))</f>
        <v/>
      </c>
      <c r="K141" s="119" t="n"/>
      <c r="L141" s="119">
        <f>(($R$21))</f>
        <v/>
      </c>
      <c r="M141" s="119" t="n"/>
      <c r="N141" s="119">
        <f>(($R$21))</f>
        <v/>
      </c>
      <c r="O141" s="119" t="n"/>
      <c r="P141" s="119">
        <f>(($R$21))</f>
        <v/>
      </c>
      <c r="Q141" s="964" t="n"/>
      <c r="R141" s="119">
        <f>(($R$21))</f>
        <v/>
      </c>
      <c r="S141" s="964" t="n"/>
      <c r="T141" s="119">
        <f>(($R$21))</f>
        <v/>
      </c>
      <c r="U141" s="119" t="n"/>
      <c r="V141" s="119">
        <f>(($R$21))</f>
        <v/>
      </c>
      <c r="W141" s="960" t="n"/>
      <c r="X141" s="119">
        <f>(($R$21))</f>
        <v/>
      </c>
      <c r="Y141" s="960" t="n"/>
      <c r="Z141" s="119">
        <f>(($R$21))</f>
        <v/>
      </c>
      <c r="AA141" s="119" t="n"/>
      <c r="AB141" s="119">
        <f>(($R$21))</f>
        <v/>
      </c>
      <c r="AC141" s="961" t="n"/>
      <c r="AD141" s="119">
        <f>(($R$21))</f>
        <v/>
      </c>
      <c r="AE141" s="961" t="n"/>
      <c r="AF141" s="119">
        <f>(($R$21))</f>
        <v/>
      </c>
      <c r="AG141" s="116" t="n"/>
      <c r="AH141" s="128">
        <f>(((J141)+(L141)+(N141)+(P141)+(R141)+(T141)+(V141)+(X141)+(Z141)+(AB141)+(AD141)+(AF141))/(12))</f>
        <v/>
      </c>
    </row>
    <row r="142" ht="3" customHeight="1" s="1883">
      <c r="B142" s="116" t="n"/>
      <c r="C142" s="116" t="n"/>
      <c r="D142" s="116" t="n"/>
      <c r="E142" s="116" t="n"/>
      <c r="F142" s="116" t="n"/>
      <c r="G142" s="116" t="n"/>
      <c r="H142" s="116" t="n"/>
      <c r="I142" s="116" t="n"/>
      <c r="J142" s="950" t="n"/>
      <c r="K142" s="116" t="n"/>
      <c r="L142" s="950" t="n"/>
      <c r="M142" s="116" t="n"/>
      <c r="N142" s="950" t="n"/>
      <c r="O142" s="116" t="n"/>
      <c r="P142" s="950" t="n"/>
      <c r="Q142" s="116" t="n"/>
      <c r="R142" s="950" t="n"/>
      <c r="S142" s="116" t="n"/>
      <c r="T142" s="950" t="n"/>
      <c r="U142" s="116" t="n"/>
      <c r="V142" s="950" t="n"/>
      <c r="W142" s="116" t="n"/>
      <c r="X142" s="950" t="n"/>
      <c r="Y142" s="116" t="n"/>
      <c r="Z142" s="950" t="n"/>
      <c r="AA142" s="116" t="n"/>
      <c r="AB142" s="950" t="n"/>
      <c r="AC142" s="116" t="n"/>
      <c r="AD142" s="950" t="n"/>
      <c r="AE142" s="116" t="n"/>
      <c r="AF142" s="950" t="n"/>
      <c r="AG142" s="116" t="n"/>
      <c r="AH142" s="950" t="n"/>
    </row>
    <row r="143" ht="3" customHeight="1" s="1883">
      <c r="B143" s="116" t="n"/>
      <c r="C143" s="116" t="n"/>
      <c r="D143" s="116" t="n"/>
      <c r="E143" s="116" t="n"/>
      <c r="F143" s="116" t="n"/>
      <c r="G143" s="116" t="n"/>
      <c r="H143" s="116" t="n"/>
      <c r="I143" s="116" t="n"/>
      <c r="J143" s="116" t="n"/>
      <c r="K143" s="116" t="n"/>
      <c r="L143" s="116" t="n"/>
      <c r="M143" s="116" t="n"/>
      <c r="N143" s="116" t="n"/>
      <c r="O143" s="116" t="n"/>
      <c r="P143" s="116" t="n"/>
      <c r="Q143" s="116" t="n"/>
      <c r="R143" s="116" t="n"/>
      <c r="S143" s="116" t="n"/>
      <c r="T143" s="116" t="n"/>
      <c r="U143" s="116" t="n"/>
      <c r="V143" s="116" t="n"/>
      <c r="W143" s="116" t="n"/>
      <c r="X143" s="116" t="n"/>
      <c r="Y143" s="116" t="n"/>
      <c r="Z143" s="116" t="n"/>
      <c r="AA143" s="116" t="n"/>
      <c r="AB143" s="116" t="n"/>
      <c r="AC143" s="116" t="n"/>
      <c r="AD143" s="116" t="n"/>
      <c r="AE143" s="116" t="n"/>
      <c r="AF143" s="116" t="n"/>
      <c r="AG143" s="116" t="n"/>
      <c r="AH143" s="116" t="n"/>
    </row>
    <row r="144">
      <c r="B144" s="116" t="n"/>
      <c r="C144" s="116" t="n"/>
      <c r="D144" s="116" t="n"/>
      <c r="E144" s="116" t="n"/>
      <c r="F144" s="118" t="inlineStr">
        <is>
          <t>Rate Per Hour, Net</t>
        </is>
      </c>
      <c r="G144" s="116" t="n"/>
      <c r="H144" s="116" t="n"/>
      <c r="I144" s="116" t="n"/>
      <c r="J144" s="2030">
        <f>((J140)*((1)-(J141)))</f>
        <v/>
      </c>
      <c r="K144" s="2030" t="n"/>
      <c r="L144" s="2030">
        <f>((L140)*((1)-(L141)))</f>
        <v/>
      </c>
      <c r="M144" s="2030" t="n"/>
      <c r="N144" s="2030">
        <f>((N140)*((1)-(N141)))</f>
        <v/>
      </c>
      <c r="O144" s="2030" t="n"/>
      <c r="P144" s="2030">
        <f>((P140)*((1)-(P141)))</f>
        <v/>
      </c>
      <c r="Q144" s="2030" t="n"/>
      <c r="R144" s="2030">
        <f>((R140)*((1)-(R141)))</f>
        <v/>
      </c>
      <c r="S144" s="2030" t="n"/>
      <c r="T144" s="2030">
        <f>((T140)*((1)-(T141)))</f>
        <v/>
      </c>
      <c r="U144" s="2030" t="n"/>
      <c r="V144" s="2030">
        <f>((V140)*((1)-(V141)))</f>
        <v/>
      </c>
      <c r="W144" s="2030" t="n"/>
      <c r="X144" s="2030">
        <f>((X140)*((1)-(X141)))</f>
        <v/>
      </c>
      <c r="Y144" s="2030" t="n"/>
      <c r="Z144" s="2030">
        <f>((Z140)*((1)-(Z141)))</f>
        <v/>
      </c>
      <c r="AA144" s="2030" t="n"/>
      <c r="AB144" s="2030">
        <f>((AB140)*((1)-(AB141)))</f>
        <v/>
      </c>
      <c r="AC144" s="2030" t="n"/>
      <c r="AD144" s="2030">
        <f>((AD140)*((1)-(AD141)))</f>
        <v/>
      </c>
      <c r="AE144" s="2030" t="n"/>
      <c r="AF144" s="2030">
        <f>((AF140)*((1)-(AF141)))</f>
        <v/>
      </c>
      <c r="AG144" s="116" t="n"/>
      <c r="AH144" s="2030">
        <f>((AH140)*((1)-(AH141)))</f>
        <v/>
      </c>
    </row>
    <row r="148">
      <c r="B148" s="116" t="n"/>
      <c r="C148" s="116" t="n"/>
      <c r="D148" s="116" t="n"/>
      <c r="E148" s="116" t="n"/>
      <c r="F148" s="962" t="inlineStr">
        <is>
          <t>Gross Revenue</t>
        </is>
      </c>
      <c r="G148" s="116" t="n"/>
      <c r="H148" s="116" t="n"/>
      <c r="I148" s="116" t="n"/>
      <c r="J148" s="963">
        <f>((J135)*(J136)*(J144))</f>
        <v/>
      </c>
      <c r="K148" s="963">
        <f>((K135)*(K144))</f>
        <v/>
      </c>
      <c r="L148" s="963">
        <f>((L135)*(L136)*(L144))</f>
        <v/>
      </c>
      <c r="M148" s="963">
        <f>((M135)*(M144))</f>
        <v/>
      </c>
      <c r="N148" s="963">
        <f>((N135)*(N136)*(N144))</f>
        <v/>
      </c>
      <c r="O148" s="963">
        <f>((O135)*(O144))</f>
        <v/>
      </c>
      <c r="P148" s="963">
        <f>((P135)*(P136)*(P144))</f>
        <v/>
      </c>
      <c r="Q148" s="963">
        <f>((Q135)*(Q144))</f>
        <v/>
      </c>
      <c r="R148" s="963">
        <f>((R135)*(R136)*(R144))</f>
        <v/>
      </c>
      <c r="S148" s="963">
        <f>((S135)*(S144))</f>
        <v/>
      </c>
      <c r="T148" s="963">
        <f>((T135)*(T136)*(T144))</f>
        <v/>
      </c>
      <c r="U148" s="963">
        <f>((U135)*(U144))</f>
        <v/>
      </c>
      <c r="V148" s="963">
        <f>((V135)*(V136)*(V144))</f>
        <v/>
      </c>
      <c r="W148" s="963">
        <f>((W135)*(W144))</f>
        <v/>
      </c>
      <c r="X148" s="963">
        <f>((X135)*(X136)*(X144))</f>
        <v/>
      </c>
      <c r="Y148" s="963">
        <f>((Y135)*(Y144))</f>
        <v/>
      </c>
      <c r="Z148" s="963">
        <f>((Z135)*(Z136)*(Z144))</f>
        <v/>
      </c>
      <c r="AA148" s="963">
        <f>((AA135)*(AA144))</f>
        <v/>
      </c>
      <c r="AB148" s="963">
        <f>((AB135)*(AB136)*(AB144))</f>
        <v/>
      </c>
      <c r="AC148" s="963">
        <f>((AC135)*(AC144))</f>
        <v/>
      </c>
      <c r="AD148" s="963">
        <f>((AD135)*(AD136)*(AD144))</f>
        <v/>
      </c>
      <c r="AE148" s="963">
        <f>((AE135)*(AE144))</f>
        <v/>
      </c>
      <c r="AF148" s="963">
        <f>((AF135)*(AF136)*(AF144))</f>
        <v/>
      </c>
      <c r="AG148" s="116" t="n"/>
      <c r="AH148" s="963">
        <f>((AH135)*(AH136)*(AH144))</f>
        <v/>
      </c>
    </row>
    <row r="149">
      <c r="B149" s="116" t="n"/>
      <c r="C149" s="116" t="n"/>
      <c r="D149" s="116" t="n"/>
      <c r="E149" s="116" t="n"/>
      <c r="F149" s="116" t="n"/>
      <c r="G149" s="116" t="n"/>
      <c r="H149" s="116" t="n"/>
      <c r="I149" s="116" t="n"/>
      <c r="J149" s="116" t="n"/>
      <c r="K149" s="116" t="n"/>
      <c r="L149" s="116" t="n"/>
      <c r="M149" s="116" t="n"/>
      <c r="N149" s="116" t="n"/>
      <c r="O149" s="116" t="n"/>
      <c r="P149" s="116" t="n"/>
      <c r="Q149" s="116" t="n"/>
      <c r="R149" s="116" t="n"/>
      <c r="S149" s="116" t="n"/>
      <c r="T149" s="116" t="n"/>
      <c r="U149" s="116" t="n"/>
      <c r="V149" s="116" t="n"/>
      <c r="W149" s="116" t="n"/>
      <c r="X149" s="116" t="n"/>
      <c r="Y149" s="116" t="n"/>
      <c r="Z149" s="116" t="n"/>
      <c r="AA149" s="116" t="n"/>
      <c r="AB149" s="116" t="n"/>
      <c r="AC149" s="116" t="n"/>
      <c r="AD149" s="116" t="n"/>
      <c r="AE149" s="116" t="n"/>
      <c r="AF149" s="116" t="n"/>
      <c r="AG149" s="116" t="n"/>
      <c r="AH149" s="116" t="n"/>
    </row>
    <row r="150">
      <c r="B150" s="116" t="n"/>
      <c r="C150" s="116" t="n"/>
      <c r="D150" s="116" t="n"/>
      <c r="E150" s="116" t="n"/>
      <c r="F150" s="116" t="n"/>
      <c r="G150" s="116" t="n"/>
      <c r="H150" s="116" t="n"/>
      <c r="I150" s="116" t="n"/>
      <c r="J150" s="116" t="n"/>
      <c r="K150" s="116" t="n"/>
      <c r="L150" s="116" t="n"/>
      <c r="M150" s="116" t="n"/>
      <c r="N150" s="116" t="n"/>
      <c r="O150" s="116" t="n"/>
      <c r="P150" s="116" t="n"/>
      <c r="Q150" s="116" t="n"/>
      <c r="R150" s="116" t="n"/>
      <c r="S150" s="116" t="n"/>
      <c r="T150" s="116" t="n"/>
      <c r="U150" s="116" t="n"/>
      <c r="V150" s="116" t="n"/>
      <c r="W150" s="116" t="n"/>
      <c r="X150" s="116" t="n"/>
      <c r="Y150" s="116" t="n"/>
      <c r="Z150" s="116" t="n"/>
      <c r="AA150" s="116" t="n"/>
      <c r="AB150" s="116" t="n"/>
      <c r="AC150" s="116" t="n"/>
      <c r="AD150" s="116" t="n"/>
      <c r="AE150" s="116" t="n"/>
      <c r="AF150" s="116" t="n"/>
      <c r="AG150" s="116" t="n"/>
      <c r="AH150" s="116" t="n"/>
    </row>
    <row r="151">
      <c r="B151" s="116" t="n"/>
      <c r="C151" s="116" t="n"/>
      <c r="D151" s="116" t="n"/>
      <c r="E151" s="116" t="n"/>
      <c r="F151" s="116" t="n"/>
      <c r="G151" s="116" t="n"/>
      <c r="H151" s="116" t="n"/>
      <c r="I151" s="116" t="n"/>
      <c r="J151" s="1915" t="inlineStr">
        <is>
          <t>Year 3 - Steady State</t>
        </is>
      </c>
    </row>
    <row r="152" ht="3" customHeight="1" s="1883">
      <c r="B152" s="116" t="n"/>
      <c r="C152" s="116" t="n"/>
      <c r="D152" s="116" t="n"/>
      <c r="E152" s="116" t="n"/>
      <c r="F152" s="116" t="n"/>
      <c r="G152" s="116" t="n"/>
      <c r="H152" s="116" t="n"/>
      <c r="I152" s="116" t="n"/>
      <c r="J152" s="950" t="n"/>
      <c r="K152" s="950" t="n"/>
      <c r="L152" s="950" t="n"/>
      <c r="M152" s="950" t="n"/>
      <c r="N152" s="950" t="n"/>
      <c r="O152" s="950" t="n"/>
      <c r="P152" s="950" t="n"/>
      <c r="Q152" s="950" t="n"/>
      <c r="R152" s="950" t="n"/>
      <c r="S152" s="950" t="n"/>
      <c r="T152" s="950" t="n"/>
      <c r="U152" s="950" t="n"/>
      <c r="V152" s="950" t="n"/>
      <c r="W152" s="950" t="n"/>
      <c r="X152" s="950" t="n"/>
      <c r="Y152" s="950" t="n"/>
      <c r="Z152" s="950" t="n"/>
      <c r="AA152" s="950" t="n"/>
      <c r="AB152" s="950" t="n"/>
      <c r="AC152" s="950" t="n"/>
      <c r="AD152" s="950" t="n"/>
      <c r="AE152" s="950" t="n"/>
      <c r="AF152" s="950" t="n"/>
      <c r="AG152" s="950" t="n"/>
      <c r="AH152" s="950" t="n"/>
    </row>
    <row r="153" ht="3" customHeight="1" s="1883">
      <c r="B153" s="116" t="n"/>
      <c r="C153" s="116" t="n"/>
      <c r="D153" s="116" t="n"/>
      <c r="E153" s="116" t="n"/>
      <c r="F153" s="116" t="n"/>
      <c r="G153" s="116" t="n"/>
      <c r="H153" s="116" t="n"/>
      <c r="I153" s="116" t="n"/>
      <c r="J153" s="116" t="n"/>
      <c r="K153" s="116" t="n"/>
      <c r="L153" s="116" t="n"/>
      <c r="M153" s="116" t="n"/>
      <c r="N153" s="116" t="n"/>
      <c r="O153" s="116" t="n"/>
      <c r="P153" s="116" t="n"/>
      <c r="Q153" s="116" t="n"/>
      <c r="R153" s="116" t="n"/>
      <c r="S153" s="116" t="n"/>
      <c r="T153" s="116" t="n"/>
      <c r="U153" s="116" t="n"/>
      <c r="V153" s="116" t="n"/>
      <c r="W153" s="116" t="n"/>
      <c r="X153" s="116" t="n"/>
      <c r="Y153" s="116" t="n"/>
      <c r="Z153" s="116" t="n"/>
      <c r="AA153" s="116" t="n"/>
      <c r="AB153" s="116" t="n"/>
      <c r="AC153" s="116" t="n"/>
      <c r="AD153" s="116" t="n"/>
      <c r="AE153" s="116" t="n"/>
      <c r="AF153" s="116" t="n"/>
      <c r="AG153" s="116" t="n"/>
      <c r="AH153" s="116" t="n"/>
    </row>
    <row r="154">
      <c r="B154" s="116" t="n"/>
      <c r="C154" s="116" t="n"/>
      <c r="D154" s="116" t="n"/>
      <c r="E154" s="116" t="n"/>
      <c r="F154" s="116" t="n"/>
      <c r="G154" s="116" t="n"/>
      <c r="H154" s="116" t="n"/>
      <c r="I154" s="116" t="n"/>
      <c r="J154" s="117" t="inlineStr">
        <is>
          <t>Month 25</t>
        </is>
      </c>
      <c r="K154" s="117" t="n"/>
      <c r="L154" s="117" t="inlineStr">
        <is>
          <t>Month 26</t>
        </is>
      </c>
      <c r="M154" s="117" t="n"/>
      <c r="N154" s="117" t="inlineStr">
        <is>
          <t>Month 27</t>
        </is>
      </c>
      <c r="O154" s="117" t="n"/>
      <c r="P154" s="117" t="inlineStr">
        <is>
          <t>Month 28</t>
        </is>
      </c>
      <c r="Q154" s="117" t="n"/>
      <c r="R154" s="117" t="inlineStr">
        <is>
          <t>Month 29</t>
        </is>
      </c>
      <c r="S154" s="117" t="n"/>
      <c r="T154" s="117" t="inlineStr">
        <is>
          <t>Month 30</t>
        </is>
      </c>
      <c r="U154" s="117" t="n"/>
      <c r="V154" s="117" t="inlineStr">
        <is>
          <t>Month 31</t>
        </is>
      </c>
      <c r="W154" s="117" t="n"/>
      <c r="X154" s="117" t="inlineStr">
        <is>
          <t>Month 32</t>
        </is>
      </c>
      <c r="Y154" s="117" t="n"/>
      <c r="Z154" s="117" t="inlineStr">
        <is>
          <t>Month 33</t>
        </is>
      </c>
      <c r="AA154" s="117" t="n"/>
      <c r="AB154" s="117" t="inlineStr">
        <is>
          <t>Month 34</t>
        </is>
      </c>
      <c r="AC154" s="117" t="n"/>
      <c r="AD154" s="117" t="inlineStr">
        <is>
          <t>Month 35</t>
        </is>
      </c>
      <c r="AE154" s="117" t="n"/>
      <c r="AF154" s="117" t="inlineStr">
        <is>
          <t>Month 36</t>
        </is>
      </c>
      <c r="AG154" s="116" t="n"/>
      <c r="AH154" s="117" t="inlineStr">
        <is>
          <t>Ʃ, Year 3</t>
        </is>
      </c>
    </row>
    <row r="155" ht="3" customHeight="1" s="1883">
      <c r="B155" s="116" t="n"/>
      <c r="C155" s="116" t="n"/>
      <c r="D155" s="116" t="n"/>
      <c r="E155" s="116" t="n"/>
      <c r="F155" s="116" t="n"/>
      <c r="G155" s="116" t="n"/>
      <c r="H155" s="116" t="n"/>
      <c r="I155" s="116" t="n"/>
      <c r="J155" s="950" t="n"/>
      <c r="K155" s="116" t="n"/>
      <c r="L155" s="950" t="n"/>
      <c r="M155" s="116" t="n"/>
      <c r="N155" s="950" t="n"/>
      <c r="O155" s="116" t="n"/>
      <c r="P155" s="950" t="n"/>
      <c r="Q155" s="116" t="n"/>
      <c r="R155" s="950" t="n"/>
      <c r="S155" s="116" t="n"/>
      <c r="T155" s="950" t="n"/>
      <c r="U155" s="116" t="n"/>
      <c r="V155" s="950" t="n"/>
      <c r="W155" s="116" t="n"/>
      <c r="X155" s="950" t="n"/>
      <c r="Y155" s="116" t="n"/>
      <c r="Z155" s="950" t="n"/>
      <c r="AA155" s="116" t="n"/>
      <c r="AB155" s="950" t="n"/>
      <c r="AC155" s="116" t="n"/>
      <c r="AD155" s="950" t="n"/>
      <c r="AE155" s="116" t="n"/>
      <c r="AF155" s="950" t="n"/>
      <c r="AG155" s="116" t="n"/>
      <c r="AH155" s="950" t="n"/>
    </row>
    <row r="156" ht="3" customHeight="1" s="1883">
      <c r="B156" s="116" t="n"/>
      <c r="C156" s="116" t="n"/>
      <c r="D156" s="116" t="n"/>
      <c r="E156" s="116" t="n"/>
      <c r="F156" s="116" t="n"/>
      <c r="G156" s="116" t="n"/>
      <c r="H156" s="116" t="n"/>
      <c r="I156" s="116" t="n"/>
      <c r="J156" s="116" t="n"/>
      <c r="K156" s="116" t="n"/>
      <c r="L156" s="116" t="n"/>
      <c r="M156" s="116" t="n"/>
      <c r="N156" s="116" t="n"/>
      <c r="O156" s="116" t="n"/>
      <c r="P156" s="116" t="n"/>
      <c r="Q156" s="116" t="n"/>
      <c r="R156" s="116" t="n"/>
      <c r="S156" s="116" t="n"/>
      <c r="T156" s="116" t="n"/>
      <c r="U156" s="116" t="n"/>
      <c r="V156" s="116" t="n"/>
      <c r="W156" s="116" t="n"/>
      <c r="X156" s="116" t="n"/>
      <c r="Y156" s="116" t="n"/>
      <c r="Z156" s="116" t="n"/>
      <c r="AA156" s="116" t="n"/>
      <c r="AB156" s="116" t="n"/>
      <c r="AC156" s="116" t="n"/>
      <c r="AD156" s="116" t="n"/>
      <c r="AE156" s="116" t="n"/>
      <c r="AF156" s="116" t="n"/>
      <c r="AG156" s="116" t="n"/>
      <c r="AH156" s="116" t="n"/>
    </row>
    <row r="157">
      <c r="B157" s="118" t="inlineStr">
        <is>
          <t>Revenue Drivers</t>
        </is>
      </c>
      <c r="C157" s="118" t="n"/>
      <c r="D157" s="116" t="n"/>
      <c r="E157" s="116" t="n"/>
      <c r="F157" s="116" t="n"/>
      <c r="G157" s="116" t="n"/>
      <c r="H157" s="116" t="n"/>
      <c r="I157" s="116" t="n"/>
      <c r="J157" s="116" t="n"/>
      <c r="K157" s="116" t="n"/>
      <c r="L157" s="116" t="n"/>
      <c r="M157" s="116" t="n"/>
      <c r="N157" s="116" t="n"/>
      <c r="O157" s="116" t="n"/>
      <c r="P157" s="116" t="n"/>
      <c r="Q157" s="116" t="n"/>
      <c r="R157" s="116" t="n"/>
      <c r="S157" s="116" t="n"/>
      <c r="T157" s="116" t="n"/>
      <c r="U157" s="116" t="n"/>
      <c r="V157" s="116" t="n"/>
      <c r="W157" s="116" t="n"/>
      <c r="X157" s="116" t="n"/>
      <c r="Y157" s="116" t="n"/>
      <c r="Z157" s="116" t="n"/>
      <c r="AA157" s="116" t="n"/>
      <c r="AB157" s="116" t="n"/>
      <c r="AC157" s="116" t="n"/>
      <c r="AD157" s="116" t="n"/>
      <c r="AE157" s="116" t="n"/>
      <c r="AF157" s="116" t="n"/>
      <c r="AG157" s="116" t="n"/>
      <c r="AH157" s="116" t="n"/>
    </row>
    <row r="158" ht="4.5" customHeight="1" s="1883">
      <c r="B158" s="116" t="n"/>
      <c r="C158" s="116" t="n"/>
      <c r="D158" s="116" t="n"/>
      <c r="E158" s="116" t="n"/>
      <c r="F158" s="116" t="n"/>
      <c r="G158" s="116" t="n"/>
      <c r="H158" s="116" t="n"/>
      <c r="I158" s="116" t="n"/>
      <c r="J158" s="116" t="n"/>
      <c r="K158" s="116" t="n"/>
      <c r="L158" s="116" t="n"/>
      <c r="M158" s="116" t="n"/>
      <c r="N158" s="116" t="n"/>
      <c r="O158" s="116" t="n"/>
      <c r="P158" s="116" t="n"/>
      <c r="Q158" s="116" t="n"/>
      <c r="R158" s="116" t="n"/>
      <c r="S158" s="116" t="n"/>
      <c r="T158" s="116" t="n"/>
      <c r="U158" s="116" t="n"/>
      <c r="V158" s="116" t="n"/>
      <c r="W158" s="116" t="n"/>
      <c r="X158" s="116" t="n"/>
      <c r="Y158" s="116" t="n"/>
      <c r="Z158" s="116" t="n"/>
      <c r="AA158" s="116" t="n"/>
      <c r="AB158" s="116" t="n"/>
      <c r="AC158" s="116" t="n"/>
      <c r="AD158" s="116" t="n"/>
      <c r="AE158" s="116" t="n"/>
      <c r="AF158" s="116" t="n"/>
      <c r="AG158" s="116" t="n"/>
      <c r="AH158" s="116" t="n"/>
    </row>
    <row r="159">
      <c r="B159" s="120" t="inlineStr">
        <is>
          <t>I.</t>
        </is>
      </c>
      <c r="C159" s="116" t="n"/>
      <c r="D159" s="118" t="inlineStr">
        <is>
          <t>Deployed Units</t>
        </is>
      </c>
      <c r="E159" s="116" t="n"/>
      <c r="F159" s="116" t="n"/>
      <c r="G159" s="116" t="n"/>
      <c r="H159" s="116" t="n"/>
      <c r="I159" s="116" t="n"/>
      <c r="J159" s="116" t="n"/>
      <c r="K159" s="116" t="n"/>
      <c r="L159" s="116" t="n"/>
      <c r="M159" s="116" t="n"/>
      <c r="N159" s="116" t="n"/>
      <c r="O159" s="116" t="n"/>
      <c r="P159" s="116" t="n"/>
      <c r="Q159" s="116" t="n"/>
      <c r="R159" s="116" t="n"/>
      <c r="S159" s="116" t="n"/>
      <c r="T159" s="116" t="n"/>
      <c r="U159" s="116" t="n"/>
      <c r="V159" s="116" t="n"/>
      <c r="W159" s="116" t="n"/>
      <c r="X159" s="116" t="n"/>
      <c r="Y159" s="116" t="n"/>
      <c r="Z159" s="116" t="n"/>
      <c r="AA159" s="116" t="n"/>
      <c r="AB159" s="116" t="n"/>
      <c r="AC159" s="116" t="n"/>
      <c r="AD159" s="116" t="n"/>
      <c r="AE159" s="116" t="n"/>
      <c r="AF159" s="116" t="n"/>
      <c r="AG159" s="116" t="n"/>
      <c r="AH159" s="116" t="n"/>
    </row>
    <row r="160">
      <c r="B160" s="116" t="n"/>
      <c r="C160" s="116" t="n"/>
      <c r="D160" s="116" t="n"/>
      <c r="E160" s="116" t="inlineStr">
        <is>
          <t>Deployed Units, Beginning</t>
        </is>
      </c>
      <c r="F160" s="116" t="n"/>
      <c r="G160" s="116" t="n"/>
      <c r="H160" s="116" t="n"/>
      <c r="I160" s="116" t="n"/>
      <c r="J160" s="122">
        <f>(AH125)</f>
        <v/>
      </c>
      <c r="K160" s="122" t="n"/>
      <c r="L160" s="122">
        <f>(J165)</f>
        <v/>
      </c>
      <c r="M160" s="122" t="n"/>
      <c r="N160" s="122">
        <f>(L165)</f>
        <v/>
      </c>
      <c r="O160" s="122" t="n"/>
      <c r="P160" s="122">
        <f>(N165)</f>
        <v/>
      </c>
      <c r="Q160" s="122" t="n"/>
      <c r="R160" s="122">
        <f>(P165)</f>
        <v/>
      </c>
      <c r="S160" s="122" t="n"/>
      <c r="T160" s="122">
        <f>(R165)</f>
        <v/>
      </c>
      <c r="U160" s="122" t="n"/>
      <c r="V160" s="122">
        <f>(T165)</f>
        <v/>
      </c>
      <c r="W160" s="122" t="n"/>
      <c r="X160" s="122">
        <f>(V165)</f>
        <v/>
      </c>
      <c r="Y160" s="122" t="n"/>
      <c r="Z160" s="122">
        <f>(X165)</f>
        <v/>
      </c>
      <c r="AA160" s="122" t="n"/>
      <c r="AB160" s="122">
        <f>(Z165)</f>
        <v/>
      </c>
      <c r="AC160" s="122" t="n"/>
      <c r="AD160" s="122">
        <f>(AB165)</f>
        <v/>
      </c>
      <c r="AE160" s="122" t="n"/>
      <c r="AF160" s="122">
        <f>(AD165)</f>
        <v/>
      </c>
      <c r="AG160" s="122" t="n"/>
      <c r="AH160" s="123">
        <f>(J160)</f>
        <v/>
      </c>
    </row>
    <row r="161">
      <c r="B161" s="116" t="n"/>
      <c r="C161" s="116" t="n"/>
      <c r="D161" s="116" t="n"/>
      <c r="E161" s="116" t="inlineStr">
        <is>
          <t>Service Additions</t>
        </is>
      </c>
      <c r="F161" s="116" t="n"/>
      <c r="G161" s="116" t="n"/>
      <c r="H161" s="116" t="n"/>
      <c r="I161" s="116" t="n"/>
      <c r="J161" s="122">
        <f>'3F. Revenue &amp; COGS Assumptions'!G14</f>
        <v/>
      </c>
      <c r="K161" s="122" t="n"/>
      <c r="L161" s="122">
        <f>'3F. Revenue &amp; COGS Assumptions'!H14</f>
        <v/>
      </c>
      <c r="M161" s="122" t="n"/>
      <c r="N161" s="122">
        <f>'3F. Revenue &amp; COGS Assumptions'!I14</f>
        <v/>
      </c>
      <c r="O161" s="122" t="n"/>
      <c r="P161" s="122">
        <f>'3F. Revenue &amp; COGS Assumptions'!J14</f>
        <v/>
      </c>
      <c r="Q161" s="122" t="n"/>
      <c r="R161" s="122">
        <f>'3F. Revenue &amp; COGS Assumptions'!K14</f>
        <v/>
      </c>
      <c r="S161" s="122" t="n"/>
      <c r="T161" s="122">
        <f>'3F. Revenue &amp; COGS Assumptions'!L14</f>
        <v/>
      </c>
      <c r="U161" s="122" t="n"/>
      <c r="V161" s="122">
        <f>'3F. Revenue &amp; COGS Assumptions'!M14</f>
        <v/>
      </c>
      <c r="W161" s="122" t="n"/>
      <c r="X161" s="122">
        <f>'3F. Revenue &amp; COGS Assumptions'!N14</f>
        <v/>
      </c>
      <c r="Y161" s="122" t="n"/>
      <c r="Z161" s="122">
        <f>'3F. Revenue &amp; COGS Assumptions'!O14</f>
        <v/>
      </c>
      <c r="AA161" s="122" t="n"/>
      <c r="AB161" s="122">
        <f>'3F. Revenue &amp; COGS Assumptions'!P14</f>
        <v/>
      </c>
      <c r="AC161" s="122" t="n"/>
      <c r="AD161" s="122">
        <f>'3F. Revenue &amp; COGS Assumptions'!Q14</f>
        <v/>
      </c>
      <c r="AE161" s="122" t="n"/>
      <c r="AF161" s="122">
        <f>'3F. Revenue &amp; COGS Assumptions'!R14</f>
        <v/>
      </c>
      <c r="AG161" s="122" t="n"/>
      <c r="AH161" s="123">
        <f>((J161)+(L161)+(N161)+(P161)+(R161)+(T161)+(V161)+(X161)+(Z161)+(AB161)+(AD161)+(AF161))</f>
        <v/>
      </c>
    </row>
    <row r="162">
      <c r="B162" s="116" t="n"/>
      <c r="C162" s="116" t="n"/>
      <c r="D162" s="116" t="n"/>
      <c r="E162" s="129" t="inlineStr">
        <is>
          <t>Service Attrition</t>
        </is>
      </c>
      <c r="F162" s="129" t="n"/>
      <c r="G162" s="129" t="n"/>
      <c r="H162" s="129" t="n"/>
      <c r="I162" s="129" t="n"/>
      <c r="J162" s="124">
        <f>'3E. Tel. Attrit. Renew. Reward'!AE100</f>
        <v/>
      </c>
      <c r="K162" s="953" t="n"/>
      <c r="L162" s="124">
        <f>'3E. Tel. Attrit. Renew. Reward'!AF100</f>
        <v/>
      </c>
      <c r="M162" s="953" t="n"/>
      <c r="N162" s="124">
        <f>'3E. Tel. Attrit. Renew. Reward'!AG100</f>
        <v/>
      </c>
      <c r="O162" s="953" t="n"/>
      <c r="P162" s="124">
        <f>'3E. Tel. Attrit. Renew. Reward'!AH100</f>
        <v/>
      </c>
      <c r="Q162" s="953" t="n"/>
      <c r="R162" s="124">
        <f>'3E. Tel. Attrit. Renew. Reward'!AI100</f>
        <v/>
      </c>
      <c r="S162" s="953" t="n"/>
      <c r="T162" s="124">
        <f>'3E. Tel. Attrit. Renew. Reward'!AJ100</f>
        <v/>
      </c>
      <c r="U162" s="953" t="n"/>
      <c r="V162" s="124">
        <f>'3E. Tel. Attrit. Renew. Reward'!AK100</f>
        <v/>
      </c>
      <c r="W162" s="953" t="n"/>
      <c r="X162" s="124">
        <f>'3E. Tel. Attrit. Renew. Reward'!AL100</f>
        <v/>
      </c>
      <c r="Y162" s="953" t="n"/>
      <c r="Z162" s="124">
        <f>'3E. Tel. Attrit. Renew. Reward'!AM100</f>
        <v/>
      </c>
      <c r="AA162" s="953" t="n"/>
      <c r="AB162" s="124">
        <f>'3E. Tel. Attrit. Renew. Reward'!AN100</f>
        <v/>
      </c>
      <c r="AC162" s="953" t="n"/>
      <c r="AD162" s="124">
        <f>'3E. Tel. Attrit. Renew. Reward'!AO100</f>
        <v/>
      </c>
      <c r="AE162" s="953" t="n"/>
      <c r="AF162" s="124">
        <f>'3E. Tel. Attrit. Renew. Reward'!AP100</f>
        <v/>
      </c>
      <c r="AG162" s="130" t="n"/>
      <c r="AH162" s="954">
        <f>((J162)+(L162)+(N162)+(P162)+(R162)+(T162)+(V162)+(X162)+(Z162)+(AB162)+(AD162)+(AF162))</f>
        <v/>
      </c>
    </row>
    <row r="163" ht="3" customHeight="1" s="1883">
      <c r="B163" s="116" t="n"/>
      <c r="C163" s="116" t="n"/>
      <c r="D163" s="116" t="n"/>
      <c r="E163" s="116" t="n"/>
      <c r="F163" s="116" t="n"/>
      <c r="G163" s="116" t="n"/>
      <c r="H163" s="116" t="n"/>
      <c r="I163" s="116" t="n"/>
      <c r="J163" s="955" t="n"/>
      <c r="K163" s="122" t="n"/>
      <c r="L163" s="955" t="n"/>
      <c r="M163" s="122" t="n"/>
      <c r="N163" s="955" t="n"/>
      <c r="O163" s="122" t="n"/>
      <c r="P163" s="955" t="n"/>
      <c r="Q163" s="122" t="n"/>
      <c r="R163" s="955" t="n"/>
      <c r="S163" s="122" t="n"/>
      <c r="T163" s="955" t="n"/>
      <c r="U163" s="122" t="n"/>
      <c r="V163" s="955" t="n"/>
      <c r="W163" s="122" t="n"/>
      <c r="X163" s="955" t="n"/>
      <c r="Y163" s="122" t="n"/>
      <c r="Z163" s="955" t="n"/>
      <c r="AA163" s="122" t="n"/>
      <c r="AB163" s="955" t="n"/>
      <c r="AC163" s="122" t="n"/>
      <c r="AD163" s="955" t="n"/>
      <c r="AE163" s="122" t="n"/>
      <c r="AF163" s="955" t="n"/>
      <c r="AG163" s="122" t="n"/>
      <c r="AH163" s="955" t="n"/>
    </row>
    <row r="164" ht="3" customHeight="1" s="1883">
      <c r="B164" s="116" t="n"/>
      <c r="C164" s="116" t="n"/>
      <c r="D164" s="116" t="n"/>
      <c r="E164" s="116" t="n"/>
      <c r="F164" s="116" t="n"/>
      <c r="G164" s="116" t="n"/>
      <c r="H164" s="116" t="n"/>
      <c r="I164" s="116" t="n"/>
      <c r="J164" s="122" t="n"/>
      <c r="K164" s="122" t="n"/>
      <c r="L164" s="122" t="n"/>
      <c r="M164" s="122" t="n"/>
      <c r="N164" s="122" t="n"/>
      <c r="O164" s="122" t="n"/>
      <c r="P164" s="122" t="n"/>
      <c r="Q164" s="122" t="n"/>
      <c r="R164" s="122" t="n"/>
      <c r="S164" s="122" t="n"/>
      <c r="T164" s="122" t="n"/>
      <c r="U164" s="122" t="n"/>
      <c r="V164" s="122" t="n"/>
      <c r="W164" s="122" t="n"/>
      <c r="X164" s="122" t="n"/>
      <c r="Y164" s="122" t="n"/>
      <c r="Z164" s="122" t="n"/>
      <c r="AA164" s="122" t="n"/>
      <c r="AB164" s="122" t="n"/>
      <c r="AC164" s="122" t="n"/>
      <c r="AD164" s="122" t="n"/>
      <c r="AE164" s="122" t="n"/>
      <c r="AF164" s="122" t="n"/>
      <c r="AG164" s="122" t="n"/>
      <c r="AH164" s="122" t="n"/>
    </row>
    <row r="165">
      <c r="B165" s="116" t="n"/>
      <c r="C165" s="116" t="n"/>
      <c r="D165" s="116" t="n"/>
      <c r="E165" s="116" t="n"/>
      <c r="F165" s="118" t="inlineStr">
        <is>
          <t>Deployed Units, Ending</t>
        </is>
      </c>
      <c r="G165" s="116" t="n"/>
      <c r="H165" s="116" t="n"/>
      <c r="I165" s="116" t="n"/>
      <c r="J165" s="123">
        <f>((J160)+(J161)-(J162))</f>
        <v/>
      </c>
      <c r="K165" s="122" t="n"/>
      <c r="L165" s="123">
        <f>((L160)+(L161)-(L162))</f>
        <v/>
      </c>
      <c r="M165" s="122" t="n"/>
      <c r="N165" s="123">
        <f>((N160)+(N161)-(N162))</f>
        <v/>
      </c>
      <c r="O165" s="122" t="n"/>
      <c r="P165" s="123">
        <f>((P160)+(P161)-(P162))</f>
        <v/>
      </c>
      <c r="Q165" s="122" t="n"/>
      <c r="R165" s="123">
        <f>((R160)+(R161)-(R162))</f>
        <v/>
      </c>
      <c r="S165" s="122" t="n"/>
      <c r="T165" s="123">
        <f>((T160)+(T161)-(T162))</f>
        <v/>
      </c>
      <c r="U165" s="122" t="n"/>
      <c r="V165" s="123">
        <f>((V160)+(V161)-(V162))</f>
        <v/>
      </c>
      <c r="W165" s="122" t="n"/>
      <c r="X165" s="123">
        <f>((X160)+(X161)-(X162))</f>
        <v/>
      </c>
      <c r="Y165" s="122" t="n"/>
      <c r="Z165" s="123">
        <f>((Z160)+(Z161)-(Z162))</f>
        <v/>
      </c>
      <c r="AA165" s="122" t="n"/>
      <c r="AB165" s="123">
        <f>((AB160)+(AB161)-(AB162))</f>
        <v/>
      </c>
      <c r="AC165" s="122" t="n"/>
      <c r="AD165" s="123">
        <f>((AD160)+(AD161)-(AD162))</f>
        <v/>
      </c>
      <c r="AE165" s="122" t="n"/>
      <c r="AF165" s="123">
        <f>((AF160)+(AF161)-(AF162))</f>
        <v/>
      </c>
      <c r="AG165" s="122" t="n"/>
      <c r="AH165" s="123">
        <f>((AH160)+(AH161)-(AH162))</f>
        <v/>
      </c>
    </row>
    <row r="166" ht="3" customHeight="1" s="1883">
      <c r="B166" s="116" t="n"/>
      <c r="C166" s="116" t="n"/>
      <c r="D166" s="116" t="n"/>
      <c r="E166" s="116" t="n"/>
      <c r="F166" s="116" t="n"/>
      <c r="G166" s="116" t="n"/>
      <c r="H166" s="116" t="n"/>
      <c r="I166" s="116" t="n"/>
      <c r="J166" s="125" t="n"/>
      <c r="K166" s="122" t="n"/>
      <c r="L166" s="125" t="n"/>
      <c r="M166" s="122" t="n"/>
      <c r="N166" s="125" t="n"/>
      <c r="O166" s="122" t="n"/>
      <c r="P166" s="125" t="n"/>
      <c r="Q166" s="122" t="n"/>
      <c r="R166" s="125" t="n"/>
      <c r="S166" s="122" t="n"/>
      <c r="T166" s="125" t="n"/>
      <c r="U166" s="122" t="n"/>
      <c r="V166" s="125" t="n"/>
      <c r="W166" s="122" t="n"/>
      <c r="X166" s="125" t="n"/>
      <c r="Y166" s="122" t="n"/>
      <c r="Z166" s="125" t="n"/>
      <c r="AA166" s="122" t="n"/>
      <c r="AB166" s="125" t="n"/>
      <c r="AC166" s="122" t="n"/>
      <c r="AD166" s="125" t="n"/>
      <c r="AE166" s="122" t="n"/>
      <c r="AF166" s="125" t="n"/>
      <c r="AG166" s="122" t="n"/>
      <c r="AH166" s="125" t="n"/>
    </row>
    <row r="167">
      <c r="B167" s="116" t="n"/>
      <c r="C167" s="116" t="n"/>
      <c r="D167" s="116" t="n"/>
      <c r="E167" s="116" t="n"/>
      <c r="F167" s="116" t="n"/>
      <c r="G167" s="116" t="n"/>
      <c r="H167" s="116" t="n"/>
      <c r="I167" s="116" t="n"/>
      <c r="J167" s="122" t="n"/>
      <c r="K167" s="122" t="n"/>
      <c r="L167" s="122" t="n"/>
      <c r="M167" s="122" t="n"/>
      <c r="N167" s="122" t="n"/>
      <c r="O167" s="122" t="n"/>
      <c r="P167" s="122" t="n"/>
      <c r="Q167" s="122" t="n"/>
      <c r="R167" s="122" t="n"/>
      <c r="S167" s="122" t="n"/>
      <c r="T167" s="122" t="n"/>
      <c r="U167" s="122" t="n"/>
      <c r="V167" s="122" t="n"/>
      <c r="W167" s="122" t="n"/>
      <c r="X167" s="122" t="n"/>
      <c r="Y167" s="122" t="n"/>
      <c r="Z167" s="122" t="n"/>
      <c r="AA167" s="122" t="n"/>
      <c r="AB167" s="122" t="n"/>
      <c r="AC167" s="122" t="n"/>
      <c r="AD167" s="122" t="n"/>
      <c r="AE167" s="122" t="n"/>
      <c r="AF167" s="122" t="n"/>
      <c r="AG167" s="122" t="n"/>
      <c r="AH167" s="122" t="n"/>
    </row>
    <row r="168">
      <c r="B168" s="116" t="n"/>
      <c r="C168" s="116" t="n"/>
      <c r="D168" s="116" t="n"/>
      <c r="E168" s="116" t="n"/>
      <c r="F168" s="118" t="inlineStr">
        <is>
          <t>Deployed Units, Average</t>
        </is>
      </c>
      <c r="G168" s="116" t="n"/>
      <c r="H168" s="116" t="n"/>
      <c r="I168" s="116" t="n"/>
      <c r="J168" s="136">
        <f>(((J160)+(J165))/(2))</f>
        <v/>
      </c>
      <c r="K168" s="136" t="n"/>
      <c r="L168" s="136">
        <f>(((L160)+(L165))/(2))</f>
        <v/>
      </c>
      <c r="M168" s="136" t="n"/>
      <c r="N168" s="136">
        <f>(((N160)+(N165))/(2))</f>
        <v/>
      </c>
      <c r="O168" s="136" t="n"/>
      <c r="P168" s="136">
        <f>(((P160)+(P165))/(2))</f>
        <v/>
      </c>
      <c r="Q168" s="136" t="n"/>
      <c r="R168" s="136">
        <f>(((R160)+(R165))/(2))</f>
        <v/>
      </c>
      <c r="S168" s="136" t="n"/>
      <c r="T168" s="136">
        <f>(((T160)+(T165))/(2))</f>
        <v/>
      </c>
      <c r="U168" s="136" t="n"/>
      <c r="V168" s="136">
        <f>(((V160)+(V165))/(2))</f>
        <v/>
      </c>
      <c r="W168" s="136" t="n"/>
      <c r="X168" s="136">
        <f>(((X160)+(X165))/(2))</f>
        <v/>
      </c>
      <c r="Y168" s="136" t="n"/>
      <c r="Z168" s="136">
        <f>(((Z160)+(Z165))/(2))</f>
        <v/>
      </c>
      <c r="AA168" s="136" t="n"/>
      <c r="AB168" s="136">
        <f>(((AB160)+(AB165))/(2))</f>
        <v/>
      </c>
      <c r="AC168" s="136" t="n"/>
      <c r="AD168" s="136">
        <f>(((AD160)+(AD165))/(2))</f>
        <v/>
      </c>
      <c r="AE168" s="136" t="n"/>
      <c r="AF168" s="136">
        <f>(((AF160)+(AF165))/(2))</f>
        <v/>
      </c>
      <c r="AG168" s="136" t="n"/>
      <c r="AH168" s="136">
        <f>(((AH160)+(AH165))/(2))</f>
        <v/>
      </c>
    </row>
    <row r="169" ht="3" customHeight="1" s="1883">
      <c r="B169" s="116" t="n"/>
      <c r="C169" s="116" t="n"/>
      <c r="D169" s="116" t="n"/>
      <c r="E169" s="116" t="n"/>
      <c r="F169" s="116" t="n"/>
      <c r="G169" s="116" t="n"/>
      <c r="H169" s="116" t="n"/>
      <c r="I169" s="116" t="n"/>
      <c r="J169" s="121" t="n"/>
      <c r="K169" s="116" t="n"/>
      <c r="L169" s="121" t="n"/>
      <c r="M169" s="116" t="n"/>
      <c r="N169" s="121" t="n"/>
      <c r="O169" s="116" t="n"/>
      <c r="P169" s="121" t="n"/>
      <c r="Q169" s="116" t="n"/>
      <c r="R169" s="121" t="n"/>
      <c r="S169" s="116" t="n"/>
      <c r="T169" s="121" t="n"/>
      <c r="U169" s="116" t="n"/>
      <c r="V169" s="121" t="n"/>
      <c r="W169" s="116" t="n"/>
      <c r="X169" s="121" t="n"/>
      <c r="Y169" s="116" t="n"/>
      <c r="Z169" s="121" t="n"/>
      <c r="AA169" s="116" t="n"/>
      <c r="AB169" s="121" t="n"/>
      <c r="AC169" s="116" t="n"/>
      <c r="AD169" s="121" t="n"/>
      <c r="AE169" s="116" t="n"/>
      <c r="AF169" s="121" t="n"/>
      <c r="AG169" s="116" t="n"/>
      <c r="AH169" s="121" t="n"/>
    </row>
    <row r="170">
      <c r="B170" s="116" t="n"/>
      <c r="C170" s="116" t="n"/>
      <c r="D170" s="116" t="n"/>
      <c r="E170" s="116" t="n"/>
      <c r="F170" s="116" t="n"/>
      <c r="G170" s="116" t="n"/>
      <c r="H170" s="116" t="n"/>
      <c r="I170" s="116" t="n"/>
      <c r="J170" s="116" t="n"/>
      <c r="K170" s="116" t="n"/>
      <c r="L170" s="116" t="n"/>
      <c r="M170" s="116" t="n"/>
      <c r="N170" s="116" t="n"/>
      <c r="O170" s="116" t="n"/>
      <c r="P170" s="116" t="n"/>
      <c r="Q170" s="116" t="n"/>
      <c r="R170" s="116" t="n"/>
      <c r="S170" s="116" t="n"/>
      <c r="T170" s="116" t="n"/>
      <c r="U170" s="116" t="n"/>
      <c r="V170" s="116" t="n"/>
      <c r="W170" s="116" t="n"/>
      <c r="X170" s="116" t="n"/>
      <c r="Y170" s="116" t="n"/>
      <c r="Z170" s="116" t="n"/>
      <c r="AA170" s="116" t="n"/>
      <c r="AB170" s="116" t="n"/>
      <c r="AC170" s="116" t="n"/>
      <c r="AD170" s="116" t="n"/>
      <c r="AE170" s="116" t="n"/>
      <c r="AF170" s="116" t="n"/>
      <c r="AG170" s="116" t="n"/>
      <c r="AH170" s="116" t="n"/>
    </row>
    <row r="171">
      <c r="B171" s="116" t="n"/>
      <c r="C171" s="116" t="n"/>
      <c r="D171" s="116" t="n"/>
      <c r="E171" s="116" t="n"/>
      <c r="F171" s="116" t="n"/>
      <c r="G171" s="116" t="n"/>
      <c r="H171" s="116" t="n"/>
      <c r="I171" s="116" t="n"/>
      <c r="J171" s="116" t="n"/>
      <c r="K171" s="116" t="n"/>
      <c r="L171" s="116" t="n"/>
      <c r="M171" s="116" t="n"/>
      <c r="N171" s="116" t="n"/>
      <c r="O171" s="116" t="n"/>
      <c r="P171" s="116" t="n"/>
      <c r="Q171" s="116" t="n"/>
      <c r="R171" s="116" t="n"/>
      <c r="S171" s="116" t="n"/>
      <c r="T171" s="116" t="n"/>
      <c r="U171" s="116" t="n"/>
      <c r="V171" s="116" t="n"/>
      <c r="W171" s="116" t="n"/>
      <c r="X171" s="116" t="n"/>
      <c r="Y171" s="116" t="n"/>
      <c r="Z171" s="116" t="n"/>
      <c r="AA171" s="116" t="n"/>
      <c r="AB171" s="116" t="n"/>
      <c r="AC171" s="116" t="n"/>
      <c r="AD171" s="116" t="n"/>
      <c r="AE171" s="116" t="n"/>
      <c r="AF171" s="116" t="n"/>
      <c r="AG171" s="116" t="n"/>
      <c r="AH171" s="116" t="n"/>
    </row>
    <row r="172">
      <c r="B172" s="118" t="inlineStr">
        <is>
          <t>II.</t>
        </is>
      </c>
      <c r="C172" s="116" t="n"/>
      <c r="D172" s="118" t="inlineStr">
        <is>
          <t>Billable Time</t>
        </is>
      </c>
      <c r="E172" s="116" t="n"/>
      <c r="F172" s="116" t="n"/>
      <c r="G172" s="116" t="n"/>
      <c r="H172" s="116" t="n"/>
      <c r="I172" s="116" t="n"/>
      <c r="J172" s="116" t="n"/>
      <c r="K172" s="116" t="n"/>
      <c r="L172" s="116" t="n"/>
      <c r="M172" s="116" t="n"/>
      <c r="N172" s="116" t="n"/>
      <c r="O172" s="116" t="n"/>
      <c r="P172" s="116" t="n"/>
      <c r="Q172" s="116" t="n"/>
      <c r="R172" s="116" t="n"/>
      <c r="S172" s="116" t="n"/>
      <c r="T172" s="116" t="n"/>
      <c r="U172" s="116" t="n"/>
      <c r="V172" s="116" t="n"/>
      <c r="W172" s="116" t="n"/>
      <c r="X172" s="116" t="n"/>
      <c r="Y172" s="116" t="n"/>
      <c r="Z172" s="116" t="n"/>
      <c r="AA172" s="116" t="n"/>
      <c r="AB172" s="116" t="n"/>
      <c r="AC172" s="116" t="n"/>
      <c r="AD172" s="116" t="n"/>
      <c r="AE172" s="116" t="n"/>
      <c r="AF172" s="116" t="n"/>
      <c r="AG172" s="116" t="n"/>
      <c r="AH172" s="116" t="n"/>
    </row>
    <row r="173" ht="4.5" customHeight="1" s="1883">
      <c r="B173" s="116" t="n"/>
      <c r="C173" s="116" t="n"/>
      <c r="D173" s="116" t="n"/>
      <c r="E173" s="116" t="n"/>
      <c r="F173" s="116" t="n"/>
      <c r="G173" s="116" t="n"/>
      <c r="H173" s="116" t="n"/>
      <c r="I173" s="116" t="n"/>
      <c r="J173" s="116" t="n"/>
      <c r="K173" s="116" t="n"/>
      <c r="L173" s="116" t="n"/>
      <c r="M173" s="116" t="n"/>
      <c r="N173" s="116" t="n"/>
      <c r="O173" s="116" t="n"/>
      <c r="P173" s="116" t="n"/>
      <c r="Q173" s="116" t="n"/>
      <c r="R173" s="116" t="n"/>
      <c r="S173" s="116" t="n"/>
      <c r="T173" s="116" t="n"/>
      <c r="U173" s="116" t="n"/>
      <c r="V173" s="116" t="n"/>
      <c r="W173" s="116" t="n"/>
      <c r="X173" s="116" t="n"/>
      <c r="Y173" s="116" t="n"/>
      <c r="Z173" s="116" t="n"/>
      <c r="AA173" s="116" t="n"/>
      <c r="AB173" s="116" t="n"/>
      <c r="AC173" s="116" t="n"/>
      <c r="AD173" s="116" t="n"/>
      <c r="AE173" s="116" t="n"/>
      <c r="AF173" s="116" t="n"/>
      <c r="AG173" s="116" t="n"/>
      <c r="AH173" s="116" t="n"/>
    </row>
    <row r="174">
      <c r="B174" s="116" t="n"/>
      <c r="C174" s="116" t="n"/>
      <c r="D174" s="116" t="n"/>
      <c r="E174" s="131" t="inlineStr">
        <is>
          <t>Billable Time/Unit</t>
        </is>
      </c>
      <c r="F174" s="131" t="n"/>
      <c r="G174" s="131" t="n"/>
      <c r="H174" s="131" t="n"/>
      <c r="I174" s="131" t="n"/>
      <c r="J174" s="132">
        <f>L23</f>
        <v/>
      </c>
      <c r="K174" s="131" t="n"/>
      <c r="L174" s="132">
        <f>J174</f>
        <v/>
      </c>
      <c r="M174" s="131" t="n"/>
      <c r="N174" s="132">
        <f>L174</f>
        <v/>
      </c>
      <c r="O174" s="131" t="n"/>
      <c r="P174" s="132">
        <f>N174</f>
        <v/>
      </c>
      <c r="Q174" s="131" t="n"/>
      <c r="R174" s="132">
        <f>P174</f>
        <v/>
      </c>
      <c r="S174" s="131" t="n"/>
      <c r="T174" s="132">
        <f>R174</f>
        <v/>
      </c>
      <c r="U174" s="131" t="n"/>
      <c r="V174" s="132">
        <f>T174</f>
        <v/>
      </c>
      <c r="W174" s="131" t="n"/>
      <c r="X174" s="132">
        <f>V174</f>
        <v/>
      </c>
      <c r="Y174" s="131">
        <f>W174</f>
        <v/>
      </c>
      <c r="Z174" s="132">
        <f>X174</f>
        <v/>
      </c>
      <c r="AA174" s="131" t="n"/>
      <c r="AB174" s="132">
        <f>Z174</f>
        <v/>
      </c>
      <c r="AC174" s="131" t="n"/>
      <c r="AD174" s="132">
        <f>AB174</f>
        <v/>
      </c>
      <c r="AE174" s="131" t="n"/>
      <c r="AF174" s="132">
        <f>AD174</f>
        <v/>
      </c>
      <c r="AG174" s="131" t="n"/>
      <c r="AH174" s="131" t="n"/>
    </row>
    <row r="175">
      <c r="B175" s="116" t="n"/>
      <c r="C175" s="116" t="n"/>
      <c r="D175" s="116" t="n"/>
      <c r="E175" s="118" t="inlineStr">
        <is>
          <t>Total Billable Hours</t>
        </is>
      </c>
      <c r="F175" s="116" t="n"/>
      <c r="G175" s="116" t="n"/>
      <c r="H175" s="116" t="n"/>
      <c r="I175" s="116" t="n"/>
      <c r="J175" s="123">
        <f>(((J168)*(J174))/(60))</f>
        <v/>
      </c>
      <c r="K175" s="116" t="n"/>
      <c r="L175" s="123">
        <f>(((L168)*(L174))/(60))</f>
        <v/>
      </c>
      <c r="M175" s="116" t="n"/>
      <c r="N175" s="123">
        <f>(((N168)*(N174))/(60))</f>
        <v/>
      </c>
      <c r="O175" s="116" t="n"/>
      <c r="P175" s="123">
        <f>(((P168)*(P174))/(60))</f>
        <v/>
      </c>
      <c r="Q175" s="116" t="n"/>
      <c r="R175" s="123">
        <f>(((R168)*(R174))/(60))</f>
        <v/>
      </c>
      <c r="S175" s="116" t="n"/>
      <c r="T175" s="123">
        <f>(((T168)*(T174))/(60))</f>
        <v/>
      </c>
      <c r="U175" s="116" t="n"/>
      <c r="V175" s="123">
        <f>(((V168)*(V174))/(60))</f>
        <v/>
      </c>
      <c r="W175" s="116" t="n"/>
      <c r="X175" s="123">
        <f>(((X168)*(X174))/(60))</f>
        <v/>
      </c>
      <c r="Y175" s="116" t="n"/>
      <c r="Z175" s="123">
        <f>(((Z168)*(Z174))/(60))</f>
        <v/>
      </c>
      <c r="AA175" s="116" t="n"/>
      <c r="AB175" s="123">
        <f>(((AB168)*(AB174))/(60))</f>
        <v/>
      </c>
      <c r="AC175" s="116" t="n"/>
      <c r="AD175" s="123">
        <f>(((AD168)*(AD174))/(60))</f>
        <v/>
      </c>
      <c r="AE175" s="116" t="n"/>
      <c r="AF175" s="123">
        <f>(((AF168)*(AF174))/(60))</f>
        <v/>
      </c>
      <c r="AG175" s="116" t="n"/>
      <c r="AH175" s="123">
        <f>SUM(J175:AG175)</f>
        <v/>
      </c>
    </row>
    <row r="176">
      <c r="B176" s="116" t="n"/>
      <c r="C176" s="116" t="n"/>
      <c r="D176" s="116" t="n"/>
      <c r="E176" s="116" t="inlineStr">
        <is>
          <t>Billable Hour Conversion Rate</t>
        </is>
      </c>
      <c r="F176" s="116" t="n"/>
      <c r="G176" s="116" t="n"/>
      <c r="H176" s="116" t="n"/>
      <c r="I176" s="116" t="n"/>
      <c r="J176" s="142">
        <f>P23</f>
        <v/>
      </c>
      <c r="K176" s="149" t="n"/>
      <c r="L176" s="142">
        <f>J176</f>
        <v/>
      </c>
      <c r="M176" s="149" t="n"/>
      <c r="N176" s="142">
        <f>L176</f>
        <v/>
      </c>
      <c r="O176" s="149" t="n"/>
      <c r="P176" s="142">
        <f>N176</f>
        <v/>
      </c>
      <c r="Q176" s="149" t="n"/>
      <c r="R176" s="142">
        <f>P176</f>
        <v/>
      </c>
      <c r="S176" s="149" t="n"/>
      <c r="T176" s="142">
        <f>R176</f>
        <v/>
      </c>
      <c r="U176" s="149" t="n"/>
      <c r="V176" s="142">
        <f>T176</f>
        <v/>
      </c>
      <c r="W176" s="149" t="n"/>
      <c r="X176" s="142">
        <f>V176</f>
        <v/>
      </c>
      <c r="Y176" s="149" t="n"/>
      <c r="Z176" s="142">
        <f>X176</f>
        <v/>
      </c>
      <c r="AA176" s="149" t="n"/>
      <c r="AB176" s="142">
        <f>Z176</f>
        <v/>
      </c>
      <c r="AC176" s="149" t="n"/>
      <c r="AD176" s="142">
        <f>AB176</f>
        <v/>
      </c>
      <c r="AE176" s="149" t="n"/>
      <c r="AF176" s="142">
        <f>AD176</f>
        <v/>
      </c>
      <c r="AG176" s="149" t="n"/>
      <c r="AH176" s="142">
        <f>AF176</f>
        <v/>
      </c>
    </row>
    <row r="178">
      <c r="B178" s="118" t="inlineStr">
        <is>
          <t>III.</t>
        </is>
      </c>
      <c r="C178" s="116" t="n"/>
      <c r="D178" s="118" t="inlineStr">
        <is>
          <t>Rate Per Hour</t>
        </is>
      </c>
      <c r="E178" s="116" t="n"/>
      <c r="F178" s="116" t="n"/>
      <c r="G178" s="116" t="n"/>
      <c r="H178" s="116" t="n"/>
      <c r="I178" s="116" t="n"/>
      <c r="J178" s="116" t="n"/>
      <c r="K178" s="116" t="n"/>
      <c r="L178" s="116" t="n"/>
      <c r="M178" s="116" t="n"/>
      <c r="N178" s="116" t="n"/>
      <c r="O178" s="116" t="n"/>
      <c r="P178" s="116" t="n"/>
      <c r="Q178" s="116" t="n"/>
      <c r="R178" s="116" t="n"/>
      <c r="S178" s="116" t="n"/>
      <c r="T178" s="116" t="n"/>
      <c r="U178" s="116" t="n"/>
      <c r="V178" s="116" t="n"/>
      <c r="W178" s="116" t="n"/>
      <c r="X178" s="116" t="n"/>
      <c r="Y178" s="116" t="n"/>
      <c r="Z178" s="116" t="n"/>
      <c r="AA178" s="116" t="n"/>
      <c r="AB178" s="116" t="n"/>
      <c r="AC178" s="116" t="n"/>
      <c r="AD178" s="116" t="n"/>
      <c r="AE178" s="116" t="n"/>
      <c r="AF178" s="116" t="n"/>
      <c r="AG178" s="116" t="n"/>
      <c r="AH178" s="116" t="n"/>
    </row>
    <row r="179" ht="4.5" customHeight="1" s="1883">
      <c r="B179" s="116" t="n"/>
      <c r="C179" s="116" t="n"/>
      <c r="D179" s="116" t="n"/>
      <c r="E179" s="116" t="n"/>
      <c r="F179" s="116" t="n"/>
      <c r="G179" s="116" t="n"/>
      <c r="H179" s="116" t="n"/>
      <c r="I179" s="116" t="n"/>
      <c r="J179" s="116" t="n"/>
      <c r="K179" s="116" t="n"/>
      <c r="L179" s="116" t="n"/>
      <c r="M179" s="116" t="n"/>
      <c r="N179" s="116" t="n"/>
      <c r="O179" s="116" t="n"/>
      <c r="P179" s="116" t="n"/>
      <c r="Q179" s="116" t="n"/>
      <c r="R179" s="116" t="n"/>
      <c r="S179" s="116" t="n"/>
      <c r="T179" s="116" t="n"/>
      <c r="U179" s="116" t="n"/>
      <c r="V179" s="116" t="n"/>
      <c r="W179" s="116" t="n"/>
      <c r="X179" s="116" t="n"/>
      <c r="Y179" s="116" t="n"/>
      <c r="Z179" s="116" t="n"/>
      <c r="AA179" s="116" t="n"/>
      <c r="AB179" s="116" t="n"/>
      <c r="AC179" s="116" t="n"/>
      <c r="AD179" s="116" t="n"/>
      <c r="AE179" s="116" t="n"/>
      <c r="AF179" s="116" t="n"/>
      <c r="AG179" s="116" t="n"/>
      <c r="AH179" s="116" t="n"/>
    </row>
    <row r="180">
      <c r="B180" s="116" t="n"/>
      <c r="C180" s="116" t="n"/>
      <c r="D180" s="116" t="n"/>
      <c r="E180" s="116" t="inlineStr">
        <is>
          <t>Gross</t>
        </is>
      </c>
      <c r="F180" s="116" t="n"/>
      <c r="G180" s="116" t="n"/>
      <c r="H180" s="116" t="n"/>
      <c r="I180" s="116" t="n"/>
      <c r="J180" s="2029">
        <f>($N$23)</f>
        <v/>
      </c>
      <c r="K180" s="2029" t="n"/>
      <c r="L180" s="2029">
        <f>J180</f>
        <v/>
      </c>
      <c r="M180" s="2029" t="n"/>
      <c r="N180" s="2029">
        <f>L180</f>
        <v/>
      </c>
      <c r="O180" s="2029" t="n"/>
      <c r="P180" s="2029">
        <f>N180</f>
        <v/>
      </c>
      <c r="Q180" s="2029" t="n"/>
      <c r="R180" s="2029">
        <f>P180</f>
        <v/>
      </c>
      <c r="S180" s="2029" t="n"/>
      <c r="T180" s="2029">
        <f>R180</f>
        <v/>
      </c>
      <c r="U180" s="2029" t="n"/>
      <c r="V180" s="2029">
        <f>T180</f>
        <v/>
      </c>
      <c r="W180" s="2029">
        <f>($N$21)</f>
        <v/>
      </c>
      <c r="X180" s="2029">
        <f>V180</f>
        <v/>
      </c>
      <c r="Y180" s="2029" t="n"/>
      <c r="Z180" s="2029">
        <f>X180</f>
        <v/>
      </c>
      <c r="AA180" s="2029" t="n"/>
      <c r="AB180" s="2029">
        <f>Z180</f>
        <v/>
      </c>
      <c r="AC180" s="2029" t="n"/>
      <c r="AD180" s="2029">
        <f>AB180</f>
        <v/>
      </c>
      <c r="AE180" s="2029" t="n"/>
      <c r="AF180" s="2029">
        <f>AD180</f>
        <v/>
      </c>
      <c r="AG180" s="2029" t="n"/>
      <c r="AH180" s="2029">
        <f>AF180</f>
        <v/>
      </c>
    </row>
    <row r="181">
      <c r="B181" s="116" t="n"/>
      <c r="C181" s="116" t="n"/>
      <c r="D181" s="116" t="n"/>
      <c r="E181" s="116" t="inlineStr">
        <is>
          <t>Discount</t>
        </is>
      </c>
      <c r="F181" s="116" t="n"/>
      <c r="G181" s="116" t="n"/>
      <c r="H181" s="116" t="n"/>
      <c r="I181" s="116" t="n"/>
      <c r="J181" s="119">
        <f>(($R$21))</f>
        <v/>
      </c>
      <c r="K181" s="119" t="n"/>
      <c r="L181" s="119">
        <f>(($R$21))</f>
        <v/>
      </c>
      <c r="M181" s="119" t="n"/>
      <c r="N181" s="119">
        <f>(($R$21))</f>
        <v/>
      </c>
      <c r="O181" s="119" t="n"/>
      <c r="P181" s="119">
        <f>(($R$21))</f>
        <v/>
      </c>
      <c r="Q181" s="964" t="n"/>
      <c r="R181" s="119">
        <f>(($R$21))</f>
        <v/>
      </c>
      <c r="S181" s="964" t="n"/>
      <c r="T181" s="119">
        <f>(($R$21))</f>
        <v/>
      </c>
      <c r="U181" s="119" t="n"/>
      <c r="V181" s="119">
        <f>(($R$21))</f>
        <v/>
      </c>
      <c r="W181" s="960" t="n"/>
      <c r="X181" s="119">
        <f>(($R$21))</f>
        <v/>
      </c>
      <c r="Y181" s="960" t="n"/>
      <c r="Z181" s="119">
        <f>(($R$21))</f>
        <v/>
      </c>
      <c r="AA181" s="119" t="n"/>
      <c r="AB181" s="119">
        <f>(($R$21))</f>
        <v/>
      </c>
      <c r="AC181" s="961" t="n"/>
      <c r="AD181" s="119">
        <f>(($R$21))</f>
        <v/>
      </c>
      <c r="AE181" s="961" t="n"/>
      <c r="AF181" s="119">
        <f>(($R$21))</f>
        <v/>
      </c>
      <c r="AG181" s="116" t="n"/>
      <c r="AH181" s="128">
        <f>(((J181)+(L181)+(N181)+(P181)+(R181)+(T181)+(V181)+(X181)+(Z181)+(AB181)+(AD181)+(AF181))/(12))</f>
        <v/>
      </c>
    </row>
    <row r="182" ht="3" customHeight="1" s="1883">
      <c r="B182" s="116" t="n"/>
      <c r="C182" s="116" t="n"/>
      <c r="D182" s="116" t="n"/>
      <c r="E182" s="116" t="n"/>
      <c r="F182" s="116" t="n"/>
      <c r="G182" s="116" t="n"/>
      <c r="H182" s="116" t="n"/>
      <c r="I182" s="116" t="n"/>
      <c r="J182" s="950" t="n"/>
      <c r="K182" s="116" t="n"/>
      <c r="L182" s="950" t="n"/>
      <c r="M182" s="116" t="n"/>
      <c r="N182" s="950" t="n"/>
      <c r="O182" s="116" t="n"/>
      <c r="P182" s="950" t="n"/>
      <c r="Q182" s="116" t="n"/>
      <c r="R182" s="950" t="n"/>
      <c r="S182" s="116" t="n"/>
      <c r="T182" s="950" t="n"/>
      <c r="U182" s="116" t="n"/>
      <c r="V182" s="950" t="n"/>
      <c r="W182" s="116" t="n"/>
      <c r="X182" s="950" t="n"/>
      <c r="Y182" s="116" t="n"/>
      <c r="Z182" s="950" t="n"/>
      <c r="AA182" s="116" t="n"/>
      <c r="AB182" s="950" t="n"/>
      <c r="AC182" s="116" t="n"/>
      <c r="AD182" s="950" t="n"/>
      <c r="AE182" s="116" t="n"/>
      <c r="AF182" s="950" t="n"/>
      <c r="AG182" s="116" t="n"/>
      <c r="AH182" s="950" t="n"/>
    </row>
    <row r="183" ht="3" customHeight="1" s="1883">
      <c r="B183" s="116" t="n"/>
      <c r="C183" s="116" t="n"/>
      <c r="D183" s="116" t="n"/>
      <c r="E183" s="116" t="n"/>
      <c r="F183" s="116" t="n"/>
      <c r="G183" s="116" t="n"/>
      <c r="H183" s="116" t="n"/>
      <c r="I183" s="116" t="n"/>
      <c r="J183" s="116" t="n"/>
      <c r="K183" s="116" t="n"/>
      <c r="L183" s="116" t="n"/>
      <c r="M183" s="116" t="n"/>
      <c r="N183" s="116" t="n"/>
      <c r="O183" s="116" t="n"/>
      <c r="P183" s="116" t="n"/>
      <c r="Q183" s="116" t="n"/>
      <c r="R183" s="116" t="n"/>
      <c r="S183" s="116" t="n"/>
      <c r="T183" s="116" t="n"/>
      <c r="U183" s="116" t="n"/>
      <c r="V183" s="116" t="n"/>
      <c r="W183" s="116" t="n"/>
      <c r="X183" s="116" t="n"/>
      <c r="Y183" s="116" t="n"/>
      <c r="Z183" s="116" t="n"/>
      <c r="AA183" s="116" t="n"/>
      <c r="AB183" s="116" t="n"/>
      <c r="AC183" s="116" t="n"/>
      <c r="AD183" s="116" t="n"/>
      <c r="AE183" s="116" t="n"/>
      <c r="AF183" s="116" t="n"/>
      <c r="AG183" s="116" t="n"/>
      <c r="AH183" s="116" t="n"/>
    </row>
    <row r="184">
      <c r="B184" s="116" t="n"/>
      <c r="C184" s="116" t="n"/>
      <c r="D184" s="116" t="n"/>
      <c r="E184" s="116" t="n"/>
      <c r="F184" s="118" t="inlineStr">
        <is>
          <t>Rate Per Hour, Net</t>
        </is>
      </c>
      <c r="G184" s="116" t="n"/>
      <c r="H184" s="116" t="n"/>
      <c r="I184" s="116" t="n"/>
      <c r="J184" s="2030">
        <f>((J180)*((1)-(J181)))</f>
        <v/>
      </c>
      <c r="K184" s="2030" t="n"/>
      <c r="L184" s="2030">
        <f>((L180)*((1)-(L181)))</f>
        <v/>
      </c>
      <c r="M184" s="2030" t="n"/>
      <c r="N184" s="2030">
        <f>((N180)*((1)-(N181)))</f>
        <v/>
      </c>
      <c r="O184" s="2030" t="n"/>
      <c r="P184" s="2030">
        <f>((P180)*((1)-(P181)))</f>
        <v/>
      </c>
      <c r="Q184" s="2030" t="n"/>
      <c r="R184" s="2030">
        <f>((R180)*((1)-(R181)))</f>
        <v/>
      </c>
      <c r="S184" s="2030" t="n"/>
      <c r="T184" s="2030">
        <f>((T180)*((1)-(T181)))</f>
        <v/>
      </c>
      <c r="U184" s="2030" t="n"/>
      <c r="V184" s="2030">
        <f>((V180)*((1)-(V181)))</f>
        <v/>
      </c>
      <c r="W184" s="2030" t="n"/>
      <c r="X184" s="2030">
        <f>((X180)*((1)-(X181)))</f>
        <v/>
      </c>
      <c r="Y184" s="2030" t="n"/>
      <c r="Z184" s="2030">
        <f>((Z180)*((1)-(Z181)))</f>
        <v/>
      </c>
      <c r="AA184" s="2030" t="n"/>
      <c r="AB184" s="2030">
        <f>((AB180)*((1)-(AB181)))</f>
        <v/>
      </c>
      <c r="AC184" s="2030" t="n"/>
      <c r="AD184" s="2030">
        <f>((AD180)*((1)-(AD181)))</f>
        <v/>
      </c>
      <c r="AE184" s="2030" t="n"/>
      <c r="AF184" s="2030">
        <f>((AF180)*((1)-(AF181)))</f>
        <v/>
      </c>
      <c r="AG184" s="116" t="n"/>
      <c r="AH184" s="2030">
        <f>((AH180)*((1)-(AH181)))</f>
        <v/>
      </c>
    </row>
    <row r="185" ht="3" customHeight="1" s="1883">
      <c r="B185" s="116" t="n"/>
      <c r="C185" s="116" t="n"/>
      <c r="D185" s="116" t="n"/>
      <c r="E185" s="116" t="n"/>
      <c r="F185" s="116" t="n"/>
      <c r="G185" s="116" t="n"/>
      <c r="H185" s="116" t="n"/>
      <c r="I185" s="116" t="n"/>
      <c r="J185" s="121" t="n"/>
      <c r="K185" s="116" t="n"/>
      <c r="L185" s="121" t="n"/>
      <c r="M185" s="116" t="n"/>
      <c r="N185" s="121" t="n"/>
      <c r="O185" s="116" t="n"/>
      <c r="P185" s="121" t="n"/>
      <c r="Q185" s="116" t="n"/>
      <c r="R185" s="121" t="n"/>
      <c r="S185" s="116" t="n"/>
      <c r="T185" s="121" t="n"/>
      <c r="U185" s="116" t="n"/>
      <c r="V185" s="121" t="n"/>
      <c r="W185" s="116" t="n"/>
      <c r="X185" s="121" t="n"/>
      <c r="Y185" s="116" t="n"/>
      <c r="Z185" s="121" t="n"/>
      <c r="AA185" s="116" t="n"/>
      <c r="AB185" s="121" t="n"/>
      <c r="AC185" s="116" t="n"/>
      <c r="AD185" s="121" t="n"/>
      <c r="AE185" s="116" t="n"/>
      <c r="AF185" s="121" t="n"/>
      <c r="AG185" s="116" t="n"/>
      <c r="AH185" s="121" t="n"/>
    </row>
    <row r="186">
      <c r="B186" s="116" t="n"/>
      <c r="C186" s="116" t="n"/>
      <c r="D186" s="116" t="n"/>
      <c r="E186" s="116" t="n"/>
      <c r="F186" s="116" t="n"/>
      <c r="G186" s="116" t="n"/>
      <c r="H186" s="116" t="n"/>
      <c r="I186" s="116" t="n"/>
      <c r="J186" s="116" t="n"/>
      <c r="K186" s="116" t="n"/>
      <c r="L186" s="116" t="n"/>
      <c r="M186" s="116" t="n"/>
      <c r="N186" s="116" t="n"/>
      <c r="O186" s="116" t="n"/>
      <c r="P186" s="116" t="n"/>
      <c r="Q186" s="116" t="n"/>
      <c r="R186" s="116" t="n"/>
      <c r="S186" s="116" t="n"/>
      <c r="T186" s="116" t="n"/>
      <c r="U186" s="116" t="n"/>
      <c r="V186" s="116" t="n"/>
      <c r="W186" s="116" t="n"/>
      <c r="X186" s="116" t="n"/>
      <c r="Y186" s="116" t="n"/>
      <c r="Z186" s="116" t="n"/>
      <c r="AA186" s="116" t="n"/>
      <c r="AB186" s="116" t="n"/>
      <c r="AC186" s="116" t="n"/>
      <c r="AD186" s="116" t="n"/>
      <c r="AE186" s="116" t="n"/>
      <c r="AF186" s="116" t="n"/>
      <c r="AG186" s="116" t="n"/>
      <c r="AH186" s="116" t="n"/>
    </row>
    <row r="187">
      <c r="B187" s="116" t="n"/>
      <c r="C187" s="116" t="n"/>
      <c r="D187" s="116" t="n"/>
      <c r="E187" s="116" t="n"/>
      <c r="F187" s="116" t="n"/>
      <c r="G187" s="116" t="n"/>
      <c r="H187" s="116" t="n"/>
      <c r="I187" s="116" t="n"/>
      <c r="J187" s="116" t="n"/>
      <c r="K187" s="116" t="n"/>
      <c r="L187" s="116" t="n"/>
      <c r="M187" s="116" t="n"/>
      <c r="N187" s="116" t="n"/>
      <c r="O187" s="116" t="n"/>
      <c r="P187" s="116" t="n"/>
      <c r="Q187" s="116" t="n"/>
      <c r="R187" s="116" t="n"/>
      <c r="S187" s="116" t="n"/>
      <c r="T187" s="116" t="n"/>
      <c r="U187" s="116" t="n"/>
      <c r="V187" s="116" t="n"/>
      <c r="W187" s="116" t="n"/>
      <c r="X187" s="116" t="n"/>
      <c r="Y187" s="116" t="n"/>
      <c r="Z187" s="116" t="n"/>
      <c r="AA187" s="116" t="n"/>
      <c r="AB187" s="116" t="n"/>
      <c r="AC187" s="116" t="n"/>
      <c r="AD187" s="116" t="n"/>
      <c r="AE187" s="116" t="n"/>
      <c r="AF187" s="116" t="n"/>
      <c r="AG187" s="116" t="n"/>
      <c r="AH187" s="116" t="n"/>
    </row>
    <row r="188">
      <c r="B188" s="116" t="n"/>
      <c r="C188" s="116" t="n"/>
      <c r="D188" s="116" t="n"/>
      <c r="E188" s="116" t="n"/>
      <c r="F188" s="962" t="inlineStr">
        <is>
          <t>Gross Revenue</t>
        </is>
      </c>
      <c r="G188" s="116" t="n"/>
      <c r="H188" s="116" t="n"/>
      <c r="I188" s="116" t="n"/>
      <c r="J188" s="963">
        <f>((J175)*(J176)*(J184))</f>
        <v/>
      </c>
      <c r="K188" s="963">
        <f>((K175)*(K184))</f>
        <v/>
      </c>
      <c r="L188" s="963">
        <f>((L175)*(L176)*(L184))</f>
        <v/>
      </c>
      <c r="M188" s="963">
        <f>((M175)*(M184))</f>
        <v/>
      </c>
      <c r="N188" s="963">
        <f>((N175)*(N176)*(N184))</f>
        <v/>
      </c>
      <c r="O188" s="963">
        <f>((O175)*(O184))</f>
        <v/>
      </c>
      <c r="P188" s="963">
        <f>((P175)*(P176)*(P184))</f>
        <v/>
      </c>
      <c r="Q188" s="963">
        <f>((Q175)*(Q184))</f>
        <v/>
      </c>
      <c r="R188" s="963">
        <f>((R175)*(R176)*(R184))</f>
        <v/>
      </c>
      <c r="S188" s="963">
        <f>((S175)*(S184))</f>
        <v/>
      </c>
      <c r="T188" s="963">
        <f>((T175)*(T176)*(T184))</f>
        <v/>
      </c>
      <c r="U188" s="963">
        <f>((U175)*(U184))</f>
        <v/>
      </c>
      <c r="V188" s="963">
        <f>((V175)*(V176)*(V184))</f>
        <v/>
      </c>
      <c r="W188" s="963">
        <f>((W175)*(W184))</f>
        <v/>
      </c>
      <c r="X188" s="963">
        <f>((X175)*(X176)*(X184))</f>
        <v/>
      </c>
      <c r="Y188" s="963">
        <f>((Y175)*(Y184))</f>
        <v/>
      </c>
      <c r="Z188" s="963">
        <f>((Z175)*(Z176)*(Z184))</f>
        <v/>
      </c>
      <c r="AA188" s="963">
        <f>((AA175)*(AA184))</f>
        <v/>
      </c>
      <c r="AB188" s="963">
        <f>((AB175)*(AB176)*(AB184))</f>
        <v/>
      </c>
      <c r="AC188" s="963">
        <f>((AC175)*(AC184))</f>
        <v/>
      </c>
      <c r="AD188" s="963">
        <f>((AD175)*(AD176)*(AD184))</f>
        <v/>
      </c>
      <c r="AE188" s="963">
        <f>((AE175)*(AE184))</f>
        <v/>
      </c>
      <c r="AF188" s="963">
        <f>((AF175)*(AF176)*(AF184))</f>
        <v/>
      </c>
      <c r="AG188" s="116" t="n"/>
      <c r="AH188" s="963">
        <f>((AH175)*(AH176)*(AH184))</f>
        <v/>
      </c>
    </row>
    <row r="189">
      <c r="B189" s="116" t="n"/>
      <c r="C189" s="116" t="n"/>
      <c r="D189" s="116" t="n"/>
      <c r="E189" s="116" t="n"/>
      <c r="F189" s="116" t="n"/>
      <c r="G189" s="116" t="n"/>
      <c r="H189" s="116" t="n"/>
      <c r="I189" s="116" t="n"/>
      <c r="J189" s="116" t="n"/>
      <c r="K189" s="116" t="n"/>
      <c r="L189" s="116" t="n"/>
      <c r="M189" s="116" t="n"/>
      <c r="N189" s="116" t="n"/>
      <c r="O189" s="116" t="n"/>
      <c r="P189" s="116" t="n"/>
      <c r="Q189" s="116" t="n"/>
      <c r="R189" s="116" t="n"/>
      <c r="S189" s="116" t="n"/>
      <c r="T189" s="116" t="n"/>
      <c r="U189" s="116" t="n"/>
      <c r="V189" s="116" t="n"/>
      <c r="W189" s="116" t="n"/>
      <c r="X189" s="116" t="n"/>
      <c r="Y189" s="116" t="n"/>
      <c r="Z189" s="116" t="n"/>
      <c r="AA189" s="116" t="n"/>
      <c r="AB189" s="116" t="n"/>
      <c r="AC189" s="116" t="n"/>
      <c r="AD189" s="116" t="n"/>
      <c r="AE189" s="116" t="n"/>
      <c r="AF189" s="116" t="n"/>
      <c r="AG189" s="116" t="n"/>
      <c r="AH189" s="116" t="n"/>
    </row>
    <row r="190">
      <c r="B190" s="116" t="n"/>
      <c r="C190" s="116" t="n"/>
      <c r="D190" s="116" t="n"/>
      <c r="E190" s="116" t="n"/>
      <c r="F190" s="116" t="n"/>
      <c r="G190" s="116" t="n"/>
      <c r="H190" s="116" t="n"/>
      <c r="I190" s="116" t="n"/>
      <c r="J190" s="116" t="n"/>
      <c r="K190" s="116" t="n"/>
      <c r="L190" s="116" t="n"/>
      <c r="M190" s="116" t="n"/>
      <c r="N190" s="116" t="n"/>
      <c r="O190" s="116" t="n"/>
      <c r="P190" s="116" t="n"/>
      <c r="Q190" s="116" t="n"/>
      <c r="R190" s="116" t="n"/>
      <c r="S190" s="116" t="n"/>
      <c r="T190" s="116" t="n"/>
      <c r="U190" s="116" t="n"/>
      <c r="V190" s="116" t="n"/>
      <c r="W190" s="116" t="n"/>
      <c r="X190" s="116" t="n"/>
      <c r="Y190" s="116" t="n"/>
      <c r="Z190" s="116" t="n"/>
      <c r="AA190" s="116" t="n"/>
      <c r="AB190" s="116" t="n"/>
      <c r="AC190" s="116" t="n"/>
      <c r="AD190" s="116" t="n"/>
      <c r="AE190" s="116" t="n"/>
      <c r="AF190" s="116" t="n"/>
      <c r="AG190" s="116" t="n"/>
      <c r="AH190" s="116" t="n"/>
    </row>
    <row r="191">
      <c r="B191" s="116" t="n"/>
      <c r="C191" s="116" t="n"/>
      <c r="D191" s="116" t="n"/>
      <c r="E191" s="116" t="n"/>
      <c r="F191" s="116" t="n"/>
      <c r="G191" s="116" t="n"/>
      <c r="H191" s="116" t="n"/>
      <c r="I191" s="116" t="n"/>
      <c r="J191" s="1915" t="inlineStr">
        <is>
          <t>Year 4 - Steady State</t>
        </is>
      </c>
    </row>
    <row r="194">
      <c r="B194" s="116" t="n"/>
      <c r="C194" s="116" t="n"/>
      <c r="D194" s="116" t="n"/>
      <c r="E194" s="116" t="n"/>
      <c r="F194" s="116" t="n"/>
      <c r="G194" s="116" t="n"/>
      <c r="H194" s="116" t="n"/>
      <c r="I194" s="116" t="n"/>
      <c r="J194" s="117" t="inlineStr">
        <is>
          <t>Month 37</t>
        </is>
      </c>
      <c r="K194" s="117" t="n"/>
      <c r="L194" s="117" t="inlineStr">
        <is>
          <t>Month 38</t>
        </is>
      </c>
      <c r="M194" s="117" t="n"/>
      <c r="N194" s="117" t="inlineStr">
        <is>
          <t>Month 39</t>
        </is>
      </c>
      <c r="O194" s="117" t="n"/>
      <c r="P194" s="117" t="inlineStr">
        <is>
          <t>Month 40</t>
        </is>
      </c>
      <c r="Q194" s="117" t="n"/>
      <c r="R194" s="117" t="inlineStr">
        <is>
          <t>Month 41</t>
        </is>
      </c>
      <c r="S194" s="117" t="n"/>
      <c r="T194" s="117" t="inlineStr">
        <is>
          <t>Month 42</t>
        </is>
      </c>
      <c r="U194" s="117" t="n"/>
      <c r="V194" s="117" t="inlineStr">
        <is>
          <t>Month 43</t>
        </is>
      </c>
      <c r="W194" s="117" t="n"/>
      <c r="X194" s="117" t="inlineStr">
        <is>
          <t>Month 44</t>
        </is>
      </c>
      <c r="Y194" s="117" t="n"/>
      <c r="Z194" s="117" t="inlineStr">
        <is>
          <t>Month 45</t>
        </is>
      </c>
      <c r="AA194" s="117" t="n"/>
      <c r="AB194" s="117" t="inlineStr">
        <is>
          <t>Month 46</t>
        </is>
      </c>
      <c r="AC194" s="117" t="n"/>
      <c r="AD194" s="117" t="inlineStr">
        <is>
          <t>Month 47</t>
        </is>
      </c>
      <c r="AE194" s="117" t="n"/>
      <c r="AF194" s="117" t="inlineStr">
        <is>
          <t>Month 48</t>
        </is>
      </c>
      <c r="AG194" s="116" t="n"/>
      <c r="AH194" s="117" t="inlineStr">
        <is>
          <t>Ʃ, Year 4</t>
        </is>
      </c>
    </row>
    <row r="195" ht="3" customHeight="1" s="1883">
      <c r="B195" s="116" t="n"/>
      <c r="C195" s="116" t="n"/>
      <c r="D195" s="116" t="n"/>
      <c r="E195" s="116" t="n"/>
      <c r="F195" s="116" t="n"/>
      <c r="G195" s="116" t="n"/>
      <c r="H195" s="116" t="n"/>
      <c r="I195" s="116" t="n"/>
      <c r="J195" s="950" t="n"/>
      <c r="K195" s="116" t="n"/>
      <c r="L195" s="950" t="n"/>
      <c r="M195" s="116" t="n"/>
      <c r="N195" s="950" t="n"/>
      <c r="O195" s="116" t="n"/>
      <c r="P195" s="950" t="n"/>
      <c r="Q195" s="116" t="n"/>
      <c r="R195" s="950" t="n"/>
      <c r="S195" s="116" t="n"/>
      <c r="T195" s="950" t="n"/>
      <c r="U195" s="116" t="n"/>
      <c r="V195" s="950" t="n"/>
      <c r="W195" s="116" t="n"/>
      <c r="X195" s="950" t="n"/>
      <c r="Y195" s="116" t="n"/>
      <c r="Z195" s="950" t="n"/>
      <c r="AA195" s="116" t="n"/>
      <c r="AB195" s="950" t="n"/>
      <c r="AC195" s="116" t="n"/>
      <c r="AD195" s="950" t="n"/>
      <c r="AE195" s="116" t="n"/>
      <c r="AF195" s="950" t="n"/>
      <c r="AG195" s="116" t="n"/>
      <c r="AH195" s="950" t="n"/>
    </row>
    <row r="196" ht="3" customHeight="1" s="1883">
      <c r="B196" s="116" t="n"/>
      <c r="C196" s="116" t="n"/>
      <c r="D196" s="116" t="n"/>
      <c r="E196" s="116" t="n"/>
      <c r="F196" s="116" t="n"/>
      <c r="G196" s="116" t="n"/>
      <c r="H196" s="116" t="n"/>
      <c r="I196" s="116" t="n"/>
      <c r="J196" s="116" t="n"/>
      <c r="K196" s="116" t="n"/>
      <c r="L196" s="116" t="n"/>
      <c r="M196" s="116" t="n"/>
      <c r="N196" s="116" t="n"/>
      <c r="O196" s="116" t="n"/>
      <c r="P196" s="116" t="n"/>
      <c r="Q196" s="116" t="n"/>
      <c r="R196" s="116" t="n"/>
      <c r="S196" s="116" t="n"/>
      <c r="T196" s="116" t="n"/>
      <c r="U196" s="116" t="n"/>
      <c r="V196" s="116" t="n"/>
      <c r="W196" s="116" t="n"/>
      <c r="X196" s="116" t="n"/>
      <c r="Y196" s="116" t="n"/>
      <c r="Z196" s="116" t="n"/>
      <c r="AA196" s="116" t="n"/>
      <c r="AB196" s="116" t="n"/>
      <c r="AC196" s="116" t="n"/>
      <c r="AD196" s="116" t="n"/>
      <c r="AE196" s="116" t="n"/>
      <c r="AF196" s="116" t="n"/>
      <c r="AG196" s="116" t="n"/>
      <c r="AH196" s="116" t="n"/>
    </row>
    <row r="197">
      <c r="B197" s="118" t="inlineStr">
        <is>
          <t>Revenue Drivers</t>
        </is>
      </c>
      <c r="C197" s="118" t="n"/>
      <c r="D197" s="116" t="n"/>
      <c r="E197" s="116" t="n"/>
      <c r="F197" s="116" t="n"/>
      <c r="G197" s="116" t="n"/>
      <c r="H197" s="116" t="n"/>
      <c r="I197" s="116" t="n"/>
      <c r="J197" s="116" t="n"/>
      <c r="K197" s="116" t="n"/>
      <c r="L197" s="116" t="n"/>
      <c r="M197" s="116" t="n"/>
      <c r="N197" s="116" t="n"/>
      <c r="O197" s="116" t="n"/>
      <c r="P197" s="116" t="n"/>
      <c r="Q197" s="116" t="n"/>
      <c r="R197" s="116" t="n"/>
      <c r="S197" s="116" t="n"/>
      <c r="T197" s="116" t="n"/>
      <c r="U197" s="116" t="n"/>
      <c r="V197" s="116" t="n"/>
      <c r="W197" s="116" t="n"/>
      <c r="X197" s="116" t="n"/>
      <c r="Y197" s="116" t="n"/>
      <c r="Z197" s="116" t="n"/>
      <c r="AA197" s="116" t="n"/>
      <c r="AB197" s="116" t="n"/>
      <c r="AC197" s="116" t="n"/>
      <c r="AD197" s="116" t="n"/>
      <c r="AE197" s="116" t="n"/>
      <c r="AF197" s="116" t="n"/>
      <c r="AG197" s="116" t="n"/>
      <c r="AH197" s="116" t="n"/>
    </row>
    <row r="198" ht="4.5" customHeight="1" s="1883">
      <c r="B198" s="116" t="n"/>
      <c r="C198" s="116" t="n"/>
      <c r="D198" s="116" t="n"/>
      <c r="E198" s="116" t="n"/>
      <c r="F198" s="116" t="n"/>
      <c r="G198" s="116" t="n"/>
      <c r="H198" s="116" t="n"/>
      <c r="I198" s="116" t="n"/>
      <c r="J198" s="116" t="n"/>
      <c r="K198" s="116" t="n"/>
      <c r="L198" s="116" t="n"/>
      <c r="M198" s="116" t="n"/>
      <c r="N198" s="116" t="n"/>
      <c r="O198" s="116" t="n"/>
      <c r="P198" s="116" t="n"/>
      <c r="Q198" s="116" t="n"/>
      <c r="R198" s="116" t="n"/>
      <c r="S198" s="116" t="n"/>
      <c r="T198" s="116" t="n"/>
      <c r="U198" s="116" t="n"/>
      <c r="V198" s="116" t="n"/>
      <c r="W198" s="116" t="n"/>
      <c r="X198" s="116" t="n"/>
      <c r="Y198" s="116" t="n"/>
      <c r="Z198" s="116" t="n"/>
      <c r="AA198" s="116" t="n"/>
      <c r="AB198" s="116" t="n"/>
      <c r="AC198" s="116" t="n"/>
      <c r="AD198" s="116" t="n"/>
      <c r="AE198" s="116" t="n"/>
      <c r="AF198" s="116" t="n"/>
      <c r="AG198" s="116" t="n"/>
      <c r="AH198" s="116" t="n"/>
    </row>
    <row r="199">
      <c r="B199" s="120" t="inlineStr">
        <is>
          <t>I.</t>
        </is>
      </c>
      <c r="C199" s="116" t="n"/>
      <c r="D199" s="118" t="inlineStr">
        <is>
          <t>Deployed Units</t>
        </is>
      </c>
      <c r="E199" s="116" t="n"/>
      <c r="F199" s="116" t="n"/>
      <c r="G199" s="116" t="n"/>
      <c r="H199" s="116" t="n"/>
      <c r="I199" s="116" t="n"/>
      <c r="J199" s="116" t="n"/>
      <c r="K199" s="116" t="n"/>
      <c r="L199" s="116" t="n"/>
      <c r="M199" s="116" t="n"/>
      <c r="N199" s="116" t="n"/>
      <c r="O199" s="116" t="n"/>
      <c r="P199" s="116" t="n"/>
      <c r="Q199" s="116" t="n"/>
      <c r="R199" s="116" t="n"/>
      <c r="S199" s="116" t="n"/>
      <c r="T199" s="116" t="n"/>
      <c r="U199" s="116" t="n"/>
      <c r="V199" s="116" t="n"/>
      <c r="W199" s="116" t="n"/>
      <c r="X199" s="116" t="n"/>
      <c r="Y199" s="116" t="n"/>
      <c r="Z199" s="116" t="n"/>
      <c r="AA199" s="116" t="n"/>
      <c r="AB199" s="116" t="n"/>
      <c r="AC199" s="116" t="n"/>
      <c r="AD199" s="116" t="n"/>
      <c r="AE199" s="116" t="n"/>
      <c r="AF199" s="116" t="n"/>
      <c r="AG199" s="116" t="n"/>
      <c r="AH199" s="116" t="n"/>
    </row>
    <row r="200">
      <c r="B200" s="116" t="n"/>
      <c r="C200" s="116" t="n"/>
      <c r="D200" s="116" t="n"/>
      <c r="E200" s="116" t="inlineStr">
        <is>
          <t>Deployed Units, Beginning</t>
        </is>
      </c>
      <c r="F200" s="116" t="n"/>
      <c r="G200" s="116" t="n"/>
      <c r="H200" s="116" t="n"/>
      <c r="I200" s="116" t="n"/>
      <c r="J200" s="122">
        <f>(AH165)</f>
        <v/>
      </c>
      <c r="K200" s="122" t="n"/>
      <c r="L200" s="122">
        <f>(J205)</f>
        <v/>
      </c>
      <c r="M200" s="122" t="n"/>
      <c r="N200" s="122">
        <f>(L205)</f>
        <v/>
      </c>
      <c r="O200" s="122" t="n"/>
      <c r="P200" s="122">
        <f>(N205)</f>
        <v/>
      </c>
      <c r="Q200" s="122" t="n"/>
      <c r="R200" s="122">
        <f>(P205)</f>
        <v/>
      </c>
      <c r="S200" s="122" t="n"/>
      <c r="T200" s="122">
        <f>(R205)</f>
        <v/>
      </c>
      <c r="U200" s="122" t="n"/>
      <c r="V200" s="122">
        <f>(T205)</f>
        <v/>
      </c>
      <c r="W200" s="122" t="n"/>
      <c r="X200" s="122">
        <f>(V205)</f>
        <v/>
      </c>
      <c r="Y200" s="122" t="n"/>
      <c r="Z200" s="122">
        <f>(X205)</f>
        <v/>
      </c>
      <c r="AA200" s="122" t="n"/>
      <c r="AB200" s="122">
        <f>(Z205)</f>
        <v/>
      </c>
      <c r="AC200" s="122" t="n"/>
      <c r="AD200" s="122">
        <f>(AB205)</f>
        <v/>
      </c>
      <c r="AE200" s="122" t="n"/>
      <c r="AF200" s="122">
        <f>(AD205)</f>
        <v/>
      </c>
      <c r="AG200" s="122" t="n"/>
      <c r="AH200" s="123">
        <f>(J200)</f>
        <v/>
      </c>
    </row>
    <row r="201">
      <c r="B201" s="116" t="n"/>
      <c r="C201" s="116" t="n"/>
      <c r="D201" s="116" t="n"/>
      <c r="E201" s="116" t="inlineStr">
        <is>
          <t>Service Additions</t>
        </is>
      </c>
      <c r="F201" s="116" t="n"/>
      <c r="G201" s="116" t="n"/>
      <c r="H201" s="116" t="n"/>
      <c r="I201" s="116" t="n"/>
      <c r="J201" s="122">
        <f>'3F. Revenue &amp; COGS Assumptions'!G15</f>
        <v/>
      </c>
      <c r="K201" s="122" t="n"/>
      <c r="L201" s="122">
        <f>'3F. Revenue &amp; COGS Assumptions'!H15</f>
        <v/>
      </c>
      <c r="M201" s="122" t="n"/>
      <c r="N201" s="122">
        <f>'3F. Revenue &amp; COGS Assumptions'!I15</f>
        <v/>
      </c>
      <c r="O201" s="122" t="n"/>
      <c r="P201" s="122">
        <f>'3F. Revenue &amp; COGS Assumptions'!J15</f>
        <v/>
      </c>
      <c r="Q201" s="122" t="n"/>
      <c r="R201" s="122">
        <f>'3F. Revenue &amp; COGS Assumptions'!K15</f>
        <v/>
      </c>
      <c r="S201" s="122" t="n"/>
      <c r="T201" s="122">
        <f>'3F. Revenue &amp; COGS Assumptions'!L15</f>
        <v/>
      </c>
      <c r="U201" s="122" t="n"/>
      <c r="V201" s="122">
        <f>'3F. Revenue &amp; COGS Assumptions'!M15</f>
        <v/>
      </c>
      <c r="W201" s="122" t="n"/>
      <c r="X201" s="122">
        <f>'3F. Revenue &amp; COGS Assumptions'!N15</f>
        <v/>
      </c>
      <c r="Y201" s="122" t="n"/>
      <c r="Z201" s="122">
        <f>'3F. Revenue &amp; COGS Assumptions'!O15</f>
        <v/>
      </c>
      <c r="AA201" s="122" t="n"/>
      <c r="AB201" s="122">
        <f>'3F. Revenue &amp; COGS Assumptions'!P15</f>
        <v/>
      </c>
      <c r="AC201" s="122" t="n"/>
      <c r="AD201" s="122">
        <f>'3F. Revenue &amp; COGS Assumptions'!Q15</f>
        <v/>
      </c>
      <c r="AE201" s="122" t="n"/>
      <c r="AF201" s="122">
        <f>'3F. Revenue &amp; COGS Assumptions'!R15</f>
        <v/>
      </c>
      <c r="AG201" s="122" t="n"/>
      <c r="AH201" s="123">
        <f>((J201)+(L201)+(N201)+(P201)+(R201)+(T201)+(V201)+(X201)+(Z201)+(AB201)+(AD201)+(AF201))</f>
        <v/>
      </c>
    </row>
    <row r="202">
      <c r="B202" s="116" t="n"/>
      <c r="C202" s="116" t="n"/>
      <c r="D202" s="116" t="n"/>
      <c r="E202" s="129" t="inlineStr">
        <is>
          <t>Service Attrition</t>
        </is>
      </c>
      <c r="F202" s="129" t="n"/>
      <c r="G202" s="129" t="n"/>
      <c r="H202" s="129" t="n"/>
      <c r="I202" s="129" t="n"/>
      <c r="J202" s="124">
        <f>'3E. Tel. Attrit. Renew. Reward'!AQ100</f>
        <v/>
      </c>
      <c r="K202" s="953" t="n"/>
      <c r="L202" s="124">
        <f>'3E. Tel. Attrit. Renew. Reward'!AR100</f>
        <v/>
      </c>
      <c r="M202" s="953" t="n"/>
      <c r="N202" s="124">
        <f>'3E. Tel. Attrit. Renew. Reward'!AS100</f>
        <v/>
      </c>
      <c r="O202" s="953" t="n"/>
      <c r="P202" s="124">
        <f>'3E. Tel. Attrit. Renew. Reward'!AT100</f>
        <v/>
      </c>
      <c r="Q202" s="953" t="n"/>
      <c r="R202" s="124">
        <f>'3E. Tel. Attrit. Renew. Reward'!AU100</f>
        <v/>
      </c>
      <c r="S202" s="953" t="n"/>
      <c r="T202" s="124">
        <f>'3E. Tel. Attrit. Renew. Reward'!AV100</f>
        <v/>
      </c>
      <c r="U202" s="953" t="n"/>
      <c r="V202" s="124">
        <f>'3E. Tel. Attrit. Renew. Reward'!AW100</f>
        <v/>
      </c>
      <c r="W202" s="953" t="n"/>
      <c r="X202" s="124">
        <f>'3E. Tel. Attrit. Renew. Reward'!AX100</f>
        <v/>
      </c>
      <c r="Y202" s="953" t="n"/>
      <c r="Z202" s="124">
        <f>'3E. Tel. Attrit. Renew. Reward'!AY100</f>
        <v/>
      </c>
      <c r="AA202" s="953" t="n"/>
      <c r="AB202" s="124">
        <f>'3E. Tel. Attrit. Renew. Reward'!AZ100</f>
        <v/>
      </c>
      <c r="AC202" s="953" t="n"/>
      <c r="AD202" s="124">
        <f>'3E. Tel. Attrit. Renew. Reward'!BA100</f>
        <v/>
      </c>
      <c r="AE202" s="953" t="n"/>
      <c r="AF202" s="124">
        <f>'3E. Tel. Attrit. Renew. Reward'!BB100</f>
        <v/>
      </c>
      <c r="AG202" s="130" t="n"/>
      <c r="AH202" s="954">
        <f>((J202)+(L202)+(N202)+(P202)+(R202)+(T202)+(V202)+(X202)+(Z202)+(AB202)+(AD202)+(AF202))</f>
        <v/>
      </c>
    </row>
    <row r="203" ht="3" customHeight="1" s="1883">
      <c r="B203" s="116" t="n"/>
      <c r="C203" s="116" t="n"/>
      <c r="D203" s="116" t="n"/>
      <c r="E203" s="116" t="n"/>
      <c r="F203" s="116" t="n"/>
      <c r="G203" s="116" t="n"/>
      <c r="H203" s="116" t="n"/>
      <c r="I203" s="116" t="n"/>
      <c r="J203" s="955" t="n"/>
      <c r="K203" s="122" t="n"/>
      <c r="L203" s="955" t="n"/>
      <c r="M203" s="122" t="n"/>
      <c r="N203" s="955" t="n"/>
      <c r="O203" s="122" t="n"/>
      <c r="P203" s="955" t="n"/>
      <c r="Q203" s="122" t="n"/>
      <c r="R203" s="955" t="n"/>
      <c r="S203" s="122" t="n"/>
      <c r="T203" s="955" t="n"/>
      <c r="U203" s="122" t="n"/>
      <c r="V203" s="955" t="n"/>
      <c r="W203" s="122" t="n"/>
      <c r="X203" s="955" t="n"/>
      <c r="Y203" s="122" t="n"/>
      <c r="Z203" s="955" t="n"/>
      <c r="AA203" s="122" t="n"/>
      <c r="AB203" s="955" t="n"/>
      <c r="AC203" s="122" t="n"/>
      <c r="AD203" s="955" t="n"/>
      <c r="AE203" s="122" t="n"/>
      <c r="AF203" s="955" t="n"/>
      <c r="AG203" s="122" t="n"/>
      <c r="AH203" s="955" t="n"/>
    </row>
    <row r="204" ht="3" customHeight="1" s="1883">
      <c r="B204" s="116" t="n"/>
      <c r="C204" s="116" t="n"/>
      <c r="D204" s="116" t="n"/>
      <c r="E204" s="116" t="n"/>
      <c r="F204" s="116" t="n"/>
      <c r="G204" s="116" t="n"/>
      <c r="H204" s="116" t="n"/>
      <c r="I204" s="116" t="n"/>
      <c r="J204" s="122" t="n"/>
      <c r="K204" s="122" t="n"/>
      <c r="L204" s="122" t="n"/>
      <c r="M204" s="122" t="n"/>
      <c r="N204" s="122" t="n"/>
      <c r="O204" s="122" t="n"/>
      <c r="P204" s="122" t="n"/>
      <c r="Q204" s="122" t="n"/>
      <c r="R204" s="122" t="n"/>
      <c r="S204" s="122" t="n"/>
      <c r="T204" s="122" t="n"/>
      <c r="U204" s="122" t="n"/>
      <c r="V204" s="122" t="n"/>
      <c r="W204" s="122" t="n"/>
      <c r="X204" s="122" t="n"/>
      <c r="Y204" s="122" t="n"/>
      <c r="Z204" s="122" t="n"/>
      <c r="AA204" s="122" t="n"/>
      <c r="AB204" s="122" t="n"/>
      <c r="AC204" s="122" t="n"/>
      <c r="AD204" s="122" t="n"/>
      <c r="AE204" s="122" t="n"/>
      <c r="AF204" s="122" t="n"/>
      <c r="AG204" s="122" t="n"/>
      <c r="AH204" s="122" t="n"/>
    </row>
    <row r="205">
      <c r="B205" s="116" t="n"/>
      <c r="C205" s="116" t="n"/>
      <c r="D205" s="116" t="n"/>
      <c r="E205" s="116" t="n"/>
      <c r="F205" s="118" t="inlineStr">
        <is>
          <t>Deployed Units, Ending</t>
        </is>
      </c>
      <c r="G205" s="116" t="n"/>
      <c r="H205" s="116" t="n"/>
      <c r="I205" s="116" t="n"/>
      <c r="J205" s="123">
        <f>((J200)+(J201)-(J202))</f>
        <v/>
      </c>
      <c r="K205" s="122" t="n"/>
      <c r="L205" s="123">
        <f>((L200)+(L201)-(L202))</f>
        <v/>
      </c>
      <c r="M205" s="122" t="n"/>
      <c r="N205" s="123">
        <f>((N200)+(N201)-(N202))</f>
        <v/>
      </c>
      <c r="O205" s="122" t="n"/>
      <c r="P205" s="123">
        <f>((P200)+(P201)-(P202))</f>
        <v/>
      </c>
      <c r="Q205" s="122" t="n"/>
      <c r="R205" s="123">
        <f>((R200)+(R201)-(R202))</f>
        <v/>
      </c>
      <c r="S205" s="122" t="n"/>
      <c r="T205" s="123">
        <f>((T200)+(T201)-(T202))</f>
        <v/>
      </c>
      <c r="U205" s="122" t="n"/>
      <c r="V205" s="123">
        <f>((V200)+(V201)-(V202))</f>
        <v/>
      </c>
      <c r="W205" s="122" t="n"/>
      <c r="X205" s="123">
        <f>((X200)+(X201)-(X202))</f>
        <v/>
      </c>
      <c r="Y205" s="122" t="n"/>
      <c r="Z205" s="123">
        <f>((Z200)+(Z201)-(Z202))</f>
        <v/>
      </c>
      <c r="AA205" s="122" t="n"/>
      <c r="AB205" s="123">
        <f>((AB200)+(AB201)-(AB202))</f>
        <v/>
      </c>
      <c r="AC205" s="122" t="n"/>
      <c r="AD205" s="123">
        <f>((AD200)+(AD201)-(AD202))</f>
        <v/>
      </c>
      <c r="AE205" s="122" t="n"/>
      <c r="AF205" s="123">
        <f>((AF200)+(AF201)-(AF202))</f>
        <v/>
      </c>
      <c r="AG205" s="122" t="n"/>
      <c r="AH205" s="123">
        <f>((AH200)+(AH201)-(AH202))</f>
        <v/>
      </c>
    </row>
    <row r="206" ht="3" customHeight="1" s="1883">
      <c r="B206" s="116" t="n"/>
      <c r="C206" s="116" t="n"/>
      <c r="D206" s="116" t="n"/>
      <c r="E206" s="116" t="n"/>
      <c r="F206" s="116" t="n"/>
      <c r="G206" s="116" t="n"/>
      <c r="H206" s="116" t="n"/>
      <c r="I206" s="116" t="n"/>
      <c r="J206" s="125" t="n"/>
      <c r="K206" s="122" t="n"/>
      <c r="L206" s="125" t="n"/>
      <c r="M206" s="122" t="n"/>
      <c r="N206" s="125" t="n"/>
      <c r="O206" s="122" t="n"/>
      <c r="P206" s="125" t="n"/>
      <c r="Q206" s="122" t="n"/>
      <c r="R206" s="125" t="n"/>
      <c r="S206" s="122" t="n"/>
      <c r="T206" s="125" t="n"/>
      <c r="U206" s="122" t="n"/>
      <c r="V206" s="125" t="n"/>
      <c r="W206" s="122" t="n"/>
      <c r="X206" s="125" t="n"/>
      <c r="Y206" s="122" t="n"/>
      <c r="Z206" s="125" t="n"/>
      <c r="AA206" s="122" t="n"/>
      <c r="AB206" s="125" t="n"/>
      <c r="AC206" s="122" t="n"/>
      <c r="AD206" s="125" t="n"/>
      <c r="AE206" s="122" t="n"/>
      <c r="AF206" s="125" t="n"/>
      <c r="AG206" s="122" t="n"/>
      <c r="AH206" s="125" t="n"/>
    </row>
    <row r="207">
      <c r="B207" s="116" t="n"/>
      <c r="C207" s="116" t="n"/>
      <c r="D207" s="116" t="n"/>
      <c r="E207" s="116" t="n"/>
      <c r="F207" s="116" t="n"/>
      <c r="G207" s="116" t="n"/>
      <c r="H207" s="116" t="n"/>
      <c r="I207" s="116" t="n"/>
      <c r="J207" s="122" t="n"/>
      <c r="K207" s="122" t="n"/>
      <c r="L207" s="122" t="n"/>
      <c r="M207" s="122" t="n"/>
      <c r="N207" s="122" t="n"/>
      <c r="O207" s="122" t="n"/>
      <c r="P207" s="122" t="n"/>
      <c r="Q207" s="122" t="n"/>
      <c r="R207" s="122" t="n"/>
      <c r="S207" s="122" t="n"/>
      <c r="T207" s="122" t="n"/>
      <c r="U207" s="122" t="n"/>
      <c r="V207" s="122" t="n"/>
      <c r="W207" s="122" t="n"/>
      <c r="X207" s="122" t="n"/>
      <c r="Y207" s="122" t="n"/>
      <c r="Z207" s="122" t="n"/>
      <c r="AA207" s="122" t="n"/>
      <c r="AB207" s="122" t="n"/>
      <c r="AC207" s="122" t="n"/>
      <c r="AD207" s="122" t="n"/>
      <c r="AE207" s="122" t="n"/>
      <c r="AF207" s="122" t="n"/>
      <c r="AG207" s="122" t="n"/>
      <c r="AH207" s="122" t="n"/>
    </row>
    <row r="208">
      <c r="B208" s="116" t="n"/>
      <c r="C208" s="116" t="n"/>
      <c r="D208" s="116" t="n"/>
      <c r="E208" s="116" t="n"/>
      <c r="F208" s="118" t="inlineStr">
        <is>
          <t>Deployed Units, Average</t>
        </is>
      </c>
      <c r="G208" s="116" t="n"/>
      <c r="H208" s="116" t="n"/>
      <c r="I208" s="116" t="n"/>
      <c r="J208" s="136">
        <f>(((J200)+(J205))/(2))</f>
        <v/>
      </c>
      <c r="K208" s="136" t="n"/>
      <c r="L208" s="136">
        <f>(((L200)+(L205))/(2))</f>
        <v/>
      </c>
      <c r="M208" s="136" t="n"/>
      <c r="N208" s="136">
        <f>(((N200)+(N205))/(2))</f>
        <v/>
      </c>
      <c r="O208" s="136" t="n"/>
      <c r="P208" s="136">
        <f>(((P200)+(P205))/(2))</f>
        <v/>
      </c>
      <c r="Q208" s="136" t="n"/>
      <c r="R208" s="136">
        <f>(((R200)+(R205))/(2))</f>
        <v/>
      </c>
      <c r="S208" s="136" t="n"/>
      <c r="T208" s="136">
        <f>(((T200)+(T205))/(2))</f>
        <v/>
      </c>
      <c r="U208" s="136" t="n"/>
      <c r="V208" s="136">
        <f>(((V200)+(V205))/(2))</f>
        <v/>
      </c>
      <c r="W208" s="136" t="n"/>
      <c r="X208" s="136">
        <f>(((X200)+(X205))/(2))</f>
        <v/>
      </c>
      <c r="Y208" s="136" t="n"/>
      <c r="Z208" s="136">
        <f>(((Z200)+(Z205))/(2))</f>
        <v/>
      </c>
      <c r="AA208" s="136" t="n"/>
      <c r="AB208" s="136">
        <f>(((AB200)+(AB205))/(2))</f>
        <v/>
      </c>
      <c r="AC208" s="136" t="n"/>
      <c r="AD208" s="136">
        <f>(((AD200)+(AD205))/(2))</f>
        <v/>
      </c>
      <c r="AE208" s="136" t="n"/>
      <c r="AF208" s="136">
        <f>(((AF200)+(AF205))/(2))</f>
        <v/>
      </c>
      <c r="AG208" s="136" t="n"/>
      <c r="AH208" s="136">
        <f>(((AH200)+(AH205))/(2))</f>
        <v/>
      </c>
    </row>
    <row r="212">
      <c r="B212" s="118" t="inlineStr">
        <is>
          <t>II.</t>
        </is>
      </c>
      <c r="C212" s="116" t="n"/>
      <c r="D212" s="118" t="inlineStr">
        <is>
          <t>Billable Time</t>
        </is>
      </c>
      <c r="E212" s="116" t="n"/>
      <c r="F212" s="116" t="n"/>
      <c r="G212" s="116" t="n"/>
      <c r="H212" s="116" t="n"/>
      <c r="I212" s="116" t="n"/>
      <c r="J212" s="116" t="n"/>
      <c r="K212" s="116" t="n"/>
      <c r="L212" s="116" t="n"/>
      <c r="M212" s="116" t="n"/>
      <c r="N212" s="116" t="n"/>
      <c r="O212" s="116" t="n"/>
      <c r="P212" s="116" t="n"/>
      <c r="Q212" s="116" t="n"/>
      <c r="R212" s="116" t="n"/>
      <c r="S212" s="116" t="n"/>
      <c r="T212" s="116" t="n"/>
      <c r="U212" s="116" t="n"/>
      <c r="V212" s="116" t="n"/>
      <c r="W212" s="116" t="n"/>
      <c r="X212" s="116" t="n"/>
      <c r="Y212" s="116" t="n"/>
      <c r="Z212" s="116" t="n"/>
      <c r="AA212" s="116" t="n"/>
      <c r="AB212" s="116" t="n"/>
      <c r="AC212" s="116" t="n"/>
      <c r="AD212" s="116" t="n"/>
      <c r="AE212" s="116" t="n"/>
      <c r="AF212" s="116" t="n"/>
      <c r="AG212" s="116" t="n"/>
      <c r="AH212" s="116" t="n"/>
    </row>
    <row r="213" ht="4.5" customHeight="1" s="1883">
      <c r="B213" s="116" t="n"/>
      <c r="C213" s="116" t="n"/>
      <c r="D213" s="116" t="n"/>
      <c r="E213" s="116" t="n"/>
      <c r="F213" s="116" t="n"/>
      <c r="G213" s="116" t="n"/>
      <c r="H213" s="116" t="n"/>
      <c r="I213" s="116" t="n"/>
      <c r="J213" s="116" t="n"/>
      <c r="K213" s="116" t="n"/>
      <c r="L213" s="116" t="n"/>
      <c r="M213" s="116" t="n"/>
      <c r="N213" s="116" t="n"/>
      <c r="O213" s="116" t="n"/>
      <c r="P213" s="116" t="n"/>
      <c r="Q213" s="116" t="n"/>
      <c r="R213" s="116" t="n"/>
      <c r="S213" s="116" t="n"/>
      <c r="T213" s="116" t="n"/>
      <c r="U213" s="116" t="n"/>
      <c r="V213" s="116" t="n"/>
      <c r="W213" s="116" t="n"/>
      <c r="X213" s="116" t="n"/>
      <c r="Y213" s="116" t="n"/>
      <c r="Z213" s="116" t="n"/>
      <c r="AA213" s="116" t="n"/>
      <c r="AB213" s="116" t="n"/>
      <c r="AC213" s="116" t="n"/>
      <c r="AD213" s="116" t="n"/>
      <c r="AE213" s="116" t="n"/>
      <c r="AF213" s="116" t="n"/>
      <c r="AG213" s="116" t="n"/>
      <c r="AH213" s="116" t="n"/>
    </row>
    <row r="214">
      <c r="B214" s="116" t="n"/>
      <c r="C214" s="116" t="n"/>
      <c r="D214" s="116" t="n"/>
      <c r="E214" s="131" t="inlineStr">
        <is>
          <t>Billable Time/Unit</t>
        </is>
      </c>
      <c r="F214" s="131" t="n"/>
      <c r="G214" s="131" t="n"/>
      <c r="H214" s="131" t="n"/>
      <c r="I214" s="131" t="n"/>
      <c r="J214" s="132">
        <f>L24</f>
        <v/>
      </c>
      <c r="K214" s="131" t="n"/>
      <c r="L214" s="132">
        <f>J214</f>
        <v/>
      </c>
      <c r="M214" s="131" t="n"/>
      <c r="N214" s="132">
        <f>L214</f>
        <v/>
      </c>
      <c r="O214" s="131" t="n"/>
      <c r="P214" s="132">
        <f>N214</f>
        <v/>
      </c>
      <c r="Q214" s="131" t="n"/>
      <c r="R214" s="132">
        <f>P214</f>
        <v/>
      </c>
      <c r="S214" s="131" t="n"/>
      <c r="T214" s="132">
        <f>R214</f>
        <v/>
      </c>
      <c r="U214" s="131" t="n"/>
      <c r="V214" s="132">
        <f>T214</f>
        <v/>
      </c>
      <c r="W214" s="131" t="n"/>
      <c r="X214" s="132">
        <f>V214</f>
        <v/>
      </c>
      <c r="Y214" s="131">
        <f>W214</f>
        <v/>
      </c>
      <c r="Z214" s="132">
        <f>X214</f>
        <v/>
      </c>
      <c r="AA214" s="131" t="n"/>
      <c r="AB214" s="132">
        <f>Z214</f>
        <v/>
      </c>
      <c r="AC214" s="131" t="n"/>
      <c r="AD214" s="132">
        <f>AB214</f>
        <v/>
      </c>
      <c r="AE214" s="131" t="n"/>
      <c r="AF214" s="132">
        <f>AD214</f>
        <v/>
      </c>
      <c r="AG214" s="131" t="n"/>
      <c r="AH214" s="131" t="n"/>
    </row>
    <row r="215">
      <c r="B215" s="116" t="n"/>
      <c r="C215" s="116" t="n"/>
      <c r="D215" s="116" t="n"/>
      <c r="E215" s="118" t="inlineStr">
        <is>
          <t>Total Billable Hours</t>
        </is>
      </c>
      <c r="F215" s="116" t="n"/>
      <c r="G215" s="116" t="n"/>
      <c r="H215" s="116" t="n"/>
      <c r="I215" s="116" t="n"/>
      <c r="J215" s="123">
        <f>(((J208)*(J214))/(60))</f>
        <v/>
      </c>
      <c r="K215" s="116" t="n"/>
      <c r="L215" s="123">
        <f>(((L208)*(L214))/(60))</f>
        <v/>
      </c>
      <c r="M215" s="116" t="n"/>
      <c r="N215" s="123">
        <f>(((N208)*(N214))/(60))</f>
        <v/>
      </c>
      <c r="O215" s="116" t="n"/>
      <c r="P215" s="123">
        <f>(((P208)*(P214))/(60))</f>
        <v/>
      </c>
      <c r="Q215" s="116" t="n"/>
      <c r="R215" s="123">
        <f>(((R208)*(R214))/(60))</f>
        <v/>
      </c>
      <c r="S215" s="116" t="n"/>
      <c r="T215" s="123">
        <f>(((T208)*(T214))/(60))</f>
        <v/>
      </c>
      <c r="U215" s="116" t="n"/>
      <c r="V215" s="123">
        <f>(((V208)*(V214))/(60))</f>
        <v/>
      </c>
      <c r="W215" s="116" t="n"/>
      <c r="X215" s="123">
        <f>(((X208)*(X214))/(60))</f>
        <v/>
      </c>
      <c r="Y215" s="116" t="n"/>
      <c r="Z215" s="123">
        <f>(((Z208)*(Z214))/(60))</f>
        <v/>
      </c>
      <c r="AA215" s="116" t="n"/>
      <c r="AB215" s="123">
        <f>(((AB208)*(AB214))/(60))</f>
        <v/>
      </c>
      <c r="AC215" s="116" t="n"/>
      <c r="AD215" s="123">
        <f>(((AD208)*(AD214))/(60))</f>
        <v/>
      </c>
      <c r="AE215" s="116" t="n"/>
      <c r="AF215" s="123">
        <f>(((AF208)*(AF214))/(60))</f>
        <v/>
      </c>
      <c r="AG215" s="116" t="n"/>
      <c r="AH215" s="123">
        <f>SUM(J215:AG215)</f>
        <v/>
      </c>
    </row>
    <row r="216">
      <c r="B216" s="116" t="n"/>
      <c r="C216" s="116" t="n"/>
      <c r="D216" s="116" t="n"/>
      <c r="E216" s="116" t="inlineStr">
        <is>
          <t>Billable Hour Conversion Rate</t>
        </is>
      </c>
      <c r="F216" s="116" t="n"/>
      <c r="G216" s="116" t="n"/>
      <c r="H216" s="116" t="n"/>
      <c r="I216" s="116" t="n"/>
      <c r="J216" s="142">
        <f>P24</f>
        <v/>
      </c>
      <c r="K216" s="149" t="n"/>
      <c r="L216" s="142">
        <f>J216</f>
        <v/>
      </c>
      <c r="M216" s="149" t="n"/>
      <c r="N216" s="142">
        <f>L216</f>
        <v/>
      </c>
      <c r="O216" s="149" t="n"/>
      <c r="P216" s="142">
        <f>N216</f>
        <v/>
      </c>
      <c r="Q216" s="149" t="n"/>
      <c r="R216" s="142">
        <f>P216</f>
        <v/>
      </c>
      <c r="S216" s="149" t="n"/>
      <c r="T216" s="142">
        <f>R216</f>
        <v/>
      </c>
      <c r="U216" s="149" t="n"/>
      <c r="V216" s="142">
        <f>T216</f>
        <v/>
      </c>
      <c r="W216" s="149" t="n"/>
      <c r="X216" s="142">
        <f>V216</f>
        <v/>
      </c>
      <c r="Y216" s="149" t="n"/>
      <c r="Z216" s="142">
        <f>X216</f>
        <v/>
      </c>
      <c r="AA216" s="149" t="n"/>
      <c r="AB216" s="142">
        <f>Z216</f>
        <v/>
      </c>
      <c r="AC216" s="149" t="n"/>
      <c r="AD216" s="142">
        <f>AB216</f>
        <v/>
      </c>
      <c r="AE216" s="149" t="n"/>
      <c r="AF216" s="142">
        <f>AD216</f>
        <v/>
      </c>
      <c r="AG216" s="149" t="n"/>
      <c r="AH216" s="142">
        <f>AF216</f>
        <v/>
      </c>
    </row>
    <row r="217">
      <c r="B217" s="116" t="n"/>
      <c r="C217" s="116" t="n"/>
      <c r="D217" s="116" t="n"/>
      <c r="E217" s="116" t="n"/>
      <c r="F217" s="116" t="n"/>
      <c r="G217" s="116" t="n"/>
      <c r="H217" s="116" t="n"/>
      <c r="I217" s="116" t="n"/>
      <c r="J217" s="116" t="n"/>
      <c r="K217" s="116" t="n"/>
      <c r="L217" s="116" t="n"/>
      <c r="M217" s="116" t="n"/>
      <c r="N217" s="116" t="n"/>
      <c r="O217" s="116" t="n"/>
      <c r="P217" s="116" t="n"/>
      <c r="Q217" s="116" t="n"/>
      <c r="R217" s="116" t="n"/>
      <c r="S217" s="116" t="n"/>
      <c r="T217" s="116" t="n"/>
      <c r="U217" s="116" t="n"/>
      <c r="V217" s="116" t="n"/>
      <c r="W217" s="116" t="n"/>
      <c r="X217" s="116" t="n"/>
      <c r="Y217" s="116" t="n"/>
      <c r="Z217" s="116" t="n"/>
      <c r="AA217" s="116" t="n"/>
      <c r="AB217" s="116" t="n"/>
      <c r="AC217" s="116" t="n"/>
      <c r="AD217" s="116" t="n"/>
      <c r="AE217" s="116" t="n"/>
      <c r="AF217" s="116" t="n"/>
      <c r="AG217" s="116" t="n"/>
      <c r="AH217" s="116" t="n"/>
    </row>
    <row r="218">
      <c r="B218" s="118" t="inlineStr">
        <is>
          <t>III.</t>
        </is>
      </c>
      <c r="C218" s="116" t="n"/>
      <c r="D218" s="118" t="inlineStr">
        <is>
          <t>Rate Per Hour</t>
        </is>
      </c>
      <c r="E218" s="116" t="n"/>
      <c r="F218" s="116" t="n"/>
      <c r="G218" s="116" t="n"/>
      <c r="H218" s="116" t="n"/>
      <c r="I218" s="116" t="n"/>
      <c r="J218" s="116" t="n"/>
      <c r="K218" s="116" t="n"/>
      <c r="L218" s="116" t="n"/>
      <c r="M218" s="116" t="n"/>
      <c r="N218" s="116" t="n"/>
      <c r="O218" s="116" t="n"/>
      <c r="P218" s="116" t="n"/>
      <c r="Q218" s="116" t="n"/>
      <c r="R218" s="116" t="n"/>
      <c r="S218" s="116" t="n"/>
      <c r="T218" s="116" t="n"/>
      <c r="U218" s="116" t="n"/>
      <c r="V218" s="116" t="n"/>
      <c r="W218" s="116" t="n"/>
      <c r="X218" s="116" t="n"/>
      <c r="Y218" s="116" t="n"/>
      <c r="Z218" s="116" t="n"/>
      <c r="AA218" s="116" t="n"/>
      <c r="AB218" s="116" t="n"/>
      <c r="AC218" s="116" t="n"/>
      <c r="AD218" s="116" t="n"/>
      <c r="AE218" s="116" t="n"/>
      <c r="AF218" s="116" t="n"/>
      <c r="AG218" s="116" t="n"/>
      <c r="AH218" s="116" t="n"/>
    </row>
    <row r="219" ht="4.5" customHeight="1" s="1883">
      <c r="B219" s="116" t="n"/>
      <c r="C219" s="116" t="n"/>
      <c r="D219" s="116" t="n"/>
      <c r="E219" s="116" t="n"/>
      <c r="F219" s="116" t="n"/>
      <c r="G219" s="116" t="n"/>
      <c r="H219" s="116" t="n"/>
      <c r="I219" s="116" t="n"/>
      <c r="J219" s="116" t="n"/>
      <c r="K219" s="116" t="n"/>
      <c r="L219" s="116" t="n"/>
      <c r="M219" s="116" t="n"/>
      <c r="N219" s="116" t="n"/>
      <c r="O219" s="116" t="n"/>
      <c r="P219" s="116" t="n"/>
      <c r="Q219" s="116" t="n"/>
      <c r="R219" s="116" t="n"/>
      <c r="S219" s="116" t="n"/>
      <c r="T219" s="116" t="n"/>
      <c r="U219" s="116" t="n"/>
      <c r="V219" s="116" t="n"/>
      <c r="W219" s="116" t="n"/>
      <c r="X219" s="116" t="n"/>
      <c r="Y219" s="116" t="n"/>
      <c r="Z219" s="116" t="n"/>
      <c r="AA219" s="116" t="n"/>
      <c r="AB219" s="116" t="n"/>
      <c r="AC219" s="116" t="n"/>
      <c r="AD219" s="116" t="n"/>
      <c r="AE219" s="116" t="n"/>
      <c r="AF219" s="116" t="n"/>
      <c r="AG219" s="116" t="n"/>
      <c r="AH219" s="116" t="n"/>
    </row>
    <row r="220">
      <c r="B220" s="116" t="n"/>
      <c r="C220" s="116" t="n"/>
      <c r="D220" s="116" t="n"/>
      <c r="E220" s="116" t="inlineStr">
        <is>
          <t>Gross</t>
        </is>
      </c>
      <c r="F220" s="116" t="n"/>
      <c r="G220" s="116" t="n"/>
      <c r="H220" s="116" t="n"/>
      <c r="I220" s="116" t="n"/>
      <c r="J220" s="2029">
        <f>($N$24)</f>
        <v/>
      </c>
      <c r="K220" s="2029" t="n"/>
      <c r="L220" s="2029">
        <f>J220</f>
        <v/>
      </c>
      <c r="M220" s="2029" t="n"/>
      <c r="N220" s="2029">
        <f>L220</f>
        <v/>
      </c>
      <c r="O220" s="2029" t="n"/>
      <c r="P220" s="2029">
        <f>N220</f>
        <v/>
      </c>
      <c r="Q220" s="2029" t="n"/>
      <c r="R220" s="2029">
        <f>P220</f>
        <v/>
      </c>
      <c r="S220" s="2029" t="n"/>
      <c r="T220" s="2029">
        <f>R220</f>
        <v/>
      </c>
      <c r="U220" s="2029" t="n"/>
      <c r="V220" s="2029">
        <f>T220</f>
        <v/>
      </c>
      <c r="W220" s="2029">
        <f>($N$21)</f>
        <v/>
      </c>
      <c r="X220" s="2029">
        <f>V220</f>
        <v/>
      </c>
      <c r="Y220" s="2029" t="n"/>
      <c r="Z220" s="2029">
        <f>X220</f>
        <v/>
      </c>
      <c r="AA220" s="2029" t="n"/>
      <c r="AB220" s="2029">
        <f>Z220</f>
        <v/>
      </c>
      <c r="AC220" s="2029" t="n"/>
      <c r="AD220" s="2029">
        <f>AB220</f>
        <v/>
      </c>
      <c r="AE220" s="2029" t="n"/>
      <c r="AF220" s="2029">
        <f>AD220</f>
        <v/>
      </c>
      <c r="AG220" s="2029" t="n"/>
      <c r="AH220" s="2029">
        <f>AF220</f>
        <v/>
      </c>
    </row>
    <row r="221">
      <c r="B221" s="116" t="n"/>
      <c r="C221" s="116" t="n"/>
      <c r="D221" s="116" t="n"/>
      <c r="E221" s="116" t="inlineStr">
        <is>
          <t>Discount</t>
        </is>
      </c>
      <c r="F221" s="116" t="n"/>
      <c r="G221" s="116" t="n"/>
      <c r="H221" s="116" t="n"/>
      <c r="I221" s="116" t="n"/>
      <c r="J221" s="119">
        <f>(($R$21))</f>
        <v/>
      </c>
      <c r="K221" s="119" t="n"/>
      <c r="L221" s="119">
        <f>(($R$21))</f>
        <v/>
      </c>
      <c r="M221" s="119" t="n"/>
      <c r="N221" s="119">
        <f>(($R$21))</f>
        <v/>
      </c>
      <c r="O221" s="119" t="n"/>
      <c r="P221" s="119">
        <f>(($R$21))</f>
        <v/>
      </c>
      <c r="Q221" s="964" t="n"/>
      <c r="R221" s="119">
        <f>(($R$21))</f>
        <v/>
      </c>
      <c r="S221" s="964" t="n"/>
      <c r="T221" s="119">
        <f>(($R$21))</f>
        <v/>
      </c>
      <c r="U221" s="119" t="n"/>
      <c r="V221" s="119">
        <f>(($R$21))</f>
        <v/>
      </c>
      <c r="W221" s="960" t="n"/>
      <c r="X221" s="119">
        <f>(($R$21))</f>
        <v/>
      </c>
      <c r="Y221" s="960" t="n"/>
      <c r="Z221" s="119">
        <f>(($R$21))</f>
        <v/>
      </c>
      <c r="AA221" s="119" t="n"/>
      <c r="AB221" s="119">
        <f>(($R$21))</f>
        <v/>
      </c>
      <c r="AC221" s="961" t="n"/>
      <c r="AD221" s="119">
        <f>(($R$21))</f>
        <v/>
      </c>
      <c r="AE221" s="961" t="n"/>
      <c r="AF221" s="119">
        <f>(($R$21))</f>
        <v/>
      </c>
      <c r="AG221" s="116" t="n"/>
      <c r="AH221" s="128">
        <f>(((J221)+(L221)+(N221)+(P221)+(R221)+(T221)+(V221)+(X221)+(Z221)+(AB221)+(AD221)+(AF221))/(12))</f>
        <v/>
      </c>
    </row>
    <row r="222" ht="3" customHeight="1" s="1883">
      <c r="B222" s="116" t="n"/>
      <c r="C222" s="116" t="n"/>
      <c r="D222" s="116" t="n"/>
      <c r="E222" s="116" t="n"/>
      <c r="F222" s="116" t="n"/>
      <c r="G222" s="116" t="n"/>
      <c r="H222" s="116" t="n"/>
      <c r="I222" s="116" t="n"/>
      <c r="J222" s="950" t="n"/>
      <c r="K222" s="116" t="n"/>
      <c r="L222" s="950" t="n"/>
      <c r="M222" s="116" t="n"/>
      <c r="N222" s="950" t="n"/>
      <c r="O222" s="116" t="n"/>
      <c r="P222" s="950" t="n"/>
      <c r="Q222" s="116" t="n"/>
      <c r="R222" s="950" t="n"/>
      <c r="S222" s="116" t="n"/>
      <c r="T222" s="950" t="n"/>
      <c r="U222" s="116" t="n"/>
      <c r="V222" s="950" t="n"/>
      <c r="W222" s="116" t="n"/>
      <c r="X222" s="950" t="n"/>
      <c r="Y222" s="116" t="n"/>
      <c r="Z222" s="950" t="n"/>
      <c r="AA222" s="116" t="n"/>
      <c r="AB222" s="950" t="n"/>
      <c r="AC222" s="116" t="n"/>
      <c r="AD222" s="950" t="n"/>
      <c r="AE222" s="116" t="n"/>
      <c r="AF222" s="950" t="n"/>
      <c r="AG222" s="116" t="n"/>
      <c r="AH222" s="950" t="n"/>
    </row>
    <row r="223" ht="3" customHeight="1" s="1883">
      <c r="B223" s="116" t="n"/>
      <c r="C223" s="116" t="n"/>
      <c r="D223" s="116" t="n"/>
      <c r="E223" s="116" t="n"/>
      <c r="F223" s="116" t="n"/>
      <c r="G223" s="116" t="n"/>
      <c r="H223" s="116" t="n"/>
      <c r="I223" s="116" t="n"/>
      <c r="J223" s="116" t="n"/>
      <c r="K223" s="116" t="n"/>
      <c r="L223" s="116" t="n"/>
      <c r="M223" s="116" t="n"/>
      <c r="N223" s="116" t="n"/>
      <c r="O223" s="116" t="n"/>
      <c r="P223" s="116" t="n"/>
      <c r="Q223" s="116" t="n"/>
      <c r="R223" s="116" t="n"/>
      <c r="S223" s="116" t="n"/>
      <c r="T223" s="116" t="n"/>
      <c r="U223" s="116" t="n"/>
      <c r="V223" s="116" t="n"/>
      <c r="W223" s="116" t="n"/>
      <c r="X223" s="116" t="n"/>
      <c r="Y223" s="116" t="n"/>
      <c r="Z223" s="116" t="n"/>
      <c r="AA223" s="116" t="n"/>
      <c r="AB223" s="116" t="n"/>
      <c r="AC223" s="116" t="n"/>
      <c r="AD223" s="116" t="n"/>
      <c r="AE223" s="116" t="n"/>
      <c r="AF223" s="116" t="n"/>
      <c r="AG223" s="116" t="n"/>
      <c r="AH223" s="116" t="n"/>
    </row>
    <row r="224">
      <c r="B224" s="116" t="n"/>
      <c r="C224" s="116" t="n"/>
      <c r="D224" s="116" t="n"/>
      <c r="E224" s="116" t="n"/>
      <c r="F224" s="118" t="inlineStr">
        <is>
          <t>Rate Per Hour, Net</t>
        </is>
      </c>
      <c r="G224" s="116" t="n"/>
      <c r="H224" s="116" t="n"/>
      <c r="I224" s="116" t="n"/>
      <c r="J224" s="2030">
        <f>((J220)*((1)-(J221)))</f>
        <v/>
      </c>
      <c r="K224" s="2030" t="n"/>
      <c r="L224" s="2030">
        <f>((L220)*((1)-(L221)))</f>
        <v/>
      </c>
      <c r="M224" s="2030" t="n"/>
      <c r="N224" s="2030">
        <f>((N220)*((1)-(N221)))</f>
        <v/>
      </c>
      <c r="O224" s="2030" t="n"/>
      <c r="P224" s="2030">
        <f>((P220)*((1)-(P221)))</f>
        <v/>
      </c>
      <c r="Q224" s="2030" t="n"/>
      <c r="R224" s="2030">
        <f>((R220)*((1)-(R221)))</f>
        <v/>
      </c>
      <c r="S224" s="2030" t="n"/>
      <c r="T224" s="2030">
        <f>((T220)*((1)-(T221)))</f>
        <v/>
      </c>
      <c r="U224" s="2030" t="n"/>
      <c r="V224" s="2030">
        <f>((V220)*((1)-(V221)))</f>
        <v/>
      </c>
      <c r="W224" s="2030" t="n"/>
      <c r="X224" s="2030">
        <f>((X220)*((1)-(X221)))</f>
        <v/>
      </c>
      <c r="Y224" s="2030" t="n"/>
      <c r="Z224" s="2030">
        <f>((Z220)*((1)-(Z221)))</f>
        <v/>
      </c>
      <c r="AA224" s="2030" t="n"/>
      <c r="AB224" s="2030">
        <f>((AB220)*((1)-(AB221)))</f>
        <v/>
      </c>
      <c r="AC224" s="2030" t="n"/>
      <c r="AD224" s="2030">
        <f>((AD220)*((1)-(AD221)))</f>
        <v/>
      </c>
      <c r="AE224" s="2030" t="n"/>
      <c r="AF224" s="2030">
        <f>((AF220)*((1)-(AF221)))</f>
        <v/>
      </c>
      <c r="AG224" s="116" t="n"/>
      <c r="AH224" s="2030">
        <f>((AH220)*((1)-(AH221)))</f>
        <v/>
      </c>
    </row>
    <row r="228">
      <c r="B228" s="116" t="n"/>
      <c r="C228" s="116" t="n"/>
      <c r="D228" s="116" t="n"/>
      <c r="E228" s="116" t="n"/>
      <c r="F228" s="962" t="inlineStr">
        <is>
          <t>Gross Revenue</t>
        </is>
      </c>
      <c r="G228" s="116" t="n"/>
      <c r="H228" s="116" t="n"/>
      <c r="I228" s="116" t="n"/>
      <c r="J228" s="963">
        <f>((J215)*(J216)*(J224))</f>
        <v/>
      </c>
      <c r="K228" s="963">
        <f>((K215)*(K224))</f>
        <v/>
      </c>
      <c r="L228" s="963">
        <f>((L215)*(L216)*(L224))</f>
        <v/>
      </c>
      <c r="M228" s="963">
        <f>((M215)*(M224))</f>
        <v/>
      </c>
      <c r="N228" s="963">
        <f>((N215)*(N216)*(N224))</f>
        <v/>
      </c>
      <c r="O228" s="963">
        <f>((O215)*(O224))</f>
        <v/>
      </c>
      <c r="P228" s="963">
        <f>((P215)*(P216)*(P224))</f>
        <v/>
      </c>
      <c r="Q228" s="963">
        <f>((Q215)*(Q224))</f>
        <v/>
      </c>
      <c r="R228" s="963">
        <f>((R215)*(R216)*(R224))</f>
        <v/>
      </c>
      <c r="S228" s="963">
        <f>((S215)*(S224))</f>
        <v/>
      </c>
      <c r="T228" s="963">
        <f>((T215)*(T216)*(T224))</f>
        <v/>
      </c>
      <c r="U228" s="963">
        <f>((U215)*(U224))</f>
        <v/>
      </c>
      <c r="V228" s="963">
        <f>((V215)*(V216)*(V224))</f>
        <v/>
      </c>
      <c r="W228" s="963">
        <f>((W215)*(W224))</f>
        <v/>
      </c>
      <c r="X228" s="963">
        <f>((X215)*(X216)*(X224))</f>
        <v/>
      </c>
      <c r="Y228" s="963">
        <f>((Y215)*(Y224))</f>
        <v/>
      </c>
      <c r="Z228" s="963">
        <f>((Z215)*(Z216)*(Z224))</f>
        <v/>
      </c>
      <c r="AA228" s="963">
        <f>((AA215)*(AA224))</f>
        <v/>
      </c>
      <c r="AB228" s="963">
        <f>((AB215)*(AB216)*(AB224))</f>
        <v/>
      </c>
      <c r="AC228" s="963">
        <f>((AC215)*(AC224))</f>
        <v/>
      </c>
      <c r="AD228" s="963">
        <f>((AD215)*(AD216)*(AD224))</f>
        <v/>
      </c>
      <c r="AE228" s="963">
        <f>((AE215)*(AE224))</f>
        <v/>
      </c>
      <c r="AF228" s="963">
        <f>((AF215)*(AF216)*(AF224))</f>
        <v/>
      </c>
      <c r="AG228" s="116" t="n"/>
      <c r="AH228" s="963">
        <f>((AH215)*(AH216)*(AH224))</f>
        <v/>
      </c>
    </row>
    <row r="229">
      <c r="B229" s="116" t="n"/>
      <c r="C229" s="116" t="n"/>
      <c r="D229" s="116" t="n"/>
      <c r="E229" s="116" t="n"/>
      <c r="F229" s="116" t="n"/>
      <c r="G229" s="116" t="n"/>
      <c r="H229" s="116" t="n"/>
      <c r="I229" s="116" t="n"/>
      <c r="J229" s="116" t="n"/>
      <c r="K229" s="116" t="n"/>
      <c r="L229" s="116" t="n"/>
      <c r="M229" s="116" t="n"/>
      <c r="N229" s="116" t="n"/>
      <c r="O229" s="116" t="n"/>
      <c r="P229" s="116" t="n"/>
      <c r="Q229" s="116" t="n"/>
      <c r="R229" s="116" t="n"/>
      <c r="S229" s="116" t="n"/>
      <c r="T229" s="116" t="n"/>
      <c r="U229" s="116" t="n"/>
      <c r="V229" s="116" t="n"/>
      <c r="W229" s="116" t="n"/>
      <c r="X229" s="116" t="n"/>
      <c r="Y229" s="116" t="n"/>
      <c r="Z229" s="116" t="n"/>
      <c r="AA229" s="116" t="n"/>
      <c r="AB229" s="116" t="n"/>
      <c r="AC229" s="116" t="n"/>
      <c r="AD229" s="116" t="n"/>
      <c r="AE229" s="116" t="n"/>
      <c r="AF229" s="116" t="n"/>
      <c r="AG229" s="116" t="n"/>
      <c r="AH229" s="116" t="n"/>
    </row>
    <row r="230">
      <c r="B230" s="116" t="n"/>
      <c r="C230" s="116" t="n"/>
      <c r="D230" s="116" t="n"/>
      <c r="E230" s="116" t="n"/>
      <c r="F230" s="116" t="n"/>
      <c r="G230" s="116" t="n"/>
      <c r="H230" s="116" t="n"/>
      <c r="I230" s="116" t="n"/>
      <c r="J230" s="116" t="n"/>
      <c r="K230" s="116" t="n"/>
      <c r="L230" s="116" t="n"/>
      <c r="M230" s="116" t="n"/>
      <c r="N230" s="116" t="n"/>
      <c r="O230" s="116" t="n"/>
      <c r="P230" s="116" t="n"/>
      <c r="Q230" s="116" t="n"/>
      <c r="R230" s="116" t="n"/>
      <c r="S230" s="116" t="n"/>
      <c r="T230" s="116" t="n"/>
      <c r="U230" s="116" t="n"/>
      <c r="V230" s="116" t="n"/>
      <c r="W230" s="116" t="n"/>
      <c r="X230" s="116" t="n"/>
      <c r="Y230" s="116" t="n"/>
      <c r="Z230" s="116" t="n"/>
      <c r="AA230" s="116" t="n"/>
      <c r="AB230" s="116" t="n"/>
      <c r="AC230" s="116" t="n"/>
      <c r="AD230" s="116" t="n"/>
      <c r="AE230" s="116" t="n"/>
      <c r="AF230" s="116" t="n"/>
      <c r="AG230" s="116" t="n"/>
      <c r="AH230" s="116" t="n"/>
    </row>
    <row r="231">
      <c r="B231" s="116" t="n"/>
      <c r="C231" s="116" t="n"/>
      <c r="D231" s="116" t="n"/>
      <c r="E231" s="116" t="n"/>
      <c r="F231" s="116" t="n"/>
      <c r="G231" s="116" t="n"/>
      <c r="H231" s="116" t="n"/>
      <c r="I231" s="116" t="n"/>
      <c r="J231" s="1915" t="inlineStr">
        <is>
          <t>Year 5 - Steady State</t>
        </is>
      </c>
    </row>
    <row r="232" ht="3" customHeight="1" s="1883">
      <c r="B232" s="116" t="n"/>
      <c r="C232" s="116" t="n"/>
      <c r="D232" s="116" t="n"/>
      <c r="E232" s="116" t="n"/>
      <c r="F232" s="116" t="n"/>
      <c r="G232" s="116" t="n"/>
      <c r="H232" s="116" t="n"/>
      <c r="I232" s="116" t="n"/>
      <c r="J232" s="950" t="n"/>
      <c r="K232" s="950" t="n"/>
      <c r="L232" s="950" t="n"/>
      <c r="M232" s="950" t="n"/>
      <c r="N232" s="950" t="n"/>
      <c r="O232" s="950" t="n"/>
      <c r="P232" s="950" t="n"/>
      <c r="Q232" s="950" t="n"/>
      <c r="R232" s="950" t="n"/>
      <c r="S232" s="950" t="n"/>
      <c r="T232" s="950" t="n"/>
      <c r="U232" s="950" t="n"/>
      <c r="V232" s="950" t="n"/>
      <c r="W232" s="950" t="n"/>
      <c r="X232" s="950" t="n"/>
      <c r="Y232" s="950" t="n"/>
      <c r="Z232" s="950" t="n"/>
      <c r="AA232" s="950" t="n"/>
      <c r="AB232" s="950" t="n"/>
      <c r="AC232" s="950" t="n"/>
      <c r="AD232" s="950" t="n"/>
      <c r="AE232" s="950" t="n"/>
      <c r="AF232" s="950" t="n"/>
      <c r="AG232" s="950" t="n"/>
      <c r="AH232" s="950" t="n"/>
    </row>
    <row r="233" ht="3" customHeight="1" s="1883">
      <c r="B233" s="116" t="n"/>
      <c r="C233" s="116" t="n"/>
      <c r="D233" s="116" t="n"/>
      <c r="E233" s="116" t="n"/>
      <c r="F233" s="116" t="n"/>
      <c r="G233" s="116" t="n"/>
      <c r="H233" s="116" t="n"/>
      <c r="I233" s="116" t="n"/>
      <c r="J233" s="116" t="n"/>
      <c r="K233" s="116" t="n"/>
      <c r="L233" s="116" t="n"/>
      <c r="M233" s="116" t="n"/>
      <c r="N233" s="116" t="n"/>
      <c r="O233" s="116" t="n"/>
      <c r="P233" s="116" t="n"/>
      <c r="Q233" s="116" t="n"/>
      <c r="R233" s="116" t="n"/>
      <c r="S233" s="116" t="n"/>
      <c r="T233" s="116" t="n"/>
      <c r="U233" s="116" t="n"/>
      <c r="V233" s="116" t="n"/>
      <c r="W233" s="116" t="n"/>
      <c r="X233" s="116" t="n"/>
      <c r="Y233" s="116" t="n"/>
      <c r="Z233" s="116" t="n"/>
      <c r="AA233" s="116" t="n"/>
      <c r="AB233" s="116" t="n"/>
      <c r="AC233" s="116" t="n"/>
      <c r="AD233" s="116" t="n"/>
      <c r="AE233" s="116" t="n"/>
      <c r="AF233" s="116" t="n"/>
      <c r="AG233" s="116" t="n"/>
      <c r="AH233" s="116" t="n"/>
    </row>
    <row r="234">
      <c r="B234" s="116" t="n"/>
      <c r="C234" s="116" t="n"/>
      <c r="D234" s="116" t="n"/>
      <c r="E234" s="116" t="n"/>
      <c r="F234" s="116" t="n"/>
      <c r="G234" s="116" t="n"/>
      <c r="H234" s="116" t="n"/>
      <c r="I234" s="116" t="n"/>
      <c r="J234" s="117" t="inlineStr">
        <is>
          <t>Month 49</t>
        </is>
      </c>
      <c r="K234" s="117" t="n"/>
      <c r="L234" s="117" t="inlineStr">
        <is>
          <t>Month 50</t>
        </is>
      </c>
      <c r="M234" s="117" t="n"/>
      <c r="N234" s="117" t="inlineStr">
        <is>
          <t>Month 51</t>
        </is>
      </c>
      <c r="O234" s="117" t="n"/>
      <c r="P234" s="117" t="inlineStr">
        <is>
          <t>Month 52</t>
        </is>
      </c>
      <c r="Q234" s="117" t="n"/>
      <c r="R234" s="117" t="inlineStr">
        <is>
          <t>Month 53</t>
        </is>
      </c>
      <c r="S234" s="117" t="n"/>
      <c r="T234" s="117" t="inlineStr">
        <is>
          <t>Month 54</t>
        </is>
      </c>
      <c r="U234" s="117" t="n"/>
      <c r="V234" s="117" t="inlineStr">
        <is>
          <t>Month 55</t>
        </is>
      </c>
      <c r="W234" s="117" t="n"/>
      <c r="X234" s="117" t="inlineStr">
        <is>
          <t>Month 56</t>
        </is>
      </c>
      <c r="Y234" s="117" t="n"/>
      <c r="Z234" s="117" t="inlineStr">
        <is>
          <t>Month 57</t>
        </is>
      </c>
      <c r="AA234" s="117" t="n"/>
      <c r="AB234" s="117" t="inlineStr">
        <is>
          <t>Month 58</t>
        </is>
      </c>
      <c r="AC234" s="117" t="n"/>
      <c r="AD234" s="117" t="inlineStr">
        <is>
          <t>Month 59</t>
        </is>
      </c>
      <c r="AE234" s="117" t="n"/>
      <c r="AF234" s="117" t="inlineStr">
        <is>
          <t>Month 60</t>
        </is>
      </c>
      <c r="AG234" s="116" t="n"/>
      <c r="AH234" s="117" t="inlineStr">
        <is>
          <t>Ʃ, Year 5</t>
        </is>
      </c>
    </row>
    <row r="235" ht="3" customHeight="1" s="1883">
      <c r="B235" s="116" t="n"/>
      <c r="C235" s="116" t="n"/>
      <c r="D235" s="116" t="n"/>
      <c r="E235" s="116" t="n"/>
      <c r="F235" s="116" t="n"/>
      <c r="G235" s="116" t="n"/>
      <c r="H235" s="116" t="n"/>
      <c r="I235" s="116" t="n"/>
      <c r="J235" s="950" t="n"/>
      <c r="K235" s="116" t="n"/>
      <c r="L235" s="950" t="n"/>
      <c r="M235" s="116" t="n"/>
      <c r="N235" s="950" t="n"/>
      <c r="O235" s="116" t="n"/>
      <c r="P235" s="950" t="n"/>
      <c r="Q235" s="116" t="n"/>
      <c r="R235" s="950" t="n"/>
      <c r="S235" s="116" t="n"/>
      <c r="T235" s="950" t="n"/>
      <c r="U235" s="116" t="n"/>
      <c r="V235" s="950" t="n"/>
      <c r="W235" s="116" t="n"/>
      <c r="X235" s="950" t="n"/>
      <c r="Y235" s="116" t="n"/>
      <c r="Z235" s="950" t="n"/>
      <c r="AA235" s="116" t="n"/>
      <c r="AB235" s="950" t="n"/>
      <c r="AC235" s="116" t="n"/>
      <c r="AD235" s="950" t="n"/>
      <c r="AE235" s="116" t="n"/>
      <c r="AF235" s="950" t="n"/>
      <c r="AG235" s="116" t="n"/>
      <c r="AH235" s="950" t="n"/>
    </row>
    <row r="236" ht="3" customHeight="1" s="1883">
      <c r="B236" s="116" t="n"/>
      <c r="C236" s="116" t="n"/>
      <c r="D236" s="116" t="n"/>
      <c r="E236" s="116" t="n"/>
      <c r="F236" s="116" t="n"/>
      <c r="G236" s="116" t="n"/>
      <c r="H236" s="116" t="n"/>
      <c r="I236" s="116" t="n"/>
      <c r="J236" s="116" t="n"/>
      <c r="K236" s="116" t="n"/>
      <c r="L236" s="116" t="n"/>
      <c r="M236" s="116" t="n"/>
      <c r="N236" s="116" t="n"/>
      <c r="O236" s="116" t="n"/>
      <c r="P236" s="116" t="n"/>
      <c r="Q236" s="116" t="n"/>
      <c r="R236" s="116" t="n"/>
      <c r="S236" s="116" t="n"/>
      <c r="T236" s="116" t="n"/>
      <c r="U236" s="116" t="n"/>
      <c r="V236" s="116" t="n"/>
      <c r="W236" s="116" t="n"/>
      <c r="X236" s="116" t="n"/>
      <c r="Y236" s="116" t="n"/>
      <c r="Z236" s="116" t="n"/>
      <c r="AA236" s="116" t="n"/>
      <c r="AB236" s="116" t="n"/>
      <c r="AC236" s="116" t="n"/>
      <c r="AD236" s="116" t="n"/>
      <c r="AE236" s="116" t="n"/>
      <c r="AF236" s="116" t="n"/>
      <c r="AG236" s="116" t="n"/>
      <c r="AH236" s="116" t="n"/>
    </row>
    <row r="237">
      <c r="B237" s="118" t="inlineStr">
        <is>
          <t>Revenue Drivers</t>
        </is>
      </c>
      <c r="C237" s="118" t="n"/>
      <c r="D237" s="116" t="n"/>
      <c r="E237" s="116" t="n"/>
      <c r="F237" s="116" t="n"/>
      <c r="G237" s="116" t="n"/>
      <c r="H237" s="116" t="n"/>
      <c r="I237" s="116" t="n"/>
      <c r="J237" s="116" t="n"/>
      <c r="K237" s="116" t="n"/>
      <c r="L237" s="116" t="n"/>
      <c r="M237" s="116" t="n"/>
      <c r="N237" s="116" t="n"/>
      <c r="O237" s="116" t="n"/>
      <c r="P237" s="116" t="n"/>
      <c r="Q237" s="116" t="n"/>
      <c r="R237" s="116" t="n"/>
      <c r="S237" s="116" t="n"/>
      <c r="T237" s="116" t="n"/>
      <c r="U237" s="116" t="n"/>
      <c r="V237" s="116" t="n"/>
      <c r="W237" s="116" t="n"/>
      <c r="X237" s="116" t="n"/>
      <c r="Y237" s="116" t="n"/>
      <c r="Z237" s="116" t="n"/>
      <c r="AA237" s="116" t="n"/>
      <c r="AB237" s="116" t="n"/>
      <c r="AC237" s="116" t="n"/>
      <c r="AD237" s="116" t="n"/>
      <c r="AE237" s="116" t="n"/>
      <c r="AF237" s="116" t="n"/>
      <c r="AG237" s="116" t="n"/>
      <c r="AH237" s="116" t="n"/>
    </row>
    <row r="238" ht="4.5" customHeight="1" s="1883">
      <c r="B238" s="116" t="n"/>
      <c r="C238" s="116" t="n"/>
      <c r="D238" s="116" t="n"/>
      <c r="E238" s="116" t="n"/>
      <c r="F238" s="116" t="n"/>
      <c r="G238" s="116" t="n"/>
      <c r="H238" s="116" t="n"/>
      <c r="I238" s="116" t="n"/>
      <c r="J238" s="116" t="n"/>
      <c r="K238" s="116" t="n"/>
      <c r="L238" s="116" t="n"/>
      <c r="M238" s="116" t="n"/>
      <c r="N238" s="116" t="n"/>
      <c r="O238" s="116" t="n"/>
      <c r="P238" s="116" t="n"/>
      <c r="Q238" s="116" t="n"/>
      <c r="R238" s="116" t="n"/>
      <c r="S238" s="116" t="n"/>
      <c r="T238" s="116" t="n"/>
      <c r="U238" s="116" t="n"/>
      <c r="V238" s="116" t="n"/>
      <c r="W238" s="116" t="n"/>
      <c r="X238" s="116" t="n"/>
      <c r="Y238" s="116" t="n"/>
      <c r="Z238" s="116" t="n"/>
      <c r="AA238" s="116" t="n"/>
      <c r="AB238" s="116" t="n"/>
      <c r="AC238" s="116" t="n"/>
      <c r="AD238" s="116" t="n"/>
      <c r="AE238" s="116" t="n"/>
      <c r="AF238" s="116" t="n"/>
      <c r="AG238" s="116" t="n"/>
      <c r="AH238" s="116" t="n"/>
    </row>
    <row r="239">
      <c r="B239" s="120" t="inlineStr">
        <is>
          <t>I.</t>
        </is>
      </c>
      <c r="C239" s="116" t="n"/>
      <c r="D239" s="118" t="inlineStr">
        <is>
          <t>Deployed Units</t>
        </is>
      </c>
      <c r="E239" s="116" t="n"/>
      <c r="F239" s="116" t="n"/>
      <c r="G239" s="116" t="n"/>
      <c r="H239" s="116" t="n"/>
      <c r="I239" s="116" t="n"/>
      <c r="J239" s="116" t="n"/>
      <c r="K239" s="116" t="n"/>
      <c r="L239" s="116" t="n"/>
      <c r="M239" s="116" t="n"/>
      <c r="N239" s="116" t="n"/>
      <c r="O239" s="116" t="n"/>
      <c r="P239" s="116" t="n"/>
      <c r="Q239" s="116" t="n"/>
      <c r="R239" s="116" t="n"/>
      <c r="S239" s="116" t="n"/>
      <c r="T239" s="116" t="n"/>
      <c r="U239" s="116" t="n"/>
      <c r="V239" s="116" t="n"/>
      <c r="W239" s="116" t="n"/>
      <c r="X239" s="116" t="n"/>
      <c r="Y239" s="116" t="n"/>
      <c r="Z239" s="116" t="n"/>
      <c r="AA239" s="116" t="n"/>
      <c r="AB239" s="116" t="n"/>
      <c r="AC239" s="116" t="n"/>
      <c r="AD239" s="116" t="n"/>
      <c r="AE239" s="116" t="n"/>
      <c r="AF239" s="116" t="n"/>
      <c r="AG239" s="116" t="n"/>
      <c r="AH239" s="116" t="n"/>
    </row>
    <row r="240">
      <c r="B240" s="116" t="n"/>
      <c r="C240" s="116" t="n"/>
      <c r="D240" s="116" t="n"/>
      <c r="E240" s="116" t="inlineStr">
        <is>
          <t>Deployed Units, Beginning</t>
        </is>
      </c>
      <c r="F240" s="116" t="n"/>
      <c r="G240" s="116" t="n"/>
      <c r="H240" s="116" t="n"/>
      <c r="I240" s="116" t="n"/>
      <c r="J240" s="122">
        <f>(AH205)</f>
        <v/>
      </c>
      <c r="K240" s="122" t="n"/>
      <c r="L240" s="122">
        <f>(J245)</f>
        <v/>
      </c>
      <c r="M240" s="122" t="n"/>
      <c r="N240" s="122">
        <f>(L245)</f>
        <v/>
      </c>
      <c r="O240" s="122" t="n"/>
      <c r="P240" s="122">
        <f>(N245)</f>
        <v/>
      </c>
      <c r="Q240" s="122" t="n"/>
      <c r="R240" s="122">
        <f>(P245)</f>
        <v/>
      </c>
      <c r="S240" s="122" t="n"/>
      <c r="T240" s="122">
        <f>(R245)</f>
        <v/>
      </c>
      <c r="U240" s="122" t="n"/>
      <c r="V240" s="122">
        <f>(T245)</f>
        <v/>
      </c>
      <c r="W240" s="122" t="n"/>
      <c r="X240" s="122">
        <f>(V245)</f>
        <v/>
      </c>
      <c r="Y240" s="122" t="n"/>
      <c r="Z240" s="122">
        <f>(X245)</f>
        <v/>
      </c>
      <c r="AA240" s="122" t="n"/>
      <c r="AB240" s="122">
        <f>(Z245)</f>
        <v/>
      </c>
      <c r="AC240" s="122" t="n"/>
      <c r="AD240" s="122">
        <f>(AB245)</f>
        <v/>
      </c>
      <c r="AE240" s="122" t="n"/>
      <c r="AF240" s="122">
        <f>(AD245)</f>
        <v/>
      </c>
      <c r="AG240" s="122" t="n"/>
      <c r="AH240" s="123">
        <f>(J240)</f>
        <v/>
      </c>
    </row>
    <row r="241">
      <c r="B241" s="116" t="n"/>
      <c r="C241" s="116" t="n"/>
      <c r="D241" s="116" t="n"/>
      <c r="E241" s="116" t="inlineStr">
        <is>
          <t>Service Additions</t>
        </is>
      </c>
      <c r="F241" s="116" t="n"/>
      <c r="G241" s="116" t="n"/>
      <c r="H241" s="116" t="n"/>
      <c r="I241" s="116" t="n"/>
      <c r="J241" s="122">
        <f>'3F. Revenue &amp; COGS Assumptions'!G16</f>
        <v/>
      </c>
      <c r="K241" s="122" t="n"/>
      <c r="L241" s="122">
        <f>'3F. Revenue &amp; COGS Assumptions'!H16</f>
        <v/>
      </c>
      <c r="M241" s="122" t="n"/>
      <c r="N241" s="122">
        <f>'3F. Revenue &amp; COGS Assumptions'!I16</f>
        <v/>
      </c>
      <c r="O241" s="122" t="n"/>
      <c r="P241" s="122">
        <f>'3F. Revenue &amp; COGS Assumptions'!J16</f>
        <v/>
      </c>
      <c r="Q241" s="122" t="n"/>
      <c r="R241" s="122">
        <f>'3F. Revenue &amp; COGS Assumptions'!K16</f>
        <v/>
      </c>
      <c r="S241" s="122" t="n"/>
      <c r="T241" s="122">
        <f>'3F. Revenue &amp; COGS Assumptions'!L16</f>
        <v/>
      </c>
      <c r="U241" s="122" t="n"/>
      <c r="V241" s="122">
        <f>'3F. Revenue &amp; COGS Assumptions'!M16</f>
        <v/>
      </c>
      <c r="W241" s="122" t="n"/>
      <c r="X241" s="122">
        <f>'3F. Revenue &amp; COGS Assumptions'!N16</f>
        <v/>
      </c>
      <c r="Y241" s="122" t="n"/>
      <c r="Z241" s="122">
        <f>'3F. Revenue &amp; COGS Assumptions'!O16</f>
        <v/>
      </c>
      <c r="AA241" s="122" t="n"/>
      <c r="AB241" s="122">
        <f>'3F. Revenue &amp; COGS Assumptions'!P16</f>
        <v/>
      </c>
      <c r="AC241" s="122" t="n"/>
      <c r="AD241" s="122">
        <f>'3F. Revenue &amp; COGS Assumptions'!Q16</f>
        <v/>
      </c>
      <c r="AE241" s="122" t="n"/>
      <c r="AF241" s="122">
        <f>'3F. Revenue &amp; COGS Assumptions'!R16</f>
        <v/>
      </c>
      <c r="AG241" s="122" t="n"/>
      <c r="AH241" s="123">
        <f>((J241)+(L241)+(N241)+(P241)+(R241)+(T241)+(V241)+(X241)+(Z241)+(AB241)+(AD241)+(AF241))</f>
        <v/>
      </c>
    </row>
    <row r="242">
      <c r="B242" s="116" t="n"/>
      <c r="C242" s="116" t="n"/>
      <c r="D242" s="116" t="n"/>
      <c r="E242" s="129" t="inlineStr">
        <is>
          <t>Service Attrition</t>
        </is>
      </c>
      <c r="F242" s="129" t="n"/>
      <c r="G242" s="129" t="n"/>
      <c r="H242" s="129" t="n"/>
      <c r="I242" s="129" t="n"/>
      <c r="J242" s="124">
        <f>'3E. Tel. Attrit. Renew. Reward'!BC100</f>
        <v/>
      </c>
      <c r="K242" s="953" t="n"/>
      <c r="L242" s="124">
        <f>'3E. Tel. Attrit. Renew. Reward'!BD100</f>
        <v/>
      </c>
      <c r="M242" s="953" t="n"/>
      <c r="N242" s="124">
        <f>'3E. Tel. Attrit. Renew. Reward'!BE100</f>
        <v/>
      </c>
      <c r="O242" s="953" t="n"/>
      <c r="P242" s="124">
        <f>'3E. Tel. Attrit. Renew. Reward'!BF100</f>
        <v/>
      </c>
      <c r="Q242" s="953" t="n"/>
      <c r="R242" s="124">
        <f>'3E. Tel. Attrit. Renew. Reward'!BG100</f>
        <v/>
      </c>
      <c r="S242" s="953" t="n"/>
      <c r="T242" s="124">
        <f>'3E. Tel. Attrit. Renew. Reward'!BH100</f>
        <v/>
      </c>
      <c r="U242" s="953" t="n"/>
      <c r="V242" s="124">
        <f>'3E. Tel. Attrit. Renew. Reward'!BI100</f>
        <v/>
      </c>
      <c r="W242" s="953" t="n"/>
      <c r="X242" s="124">
        <f>'3E. Tel. Attrit. Renew. Reward'!BJ100</f>
        <v/>
      </c>
      <c r="Y242" s="953" t="n"/>
      <c r="Z242" s="124">
        <f>'3E. Tel. Attrit. Renew. Reward'!BK100</f>
        <v/>
      </c>
      <c r="AA242" s="953" t="n"/>
      <c r="AB242" s="124">
        <f>'3E. Tel. Attrit. Renew. Reward'!BL100</f>
        <v/>
      </c>
      <c r="AC242" s="953" t="n"/>
      <c r="AD242" s="124">
        <f>'3E. Tel. Attrit. Renew. Reward'!BM100</f>
        <v/>
      </c>
      <c r="AE242" s="953" t="n"/>
      <c r="AF242" s="124">
        <f>'3E. Tel. Attrit. Renew. Reward'!BN100</f>
        <v/>
      </c>
      <c r="AG242" s="130" t="n"/>
      <c r="AH242" s="954">
        <f>((J242)+(L242)+(N242)+(P242)+(R242)+(T242)+(V242)+(X242)+(Z242)+(AB242)+(AD242)+(AF242))</f>
        <v/>
      </c>
    </row>
    <row r="243" ht="3" customHeight="1" s="1883">
      <c r="B243" s="116" t="n"/>
      <c r="C243" s="116" t="n"/>
      <c r="D243" s="116" t="n"/>
      <c r="E243" s="116" t="n"/>
      <c r="F243" s="116" t="n"/>
      <c r="G243" s="116" t="n"/>
      <c r="H243" s="116" t="n"/>
      <c r="I243" s="116" t="n"/>
      <c r="J243" s="955" t="n"/>
      <c r="K243" s="122" t="n"/>
      <c r="L243" s="955" t="n"/>
      <c r="M243" s="122" t="n"/>
      <c r="N243" s="955" t="n"/>
      <c r="O243" s="122" t="n"/>
      <c r="P243" s="955" t="n"/>
      <c r="Q243" s="122" t="n"/>
      <c r="R243" s="955" t="n"/>
      <c r="S243" s="122" t="n"/>
      <c r="T243" s="955" t="n"/>
      <c r="U243" s="122" t="n"/>
      <c r="V243" s="955" t="n"/>
      <c r="W243" s="122" t="n"/>
      <c r="X243" s="955" t="n"/>
      <c r="Y243" s="122" t="n"/>
      <c r="Z243" s="955" t="n"/>
      <c r="AA243" s="122" t="n"/>
      <c r="AB243" s="955" t="n"/>
      <c r="AC243" s="122" t="n"/>
      <c r="AD243" s="955" t="n"/>
      <c r="AE243" s="122" t="n"/>
      <c r="AF243" s="955" t="n"/>
      <c r="AG243" s="122" t="n"/>
      <c r="AH243" s="955" t="n"/>
    </row>
    <row r="244" ht="3" customHeight="1" s="1883">
      <c r="B244" s="116" t="n"/>
      <c r="C244" s="116" t="n"/>
      <c r="D244" s="116" t="n"/>
      <c r="E244" s="116" t="n"/>
      <c r="F244" s="116" t="n"/>
      <c r="G244" s="116" t="n"/>
      <c r="H244" s="116" t="n"/>
      <c r="I244" s="116" t="n"/>
      <c r="J244" s="122" t="n"/>
      <c r="K244" s="122" t="n"/>
      <c r="L244" s="122" t="n"/>
      <c r="M244" s="122" t="n"/>
      <c r="N244" s="122" t="n"/>
      <c r="O244" s="122" t="n"/>
      <c r="P244" s="122" t="n"/>
      <c r="Q244" s="122" t="n"/>
      <c r="R244" s="122" t="n"/>
      <c r="S244" s="122" t="n"/>
      <c r="T244" s="122" t="n"/>
      <c r="U244" s="122" t="n"/>
      <c r="V244" s="122" t="n"/>
      <c r="W244" s="122" t="n"/>
      <c r="X244" s="122" t="n"/>
      <c r="Y244" s="122" t="n"/>
      <c r="Z244" s="122" t="n"/>
      <c r="AA244" s="122" t="n"/>
      <c r="AB244" s="122" t="n"/>
      <c r="AC244" s="122" t="n"/>
      <c r="AD244" s="122" t="n"/>
      <c r="AE244" s="122" t="n"/>
      <c r="AF244" s="122" t="n"/>
      <c r="AG244" s="122" t="n"/>
      <c r="AH244" s="122" t="n"/>
    </row>
    <row r="245">
      <c r="B245" s="116" t="n"/>
      <c r="C245" s="116" t="n"/>
      <c r="D245" s="116" t="n"/>
      <c r="E245" s="116" t="n"/>
      <c r="F245" s="118" t="inlineStr">
        <is>
          <t>Deployed Units, Ending</t>
        </is>
      </c>
      <c r="G245" s="116" t="n"/>
      <c r="H245" s="116" t="n"/>
      <c r="I245" s="116" t="n"/>
      <c r="J245" s="123">
        <f>((J240)+(J241)-(J242))</f>
        <v/>
      </c>
      <c r="K245" s="122" t="n"/>
      <c r="L245" s="123">
        <f>((L240)+(L241)-(L242))</f>
        <v/>
      </c>
      <c r="M245" s="122" t="n"/>
      <c r="N245" s="123">
        <f>((N240)+(N241)-(N242))</f>
        <v/>
      </c>
      <c r="O245" s="122" t="n"/>
      <c r="P245" s="123">
        <f>((P240)+(P241)-(P242))</f>
        <v/>
      </c>
      <c r="Q245" s="122" t="n"/>
      <c r="R245" s="123">
        <f>((R240)+(R241)-(R242))</f>
        <v/>
      </c>
      <c r="S245" s="122" t="n"/>
      <c r="T245" s="123">
        <f>((T240)+(T241)-(T242))</f>
        <v/>
      </c>
      <c r="U245" s="122" t="n"/>
      <c r="V245" s="123">
        <f>((V240)+(V241)-(V242))</f>
        <v/>
      </c>
      <c r="W245" s="122" t="n"/>
      <c r="X245" s="123">
        <f>((X240)+(X241)-(X242))</f>
        <v/>
      </c>
      <c r="Y245" s="122" t="n"/>
      <c r="Z245" s="123">
        <f>((Z240)+(Z241)-(Z242))</f>
        <v/>
      </c>
      <c r="AA245" s="122" t="n"/>
      <c r="AB245" s="123">
        <f>((AB240)+(AB241)-(AB242))</f>
        <v/>
      </c>
      <c r="AC245" s="122" t="n"/>
      <c r="AD245" s="123">
        <f>((AD240)+(AD241)-(AD242))</f>
        <v/>
      </c>
      <c r="AE245" s="122" t="n"/>
      <c r="AF245" s="123">
        <f>((AF240)+(AF241)-(AF242))</f>
        <v/>
      </c>
      <c r="AG245" s="122" t="n"/>
      <c r="AH245" s="123">
        <f>((AH240)+(AH241)-(AH242))</f>
        <v/>
      </c>
    </row>
    <row r="246" ht="3" customHeight="1" s="1883">
      <c r="B246" s="116" t="n"/>
      <c r="C246" s="116" t="n"/>
      <c r="D246" s="116" t="n"/>
      <c r="E246" s="116" t="n"/>
      <c r="F246" s="116" t="n"/>
      <c r="G246" s="116" t="n"/>
      <c r="H246" s="116" t="n"/>
      <c r="I246" s="116" t="n"/>
      <c r="J246" s="125" t="n"/>
      <c r="K246" s="122" t="n"/>
      <c r="L246" s="125" t="n"/>
      <c r="M246" s="122" t="n"/>
      <c r="N246" s="125" t="n"/>
      <c r="O246" s="122" t="n"/>
      <c r="P246" s="125" t="n"/>
      <c r="Q246" s="122" t="n"/>
      <c r="R246" s="125" t="n"/>
      <c r="S246" s="122" t="n"/>
      <c r="T246" s="125" t="n"/>
      <c r="U246" s="122" t="n"/>
      <c r="V246" s="125" t="n"/>
      <c r="W246" s="122" t="n"/>
      <c r="X246" s="125" t="n"/>
      <c r="Y246" s="122" t="n"/>
      <c r="Z246" s="125" t="n"/>
      <c r="AA246" s="122" t="n"/>
      <c r="AB246" s="125" t="n"/>
      <c r="AC246" s="122" t="n"/>
      <c r="AD246" s="125" t="n"/>
      <c r="AE246" s="122" t="n"/>
      <c r="AF246" s="125" t="n"/>
      <c r="AG246" s="122" t="n"/>
      <c r="AH246" s="125" t="n"/>
    </row>
    <row r="247">
      <c r="B247" s="116" t="n"/>
      <c r="C247" s="116" t="n"/>
      <c r="D247" s="116" t="n"/>
      <c r="E247" s="116" t="n"/>
      <c r="F247" s="116" t="n"/>
      <c r="G247" s="116" t="n"/>
      <c r="H247" s="116" t="n"/>
      <c r="I247" s="116" t="n"/>
      <c r="J247" s="122" t="n"/>
      <c r="K247" s="122" t="n"/>
      <c r="L247" s="122" t="n"/>
      <c r="M247" s="122" t="n"/>
      <c r="N247" s="122" t="n"/>
      <c r="O247" s="122" t="n"/>
      <c r="P247" s="122" t="n"/>
      <c r="Q247" s="122" t="n"/>
      <c r="R247" s="122" t="n"/>
      <c r="S247" s="122" t="n"/>
      <c r="T247" s="122" t="n"/>
      <c r="U247" s="122" t="n"/>
      <c r="V247" s="122" t="n"/>
      <c r="W247" s="122" t="n"/>
      <c r="X247" s="122" t="n"/>
      <c r="Y247" s="122" t="n"/>
      <c r="Z247" s="122" t="n"/>
      <c r="AA247" s="122" t="n"/>
      <c r="AB247" s="122" t="n"/>
      <c r="AC247" s="122" t="n"/>
      <c r="AD247" s="122" t="n"/>
      <c r="AE247" s="122" t="n"/>
      <c r="AF247" s="122" t="n"/>
      <c r="AG247" s="122" t="n"/>
      <c r="AH247" s="122" t="n"/>
    </row>
    <row r="248">
      <c r="B248" s="116" t="n"/>
      <c r="C248" s="116" t="n"/>
      <c r="D248" s="116" t="n"/>
      <c r="E248" s="116" t="n"/>
      <c r="F248" s="118" t="inlineStr">
        <is>
          <t>Deployed Units, Average</t>
        </is>
      </c>
      <c r="G248" s="116" t="n"/>
      <c r="H248" s="116" t="n"/>
      <c r="I248" s="116" t="n"/>
      <c r="J248" s="136">
        <f>(((J240)+(J245))/(2))</f>
        <v/>
      </c>
      <c r="K248" s="136" t="n"/>
      <c r="L248" s="136">
        <f>(((L240)+(L245))/(2))</f>
        <v/>
      </c>
      <c r="M248" s="136" t="n"/>
      <c r="N248" s="136">
        <f>(((N240)+(N245))/(2))</f>
        <v/>
      </c>
      <c r="O248" s="136" t="n"/>
      <c r="P248" s="136">
        <f>(((P240)+(P245))/(2))</f>
        <v/>
      </c>
      <c r="Q248" s="136" t="n"/>
      <c r="R248" s="136">
        <f>(((R240)+(R245))/(2))</f>
        <v/>
      </c>
      <c r="S248" s="136" t="n"/>
      <c r="T248" s="136">
        <f>(((T240)+(T245))/(2))</f>
        <v/>
      </c>
      <c r="U248" s="136" t="n"/>
      <c r="V248" s="136">
        <f>(((V240)+(V245))/(2))</f>
        <v/>
      </c>
      <c r="W248" s="136" t="n"/>
      <c r="X248" s="136">
        <f>(((X240)+(X245))/(2))</f>
        <v/>
      </c>
      <c r="Y248" s="136" t="n"/>
      <c r="Z248" s="136">
        <f>(((Z240)+(Z245))/(2))</f>
        <v/>
      </c>
      <c r="AA248" s="136" t="n"/>
      <c r="AB248" s="136">
        <f>(((AB240)+(AB245))/(2))</f>
        <v/>
      </c>
      <c r="AC248" s="136" t="n"/>
      <c r="AD248" s="136">
        <f>(((AD240)+(AD245))/(2))</f>
        <v/>
      </c>
      <c r="AE248" s="136" t="n"/>
      <c r="AF248" s="136">
        <f>(((AF240)+(AF245))/(2))</f>
        <v/>
      </c>
      <c r="AG248" s="136" t="n"/>
      <c r="AH248" s="136">
        <f>(((AH240)+(AH245))/(2))</f>
        <v/>
      </c>
    </row>
    <row r="249" ht="3" customHeight="1" s="1883">
      <c r="B249" s="116" t="n"/>
      <c r="C249" s="116" t="n"/>
      <c r="D249" s="116" t="n"/>
      <c r="E249" s="116" t="n"/>
      <c r="F249" s="116" t="n"/>
      <c r="G249" s="116" t="n"/>
      <c r="H249" s="116" t="n"/>
      <c r="I249" s="116" t="n"/>
      <c r="J249" s="121" t="n"/>
      <c r="K249" s="116" t="n"/>
      <c r="L249" s="121" t="n"/>
      <c r="M249" s="116" t="n"/>
      <c r="N249" s="121" t="n"/>
      <c r="O249" s="116" t="n"/>
      <c r="P249" s="121" t="n"/>
      <c r="Q249" s="116" t="n"/>
      <c r="R249" s="121" t="n"/>
      <c r="S249" s="116" t="n"/>
      <c r="T249" s="121" t="n"/>
      <c r="U249" s="116" t="n"/>
      <c r="V249" s="121" t="n"/>
      <c r="W249" s="116" t="n"/>
      <c r="X249" s="121" t="n"/>
      <c r="Y249" s="116" t="n"/>
      <c r="Z249" s="121" t="n"/>
      <c r="AA249" s="116" t="n"/>
      <c r="AB249" s="121" t="n"/>
      <c r="AC249" s="116" t="n"/>
      <c r="AD249" s="121" t="n"/>
      <c r="AE249" s="116" t="n"/>
      <c r="AF249" s="121" t="n"/>
      <c r="AG249" s="116" t="n"/>
      <c r="AH249" s="121" t="n"/>
    </row>
    <row r="250">
      <c r="B250" s="116" t="n"/>
      <c r="C250" s="116" t="n"/>
      <c r="D250" s="116" t="n"/>
      <c r="E250" s="116" t="n"/>
      <c r="F250" s="116" t="n"/>
      <c r="G250" s="116" t="n"/>
      <c r="H250" s="116" t="n"/>
      <c r="I250" s="116" t="n"/>
      <c r="J250" s="116" t="n"/>
      <c r="K250" s="116" t="n"/>
      <c r="L250" s="116" t="n"/>
      <c r="M250" s="116" t="n"/>
      <c r="N250" s="116" t="n"/>
      <c r="O250" s="116" t="n"/>
      <c r="P250" s="116" t="n"/>
      <c r="Q250" s="116" t="n"/>
      <c r="R250" s="116" t="n"/>
      <c r="S250" s="116" t="n"/>
      <c r="T250" s="116" t="n"/>
      <c r="U250" s="116" t="n"/>
      <c r="V250" s="116" t="n"/>
      <c r="W250" s="116" t="n"/>
      <c r="X250" s="116" t="n"/>
      <c r="Y250" s="116" t="n"/>
      <c r="Z250" s="116" t="n"/>
      <c r="AA250" s="116" t="n"/>
      <c r="AB250" s="116" t="n"/>
      <c r="AC250" s="116" t="n"/>
      <c r="AD250" s="116" t="n"/>
      <c r="AE250" s="116" t="n"/>
      <c r="AF250" s="116" t="n"/>
      <c r="AG250" s="116" t="n"/>
      <c r="AH250" s="116" t="n"/>
    </row>
    <row r="251">
      <c r="B251" s="116" t="n"/>
      <c r="C251" s="116" t="n"/>
      <c r="D251" s="116" t="n"/>
      <c r="E251" s="116" t="n"/>
      <c r="F251" s="116" t="n"/>
      <c r="G251" s="116" t="n"/>
      <c r="H251" s="116" t="n"/>
      <c r="I251" s="116" t="n"/>
      <c r="J251" s="116" t="n"/>
      <c r="K251" s="116" t="n"/>
      <c r="L251" s="116" t="n"/>
      <c r="M251" s="116" t="n"/>
      <c r="N251" s="116" t="n"/>
      <c r="O251" s="116" t="n"/>
      <c r="P251" s="116" t="n"/>
      <c r="Q251" s="116" t="n"/>
      <c r="R251" s="116" t="n"/>
      <c r="S251" s="116" t="n"/>
      <c r="T251" s="116" t="n"/>
      <c r="U251" s="116" t="n"/>
      <c r="V251" s="116" t="n"/>
      <c r="W251" s="116" t="n"/>
      <c r="X251" s="116" t="n"/>
      <c r="Y251" s="116" t="n"/>
      <c r="Z251" s="116" t="n"/>
      <c r="AA251" s="116" t="n"/>
      <c r="AB251" s="116" t="n"/>
      <c r="AC251" s="116" t="n"/>
      <c r="AD251" s="116" t="n"/>
      <c r="AE251" s="116" t="n"/>
      <c r="AF251" s="116" t="n"/>
      <c r="AG251" s="116" t="n"/>
      <c r="AH251" s="116" t="n"/>
    </row>
    <row r="252">
      <c r="B252" s="118" t="inlineStr">
        <is>
          <t>II.</t>
        </is>
      </c>
      <c r="C252" s="116" t="n"/>
      <c r="D252" s="118" t="inlineStr">
        <is>
          <t>Billable Time</t>
        </is>
      </c>
      <c r="E252" s="116" t="n"/>
      <c r="F252" s="116" t="n"/>
      <c r="G252" s="116" t="n"/>
      <c r="H252" s="116" t="n"/>
      <c r="I252" s="116" t="n"/>
      <c r="J252" s="116" t="n"/>
      <c r="K252" s="116" t="n"/>
      <c r="L252" s="116" t="n"/>
      <c r="M252" s="116" t="n"/>
      <c r="N252" s="116" t="n"/>
      <c r="O252" s="116" t="n"/>
      <c r="P252" s="116" t="n"/>
      <c r="Q252" s="116" t="n"/>
      <c r="R252" s="116" t="n"/>
      <c r="S252" s="116" t="n"/>
      <c r="T252" s="116" t="n"/>
      <c r="U252" s="116" t="n"/>
      <c r="V252" s="116" t="n"/>
      <c r="W252" s="116" t="n"/>
      <c r="X252" s="116" t="n"/>
      <c r="Y252" s="116" t="n"/>
      <c r="Z252" s="116" t="n"/>
      <c r="AA252" s="116" t="n"/>
      <c r="AB252" s="116" t="n"/>
      <c r="AC252" s="116" t="n"/>
      <c r="AD252" s="116" t="n"/>
      <c r="AE252" s="116" t="n"/>
      <c r="AF252" s="116" t="n"/>
      <c r="AG252" s="116" t="n"/>
      <c r="AH252" s="116" t="n"/>
    </row>
    <row r="253" ht="4.5" customHeight="1" s="1883">
      <c r="B253" s="116" t="n"/>
      <c r="C253" s="116" t="n"/>
      <c r="D253" s="116" t="n"/>
      <c r="E253" s="116" t="n"/>
      <c r="F253" s="116" t="n"/>
      <c r="G253" s="116" t="n"/>
      <c r="H253" s="116" t="n"/>
      <c r="I253" s="116" t="n"/>
      <c r="J253" s="116" t="n"/>
      <c r="K253" s="116" t="n"/>
      <c r="L253" s="116" t="n"/>
      <c r="M253" s="116" t="n"/>
      <c r="N253" s="116" t="n"/>
      <c r="O253" s="116" t="n"/>
      <c r="P253" s="116" t="n"/>
      <c r="Q253" s="116" t="n"/>
      <c r="R253" s="116" t="n"/>
      <c r="S253" s="116" t="n"/>
      <c r="T253" s="116" t="n"/>
      <c r="U253" s="116" t="n"/>
      <c r="V253" s="116" t="n"/>
      <c r="W253" s="116" t="n"/>
      <c r="X253" s="116" t="n"/>
      <c r="Y253" s="116" t="n"/>
      <c r="Z253" s="116" t="n"/>
      <c r="AA253" s="116" t="n"/>
      <c r="AB253" s="116" t="n"/>
      <c r="AC253" s="116" t="n"/>
      <c r="AD253" s="116" t="n"/>
      <c r="AE253" s="116" t="n"/>
      <c r="AF253" s="116" t="n"/>
      <c r="AG253" s="116" t="n"/>
      <c r="AH253" s="116" t="n"/>
    </row>
    <row r="254">
      <c r="B254" s="116" t="n"/>
      <c r="C254" s="116" t="n"/>
      <c r="D254" s="116" t="n"/>
      <c r="E254" s="131" t="inlineStr">
        <is>
          <t>Billable Time/Unit</t>
        </is>
      </c>
      <c r="F254" s="131" t="n"/>
      <c r="G254" s="131" t="n"/>
      <c r="H254" s="131" t="n"/>
      <c r="I254" s="131" t="n"/>
      <c r="J254" s="132">
        <f>L25</f>
        <v/>
      </c>
      <c r="K254" s="131" t="n"/>
      <c r="L254" s="132">
        <f>J254</f>
        <v/>
      </c>
      <c r="M254" s="131" t="n"/>
      <c r="N254" s="132">
        <f>L254</f>
        <v/>
      </c>
      <c r="O254" s="131" t="n"/>
      <c r="P254" s="132">
        <f>N254</f>
        <v/>
      </c>
      <c r="Q254" s="131" t="n"/>
      <c r="R254" s="132">
        <f>P254</f>
        <v/>
      </c>
      <c r="S254" s="131" t="n"/>
      <c r="T254" s="132">
        <f>R254</f>
        <v/>
      </c>
      <c r="U254" s="131" t="n"/>
      <c r="V254" s="132">
        <f>T254</f>
        <v/>
      </c>
      <c r="W254" s="131" t="n"/>
      <c r="X254" s="132">
        <f>V254</f>
        <v/>
      </c>
      <c r="Y254" s="131">
        <f>W254</f>
        <v/>
      </c>
      <c r="Z254" s="132">
        <f>X254</f>
        <v/>
      </c>
      <c r="AA254" s="131" t="n"/>
      <c r="AB254" s="132">
        <f>Z254</f>
        <v/>
      </c>
      <c r="AC254" s="131" t="n"/>
      <c r="AD254" s="132">
        <f>AB254</f>
        <v/>
      </c>
      <c r="AE254" s="131" t="n"/>
      <c r="AF254" s="132">
        <f>AD254</f>
        <v/>
      </c>
      <c r="AG254" s="131" t="n"/>
      <c r="AH254" s="131" t="n"/>
    </row>
    <row r="255">
      <c r="B255" s="116" t="n"/>
      <c r="C255" s="116" t="n"/>
      <c r="D255" s="116" t="n"/>
      <c r="E255" s="118" t="inlineStr">
        <is>
          <t>Total Billable Hours</t>
        </is>
      </c>
      <c r="F255" s="116" t="n"/>
      <c r="G255" s="116" t="n"/>
      <c r="H255" s="116" t="n"/>
      <c r="I255" s="116" t="n"/>
      <c r="J255" s="123">
        <f>(((J248)*(J254))/(60))</f>
        <v/>
      </c>
      <c r="K255" s="116" t="n"/>
      <c r="L255" s="123">
        <f>(((L248)*(L254))/(60))</f>
        <v/>
      </c>
      <c r="M255" s="116" t="n"/>
      <c r="N255" s="123">
        <f>(((N248)*(N254))/(60))</f>
        <v/>
      </c>
      <c r="O255" s="116" t="n"/>
      <c r="P255" s="123">
        <f>(((P248)*(P254))/(60))</f>
        <v/>
      </c>
      <c r="Q255" s="116" t="n"/>
      <c r="R255" s="123">
        <f>(((R248)*(R254))/(60))</f>
        <v/>
      </c>
      <c r="S255" s="116" t="n"/>
      <c r="T255" s="123">
        <f>(((T248)*(T254))/(60))</f>
        <v/>
      </c>
      <c r="U255" s="116" t="n"/>
      <c r="V255" s="123">
        <f>(((V248)*(V254))/(60))</f>
        <v/>
      </c>
      <c r="W255" s="116" t="n"/>
      <c r="X255" s="123">
        <f>(((X248)*(X254))/(60))</f>
        <v/>
      </c>
      <c r="Y255" s="116" t="n"/>
      <c r="Z255" s="123">
        <f>(((Z248)*(Z254))/(60))</f>
        <v/>
      </c>
      <c r="AA255" s="116" t="n"/>
      <c r="AB255" s="123">
        <f>(((AB248)*(AB254))/(60))</f>
        <v/>
      </c>
      <c r="AC255" s="116" t="n"/>
      <c r="AD255" s="123">
        <f>(((AD248)*(AD254))/(60))</f>
        <v/>
      </c>
      <c r="AE255" s="116" t="n"/>
      <c r="AF255" s="123">
        <f>(((AF248)*(AF254))/(60))</f>
        <v/>
      </c>
      <c r="AG255" s="116" t="n"/>
      <c r="AH255" s="123">
        <f>SUM(J255:AG255)</f>
        <v/>
      </c>
    </row>
    <row r="256">
      <c r="B256" s="116" t="n"/>
      <c r="C256" s="116" t="n"/>
      <c r="D256" s="116" t="n"/>
      <c r="E256" s="116" t="inlineStr">
        <is>
          <t>Billable Hour Conversion Rate</t>
        </is>
      </c>
      <c r="F256" s="116" t="n"/>
      <c r="G256" s="116" t="n"/>
      <c r="H256" s="116" t="n"/>
      <c r="I256" s="116" t="n"/>
      <c r="J256" s="142">
        <f>P25</f>
        <v/>
      </c>
      <c r="K256" s="149" t="n"/>
      <c r="L256" s="142">
        <f>J256</f>
        <v/>
      </c>
      <c r="M256" s="149" t="n"/>
      <c r="N256" s="142">
        <f>L256</f>
        <v/>
      </c>
      <c r="O256" s="149" t="n"/>
      <c r="P256" s="142">
        <f>N256</f>
        <v/>
      </c>
      <c r="Q256" s="149" t="n"/>
      <c r="R256" s="142">
        <f>P256</f>
        <v/>
      </c>
      <c r="S256" s="149" t="n"/>
      <c r="T256" s="142">
        <f>R256</f>
        <v/>
      </c>
      <c r="U256" s="149" t="n"/>
      <c r="V256" s="142">
        <f>T256</f>
        <v/>
      </c>
      <c r="W256" s="149" t="n"/>
      <c r="X256" s="142">
        <f>V256</f>
        <v/>
      </c>
      <c r="Y256" s="149" t="n"/>
      <c r="Z256" s="142">
        <f>X256</f>
        <v/>
      </c>
      <c r="AA256" s="149" t="n"/>
      <c r="AB256" s="142">
        <f>Z256</f>
        <v/>
      </c>
      <c r="AC256" s="149" t="n"/>
      <c r="AD256" s="142">
        <f>AB256</f>
        <v/>
      </c>
      <c r="AE256" s="149" t="n"/>
      <c r="AF256" s="142">
        <f>AD256</f>
        <v/>
      </c>
      <c r="AG256" s="149" t="n"/>
      <c r="AH256" s="142">
        <f>AF256</f>
        <v/>
      </c>
    </row>
    <row r="258">
      <c r="B258" s="118" t="inlineStr">
        <is>
          <t>III.</t>
        </is>
      </c>
      <c r="C258" s="116" t="n"/>
      <c r="D258" s="118" t="inlineStr">
        <is>
          <t>Rate Per Hour</t>
        </is>
      </c>
      <c r="E258" s="116" t="n"/>
      <c r="F258" s="116" t="n"/>
      <c r="G258" s="116" t="n"/>
      <c r="H258" s="116" t="n"/>
      <c r="I258" s="116" t="n"/>
      <c r="J258" s="116" t="n"/>
      <c r="K258" s="116" t="n"/>
      <c r="L258" s="116" t="n"/>
      <c r="M258" s="116" t="n"/>
      <c r="N258" s="116" t="n"/>
      <c r="O258" s="116" t="n"/>
      <c r="P258" s="116" t="n"/>
      <c r="Q258" s="116" t="n"/>
      <c r="R258" s="116" t="n"/>
      <c r="S258" s="116" t="n"/>
      <c r="T258" s="116" t="n"/>
      <c r="U258" s="116" t="n"/>
      <c r="V258" s="116" t="n"/>
      <c r="W258" s="116" t="n"/>
      <c r="X258" s="116" t="n"/>
      <c r="Y258" s="116" t="n"/>
      <c r="Z258" s="116" t="n"/>
      <c r="AA258" s="116" t="n"/>
      <c r="AB258" s="116" t="n"/>
      <c r="AC258" s="116" t="n"/>
      <c r="AD258" s="116" t="n"/>
      <c r="AE258" s="116" t="n"/>
      <c r="AF258" s="116" t="n"/>
      <c r="AG258" s="116" t="n"/>
      <c r="AH258" s="116" t="n"/>
    </row>
    <row r="259" ht="4.5" customHeight="1" s="1883">
      <c r="B259" s="116" t="n"/>
      <c r="C259" s="116" t="n"/>
      <c r="D259" s="116" t="n"/>
      <c r="E259" s="116" t="n"/>
      <c r="F259" s="116" t="n"/>
      <c r="G259" s="116" t="n"/>
      <c r="H259" s="116" t="n"/>
      <c r="I259" s="116" t="n"/>
      <c r="J259" s="116" t="n"/>
      <c r="K259" s="116" t="n"/>
      <c r="L259" s="116" t="n"/>
      <c r="M259" s="116" t="n"/>
      <c r="N259" s="116" t="n"/>
      <c r="O259" s="116" t="n"/>
      <c r="P259" s="116" t="n"/>
      <c r="Q259" s="116" t="n"/>
      <c r="R259" s="116" t="n"/>
      <c r="S259" s="116" t="n"/>
      <c r="T259" s="116" t="n"/>
      <c r="U259" s="116" t="n"/>
      <c r="V259" s="116" t="n"/>
      <c r="W259" s="116" t="n"/>
      <c r="X259" s="116" t="n"/>
      <c r="Y259" s="116" t="n"/>
      <c r="Z259" s="116" t="n"/>
      <c r="AA259" s="116" t="n"/>
      <c r="AB259" s="116" t="n"/>
      <c r="AC259" s="116" t="n"/>
      <c r="AD259" s="116" t="n"/>
      <c r="AE259" s="116" t="n"/>
      <c r="AF259" s="116" t="n"/>
      <c r="AG259" s="116" t="n"/>
      <c r="AH259" s="116" t="n"/>
    </row>
    <row r="260">
      <c r="B260" s="116" t="n"/>
      <c r="C260" s="116" t="n"/>
      <c r="D260" s="116" t="n"/>
      <c r="E260" s="116" t="inlineStr">
        <is>
          <t>Gross</t>
        </is>
      </c>
      <c r="F260" s="116" t="n"/>
      <c r="G260" s="116" t="n"/>
      <c r="H260" s="116" t="n"/>
      <c r="I260" s="116" t="n"/>
      <c r="J260" s="2029">
        <f>($N$25)</f>
        <v/>
      </c>
      <c r="K260" s="2029" t="n"/>
      <c r="L260" s="2029">
        <f>J260</f>
        <v/>
      </c>
      <c r="M260" s="2029" t="n"/>
      <c r="N260" s="2029">
        <f>L260</f>
        <v/>
      </c>
      <c r="O260" s="2029" t="n"/>
      <c r="P260" s="2029">
        <f>N260</f>
        <v/>
      </c>
      <c r="Q260" s="2029" t="n"/>
      <c r="R260" s="2029">
        <f>P260</f>
        <v/>
      </c>
      <c r="S260" s="2029" t="n"/>
      <c r="T260" s="2029">
        <f>R260</f>
        <v/>
      </c>
      <c r="U260" s="2029" t="n"/>
      <c r="V260" s="2029">
        <f>T260</f>
        <v/>
      </c>
      <c r="W260" s="2029">
        <f>($N$21)</f>
        <v/>
      </c>
      <c r="X260" s="2029">
        <f>V260</f>
        <v/>
      </c>
      <c r="Y260" s="2029" t="n"/>
      <c r="Z260" s="2029">
        <f>X260</f>
        <v/>
      </c>
      <c r="AA260" s="2029" t="n"/>
      <c r="AB260" s="2029">
        <f>Z260</f>
        <v/>
      </c>
      <c r="AC260" s="2029" t="n"/>
      <c r="AD260" s="2029">
        <f>AB260</f>
        <v/>
      </c>
      <c r="AE260" s="2029" t="n"/>
      <c r="AF260" s="2029">
        <f>AD260</f>
        <v/>
      </c>
      <c r="AG260" s="2029" t="n"/>
      <c r="AH260" s="2029">
        <f>AF260</f>
        <v/>
      </c>
    </row>
    <row r="261">
      <c r="B261" s="116" t="n"/>
      <c r="C261" s="116" t="n"/>
      <c r="D261" s="116" t="n"/>
      <c r="E261" s="116" t="inlineStr">
        <is>
          <t>Discount</t>
        </is>
      </c>
      <c r="F261" s="116" t="n"/>
      <c r="G261" s="116" t="n"/>
      <c r="H261" s="116" t="n"/>
      <c r="I261" s="116" t="n"/>
      <c r="J261" s="119">
        <f>(($R$21))</f>
        <v/>
      </c>
      <c r="K261" s="119" t="n"/>
      <c r="L261" s="119">
        <f>(($R$21))</f>
        <v/>
      </c>
      <c r="M261" s="119" t="n"/>
      <c r="N261" s="119">
        <f>(($R$21))</f>
        <v/>
      </c>
      <c r="O261" s="119" t="n"/>
      <c r="P261" s="119">
        <f>(($R$21))</f>
        <v/>
      </c>
      <c r="Q261" s="964" t="n"/>
      <c r="R261" s="119">
        <f>(($R$21))</f>
        <v/>
      </c>
      <c r="S261" s="964" t="n"/>
      <c r="T261" s="119">
        <f>(($R$21))</f>
        <v/>
      </c>
      <c r="U261" s="119" t="n"/>
      <c r="V261" s="119">
        <f>(($R$21))</f>
        <v/>
      </c>
      <c r="W261" s="960" t="n"/>
      <c r="X261" s="119">
        <f>(($R$21))</f>
        <v/>
      </c>
      <c r="Y261" s="960" t="n"/>
      <c r="Z261" s="119">
        <f>(($R$21))</f>
        <v/>
      </c>
      <c r="AA261" s="119" t="n"/>
      <c r="AB261" s="119">
        <f>(($R$21))</f>
        <v/>
      </c>
      <c r="AC261" s="961" t="n"/>
      <c r="AD261" s="119">
        <f>(($R$21))</f>
        <v/>
      </c>
      <c r="AE261" s="961" t="n"/>
      <c r="AF261" s="119">
        <f>(($R$21))</f>
        <v/>
      </c>
      <c r="AG261" s="116" t="n"/>
      <c r="AH261" s="128">
        <f>(((J261)+(L261)+(N261)+(P261)+(R261)+(T261)+(V261)+(X261)+(Z261)+(AB261)+(AD261)+(AF261))/(12))</f>
        <v/>
      </c>
    </row>
    <row r="262" ht="3" customHeight="1" s="1883">
      <c r="B262" s="116" t="n"/>
      <c r="C262" s="116" t="n"/>
      <c r="D262" s="116" t="n"/>
      <c r="E262" s="116" t="n"/>
      <c r="F262" s="116" t="n"/>
      <c r="G262" s="116" t="n"/>
      <c r="H262" s="116" t="n"/>
      <c r="I262" s="116" t="n"/>
      <c r="J262" s="950" t="n"/>
      <c r="K262" s="116" t="n"/>
      <c r="L262" s="950" t="n"/>
      <c r="M262" s="116" t="n"/>
      <c r="N262" s="950" t="n"/>
      <c r="O262" s="116" t="n"/>
      <c r="P262" s="950" t="n"/>
      <c r="Q262" s="116" t="n"/>
      <c r="R262" s="950" t="n"/>
      <c r="S262" s="116" t="n"/>
      <c r="T262" s="950" t="n"/>
      <c r="U262" s="116" t="n"/>
      <c r="V262" s="950" t="n"/>
      <c r="W262" s="116" t="n"/>
      <c r="X262" s="950" t="n"/>
      <c r="Y262" s="116" t="n"/>
      <c r="Z262" s="950" t="n"/>
      <c r="AA262" s="116" t="n"/>
      <c r="AB262" s="950" t="n"/>
      <c r="AC262" s="116" t="n"/>
      <c r="AD262" s="950" t="n"/>
      <c r="AE262" s="116" t="n"/>
      <c r="AF262" s="950" t="n"/>
      <c r="AG262" s="116" t="n"/>
      <c r="AH262" s="950" t="n"/>
    </row>
    <row r="263" ht="3" customHeight="1" s="1883">
      <c r="B263" s="116" t="n"/>
      <c r="C263" s="116" t="n"/>
      <c r="D263" s="116" t="n"/>
      <c r="E263" s="116" t="n"/>
      <c r="F263" s="116" t="n"/>
      <c r="G263" s="116" t="n"/>
      <c r="H263" s="116" t="n"/>
      <c r="I263" s="116" t="n"/>
      <c r="J263" s="116" t="n"/>
      <c r="K263" s="116" t="n"/>
      <c r="L263" s="116" t="n"/>
      <c r="M263" s="116" t="n"/>
      <c r="N263" s="116" t="n"/>
      <c r="O263" s="116" t="n"/>
      <c r="P263" s="116" t="n"/>
      <c r="Q263" s="116" t="n"/>
      <c r="R263" s="116" t="n"/>
      <c r="S263" s="116" t="n"/>
      <c r="T263" s="116" t="n"/>
      <c r="U263" s="116" t="n"/>
      <c r="V263" s="116" t="n"/>
      <c r="W263" s="116" t="n"/>
      <c r="X263" s="116" t="n"/>
      <c r="Y263" s="116" t="n"/>
      <c r="Z263" s="116" t="n"/>
      <c r="AA263" s="116" t="n"/>
      <c r="AB263" s="116" t="n"/>
      <c r="AC263" s="116" t="n"/>
      <c r="AD263" s="116" t="n"/>
      <c r="AE263" s="116" t="n"/>
      <c r="AF263" s="116" t="n"/>
      <c r="AG263" s="116" t="n"/>
      <c r="AH263" s="116" t="n"/>
    </row>
    <row r="264">
      <c r="B264" s="116" t="n"/>
      <c r="C264" s="116" t="n"/>
      <c r="D264" s="116" t="n"/>
      <c r="E264" s="116" t="n"/>
      <c r="F264" s="118" t="inlineStr">
        <is>
          <t>Rate Per Hour, Net</t>
        </is>
      </c>
      <c r="G264" s="116" t="n"/>
      <c r="H264" s="116" t="n"/>
      <c r="I264" s="116" t="n"/>
      <c r="J264" s="2030">
        <f>((J260)*((1)-(J261)))</f>
        <v/>
      </c>
      <c r="K264" s="2030" t="n"/>
      <c r="L264" s="2030">
        <f>((L260)*((1)-(L261)))</f>
        <v/>
      </c>
      <c r="M264" s="2030" t="n"/>
      <c r="N264" s="2030">
        <f>((N260)*((1)-(N261)))</f>
        <v/>
      </c>
      <c r="O264" s="2030" t="n"/>
      <c r="P264" s="2030">
        <f>((P260)*((1)-(P261)))</f>
        <v/>
      </c>
      <c r="Q264" s="2030" t="n"/>
      <c r="R264" s="2030">
        <f>((R260)*((1)-(R261)))</f>
        <v/>
      </c>
      <c r="S264" s="2030" t="n"/>
      <c r="T264" s="2030">
        <f>((T260)*((1)-(T261)))</f>
        <v/>
      </c>
      <c r="U264" s="2030" t="n"/>
      <c r="V264" s="2030">
        <f>((V260)*((1)-(V261)))</f>
        <v/>
      </c>
      <c r="W264" s="2030" t="n"/>
      <c r="X264" s="2030">
        <f>((X260)*((1)-(X261)))</f>
        <v/>
      </c>
      <c r="Y264" s="2030" t="n"/>
      <c r="Z264" s="2030">
        <f>((Z260)*((1)-(Z261)))</f>
        <v/>
      </c>
      <c r="AA264" s="2030" t="n"/>
      <c r="AB264" s="2030">
        <f>((AB260)*((1)-(AB261)))</f>
        <v/>
      </c>
      <c r="AC264" s="2030" t="n"/>
      <c r="AD264" s="2030">
        <f>((AD260)*((1)-(AD261)))</f>
        <v/>
      </c>
      <c r="AE264" s="2030" t="n"/>
      <c r="AF264" s="2030">
        <f>((AF260)*((1)-(AF261)))</f>
        <v/>
      </c>
      <c r="AG264" s="116" t="n"/>
      <c r="AH264" s="2030">
        <f>((AH260)*((1)-(AH261)))</f>
        <v/>
      </c>
    </row>
    <row r="265" ht="3" customHeight="1" s="1883">
      <c r="B265" s="116" t="n"/>
      <c r="C265" s="116" t="n"/>
      <c r="D265" s="116" t="n"/>
      <c r="E265" s="116" t="n"/>
      <c r="F265" s="116" t="n"/>
      <c r="G265" s="116" t="n"/>
      <c r="H265" s="116" t="n"/>
      <c r="I265" s="116" t="n"/>
      <c r="J265" s="121" t="n"/>
      <c r="K265" s="116" t="n"/>
      <c r="L265" s="121" t="n"/>
      <c r="M265" s="116" t="n"/>
      <c r="N265" s="121" t="n"/>
      <c r="O265" s="116" t="n"/>
      <c r="P265" s="121" t="n"/>
      <c r="Q265" s="116" t="n"/>
      <c r="R265" s="121" t="n"/>
      <c r="S265" s="116" t="n"/>
      <c r="T265" s="121" t="n"/>
      <c r="U265" s="116" t="n"/>
      <c r="V265" s="121" t="n"/>
      <c r="W265" s="116" t="n"/>
      <c r="X265" s="121" t="n"/>
      <c r="Y265" s="116" t="n"/>
      <c r="Z265" s="121" t="n"/>
      <c r="AA265" s="116" t="n"/>
      <c r="AB265" s="121" t="n"/>
      <c r="AC265" s="116" t="n"/>
      <c r="AD265" s="121" t="n"/>
      <c r="AE265" s="116" t="n"/>
      <c r="AF265" s="121" t="n"/>
      <c r="AG265" s="116" t="n"/>
      <c r="AH265" s="121" t="n"/>
    </row>
    <row r="266">
      <c r="B266" s="116" t="n"/>
      <c r="C266" s="116" t="n"/>
      <c r="D266" s="116" t="n"/>
      <c r="E266" s="116" t="n"/>
      <c r="F266" s="116" t="n"/>
      <c r="G266" s="116" t="n"/>
      <c r="H266" s="116" t="n"/>
      <c r="I266" s="116" t="n"/>
      <c r="J266" s="116" t="n"/>
      <c r="K266" s="116" t="n"/>
      <c r="L266" s="116" t="n"/>
      <c r="M266" s="116" t="n"/>
      <c r="N266" s="116" t="n"/>
      <c r="O266" s="116" t="n"/>
      <c r="P266" s="116" t="n"/>
      <c r="Q266" s="116" t="n"/>
      <c r="R266" s="116" t="n"/>
      <c r="S266" s="116" t="n"/>
      <c r="T266" s="116" t="n"/>
      <c r="U266" s="116" t="n"/>
      <c r="V266" s="116" t="n"/>
      <c r="W266" s="116" t="n"/>
      <c r="X266" s="116" t="n"/>
      <c r="Y266" s="116" t="n"/>
      <c r="Z266" s="116" t="n"/>
      <c r="AA266" s="116" t="n"/>
      <c r="AB266" s="116" t="n"/>
      <c r="AC266" s="116" t="n"/>
      <c r="AD266" s="116" t="n"/>
      <c r="AE266" s="116" t="n"/>
      <c r="AF266" s="116" t="n"/>
      <c r="AG266" s="116" t="n"/>
      <c r="AH266" s="116" t="n"/>
    </row>
    <row r="267">
      <c r="B267" s="116" t="n"/>
      <c r="C267" s="116" t="n"/>
      <c r="D267" s="116" t="n"/>
      <c r="E267" s="116" t="n"/>
      <c r="F267" s="116" t="n"/>
      <c r="G267" s="116" t="n"/>
      <c r="H267" s="116" t="n"/>
      <c r="I267" s="116" t="n"/>
      <c r="J267" s="116" t="n"/>
      <c r="K267" s="116" t="n"/>
      <c r="L267" s="116" t="n"/>
      <c r="M267" s="116" t="n"/>
      <c r="N267" s="116" t="n"/>
      <c r="O267" s="116" t="n"/>
      <c r="P267" s="116" t="n"/>
      <c r="Q267" s="116" t="n"/>
      <c r="R267" s="116" t="n"/>
      <c r="S267" s="116" t="n"/>
      <c r="T267" s="116" t="n"/>
      <c r="U267" s="116" t="n"/>
      <c r="V267" s="116" t="n"/>
      <c r="W267" s="116" t="n"/>
      <c r="X267" s="116" t="n"/>
      <c r="Y267" s="116" t="n"/>
      <c r="Z267" s="116" t="n"/>
      <c r="AA267" s="116" t="n"/>
      <c r="AB267" s="116" t="n"/>
      <c r="AC267" s="116" t="n"/>
      <c r="AD267" s="116" t="n"/>
      <c r="AE267" s="116" t="n"/>
      <c r="AF267" s="116" t="n"/>
      <c r="AG267" s="116" t="n"/>
      <c r="AH267" s="116" t="n"/>
    </row>
    <row r="268">
      <c r="B268" s="116" t="n"/>
      <c r="C268" s="116" t="n"/>
      <c r="D268" s="116" t="n"/>
      <c r="E268" s="116" t="n"/>
      <c r="F268" s="962" t="inlineStr">
        <is>
          <t>Gross Revenue</t>
        </is>
      </c>
      <c r="G268" s="116" t="n"/>
      <c r="H268" s="116" t="n"/>
      <c r="I268" s="116" t="n"/>
      <c r="J268" s="963">
        <f>((J255)*(J256)*(J264))</f>
        <v/>
      </c>
      <c r="K268" s="963">
        <f>((K255)*(K264))</f>
        <v/>
      </c>
      <c r="L268" s="963">
        <f>((L255)*(L256)*(L264))</f>
        <v/>
      </c>
      <c r="M268" s="963">
        <f>((M255)*(M264))</f>
        <v/>
      </c>
      <c r="N268" s="963">
        <f>((N255)*(N256)*(N264))</f>
        <v/>
      </c>
      <c r="O268" s="963">
        <f>((O255)*(O264))</f>
        <v/>
      </c>
      <c r="P268" s="963">
        <f>((P255)*(P256)*(P264))</f>
        <v/>
      </c>
      <c r="Q268" s="963">
        <f>((Q255)*(Q264))</f>
        <v/>
      </c>
      <c r="R268" s="963">
        <f>((R255)*(R256)*(R264))</f>
        <v/>
      </c>
      <c r="S268" s="963">
        <f>((S255)*(S264))</f>
        <v/>
      </c>
      <c r="T268" s="963">
        <f>((T255)*(T256)*(T264))</f>
        <v/>
      </c>
      <c r="U268" s="963">
        <f>((U255)*(U264))</f>
        <v/>
      </c>
      <c r="V268" s="963">
        <f>((V255)*(V256)*(V264))</f>
        <v/>
      </c>
      <c r="W268" s="963">
        <f>((W255)*(W264))</f>
        <v/>
      </c>
      <c r="X268" s="963">
        <f>((X255)*(X256)*(X264))</f>
        <v/>
      </c>
      <c r="Y268" s="963">
        <f>((Y255)*(Y264))</f>
        <v/>
      </c>
      <c r="Z268" s="963">
        <f>((Z255)*(Z256)*(Z264))</f>
        <v/>
      </c>
      <c r="AA268" s="963">
        <f>((AA255)*(AA264))</f>
        <v/>
      </c>
      <c r="AB268" s="963">
        <f>((AB255)*(AB256)*(AB264))</f>
        <v/>
      </c>
      <c r="AC268" s="963">
        <f>((AC255)*(AC264))</f>
        <v/>
      </c>
      <c r="AD268" s="963">
        <f>((AD255)*(AD256)*(AD264))</f>
        <v/>
      </c>
      <c r="AE268" s="963">
        <f>((AE255)*(AE264))</f>
        <v/>
      </c>
      <c r="AF268" s="963">
        <f>((AF255)*(AF256)*(AF264))</f>
        <v/>
      </c>
      <c r="AG268" s="116" t="n"/>
      <c r="AH268" s="963">
        <f>((AH255)*(AH256)*(AH264))</f>
        <v/>
      </c>
    </row>
  </sheetData>
  <mergeCells count="7">
    <mergeCell ref="J191:AH191"/>
    <mergeCell ref="J231:AH231"/>
    <mergeCell ref="J151:AH151"/>
    <mergeCell ref="J12:T12"/>
    <mergeCell ref="J28:AH28"/>
    <mergeCell ref="J70:AH70"/>
    <mergeCell ref="J111:AH111"/>
  </mergeCells>
  <printOptions horizontalCentered="1" gridLines="1"/>
  <pageMargins left="0.7" right="0.7" top="0.75" bottom="0.75" header="0" footer="0"/>
  <pageSetup orientation="landscape" fitToHeight="0" pageOrder="overThenDown" cellComments="atEnd"/>
  <legacyDrawing xmlns:r="http://schemas.openxmlformats.org/officeDocument/2006/relationships" r:id="anysvml"/>
</worksheet>
</file>

<file path=xl/worksheets/sheet11.xml><?xml version="1.0" encoding="utf-8"?>
<worksheet xmlns="http://schemas.openxmlformats.org/spreadsheetml/2006/main">
  <sheetPr>
    <tabColor rgb="FFCCFFCC"/>
    <outlinePr summaryBelow="0" summaryRight="0"/>
    <pageSetUpPr fitToPage="1"/>
  </sheetPr>
  <dimension ref="B2:CF399"/>
  <sheetViews>
    <sheetView topLeftCell="A45" workbookViewId="0">
      <selection activeCell="G15" sqref="G15"/>
    </sheetView>
  </sheetViews>
  <sheetFormatPr baseColWidth="10" defaultColWidth="17.33203125" defaultRowHeight="15" customHeight="1"/>
  <cols>
    <col width="2.6640625" customWidth="1" style="1883" min="1" max="1"/>
    <col width="4.6640625" customWidth="1" style="1883" min="2" max="2"/>
    <col width="0.6640625" customWidth="1" style="1883" min="3" max="3"/>
    <col width="18.6640625" customWidth="1" style="1883" min="4" max="5"/>
    <col width="1.6640625" customWidth="1" style="1883" min="6" max="6"/>
    <col width="15.6640625" customWidth="1" style="1883" min="7" max="78"/>
    <col width="1.5" customWidth="1" style="1883" min="79" max="79"/>
    <col width="15.6640625" customWidth="1" style="1883" min="80" max="80"/>
    <col width="2.5" customWidth="1" style="1883" min="81" max="81"/>
    <col width="18.6640625" customWidth="1" style="1883" min="82" max="83"/>
    <col width="21.6640625" customWidth="1" style="1883" min="84" max="84"/>
    <col width="15.6640625" customWidth="1" style="1883" min="85" max="93"/>
  </cols>
  <sheetData>
    <row r="2" ht="15" customHeight="1" s="1883">
      <c r="D2" s="385" t="inlineStr">
        <is>
          <t>PURE TECHNOLOGY</t>
        </is>
      </c>
    </row>
    <row r="3" ht="4.5" customHeight="1" s="1883">
      <c r="D3" s="383" t="n"/>
    </row>
    <row r="4" ht="15" customHeight="1" s="1883">
      <c r="D4" s="423" t="inlineStr">
        <is>
          <t xml:space="preserve">TELEPHONE - ATTRITION </t>
        </is>
      </c>
    </row>
    <row r="5" ht="4.5" customHeight="1" s="1883">
      <c r="D5" s="422" t="n"/>
    </row>
    <row r="6" ht="15" customHeight="1" s="1883">
      <c r="D6" s="423" t="inlineStr">
        <is>
          <t>MONTHS 1 - 72</t>
        </is>
      </c>
    </row>
    <row r="7" ht="15" customHeight="1" s="1883">
      <c r="D7" s="423" t="n"/>
    </row>
    <row r="8" ht="3" customHeight="1" s="1883" thickBot="1">
      <c r="D8" s="817" t="n"/>
      <c r="E8" s="1886" t="n"/>
    </row>
    <row r="9" ht="3" customHeight="1" s="1883" thickTop="1"/>
    <row r="11">
      <c r="B11" s="626" t="n"/>
      <c r="C11" s="626" t="n"/>
      <c r="D11" s="424" t="inlineStr">
        <is>
          <t>Assumption: Monthly Attrition Rate</t>
        </is>
      </c>
      <c r="E11" s="426" t="n"/>
      <c r="F11" s="935" t="n"/>
      <c r="G11" s="425" t="n">
        <v>0.025</v>
      </c>
    </row>
    <row r="12" ht="13" customHeight="1" s="1883">
      <c r="B12" s="626" t="n"/>
      <c r="C12" s="626" t="n"/>
      <c r="D12" s="626" t="n"/>
      <c r="E12" s="626" t="n"/>
      <c r="F12" s="626" t="n"/>
      <c r="G12" s="626" t="n"/>
    </row>
    <row r="13">
      <c r="B13" s="603" t="inlineStr">
        <is>
          <t>I.</t>
        </is>
      </c>
      <c r="C13" s="422" t="n"/>
      <c r="D13" s="423" t="inlineStr">
        <is>
          <t>Telephone - Customer Attrition, by Month, Months  1 - 72</t>
        </is>
      </c>
      <c r="E13" s="626" t="n"/>
      <c r="F13" s="626" t="n"/>
      <c r="G13" s="626" t="n"/>
    </row>
    <row r="17">
      <c r="D17" s="626" t="n"/>
      <c r="E17" s="626" t="n"/>
      <c r="F17" s="626" t="n"/>
      <c r="G17" s="1915" t="inlineStr">
        <is>
          <t>Attrition Volume by Activation Vintage, Months 1 - 72</t>
        </is>
      </c>
      <c r="CC17" s="626" t="n"/>
      <c r="CD17" s="1915" t="inlineStr">
        <is>
          <t>Check</t>
        </is>
      </c>
    </row>
    <row r="18" ht="3" customHeight="1" s="1883">
      <c r="D18" s="626" t="n"/>
      <c r="E18" s="626" t="n"/>
      <c r="F18" s="626" t="n"/>
      <c r="G18" s="926" t="n"/>
      <c r="H18" s="926" t="n"/>
      <c r="I18" s="926" t="n"/>
      <c r="J18" s="926" t="n"/>
      <c r="K18" s="926" t="n"/>
      <c r="L18" s="926" t="n"/>
      <c r="M18" s="926" t="n"/>
      <c r="N18" s="926" t="n"/>
      <c r="O18" s="926" t="n"/>
      <c r="P18" s="926" t="n"/>
      <c r="Q18" s="926" t="n"/>
      <c r="R18" s="926" t="n"/>
      <c r="S18" s="926" t="n"/>
      <c r="T18" s="926" t="n"/>
      <c r="U18" s="926" t="n"/>
      <c r="V18" s="926" t="n"/>
      <c r="W18" s="926" t="n"/>
      <c r="X18" s="926" t="n"/>
      <c r="Y18" s="926" t="n"/>
      <c r="Z18" s="926" t="n"/>
      <c r="AA18" s="926" t="n"/>
      <c r="AB18" s="926" t="n"/>
      <c r="AC18" s="926" t="n"/>
      <c r="AD18" s="926" t="n"/>
      <c r="AE18" s="926" t="n"/>
      <c r="AF18" s="926" t="n"/>
      <c r="AG18" s="926" t="n"/>
      <c r="AH18" s="926" t="n"/>
      <c r="AI18" s="926" t="n"/>
      <c r="AJ18" s="926" t="n"/>
      <c r="AK18" s="926" t="n"/>
      <c r="AL18" s="926" t="n"/>
      <c r="AM18" s="926" t="n"/>
      <c r="AN18" s="926" t="n"/>
      <c r="AO18" s="926" t="n"/>
      <c r="AP18" s="926" t="n"/>
      <c r="AQ18" s="926" t="n"/>
      <c r="AR18" s="926" t="n"/>
      <c r="AS18" s="926" t="n"/>
      <c r="AT18" s="926" t="n"/>
      <c r="AU18" s="926" t="n"/>
      <c r="AV18" s="926" t="n"/>
      <c r="AW18" s="926" t="n"/>
      <c r="AX18" s="926" t="n"/>
      <c r="AY18" s="926" t="n"/>
      <c r="AZ18" s="926" t="n"/>
      <c r="BA18" s="926" t="n"/>
      <c r="BB18" s="926" t="n"/>
      <c r="BC18" s="926" t="n"/>
      <c r="BD18" s="926" t="n"/>
      <c r="BE18" s="926" t="n"/>
      <c r="BF18" s="926" t="n"/>
      <c r="BG18" s="926" t="n"/>
      <c r="BH18" s="926" t="n"/>
      <c r="BI18" s="926" t="n"/>
      <c r="BJ18" s="926" t="n"/>
      <c r="BK18" s="926" t="n"/>
      <c r="BL18" s="926" t="n"/>
      <c r="BM18" s="926" t="n"/>
      <c r="BN18" s="926" t="n"/>
      <c r="BO18" s="965" t="n"/>
      <c r="BP18" s="965" t="n"/>
      <c r="BQ18" s="965" t="n"/>
      <c r="BR18" s="965" t="n"/>
      <c r="BS18" s="965" t="n"/>
      <c r="BT18" s="965" t="n"/>
      <c r="BU18" s="965" t="n"/>
      <c r="BV18" s="965" t="n"/>
      <c r="BW18" s="965" t="n"/>
      <c r="BX18" s="965" t="n"/>
      <c r="BY18" s="965" t="n"/>
      <c r="BZ18" s="965" t="n"/>
      <c r="CA18" s="965" t="n"/>
      <c r="CB18" s="965" t="n"/>
      <c r="CC18" s="626" t="n"/>
      <c r="CD18" s="926" t="n"/>
      <c r="CE18" s="926" t="n"/>
      <c r="CF18" s="965" t="n"/>
    </row>
    <row r="19" ht="3" customHeight="1" s="1883">
      <c r="D19" s="626" t="n"/>
      <c r="E19" s="626" t="n"/>
      <c r="F19" s="626" t="n"/>
      <c r="G19" s="626" t="n"/>
      <c r="H19" s="626" t="n"/>
      <c r="I19" s="626" t="n"/>
      <c r="J19" s="626" t="n"/>
      <c r="K19" s="626" t="n"/>
      <c r="L19" s="626" t="n"/>
      <c r="M19" s="626" t="n"/>
      <c r="N19" s="626" t="n"/>
      <c r="O19" s="626" t="n"/>
      <c r="P19" s="626" t="n"/>
      <c r="Q19" s="626" t="n"/>
      <c r="R19" s="626" t="n"/>
      <c r="S19" s="626" t="n"/>
      <c r="T19" s="626" t="n"/>
      <c r="U19" s="626" t="n"/>
      <c r="V19" s="626" t="n"/>
      <c r="W19" s="626" t="n"/>
      <c r="X19" s="626" t="n"/>
      <c r="Y19" s="626" t="n"/>
      <c r="Z19" s="626" t="n"/>
      <c r="AA19" s="626" t="n"/>
      <c r="AB19" s="626" t="n"/>
      <c r="AC19" s="626" t="n"/>
      <c r="AD19" s="626" t="n"/>
      <c r="AE19" s="626" t="n"/>
      <c r="AF19" s="626" t="n"/>
      <c r="AG19" s="626" t="n"/>
      <c r="AH19" s="626" t="n"/>
      <c r="AI19" s="626" t="n"/>
      <c r="AJ19" s="626" t="n"/>
      <c r="AK19" s="626" t="n"/>
      <c r="AL19" s="626" t="n"/>
      <c r="AM19" s="626" t="n"/>
      <c r="AN19" s="626" t="n"/>
      <c r="AO19" s="626" t="n"/>
      <c r="AP19" s="626" t="n"/>
      <c r="AQ19" s="626" t="n"/>
      <c r="AR19" s="626" t="n"/>
      <c r="AS19" s="626" t="n"/>
      <c r="AT19" s="626" t="n"/>
      <c r="AU19" s="626" t="n"/>
      <c r="AV19" s="626" t="n"/>
      <c r="AW19" s="626" t="n"/>
      <c r="AX19" s="626" t="n"/>
      <c r="AY19" s="626" t="n"/>
      <c r="AZ19" s="626" t="n"/>
      <c r="BA19" s="626" t="n"/>
      <c r="BB19" s="626" t="n"/>
      <c r="BC19" s="626" t="n"/>
      <c r="BD19" s="626" t="n"/>
      <c r="BE19" s="626" t="n"/>
      <c r="BF19" s="626" t="n"/>
      <c r="BG19" s="626" t="n"/>
      <c r="BH19" s="626" t="n"/>
      <c r="BI19" s="626" t="n"/>
      <c r="BJ19" s="626" t="n"/>
      <c r="BK19" s="626" t="n"/>
      <c r="BL19" s="626" t="n"/>
      <c r="BM19" s="626" t="n"/>
      <c r="BN19" s="626" t="n"/>
      <c r="BO19" s="626" t="n"/>
      <c r="BP19" s="626" t="n"/>
      <c r="BQ19" s="626" t="n"/>
      <c r="BR19" s="626" t="n"/>
      <c r="BS19" s="626" t="n"/>
      <c r="BT19" s="626" t="n"/>
      <c r="BU19" s="626" t="n"/>
      <c r="BV19" s="626" t="n"/>
      <c r="BW19" s="626" t="n"/>
      <c r="BX19" s="626" t="n"/>
      <c r="BY19" s="626" t="n"/>
      <c r="BZ19" s="626" t="n"/>
      <c r="CA19" s="626" t="n"/>
      <c r="CB19" s="626" t="n"/>
      <c r="CC19" s="626" t="n"/>
      <c r="CD19" s="626" t="n"/>
      <c r="CE19" s="626" t="n"/>
      <c r="CF19" s="626" t="n"/>
    </row>
    <row r="20" ht="15" customHeight="1" s="1883">
      <c r="E20" s="419" t="inlineStr">
        <is>
          <t>Activation</t>
        </is>
      </c>
      <c r="F20" s="626" t="n"/>
      <c r="G20" s="626" t="n"/>
      <c r="H20" s="626" t="n"/>
      <c r="I20" s="626" t="n"/>
      <c r="J20" s="626" t="n"/>
      <c r="K20" s="626" t="n"/>
      <c r="L20" s="626" t="n"/>
      <c r="M20" s="626" t="n"/>
      <c r="N20" s="626" t="n"/>
      <c r="O20" s="626" t="n"/>
      <c r="P20" s="626" t="n"/>
      <c r="Q20" s="626" t="n"/>
      <c r="R20" s="626" t="n"/>
      <c r="S20" s="626" t="n"/>
      <c r="T20" s="626" t="n"/>
      <c r="U20" s="626" t="n"/>
      <c r="V20" s="626" t="n"/>
      <c r="W20" s="626" t="n"/>
      <c r="X20" s="626" t="n"/>
      <c r="Y20" s="626" t="n"/>
      <c r="Z20" s="626" t="n"/>
      <c r="AA20" s="626" t="n"/>
      <c r="AB20" s="626" t="n"/>
      <c r="AC20" s="626" t="n"/>
      <c r="AD20" s="626" t="n"/>
      <c r="AE20" s="626" t="n"/>
      <c r="AF20" s="626" t="n"/>
      <c r="AG20" s="626" t="n"/>
      <c r="AH20" s="626" t="n"/>
      <c r="AI20" s="626" t="n"/>
      <c r="AJ20" s="626" t="n"/>
      <c r="AK20" s="626" t="n"/>
      <c r="AL20" s="626" t="n"/>
      <c r="AM20" s="626" t="n"/>
      <c r="AN20" s="626" t="n"/>
      <c r="AO20" s="626" t="n"/>
      <c r="AP20" s="626" t="n"/>
      <c r="AQ20" s="626" t="n"/>
      <c r="AR20" s="626" t="n"/>
      <c r="AS20" s="626" t="n"/>
      <c r="AT20" s="626" t="n"/>
      <c r="AU20" s="626" t="n"/>
      <c r="AV20" s="626" t="n"/>
      <c r="AW20" s="626" t="n"/>
      <c r="AX20" s="626" t="n"/>
      <c r="AY20" s="626" t="n"/>
      <c r="AZ20" s="626" t="n"/>
      <c r="BA20" s="626" t="n"/>
      <c r="BB20" s="626" t="n"/>
      <c r="BC20" s="626" t="n"/>
      <c r="BD20" s="626" t="n"/>
      <c r="BE20" s="626" t="n"/>
      <c r="BF20" s="626" t="n"/>
      <c r="BG20" s="626" t="n"/>
      <c r="BH20" s="626" t="n"/>
      <c r="BI20" s="626" t="n"/>
      <c r="BJ20" s="626" t="n"/>
      <c r="BK20" s="626" t="n"/>
      <c r="BL20" s="626" t="n"/>
      <c r="BM20" s="626" t="n"/>
      <c r="BN20" s="626" t="n"/>
      <c r="BO20" s="626" t="n"/>
      <c r="BP20" s="626" t="n"/>
      <c r="BQ20" s="626" t="n"/>
      <c r="BR20" s="626" t="n"/>
      <c r="BS20" s="626" t="n"/>
      <c r="BT20" s="626" t="n"/>
      <c r="BU20" s="626" t="n"/>
      <c r="BV20" s="626" t="n"/>
      <c r="BW20" s="626" t="n"/>
      <c r="BX20" s="626" t="n"/>
      <c r="BY20" s="626" t="n"/>
      <c r="BZ20" s="626" t="n"/>
      <c r="CA20" s="626" t="n"/>
      <c r="CE20" s="419" t="inlineStr">
        <is>
          <t>Activation</t>
        </is>
      </c>
      <c r="CF20" s="419" t="inlineStr">
        <is>
          <t xml:space="preserve">Perecentage </t>
        </is>
      </c>
    </row>
    <row r="21" ht="15" customHeight="1" s="1883">
      <c r="D21" s="419" t="n"/>
      <c r="E21" s="419" t="inlineStr">
        <is>
          <t>Volume</t>
        </is>
      </c>
      <c r="F21" s="626" t="n"/>
      <c r="G21" s="626" t="n"/>
      <c r="H21" s="626" t="n"/>
      <c r="I21" s="626" t="n"/>
      <c r="J21" s="626" t="n"/>
      <c r="K21" s="626" t="n"/>
      <c r="L21" s="626" t="n"/>
      <c r="M21" s="626" t="n"/>
      <c r="N21" s="626" t="n"/>
      <c r="O21" s="626" t="n"/>
      <c r="P21" s="626" t="n"/>
      <c r="Q21" s="626" t="n"/>
      <c r="R21" s="626" t="n"/>
      <c r="S21" s="626" t="n"/>
      <c r="T21" s="626" t="n"/>
      <c r="U21" s="626" t="n"/>
      <c r="V21" s="626" t="n"/>
      <c r="W21" s="626" t="n"/>
      <c r="X21" s="626" t="n"/>
      <c r="Y21" s="626" t="n"/>
      <c r="Z21" s="626" t="n"/>
      <c r="AA21" s="626" t="n"/>
      <c r="AB21" s="626" t="n"/>
      <c r="AC21" s="626" t="n"/>
      <c r="AD21" s="626" t="n"/>
      <c r="AE21" s="626" t="n"/>
      <c r="AF21" s="626" t="n"/>
      <c r="AG21" s="626" t="n"/>
      <c r="AH21" s="626" t="n"/>
      <c r="AI21" s="626" t="n"/>
      <c r="AJ21" s="626" t="n"/>
      <c r="AK21" s="626" t="n"/>
      <c r="AL21" s="626" t="n"/>
      <c r="AM21" s="626" t="n"/>
      <c r="AN21" s="626" t="n"/>
      <c r="AO21" s="626" t="n"/>
      <c r="AP21" s="626" t="n"/>
      <c r="AQ21" s="626" t="n"/>
      <c r="AR21" s="626" t="n"/>
      <c r="AS21" s="626" t="n"/>
      <c r="AT21" s="626" t="n"/>
      <c r="AU21" s="626" t="n"/>
      <c r="AV21" s="626" t="n"/>
      <c r="AW21" s="626" t="n"/>
      <c r="AX21" s="626" t="n"/>
      <c r="AY21" s="626" t="n"/>
      <c r="AZ21" s="626" t="n"/>
      <c r="BA21" s="626" t="n"/>
      <c r="BB21" s="626" t="n"/>
      <c r="BC21" s="626" t="n"/>
      <c r="BD21" s="626" t="n"/>
      <c r="BE21" s="626" t="n"/>
      <c r="BF21" s="626" t="n"/>
      <c r="BG21" s="626" t="n"/>
      <c r="BH21" s="626" t="n"/>
      <c r="BI21" s="626" t="n"/>
      <c r="BJ21" s="626" t="n"/>
      <c r="BK21" s="626" t="n"/>
      <c r="BL21" s="626" t="n"/>
      <c r="BM21" s="626" t="n"/>
      <c r="BN21" s="626" t="n"/>
      <c r="BO21" s="626" t="n"/>
      <c r="BP21" s="626" t="n"/>
      <c r="BQ21" s="626" t="n"/>
      <c r="BR21" s="626" t="n"/>
      <c r="BS21" s="626" t="n"/>
      <c r="BT21" s="626" t="n"/>
      <c r="BU21" s="626" t="n"/>
      <c r="BV21" s="626" t="n"/>
      <c r="BW21" s="626" t="n"/>
      <c r="BX21" s="626" t="n"/>
      <c r="BY21" s="626" t="n"/>
      <c r="BZ21" s="626" t="n"/>
      <c r="CA21" s="626" t="n"/>
      <c r="CE21" s="419" t="inlineStr">
        <is>
          <t>Less</t>
        </is>
      </c>
      <c r="CF21" s="419" t="inlineStr">
        <is>
          <t>of Original Customers</t>
        </is>
      </c>
    </row>
    <row r="22" ht="15" customHeight="1" s="1883">
      <c r="D22" s="419" t="inlineStr">
        <is>
          <t>Activation</t>
        </is>
      </c>
      <c r="E22" s="386" t="inlineStr">
        <is>
          <t>By Month</t>
        </is>
      </c>
      <c r="F22" s="626" t="n"/>
      <c r="G22" s="626" t="n"/>
      <c r="H22" s="626" t="n"/>
      <c r="I22" s="626" t="n"/>
      <c r="J22" s="626" t="n"/>
      <c r="K22" s="626" t="n"/>
      <c r="L22" s="626" t="n"/>
      <c r="M22" s="626" t="n"/>
      <c r="N22" s="626" t="n"/>
      <c r="O22" s="626" t="n"/>
      <c r="P22" s="626" t="n"/>
      <c r="Q22" s="626" t="n"/>
      <c r="R22" s="626" t="n"/>
      <c r="S22" s="626" t="n"/>
      <c r="T22" s="626" t="n"/>
      <c r="U22" s="626" t="n"/>
      <c r="V22" s="626" t="n"/>
      <c r="W22" s="626" t="n"/>
      <c r="X22" s="626" t="n"/>
      <c r="Y22" s="626" t="n"/>
      <c r="Z22" s="626" t="n"/>
      <c r="AA22" s="626" t="n"/>
      <c r="AB22" s="626" t="n"/>
      <c r="AC22" s="626" t="n"/>
      <c r="AD22" s="626" t="n"/>
      <c r="AE22" s="626" t="n"/>
      <c r="AF22" s="626" t="n"/>
      <c r="AG22" s="626" t="n"/>
      <c r="AH22" s="626" t="n"/>
      <c r="AI22" s="626" t="n"/>
      <c r="AJ22" s="626" t="n"/>
      <c r="AK22" s="626" t="n"/>
      <c r="AL22" s="626" t="n"/>
      <c r="AM22" s="626" t="n"/>
      <c r="AN22" s="626" t="n"/>
      <c r="AO22" s="626" t="n"/>
      <c r="AP22" s="626" t="n"/>
      <c r="AQ22" s="626" t="n"/>
      <c r="AR22" s="626" t="n"/>
      <c r="AS22" s="626" t="n"/>
      <c r="AT22" s="626" t="n"/>
      <c r="AU22" s="626" t="n"/>
      <c r="AV22" s="626" t="n"/>
      <c r="AW22" s="626" t="n"/>
      <c r="AX22" s="626" t="n"/>
      <c r="AY22" s="626" t="n"/>
      <c r="AZ22" s="626" t="n"/>
      <c r="BA22" s="626" t="n"/>
      <c r="BB22" s="626" t="n"/>
      <c r="BC22" s="626" t="n"/>
      <c r="BD22" s="626" t="n"/>
      <c r="BE22" s="626" t="n"/>
      <c r="BF22" s="626" t="n"/>
      <c r="BG22" s="626" t="n"/>
      <c r="BH22" s="626" t="n"/>
      <c r="BI22" s="626" t="n"/>
      <c r="BJ22" s="626" t="n"/>
      <c r="BK22" s="626" t="n"/>
      <c r="BL22" s="626" t="n"/>
      <c r="BM22" s="626" t="n"/>
      <c r="BN22" s="626" t="n"/>
      <c r="BO22" s="626" t="n"/>
      <c r="BP22" s="626" t="n"/>
      <c r="BQ22" s="626" t="n"/>
      <c r="BR22" s="626" t="n"/>
      <c r="BS22" s="626" t="n"/>
      <c r="BT22" s="626" t="n"/>
      <c r="BU22" s="626" t="n"/>
      <c r="BV22" s="626" t="n"/>
      <c r="BW22" s="626" t="n"/>
      <c r="BX22" s="626" t="n"/>
      <c r="BY22" s="626" t="n"/>
      <c r="BZ22" s="626" t="n"/>
      <c r="CA22" s="626" t="n"/>
      <c r="CB22" s="419" t="inlineStr">
        <is>
          <t>Attrition</t>
        </is>
      </c>
      <c r="CC22" s="421" t="n"/>
      <c r="CD22" s="419" t="inlineStr">
        <is>
          <t>Total</t>
        </is>
      </c>
      <c r="CE22" s="419" t="inlineStr">
        <is>
          <t>Attrition</t>
        </is>
      </c>
      <c r="CF22" s="419" t="inlineStr">
        <is>
          <t xml:space="preserve">Remaining </t>
        </is>
      </c>
    </row>
    <row r="23">
      <c r="D23" s="117" t="inlineStr">
        <is>
          <t>Vintage</t>
        </is>
      </c>
      <c r="E23" s="386" t="inlineStr">
        <is>
          <t>Of Activation</t>
        </is>
      </c>
      <c r="F23" s="626" t="n"/>
      <c r="G23" s="117" t="inlineStr">
        <is>
          <t>Month 1</t>
        </is>
      </c>
      <c r="H23" s="117" t="inlineStr">
        <is>
          <t>Month 2</t>
        </is>
      </c>
      <c r="I23" s="117" t="inlineStr">
        <is>
          <t>Month 3</t>
        </is>
      </c>
      <c r="J23" s="117" t="inlineStr">
        <is>
          <t>Month 4</t>
        </is>
      </c>
      <c r="K23" s="117" t="inlineStr">
        <is>
          <t>Month 5</t>
        </is>
      </c>
      <c r="L23" s="117" t="inlineStr">
        <is>
          <t>Month 6</t>
        </is>
      </c>
      <c r="M23" s="117" t="inlineStr">
        <is>
          <t>Month 7</t>
        </is>
      </c>
      <c r="N23" s="117" t="inlineStr">
        <is>
          <t>Month 8</t>
        </is>
      </c>
      <c r="O23" s="117" t="inlineStr">
        <is>
          <t>Month 9</t>
        </is>
      </c>
      <c r="P23" s="117" t="inlineStr">
        <is>
          <t>Month 10</t>
        </is>
      </c>
      <c r="Q23" s="117" t="inlineStr">
        <is>
          <t>Month 11</t>
        </is>
      </c>
      <c r="R23" s="966" t="inlineStr">
        <is>
          <t>Month 12</t>
        </is>
      </c>
      <c r="S23" s="117" t="inlineStr">
        <is>
          <t>Month 13</t>
        </is>
      </c>
      <c r="T23" s="117" t="inlineStr">
        <is>
          <t>Month 14</t>
        </is>
      </c>
      <c r="U23" s="117" t="inlineStr">
        <is>
          <t>Month 15</t>
        </is>
      </c>
      <c r="V23" s="117" t="inlineStr">
        <is>
          <t>Month 16</t>
        </is>
      </c>
      <c r="W23" s="117" t="inlineStr">
        <is>
          <t>Month 17</t>
        </is>
      </c>
      <c r="X23" s="117" t="inlineStr">
        <is>
          <t>Month 18</t>
        </is>
      </c>
      <c r="Y23" s="117" t="inlineStr">
        <is>
          <t>Month 19</t>
        </is>
      </c>
      <c r="Z23" s="117" t="inlineStr">
        <is>
          <t>Month 20</t>
        </is>
      </c>
      <c r="AA23" s="117" t="inlineStr">
        <is>
          <t>Month 21</t>
        </is>
      </c>
      <c r="AB23" s="117" t="inlineStr">
        <is>
          <t>Month 22</t>
        </is>
      </c>
      <c r="AC23" s="117" t="inlineStr">
        <is>
          <t>Month 23</t>
        </is>
      </c>
      <c r="AD23" s="1915" t="inlineStr">
        <is>
          <t>Month 24</t>
        </is>
      </c>
      <c r="AE23" s="418" t="inlineStr">
        <is>
          <t>Month 25</t>
        </is>
      </c>
      <c r="AF23" s="117" t="inlineStr">
        <is>
          <t>Month 26</t>
        </is>
      </c>
      <c r="AG23" s="117" t="inlineStr">
        <is>
          <t>Month 27</t>
        </is>
      </c>
      <c r="AH23" s="117" t="inlineStr">
        <is>
          <t>Month 28</t>
        </is>
      </c>
      <c r="AI23" s="117" t="inlineStr">
        <is>
          <t>Month 29</t>
        </is>
      </c>
      <c r="AJ23" s="117" t="inlineStr">
        <is>
          <t>Month 30</t>
        </is>
      </c>
      <c r="AK23" s="117" t="inlineStr">
        <is>
          <t>Month 31</t>
        </is>
      </c>
      <c r="AL23" s="117" t="inlineStr">
        <is>
          <t>Month 32</t>
        </is>
      </c>
      <c r="AM23" s="117" t="inlineStr">
        <is>
          <t>Month 33</t>
        </is>
      </c>
      <c r="AN23" s="117" t="inlineStr">
        <is>
          <t>Month 34</t>
        </is>
      </c>
      <c r="AO23" s="117" t="inlineStr">
        <is>
          <t>Month 35</t>
        </is>
      </c>
      <c r="AP23" s="966" t="inlineStr">
        <is>
          <t>Month 36</t>
        </is>
      </c>
      <c r="AQ23" s="117" t="inlineStr">
        <is>
          <t>Month 37</t>
        </is>
      </c>
      <c r="AR23" s="117" t="inlineStr">
        <is>
          <t>Month 38</t>
        </is>
      </c>
      <c r="AS23" s="117" t="inlineStr">
        <is>
          <t>Month 39</t>
        </is>
      </c>
      <c r="AT23" s="117" t="inlineStr">
        <is>
          <t>Month 40</t>
        </is>
      </c>
      <c r="AU23" s="117" t="inlineStr">
        <is>
          <t>Month 41</t>
        </is>
      </c>
      <c r="AV23" s="117" t="inlineStr">
        <is>
          <t>Month 42</t>
        </is>
      </c>
      <c r="AW23" s="117" t="inlineStr">
        <is>
          <t>Month 43</t>
        </is>
      </c>
      <c r="AX23" s="117" t="inlineStr">
        <is>
          <t>Month 44</t>
        </is>
      </c>
      <c r="AY23" s="117" t="inlineStr">
        <is>
          <t>Month 45</t>
        </is>
      </c>
      <c r="AZ23" s="117" t="inlineStr">
        <is>
          <t>Month 46</t>
        </is>
      </c>
      <c r="BA23" s="117" t="inlineStr">
        <is>
          <t>Month 47</t>
        </is>
      </c>
      <c r="BB23" s="966" t="inlineStr">
        <is>
          <t>Month 48</t>
        </is>
      </c>
      <c r="BC23" s="117" t="inlineStr">
        <is>
          <t>Month 49</t>
        </is>
      </c>
      <c r="BD23" s="117" t="inlineStr">
        <is>
          <t>Month 50</t>
        </is>
      </c>
      <c r="BE23" s="117" t="inlineStr">
        <is>
          <t>Month 51</t>
        </is>
      </c>
      <c r="BF23" s="117" t="inlineStr">
        <is>
          <t>Month 52</t>
        </is>
      </c>
      <c r="BG23" s="117" t="inlineStr">
        <is>
          <t>Month 53</t>
        </is>
      </c>
      <c r="BH23" s="117" t="inlineStr">
        <is>
          <t>Month 54</t>
        </is>
      </c>
      <c r="BI23" s="117" t="inlineStr">
        <is>
          <t>Month 55</t>
        </is>
      </c>
      <c r="BJ23" s="117" t="inlineStr">
        <is>
          <t>Month 56</t>
        </is>
      </c>
      <c r="BK23" s="117" t="inlineStr">
        <is>
          <t>Month 57</t>
        </is>
      </c>
      <c r="BL23" s="117" t="inlineStr">
        <is>
          <t>Month 58</t>
        </is>
      </c>
      <c r="BM23" s="117" t="inlineStr">
        <is>
          <t>Month 59</t>
        </is>
      </c>
      <c r="BN23" s="117" t="inlineStr">
        <is>
          <t>Month 60</t>
        </is>
      </c>
      <c r="BO23" s="117" t="inlineStr">
        <is>
          <t>Month 61</t>
        </is>
      </c>
      <c r="BP23" s="117" t="inlineStr">
        <is>
          <t>Month 62</t>
        </is>
      </c>
      <c r="BQ23" s="117" t="inlineStr">
        <is>
          <t>Month 63</t>
        </is>
      </c>
      <c r="BR23" s="117" t="inlineStr">
        <is>
          <t>Month 64</t>
        </is>
      </c>
      <c r="BS23" s="117" t="inlineStr">
        <is>
          <t>Month 65</t>
        </is>
      </c>
      <c r="BT23" s="117" t="inlineStr">
        <is>
          <t>Month 66</t>
        </is>
      </c>
      <c r="BU23" s="117" t="inlineStr">
        <is>
          <t>Month 67</t>
        </is>
      </c>
      <c r="BV23" s="117" t="inlineStr">
        <is>
          <t>Month 68</t>
        </is>
      </c>
      <c r="BW23" s="117" t="inlineStr">
        <is>
          <t>Month 69</t>
        </is>
      </c>
      <c r="BX23" s="117" t="inlineStr">
        <is>
          <t>Month 70</t>
        </is>
      </c>
      <c r="BY23" s="117" t="inlineStr">
        <is>
          <t>Month 71</t>
        </is>
      </c>
      <c r="BZ23" s="117" t="inlineStr">
        <is>
          <t>Month 72</t>
        </is>
      </c>
      <c r="CA23" s="626" t="n"/>
      <c r="CB23" s="117" t="inlineStr">
        <is>
          <t>Ʃ, Months 2 - 72</t>
        </is>
      </c>
      <c r="CC23" s="626" t="n"/>
      <c r="CD23" s="117" t="inlineStr">
        <is>
          <t>Activations</t>
        </is>
      </c>
      <c r="CE23" s="386" t="inlineStr">
        <is>
          <t>At Month 72</t>
        </is>
      </c>
      <c r="CF23" s="419" t="inlineStr">
        <is>
          <t>At Month 60</t>
        </is>
      </c>
    </row>
    <row r="24" ht="3" customHeight="1" s="1883">
      <c r="D24" s="926" t="n"/>
      <c r="E24" s="926" t="n"/>
      <c r="F24" s="626" t="n"/>
      <c r="G24" s="926" t="n"/>
      <c r="H24" s="926" t="n"/>
      <c r="I24" s="926" t="n"/>
      <c r="J24" s="926" t="n"/>
      <c r="K24" s="926" t="n"/>
      <c r="L24" s="926" t="n"/>
      <c r="M24" s="926" t="n"/>
      <c r="N24" s="926" t="n"/>
      <c r="O24" s="926" t="n"/>
      <c r="P24" s="926" t="n"/>
      <c r="Q24" s="926" t="n"/>
      <c r="R24" s="967" t="n"/>
      <c r="S24" s="926" t="n"/>
      <c r="T24" s="926" t="n"/>
      <c r="U24" s="926" t="n"/>
      <c r="V24" s="926" t="n"/>
      <c r="W24" s="926" t="n"/>
      <c r="X24" s="926" t="n"/>
      <c r="Y24" s="926" t="n"/>
      <c r="Z24" s="926" t="n"/>
      <c r="AA24" s="926" t="n"/>
      <c r="AB24" s="926" t="n"/>
      <c r="AC24" s="926" t="n"/>
      <c r="AD24" s="926" t="n"/>
      <c r="AE24" s="968" t="n"/>
      <c r="AF24" s="926" t="n"/>
      <c r="AG24" s="926" t="n"/>
      <c r="AH24" s="926" t="n"/>
      <c r="AI24" s="926" t="n"/>
      <c r="AJ24" s="926" t="n"/>
      <c r="AK24" s="926" t="n"/>
      <c r="AL24" s="926" t="n"/>
      <c r="AM24" s="926" t="n"/>
      <c r="AN24" s="926" t="n"/>
      <c r="AO24" s="926" t="n"/>
      <c r="AP24" s="967" t="n"/>
      <c r="AQ24" s="926" t="n"/>
      <c r="AR24" s="926" t="n"/>
      <c r="AS24" s="926" t="n"/>
      <c r="AT24" s="926" t="n"/>
      <c r="AU24" s="926" t="n"/>
      <c r="AV24" s="926" t="n"/>
      <c r="AW24" s="926" t="n"/>
      <c r="AX24" s="926" t="n"/>
      <c r="AY24" s="926" t="n"/>
      <c r="AZ24" s="926" t="n"/>
      <c r="BA24" s="926" t="n"/>
      <c r="BB24" s="967" t="n"/>
      <c r="BC24" s="926" t="n"/>
      <c r="BD24" s="926" t="n"/>
      <c r="BE24" s="926" t="n"/>
      <c r="BF24" s="926" t="n"/>
      <c r="BG24" s="926" t="n"/>
      <c r="BH24" s="926" t="n"/>
      <c r="BI24" s="926" t="n"/>
      <c r="BJ24" s="926" t="n"/>
      <c r="BK24" s="926" t="n"/>
      <c r="BL24" s="926" t="n"/>
      <c r="BM24" s="926" t="n"/>
      <c r="BN24" s="926" t="n"/>
      <c r="BO24" s="926" t="n"/>
      <c r="BP24" s="926" t="n"/>
      <c r="BQ24" s="926" t="n"/>
      <c r="BR24" s="926" t="n"/>
      <c r="BS24" s="926" t="n"/>
      <c r="BT24" s="926" t="n"/>
      <c r="BU24" s="926" t="n"/>
      <c r="BV24" s="926" t="n"/>
      <c r="BW24" s="926" t="n"/>
      <c r="BX24" s="926" t="n"/>
      <c r="BY24" s="926" t="n"/>
      <c r="BZ24" s="926" t="n"/>
      <c r="CA24" s="626" t="n"/>
      <c r="CB24" s="926" t="n"/>
      <c r="CC24" s="626" t="n"/>
      <c r="CD24" s="926" t="n"/>
      <c r="CE24" s="926" t="n"/>
      <c r="CF24" s="965" t="n"/>
    </row>
    <row r="25" ht="3" customHeight="1" s="1883">
      <c r="D25" s="626" t="n"/>
      <c r="E25" s="626" t="n"/>
      <c r="F25" s="626" t="n"/>
      <c r="G25" s="1968" t="n"/>
      <c r="H25" s="626" t="n"/>
      <c r="I25" s="626" t="n"/>
      <c r="J25" s="626" t="n"/>
      <c r="K25" s="626" t="n"/>
      <c r="L25" s="626" t="n"/>
      <c r="M25" s="626" t="n"/>
      <c r="N25" s="626" t="n"/>
      <c r="O25" s="626" t="n"/>
      <c r="P25" s="626" t="n"/>
      <c r="Q25" s="626" t="n"/>
      <c r="R25" s="969" t="n"/>
      <c r="S25" s="626" t="n"/>
      <c r="T25" s="626" t="n"/>
      <c r="U25" s="626" t="n"/>
      <c r="V25" s="626" t="n"/>
      <c r="W25" s="626" t="n"/>
      <c r="X25" s="626" t="n"/>
      <c r="Y25" s="626" t="n"/>
      <c r="Z25" s="626" t="n"/>
      <c r="AA25" s="626" t="n"/>
      <c r="AB25" s="1968" t="n"/>
      <c r="AC25" s="1968" t="n"/>
      <c r="AD25" s="1968" t="n"/>
      <c r="AE25" s="970" t="n"/>
      <c r="AF25" s="1968" t="n"/>
      <c r="AG25" s="1968" t="n"/>
      <c r="AH25" s="1968" t="n"/>
      <c r="AI25" s="1968" t="n"/>
      <c r="AJ25" s="1968" t="n"/>
      <c r="AK25" s="1968" t="n"/>
      <c r="AL25" s="1968" t="n"/>
      <c r="AM25" s="1968" t="n"/>
      <c r="AN25" s="1968" t="n"/>
      <c r="AO25" s="1968" t="n"/>
      <c r="AP25" s="969" t="n"/>
      <c r="AQ25" s="1968" t="n"/>
      <c r="AR25" s="1968" t="n"/>
      <c r="AS25" s="1968" t="n"/>
      <c r="AT25" s="1968" t="n"/>
      <c r="AU25" s="1968" t="n"/>
      <c r="AV25" s="1968" t="n"/>
      <c r="AW25" s="1968" t="n"/>
      <c r="AX25" s="1968" t="n"/>
      <c r="AY25" s="1968" t="n"/>
      <c r="AZ25" s="1968" t="n"/>
      <c r="BA25" s="1968" t="n"/>
      <c r="BB25" s="969" t="n"/>
      <c r="BC25" s="1968" t="n"/>
      <c r="BD25" s="1968" t="n"/>
      <c r="BE25" s="1968" t="n"/>
      <c r="BF25" s="1968" t="n"/>
      <c r="BG25" s="1968" t="n"/>
      <c r="BH25" s="1968" t="n"/>
      <c r="BI25" s="1968" t="n"/>
      <c r="BJ25" s="1968" t="n"/>
      <c r="BK25" s="1968" t="n"/>
      <c r="BL25" s="1968" t="n"/>
      <c r="BM25" s="1968" t="n"/>
      <c r="BN25" s="1968" t="n"/>
      <c r="BO25" s="971" t="n"/>
      <c r="BP25" s="1968" t="n"/>
      <c r="BQ25" s="1968" t="n"/>
      <c r="BR25" s="1968" t="n"/>
      <c r="BS25" s="1968" t="n"/>
      <c r="BT25" s="1968" t="n"/>
      <c r="BU25" s="1968" t="n"/>
      <c r="BV25" s="1968" t="n"/>
      <c r="BW25" s="1968" t="n"/>
      <c r="BX25" s="1968" t="n"/>
      <c r="BY25" s="1968" t="n"/>
      <c r="BZ25" s="1968" t="n"/>
      <c r="CA25" s="626" t="n"/>
      <c r="CB25" s="626" t="n"/>
      <c r="CC25" s="626" t="n"/>
      <c r="CD25" s="626" t="n"/>
      <c r="CE25" s="626" t="n"/>
      <c r="CF25" s="626" t="n"/>
    </row>
    <row r="26">
      <c r="D26" s="149" t="inlineStr">
        <is>
          <t>Month 1</t>
        </is>
      </c>
      <c r="E26" s="138">
        <f>'3C. Tel. - Revenue Drivers - 1 '!J22</f>
        <v/>
      </c>
      <c r="F26" s="1968" t="n"/>
      <c r="G26" s="972" t="n"/>
      <c r="H26" s="412">
        <f>(($E$26)*($G$11))</f>
        <v/>
      </c>
      <c r="I26" s="135">
        <f>(($E$26)*($G$11))</f>
        <v/>
      </c>
      <c r="J26" s="135">
        <f>(($E$26)*($G$11))</f>
        <v/>
      </c>
      <c r="K26" s="135">
        <f>(($E$26)*($G$11))</f>
        <v/>
      </c>
      <c r="L26" s="135">
        <f>(($E$26)*($G$11))</f>
        <v/>
      </c>
      <c r="M26" s="135">
        <f>(($E$26)*($G$11))</f>
        <v/>
      </c>
      <c r="N26" s="135">
        <f>(($E$26)*($G$11))</f>
        <v/>
      </c>
      <c r="O26" s="135">
        <f>(($E$26)*($G$11))</f>
        <v/>
      </c>
      <c r="P26" s="135">
        <f>(($E$26)*($G$11))</f>
        <v/>
      </c>
      <c r="Q26" s="135">
        <f>(($E$26)*($G$11))</f>
        <v/>
      </c>
      <c r="R26" s="973">
        <f>(($E$26)*($G$11))</f>
        <v/>
      </c>
      <c r="S26" s="135">
        <f>(($E$26)*($G$11))</f>
        <v/>
      </c>
      <c r="T26" s="135">
        <f>(($E$26)*($G$11))</f>
        <v/>
      </c>
      <c r="U26" s="135">
        <f>(($E$26)*($G$11))</f>
        <v/>
      </c>
      <c r="V26" s="135">
        <f>(($E$26)*($G$11))</f>
        <v/>
      </c>
      <c r="W26" s="135">
        <f>(($E$26)*($G$11))</f>
        <v/>
      </c>
      <c r="X26" s="135">
        <f>(($E$26)*($G$11))</f>
        <v/>
      </c>
      <c r="Y26" s="135">
        <f>(($E$26)*($G$11))</f>
        <v/>
      </c>
      <c r="Z26" s="135">
        <f>(($E$26)*($G$11))</f>
        <v/>
      </c>
      <c r="AA26" s="412">
        <f>(($E$26)*($G$11))</f>
        <v/>
      </c>
      <c r="AB26" s="412">
        <f>(($E$26)*($G$11))</f>
        <v/>
      </c>
      <c r="AC26" s="412">
        <f>(($E$26)*($G$11))</f>
        <v/>
      </c>
      <c r="AD26" s="412">
        <f>(($E$26)*($G$11))</f>
        <v/>
      </c>
      <c r="AE26" s="415">
        <f>(($E$26)*($G$11))</f>
        <v/>
      </c>
      <c r="AF26" s="974" t="n"/>
      <c r="AG26" s="974" t="n"/>
      <c r="AH26" s="974" t="n"/>
      <c r="AI26" s="974" t="n"/>
      <c r="AJ26" s="974" t="n"/>
      <c r="AK26" s="974" t="n"/>
      <c r="AL26" s="974" t="n"/>
      <c r="AM26" s="974" t="n"/>
      <c r="AN26" s="974" t="n"/>
      <c r="AO26" s="974" t="n"/>
      <c r="AP26" s="975" t="n"/>
      <c r="AQ26" s="974" t="n"/>
      <c r="AR26" s="974" t="n"/>
      <c r="AS26" s="974" t="n"/>
      <c r="AT26" s="974" t="n"/>
      <c r="AU26" s="974" t="n"/>
      <c r="AV26" s="974" t="n"/>
      <c r="AW26" s="974" t="n"/>
      <c r="AX26" s="974" t="n"/>
      <c r="AY26" s="974" t="n"/>
      <c r="AZ26" s="974" t="n"/>
      <c r="BA26" s="974" t="n"/>
      <c r="BB26" s="975" t="n"/>
      <c r="BC26" s="974" t="n"/>
      <c r="BD26" s="974" t="n"/>
      <c r="BE26" s="974" t="n"/>
      <c r="BF26" s="974" t="n"/>
      <c r="BG26" s="974" t="n"/>
      <c r="BH26" s="974" t="n"/>
      <c r="BI26" s="974" t="n"/>
      <c r="BJ26" s="974" t="n"/>
      <c r="BK26" s="974" t="n"/>
      <c r="BL26" s="974" t="n"/>
      <c r="BM26" s="974" t="n"/>
      <c r="BN26" s="974" t="n"/>
      <c r="BO26" s="976" t="n"/>
      <c r="BP26" s="974" t="n"/>
      <c r="BQ26" s="974" t="n"/>
      <c r="BR26" s="974" t="n"/>
      <c r="BS26" s="974" t="n"/>
      <c r="BT26" s="974" t="n"/>
      <c r="BU26" s="974" t="n"/>
      <c r="BV26" s="974" t="n"/>
      <c r="BW26" s="974" t="n"/>
      <c r="BX26" s="974" t="n"/>
      <c r="BY26" s="974" t="n"/>
      <c r="BZ26" s="974" t="n"/>
      <c r="CA26" s="932" t="n"/>
      <c r="CB26" s="136">
        <f>SUM(G26:BZ26)</f>
        <v/>
      </c>
      <c r="CC26" s="932" t="n"/>
      <c r="CD26" s="135">
        <f>(E26)</f>
        <v/>
      </c>
      <c r="CE26" s="136">
        <f>((CD26)-(CB26))</f>
        <v/>
      </c>
      <c r="CF26" s="876">
        <f>((CE26)/(CD26))</f>
        <v/>
      </c>
    </row>
    <row r="27">
      <c r="D27" s="149" t="inlineStr">
        <is>
          <t>Month 2</t>
        </is>
      </c>
      <c r="E27" s="138">
        <f>'3C. Tel. - Revenue Drivers - 1 '!K22</f>
        <v/>
      </c>
      <c r="F27" s="1968" t="n"/>
      <c r="G27" s="972" t="n"/>
      <c r="H27" s="972" t="n"/>
      <c r="I27" s="412">
        <f>(($E$27)*($G$11))</f>
        <v/>
      </c>
      <c r="J27" s="135">
        <f>(($E$27)*($G$11))</f>
        <v/>
      </c>
      <c r="K27" s="135">
        <f>(($E$27)*($G$11))</f>
        <v/>
      </c>
      <c r="L27" s="135">
        <f>(($E$27)*($G$11))</f>
        <v/>
      </c>
      <c r="M27" s="135">
        <f>(($E$27)*($G$11))</f>
        <v/>
      </c>
      <c r="N27" s="135">
        <f>(($E$27)*($G$11))</f>
        <v/>
      </c>
      <c r="O27" s="135">
        <f>(($E$27)*($G$11))</f>
        <v/>
      </c>
      <c r="P27" s="135">
        <f>(($E$27)*($G$11))</f>
        <v/>
      </c>
      <c r="Q27" s="135">
        <f>(($E$27)*($G$11))</f>
        <v/>
      </c>
      <c r="R27" s="973">
        <f>(($E$27)*($G$11))</f>
        <v/>
      </c>
      <c r="S27" s="135">
        <f>(($E$27)*($G$11))</f>
        <v/>
      </c>
      <c r="T27" s="135">
        <f>(($E$27)*($G$11))</f>
        <v/>
      </c>
      <c r="U27" s="135">
        <f>(($E$27)*($G$11))</f>
        <v/>
      </c>
      <c r="V27" s="135">
        <f>(($E$27)*($G$11))</f>
        <v/>
      </c>
      <c r="W27" s="135">
        <f>(($E$27)*($G$11))</f>
        <v/>
      </c>
      <c r="X27" s="135">
        <f>(($E$27)*($G$11))</f>
        <v/>
      </c>
      <c r="Y27" s="135">
        <f>(($E$27)*($G$11))</f>
        <v/>
      </c>
      <c r="Z27" s="135">
        <f>(($E$27)*($G$11))</f>
        <v/>
      </c>
      <c r="AA27" s="135">
        <f>(($E$27)*($G$11))</f>
        <v/>
      </c>
      <c r="AB27" s="412">
        <f>(($E$27)*($G$11))</f>
        <v/>
      </c>
      <c r="AC27" s="412">
        <f>(($E$27)*($G$11))</f>
        <v/>
      </c>
      <c r="AD27" s="412">
        <f>(($E$27)*($G$11))</f>
        <v/>
      </c>
      <c r="AE27" s="415">
        <f>(($E$27)*($G$11))</f>
        <v/>
      </c>
      <c r="AF27" s="135">
        <f>(($E$27)*($G$11))</f>
        <v/>
      </c>
      <c r="AG27" s="974" t="n"/>
      <c r="AH27" s="974" t="n"/>
      <c r="AI27" s="974" t="n"/>
      <c r="AJ27" s="974" t="n"/>
      <c r="AK27" s="974" t="n"/>
      <c r="AL27" s="974" t="n"/>
      <c r="AM27" s="974" t="n"/>
      <c r="AN27" s="974" t="n"/>
      <c r="AO27" s="974" t="n"/>
      <c r="AP27" s="975" t="n"/>
      <c r="AQ27" s="974" t="n"/>
      <c r="AR27" s="974" t="n"/>
      <c r="AS27" s="974" t="n"/>
      <c r="AT27" s="974" t="n"/>
      <c r="AU27" s="974" t="n"/>
      <c r="AV27" s="974" t="n"/>
      <c r="AW27" s="974" t="n"/>
      <c r="AX27" s="974" t="n"/>
      <c r="AY27" s="974" t="n"/>
      <c r="AZ27" s="974" t="n"/>
      <c r="BA27" s="974" t="n"/>
      <c r="BB27" s="975" t="n"/>
      <c r="BC27" s="974" t="n"/>
      <c r="BD27" s="974" t="n"/>
      <c r="BE27" s="974" t="n"/>
      <c r="BF27" s="974" t="n"/>
      <c r="BG27" s="974" t="n"/>
      <c r="BH27" s="974" t="n"/>
      <c r="BI27" s="974" t="n"/>
      <c r="BJ27" s="974" t="n"/>
      <c r="BK27" s="974" t="n"/>
      <c r="BL27" s="974" t="n"/>
      <c r="BM27" s="974" t="n"/>
      <c r="BN27" s="974" t="n"/>
      <c r="BO27" s="976" t="n"/>
      <c r="BP27" s="974" t="n"/>
      <c r="BQ27" s="974" t="n"/>
      <c r="BR27" s="974" t="n"/>
      <c r="BS27" s="974" t="n"/>
      <c r="BT27" s="974" t="n"/>
      <c r="BU27" s="974" t="n"/>
      <c r="BV27" s="974" t="n"/>
      <c r="BW27" s="974" t="n"/>
      <c r="BX27" s="974" t="n"/>
      <c r="BY27" s="974" t="n"/>
      <c r="BZ27" s="974" t="n"/>
      <c r="CA27" s="932" t="n"/>
      <c r="CB27" s="136">
        <f>SUM(G27:BZ27)</f>
        <v/>
      </c>
      <c r="CC27" s="932" t="n"/>
      <c r="CD27" s="135">
        <f>(E27)</f>
        <v/>
      </c>
      <c r="CE27" s="136">
        <f>((CD27)-(CB27))</f>
        <v/>
      </c>
      <c r="CF27" s="876">
        <f>((CE27)/(CD27))</f>
        <v/>
      </c>
    </row>
    <row r="28">
      <c r="D28" s="149" t="inlineStr">
        <is>
          <t>Month 3</t>
        </is>
      </c>
      <c r="E28" s="138">
        <f>'3C. Tel. - Revenue Drivers - 1 '!L22</f>
        <v/>
      </c>
      <c r="F28" s="1968" t="n"/>
      <c r="G28" s="972" t="n"/>
      <c r="H28" s="972" t="n"/>
      <c r="I28" s="972" t="n"/>
      <c r="J28" s="412">
        <f>(($E$28)*($G$11))</f>
        <v/>
      </c>
      <c r="K28" s="135">
        <f>(($E$28)*($G$11))</f>
        <v/>
      </c>
      <c r="L28" s="135">
        <f>(($E$28)*($G$11))</f>
        <v/>
      </c>
      <c r="M28" s="135">
        <f>(($E$28)*($G$11))</f>
        <v/>
      </c>
      <c r="N28" s="135">
        <f>(($E$28)*($G$11))</f>
        <v/>
      </c>
      <c r="O28" s="135">
        <f>(($E$28)*($G$11))</f>
        <v/>
      </c>
      <c r="P28" s="135">
        <f>(($E$28)*($G$11))</f>
        <v/>
      </c>
      <c r="Q28" s="135">
        <f>(($E$28)*($G$11))</f>
        <v/>
      </c>
      <c r="R28" s="973">
        <f>(($E$28)*($G$11))</f>
        <v/>
      </c>
      <c r="S28" s="135">
        <f>(($E$28)*($G$11))</f>
        <v/>
      </c>
      <c r="T28" s="135">
        <f>(($E$28)*($G$11))</f>
        <v/>
      </c>
      <c r="U28" s="135">
        <f>(($E$28)*($G$11))</f>
        <v/>
      </c>
      <c r="V28" s="135">
        <f>(($E$28)*($G$11))</f>
        <v/>
      </c>
      <c r="W28" s="135">
        <f>(($E$28)*($G$11))</f>
        <v/>
      </c>
      <c r="X28" s="135">
        <f>(($E$28)*($G$11))</f>
        <v/>
      </c>
      <c r="Y28" s="135">
        <f>(($E$28)*($G$11))</f>
        <v/>
      </c>
      <c r="Z28" s="135">
        <f>(($E$28)*($G$11))</f>
        <v/>
      </c>
      <c r="AA28" s="135">
        <f>(($E$28)*($G$11))</f>
        <v/>
      </c>
      <c r="AB28" s="135">
        <f>(($E$28)*($G$11))</f>
        <v/>
      </c>
      <c r="AC28" s="412">
        <f>(($E$28)*($G$11))</f>
        <v/>
      </c>
      <c r="AD28" s="412">
        <f>(($E$28)*($G$11))</f>
        <v/>
      </c>
      <c r="AE28" s="415">
        <f>(($E$28)*($G$11))</f>
        <v/>
      </c>
      <c r="AF28" s="412">
        <f>(($E$28)*($G$11))</f>
        <v/>
      </c>
      <c r="AG28" s="412">
        <f>(($E$28)*($G$11))</f>
        <v/>
      </c>
      <c r="AH28" s="974" t="n"/>
      <c r="AI28" s="974" t="n"/>
      <c r="AJ28" s="974" t="n"/>
      <c r="AK28" s="974" t="n"/>
      <c r="AL28" s="974" t="n"/>
      <c r="AM28" s="974" t="n"/>
      <c r="AN28" s="974" t="n"/>
      <c r="AO28" s="974" t="n"/>
      <c r="AP28" s="975" t="n"/>
      <c r="AQ28" s="974" t="n"/>
      <c r="AR28" s="974" t="n"/>
      <c r="AS28" s="974" t="n"/>
      <c r="AT28" s="974" t="n"/>
      <c r="AU28" s="974" t="n"/>
      <c r="AV28" s="974" t="n"/>
      <c r="AW28" s="974" t="n"/>
      <c r="AX28" s="974" t="n"/>
      <c r="AY28" s="974" t="n"/>
      <c r="AZ28" s="974" t="n"/>
      <c r="BA28" s="974" t="n"/>
      <c r="BB28" s="975" t="n"/>
      <c r="BC28" s="974" t="n"/>
      <c r="BD28" s="974" t="n"/>
      <c r="BE28" s="974" t="n"/>
      <c r="BF28" s="974" t="n"/>
      <c r="BG28" s="974" t="n"/>
      <c r="BH28" s="974" t="n"/>
      <c r="BI28" s="974" t="n"/>
      <c r="BJ28" s="974" t="n"/>
      <c r="BK28" s="974" t="n"/>
      <c r="BL28" s="974" t="n"/>
      <c r="BM28" s="974" t="n"/>
      <c r="BN28" s="974" t="n"/>
      <c r="BO28" s="976" t="n"/>
      <c r="BP28" s="974" t="n"/>
      <c r="BQ28" s="974" t="n"/>
      <c r="BR28" s="974" t="n"/>
      <c r="BS28" s="974" t="n"/>
      <c r="BT28" s="974" t="n"/>
      <c r="BU28" s="974" t="n"/>
      <c r="BV28" s="974" t="n"/>
      <c r="BW28" s="974" t="n"/>
      <c r="BX28" s="974" t="n"/>
      <c r="BY28" s="974" t="n"/>
      <c r="BZ28" s="974" t="n"/>
      <c r="CA28" s="932" t="n"/>
      <c r="CB28" s="136">
        <f>SUM(G28:BZ28)</f>
        <v/>
      </c>
      <c r="CC28" s="932" t="n"/>
      <c r="CD28" s="135">
        <f>(E28)</f>
        <v/>
      </c>
      <c r="CE28" s="136">
        <f>((CD28)-(CB28))</f>
        <v/>
      </c>
      <c r="CF28" s="876">
        <f>((CE28)/(CD28))</f>
        <v/>
      </c>
    </row>
    <row r="29">
      <c r="D29" s="149" t="inlineStr">
        <is>
          <t>Month 4</t>
        </is>
      </c>
      <c r="E29" s="138">
        <f>'3C. Tel. - Revenue Drivers - 1 '!M22</f>
        <v/>
      </c>
      <c r="F29" s="1968" t="n"/>
      <c r="G29" s="972" t="n"/>
      <c r="H29" s="972" t="n"/>
      <c r="I29" s="972" t="n"/>
      <c r="J29" s="972" t="n"/>
      <c r="K29" s="412">
        <f>(($E$29)*($G$11))</f>
        <v/>
      </c>
      <c r="L29" s="135">
        <f>(($E$29)*($G$11))</f>
        <v/>
      </c>
      <c r="M29" s="135">
        <f>(($E$29)*($G$11))</f>
        <v/>
      </c>
      <c r="N29" s="135">
        <f>(($E$29)*($G$11))</f>
        <v/>
      </c>
      <c r="O29" s="135">
        <f>(($E$29)*($G$11))</f>
        <v/>
      </c>
      <c r="P29" s="135">
        <f>(($E$29)*($G$11))</f>
        <v/>
      </c>
      <c r="Q29" s="135">
        <f>(($E$29)*($G$11))</f>
        <v/>
      </c>
      <c r="R29" s="973">
        <f>(($E$29)*($G$11))</f>
        <v/>
      </c>
      <c r="S29" s="135">
        <f>(($E$29)*($G$11))</f>
        <v/>
      </c>
      <c r="T29" s="135">
        <f>(($E$29)*($G$11))</f>
        <v/>
      </c>
      <c r="U29" s="135">
        <f>(($E$29)*($G$11))</f>
        <v/>
      </c>
      <c r="V29" s="135">
        <f>(($E$29)*($G$11))</f>
        <v/>
      </c>
      <c r="W29" s="135">
        <f>(($E$29)*($G$11))</f>
        <v/>
      </c>
      <c r="X29" s="135">
        <f>(($E$29)*($G$11))</f>
        <v/>
      </c>
      <c r="Y29" s="135">
        <f>(($E$29)*($G$11))</f>
        <v/>
      </c>
      <c r="Z29" s="135">
        <f>(($E$29)*($G$11))</f>
        <v/>
      </c>
      <c r="AA29" s="135">
        <f>(($E$29)*($G$11))</f>
        <v/>
      </c>
      <c r="AB29" s="135">
        <f>(($E$29)*($G$11))</f>
        <v/>
      </c>
      <c r="AC29" s="412">
        <f>(($E$29)*($G$11))</f>
        <v/>
      </c>
      <c r="AD29" s="412">
        <f>(($E$29)*($G$11))</f>
        <v/>
      </c>
      <c r="AE29" s="415">
        <f>(($E$29)*($G$11))</f>
        <v/>
      </c>
      <c r="AF29" s="412">
        <f>(($E$29)*($G$11))</f>
        <v/>
      </c>
      <c r="AG29" s="412">
        <f>(($E$29)*($G$11))</f>
        <v/>
      </c>
      <c r="AH29" s="412">
        <f>(($E$29)*($G$11))</f>
        <v/>
      </c>
      <c r="AI29" s="974" t="n"/>
      <c r="AJ29" s="974" t="n"/>
      <c r="AK29" s="974" t="n"/>
      <c r="AL29" s="974" t="n"/>
      <c r="AM29" s="974" t="n"/>
      <c r="AN29" s="974" t="n"/>
      <c r="AO29" s="974" t="n"/>
      <c r="AP29" s="975" t="n"/>
      <c r="AQ29" s="974" t="n"/>
      <c r="AR29" s="974" t="n"/>
      <c r="AS29" s="974" t="n"/>
      <c r="AT29" s="974" t="n"/>
      <c r="AU29" s="974" t="n"/>
      <c r="AV29" s="974" t="n"/>
      <c r="AW29" s="974" t="n"/>
      <c r="AX29" s="974" t="n"/>
      <c r="AY29" s="974" t="n"/>
      <c r="AZ29" s="974" t="n"/>
      <c r="BA29" s="974" t="n"/>
      <c r="BB29" s="975" t="n"/>
      <c r="BC29" s="974" t="n"/>
      <c r="BD29" s="974" t="n"/>
      <c r="BE29" s="974" t="n"/>
      <c r="BF29" s="974" t="n"/>
      <c r="BG29" s="974" t="n"/>
      <c r="BH29" s="974" t="n"/>
      <c r="BI29" s="974" t="n"/>
      <c r="BJ29" s="974" t="n"/>
      <c r="BK29" s="974" t="n"/>
      <c r="BL29" s="974" t="n"/>
      <c r="BM29" s="974" t="n"/>
      <c r="BN29" s="974" t="n"/>
      <c r="BO29" s="976" t="n"/>
      <c r="BP29" s="974" t="n"/>
      <c r="BQ29" s="974" t="n"/>
      <c r="BR29" s="974" t="n"/>
      <c r="BS29" s="974" t="n"/>
      <c r="BT29" s="974" t="n"/>
      <c r="BU29" s="974" t="n"/>
      <c r="BV29" s="974" t="n"/>
      <c r="BW29" s="974" t="n"/>
      <c r="BX29" s="974" t="n"/>
      <c r="BY29" s="974" t="n"/>
      <c r="BZ29" s="974" t="n"/>
      <c r="CA29" s="932" t="n"/>
      <c r="CB29" s="136">
        <f>SUM(G29:BZ29)</f>
        <v/>
      </c>
      <c r="CC29" s="932" t="n"/>
      <c r="CD29" s="135">
        <f>(E29)</f>
        <v/>
      </c>
      <c r="CE29" s="136">
        <f>((CD29)-(CB29))</f>
        <v/>
      </c>
      <c r="CF29" s="876">
        <f>((CE29)/(CD29))</f>
        <v/>
      </c>
    </row>
    <row r="30">
      <c r="D30" s="149" t="inlineStr">
        <is>
          <t>Month 5</t>
        </is>
      </c>
      <c r="E30" s="138">
        <f>'3C. Tel. - Revenue Drivers - 1 '!N22</f>
        <v/>
      </c>
      <c r="F30" s="1968" t="n"/>
      <c r="G30" s="972" t="n"/>
      <c r="H30" s="972" t="n"/>
      <c r="I30" s="972" t="n"/>
      <c r="J30" s="972" t="n"/>
      <c r="K30" s="972" t="n"/>
      <c r="L30" s="412">
        <f>(($E$30)*($G$11))</f>
        <v/>
      </c>
      <c r="M30" s="135">
        <f>(($E$30)*($G$11))</f>
        <v/>
      </c>
      <c r="N30" s="135">
        <f>(($E$30)*($G$11))</f>
        <v/>
      </c>
      <c r="O30" s="135">
        <f>(($E$30)*($G$11))</f>
        <v/>
      </c>
      <c r="P30" s="135">
        <f>(($E$30)*($G$11))</f>
        <v/>
      </c>
      <c r="Q30" s="135">
        <f>(($E$30)*($G$11))</f>
        <v/>
      </c>
      <c r="R30" s="973">
        <f>(($E$30)*($G$11))</f>
        <v/>
      </c>
      <c r="S30" s="135">
        <f>(($E$30)*($G$11))</f>
        <v/>
      </c>
      <c r="T30" s="135">
        <f>(($E$30)*($G$11))</f>
        <v/>
      </c>
      <c r="U30" s="135">
        <f>(($E$30)*($G$11))</f>
        <v/>
      </c>
      <c r="V30" s="135">
        <f>(($E$30)*($G$11))</f>
        <v/>
      </c>
      <c r="W30" s="135">
        <f>(($E$30)*($G$11))</f>
        <v/>
      </c>
      <c r="X30" s="135">
        <f>(($E$30)*($G$11))</f>
        <v/>
      </c>
      <c r="Y30" s="135">
        <f>(($E$30)*($G$11))</f>
        <v/>
      </c>
      <c r="Z30" s="135">
        <f>(($E$30)*($G$11))</f>
        <v/>
      </c>
      <c r="AA30" s="135">
        <f>(($E$30)*($G$11))</f>
        <v/>
      </c>
      <c r="AB30" s="135">
        <f>(($E$30)*($G$11))</f>
        <v/>
      </c>
      <c r="AC30" s="412">
        <f>(($E$30)*($G$11))</f>
        <v/>
      </c>
      <c r="AD30" s="412">
        <f>(($E$30)*($G$11))</f>
        <v/>
      </c>
      <c r="AE30" s="415">
        <f>(($E$30)*($G$11))</f>
        <v/>
      </c>
      <c r="AF30" s="412">
        <f>(($E$30)*($G$11))</f>
        <v/>
      </c>
      <c r="AG30" s="412">
        <f>(($E$30)*($G$11))</f>
        <v/>
      </c>
      <c r="AH30" s="412">
        <f>(($E$30)*($G$11))</f>
        <v/>
      </c>
      <c r="AI30" s="412">
        <f>(($E$30)*($G$11))</f>
        <v/>
      </c>
      <c r="AJ30" s="974" t="n"/>
      <c r="AK30" s="974" t="n"/>
      <c r="AL30" s="974" t="n"/>
      <c r="AM30" s="974" t="n"/>
      <c r="AN30" s="974" t="n"/>
      <c r="AO30" s="974" t="n"/>
      <c r="AP30" s="975" t="n"/>
      <c r="AQ30" s="974" t="n"/>
      <c r="AR30" s="974" t="n"/>
      <c r="AS30" s="974" t="n"/>
      <c r="AT30" s="974" t="n"/>
      <c r="AU30" s="974" t="n"/>
      <c r="AV30" s="974" t="n"/>
      <c r="AW30" s="974" t="n"/>
      <c r="AX30" s="974" t="n"/>
      <c r="AY30" s="974" t="n"/>
      <c r="AZ30" s="974" t="n"/>
      <c r="BA30" s="974" t="n"/>
      <c r="BB30" s="975" t="n"/>
      <c r="BC30" s="974" t="n"/>
      <c r="BD30" s="974" t="n"/>
      <c r="BE30" s="974" t="n"/>
      <c r="BF30" s="974" t="n"/>
      <c r="BG30" s="974" t="n"/>
      <c r="BH30" s="974" t="n"/>
      <c r="BI30" s="974" t="n"/>
      <c r="BJ30" s="974" t="n"/>
      <c r="BK30" s="974" t="n"/>
      <c r="BL30" s="974" t="n"/>
      <c r="BM30" s="974" t="n"/>
      <c r="BN30" s="974" t="n"/>
      <c r="BO30" s="976" t="n"/>
      <c r="BP30" s="974" t="n"/>
      <c r="BQ30" s="974" t="n"/>
      <c r="BR30" s="974" t="n"/>
      <c r="BS30" s="974" t="n"/>
      <c r="BT30" s="974" t="n"/>
      <c r="BU30" s="974" t="n"/>
      <c r="BV30" s="974" t="n"/>
      <c r="BW30" s="974" t="n"/>
      <c r="BX30" s="974" t="n"/>
      <c r="BY30" s="974" t="n"/>
      <c r="BZ30" s="974" t="n"/>
      <c r="CA30" s="932" t="n"/>
      <c r="CB30" s="136">
        <f>SUM(G30:BZ30)</f>
        <v/>
      </c>
      <c r="CC30" s="932" t="n"/>
      <c r="CD30" s="135">
        <f>(E30)</f>
        <v/>
      </c>
      <c r="CE30" s="136">
        <f>((CD30)-(CB30))</f>
        <v/>
      </c>
      <c r="CF30" s="876">
        <f>((CE30)/(CD30))</f>
        <v/>
      </c>
    </row>
    <row r="31">
      <c r="D31" s="149" t="inlineStr">
        <is>
          <t>Month 6</t>
        </is>
      </c>
      <c r="E31" s="138">
        <f>'3C. Tel. - Revenue Drivers - 1 '!O22</f>
        <v/>
      </c>
      <c r="F31" s="1968" t="n"/>
      <c r="G31" s="972" t="n"/>
      <c r="H31" s="972" t="n"/>
      <c r="I31" s="972" t="n"/>
      <c r="J31" s="972" t="n"/>
      <c r="K31" s="972" t="n"/>
      <c r="L31" s="972" t="n"/>
      <c r="M31" s="412">
        <f>(($E$31)*($G$11))</f>
        <v/>
      </c>
      <c r="N31" s="135">
        <f>(($E$31)*($G$11))</f>
        <v/>
      </c>
      <c r="O31" s="135">
        <f>(($E$31)*($G$11))</f>
        <v/>
      </c>
      <c r="P31" s="135">
        <f>(($E$31)*($G$11))</f>
        <v/>
      </c>
      <c r="Q31" s="135">
        <f>(($E$31)*($G$11))</f>
        <v/>
      </c>
      <c r="R31" s="973">
        <f>(($E$31)*($G$11))</f>
        <v/>
      </c>
      <c r="S31" s="135">
        <f>(($E$31)*($G$11))</f>
        <v/>
      </c>
      <c r="T31" s="135">
        <f>(($E$31)*($G$11))</f>
        <v/>
      </c>
      <c r="U31" s="135">
        <f>(($E$31)*($G$11))</f>
        <v/>
      </c>
      <c r="V31" s="135">
        <f>(($E$31)*($G$11))</f>
        <v/>
      </c>
      <c r="W31" s="135">
        <f>(($E$31)*($G$11))</f>
        <v/>
      </c>
      <c r="X31" s="135">
        <f>(($E$31)*($G$11))</f>
        <v/>
      </c>
      <c r="Y31" s="135">
        <f>(($E$31)*($G$11))</f>
        <v/>
      </c>
      <c r="Z31" s="135">
        <f>(($E$31)*($G$11))</f>
        <v/>
      </c>
      <c r="AA31" s="135">
        <f>(($E$31)*($G$11))</f>
        <v/>
      </c>
      <c r="AB31" s="135">
        <f>(($E$31)*($G$11))</f>
        <v/>
      </c>
      <c r="AC31" s="135">
        <f>(($E$31)*($G$11))</f>
        <v/>
      </c>
      <c r="AD31" s="412">
        <f>(($E$31)*($G$11))</f>
        <v/>
      </c>
      <c r="AE31" s="415">
        <f>(($E$31)*($G$11))</f>
        <v/>
      </c>
      <c r="AF31" s="412">
        <f>(($E$31)*($G$11))</f>
        <v/>
      </c>
      <c r="AG31" s="412">
        <f>(($E$31)*($G$11))</f>
        <v/>
      </c>
      <c r="AH31" s="412">
        <f>(($E$31)*($G$11))</f>
        <v/>
      </c>
      <c r="AI31" s="412">
        <f>(($E$31)*($G$11))</f>
        <v/>
      </c>
      <c r="AJ31" s="412">
        <f>(($E$31)*($G$11))</f>
        <v/>
      </c>
      <c r="AK31" s="974" t="n"/>
      <c r="AL31" s="974" t="n"/>
      <c r="AM31" s="974" t="n"/>
      <c r="AN31" s="974" t="n"/>
      <c r="AO31" s="974" t="n"/>
      <c r="AP31" s="975" t="n"/>
      <c r="AQ31" s="974" t="n"/>
      <c r="AR31" s="974" t="n"/>
      <c r="AS31" s="974" t="n"/>
      <c r="AT31" s="974" t="n"/>
      <c r="AU31" s="974" t="n"/>
      <c r="AV31" s="974" t="n"/>
      <c r="AW31" s="974" t="n"/>
      <c r="AX31" s="974" t="n"/>
      <c r="AY31" s="974" t="n"/>
      <c r="AZ31" s="974" t="n"/>
      <c r="BA31" s="974" t="n"/>
      <c r="BB31" s="975" t="n"/>
      <c r="BC31" s="974" t="n"/>
      <c r="BD31" s="974" t="n"/>
      <c r="BE31" s="974" t="n"/>
      <c r="BF31" s="974" t="n"/>
      <c r="BG31" s="974" t="n"/>
      <c r="BH31" s="974" t="n"/>
      <c r="BI31" s="974" t="n"/>
      <c r="BJ31" s="974" t="n"/>
      <c r="BK31" s="974" t="n"/>
      <c r="BL31" s="974" t="n"/>
      <c r="BM31" s="974" t="n"/>
      <c r="BN31" s="974" t="n"/>
      <c r="BO31" s="976" t="n"/>
      <c r="BP31" s="974" t="n"/>
      <c r="BQ31" s="974" t="n"/>
      <c r="BR31" s="974" t="n"/>
      <c r="BS31" s="974" t="n"/>
      <c r="BT31" s="974" t="n"/>
      <c r="BU31" s="974" t="n"/>
      <c r="BV31" s="974" t="n"/>
      <c r="BW31" s="974" t="n"/>
      <c r="BX31" s="974" t="n"/>
      <c r="BY31" s="974" t="n"/>
      <c r="BZ31" s="974" t="n"/>
      <c r="CA31" s="932" t="n"/>
      <c r="CB31" s="136">
        <f>SUM(G31:BZ31)</f>
        <v/>
      </c>
      <c r="CC31" s="932" t="n"/>
      <c r="CD31" s="135">
        <f>(E31)</f>
        <v/>
      </c>
      <c r="CE31" s="136">
        <f>((CD31)-(CB31))</f>
        <v/>
      </c>
      <c r="CF31" s="876">
        <f>((CE31)/(CD31))</f>
        <v/>
      </c>
    </row>
    <row r="32">
      <c r="D32" s="149" t="inlineStr">
        <is>
          <t>Month 7</t>
        </is>
      </c>
      <c r="E32" s="138">
        <f>'3C. Tel. - Revenue Drivers - 1 '!P22</f>
        <v/>
      </c>
      <c r="F32" s="1968" t="n"/>
      <c r="G32" s="977" t="n"/>
      <c r="H32" s="977" t="n"/>
      <c r="I32" s="977" t="n"/>
      <c r="J32" s="977" t="n"/>
      <c r="K32" s="977" t="n"/>
      <c r="L32" s="978" t="n"/>
      <c r="M32" s="978" t="n"/>
      <c r="N32" s="412">
        <f>(($E$32)*($G$11))</f>
        <v/>
      </c>
      <c r="O32" s="135">
        <f>(($E$32)*($G$11))</f>
        <v/>
      </c>
      <c r="P32" s="135">
        <f>(($E$32)*($G$11))</f>
        <v/>
      </c>
      <c r="Q32" s="135">
        <f>(($E$32)*($G$11))</f>
        <v/>
      </c>
      <c r="R32" s="973">
        <f>(($E$32)*($G$11))</f>
        <v/>
      </c>
      <c r="S32" s="135">
        <f>(($E$32)*($G$11))</f>
        <v/>
      </c>
      <c r="T32" s="135">
        <f>(($E$32)*($G$11))</f>
        <v/>
      </c>
      <c r="U32" s="135">
        <f>(($E$32)*($G$11))</f>
        <v/>
      </c>
      <c r="V32" s="135">
        <f>(($E$32)*($G$11))</f>
        <v/>
      </c>
      <c r="W32" s="135">
        <f>(($E$32)*($G$11))</f>
        <v/>
      </c>
      <c r="X32" s="135">
        <f>(($E$32)*($G$11))</f>
        <v/>
      </c>
      <c r="Y32" s="135">
        <f>(($E$32)*($G$11))</f>
        <v/>
      </c>
      <c r="Z32" s="135">
        <f>(($E$32)*($G$11))</f>
        <v/>
      </c>
      <c r="AA32" s="135">
        <f>(($E$32)*($G$11))</f>
        <v/>
      </c>
      <c r="AB32" s="135">
        <f>(($E$32)*($G$11))</f>
        <v/>
      </c>
      <c r="AC32" s="135">
        <f>(($E$32)*($G$11))</f>
        <v/>
      </c>
      <c r="AD32" s="412">
        <f>(($E$32)*($G$11))</f>
        <v/>
      </c>
      <c r="AE32" s="415">
        <f>(($E$32)*($G$11))</f>
        <v/>
      </c>
      <c r="AF32" s="135">
        <f>(($E$32)*($G$11))</f>
        <v/>
      </c>
      <c r="AG32" s="412">
        <f>(($E$32)*($G$11))</f>
        <v/>
      </c>
      <c r="AH32" s="412">
        <f>(($E$32)*($G$11))</f>
        <v/>
      </c>
      <c r="AI32" s="412">
        <f>(($E$32)*($G$11))</f>
        <v/>
      </c>
      <c r="AJ32" s="412">
        <f>(($E$32)*($G$11))</f>
        <v/>
      </c>
      <c r="AK32" s="412">
        <f>(($E$32)*($G$11))</f>
        <v/>
      </c>
      <c r="AL32" s="931" t="n"/>
      <c r="AM32" s="931" t="n"/>
      <c r="AN32" s="931" t="n"/>
      <c r="AO32" s="931" t="n"/>
      <c r="AP32" s="979" t="n"/>
      <c r="AQ32" s="931" t="n"/>
      <c r="AR32" s="931" t="n"/>
      <c r="AS32" s="931" t="n"/>
      <c r="AT32" s="931" t="n"/>
      <c r="AU32" s="931" t="n"/>
      <c r="AV32" s="931" t="n"/>
      <c r="AW32" s="931" t="n"/>
      <c r="AX32" s="931" t="n"/>
      <c r="AY32" s="931" t="n"/>
      <c r="AZ32" s="931" t="n"/>
      <c r="BA32" s="931" t="n"/>
      <c r="BB32" s="979" t="n"/>
      <c r="BC32" s="931" t="n"/>
      <c r="BD32" s="931" t="n"/>
      <c r="BE32" s="931" t="n"/>
      <c r="BF32" s="931" t="n"/>
      <c r="BG32" s="931" t="n"/>
      <c r="BH32" s="931" t="n"/>
      <c r="BI32" s="931" t="n"/>
      <c r="BJ32" s="931" t="n"/>
      <c r="BK32" s="931" t="n"/>
      <c r="BL32" s="931" t="n"/>
      <c r="BM32" s="931" t="n"/>
      <c r="BN32" s="931" t="n"/>
      <c r="BO32" s="980" t="n"/>
      <c r="BP32" s="931" t="n"/>
      <c r="BQ32" s="931" t="n"/>
      <c r="BR32" s="931" t="n"/>
      <c r="BS32" s="931" t="n"/>
      <c r="BT32" s="931" t="n"/>
      <c r="BU32" s="931" t="n"/>
      <c r="BV32" s="931" t="n"/>
      <c r="BW32" s="931" t="n"/>
      <c r="BX32" s="931" t="n"/>
      <c r="BY32" s="931" t="n"/>
      <c r="BZ32" s="931" t="n"/>
      <c r="CA32" s="932" t="n"/>
      <c r="CB32" s="136">
        <f>SUM(G32:BZ32)</f>
        <v/>
      </c>
      <c r="CC32" s="932" t="n"/>
      <c r="CD32" s="135">
        <f>(E32)</f>
        <v/>
      </c>
      <c r="CE32" s="136">
        <f>((CD32)-(CB32))</f>
        <v/>
      </c>
      <c r="CF32" s="876">
        <f>((CE32)/(CD32))</f>
        <v/>
      </c>
    </row>
    <row r="33">
      <c r="D33" s="149" t="inlineStr">
        <is>
          <t>Month 8</t>
        </is>
      </c>
      <c r="E33" s="138">
        <f>'3C. Tel. - Revenue Drivers - 1 '!Q22</f>
        <v/>
      </c>
      <c r="F33" s="1968" t="n"/>
      <c r="G33" s="977" t="n"/>
      <c r="H33" s="977" t="n"/>
      <c r="I33" s="978" t="n"/>
      <c r="J33" s="978" t="n"/>
      <c r="K33" s="977" t="n"/>
      <c r="L33" s="978" t="n"/>
      <c r="M33" s="978" t="n"/>
      <c r="N33" s="978" t="n"/>
      <c r="O33" s="412">
        <f>(($E$33)*($G$11))</f>
        <v/>
      </c>
      <c r="P33" s="135">
        <f>(($E$33)*($G$11))</f>
        <v/>
      </c>
      <c r="Q33" s="135">
        <f>(($E$33)*($G$11))</f>
        <v/>
      </c>
      <c r="R33" s="973">
        <f>(($E$33)*($G$11))</f>
        <v/>
      </c>
      <c r="S33" s="135">
        <f>(($E$33)*($G$11))</f>
        <v/>
      </c>
      <c r="T33" s="135">
        <f>(($E$33)*($G$11))</f>
        <v/>
      </c>
      <c r="U33" s="135">
        <f>(($E$33)*($G$11))</f>
        <v/>
      </c>
      <c r="V33" s="135">
        <f>(($E$33)*($G$11))</f>
        <v/>
      </c>
      <c r="W33" s="135">
        <f>(($E$33)*($G$11))</f>
        <v/>
      </c>
      <c r="X33" s="135">
        <f>(($E$33)*($G$11))</f>
        <v/>
      </c>
      <c r="Y33" s="135">
        <f>(($E$33)*($G$11))</f>
        <v/>
      </c>
      <c r="Z33" s="135">
        <f>(($E$33)*($G$11))</f>
        <v/>
      </c>
      <c r="AA33" s="135">
        <f>(($E$33)*($G$11))</f>
        <v/>
      </c>
      <c r="AB33" s="135">
        <f>(($E$33)*($G$11))</f>
        <v/>
      </c>
      <c r="AC33" s="135">
        <f>(($E$33)*($G$11))</f>
        <v/>
      </c>
      <c r="AD33" s="412">
        <f>(($E$33)*($G$11))</f>
        <v/>
      </c>
      <c r="AE33" s="415">
        <f>(($E$33)*($G$11))</f>
        <v/>
      </c>
      <c r="AF33" s="135">
        <f>(($E$33)*($G$11))</f>
        <v/>
      </c>
      <c r="AG33" s="135">
        <f>(($E$33)*($G$11))</f>
        <v/>
      </c>
      <c r="AH33" s="412">
        <f>(($E$33)*($G$11))</f>
        <v/>
      </c>
      <c r="AI33" s="412">
        <f>(($E$33)*($G$11))</f>
        <v/>
      </c>
      <c r="AJ33" s="412">
        <f>(($E$33)*($G$11))</f>
        <v/>
      </c>
      <c r="AK33" s="412">
        <f>(($E$33)*($G$11))</f>
        <v/>
      </c>
      <c r="AL33" s="412">
        <f>(($E$33)*($G$11))</f>
        <v/>
      </c>
      <c r="AM33" s="931" t="n"/>
      <c r="AN33" s="931" t="n"/>
      <c r="AO33" s="931" t="n"/>
      <c r="AP33" s="931" t="n"/>
      <c r="AQ33" s="980" t="n"/>
      <c r="AR33" s="931" t="n"/>
      <c r="AS33" s="931" t="n"/>
      <c r="AT33" s="931" t="n"/>
      <c r="AU33" s="931" t="n"/>
      <c r="AV33" s="931" t="n"/>
      <c r="AW33" s="931" t="n"/>
      <c r="AX33" s="931" t="n"/>
      <c r="AY33" s="931" t="n"/>
      <c r="AZ33" s="931" t="n"/>
      <c r="BA33" s="931" t="n"/>
      <c r="BB33" s="979" t="n"/>
      <c r="BC33" s="931" t="n"/>
      <c r="BD33" s="931" t="n"/>
      <c r="BE33" s="931" t="n"/>
      <c r="BF33" s="931" t="n"/>
      <c r="BG33" s="931" t="n"/>
      <c r="BH33" s="931" t="n"/>
      <c r="BI33" s="931" t="n"/>
      <c r="BJ33" s="931" t="n"/>
      <c r="BK33" s="931" t="n"/>
      <c r="BL33" s="931" t="n"/>
      <c r="BM33" s="931" t="n"/>
      <c r="BN33" s="931" t="n"/>
      <c r="BO33" s="980" t="n"/>
      <c r="BP33" s="931" t="n"/>
      <c r="BQ33" s="931" t="n"/>
      <c r="BR33" s="931" t="n"/>
      <c r="BS33" s="931" t="n"/>
      <c r="BT33" s="931" t="n"/>
      <c r="BU33" s="931" t="n"/>
      <c r="BV33" s="931" t="n"/>
      <c r="BW33" s="931" t="n"/>
      <c r="BX33" s="931" t="n"/>
      <c r="BY33" s="931" t="n"/>
      <c r="BZ33" s="931" t="n"/>
      <c r="CA33" s="932" t="n"/>
      <c r="CB33" s="136">
        <f>SUM(G33:BZ33)</f>
        <v/>
      </c>
      <c r="CC33" s="932" t="n"/>
      <c r="CD33" s="135">
        <f>(E33)</f>
        <v/>
      </c>
      <c r="CE33" s="136">
        <f>((CD33)-(CB33))</f>
        <v/>
      </c>
      <c r="CF33" s="876">
        <f>((CE33)/(CD33))</f>
        <v/>
      </c>
    </row>
    <row r="34">
      <c r="D34" s="149" t="inlineStr">
        <is>
          <t>Month 9</t>
        </is>
      </c>
      <c r="E34" s="138">
        <f>'3C. Tel. - Revenue Drivers - 1 '!R22</f>
        <v/>
      </c>
      <c r="F34" s="1968" t="n"/>
      <c r="G34" s="977" t="n"/>
      <c r="H34" s="977" t="n"/>
      <c r="I34" s="978" t="n"/>
      <c r="J34" s="978" t="n"/>
      <c r="K34" s="978" t="n"/>
      <c r="L34" s="978" t="n"/>
      <c r="M34" s="978" t="n"/>
      <c r="N34" s="978" t="n"/>
      <c r="O34" s="978" t="n"/>
      <c r="P34" s="412">
        <f>(($E$34)*($G$11))</f>
        <v/>
      </c>
      <c r="Q34" s="135">
        <f>(($E$34)*($G$11))</f>
        <v/>
      </c>
      <c r="R34" s="973">
        <f>(($E$34)*($G$11))</f>
        <v/>
      </c>
      <c r="S34" s="135">
        <f>(($E$34)*($G$11))</f>
        <v/>
      </c>
      <c r="T34" s="135">
        <f>(($E$34)*($G$11))</f>
        <v/>
      </c>
      <c r="U34" s="135">
        <f>(($E$34)*($G$11))</f>
        <v/>
      </c>
      <c r="V34" s="135">
        <f>(($E$34)*($G$11))</f>
        <v/>
      </c>
      <c r="W34" s="135">
        <f>(($E$34)*($G$11))</f>
        <v/>
      </c>
      <c r="X34" s="135">
        <f>(($E$34)*($G$11))</f>
        <v/>
      </c>
      <c r="Y34" s="135">
        <f>(($E$34)*($G$11))</f>
        <v/>
      </c>
      <c r="Z34" s="135">
        <f>(($E$34)*($G$11))</f>
        <v/>
      </c>
      <c r="AA34" s="135">
        <f>(($E$34)*($G$11))</f>
        <v/>
      </c>
      <c r="AB34" s="135">
        <f>(($E$34)*($G$11))</f>
        <v/>
      </c>
      <c r="AC34" s="135">
        <f>(($E$34)*($G$11))</f>
        <v/>
      </c>
      <c r="AD34" s="412">
        <f>(($E$34)*($G$11))</f>
        <v/>
      </c>
      <c r="AE34" s="415">
        <f>(($E$34)*($G$11))</f>
        <v/>
      </c>
      <c r="AF34" s="135">
        <f>(($E$34)*($G$11))</f>
        <v/>
      </c>
      <c r="AG34" s="135">
        <f>(($E$34)*($G$11))</f>
        <v/>
      </c>
      <c r="AH34" s="135">
        <f>(($E$34)*($G$11))</f>
        <v/>
      </c>
      <c r="AI34" s="412">
        <f>(($E$34)*($G$11))</f>
        <v/>
      </c>
      <c r="AJ34" s="412">
        <f>(($E$34)*($G$11))</f>
        <v/>
      </c>
      <c r="AK34" s="412">
        <f>(($E$34)*($G$11))</f>
        <v/>
      </c>
      <c r="AL34" s="412">
        <f>(($E$34)*($G$11))</f>
        <v/>
      </c>
      <c r="AM34" s="412">
        <f>(($E$34)*($G$11))</f>
        <v/>
      </c>
      <c r="AN34" s="931" t="n"/>
      <c r="AO34" s="931" t="n"/>
      <c r="AP34" s="931" t="n"/>
      <c r="AQ34" s="980" t="n"/>
      <c r="AR34" s="931" t="n"/>
      <c r="AS34" s="931" t="n"/>
      <c r="AT34" s="931" t="n"/>
      <c r="AU34" s="931" t="n"/>
      <c r="AV34" s="931" t="n"/>
      <c r="AW34" s="931" t="n"/>
      <c r="AX34" s="931" t="n"/>
      <c r="AY34" s="931" t="n"/>
      <c r="AZ34" s="931" t="n"/>
      <c r="BA34" s="931" t="n"/>
      <c r="BB34" s="979" t="n"/>
      <c r="BC34" s="931" t="n"/>
      <c r="BD34" s="931" t="n"/>
      <c r="BE34" s="931" t="n"/>
      <c r="BF34" s="931" t="n"/>
      <c r="BG34" s="931" t="n"/>
      <c r="BH34" s="931" t="n"/>
      <c r="BI34" s="931" t="n"/>
      <c r="BJ34" s="931" t="n"/>
      <c r="BK34" s="931" t="n"/>
      <c r="BL34" s="931" t="n"/>
      <c r="BM34" s="931" t="n"/>
      <c r="BN34" s="931" t="n"/>
      <c r="BO34" s="980" t="n"/>
      <c r="BP34" s="931" t="n"/>
      <c r="BQ34" s="931" t="n"/>
      <c r="BR34" s="931" t="n"/>
      <c r="BS34" s="931" t="n"/>
      <c r="BT34" s="931" t="n"/>
      <c r="BU34" s="931" t="n"/>
      <c r="BV34" s="931" t="n"/>
      <c r="BW34" s="931" t="n"/>
      <c r="BX34" s="931" t="n"/>
      <c r="BY34" s="931" t="n"/>
      <c r="BZ34" s="931" t="n"/>
      <c r="CA34" s="932" t="n"/>
      <c r="CB34" s="136">
        <f>SUM(G34:BZ34)</f>
        <v/>
      </c>
      <c r="CC34" s="932" t="n"/>
      <c r="CD34" s="135">
        <f>(E34)</f>
        <v/>
      </c>
      <c r="CE34" s="136">
        <f>((CD34)-(CB34))</f>
        <v/>
      </c>
      <c r="CF34" s="876">
        <f>((CE34)/(CD34))</f>
        <v/>
      </c>
    </row>
    <row r="35">
      <c r="D35" s="149" t="inlineStr">
        <is>
          <t>Month 10</t>
        </is>
      </c>
      <c r="E35" s="138">
        <f>'3C. Tel. - Revenue Drivers - 1 '!S22</f>
        <v/>
      </c>
      <c r="F35" s="1968" t="n"/>
      <c r="G35" s="978" t="n"/>
      <c r="H35" s="978" t="n"/>
      <c r="I35" s="978" t="n"/>
      <c r="J35" s="978" t="n"/>
      <c r="K35" s="978" t="n"/>
      <c r="L35" s="978" t="n"/>
      <c r="M35" s="978" t="n"/>
      <c r="N35" s="978" t="n"/>
      <c r="O35" s="978" t="n"/>
      <c r="P35" s="978" t="n"/>
      <c r="Q35" s="412">
        <f>(($E$35)*($G$11))</f>
        <v/>
      </c>
      <c r="R35" s="973">
        <f>(($E$35)*($G$11))</f>
        <v/>
      </c>
      <c r="S35" s="135">
        <f>(($E$35)*($G$11))</f>
        <v/>
      </c>
      <c r="T35" s="135">
        <f>(($E$35)*($G$11))</f>
        <v/>
      </c>
      <c r="U35" s="135">
        <f>(($E$35)*($G$11))</f>
        <v/>
      </c>
      <c r="V35" s="135">
        <f>(($E$35)*($G$11))</f>
        <v/>
      </c>
      <c r="W35" s="135">
        <f>(($E$35)*($G$11))</f>
        <v/>
      </c>
      <c r="X35" s="135">
        <f>(($E$35)*($G$11))</f>
        <v/>
      </c>
      <c r="Y35" s="135">
        <f>(($E$35)*($G$11))</f>
        <v/>
      </c>
      <c r="Z35" s="135">
        <f>(($E$35)*($G$11))</f>
        <v/>
      </c>
      <c r="AA35" s="135">
        <f>(($E$35)*($G$11))</f>
        <v/>
      </c>
      <c r="AB35" s="135">
        <f>(($E$35)*($G$11))</f>
        <v/>
      </c>
      <c r="AC35" s="135">
        <f>(($E$35)*($G$11))</f>
        <v/>
      </c>
      <c r="AD35" s="412">
        <f>(($E$35)*($G$11))</f>
        <v/>
      </c>
      <c r="AE35" s="415">
        <f>(($E$35)*($G$11))</f>
        <v/>
      </c>
      <c r="AF35" s="135">
        <f>(($E$35)*($G$11))</f>
        <v/>
      </c>
      <c r="AG35" s="135">
        <f>(($E$35)*($G$11))</f>
        <v/>
      </c>
      <c r="AH35" s="135">
        <f>(($E$35)*($G$11))</f>
        <v/>
      </c>
      <c r="AI35" s="135">
        <f>(($E$35)*($G$11))</f>
        <v/>
      </c>
      <c r="AJ35" s="412">
        <f>(($E$35)*($G$11))</f>
        <v/>
      </c>
      <c r="AK35" s="412">
        <f>(($E$35)*($G$11))</f>
        <v/>
      </c>
      <c r="AL35" s="412">
        <f>(($E$35)*($G$11))</f>
        <v/>
      </c>
      <c r="AM35" s="412">
        <f>(($E$35)*($G$11))</f>
        <v/>
      </c>
      <c r="AN35" s="412">
        <f>(($E$35)*($G$11))</f>
        <v/>
      </c>
      <c r="AO35" s="931" t="n"/>
      <c r="AP35" s="931" t="n"/>
      <c r="AQ35" s="980" t="n"/>
      <c r="AR35" s="931" t="n"/>
      <c r="AS35" s="931" t="n"/>
      <c r="AT35" s="931" t="n"/>
      <c r="AU35" s="931" t="n"/>
      <c r="AV35" s="931" t="n"/>
      <c r="AW35" s="931" t="n"/>
      <c r="AX35" s="931" t="n"/>
      <c r="AY35" s="931" t="n"/>
      <c r="AZ35" s="931" t="n"/>
      <c r="BA35" s="931" t="n"/>
      <c r="BB35" s="979" t="n"/>
      <c r="BC35" s="931" t="n"/>
      <c r="BD35" s="931" t="n"/>
      <c r="BE35" s="931" t="n"/>
      <c r="BF35" s="931" t="n"/>
      <c r="BG35" s="931" t="n"/>
      <c r="BH35" s="931" t="n"/>
      <c r="BI35" s="931" t="n"/>
      <c r="BJ35" s="931" t="n"/>
      <c r="BK35" s="931" t="n"/>
      <c r="BL35" s="931" t="n"/>
      <c r="BM35" s="931" t="n"/>
      <c r="BN35" s="931" t="n"/>
      <c r="BO35" s="980" t="n"/>
      <c r="BP35" s="931" t="n"/>
      <c r="BQ35" s="931" t="n"/>
      <c r="BR35" s="931" t="n"/>
      <c r="BS35" s="931" t="n"/>
      <c r="BT35" s="931" t="n"/>
      <c r="BU35" s="931" t="n"/>
      <c r="BV35" s="931" t="n"/>
      <c r="BW35" s="931" t="n"/>
      <c r="BX35" s="931" t="n"/>
      <c r="BY35" s="931" t="n"/>
      <c r="BZ35" s="931" t="n"/>
      <c r="CA35" s="932" t="n"/>
      <c r="CB35" s="136">
        <f>SUM(G35:BZ35)</f>
        <v/>
      </c>
      <c r="CC35" s="932" t="n"/>
      <c r="CD35" s="135">
        <f>(E35)</f>
        <v/>
      </c>
      <c r="CE35" s="136">
        <f>((CD35)-(CB35))</f>
        <v/>
      </c>
      <c r="CF35" s="876">
        <f>((CE35)/(CD35))</f>
        <v/>
      </c>
    </row>
    <row r="36">
      <c r="D36" s="149" t="inlineStr">
        <is>
          <t>Month 11</t>
        </is>
      </c>
      <c r="E36" s="138">
        <f>'3C. Tel. - Revenue Drivers - 1 '!T22</f>
        <v/>
      </c>
      <c r="F36" s="1968" t="n"/>
      <c r="G36" s="978" t="n"/>
      <c r="H36" s="978" t="n"/>
      <c r="I36" s="978" t="n"/>
      <c r="J36" s="978" t="n"/>
      <c r="K36" s="978" t="n"/>
      <c r="L36" s="978" t="n"/>
      <c r="M36" s="978" t="n"/>
      <c r="N36" s="978" t="n"/>
      <c r="O36" s="978" t="n"/>
      <c r="P36" s="978" t="n"/>
      <c r="Q36" s="978" t="n"/>
      <c r="R36" s="973">
        <f>(($E$36)*($G$11))</f>
        <v/>
      </c>
      <c r="S36" s="135">
        <f>(($E$36)*($G$11))</f>
        <v/>
      </c>
      <c r="T36" s="135">
        <f>(($E$36)*($G$11))</f>
        <v/>
      </c>
      <c r="U36" s="135">
        <f>(($E$36)*($G$11))</f>
        <v/>
      </c>
      <c r="V36" s="135">
        <f>(($E$36)*($G$11))</f>
        <v/>
      </c>
      <c r="W36" s="135">
        <f>(($E$36)*($G$11))</f>
        <v/>
      </c>
      <c r="X36" s="135">
        <f>(($E$36)*($G$11))</f>
        <v/>
      </c>
      <c r="Y36" s="135">
        <f>(($E$36)*($G$11))</f>
        <v/>
      </c>
      <c r="Z36" s="135">
        <f>(($E$36)*($G$11))</f>
        <v/>
      </c>
      <c r="AA36" s="135">
        <f>(($E$36)*($G$11))</f>
        <v/>
      </c>
      <c r="AB36" s="135">
        <f>(($E$36)*($G$11))</f>
        <v/>
      </c>
      <c r="AC36" s="135">
        <f>(($E$36)*($G$11))</f>
        <v/>
      </c>
      <c r="AD36" s="973">
        <f>(($E$36)*($G$11))</f>
        <v/>
      </c>
      <c r="AE36" s="135">
        <f>(($E$36)*($G$11))</f>
        <v/>
      </c>
      <c r="AF36" s="135">
        <f>(($E$36)*($G$11))</f>
        <v/>
      </c>
      <c r="AG36" s="135">
        <f>(($E$36)*($G$11))</f>
        <v/>
      </c>
      <c r="AH36" s="135">
        <f>(($E$36)*($G$11))</f>
        <v/>
      </c>
      <c r="AI36" s="135">
        <f>(($E$36)*($G$11))</f>
        <v/>
      </c>
      <c r="AJ36" s="135">
        <f>(($E$36)*($G$11))</f>
        <v/>
      </c>
      <c r="AK36" s="412">
        <f>(($E$36)*($G$11))</f>
        <v/>
      </c>
      <c r="AL36" s="412">
        <f>(($E$36)*($G$11))</f>
        <v/>
      </c>
      <c r="AM36" s="412">
        <f>(($E$36)*($G$11))</f>
        <v/>
      </c>
      <c r="AN36" s="412">
        <f>(($E$36)*($G$11))</f>
        <v/>
      </c>
      <c r="AO36" s="412">
        <f>(($E$36)*($G$11))</f>
        <v/>
      </c>
      <c r="AP36" s="931" t="n"/>
      <c r="AQ36" s="980" t="n"/>
      <c r="AR36" s="931" t="n"/>
      <c r="AS36" s="931" t="n"/>
      <c r="AT36" s="931" t="n"/>
      <c r="AU36" s="931" t="n"/>
      <c r="AV36" s="931" t="n"/>
      <c r="AW36" s="931" t="n"/>
      <c r="AX36" s="931" t="n"/>
      <c r="AY36" s="931" t="n"/>
      <c r="AZ36" s="931" t="n"/>
      <c r="BA36" s="931" t="n"/>
      <c r="BB36" s="979" t="n"/>
      <c r="BC36" s="931" t="n"/>
      <c r="BD36" s="931" t="n"/>
      <c r="BE36" s="931" t="n"/>
      <c r="BF36" s="931" t="n"/>
      <c r="BG36" s="931" t="n"/>
      <c r="BH36" s="931" t="n"/>
      <c r="BI36" s="931" t="n"/>
      <c r="BJ36" s="931" t="n"/>
      <c r="BK36" s="931" t="n"/>
      <c r="BL36" s="931" t="n"/>
      <c r="BM36" s="931" t="n"/>
      <c r="BN36" s="931" t="n"/>
      <c r="BO36" s="980" t="n"/>
      <c r="BP36" s="931" t="n"/>
      <c r="BQ36" s="931" t="n"/>
      <c r="BR36" s="931" t="n"/>
      <c r="BS36" s="931" t="n"/>
      <c r="BT36" s="931" t="n"/>
      <c r="BU36" s="931" t="n"/>
      <c r="BV36" s="931" t="n"/>
      <c r="BW36" s="931" t="n"/>
      <c r="BX36" s="931" t="n"/>
      <c r="BY36" s="931" t="n"/>
      <c r="BZ36" s="931" t="n"/>
      <c r="CA36" s="932" t="n"/>
      <c r="CB36" s="136">
        <f>SUM(G36:BZ36)</f>
        <v/>
      </c>
      <c r="CC36" s="932" t="n"/>
      <c r="CD36" s="135">
        <f>(E36)</f>
        <v/>
      </c>
      <c r="CE36" s="136">
        <f>((CD36)-(CB36))</f>
        <v/>
      </c>
      <c r="CF36" s="876">
        <f>((CE36)/(CD36))</f>
        <v/>
      </c>
    </row>
    <row r="37">
      <c r="D37" s="149" t="inlineStr">
        <is>
          <t>Month 12</t>
        </is>
      </c>
      <c r="E37" s="138">
        <f>'3C. Tel. - Revenue Drivers - 1 '!U22</f>
        <v/>
      </c>
      <c r="F37" s="1968" t="n"/>
      <c r="G37" s="978" t="n"/>
      <c r="H37" s="978" t="n"/>
      <c r="I37" s="978" t="n"/>
      <c r="J37" s="978" t="n"/>
      <c r="K37" s="978" t="n"/>
      <c r="L37" s="978" t="n"/>
      <c r="M37" s="978" t="n"/>
      <c r="N37" s="978" t="n"/>
      <c r="O37" s="978" t="n"/>
      <c r="P37" s="978" t="n"/>
      <c r="Q37" s="978" t="n"/>
      <c r="R37" s="981" t="n"/>
      <c r="S37" s="412">
        <f>(($E$37)*($G$11))</f>
        <v/>
      </c>
      <c r="T37" s="135">
        <f>(($E$37)*($G$11))</f>
        <v/>
      </c>
      <c r="U37" s="135">
        <f>(($E$37)*($G$11))</f>
        <v/>
      </c>
      <c r="V37" s="135">
        <f>(($E$37)*($G$11))</f>
        <v/>
      </c>
      <c r="W37" s="135">
        <f>(($E$37)*($G$11))</f>
        <v/>
      </c>
      <c r="X37" s="135">
        <f>(($E$37)*($G$11))</f>
        <v/>
      </c>
      <c r="Y37" s="135">
        <f>(($E$37)*($G$11))</f>
        <v/>
      </c>
      <c r="Z37" s="135">
        <f>(($E$37)*($G$11))</f>
        <v/>
      </c>
      <c r="AA37" s="135">
        <f>(($E$37)*($G$11))</f>
        <v/>
      </c>
      <c r="AB37" s="135">
        <f>(($E$37)*($G$11))</f>
        <v/>
      </c>
      <c r="AC37" s="135">
        <f>(($E$37)*($G$11))</f>
        <v/>
      </c>
      <c r="AD37" s="973">
        <f>(($E$37)*($G$11))</f>
        <v/>
      </c>
      <c r="AE37" s="135">
        <f>(($E$37)*($G$11))</f>
        <v/>
      </c>
      <c r="AF37" s="135">
        <f>(($E$37)*($G$11))</f>
        <v/>
      </c>
      <c r="AG37" s="135">
        <f>(($E$37)*($G$11))</f>
        <v/>
      </c>
      <c r="AH37" s="135">
        <f>(($E$37)*($G$11))</f>
        <v/>
      </c>
      <c r="AI37" s="135">
        <f>(($E$37)*($G$11))</f>
        <v/>
      </c>
      <c r="AJ37" s="135">
        <f>(($E$37)*($G$11))</f>
        <v/>
      </c>
      <c r="AK37" s="135">
        <f>(($E$37)*($G$11))</f>
        <v/>
      </c>
      <c r="AL37" s="412">
        <f>(($E$37)*($G$11))</f>
        <v/>
      </c>
      <c r="AM37" s="412">
        <f>(($E$37)*($G$11))</f>
        <v/>
      </c>
      <c r="AN37" s="412">
        <f>(($E$37)*($G$11))</f>
        <v/>
      </c>
      <c r="AO37" s="412">
        <f>(($E$37)*($G$11))</f>
        <v/>
      </c>
      <c r="AP37" s="412">
        <f>(($E$37)*($G$11))</f>
        <v/>
      </c>
      <c r="AQ37" s="980" t="n"/>
      <c r="AR37" s="931" t="n"/>
      <c r="AS37" s="931" t="n"/>
      <c r="AT37" s="931" t="n"/>
      <c r="AU37" s="931" t="n"/>
      <c r="AV37" s="931" t="n"/>
      <c r="AW37" s="931" t="n"/>
      <c r="AX37" s="931" t="n"/>
      <c r="AY37" s="931" t="n"/>
      <c r="AZ37" s="931" t="n"/>
      <c r="BA37" s="931" t="n"/>
      <c r="BB37" s="979" t="n"/>
      <c r="BC37" s="931" t="n"/>
      <c r="BD37" s="931" t="n"/>
      <c r="BE37" s="931" t="n"/>
      <c r="BF37" s="931" t="n"/>
      <c r="BG37" s="931" t="n"/>
      <c r="BH37" s="931" t="n"/>
      <c r="BI37" s="931" t="n"/>
      <c r="BJ37" s="931" t="n"/>
      <c r="BK37" s="931" t="n"/>
      <c r="BL37" s="931" t="n"/>
      <c r="BM37" s="931" t="n"/>
      <c r="BN37" s="931" t="n"/>
      <c r="BO37" s="980" t="n"/>
      <c r="BP37" s="931" t="n"/>
      <c r="BQ37" s="931" t="n"/>
      <c r="BR37" s="931" t="n"/>
      <c r="BS37" s="931" t="n"/>
      <c r="BT37" s="931" t="n"/>
      <c r="BU37" s="931" t="n"/>
      <c r="BV37" s="931" t="n"/>
      <c r="BW37" s="931" t="n"/>
      <c r="BX37" s="931" t="n"/>
      <c r="BY37" s="931" t="n"/>
      <c r="BZ37" s="931" t="n"/>
      <c r="CA37" s="932" t="n"/>
      <c r="CB37" s="136">
        <f>SUM(G37:BZ37)</f>
        <v/>
      </c>
      <c r="CC37" s="932" t="n"/>
      <c r="CD37" s="135">
        <f>(E37)</f>
        <v/>
      </c>
      <c r="CE37" s="136">
        <f>((CD37)-(CB37))</f>
        <v/>
      </c>
      <c r="CF37" s="876">
        <f>((CE37)/(CD37))</f>
        <v/>
      </c>
    </row>
    <row r="38">
      <c r="D38" s="149" t="inlineStr">
        <is>
          <t>Month 13</t>
        </is>
      </c>
      <c r="E38" s="138">
        <f>'3C. Tel. - Revenue Drivers - 1 '!J23</f>
        <v/>
      </c>
      <c r="F38" s="1968" t="n"/>
      <c r="G38" s="978" t="n"/>
      <c r="H38" s="978" t="n"/>
      <c r="I38" s="978" t="n"/>
      <c r="J38" s="978" t="n"/>
      <c r="K38" s="978" t="n"/>
      <c r="L38" s="978" t="n"/>
      <c r="M38" s="978" t="n"/>
      <c r="N38" s="978" t="n"/>
      <c r="O38" s="978" t="n"/>
      <c r="P38" s="978" t="n"/>
      <c r="Q38" s="978" t="n"/>
      <c r="R38" s="981" t="n"/>
      <c r="S38" s="978" t="n"/>
      <c r="T38" s="412">
        <f>(($E$38)*($G$11))</f>
        <v/>
      </c>
      <c r="U38" s="135">
        <f>(($E$38)*($G$11))</f>
        <v/>
      </c>
      <c r="V38" s="135">
        <f>(($E$38)*($G$11))</f>
        <v/>
      </c>
      <c r="W38" s="135">
        <f>(($E$38)*($G$11))</f>
        <v/>
      </c>
      <c r="X38" s="135">
        <f>(($E$38)*($G$11))</f>
        <v/>
      </c>
      <c r="Y38" s="135">
        <f>(($E$38)*($G$11))</f>
        <v/>
      </c>
      <c r="Z38" s="135">
        <f>(($E$38)*($G$11))</f>
        <v/>
      </c>
      <c r="AA38" s="135">
        <f>(($E$38)*($G$11))</f>
        <v/>
      </c>
      <c r="AB38" s="135">
        <f>(($E$38)*($G$11))</f>
        <v/>
      </c>
      <c r="AC38" s="135">
        <f>(($E$38)*($G$11))</f>
        <v/>
      </c>
      <c r="AD38" s="973">
        <f>(($E$38)*($G$11))</f>
        <v/>
      </c>
      <c r="AE38" s="135">
        <f>(($E$38)*($G$11))</f>
        <v/>
      </c>
      <c r="AF38" s="135">
        <f>(($E$38)*($G$11))</f>
        <v/>
      </c>
      <c r="AG38" s="135">
        <f>(($E$38)*($G$11))</f>
        <v/>
      </c>
      <c r="AH38" s="135">
        <f>(($E$38)*($G$11))</f>
        <v/>
      </c>
      <c r="AI38" s="135">
        <f>(($E$38)*($G$11))</f>
        <v/>
      </c>
      <c r="AJ38" s="135">
        <f>(($E$38)*($G$11))</f>
        <v/>
      </c>
      <c r="AK38" s="135">
        <f>(($E$38)*($G$11))</f>
        <v/>
      </c>
      <c r="AL38" s="135">
        <f>(($E$38)*($G$11))</f>
        <v/>
      </c>
      <c r="AM38" s="412">
        <f>(($E$38)*($G$11))</f>
        <v/>
      </c>
      <c r="AN38" s="412">
        <f>(($E$38)*($G$11))</f>
        <v/>
      </c>
      <c r="AO38" s="412">
        <f>(($E$38)*($G$11))</f>
        <v/>
      </c>
      <c r="AP38" s="412">
        <f>(($E$38)*($G$11))</f>
        <v/>
      </c>
      <c r="AQ38" s="415">
        <f>(($E$38)*($G$11))</f>
        <v/>
      </c>
      <c r="AR38" s="931" t="n"/>
      <c r="AS38" s="931" t="n"/>
      <c r="AT38" s="931" t="n"/>
      <c r="AU38" s="931" t="n"/>
      <c r="AV38" s="931" t="n"/>
      <c r="AW38" s="931" t="n"/>
      <c r="AX38" s="931" t="n"/>
      <c r="AY38" s="931" t="n"/>
      <c r="AZ38" s="931" t="n"/>
      <c r="BA38" s="931" t="n"/>
      <c r="BB38" s="979" t="n"/>
      <c r="BC38" s="931" t="n"/>
      <c r="BD38" s="931" t="n"/>
      <c r="BE38" s="931" t="n"/>
      <c r="BF38" s="931" t="n"/>
      <c r="BG38" s="931" t="n"/>
      <c r="BH38" s="931" t="n"/>
      <c r="BI38" s="931" t="n"/>
      <c r="BJ38" s="931" t="n"/>
      <c r="BK38" s="931" t="n"/>
      <c r="BL38" s="931" t="n"/>
      <c r="BM38" s="931" t="n"/>
      <c r="BN38" s="931" t="n"/>
      <c r="BO38" s="980" t="n"/>
      <c r="BP38" s="931" t="n"/>
      <c r="BQ38" s="931" t="n"/>
      <c r="BR38" s="931" t="n"/>
      <c r="BS38" s="931" t="n"/>
      <c r="BT38" s="931" t="n"/>
      <c r="BU38" s="931" t="n"/>
      <c r="BV38" s="931" t="n"/>
      <c r="BW38" s="931" t="n"/>
      <c r="BX38" s="931" t="n"/>
      <c r="BY38" s="931" t="n"/>
      <c r="BZ38" s="931" t="n"/>
      <c r="CA38" s="932" t="n"/>
      <c r="CB38" s="136">
        <f>SUM(G38:BZ38)</f>
        <v/>
      </c>
      <c r="CC38" s="932" t="n"/>
      <c r="CD38" s="135">
        <f>(E38)</f>
        <v/>
      </c>
      <c r="CE38" s="136">
        <f>((CD38)-(CB38))</f>
        <v/>
      </c>
      <c r="CF38" s="876">
        <f>((CE38)/(CD38))</f>
        <v/>
      </c>
    </row>
    <row r="39">
      <c r="D39" s="149" t="inlineStr">
        <is>
          <t>Month 14</t>
        </is>
      </c>
      <c r="E39" s="138">
        <f>'3C. Tel. - Revenue Drivers - 1 '!K23</f>
        <v/>
      </c>
      <c r="F39" s="1968" t="n"/>
      <c r="G39" s="978" t="n"/>
      <c r="H39" s="978" t="n"/>
      <c r="I39" s="978" t="n"/>
      <c r="J39" s="978" t="n"/>
      <c r="K39" s="978" t="n"/>
      <c r="L39" s="978" t="n"/>
      <c r="M39" s="978" t="n"/>
      <c r="N39" s="978" t="n"/>
      <c r="O39" s="978" t="n"/>
      <c r="P39" s="978" t="n"/>
      <c r="Q39" s="978" t="n"/>
      <c r="R39" s="981" t="n"/>
      <c r="S39" s="978" t="n"/>
      <c r="T39" s="978" t="n"/>
      <c r="U39" s="412">
        <f>(($E$39)*($G$11))</f>
        <v/>
      </c>
      <c r="V39" s="135">
        <f>(($E$39)*($G$11))</f>
        <v/>
      </c>
      <c r="W39" s="135">
        <f>(($E$39)*($G$11))</f>
        <v/>
      </c>
      <c r="X39" s="135">
        <f>(($E$39)*($G$11))</f>
        <v/>
      </c>
      <c r="Y39" s="135">
        <f>(($E$39)*($G$11))</f>
        <v/>
      </c>
      <c r="Z39" s="135">
        <f>(($E$39)*($G$11))</f>
        <v/>
      </c>
      <c r="AA39" s="135">
        <f>(($E$39)*($G$11))</f>
        <v/>
      </c>
      <c r="AB39" s="135">
        <f>(($E$39)*($G$11))</f>
        <v/>
      </c>
      <c r="AC39" s="135">
        <f>(($E$39)*($G$11))</f>
        <v/>
      </c>
      <c r="AD39" s="973">
        <f>(($E$39)*($G$11))</f>
        <v/>
      </c>
      <c r="AE39" s="135">
        <f>(($E$39)*($G$11))</f>
        <v/>
      </c>
      <c r="AF39" s="135">
        <f>(($E$39)*($G$11))</f>
        <v/>
      </c>
      <c r="AG39" s="135">
        <f>(($E$39)*($G$11))</f>
        <v/>
      </c>
      <c r="AH39" s="135">
        <f>(($E$39)*($G$11))</f>
        <v/>
      </c>
      <c r="AI39" s="135">
        <f>(($E$39)*($G$11))</f>
        <v/>
      </c>
      <c r="AJ39" s="135">
        <f>(($E$39)*($G$11))</f>
        <v/>
      </c>
      <c r="AK39" s="135">
        <f>(($E$39)*($G$11))</f>
        <v/>
      </c>
      <c r="AL39" s="135">
        <f>(($E$39)*($G$11))</f>
        <v/>
      </c>
      <c r="AM39" s="135">
        <f>(($E$39)*($G$11))</f>
        <v/>
      </c>
      <c r="AN39" s="412">
        <f>(($E$39)*($G$11))</f>
        <v/>
      </c>
      <c r="AO39" s="412">
        <f>(($E$39)*($G$11))</f>
        <v/>
      </c>
      <c r="AP39" s="412">
        <f>(($E$39)*($G$11))</f>
        <v/>
      </c>
      <c r="AQ39" s="415">
        <f>(($E$39)*($G$11))</f>
        <v/>
      </c>
      <c r="AR39" s="412">
        <f>(($E$39)*($G$11))</f>
        <v/>
      </c>
      <c r="AS39" s="931" t="n"/>
      <c r="AT39" s="931" t="n"/>
      <c r="AU39" s="931" t="n"/>
      <c r="AV39" s="931" t="n"/>
      <c r="AW39" s="931" t="n"/>
      <c r="AX39" s="931" t="n"/>
      <c r="AY39" s="931" t="n"/>
      <c r="AZ39" s="931" t="n"/>
      <c r="BA39" s="931" t="n"/>
      <c r="BB39" s="979" t="n"/>
      <c r="BC39" s="931" t="n"/>
      <c r="BD39" s="931" t="n"/>
      <c r="BE39" s="931" t="n"/>
      <c r="BF39" s="931" t="n"/>
      <c r="BG39" s="931" t="n"/>
      <c r="BH39" s="931" t="n"/>
      <c r="BI39" s="931" t="n"/>
      <c r="BJ39" s="931" t="n"/>
      <c r="BK39" s="931" t="n"/>
      <c r="BL39" s="931" t="n"/>
      <c r="BM39" s="931" t="n"/>
      <c r="BN39" s="931" t="n"/>
      <c r="BO39" s="980" t="n"/>
      <c r="BP39" s="931" t="n"/>
      <c r="BQ39" s="931" t="n"/>
      <c r="BR39" s="931" t="n"/>
      <c r="BS39" s="931" t="n"/>
      <c r="BT39" s="931" t="n"/>
      <c r="BU39" s="931" t="n"/>
      <c r="BV39" s="931" t="n"/>
      <c r="BW39" s="931" t="n"/>
      <c r="BX39" s="931" t="n"/>
      <c r="BY39" s="931" t="n"/>
      <c r="BZ39" s="931" t="n"/>
      <c r="CA39" s="932" t="n"/>
      <c r="CB39" s="136">
        <f>SUM(G39:BZ39)</f>
        <v/>
      </c>
      <c r="CC39" s="932" t="n"/>
      <c r="CD39" s="135">
        <f>(E39)</f>
        <v/>
      </c>
      <c r="CE39" s="136">
        <f>((CD39)-(CB39))</f>
        <v/>
      </c>
      <c r="CF39" s="876">
        <f>((CE39)/(CD39))</f>
        <v/>
      </c>
    </row>
    <row r="40">
      <c r="D40" s="149" t="inlineStr">
        <is>
          <t>Month 15</t>
        </is>
      </c>
      <c r="E40" s="138">
        <f>'3C. Tel. - Revenue Drivers - 1 '!L23</f>
        <v/>
      </c>
      <c r="F40" s="1968" t="n"/>
      <c r="G40" s="978" t="n"/>
      <c r="H40" s="978" t="n"/>
      <c r="I40" s="978" t="n"/>
      <c r="J40" s="978" t="n"/>
      <c r="K40" s="978" t="n"/>
      <c r="L40" s="978" t="n"/>
      <c r="M40" s="978" t="n"/>
      <c r="N40" s="978" t="n"/>
      <c r="O40" s="978" t="n"/>
      <c r="P40" s="978" t="n"/>
      <c r="Q40" s="978" t="n"/>
      <c r="R40" s="981" t="n"/>
      <c r="S40" s="978" t="n"/>
      <c r="T40" s="978" t="n"/>
      <c r="U40" s="978" t="n"/>
      <c r="V40" s="412">
        <f>(($E$40)*($G$11))</f>
        <v/>
      </c>
      <c r="W40" s="135">
        <f>(($E$40)*($G$11))</f>
        <v/>
      </c>
      <c r="X40" s="135">
        <f>(($E$40)*($G$11))</f>
        <v/>
      </c>
      <c r="Y40" s="135">
        <f>(($E$40)*($G$11))</f>
        <v/>
      </c>
      <c r="Z40" s="135">
        <f>(($E$40)*($G$11))</f>
        <v/>
      </c>
      <c r="AA40" s="135">
        <f>(($E$40)*($G$11))</f>
        <v/>
      </c>
      <c r="AB40" s="135">
        <f>(($E$40)*($G$11))</f>
        <v/>
      </c>
      <c r="AC40" s="135">
        <f>(($E$40)*($G$11))</f>
        <v/>
      </c>
      <c r="AD40" s="973">
        <f>(($E$40)*($G$11))</f>
        <v/>
      </c>
      <c r="AE40" s="135">
        <f>(($E$40)*($G$11))</f>
        <v/>
      </c>
      <c r="AF40" s="135">
        <f>(($E$40)*($G$11))</f>
        <v/>
      </c>
      <c r="AG40" s="135">
        <f>(($E$40)*($G$11))</f>
        <v/>
      </c>
      <c r="AH40" s="135">
        <f>(($E$40)*($G$11))</f>
        <v/>
      </c>
      <c r="AI40" s="135">
        <f>(($E$40)*($G$11))</f>
        <v/>
      </c>
      <c r="AJ40" s="135">
        <f>(($E$40)*($G$11))</f>
        <v/>
      </c>
      <c r="AK40" s="135">
        <f>(($E$40)*($G$11))</f>
        <v/>
      </c>
      <c r="AL40" s="135">
        <f>(($E$40)*($G$11))</f>
        <v/>
      </c>
      <c r="AM40" s="135">
        <f>(($E$40)*($G$11))</f>
        <v/>
      </c>
      <c r="AN40" s="135">
        <f>(($E$40)*($G$11))</f>
        <v/>
      </c>
      <c r="AO40" s="412">
        <f>(($E$40)*($G$11))</f>
        <v/>
      </c>
      <c r="AP40" s="412">
        <f>(($E$40)*($G$11))</f>
        <v/>
      </c>
      <c r="AQ40" s="415">
        <f>(($E$40)*($G$11))</f>
        <v/>
      </c>
      <c r="AR40" s="412">
        <f>(($E$40)*($G$11))</f>
        <v/>
      </c>
      <c r="AS40" s="412">
        <f>(($E$40)*($G$11))</f>
        <v/>
      </c>
      <c r="AT40" s="931" t="n"/>
      <c r="AU40" s="931" t="n"/>
      <c r="AV40" s="931" t="n"/>
      <c r="AW40" s="931" t="n"/>
      <c r="AX40" s="931" t="n"/>
      <c r="AY40" s="931" t="n"/>
      <c r="AZ40" s="931" t="n"/>
      <c r="BA40" s="931" t="n"/>
      <c r="BB40" s="979" t="n"/>
      <c r="BC40" s="931" t="n"/>
      <c r="BD40" s="931" t="n"/>
      <c r="BE40" s="931" t="n"/>
      <c r="BF40" s="931" t="n"/>
      <c r="BG40" s="931" t="n"/>
      <c r="BH40" s="931" t="n"/>
      <c r="BI40" s="931" t="n"/>
      <c r="BJ40" s="931" t="n"/>
      <c r="BK40" s="931" t="n"/>
      <c r="BL40" s="931" t="n"/>
      <c r="BM40" s="931" t="n"/>
      <c r="BN40" s="931" t="n"/>
      <c r="BO40" s="980" t="n"/>
      <c r="BP40" s="931" t="n"/>
      <c r="BQ40" s="931" t="n"/>
      <c r="BR40" s="931" t="n"/>
      <c r="BS40" s="931" t="n"/>
      <c r="BT40" s="931" t="n"/>
      <c r="BU40" s="931" t="n"/>
      <c r="BV40" s="931" t="n"/>
      <c r="BW40" s="931" t="n"/>
      <c r="BX40" s="931" t="n"/>
      <c r="BY40" s="931" t="n"/>
      <c r="BZ40" s="931" t="n"/>
      <c r="CA40" s="932" t="n"/>
      <c r="CB40" s="136">
        <f>SUM(G40:BZ40)</f>
        <v/>
      </c>
      <c r="CC40" s="932" t="n"/>
      <c r="CD40" s="135">
        <f>(E40)</f>
        <v/>
      </c>
      <c r="CE40" s="136">
        <f>((CD40)-(CB40))</f>
        <v/>
      </c>
      <c r="CF40" s="876">
        <f>((CE40)/(CD40))</f>
        <v/>
      </c>
    </row>
    <row r="41">
      <c r="D41" s="149" t="inlineStr">
        <is>
          <t>Month 16</t>
        </is>
      </c>
      <c r="E41" s="138">
        <f>'3C. Tel. - Revenue Drivers - 1 '!M23</f>
        <v/>
      </c>
      <c r="F41" s="1968" t="n"/>
      <c r="G41" s="978" t="n"/>
      <c r="H41" s="978" t="n"/>
      <c r="I41" s="978" t="n"/>
      <c r="J41" s="978" t="n"/>
      <c r="K41" s="978" t="n"/>
      <c r="L41" s="978" t="n"/>
      <c r="M41" s="978" t="n"/>
      <c r="N41" s="978" t="n"/>
      <c r="O41" s="978" t="n"/>
      <c r="P41" s="978" t="n"/>
      <c r="Q41" s="978" t="n"/>
      <c r="R41" s="981" t="n"/>
      <c r="S41" s="978" t="n"/>
      <c r="T41" s="978" t="n"/>
      <c r="U41" s="978" t="n"/>
      <c r="V41" s="978" t="n"/>
      <c r="W41" s="412">
        <f>(($E$41)*($G$11))</f>
        <v/>
      </c>
      <c r="X41" s="135">
        <f>(($E$41)*($G$11))</f>
        <v/>
      </c>
      <c r="Y41" s="135">
        <f>(($E$41)*($G$11))</f>
        <v/>
      </c>
      <c r="Z41" s="135">
        <f>(($E$41)*($G$11))</f>
        <v/>
      </c>
      <c r="AA41" s="135">
        <f>(($E$41)*($G$11))</f>
        <v/>
      </c>
      <c r="AB41" s="135">
        <f>(($E$41)*($G$11))</f>
        <v/>
      </c>
      <c r="AC41" s="135">
        <f>(($E$41)*($G$11))</f>
        <v/>
      </c>
      <c r="AD41" s="973">
        <f>(($E$41)*($G$11))</f>
        <v/>
      </c>
      <c r="AE41" s="135">
        <f>(($E$41)*($G$11))</f>
        <v/>
      </c>
      <c r="AF41" s="135">
        <f>(($E$41)*($G$11))</f>
        <v/>
      </c>
      <c r="AG41" s="135">
        <f>(($E$41)*($G$11))</f>
        <v/>
      </c>
      <c r="AH41" s="135">
        <f>(($E$41)*($G$11))</f>
        <v/>
      </c>
      <c r="AI41" s="135">
        <f>(($E$41)*($G$11))</f>
        <v/>
      </c>
      <c r="AJ41" s="135">
        <f>(($E$41)*($G$11))</f>
        <v/>
      </c>
      <c r="AK41" s="135">
        <f>(($E$41)*($G$11))</f>
        <v/>
      </c>
      <c r="AL41" s="135">
        <f>(($E$41)*($G$11))</f>
        <v/>
      </c>
      <c r="AM41" s="135">
        <f>(($E$41)*($G$11))</f>
        <v/>
      </c>
      <c r="AN41" s="135">
        <f>(($E$41)*($G$11))</f>
        <v/>
      </c>
      <c r="AO41" s="135">
        <f>(($E$41)*($G$11))</f>
        <v/>
      </c>
      <c r="AP41" s="412">
        <f>(($E$41)*($G$11))</f>
        <v/>
      </c>
      <c r="AQ41" s="415">
        <f>(($E$41)*($G$11))</f>
        <v/>
      </c>
      <c r="AR41" s="412">
        <f>(($E$41)*($G$11))</f>
        <v/>
      </c>
      <c r="AS41" s="412">
        <f>(($E$41)*($G$11))</f>
        <v/>
      </c>
      <c r="AT41" s="412">
        <f>(($E$41)*($G$11))</f>
        <v/>
      </c>
      <c r="AU41" s="931" t="n"/>
      <c r="AV41" s="931" t="n"/>
      <c r="AW41" s="931" t="n"/>
      <c r="AX41" s="931" t="n"/>
      <c r="AY41" s="931" t="n"/>
      <c r="AZ41" s="931" t="n"/>
      <c r="BA41" s="931" t="n"/>
      <c r="BB41" s="979" t="n"/>
      <c r="BC41" s="931" t="n"/>
      <c r="BD41" s="931" t="n"/>
      <c r="BE41" s="931" t="n"/>
      <c r="BF41" s="931" t="n"/>
      <c r="BG41" s="931" t="n"/>
      <c r="BH41" s="931" t="n"/>
      <c r="BI41" s="931" t="n"/>
      <c r="BJ41" s="931" t="n"/>
      <c r="BK41" s="931" t="n"/>
      <c r="BL41" s="931" t="n"/>
      <c r="BM41" s="931" t="n"/>
      <c r="BN41" s="931" t="n"/>
      <c r="BO41" s="980" t="n"/>
      <c r="BP41" s="931" t="n"/>
      <c r="BQ41" s="931" t="n"/>
      <c r="BR41" s="931" t="n"/>
      <c r="BS41" s="931" t="n"/>
      <c r="BT41" s="931" t="n"/>
      <c r="BU41" s="931" t="n"/>
      <c r="BV41" s="931" t="n"/>
      <c r="BW41" s="931" t="n"/>
      <c r="BX41" s="931" t="n"/>
      <c r="BY41" s="931" t="n"/>
      <c r="BZ41" s="931" t="n"/>
      <c r="CA41" s="932" t="n"/>
      <c r="CB41" s="136">
        <f>SUM(G41:BZ41)</f>
        <v/>
      </c>
      <c r="CC41" s="932" t="n"/>
      <c r="CD41" s="135">
        <f>(E41)</f>
        <v/>
      </c>
      <c r="CE41" s="136">
        <f>((CD41)-(CB41))</f>
        <v/>
      </c>
      <c r="CF41" s="876">
        <f>((CE41)/(CD41))</f>
        <v/>
      </c>
    </row>
    <row r="42">
      <c r="D42" s="149" t="inlineStr">
        <is>
          <t>Month 17</t>
        </is>
      </c>
      <c r="E42" s="138">
        <f>'3C. Tel. - Revenue Drivers - 1 '!N23</f>
        <v/>
      </c>
      <c r="F42" s="1968" t="n"/>
      <c r="G42" s="978" t="n"/>
      <c r="H42" s="978" t="n"/>
      <c r="I42" s="978" t="n"/>
      <c r="J42" s="978" t="n"/>
      <c r="K42" s="978" t="n"/>
      <c r="L42" s="978" t="n"/>
      <c r="M42" s="978" t="n"/>
      <c r="N42" s="978" t="n"/>
      <c r="O42" s="978" t="n"/>
      <c r="P42" s="978" t="n"/>
      <c r="Q42" s="978" t="n"/>
      <c r="R42" s="981" t="n"/>
      <c r="S42" s="978" t="n"/>
      <c r="T42" s="978" t="n"/>
      <c r="U42" s="978" t="n"/>
      <c r="V42" s="978" t="n"/>
      <c r="W42" s="978" t="n"/>
      <c r="X42" s="412">
        <f>(($E$42)*($G$11))</f>
        <v/>
      </c>
      <c r="Y42" s="135">
        <f>(($E$42)*($G$11))</f>
        <v/>
      </c>
      <c r="Z42" s="135">
        <f>(($E$42)*($G$11))</f>
        <v/>
      </c>
      <c r="AA42" s="135">
        <f>(($E$42)*($G$11))</f>
        <v/>
      </c>
      <c r="AB42" s="135">
        <f>(($E$42)*($G$11))</f>
        <v/>
      </c>
      <c r="AC42" s="135">
        <f>(($E$42)*($G$11))</f>
        <v/>
      </c>
      <c r="AD42" s="973">
        <f>(($E$42)*($G$11))</f>
        <v/>
      </c>
      <c r="AE42" s="135">
        <f>(($E$42)*($G$11))</f>
        <v/>
      </c>
      <c r="AF42" s="135">
        <f>(($E$42)*($G$11))</f>
        <v/>
      </c>
      <c r="AG42" s="135">
        <f>(($E$42)*($G$11))</f>
        <v/>
      </c>
      <c r="AH42" s="135">
        <f>(($E$42)*($G$11))</f>
        <v/>
      </c>
      <c r="AI42" s="135">
        <f>(($E$42)*($G$11))</f>
        <v/>
      </c>
      <c r="AJ42" s="135">
        <f>(($E$42)*($G$11))</f>
        <v/>
      </c>
      <c r="AK42" s="135">
        <f>(($E$42)*($G$11))</f>
        <v/>
      </c>
      <c r="AL42" s="135">
        <f>(($E$42)*($G$11))</f>
        <v/>
      </c>
      <c r="AM42" s="135">
        <f>(($E$42)*($G$11))</f>
        <v/>
      </c>
      <c r="AN42" s="135">
        <f>(($E$42)*($G$11))</f>
        <v/>
      </c>
      <c r="AO42" s="135">
        <f>(($E$42)*($G$11))</f>
        <v/>
      </c>
      <c r="AP42" s="412">
        <f>(($E$42)*($G$11))</f>
        <v/>
      </c>
      <c r="AQ42" s="415">
        <f>(($E$42)*($G$11))</f>
        <v/>
      </c>
      <c r="AR42" s="412">
        <f>(($E$42)*($G$11))</f>
        <v/>
      </c>
      <c r="AS42" s="412">
        <f>(($E$42)*($G$11))</f>
        <v/>
      </c>
      <c r="AT42" s="412">
        <f>(($E$42)*($G$11))</f>
        <v/>
      </c>
      <c r="AU42" s="412">
        <f>(($E$42)*($G$11))</f>
        <v/>
      </c>
      <c r="AV42" s="931" t="n"/>
      <c r="AW42" s="931" t="n"/>
      <c r="AX42" s="931" t="n"/>
      <c r="AY42" s="931" t="n"/>
      <c r="AZ42" s="931" t="n"/>
      <c r="BA42" s="931" t="n"/>
      <c r="BB42" s="979" t="n"/>
      <c r="BC42" s="931" t="n"/>
      <c r="BD42" s="931" t="n"/>
      <c r="BE42" s="931" t="n"/>
      <c r="BF42" s="931" t="n"/>
      <c r="BG42" s="931" t="n"/>
      <c r="BH42" s="931" t="n"/>
      <c r="BI42" s="931" t="n"/>
      <c r="BJ42" s="931" t="n"/>
      <c r="BK42" s="931" t="n"/>
      <c r="BL42" s="931" t="n"/>
      <c r="BM42" s="931" t="n"/>
      <c r="BN42" s="931" t="n"/>
      <c r="BO42" s="980" t="n"/>
      <c r="BP42" s="931" t="n"/>
      <c r="BQ42" s="931" t="n"/>
      <c r="BR42" s="931" t="n"/>
      <c r="BS42" s="931" t="n"/>
      <c r="BT42" s="931" t="n"/>
      <c r="BU42" s="931" t="n"/>
      <c r="BV42" s="931" t="n"/>
      <c r="BW42" s="931" t="n"/>
      <c r="BX42" s="931" t="n"/>
      <c r="BY42" s="931" t="n"/>
      <c r="BZ42" s="931" t="n"/>
      <c r="CA42" s="932" t="n"/>
      <c r="CB42" s="136">
        <f>SUM(G42:BZ42)</f>
        <v/>
      </c>
      <c r="CC42" s="932" t="n"/>
      <c r="CD42" s="135">
        <f>(E42)</f>
        <v/>
      </c>
      <c r="CE42" s="136">
        <f>((CD42)-(CB42))</f>
        <v/>
      </c>
      <c r="CF42" s="876">
        <f>((CE42)/(CD42))</f>
        <v/>
      </c>
    </row>
    <row r="43">
      <c r="D43" s="149" t="inlineStr">
        <is>
          <t>Month 18</t>
        </is>
      </c>
      <c r="E43" s="138">
        <f>'3C. Tel. - Revenue Drivers - 1 '!O23</f>
        <v/>
      </c>
      <c r="F43" s="1968" t="n"/>
      <c r="G43" s="978" t="n"/>
      <c r="H43" s="978" t="n"/>
      <c r="I43" s="978" t="n"/>
      <c r="J43" s="978" t="n"/>
      <c r="K43" s="978" t="n"/>
      <c r="L43" s="978" t="n"/>
      <c r="M43" s="978" t="n"/>
      <c r="N43" s="978" t="n"/>
      <c r="O43" s="978" t="n"/>
      <c r="P43" s="978" t="n"/>
      <c r="Q43" s="978" t="n"/>
      <c r="R43" s="981" t="n"/>
      <c r="S43" s="978" t="n"/>
      <c r="T43" s="978" t="n"/>
      <c r="U43" s="978" t="n"/>
      <c r="V43" s="978" t="n"/>
      <c r="W43" s="978" t="n"/>
      <c r="X43" s="978" t="n"/>
      <c r="Y43" s="412">
        <f>(($E$43)*($G$11))</f>
        <v/>
      </c>
      <c r="Z43" s="135">
        <f>(($E$43)*($G$11))</f>
        <v/>
      </c>
      <c r="AA43" s="135">
        <f>(($E$43)*($G$11))</f>
        <v/>
      </c>
      <c r="AB43" s="135">
        <f>(($E$43)*($G$11))</f>
        <v/>
      </c>
      <c r="AC43" s="135">
        <f>(($E$43)*($G$11))</f>
        <v/>
      </c>
      <c r="AD43" s="973">
        <f>(($E$43)*($G$11))</f>
        <v/>
      </c>
      <c r="AE43" s="135">
        <f>(($E$43)*($G$11))</f>
        <v/>
      </c>
      <c r="AF43" s="135">
        <f>(($E$43)*($G$11))</f>
        <v/>
      </c>
      <c r="AG43" s="135">
        <f>(($E$43)*($G$11))</f>
        <v/>
      </c>
      <c r="AH43" s="135">
        <f>(($E$43)*($G$11))</f>
        <v/>
      </c>
      <c r="AI43" s="135">
        <f>(($E$43)*($G$11))</f>
        <v/>
      </c>
      <c r="AJ43" s="135">
        <f>(($E$43)*($G$11))</f>
        <v/>
      </c>
      <c r="AK43" s="135">
        <f>(($E$43)*($G$11))</f>
        <v/>
      </c>
      <c r="AL43" s="135">
        <f>(($E$43)*($G$11))</f>
        <v/>
      </c>
      <c r="AM43" s="135">
        <f>(($E$43)*($G$11))</f>
        <v/>
      </c>
      <c r="AN43" s="135">
        <f>(($E$43)*($G$11))</f>
        <v/>
      </c>
      <c r="AO43" s="135">
        <f>(($E$43)*($G$11))</f>
        <v/>
      </c>
      <c r="AP43" s="412">
        <f>(($E$43)*($G$11))</f>
        <v/>
      </c>
      <c r="AQ43" s="415">
        <f>(($E$43)*($G$11))</f>
        <v/>
      </c>
      <c r="AR43" s="412">
        <f>(($E$43)*($G$11))</f>
        <v/>
      </c>
      <c r="AS43" s="412">
        <f>(($E$43)*($G$11))</f>
        <v/>
      </c>
      <c r="AT43" s="412">
        <f>(($E$43)*($G$11))</f>
        <v/>
      </c>
      <c r="AU43" s="412">
        <f>(($E$43)*($G$11))</f>
        <v/>
      </c>
      <c r="AV43" s="412">
        <f>(($E$43)*($G$11))</f>
        <v/>
      </c>
      <c r="AW43" s="931" t="n"/>
      <c r="AX43" s="931" t="n"/>
      <c r="AY43" s="931" t="n"/>
      <c r="AZ43" s="931" t="n"/>
      <c r="BA43" s="931" t="n"/>
      <c r="BB43" s="979" t="n"/>
      <c r="BC43" s="931" t="n"/>
      <c r="BD43" s="931" t="n"/>
      <c r="BE43" s="931" t="n"/>
      <c r="BF43" s="931" t="n"/>
      <c r="BG43" s="931" t="n"/>
      <c r="BH43" s="931" t="n"/>
      <c r="BI43" s="931" t="n"/>
      <c r="BJ43" s="931" t="n"/>
      <c r="BK43" s="931" t="n"/>
      <c r="BL43" s="931" t="n"/>
      <c r="BM43" s="931" t="n"/>
      <c r="BN43" s="931" t="n"/>
      <c r="BO43" s="980" t="n"/>
      <c r="BP43" s="931" t="n"/>
      <c r="BQ43" s="931" t="n"/>
      <c r="BR43" s="931" t="n"/>
      <c r="BS43" s="931" t="n"/>
      <c r="BT43" s="931" t="n"/>
      <c r="BU43" s="931" t="n"/>
      <c r="BV43" s="931" t="n"/>
      <c r="BW43" s="931" t="n"/>
      <c r="BX43" s="931" t="n"/>
      <c r="BY43" s="931" t="n"/>
      <c r="BZ43" s="931" t="n"/>
      <c r="CA43" s="932" t="n"/>
      <c r="CB43" s="136">
        <f>SUM(G43:BZ43)</f>
        <v/>
      </c>
      <c r="CC43" s="932" t="n"/>
      <c r="CD43" s="135">
        <f>(E43)</f>
        <v/>
      </c>
      <c r="CE43" s="136">
        <f>((CD43)-(CB43))</f>
        <v/>
      </c>
      <c r="CF43" s="876">
        <f>((CE43)/(CD43))</f>
        <v/>
      </c>
    </row>
    <row r="44">
      <c r="D44" s="149" t="inlineStr">
        <is>
          <t>Month 19</t>
        </is>
      </c>
      <c r="E44" s="138">
        <f>'3C. Tel. - Revenue Drivers - 1 '!P23</f>
        <v/>
      </c>
      <c r="F44" s="1968" t="n"/>
      <c r="G44" s="978" t="n"/>
      <c r="H44" s="978" t="n"/>
      <c r="I44" s="978" t="n"/>
      <c r="J44" s="978" t="n"/>
      <c r="K44" s="978" t="n"/>
      <c r="L44" s="978" t="n"/>
      <c r="M44" s="978" t="n"/>
      <c r="N44" s="978" t="n"/>
      <c r="O44" s="978" t="n"/>
      <c r="P44" s="978" t="n"/>
      <c r="Q44" s="978" t="n"/>
      <c r="R44" s="981" t="n"/>
      <c r="S44" s="978" t="n"/>
      <c r="T44" s="978" t="n"/>
      <c r="U44" s="978" t="n"/>
      <c r="V44" s="978" t="n"/>
      <c r="W44" s="978" t="n"/>
      <c r="X44" s="978" t="n"/>
      <c r="Y44" s="978" t="n"/>
      <c r="Z44" s="412">
        <f>(($E$44)*($G$11))</f>
        <v/>
      </c>
      <c r="AA44" s="135">
        <f>(($E$44)*($G$11))</f>
        <v/>
      </c>
      <c r="AB44" s="135">
        <f>(($E$44)*($G$11))</f>
        <v/>
      </c>
      <c r="AC44" s="135">
        <f>(($E$44)*($G$11))</f>
        <v/>
      </c>
      <c r="AD44" s="973">
        <f>(($E$44)*($G$11))</f>
        <v/>
      </c>
      <c r="AE44" s="135">
        <f>(($E$44)*($G$11))</f>
        <v/>
      </c>
      <c r="AF44" s="135">
        <f>(($E$44)*($G$11))</f>
        <v/>
      </c>
      <c r="AG44" s="135">
        <f>(($E$44)*($G$11))</f>
        <v/>
      </c>
      <c r="AH44" s="135">
        <f>(($E$44)*($G$11))</f>
        <v/>
      </c>
      <c r="AI44" s="135">
        <f>(($E$44)*($G$11))</f>
        <v/>
      </c>
      <c r="AJ44" s="135">
        <f>(($E$44)*($G$11))</f>
        <v/>
      </c>
      <c r="AK44" s="135">
        <f>(($E$44)*($G$11))</f>
        <v/>
      </c>
      <c r="AL44" s="135">
        <f>(($E$44)*($G$11))</f>
        <v/>
      </c>
      <c r="AM44" s="135">
        <f>(($E$44)*($G$11))</f>
        <v/>
      </c>
      <c r="AN44" s="135">
        <f>(($E$44)*($G$11))</f>
        <v/>
      </c>
      <c r="AO44" s="135">
        <f>(($E$44)*($G$11))</f>
        <v/>
      </c>
      <c r="AP44" s="412">
        <f>(($E$44)*($G$11))</f>
        <v/>
      </c>
      <c r="AQ44" s="415">
        <f>(($E$44)*($G$11))</f>
        <v/>
      </c>
      <c r="AR44" s="135">
        <f>(($E$44)*($G$11))</f>
        <v/>
      </c>
      <c r="AS44" s="412">
        <f>(($E$44)*($G$11))</f>
        <v/>
      </c>
      <c r="AT44" s="412">
        <f>(($E$44)*($G$11))</f>
        <v/>
      </c>
      <c r="AU44" s="412">
        <f>(($E$44)*($G$11))</f>
        <v/>
      </c>
      <c r="AV44" s="412">
        <f>(($E$44)*($G$11))</f>
        <v/>
      </c>
      <c r="AW44" s="412">
        <f>(($E$44)*($G$11))</f>
        <v/>
      </c>
      <c r="AX44" s="931" t="n"/>
      <c r="AY44" s="931" t="n"/>
      <c r="AZ44" s="931" t="n"/>
      <c r="BA44" s="931" t="n"/>
      <c r="BB44" s="979" t="n"/>
      <c r="BC44" s="931" t="n"/>
      <c r="BD44" s="931" t="n"/>
      <c r="BE44" s="931" t="n"/>
      <c r="BF44" s="931" t="n"/>
      <c r="BG44" s="931" t="n"/>
      <c r="BH44" s="931" t="n"/>
      <c r="BI44" s="931" t="n"/>
      <c r="BJ44" s="931" t="n"/>
      <c r="BK44" s="931" t="n"/>
      <c r="BL44" s="931" t="n"/>
      <c r="BM44" s="931" t="n"/>
      <c r="BN44" s="931" t="n"/>
      <c r="BO44" s="980" t="n"/>
      <c r="BP44" s="931" t="n"/>
      <c r="BQ44" s="931" t="n"/>
      <c r="BR44" s="931" t="n"/>
      <c r="BS44" s="931" t="n"/>
      <c r="BT44" s="931" t="n"/>
      <c r="BU44" s="931" t="n"/>
      <c r="BV44" s="931" t="n"/>
      <c r="BW44" s="931" t="n"/>
      <c r="BX44" s="931" t="n"/>
      <c r="BY44" s="931" t="n"/>
      <c r="BZ44" s="931" t="n"/>
      <c r="CA44" s="932" t="n"/>
      <c r="CB44" s="136">
        <f>SUM(G44:BZ44)</f>
        <v/>
      </c>
      <c r="CC44" s="932" t="n"/>
      <c r="CD44" s="135">
        <f>(E44)</f>
        <v/>
      </c>
      <c r="CE44" s="136">
        <f>((CD44)-(CB44))</f>
        <v/>
      </c>
      <c r="CF44" s="876">
        <f>((CE44)/(CD44))</f>
        <v/>
      </c>
    </row>
    <row r="45">
      <c r="D45" s="149" t="inlineStr">
        <is>
          <t>Month 20</t>
        </is>
      </c>
      <c r="E45" s="138">
        <f>'3C. Tel. - Revenue Drivers - 1 '!Q23</f>
        <v/>
      </c>
      <c r="F45" s="1968" t="n"/>
      <c r="G45" s="978" t="n"/>
      <c r="H45" s="978" t="n"/>
      <c r="I45" s="978" t="n"/>
      <c r="J45" s="978" t="n"/>
      <c r="K45" s="978" t="n"/>
      <c r="L45" s="978" t="n"/>
      <c r="M45" s="978" t="n"/>
      <c r="N45" s="978" t="n"/>
      <c r="O45" s="978" t="n"/>
      <c r="P45" s="978" t="n"/>
      <c r="Q45" s="978" t="n"/>
      <c r="R45" s="981" t="n"/>
      <c r="S45" s="978" t="n"/>
      <c r="T45" s="978" t="n"/>
      <c r="U45" s="978" t="n"/>
      <c r="V45" s="978" t="n"/>
      <c r="W45" s="978" t="n"/>
      <c r="X45" s="978" t="n"/>
      <c r="Y45" s="978" t="n"/>
      <c r="Z45" s="978" t="n"/>
      <c r="AA45" s="412">
        <f>(($E$45)*($G$11))</f>
        <v/>
      </c>
      <c r="AB45" s="135">
        <f>(($E$45)*($G$11))</f>
        <v/>
      </c>
      <c r="AC45" s="135">
        <f>(($E$45)*($G$11))</f>
        <v/>
      </c>
      <c r="AD45" s="973">
        <f>(($E$45)*($G$11))</f>
        <v/>
      </c>
      <c r="AE45" s="135">
        <f>(($E$45)*($G$11))</f>
        <v/>
      </c>
      <c r="AF45" s="135">
        <f>(($E$45)*($G$11))</f>
        <v/>
      </c>
      <c r="AG45" s="135">
        <f>(($E$45)*($G$11))</f>
        <v/>
      </c>
      <c r="AH45" s="135">
        <f>(($E$45)*($G$11))</f>
        <v/>
      </c>
      <c r="AI45" s="135">
        <f>(($E$45)*($G$11))</f>
        <v/>
      </c>
      <c r="AJ45" s="135">
        <f>(($E$45)*($G$11))</f>
        <v/>
      </c>
      <c r="AK45" s="135">
        <f>(($E$45)*($G$11))</f>
        <v/>
      </c>
      <c r="AL45" s="135">
        <f>(($E$45)*($G$11))</f>
        <v/>
      </c>
      <c r="AM45" s="135">
        <f>(($E$45)*($G$11))</f>
        <v/>
      </c>
      <c r="AN45" s="135">
        <f>(($E$45)*($G$11))</f>
        <v/>
      </c>
      <c r="AO45" s="135">
        <f>(($E$45)*($G$11))</f>
        <v/>
      </c>
      <c r="AP45" s="412">
        <f>(($E$45)*($G$11))</f>
        <v/>
      </c>
      <c r="AQ45" s="415">
        <f>(($E$45)*($G$11))</f>
        <v/>
      </c>
      <c r="AR45" s="135">
        <f>(($E$45)*($G$11))</f>
        <v/>
      </c>
      <c r="AS45" s="135">
        <f>(($E$45)*($G$11))</f>
        <v/>
      </c>
      <c r="AT45" s="412">
        <f>(($E$45)*($G$11))</f>
        <v/>
      </c>
      <c r="AU45" s="412">
        <f>(($E$45)*($G$11))</f>
        <v/>
      </c>
      <c r="AV45" s="412">
        <f>(($E$45)*($G$11))</f>
        <v/>
      </c>
      <c r="AW45" s="412">
        <f>(($E$45)*($G$11))</f>
        <v/>
      </c>
      <c r="AX45" s="412">
        <f>(($E$45)*($G$11))</f>
        <v/>
      </c>
      <c r="AY45" s="931" t="n"/>
      <c r="AZ45" s="931" t="n"/>
      <c r="BA45" s="931" t="n"/>
      <c r="BB45" s="979" t="n"/>
      <c r="BC45" s="931" t="n"/>
      <c r="BD45" s="931" t="n"/>
      <c r="BE45" s="931" t="n"/>
      <c r="BF45" s="931" t="n"/>
      <c r="BG45" s="931" t="n"/>
      <c r="BH45" s="931" t="n"/>
      <c r="BI45" s="931" t="n"/>
      <c r="BJ45" s="931" t="n"/>
      <c r="BK45" s="931" t="n"/>
      <c r="BL45" s="931" t="n"/>
      <c r="BM45" s="931" t="n"/>
      <c r="BN45" s="931" t="n"/>
      <c r="BO45" s="980" t="n"/>
      <c r="BP45" s="931" t="n"/>
      <c r="BQ45" s="931" t="n"/>
      <c r="BR45" s="931" t="n"/>
      <c r="BS45" s="931" t="n"/>
      <c r="BT45" s="931" t="n"/>
      <c r="BU45" s="931" t="n"/>
      <c r="BV45" s="931" t="n"/>
      <c r="BW45" s="931" t="n"/>
      <c r="BX45" s="931" t="n"/>
      <c r="BY45" s="931" t="n"/>
      <c r="BZ45" s="931" t="n"/>
      <c r="CA45" s="932" t="n"/>
      <c r="CB45" s="136">
        <f>SUM(G45:BZ45)</f>
        <v/>
      </c>
      <c r="CC45" s="932" t="n"/>
      <c r="CD45" s="135">
        <f>(E45)</f>
        <v/>
      </c>
      <c r="CE45" s="136">
        <f>((CD45)-(CB45))</f>
        <v/>
      </c>
      <c r="CF45" s="876">
        <f>((CE45)/(CD45))</f>
        <v/>
      </c>
    </row>
    <row r="46">
      <c r="D46" s="149" t="inlineStr">
        <is>
          <t>Month 21</t>
        </is>
      </c>
      <c r="E46" s="138">
        <f>'3C. Tel. - Revenue Drivers - 1 '!R23</f>
        <v/>
      </c>
      <c r="F46" s="1968" t="n"/>
      <c r="G46" s="978" t="n"/>
      <c r="H46" s="978" t="n"/>
      <c r="I46" s="978" t="n"/>
      <c r="J46" s="978" t="n"/>
      <c r="K46" s="978" t="n"/>
      <c r="L46" s="978" t="n"/>
      <c r="M46" s="978" t="n"/>
      <c r="N46" s="978" t="n"/>
      <c r="O46" s="978" t="n"/>
      <c r="P46" s="978" t="n"/>
      <c r="Q46" s="978" t="n"/>
      <c r="R46" s="981" t="n"/>
      <c r="S46" s="978" t="n"/>
      <c r="T46" s="978" t="n"/>
      <c r="U46" s="978" t="n"/>
      <c r="V46" s="978" t="n"/>
      <c r="W46" s="978" t="n"/>
      <c r="X46" s="978" t="n"/>
      <c r="Y46" s="978" t="n"/>
      <c r="Z46" s="978" t="n"/>
      <c r="AA46" s="978" t="n"/>
      <c r="AB46" s="412">
        <f>(($E$46)*($G$11))</f>
        <v/>
      </c>
      <c r="AC46" s="135">
        <f>(($E$46)*($G$11))</f>
        <v/>
      </c>
      <c r="AD46" s="973">
        <f>(($E$46)*($G$11))</f>
        <v/>
      </c>
      <c r="AE46" s="135">
        <f>(($E$46)*($G$11))</f>
        <v/>
      </c>
      <c r="AF46" s="135">
        <f>(($E$46)*($G$11))</f>
        <v/>
      </c>
      <c r="AG46" s="135">
        <f>(($E$46)*($G$11))</f>
        <v/>
      </c>
      <c r="AH46" s="135">
        <f>(($E$46)*($G$11))</f>
        <v/>
      </c>
      <c r="AI46" s="135">
        <f>(($E$46)*($G$11))</f>
        <v/>
      </c>
      <c r="AJ46" s="135">
        <f>(($E$46)*($G$11))</f>
        <v/>
      </c>
      <c r="AK46" s="135">
        <f>(($E$46)*($G$11))</f>
        <v/>
      </c>
      <c r="AL46" s="135">
        <f>(($E$46)*($G$11))</f>
        <v/>
      </c>
      <c r="AM46" s="135">
        <f>(($E$46)*($G$11))</f>
        <v/>
      </c>
      <c r="AN46" s="135">
        <f>(($E$46)*($G$11))</f>
        <v/>
      </c>
      <c r="AO46" s="135">
        <f>(($E$46)*($G$11))</f>
        <v/>
      </c>
      <c r="AP46" s="973">
        <f>(($E$46)*($G$11))</f>
        <v/>
      </c>
      <c r="AQ46" s="135">
        <f>(($E$46)*($G$11))</f>
        <v/>
      </c>
      <c r="AR46" s="135">
        <f>(($E$46)*($G$11))</f>
        <v/>
      </c>
      <c r="AS46" s="135">
        <f>(($E$46)*($G$11))</f>
        <v/>
      </c>
      <c r="AT46" s="135">
        <f>(($E$46)*($G$11))</f>
        <v/>
      </c>
      <c r="AU46" s="412">
        <f>(($E$46)*($G$11))</f>
        <v/>
      </c>
      <c r="AV46" s="412">
        <f>(($E$46)*($G$11))</f>
        <v/>
      </c>
      <c r="AW46" s="412">
        <f>(($E$46)*($G$11))</f>
        <v/>
      </c>
      <c r="AX46" s="412">
        <f>(($E$46)*($G$11))</f>
        <v/>
      </c>
      <c r="AY46" s="412">
        <f>(($E$46)*($G$11))</f>
        <v/>
      </c>
      <c r="AZ46" s="931" t="n"/>
      <c r="BA46" s="931" t="n"/>
      <c r="BB46" s="979" t="n"/>
      <c r="BC46" s="931" t="n"/>
      <c r="BD46" s="931" t="n"/>
      <c r="BE46" s="931" t="n"/>
      <c r="BF46" s="931" t="n"/>
      <c r="BG46" s="931" t="n"/>
      <c r="BH46" s="931" t="n"/>
      <c r="BI46" s="931" t="n"/>
      <c r="BJ46" s="931" t="n"/>
      <c r="BK46" s="931" t="n"/>
      <c r="BL46" s="931" t="n"/>
      <c r="BM46" s="931" t="n"/>
      <c r="BN46" s="931" t="n"/>
      <c r="BO46" s="980" t="n"/>
      <c r="BP46" s="931" t="n"/>
      <c r="BQ46" s="931" t="n"/>
      <c r="BR46" s="931" t="n"/>
      <c r="BS46" s="931" t="n"/>
      <c r="BT46" s="931" t="n"/>
      <c r="BU46" s="931" t="n"/>
      <c r="BV46" s="931" t="n"/>
      <c r="BW46" s="931" t="n"/>
      <c r="BX46" s="931" t="n"/>
      <c r="BY46" s="931" t="n"/>
      <c r="BZ46" s="931" t="n"/>
      <c r="CA46" s="932" t="n"/>
      <c r="CB46" s="136">
        <f>SUM(G46:BZ46)</f>
        <v/>
      </c>
      <c r="CC46" s="932" t="n"/>
      <c r="CD46" s="135">
        <f>(E46)</f>
        <v/>
      </c>
      <c r="CE46" s="136">
        <f>((CD46)-(CB46))</f>
        <v/>
      </c>
      <c r="CF46" s="876">
        <f>((CE46)/(CD46))</f>
        <v/>
      </c>
    </row>
    <row r="47">
      <c r="D47" s="149" t="inlineStr">
        <is>
          <t>Month 22</t>
        </is>
      </c>
      <c r="E47" s="138">
        <f>'3C. Tel. - Revenue Drivers - 1 '!S23</f>
        <v/>
      </c>
      <c r="F47" s="1968" t="n"/>
      <c r="G47" s="978" t="n"/>
      <c r="H47" s="978" t="n"/>
      <c r="I47" s="978" t="n"/>
      <c r="J47" s="978" t="n"/>
      <c r="K47" s="978" t="n"/>
      <c r="L47" s="978" t="n"/>
      <c r="M47" s="978" t="n"/>
      <c r="N47" s="978" t="n"/>
      <c r="O47" s="978" t="n"/>
      <c r="P47" s="978" t="n"/>
      <c r="Q47" s="978" t="n"/>
      <c r="R47" s="981" t="n"/>
      <c r="S47" s="978" t="n"/>
      <c r="T47" s="978" t="n"/>
      <c r="U47" s="978" t="n"/>
      <c r="V47" s="978" t="n"/>
      <c r="W47" s="978" t="n"/>
      <c r="X47" s="978" t="n"/>
      <c r="Y47" s="978" t="n"/>
      <c r="Z47" s="978" t="n"/>
      <c r="AA47" s="978" t="n"/>
      <c r="AB47" s="978" t="n"/>
      <c r="AC47" s="412">
        <f>(($E$47)*($G$11))</f>
        <v/>
      </c>
      <c r="AD47" s="973">
        <f>(($E$47)*($G$11))</f>
        <v/>
      </c>
      <c r="AE47" s="135">
        <f>(($E$47)*($G$11))</f>
        <v/>
      </c>
      <c r="AF47" s="135">
        <f>(($E$47)*($G$11))</f>
        <v/>
      </c>
      <c r="AG47" s="135">
        <f>(($E$47)*($G$11))</f>
        <v/>
      </c>
      <c r="AH47" s="135">
        <f>(($E$47)*($G$11))</f>
        <v/>
      </c>
      <c r="AI47" s="135">
        <f>(($E$47)*($G$11))</f>
        <v/>
      </c>
      <c r="AJ47" s="135">
        <f>(($E$47)*($G$11))</f>
        <v/>
      </c>
      <c r="AK47" s="135">
        <f>(($E$47)*($G$11))</f>
        <v/>
      </c>
      <c r="AL47" s="135">
        <f>(($E$47)*($G$11))</f>
        <v/>
      </c>
      <c r="AM47" s="135">
        <f>(($E$47)*($G$11))</f>
        <v/>
      </c>
      <c r="AN47" s="135">
        <f>(($E$47)*($G$11))</f>
        <v/>
      </c>
      <c r="AO47" s="135">
        <f>(($E$47)*($G$11))</f>
        <v/>
      </c>
      <c r="AP47" s="973">
        <f>(($E$47)*($G$11))</f>
        <v/>
      </c>
      <c r="AQ47" s="135">
        <f>(($E$47)*($G$11))</f>
        <v/>
      </c>
      <c r="AR47" s="135">
        <f>(($E$47)*($G$11))</f>
        <v/>
      </c>
      <c r="AS47" s="135">
        <f>(($E$47)*($G$11))</f>
        <v/>
      </c>
      <c r="AT47" s="135">
        <f>(($E$47)*($G$11))</f>
        <v/>
      </c>
      <c r="AU47" s="135">
        <f>(($E$47)*($G$11))</f>
        <v/>
      </c>
      <c r="AV47" s="412">
        <f>(($E$47)*($G$11))</f>
        <v/>
      </c>
      <c r="AW47" s="412">
        <f>(($E$47)*($G$11))</f>
        <v/>
      </c>
      <c r="AX47" s="412">
        <f>(($E$47)*($G$11))</f>
        <v/>
      </c>
      <c r="AY47" s="412">
        <f>(($E$47)*($G$11))</f>
        <v/>
      </c>
      <c r="AZ47" s="412">
        <f>(($E$47)*($G$11))</f>
        <v/>
      </c>
      <c r="BA47" s="931" t="n"/>
      <c r="BB47" s="931" t="n"/>
      <c r="BC47" s="980" t="n"/>
      <c r="BD47" s="931" t="n"/>
      <c r="BE47" s="931" t="n"/>
      <c r="BF47" s="931" t="n"/>
      <c r="BG47" s="931" t="n"/>
      <c r="BH47" s="931" t="n"/>
      <c r="BI47" s="931" t="n"/>
      <c r="BJ47" s="931" t="n"/>
      <c r="BK47" s="931" t="n"/>
      <c r="BL47" s="931" t="n"/>
      <c r="BM47" s="931" t="n"/>
      <c r="BN47" s="931" t="n"/>
      <c r="BO47" s="980" t="n"/>
      <c r="BP47" s="931" t="n"/>
      <c r="BQ47" s="931" t="n"/>
      <c r="BR47" s="931" t="n"/>
      <c r="BS47" s="931" t="n"/>
      <c r="BT47" s="931" t="n"/>
      <c r="BU47" s="931" t="n"/>
      <c r="BV47" s="931" t="n"/>
      <c r="BW47" s="931" t="n"/>
      <c r="BX47" s="931" t="n"/>
      <c r="BY47" s="931" t="n"/>
      <c r="BZ47" s="931" t="n"/>
      <c r="CA47" s="932" t="n"/>
      <c r="CB47" s="136">
        <f>SUM(G47:BZ47)</f>
        <v/>
      </c>
      <c r="CC47" s="932" t="n"/>
      <c r="CD47" s="135">
        <f>(E47)</f>
        <v/>
      </c>
      <c r="CE47" s="136">
        <f>((CD47)-(CB47))</f>
        <v/>
      </c>
      <c r="CF47" s="876">
        <f>((CE47)/(CD47))</f>
        <v/>
      </c>
    </row>
    <row r="48">
      <c r="D48" s="149" t="inlineStr">
        <is>
          <t>Month 23</t>
        </is>
      </c>
      <c r="E48" s="138">
        <f>'3C. Tel. - Revenue Drivers - 1 '!T23</f>
        <v/>
      </c>
      <c r="F48" s="1968" t="n"/>
      <c r="G48" s="978" t="n"/>
      <c r="H48" s="978" t="n"/>
      <c r="I48" s="978" t="n"/>
      <c r="J48" s="978" t="n"/>
      <c r="K48" s="978" t="n"/>
      <c r="L48" s="978" t="n"/>
      <c r="M48" s="978" t="n"/>
      <c r="N48" s="978" t="n"/>
      <c r="O48" s="978" t="n"/>
      <c r="P48" s="978" t="n"/>
      <c r="Q48" s="978" t="n"/>
      <c r="R48" s="981" t="n"/>
      <c r="S48" s="978" t="n"/>
      <c r="T48" s="978" t="n"/>
      <c r="U48" s="978" t="n"/>
      <c r="V48" s="978" t="n"/>
      <c r="W48" s="978" t="n"/>
      <c r="X48" s="978" t="n"/>
      <c r="Y48" s="978" t="n"/>
      <c r="Z48" s="978" t="n"/>
      <c r="AA48" s="978" t="n"/>
      <c r="AB48" s="978" t="n"/>
      <c r="AC48" s="978" t="n"/>
      <c r="AD48" s="973">
        <f>(($E$48)*($G$11))</f>
        <v/>
      </c>
      <c r="AE48" s="135">
        <f>(($E$48)*($G$11))</f>
        <v/>
      </c>
      <c r="AF48" s="135">
        <f>(($E$48)*($G$11))</f>
        <v/>
      </c>
      <c r="AG48" s="135">
        <f>(($E$48)*($G$11))</f>
        <v/>
      </c>
      <c r="AH48" s="135">
        <f>(($E$48)*($G$11))</f>
        <v/>
      </c>
      <c r="AI48" s="135">
        <f>(($E$48)*($G$11))</f>
        <v/>
      </c>
      <c r="AJ48" s="135">
        <f>(($E$48)*($G$11))</f>
        <v/>
      </c>
      <c r="AK48" s="135">
        <f>(($E$48)*($G$11))</f>
        <v/>
      </c>
      <c r="AL48" s="135">
        <f>(($E$48)*($G$11))</f>
        <v/>
      </c>
      <c r="AM48" s="135">
        <f>(($E$48)*($G$11))</f>
        <v/>
      </c>
      <c r="AN48" s="135">
        <f>(($E$48)*($G$11))</f>
        <v/>
      </c>
      <c r="AO48" s="135">
        <f>(($E$48)*($G$11))</f>
        <v/>
      </c>
      <c r="AP48" s="973">
        <f>(($E$48)*($G$11))</f>
        <v/>
      </c>
      <c r="AQ48" s="135">
        <f>(($E$48)*($G$11))</f>
        <v/>
      </c>
      <c r="AR48" s="135">
        <f>(($E$48)*($G$11))</f>
        <v/>
      </c>
      <c r="AS48" s="135">
        <f>(($E$48)*($G$11))</f>
        <v/>
      </c>
      <c r="AT48" s="135">
        <f>(($E$48)*($G$11))</f>
        <v/>
      </c>
      <c r="AU48" s="135">
        <f>(($E$48)*($G$11))</f>
        <v/>
      </c>
      <c r="AV48" s="135">
        <f>(($E$48)*($G$11))</f>
        <v/>
      </c>
      <c r="AW48" s="412">
        <f>(($E$48)*($G$11))</f>
        <v/>
      </c>
      <c r="AX48" s="412">
        <f>(($E$48)*($G$11))</f>
        <v/>
      </c>
      <c r="AY48" s="412">
        <f>(($E$48)*($G$11))</f>
        <v/>
      </c>
      <c r="AZ48" s="412">
        <f>(($E$48)*($G$11))</f>
        <v/>
      </c>
      <c r="BA48" s="412">
        <f>(($E$48)*($G$11))</f>
        <v/>
      </c>
      <c r="BB48" s="931" t="n"/>
      <c r="BC48" s="980" t="n"/>
      <c r="BD48" s="931" t="n"/>
      <c r="BE48" s="931" t="n"/>
      <c r="BF48" s="931" t="n"/>
      <c r="BG48" s="931" t="n"/>
      <c r="BH48" s="931" t="n"/>
      <c r="BI48" s="931" t="n"/>
      <c r="BJ48" s="931" t="n"/>
      <c r="BK48" s="931" t="n"/>
      <c r="BL48" s="931" t="n"/>
      <c r="BM48" s="931" t="n"/>
      <c r="BN48" s="931" t="n"/>
      <c r="BO48" s="980" t="n"/>
      <c r="BP48" s="931" t="n"/>
      <c r="BQ48" s="931" t="n"/>
      <c r="BR48" s="931" t="n"/>
      <c r="BS48" s="931" t="n"/>
      <c r="BT48" s="931" t="n"/>
      <c r="BU48" s="931" t="n"/>
      <c r="BV48" s="931" t="n"/>
      <c r="BW48" s="931" t="n"/>
      <c r="BX48" s="931" t="n"/>
      <c r="BY48" s="931" t="n"/>
      <c r="BZ48" s="931" t="n"/>
      <c r="CA48" s="932" t="n"/>
      <c r="CB48" s="136">
        <f>SUM(G48:BZ48)</f>
        <v/>
      </c>
      <c r="CC48" s="932" t="n"/>
      <c r="CD48" s="135">
        <f>(E48)</f>
        <v/>
      </c>
      <c r="CE48" s="136">
        <f>((CD48)-(CB48))</f>
        <v/>
      </c>
      <c r="CF48" s="876">
        <f>((CE48)/(CD48))</f>
        <v/>
      </c>
    </row>
    <row r="49">
      <c r="D49" s="149" t="inlineStr">
        <is>
          <t>Month 24</t>
        </is>
      </c>
      <c r="E49" s="138">
        <f>'3C. Tel. - Revenue Drivers - 1 '!U23</f>
        <v/>
      </c>
      <c r="F49" s="1968" t="n"/>
      <c r="G49" s="978" t="n"/>
      <c r="H49" s="978" t="n"/>
      <c r="I49" s="978" t="n"/>
      <c r="J49" s="978" t="n"/>
      <c r="K49" s="978" t="n"/>
      <c r="L49" s="978" t="n"/>
      <c r="M49" s="978" t="n"/>
      <c r="N49" s="978" t="n"/>
      <c r="O49" s="978" t="n"/>
      <c r="P49" s="978" t="n"/>
      <c r="Q49" s="978" t="n"/>
      <c r="R49" s="981" t="n"/>
      <c r="S49" s="978" t="n"/>
      <c r="T49" s="978" t="n"/>
      <c r="U49" s="978" t="n"/>
      <c r="V49" s="978" t="n"/>
      <c r="W49" s="978" t="n"/>
      <c r="X49" s="978" t="n"/>
      <c r="Y49" s="978" t="n"/>
      <c r="Z49" s="978" t="n"/>
      <c r="AA49" s="978" t="n"/>
      <c r="AB49" s="978" t="n"/>
      <c r="AC49" s="978" t="n"/>
      <c r="AD49" s="981" t="n"/>
      <c r="AE49" s="412">
        <f>(($E$49)*($G$11))</f>
        <v/>
      </c>
      <c r="AF49" s="135">
        <f>(($E$49)*($G$11))</f>
        <v/>
      </c>
      <c r="AG49" s="135">
        <f>(($E$49)*($G$11))</f>
        <v/>
      </c>
      <c r="AH49" s="135">
        <f>(($E$49)*($G$11))</f>
        <v/>
      </c>
      <c r="AI49" s="135">
        <f>(($E$49)*($G$11))</f>
        <v/>
      </c>
      <c r="AJ49" s="135">
        <f>(($E$49)*($G$11))</f>
        <v/>
      </c>
      <c r="AK49" s="135">
        <f>(($E$49)*($G$11))</f>
        <v/>
      </c>
      <c r="AL49" s="135">
        <f>(($E$49)*($G$11))</f>
        <v/>
      </c>
      <c r="AM49" s="135">
        <f>(($E$49)*($G$11))</f>
        <v/>
      </c>
      <c r="AN49" s="135">
        <f>(($E$49)*($G$11))</f>
        <v/>
      </c>
      <c r="AO49" s="135">
        <f>(($E$49)*($G$11))</f>
        <v/>
      </c>
      <c r="AP49" s="973">
        <f>(($E$49)*($G$11))</f>
        <v/>
      </c>
      <c r="AQ49" s="135">
        <f>(($E$49)*($G$11))</f>
        <v/>
      </c>
      <c r="AR49" s="135">
        <f>(($E$49)*($G$11))</f>
        <v/>
      </c>
      <c r="AS49" s="135">
        <f>(($E$49)*($G$11))</f>
        <v/>
      </c>
      <c r="AT49" s="135">
        <f>(($E$49)*($G$11))</f>
        <v/>
      </c>
      <c r="AU49" s="135">
        <f>(($E$49)*($G$11))</f>
        <v/>
      </c>
      <c r="AV49" s="135">
        <f>(($E$49)*($G$11))</f>
        <v/>
      </c>
      <c r="AW49" s="135">
        <f>(($E$49)*($G$11))</f>
        <v/>
      </c>
      <c r="AX49" s="412">
        <f>(($E$49)*($G$11))</f>
        <v/>
      </c>
      <c r="AY49" s="412">
        <f>(($E$49)*($G$11))</f>
        <v/>
      </c>
      <c r="AZ49" s="412">
        <f>(($E$49)*($G$11))</f>
        <v/>
      </c>
      <c r="BA49" s="412">
        <f>(($E$49)*($G$11))</f>
        <v/>
      </c>
      <c r="BB49" s="412">
        <f>(($E$49)*($G$11))</f>
        <v/>
      </c>
      <c r="BC49" s="980" t="n"/>
      <c r="BD49" s="931" t="n"/>
      <c r="BE49" s="931" t="n"/>
      <c r="BF49" s="931" t="n"/>
      <c r="BG49" s="931" t="n"/>
      <c r="BH49" s="931" t="n"/>
      <c r="BI49" s="931" t="n"/>
      <c r="BJ49" s="931" t="n"/>
      <c r="BK49" s="931" t="n"/>
      <c r="BL49" s="931" t="n"/>
      <c r="BM49" s="931" t="n"/>
      <c r="BN49" s="931" t="n"/>
      <c r="BO49" s="980" t="n"/>
      <c r="BP49" s="931" t="n"/>
      <c r="BQ49" s="931" t="n"/>
      <c r="BR49" s="931" t="n"/>
      <c r="BS49" s="931" t="n"/>
      <c r="BT49" s="931" t="n"/>
      <c r="BU49" s="931" t="n"/>
      <c r="BV49" s="931" t="n"/>
      <c r="BW49" s="931" t="n"/>
      <c r="BX49" s="931" t="n"/>
      <c r="BY49" s="931" t="n"/>
      <c r="BZ49" s="931" t="n"/>
      <c r="CA49" s="932" t="n"/>
      <c r="CB49" s="136">
        <f>SUM(G49:BZ49)</f>
        <v/>
      </c>
      <c r="CC49" s="932" t="n"/>
      <c r="CD49" s="135">
        <f>(E49)</f>
        <v/>
      </c>
      <c r="CE49" s="136">
        <f>((CD49)-(CB49))</f>
        <v/>
      </c>
      <c r="CF49" s="876">
        <f>((CE49)/(CD49))</f>
        <v/>
      </c>
    </row>
    <row r="50">
      <c r="D50" s="149" t="inlineStr">
        <is>
          <t>Month 25</t>
        </is>
      </c>
      <c r="E50" s="138">
        <f>'3C. Tel. - Revenue Drivers - 1 '!J24</f>
        <v/>
      </c>
      <c r="F50" s="1968" t="n"/>
      <c r="G50" s="978" t="n"/>
      <c r="H50" s="978" t="n"/>
      <c r="I50" s="978" t="n"/>
      <c r="J50" s="978" t="n"/>
      <c r="K50" s="978" t="n"/>
      <c r="L50" s="978" t="n"/>
      <c r="M50" s="978" t="n"/>
      <c r="N50" s="978" t="n"/>
      <c r="O50" s="978" t="n"/>
      <c r="P50" s="978" t="n"/>
      <c r="Q50" s="978" t="n"/>
      <c r="R50" s="981" t="n"/>
      <c r="S50" s="978" t="n"/>
      <c r="T50" s="978" t="n"/>
      <c r="U50" s="978" t="n"/>
      <c r="V50" s="978" t="n"/>
      <c r="W50" s="978" t="n"/>
      <c r="X50" s="978" t="n"/>
      <c r="Y50" s="978" t="n"/>
      <c r="Z50" s="978" t="n"/>
      <c r="AA50" s="978" t="n"/>
      <c r="AB50" s="978" t="n"/>
      <c r="AC50" s="978" t="n"/>
      <c r="AD50" s="981" t="n"/>
      <c r="AE50" s="978" t="n"/>
      <c r="AF50" s="412">
        <f>(($E$50)*($G$11))</f>
        <v/>
      </c>
      <c r="AG50" s="135">
        <f>(($E$50)*($G$11))</f>
        <v/>
      </c>
      <c r="AH50" s="135">
        <f>(($E$50)*($G$11))</f>
        <v/>
      </c>
      <c r="AI50" s="135">
        <f>(($E$50)*($G$11))</f>
        <v/>
      </c>
      <c r="AJ50" s="135">
        <f>(($E$50)*($G$11))</f>
        <v/>
      </c>
      <c r="AK50" s="135">
        <f>(($E$50)*($G$11))</f>
        <v/>
      </c>
      <c r="AL50" s="135">
        <f>(($E$50)*($G$11))</f>
        <v/>
      </c>
      <c r="AM50" s="135">
        <f>(($E$50)*($G$11))</f>
        <v/>
      </c>
      <c r="AN50" s="135">
        <f>(($E$50)*($G$11))</f>
        <v/>
      </c>
      <c r="AO50" s="135">
        <f>(($E$50)*($G$11))</f>
        <v/>
      </c>
      <c r="AP50" s="973">
        <f>(($E$50)*($G$11))</f>
        <v/>
      </c>
      <c r="AQ50" s="135">
        <f>(($E$50)*($G$11))</f>
        <v/>
      </c>
      <c r="AR50" s="135">
        <f>(($E$50)*($G$11))</f>
        <v/>
      </c>
      <c r="AS50" s="135">
        <f>(($E$50)*($G$11))</f>
        <v/>
      </c>
      <c r="AT50" s="135">
        <f>(($E$50)*($G$11))</f>
        <v/>
      </c>
      <c r="AU50" s="135">
        <f>(($E$50)*($G$11))</f>
        <v/>
      </c>
      <c r="AV50" s="135">
        <f>(($E$50)*($G$11))</f>
        <v/>
      </c>
      <c r="AW50" s="135">
        <f>(($E$50)*($G$11))</f>
        <v/>
      </c>
      <c r="AX50" s="135">
        <f>(($E$50)*($G$11))</f>
        <v/>
      </c>
      <c r="AY50" s="412">
        <f>(($E$50)*($G$11))</f>
        <v/>
      </c>
      <c r="AZ50" s="412">
        <f>(($E$50)*($G$11))</f>
        <v/>
      </c>
      <c r="BA50" s="412">
        <f>(($E$50)*($G$11))</f>
        <v/>
      </c>
      <c r="BB50" s="412">
        <f>(($E$50)*($G$11))</f>
        <v/>
      </c>
      <c r="BC50" s="415">
        <f>(($E$50)*($G$11))</f>
        <v/>
      </c>
      <c r="BD50" s="931" t="n"/>
      <c r="BE50" s="931" t="n"/>
      <c r="BF50" s="931" t="n"/>
      <c r="BG50" s="931" t="n"/>
      <c r="BH50" s="931" t="n"/>
      <c r="BI50" s="931" t="n"/>
      <c r="BJ50" s="931" t="n"/>
      <c r="BK50" s="931" t="n"/>
      <c r="BL50" s="931" t="n"/>
      <c r="BM50" s="931" t="n"/>
      <c r="BN50" s="931" t="n"/>
      <c r="BO50" s="980" t="n"/>
      <c r="BP50" s="931" t="n"/>
      <c r="BQ50" s="931" t="n"/>
      <c r="BR50" s="931" t="n"/>
      <c r="BS50" s="931" t="n"/>
      <c r="BT50" s="931" t="n"/>
      <c r="BU50" s="931" t="n"/>
      <c r="BV50" s="931" t="n"/>
      <c r="BW50" s="931" t="n"/>
      <c r="BX50" s="931" t="n"/>
      <c r="BY50" s="931" t="n"/>
      <c r="BZ50" s="931" t="n"/>
      <c r="CA50" s="932" t="n"/>
      <c r="CB50" s="136">
        <f>SUM(G50:BZ50)</f>
        <v/>
      </c>
      <c r="CC50" s="932" t="n"/>
      <c r="CD50" s="135">
        <f>(E50)</f>
        <v/>
      </c>
      <c r="CE50" s="136">
        <f>((CD50)-(CB50))</f>
        <v/>
      </c>
      <c r="CF50" s="876">
        <f>((CE50)/(CD50))</f>
        <v/>
      </c>
    </row>
    <row r="51">
      <c r="D51" s="149" t="inlineStr">
        <is>
          <t>Month 26</t>
        </is>
      </c>
      <c r="E51" s="138">
        <f>'3C. Tel. - Revenue Drivers - 1 '!K24</f>
        <v/>
      </c>
      <c r="F51" s="1968" t="n"/>
      <c r="G51" s="978" t="n"/>
      <c r="H51" s="978" t="n"/>
      <c r="I51" s="978" t="n"/>
      <c r="J51" s="978" t="n"/>
      <c r="K51" s="978" t="n"/>
      <c r="L51" s="978" t="n"/>
      <c r="M51" s="978" t="n"/>
      <c r="N51" s="978" t="n"/>
      <c r="O51" s="978" t="n"/>
      <c r="P51" s="978" t="n"/>
      <c r="Q51" s="978" t="n"/>
      <c r="R51" s="981" t="n"/>
      <c r="S51" s="978" t="n"/>
      <c r="T51" s="978" t="n"/>
      <c r="U51" s="978" t="n"/>
      <c r="V51" s="978" t="n"/>
      <c r="W51" s="978" t="n"/>
      <c r="X51" s="978" t="n"/>
      <c r="Y51" s="978" t="n"/>
      <c r="Z51" s="978" t="n"/>
      <c r="AA51" s="978" t="n"/>
      <c r="AB51" s="978" t="n"/>
      <c r="AC51" s="978" t="n"/>
      <c r="AD51" s="981" t="n"/>
      <c r="AE51" s="978" t="n"/>
      <c r="AF51" s="978" t="n"/>
      <c r="AG51" s="412">
        <f>(($E$51)*($G$11))</f>
        <v/>
      </c>
      <c r="AH51" s="135">
        <f>(($E$51)*($G$11))</f>
        <v/>
      </c>
      <c r="AI51" s="135">
        <f>(($E$51)*($G$11))</f>
        <v/>
      </c>
      <c r="AJ51" s="135">
        <f>(($E$51)*($G$11))</f>
        <v/>
      </c>
      <c r="AK51" s="135">
        <f>(($E$51)*($G$11))</f>
        <v/>
      </c>
      <c r="AL51" s="135">
        <f>(($E$51)*($G$11))</f>
        <v/>
      </c>
      <c r="AM51" s="135">
        <f>(($E$51)*($G$11))</f>
        <v/>
      </c>
      <c r="AN51" s="135">
        <f>(($E$51)*($G$11))</f>
        <v/>
      </c>
      <c r="AO51" s="135">
        <f>(($E$51)*($G$11))</f>
        <v/>
      </c>
      <c r="AP51" s="973">
        <f>(($E$51)*($G$11))</f>
        <v/>
      </c>
      <c r="AQ51" s="135">
        <f>(($E$51)*($G$11))</f>
        <v/>
      </c>
      <c r="AR51" s="135">
        <f>(($E$51)*($G$11))</f>
        <v/>
      </c>
      <c r="AS51" s="135">
        <f>(($E$51)*($G$11))</f>
        <v/>
      </c>
      <c r="AT51" s="135">
        <f>(($E$51)*($G$11))</f>
        <v/>
      </c>
      <c r="AU51" s="135">
        <f>(($E$51)*($G$11))</f>
        <v/>
      </c>
      <c r="AV51" s="135">
        <f>(($E$51)*($G$11))</f>
        <v/>
      </c>
      <c r="AW51" s="135">
        <f>(($E$51)*($G$11))</f>
        <v/>
      </c>
      <c r="AX51" s="135">
        <f>(($E$51)*($G$11))</f>
        <v/>
      </c>
      <c r="AY51" s="135">
        <f>(($E$51)*($G$11))</f>
        <v/>
      </c>
      <c r="AZ51" s="412">
        <f>(($E$51)*($G$11))</f>
        <v/>
      </c>
      <c r="BA51" s="412">
        <f>(($E$51)*($G$11))</f>
        <v/>
      </c>
      <c r="BB51" s="412">
        <f>(($E$51)*($G$11))</f>
        <v/>
      </c>
      <c r="BC51" s="415">
        <f>(($E$51)*($G$11))</f>
        <v/>
      </c>
      <c r="BD51" s="412">
        <f>(($E$51)*($G$11))</f>
        <v/>
      </c>
      <c r="BE51" s="931" t="n"/>
      <c r="BF51" s="931" t="n"/>
      <c r="BG51" s="931" t="n"/>
      <c r="BH51" s="931" t="n"/>
      <c r="BI51" s="931" t="n"/>
      <c r="BJ51" s="931" t="n"/>
      <c r="BK51" s="931" t="n"/>
      <c r="BL51" s="931" t="n"/>
      <c r="BM51" s="931" t="n"/>
      <c r="BN51" s="931" t="n"/>
      <c r="BO51" s="980" t="n"/>
      <c r="BP51" s="931" t="n"/>
      <c r="BQ51" s="931" t="n"/>
      <c r="BR51" s="931" t="n"/>
      <c r="BS51" s="931" t="n"/>
      <c r="BT51" s="931" t="n"/>
      <c r="BU51" s="931" t="n"/>
      <c r="BV51" s="931" t="n"/>
      <c r="BW51" s="931" t="n"/>
      <c r="BX51" s="931" t="n"/>
      <c r="BY51" s="931" t="n"/>
      <c r="BZ51" s="931" t="n"/>
      <c r="CA51" s="932" t="n"/>
      <c r="CB51" s="136">
        <f>SUM(G51:BZ51)</f>
        <v/>
      </c>
      <c r="CC51" s="932" t="n"/>
      <c r="CD51" s="135">
        <f>(E51)</f>
        <v/>
      </c>
      <c r="CE51" s="136">
        <f>((CD51)-(CB51))</f>
        <v/>
      </c>
      <c r="CF51" s="876">
        <f>((CE51)/(CD51))</f>
        <v/>
      </c>
    </row>
    <row r="52">
      <c r="D52" s="149" t="inlineStr">
        <is>
          <t>Month 27</t>
        </is>
      </c>
      <c r="E52" s="138">
        <f>'3C. Tel. - Revenue Drivers - 1 '!L24</f>
        <v/>
      </c>
      <c r="F52" s="1968" t="n"/>
      <c r="G52" s="978" t="n"/>
      <c r="H52" s="978" t="n"/>
      <c r="I52" s="978" t="n"/>
      <c r="J52" s="978" t="n"/>
      <c r="K52" s="978" t="n"/>
      <c r="L52" s="978" t="n"/>
      <c r="M52" s="978" t="n"/>
      <c r="N52" s="978" t="n"/>
      <c r="O52" s="978" t="n"/>
      <c r="P52" s="978" t="n"/>
      <c r="Q52" s="978" t="n"/>
      <c r="R52" s="981" t="n"/>
      <c r="S52" s="978" t="n"/>
      <c r="T52" s="978" t="n"/>
      <c r="U52" s="978" t="n"/>
      <c r="V52" s="978" t="n"/>
      <c r="W52" s="978" t="n"/>
      <c r="X52" s="978" t="n"/>
      <c r="Y52" s="978" t="n"/>
      <c r="Z52" s="978" t="n"/>
      <c r="AA52" s="978" t="n"/>
      <c r="AB52" s="978" t="n"/>
      <c r="AC52" s="978" t="n"/>
      <c r="AD52" s="981" t="n"/>
      <c r="AE52" s="978" t="n"/>
      <c r="AF52" s="978" t="n"/>
      <c r="AG52" s="978" t="n"/>
      <c r="AH52" s="412">
        <f>(($E$52)*($G$11))</f>
        <v/>
      </c>
      <c r="AI52" s="135">
        <f>(($E$52)*($G$11))</f>
        <v/>
      </c>
      <c r="AJ52" s="135">
        <f>(($E$52)*($G$11))</f>
        <v/>
      </c>
      <c r="AK52" s="135">
        <f>(($E$52)*($G$11))</f>
        <v/>
      </c>
      <c r="AL52" s="135">
        <f>(($E$52)*($G$11))</f>
        <v/>
      </c>
      <c r="AM52" s="135">
        <f>(($E$52)*($G$11))</f>
        <v/>
      </c>
      <c r="AN52" s="135">
        <f>(($E$52)*($G$11))</f>
        <v/>
      </c>
      <c r="AO52" s="135">
        <f>(($E$52)*($G$11))</f>
        <v/>
      </c>
      <c r="AP52" s="973">
        <f>(($E$52)*($G$11))</f>
        <v/>
      </c>
      <c r="AQ52" s="135">
        <f>(($E$52)*($G$11))</f>
        <v/>
      </c>
      <c r="AR52" s="135">
        <f>(($E$52)*($G$11))</f>
        <v/>
      </c>
      <c r="AS52" s="135">
        <f>(($E$52)*($G$11))</f>
        <v/>
      </c>
      <c r="AT52" s="135">
        <f>(($E$52)*($G$11))</f>
        <v/>
      </c>
      <c r="AU52" s="135">
        <f>(($E$52)*($G$11))</f>
        <v/>
      </c>
      <c r="AV52" s="135">
        <f>(($E$52)*($G$11))</f>
        <v/>
      </c>
      <c r="AW52" s="135">
        <f>(($E$52)*($G$11))</f>
        <v/>
      </c>
      <c r="AX52" s="135">
        <f>(($E$52)*($G$11))</f>
        <v/>
      </c>
      <c r="AY52" s="135">
        <f>(($E$52)*($G$11))</f>
        <v/>
      </c>
      <c r="AZ52" s="135">
        <f>(($E$52)*($G$11))</f>
        <v/>
      </c>
      <c r="BA52" s="412">
        <f>(($E$52)*($G$11))</f>
        <v/>
      </c>
      <c r="BB52" s="412">
        <f>(($E$52)*($G$11))</f>
        <v/>
      </c>
      <c r="BC52" s="415">
        <f>(($E$52)*($G$11))</f>
        <v/>
      </c>
      <c r="BD52" s="412">
        <f>(($E$52)*($G$11))</f>
        <v/>
      </c>
      <c r="BE52" s="412">
        <f>(($E$52)*($G$11))</f>
        <v/>
      </c>
      <c r="BF52" s="931" t="n"/>
      <c r="BG52" s="931" t="n"/>
      <c r="BH52" s="931" t="n"/>
      <c r="BI52" s="931" t="n"/>
      <c r="BJ52" s="931" t="n"/>
      <c r="BK52" s="931" t="n"/>
      <c r="BL52" s="931" t="n"/>
      <c r="BM52" s="931" t="n"/>
      <c r="BN52" s="931" t="n"/>
      <c r="BO52" s="980" t="n"/>
      <c r="BP52" s="931" t="n"/>
      <c r="BQ52" s="931" t="n"/>
      <c r="BR52" s="931" t="n"/>
      <c r="BS52" s="931" t="n"/>
      <c r="BT52" s="931" t="n"/>
      <c r="BU52" s="931" t="n"/>
      <c r="BV52" s="931" t="n"/>
      <c r="BW52" s="931" t="n"/>
      <c r="BX52" s="931" t="n"/>
      <c r="BY52" s="931" t="n"/>
      <c r="BZ52" s="931" t="n"/>
      <c r="CA52" s="932" t="n"/>
      <c r="CB52" s="136">
        <f>SUM(G52:BZ52)</f>
        <v/>
      </c>
      <c r="CC52" s="932" t="n"/>
      <c r="CD52" s="135">
        <f>(E52)</f>
        <v/>
      </c>
      <c r="CE52" s="136">
        <f>((CD52)-(CB52))</f>
        <v/>
      </c>
      <c r="CF52" s="876">
        <f>((CE52)/(CD52))</f>
        <v/>
      </c>
    </row>
    <row r="53">
      <c r="D53" s="149" t="inlineStr">
        <is>
          <t>Month 28</t>
        </is>
      </c>
      <c r="E53" s="138">
        <f>'3C. Tel. - Revenue Drivers - 1 '!M24</f>
        <v/>
      </c>
      <c r="F53" s="1968" t="n"/>
      <c r="G53" s="978" t="n"/>
      <c r="H53" s="978" t="n"/>
      <c r="I53" s="978" t="n"/>
      <c r="J53" s="978" t="n"/>
      <c r="K53" s="978" t="n"/>
      <c r="L53" s="978" t="n"/>
      <c r="M53" s="978" t="n"/>
      <c r="N53" s="978" t="n"/>
      <c r="O53" s="978" t="n"/>
      <c r="P53" s="978" t="n"/>
      <c r="Q53" s="978" t="n"/>
      <c r="R53" s="981" t="n"/>
      <c r="S53" s="978" t="n"/>
      <c r="T53" s="978" t="n"/>
      <c r="U53" s="978" t="n"/>
      <c r="V53" s="978" t="n"/>
      <c r="W53" s="978" t="n"/>
      <c r="X53" s="978" t="n"/>
      <c r="Y53" s="978" t="n"/>
      <c r="Z53" s="978" t="n"/>
      <c r="AA53" s="978" t="n"/>
      <c r="AB53" s="978" t="n"/>
      <c r="AC53" s="978" t="n"/>
      <c r="AD53" s="981" t="n"/>
      <c r="AE53" s="978" t="n"/>
      <c r="AF53" s="978" t="n"/>
      <c r="AG53" s="978" t="n"/>
      <c r="AH53" s="978" t="n"/>
      <c r="AI53" s="412">
        <f>(($E$53)*($G$11))</f>
        <v/>
      </c>
      <c r="AJ53" s="135">
        <f>(($E$53)*($G$11))</f>
        <v/>
      </c>
      <c r="AK53" s="135">
        <f>(($E$53)*($G$11))</f>
        <v/>
      </c>
      <c r="AL53" s="135">
        <f>(($E$53)*($G$11))</f>
        <v/>
      </c>
      <c r="AM53" s="135">
        <f>(($E$53)*($G$11))</f>
        <v/>
      </c>
      <c r="AN53" s="135">
        <f>(($E$53)*($G$11))</f>
        <v/>
      </c>
      <c r="AO53" s="135">
        <f>(($E$53)*($G$11))</f>
        <v/>
      </c>
      <c r="AP53" s="973">
        <f>(($E$53)*($G$11))</f>
        <v/>
      </c>
      <c r="AQ53" s="135">
        <f>(($E$53)*($G$11))</f>
        <v/>
      </c>
      <c r="AR53" s="135">
        <f>(($E$53)*($G$11))</f>
        <v/>
      </c>
      <c r="AS53" s="135">
        <f>(($E$53)*($G$11))</f>
        <v/>
      </c>
      <c r="AT53" s="135">
        <f>(($E$53)*($G$11))</f>
        <v/>
      </c>
      <c r="AU53" s="135">
        <f>(($E$53)*($G$11))</f>
        <v/>
      </c>
      <c r="AV53" s="135">
        <f>(($E$53)*($G$11))</f>
        <v/>
      </c>
      <c r="AW53" s="135">
        <f>(($E$53)*($G$11))</f>
        <v/>
      </c>
      <c r="AX53" s="135">
        <f>(($E$53)*($G$11))</f>
        <v/>
      </c>
      <c r="AY53" s="135">
        <f>(($E$53)*($G$11))</f>
        <v/>
      </c>
      <c r="AZ53" s="135">
        <f>(($E$53)*($G$11))</f>
        <v/>
      </c>
      <c r="BA53" s="135">
        <f>(($E$53)*($G$11))</f>
        <v/>
      </c>
      <c r="BB53" s="412">
        <f>(($E$53)*($G$11))</f>
        <v/>
      </c>
      <c r="BC53" s="415">
        <f>(($E$53)*($G$11))</f>
        <v/>
      </c>
      <c r="BD53" s="412">
        <f>(($E$53)*($G$11))</f>
        <v/>
      </c>
      <c r="BE53" s="412">
        <f>(($E$53)*($G$11))</f>
        <v/>
      </c>
      <c r="BF53" s="412">
        <f>(($E$53)*($G$11))</f>
        <v/>
      </c>
      <c r="BG53" s="931" t="n"/>
      <c r="BH53" s="931" t="n"/>
      <c r="BI53" s="931" t="n"/>
      <c r="BJ53" s="931" t="n"/>
      <c r="BK53" s="931" t="n"/>
      <c r="BL53" s="931" t="n"/>
      <c r="BM53" s="931" t="n"/>
      <c r="BN53" s="931" t="n"/>
      <c r="BO53" s="980" t="n"/>
      <c r="BP53" s="931" t="n"/>
      <c r="BQ53" s="931" t="n"/>
      <c r="BR53" s="931" t="n"/>
      <c r="BS53" s="931" t="n"/>
      <c r="BT53" s="931" t="n"/>
      <c r="BU53" s="931" t="n"/>
      <c r="BV53" s="931" t="n"/>
      <c r="BW53" s="931" t="n"/>
      <c r="BX53" s="931" t="n"/>
      <c r="BY53" s="931" t="n"/>
      <c r="BZ53" s="931" t="n"/>
      <c r="CA53" s="932" t="n"/>
      <c r="CB53" s="136">
        <f>SUM(G53:BZ53)</f>
        <v/>
      </c>
      <c r="CC53" s="932" t="n"/>
      <c r="CD53" s="135">
        <f>(E53)</f>
        <v/>
      </c>
      <c r="CE53" s="136">
        <f>((CD53)-(CB53))</f>
        <v/>
      </c>
      <c r="CF53" s="876">
        <f>((CE53)/(CD53))</f>
        <v/>
      </c>
    </row>
    <row r="54">
      <c r="D54" s="149" t="inlineStr">
        <is>
          <t>Month 29</t>
        </is>
      </c>
      <c r="E54" s="138">
        <f>'3C. Tel. - Revenue Drivers - 1 '!N24</f>
        <v/>
      </c>
      <c r="F54" s="1968" t="n"/>
      <c r="G54" s="978" t="n"/>
      <c r="H54" s="978" t="n"/>
      <c r="I54" s="978" t="n"/>
      <c r="J54" s="978" t="n"/>
      <c r="K54" s="978" t="n"/>
      <c r="L54" s="978" t="n"/>
      <c r="M54" s="978" t="n"/>
      <c r="N54" s="978" t="n"/>
      <c r="O54" s="978" t="n"/>
      <c r="P54" s="978" t="n"/>
      <c r="Q54" s="978" t="n"/>
      <c r="R54" s="981" t="n"/>
      <c r="S54" s="978" t="n"/>
      <c r="T54" s="978" t="n"/>
      <c r="U54" s="978" t="n"/>
      <c r="V54" s="978" t="n"/>
      <c r="W54" s="978" t="n"/>
      <c r="X54" s="978" t="n"/>
      <c r="Y54" s="978" t="n"/>
      <c r="Z54" s="978" t="n"/>
      <c r="AA54" s="978" t="n"/>
      <c r="AB54" s="978" t="n"/>
      <c r="AC54" s="978" t="n"/>
      <c r="AD54" s="981" t="n"/>
      <c r="AE54" s="978" t="n"/>
      <c r="AF54" s="978" t="n"/>
      <c r="AG54" s="978" t="n"/>
      <c r="AH54" s="978" t="n"/>
      <c r="AI54" s="978" t="n"/>
      <c r="AJ54" s="412">
        <f>(($E$54)*($G$11))</f>
        <v/>
      </c>
      <c r="AK54" s="135">
        <f>(($E$54)*($G$11))</f>
        <v/>
      </c>
      <c r="AL54" s="135">
        <f>(($E$54)*($G$11))</f>
        <v/>
      </c>
      <c r="AM54" s="135">
        <f>(($E$54)*($G$11))</f>
        <v/>
      </c>
      <c r="AN54" s="135">
        <f>(($E$54)*($G$11))</f>
        <v/>
      </c>
      <c r="AO54" s="135">
        <f>(($E$54)*($G$11))</f>
        <v/>
      </c>
      <c r="AP54" s="973">
        <f>(($E$54)*($G$11))</f>
        <v/>
      </c>
      <c r="AQ54" s="135">
        <f>(($E$54)*($G$11))</f>
        <v/>
      </c>
      <c r="AR54" s="135">
        <f>(($E$54)*($G$11))</f>
        <v/>
      </c>
      <c r="AS54" s="135">
        <f>(($E$54)*($G$11))</f>
        <v/>
      </c>
      <c r="AT54" s="135">
        <f>(($E$54)*($G$11))</f>
        <v/>
      </c>
      <c r="AU54" s="135">
        <f>(($E$54)*($G$11))</f>
        <v/>
      </c>
      <c r="AV54" s="135">
        <f>(($E$54)*($G$11))</f>
        <v/>
      </c>
      <c r="AW54" s="135">
        <f>(($E$54)*($G$11))</f>
        <v/>
      </c>
      <c r="AX54" s="135">
        <f>(($E$54)*($G$11))</f>
        <v/>
      </c>
      <c r="AY54" s="135">
        <f>(($E$54)*($G$11))</f>
        <v/>
      </c>
      <c r="AZ54" s="135">
        <f>(($E$54)*($G$11))</f>
        <v/>
      </c>
      <c r="BA54" s="135">
        <f>(($E$54)*($G$11))</f>
        <v/>
      </c>
      <c r="BB54" s="412">
        <f>(($E$54)*($G$11))</f>
        <v/>
      </c>
      <c r="BC54" s="415">
        <f>(($E$54)*($G$11))</f>
        <v/>
      </c>
      <c r="BD54" s="412">
        <f>(($E$54)*($G$11))</f>
        <v/>
      </c>
      <c r="BE54" s="412">
        <f>(($E$54)*($G$11))</f>
        <v/>
      </c>
      <c r="BF54" s="412">
        <f>(($E$54)*($G$11))</f>
        <v/>
      </c>
      <c r="BG54" s="412">
        <f>(($E$54)*($G$11))</f>
        <v/>
      </c>
      <c r="BH54" s="931" t="n"/>
      <c r="BI54" s="931" t="n"/>
      <c r="BJ54" s="931" t="n"/>
      <c r="BK54" s="931" t="n"/>
      <c r="BL54" s="931" t="n"/>
      <c r="BM54" s="931" t="n"/>
      <c r="BN54" s="931" t="n"/>
      <c r="BO54" s="980" t="n"/>
      <c r="BP54" s="931" t="n"/>
      <c r="BQ54" s="931" t="n"/>
      <c r="BR54" s="931" t="n"/>
      <c r="BS54" s="931" t="n"/>
      <c r="BT54" s="931" t="n"/>
      <c r="BU54" s="931" t="n"/>
      <c r="BV54" s="931" t="n"/>
      <c r="BW54" s="931" t="n"/>
      <c r="BX54" s="931" t="n"/>
      <c r="BY54" s="931" t="n"/>
      <c r="BZ54" s="931" t="n"/>
      <c r="CA54" s="932" t="n"/>
      <c r="CB54" s="136">
        <f>SUM(G54:BZ54)</f>
        <v/>
      </c>
      <c r="CC54" s="932" t="n"/>
      <c r="CD54" s="135">
        <f>(E54)</f>
        <v/>
      </c>
      <c r="CE54" s="136">
        <f>((CD54)-(CB54))</f>
        <v/>
      </c>
      <c r="CF54" s="876">
        <f>((CE54)/(CD54))</f>
        <v/>
      </c>
    </row>
    <row r="55">
      <c r="D55" s="149" t="inlineStr">
        <is>
          <t>Month 30</t>
        </is>
      </c>
      <c r="E55" s="138">
        <f>'3C. Tel. - Revenue Drivers - 1 '!O24</f>
        <v/>
      </c>
      <c r="F55" s="1968" t="n"/>
      <c r="G55" s="978" t="n"/>
      <c r="H55" s="978" t="n"/>
      <c r="I55" s="978" t="n"/>
      <c r="J55" s="978" t="n"/>
      <c r="K55" s="978" t="n"/>
      <c r="L55" s="978" t="n"/>
      <c r="M55" s="978" t="n"/>
      <c r="N55" s="978" t="n"/>
      <c r="O55" s="978" t="n"/>
      <c r="P55" s="978" t="n"/>
      <c r="Q55" s="978" t="n"/>
      <c r="R55" s="981" t="n"/>
      <c r="S55" s="978" t="n"/>
      <c r="T55" s="978" t="n"/>
      <c r="U55" s="978" t="n"/>
      <c r="V55" s="978" t="n"/>
      <c r="W55" s="978" t="n"/>
      <c r="X55" s="978" t="n"/>
      <c r="Y55" s="978" t="n"/>
      <c r="Z55" s="978" t="n"/>
      <c r="AA55" s="978" t="n"/>
      <c r="AB55" s="978" t="n"/>
      <c r="AC55" s="978" t="n"/>
      <c r="AD55" s="981" t="n"/>
      <c r="AE55" s="978" t="n"/>
      <c r="AF55" s="978" t="n"/>
      <c r="AG55" s="978" t="n"/>
      <c r="AH55" s="978" t="n"/>
      <c r="AI55" s="978" t="n"/>
      <c r="AJ55" s="978" t="n"/>
      <c r="AK55" s="412">
        <f>(($E$55)*($G$11))</f>
        <v/>
      </c>
      <c r="AL55" s="135">
        <f>(($E$55)*($G$11))</f>
        <v/>
      </c>
      <c r="AM55" s="135">
        <f>(($E$55)*($G$11))</f>
        <v/>
      </c>
      <c r="AN55" s="135">
        <f>(($E$55)*($G$11))</f>
        <v/>
      </c>
      <c r="AO55" s="135">
        <f>(($E$55)*($G$11))</f>
        <v/>
      </c>
      <c r="AP55" s="973">
        <f>(($E$55)*($G$11))</f>
        <v/>
      </c>
      <c r="AQ55" s="135">
        <f>(($E$55)*($G$11))</f>
        <v/>
      </c>
      <c r="AR55" s="135">
        <f>(($E$55)*($G$11))</f>
        <v/>
      </c>
      <c r="AS55" s="135">
        <f>(($E$55)*($G$11))</f>
        <v/>
      </c>
      <c r="AT55" s="135">
        <f>(($E$55)*($G$11))</f>
        <v/>
      </c>
      <c r="AU55" s="135">
        <f>(($E$55)*($G$11))</f>
        <v/>
      </c>
      <c r="AV55" s="135">
        <f>(($E$55)*($G$11))</f>
        <v/>
      </c>
      <c r="AW55" s="135">
        <f>(($E$55)*($G$11))</f>
        <v/>
      </c>
      <c r="AX55" s="135">
        <f>(($E$55)*($G$11))</f>
        <v/>
      </c>
      <c r="AY55" s="135">
        <f>(($E$55)*($G$11))</f>
        <v/>
      </c>
      <c r="AZ55" s="135">
        <f>(($E$55)*($G$11))</f>
        <v/>
      </c>
      <c r="BA55" s="135">
        <f>(($E$55)*($G$11))</f>
        <v/>
      </c>
      <c r="BB55" s="412">
        <f>(($E$55)*($G$11))</f>
        <v/>
      </c>
      <c r="BC55" s="415">
        <f>(($E$55)*($G$11))</f>
        <v/>
      </c>
      <c r="BD55" s="412">
        <f>(($E$55)*($G$11))</f>
        <v/>
      </c>
      <c r="BE55" s="412">
        <f>(($E$55)*($G$11))</f>
        <v/>
      </c>
      <c r="BF55" s="412">
        <f>(($E$55)*($G$11))</f>
        <v/>
      </c>
      <c r="BG55" s="412">
        <f>(($E$55)*($G$11))</f>
        <v/>
      </c>
      <c r="BH55" s="412">
        <f>(($E$55)*($G$11))</f>
        <v/>
      </c>
      <c r="BI55" s="931" t="n"/>
      <c r="BJ55" s="931" t="n"/>
      <c r="BK55" s="931" t="n"/>
      <c r="BL55" s="931" t="n"/>
      <c r="BM55" s="931" t="n"/>
      <c r="BN55" s="931" t="n"/>
      <c r="BO55" s="980" t="n"/>
      <c r="BP55" s="931" t="n"/>
      <c r="BQ55" s="931" t="n"/>
      <c r="BR55" s="931" t="n"/>
      <c r="BS55" s="931" t="n"/>
      <c r="BT55" s="931" t="n"/>
      <c r="BU55" s="931" t="n"/>
      <c r="BV55" s="931" t="n"/>
      <c r="BW55" s="931" t="n"/>
      <c r="BX55" s="931" t="n"/>
      <c r="BY55" s="931" t="n"/>
      <c r="BZ55" s="931" t="n"/>
      <c r="CA55" s="932" t="n"/>
      <c r="CB55" s="136">
        <f>SUM(G55:BZ55)</f>
        <v/>
      </c>
      <c r="CC55" s="932" t="n"/>
      <c r="CD55" s="135">
        <f>(E55)</f>
        <v/>
      </c>
      <c r="CE55" s="136">
        <f>((CD55)-(CB55))</f>
        <v/>
      </c>
      <c r="CF55" s="876">
        <f>((CE55)/(CD55))</f>
        <v/>
      </c>
    </row>
    <row r="56">
      <c r="D56" s="149" t="inlineStr">
        <is>
          <t>Month 31</t>
        </is>
      </c>
      <c r="E56" s="138">
        <f>'3C. Tel. - Revenue Drivers - 1 '!P24</f>
        <v/>
      </c>
      <c r="F56" s="1968" t="n"/>
      <c r="G56" s="978" t="n"/>
      <c r="H56" s="978" t="n"/>
      <c r="I56" s="978" t="n"/>
      <c r="J56" s="978" t="n"/>
      <c r="K56" s="978" t="n"/>
      <c r="L56" s="978" t="n"/>
      <c r="M56" s="978" t="n"/>
      <c r="N56" s="978" t="n"/>
      <c r="O56" s="978" t="n"/>
      <c r="P56" s="978" t="n"/>
      <c r="Q56" s="978" t="n"/>
      <c r="R56" s="981" t="n"/>
      <c r="S56" s="978" t="n"/>
      <c r="T56" s="978" t="n"/>
      <c r="U56" s="978" t="n"/>
      <c r="V56" s="978" t="n"/>
      <c r="W56" s="978" t="n"/>
      <c r="X56" s="978" t="n"/>
      <c r="Y56" s="978" t="n"/>
      <c r="Z56" s="978" t="n"/>
      <c r="AA56" s="978" t="n"/>
      <c r="AB56" s="978" t="n"/>
      <c r="AC56" s="978" t="n"/>
      <c r="AD56" s="981" t="n"/>
      <c r="AE56" s="978" t="n"/>
      <c r="AF56" s="978" t="n"/>
      <c r="AG56" s="978" t="n"/>
      <c r="AH56" s="978" t="n"/>
      <c r="AI56" s="978" t="n"/>
      <c r="AJ56" s="978" t="n"/>
      <c r="AK56" s="978" t="n"/>
      <c r="AL56" s="412">
        <f>(($E$56)*($G$11))</f>
        <v/>
      </c>
      <c r="AM56" s="135">
        <f>(($E$56)*($G$11))</f>
        <v/>
      </c>
      <c r="AN56" s="135">
        <f>(($E$56)*($G$11))</f>
        <v/>
      </c>
      <c r="AO56" s="135">
        <f>(($E$56)*($G$11))</f>
        <v/>
      </c>
      <c r="AP56" s="973">
        <f>(($E$56)*($G$11))</f>
        <v/>
      </c>
      <c r="AQ56" s="135">
        <f>(($E$56)*($G$11))</f>
        <v/>
      </c>
      <c r="AR56" s="135">
        <f>(($E$56)*($G$11))</f>
        <v/>
      </c>
      <c r="AS56" s="135">
        <f>(($E$56)*($G$11))</f>
        <v/>
      </c>
      <c r="AT56" s="135">
        <f>(($E$56)*($G$11))</f>
        <v/>
      </c>
      <c r="AU56" s="135">
        <f>(($E$56)*($G$11))</f>
        <v/>
      </c>
      <c r="AV56" s="135">
        <f>(($E$56)*($G$11))</f>
        <v/>
      </c>
      <c r="AW56" s="135">
        <f>(($E$56)*($G$11))</f>
        <v/>
      </c>
      <c r="AX56" s="135">
        <f>(($E$56)*($G$11))</f>
        <v/>
      </c>
      <c r="AY56" s="135">
        <f>(($E$56)*($G$11))</f>
        <v/>
      </c>
      <c r="AZ56" s="135">
        <f>(($E$56)*($G$11))</f>
        <v/>
      </c>
      <c r="BA56" s="135">
        <f>(($E$56)*($G$11))</f>
        <v/>
      </c>
      <c r="BB56" s="412">
        <f>(($E$56)*($G$11))</f>
        <v/>
      </c>
      <c r="BC56" s="415">
        <f>(($E$56)*($G$11))</f>
        <v/>
      </c>
      <c r="BD56" s="135">
        <f>(($E$56)*($G$11))</f>
        <v/>
      </c>
      <c r="BE56" s="412">
        <f>(($E$56)*($G$11))</f>
        <v/>
      </c>
      <c r="BF56" s="412">
        <f>(($E$56)*($G$11))</f>
        <v/>
      </c>
      <c r="BG56" s="412">
        <f>(($E$56)*($G$11))</f>
        <v/>
      </c>
      <c r="BH56" s="412">
        <f>(($E$56)*($G$11))</f>
        <v/>
      </c>
      <c r="BI56" s="412">
        <f>(($E$56)*($G$11))</f>
        <v/>
      </c>
      <c r="BJ56" s="931" t="n"/>
      <c r="BK56" s="931" t="n"/>
      <c r="BL56" s="931" t="n"/>
      <c r="BM56" s="931" t="n"/>
      <c r="BN56" s="931" t="n"/>
      <c r="BO56" s="980" t="n"/>
      <c r="BP56" s="931" t="n"/>
      <c r="BQ56" s="931" t="n"/>
      <c r="BR56" s="931" t="n"/>
      <c r="BS56" s="931" t="n"/>
      <c r="BT56" s="931" t="n"/>
      <c r="BU56" s="931" t="n"/>
      <c r="BV56" s="931" t="n"/>
      <c r="BW56" s="931" t="n"/>
      <c r="BX56" s="931" t="n"/>
      <c r="BY56" s="931" t="n"/>
      <c r="BZ56" s="931" t="n"/>
      <c r="CA56" s="932" t="n"/>
      <c r="CB56" s="136">
        <f>SUM(G56:BZ56)</f>
        <v/>
      </c>
      <c r="CC56" s="932" t="n"/>
      <c r="CD56" s="135">
        <f>(E56)</f>
        <v/>
      </c>
      <c r="CE56" s="136">
        <f>((CD56)-(CB56))</f>
        <v/>
      </c>
      <c r="CF56" s="876">
        <f>((CE56)/(CD56))</f>
        <v/>
      </c>
    </row>
    <row r="57">
      <c r="D57" s="149" t="inlineStr">
        <is>
          <t>Month 32</t>
        </is>
      </c>
      <c r="E57" s="138">
        <f>'3C. Tel. - Revenue Drivers - 1 '!Q24</f>
        <v/>
      </c>
      <c r="F57" s="1968" t="n"/>
      <c r="G57" s="978" t="n"/>
      <c r="H57" s="978" t="n"/>
      <c r="I57" s="978" t="n"/>
      <c r="J57" s="978" t="n"/>
      <c r="K57" s="978" t="n"/>
      <c r="L57" s="978" t="n"/>
      <c r="M57" s="978" t="n"/>
      <c r="N57" s="978" t="n"/>
      <c r="O57" s="978" t="n"/>
      <c r="P57" s="978" t="n"/>
      <c r="Q57" s="978" t="n"/>
      <c r="R57" s="981" t="n"/>
      <c r="S57" s="978" t="n"/>
      <c r="T57" s="978" t="n"/>
      <c r="U57" s="978" t="n"/>
      <c r="V57" s="978" t="n"/>
      <c r="W57" s="978" t="n"/>
      <c r="X57" s="978" t="n"/>
      <c r="Y57" s="978" t="n"/>
      <c r="Z57" s="978" t="n"/>
      <c r="AA57" s="978" t="n"/>
      <c r="AB57" s="978" t="n"/>
      <c r="AC57" s="978" t="n"/>
      <c r="AD57" s="981" t="n"/>
      <c r="AE57" s="978" t="n"/>
      <c r="AF57" s="978" t="n"/>
      <c r="AG57" s="978" t="n"/>
      <c r="AH57" s="978" t="n"/>
      <c r="AI57" s="978" t="n"/>
      <c r="AJ57" s="978" t="n"/>
      <c r="AK57" s="978" t="n"/>
      <c r="AL57" s="978" t="n"/>
      <c r="AM57" s="412">
        <f>(($E$57)*($G$11))</f>
        <v/>
      </c>
      <c r="AN57" s="135">
        <f>(($E$57)*($G$11))</f>
        <v/>
      </c>
      <c r="AO57" s="135">
        <f>(($E$57)*($G$11))</f>
        <v/>
      </c>
      <c r="AP57" s="973">
        <f>(($E$57)*($G$11))</f>
        <v/>
      </c>
      <c r="AQ57" s="135">
        <f>(($E$57)*($G$11))</f>
        <v/>
      </c>
      <c r="AR57" s="135">
        <f>(($E$57)*($G$11))</f>
        <v/>
      </c>
      <c r="AS57" s="135">
        <f>(($E$57)*($G$11))</f>
        <v/>
      </c>
      <c r="AT57" s="135">
        <f>(($E$57)*($G$11))</f>
        <v/>
      </c>
      <c r="AU57" s="135">
        <f>(($E$57)*($G$11))</f>
        <v/>
      </c>
      <c r="AV57" s="135">
        <f>(($E$57)*($G$11))</f>
        <v/>
      </c>
      <c r="AW57" s="135">
        <f>(($E$57)*($G$11))</f>
        <v/>
      </c>
      <c r="AX57" s="135">
        <f>(($E$57)*($G$11))</f>
        <v/>
      </c>
      <c r="AY57" s="135">
        <f>(($E$57)*($G$11))</f>
        <v/>
      </c>
      <c r="AZ57" s="135">
        <f>(($E$57)*($G$11))</f>
        <v/>
      </c>
      <c r="BA57" s="135">
        <f>(($E$57)*($G$11))</f>
        <v/>
      </c>
      <c r="BB57" s="412">
        <f>(($E$57)*($G$11))</f>
        <v/>
      </c>
      <c r="BC57" s="415">
        <f>(($E$57)*($G$11))</f>
        <v/>
      </c>
      <c r="BD57" s="135">
        <f>(($E$57)*($G$11))</f>
        <v/>
      </c>
      <c r="BE57" s="135">
        <f>(($E$57)*($G$11))</f>
        <v/>
      </c>
      <c r="BF57" s="412">
        <f>(($E$57)*($G$11))</f>
        <v/>
      </c>
      <c r="BG57" s="412">
        <f>(($E$57)*($G$11))</f>
        <v/>
      </c>
      <c r="BH57" s="412">
        <f>(($E$57)*($G$11))</f>
        <v/>
      </c>
      <c r="BI57" s="412">
        <f>(($E$57)*($G$11))</f>
        <v/>
      </c>
      <c r="BJ57" s="412">
        <f>(($E$57)*($G$11))</f>
        <v/>
      </c>
      <c r="BK57" s="931" t="n"/>
      <c r="BL57" s="931" t="n"/>
      <c r="BM57" s="931" t="n"/>
      <c r="BN57" s="931" t="n"/>
      <c r="BO57" s="980" t="n"/>
      <c r="BP57" s="931" t="n"/>
      <c r="BQ57" s="931" t="n"/>
      <c r="BR57" s="931" t="n"/>
      <c r="BS57" s="931" t="n"/>
      <c r="BT57" s="931" t="n"/>
      <c r="BU57" s="931" t="n"/>
      <c r="BV57" s="931" t="n"/>
      <c r="BW57" s="931" t="n"/>
      <c r="BX57" s="931" t="n"/>
      <c r="BY57" s="931" t="n"/>
      <c r="BZ57" s="931" t="n"/>
      <c r="CA57" s="932" t="n"/>
      <c r="CB57" s="136">
        <f>SUM(G57:BZ57)</f>
        <v/>
      </c>
      <c r="CC57" s="932" t="n"/>
      <c r="CD57" s="135">
        <f>(E57)</f>
        <v/>
      </c>
      <c r="CE57" s="136">
        <f>((CD57)-(CB57))</f>
        <v/>
      </c>
      <c r="CF57" s="876">
        <f>((CE57)/(CD57))</f>
        <v/>
      </c>
    </row>
    <row r="58">
      <c r="D58" s="149" t="inlineStr">
        <is>
          <t>Month 33</t>
        </is>
      </c>
      <c r="E58" s="138">
        <f>'3C. Tel. - Revenue Drivers - 1 '!R24</f>
        <v/>
      </c>
      <c r="F58" s="1968" t="n"/>
      <c r="G58" s="978" t="n"/>
      <c r="H58" s="978" t="n"/>
      <c r="I58" s="978" t="n"/>
      <c r="J58" s="978" t="n"/>
      <c r="K58" s="978" t="n"/>
      <c r="L58" s="978" t="n"/>
      <c r="M58" s="978" t="n"/>
      <c r="N58" s="978" t="n"/>
      <c r="O58" s="978" t="n"/>
      <c r="P58" s="978" t="n"/>
      <c r="Q58" s="978" t="n"/>
      <c r="R58" s="981" t="n"/>
      <c r="S58" s="978" t="n"/>
      <c r="T58" s="978" t="n"/>
      <c r="U58" s="978" t="n"/>
      <c r="V58" s="978" t="n"/>
      <c r="W58" s="978" t="n"/>
      <c r="X58" s="978" t="n"/>
      <c r="Y58" s="978" t="n"/>
      <c r="Z58" s="978" t="n"/>
      <c r="AA58" s="978" t="n"/>
      <c r="AB58" s="978" t="n"/>
      <c r="AC58" s="978" t="n"/>
      <c r="AD58" s="981" t="n"/>
      <c r="AE58" s="978" t="n"/>
      <c r="AF58" s="978" t="n"/>
      <c r="AG58" s="978" t="n"/>
      <c r="AH58" s="978" t="n"/>
      <c r="AI58" s="978" t="n"/>
      <c r="AJ58" s="978" t="n"/>
      <c r="AK58" s="978" t="n"/>
      <c r="AL58" s="978" t="n"/>
      <c r="AM58" s="978" t="n"/>
      <c r="AN58" s="412">
        <f>(($E$58)*($G$11))</f>
        <v/>
      </c>
      <c r="AO58" s="135">
        <f>(($E$58)*($G$11))</f>
        <v/>
      </c>
      <c r="AP58" s="973">
        <f>(($E$58)*($G$11))</f>
        <v/>
      </c>
      <c r="AQ58" s="135">
        <f>(($E$58)*($G$11))</f>
        <v/>
      </c>
      <c r="AR58" s="135">
        <f>(($E$58)*($G$11))</f>
        <v/>
      </c>
      <c r="AS58" s="135">
        <f>(($E$58)*($G$11))</f>
        <v/>
      </c>
      <c r="AT58" s="135">
        <f>(($E$58)*($G$11))</f>
        <v/>
      </c>
      <c r="AU58" s="135">
        <f>(($E$58)*($G$11))</f>
        <v/>
      </c>
      <c r="AV58" s="135">
        <f>(($E$58)*($G$11))</f>
        <v/>
      </c>
      <c r="AW58" s="135">
        <f>(($E$58)*($G$11))</f>
        <v/>
      </c>
      <c r="AX58" s="135">
        <f>(($E$58)*($G$11))</f>
        <v/>
      </c>
      <c r="AY58" s="135">
        <f>(($E$58)*($G$11))</f>
        <v/>
      </c>
      <c r="AZ58" s="135">
        <f>(($E$58)*($G$11))</f>
        <v/>
      </c>
      <c r="BA58" s="135">
        <f>(($E$58)*($G$11))</f>
        <v/>
      </c>
      <c r="BB58" s="412">
        <f>(($E$58)*($G$11))</f>
        <v/>
      </c>
      <c r="BC58" s="415">
        <f>(($E$58)*($G$11))</f>
        <v/>
      </c>
      <c r="BD58" s="135">
        <f>(($E$58)*($G$11))</f>
        <v/>
      </c>
      <c r="BE58" s="135">
        <f>(($E$58)*($G$11))</f>
        <v/>
      </c>
      <c r="BF58" s="135">
        <f>(($E$58)*($G$11))</f>
        <v/>
      </c>
      <c r="BG58" s="412">
        <f>(($E$58)*($G$11))</f>
        <v/>
      </c>
      <c r="BH58" s="412">
        <f>(($E$58)*($G$11))</f>
        <v/>
      </c>
      <c r="BI58" s="412">
        <f>(($E$58)*($G$11))</f>
        <v/>
      </c>
      <c r="BJ58" s="412">
        <f>(($E$58)*($G$11))</f>
        <v/>
      </c>
      <c r="BK58" s="412">
        <f>(($E$58)*($G$11))</f>
        <v/>
      </c>
      <c r="BL58" s="931" t="n"/>
      <c r="BM58" s="931" t="n"/>
      <c r="BN58" s="931" t="n"/>
      <c r="BO58" s="980" t="n"/>
      <c r="BP58" s="931" t="n"/>
      <c r="BQ58" s="931" t="n"/>
      <c r="BR58" s="931" t="n"/>
      <c r="BS58" s="931" t="n"/>
      <c r="BT58" s="931" t="n"/>
      <c r="BU58" s="931" t="n"/>
      <c r="BV58" s="931" t="n"/>
      <c r="BW58" s="931" t="n"/>
      <c r="BX58" s="931" t="n"/>
      <c r="BY58" s="931" t="n"/>
      <c r="BZ58" s="931" t="n"/>
      <c r="CA58" s="932" t="n"/>
      <c r="CB58" s="136">
        <f>SUM(G58:BZ58)</f>
        <v/>
      </c>
      <c r="CC58" s="932" t="n"/>
      <c r="CD58" s="135">
        <f>(E58)</f>
        <v/>
      </c>
      <c r="CE58" s="136">
        <f>((CD58)-(CB58))</f>
        <v/>
      </c>
      <c r="CF58" s="876">
        <f>((CE58)/(CD58))</f>
        <v/>
      </c>
    </row>
    <row r="59">
      <c r="D59" s="149" t="inlineStr">
        <is>
          <t>Month 34</t>
        </is>
      </c>
      <c r="E59" s="138">
        <f>'3C. Tel. - Revenue Drivers - 1 '!S24</f>
        <v/>
      </c>
      <c r="F59" s="1968" t="n"/>
      <c r="G59" s="978" t="n"/>
      <c r="H59" s="978" t="n"/>
      <c r="I59" s="978" t="n"/>
      <c r="J59" s="978" t="n"/>
      <c r="K59" s="978" t="n"/>
      <c r="L59" s="978" t="n"/>
      <c r="M59" s="978" t="n"/>
      <c r="N59" s="978" t="n"/>
      <c r="O59" s="978" t="n"/>
      <c r="P59" s="978" t="n"/>
      <c r="Q59" s="978" t="n"/>
      <c r="R59" s="981" t="n"/>
      <c r="S59" s="978" t="n"/>
      <c r="T59" s="978" t="n"/>
      <c r="U59" s="978" t="n"/>
      <c r="V59" s="978" t="n"/>
      <c r="W59" s="978" t="n"/>
      <c r="X59" s="978" t="n"/>
      <c r="Y59" s="978" t="n"/>
      <c r="Z59" s="978" t="n"/>
      <c r="AA59" s="978" t="n"/>
      <c r="AB59" s="978" t="n"/>
      <c r="AC59" s="978" t="n"/>
      <c r="AD59" s="981" t="n"/>
      <c r="AE59" s="978" t="n"/>
      <c r="AF59" s="978" t="n"/>
      <c r="AG59" s="978" t="n"/>
      <c r="AH59" s="978" t="n"/>
      <c r="AI59" s="978" t="n"/>
      <c r="AJ59" s="978" t="n"/>
      <c r="AK59" s="978" t="n"/>
      <c r="AL59" s="978" t="n"/>
      <c r="AM59" s="978" t="n"/>
      <c r="AN59" s="978" t="n"/>
      <c r="AO59" s="412">
        <f>(($E$59)*($G$11))</f>
        <v/>
      </c>
      <c r="AP59" s="973">
        <f>(($E$59)*($G$11))</f>
        <v/>
      </c>
      <c r="AQ59" s="135">
        <f>(($E$59)*($G$11))</f>
        <v/>
      </c>
      <c r="AR59" s="135">
        <f>(($E$59)*($G$11))</f>
        <v/>
      </c>
      <c r="AS59" s="135">
        <f>(($E$59)*($G$11))</f>
        <v/>
      </c>
      <c r="AT59" s="135">
        <f>(($E$59)*($G$11))</f>
        <v/>
      </c>
      <c r="AU59" s="135">
        <f>(($E$59)*($G$11))</f>
        <v/>
      </c>
      <c r="AV59" s="135">
        <f>(($E$59)*($G$11))</f>
        <v/>
      </c>
      <c r="AW59" s="135">
        <f>(($E$59)*($G$11))</f>
        <v/>
      </c>
      <c r="AX59" s="135">
        <f>(($E$59)*($G$11))</f>
        <v/>
      </c>
      <c r="AY59" s="135">
        <f>(($E$59)*($G$11))</f>
        <v/>
      </c>
      <c r="AZ59" s="135">
        <f>(($E$59)*($G$11))</f>
        <v/>
      </c>
      <c r="BA59" s="135">
        <f>(($E$59)*($G$11))</f>
        <v/>
      </c>
      <c r="BB59" s="412">
        <f>(($E$59)*($G$11))</f>
        <v/>
      </c>
      <c r="BC59" s="415">
        <f>(($E$59)*($G$11))</f>
        <v/>
      </c>
      <c r="BD59" s="135">
        <f>(($E$59)*($G$11))</f>
        <v/>
      </c>
      <c r="BE59" s="135">
        <f>(($E$59)*($G$11))</f>
        <v/>
      </c>
      <c r="BF59" s="135">
        <f>(($E$59)*($G$11))</f>
        <v/>
      </c>
      <c r="BG59" s="135">
        <f>(($E$59)*($G$11))</f>
        <v/>
      </c>
      <c r="BH59" s="412">
        <f>(($E$59)*($G$11))</f>
        <v/>
      </c>
      <c r="BI59" s="412">
        <f>(($E$59)*($G$11))</f>
        <v/>
      </c>
      <c r="BJ59" s="412">
        <f>(($E$59)*($G$11))</f>
        <v/>
      </c>
      <c r="BK59" s="412">
        <f>(($E$59)*($G$11))</f>
        <v/>
      </c>
      <c r="BL59" s="412">
        <f>(($E$59)*($G$11))</f>
        <v/>
      </c>
      <c r="BM59" s="931" t="n"/>
      <c r="BN59" s="931" t="n"/>
      <c r="BO59" s="980" t="n"/>
      <c r="BP59" s="931" t="n"/>
      <c r="BQ59" s="931" t="n"/>
      <c r="BR59" s="931" t="n"/>
      <c r="BS59" s="931" t="n"/>
      <c r="BT59" s="931" t="n"/>
      <c r="BU59" s="931" t="n"/>
      <c r="BV59" s="931" t="n"/>
      <c r="BW59" s="931" t="n"/>
      <c r="BX59" s="931" t="n"/>
      <c r="BY59" s="931" t="n"/>
      <c r="BZ59" s="931" t="n"/>
      <c r="CA59" s="932" t="n"/>
      <c r="CB59" s="136">
        <f>SUM(G59:BZ59)</f>
        <v/>
      </c>
      <c r="CC59" s="932" t="n"/>
      <c r="CD59" s="135">
        <f>(E59)</f>
        <v/>
      </c>
      <c r="CE59" s="136">
        <f>((CD59)-(CB59))</f>
        <v/>
      </c>
      <c r="CF59" s="876">
        <f>((CE59)/(CD59))</f>
        <v/>
      </c>
    </row>
    <row r="60">
      <c r="D60" s="149" t="inlineStr">
        <is>
          <t>Month 35</t>
        </is>
      </c>
      <c r="E60" s="138">
        <f>'3C. Tel. - Revenue Drivers - 1 '!T24</f>
        <v/>
      </c>
      <c r="F60" s="1968" t="n"/>
      <c r="G60" s="978" t="n"/>
      <c r="H60" s="978" t="n"/>
      <c r="I60" s="978" t="n"/>
      <c r="J60" s="978" t="n"/>
      <c r="K60" s="978" t="n"/>
      <c r="L60" s="978" t="n"/>
      <c r="M60" s="978" t="n"/>
      <c r="N60" s="978" t="n"/>
      <c r="O60" s="978" t="n"/>
      <c r="P60" s="978" t="n"/>
      <c r="Q60" s="978" t="n"/>
      <c r="R60" s="981" t="n"/>
      <c r="S60" s="978" t="n"/>
      <c r="T60" s="978" t="n"/>
      <c r="U60" s="978" t="n"/>
      <c r="V60" s="978" t="n"/>
      <c r="W60" s="978" t="n"/>
      <c r="X60" s="978" t="n"/>
      <c r="Y60" s="978" t="n"/>
      <c r="Z60" s="978" t="n"/>
      <c r="AA60" s="978" t="n"/>
      <c r="AB60" s="978" t="n"/>
      <c r="AC60" s="978" t="n"/>
      <c r="AD60" s="981" t="n"/>
      <c r="AE60" s="978" t="n"/>
      <c r="AF60" s="978" t="n"/>
      <c r="AG60" s="978" t="n"/>
      <c r="AH60" s="978" t="n"/>
      <c r="AI60" s="978" t="n"/>
      <c r="AJ60" s="978" t="n"/>
      <c r="AK60" s="978" t="n"/>
      <c r="AL60" s="978" t="n"/>
      <c r="AM60" s="978" t="n"/>
      <c r="AN60" s="978" t="n"/>
      <c r="AO60" s="978" t="n"/>
      <c r="AP60" s="973">
        <f>(($E$60)*($G$11))</f>
        <v/>
      </c>
      <c r="AQ60" s="135">
        <f>(($E$60)*($G$11))</f>
        <v/>
      </c>
      <c r="AR60" s="135">
        <f>(($E$60)*($G$11))</f>
        <v/>
      </c>
      <c r="AS60" s="135">
        <f>(($E$60)*($G$11))</f>
        <v/>
      </c>
      <c r="AT60" s="135">
        <f>(($E$60)*($G$11))</f>
        <v/>
      </c>
      <c r="AU60" s="135">
        <f>(($E$60)*($G$11))</f>
        <v/>
      </c>
      <c r="AV60" s="135">
        <f>(($E$60)*($G$11))</f>
        <v/>
      </c>
      <c r="AW60" s="135">
        <f>(($E$60)*($G$11))</f>
        <v/>
      </c>
      <c r="AX60" s="135">
        <f>(($E$60)*($G$11))</f>
        <v/>
      </c>
      <c r="AY60" s="135">
        <f>(($E$60)*($G$11))</f>
        <v/>
      </c>
      <c r="AZ60" s="135">
        <f>(($E$60)*($G$11))</f>
        <v/>
      </c>
      <c r="BA60" s="135">
        <f>(($E$60)*($G$11))</f>
        <v/>
      </c>
      <c r="BB60" s="412">
        <f>(($E$60)*($G$11))</f>
        <v/>
      </c>
      <c r="BC60" s="415">
        <f>(($E$60)*($G$11))</f>
        <v/>
      </c>
      <c r="BD60" s="135">
        <f>(($E$60)*($G$11))</f>
        <v/>
      </c>
      <c r="BE60" s="135">
        <f>(($E$60)*($G$11))</f>
        <v/>
      </c>
      <c r="BF60" s="135">
        <f>(($E$60)*($G$11))</f>
        <v/>
      </c>
      <c r="BG60" s="135">
        <f>(($E$60)*($G$11))</f>
        <v/>
      </c>
      <c r="BH60" s="135">
        <f>(($E$60)*($G$11))</f>
        <v/>
      </c>
      <c r="BI60" s="412">
        <f>(($E$60)*($G$11))</f>
        <v/>
      </c>
      <c r="BJ60" s="412">
        <f>(($E$60)*($G$11))</f>
        <v/>
      </c>
      <c r="BK60" s="412">
        <f>(($E$60)*($G$11))</f>
        <v/>
      </c>
      <c r="BL60" s="412">
        <f>(($E$60)*($G$11))</f>
        <v/>
      </c>
      <c r="BM60" s="412">
        <f>(($E$60)*($G$11))</f>
        <v/>
      </c>
      <c r="BN60" s="931" t="n"/>
      <c r="BO60" s="980" t="n"/>
      <c r="BP60" s="931" t="n"/>
      <c r="BQ60" s="931" t="n"/>
      <c r="BR60" s="931" t="n"/>
      <c r="BS60" s="931" t="n"/>
      <c r="BT60" s="931" t="n"/>
      <c r="BU60" s="931" t="n"/>
      <c r="BV60" s="931" t="n"/>
      <c r="BW60" s="931" t="n"/>
      <c r="BX60" s="931" t="n"/>
      <c r="BY60" s="931" t="n"/>
      <c r="BZ60" s="931" t="n"/>
      <c r="CA60" s="932" t="n"/>
      <c r="CB60" s="136">
        <f>SUM(G60:BZ60)</f>
        <v/>
      </c>
      <c r="CC60" s="932" t="n"/>
      <c r="CD60" s="135">
        <f>(E60)</f>
        <v/>
      </c>
      <c r="CE60" s="136">
        <f>((CD60)-(CB60))</f>
        <v/>
      </c>
      <c r="CF60" s="876">
        <f>((CE60)/(CD60))</f>
        <v/>
      </c>
    </row>
    <row r="61">
      <c r="D61" s="149" t="inlineStr">
        <is>
          <t>Month 36</t>
        </is>
      </c>
      <c r="E61" s="138">
        <f>'3C. Tel. - Revenue Drivers - 1 '!U24</f>
        <v/>
      </c>
      <c r="F61" s="1968" t="n"/>
      <c r="G61" s="978" t="n"/>
      <c r="H61" s="978" t="n"/>
      <c r="I61" s="978" t="n"/>
      <c r="J61" s="978" t="n"/>
      <c r="K61" s="978" t="n"/>
      <c r="L61" s="978" t="n"/>
      <c r="M61" s="978" t="n"/>
      <c r="N61" s="978" t="n"/>
      <c r="O61" s="978" t="n"/>
      <c r="P61" s="978" t="n"/>
      <c r="Q61" s="978" t="n"/>
      <c r="R61" s="981" t="n"/>
      <c r="S61" s="978" t="n"/>
      <c r="T61" s="978" t="n"/>
      <c r="U61" s="978" t="n"/>
      <c r="V61" s="978" t="n"/>
      <c r="W61" s="978" t="n"/>
      <c r="X61" s="978" t="n"/>
      <c r="Y61" s="978" t="n"/>
      <c r="Z61" s="978" t="n"/>
      <c r="AA61" s="978" t="n"/>
      <c r="AB61" s="978" t="n"/>
      <c r="AC61" s="978" t="n"/>
      <c r="AD61" s="981" t="n"/>
      <c r="AE61" s="978" t="n"/>
      <c r="AF61" s="978" t="n"/>
      <c r="AG61" s="978" t="n"/>
      <c r="AH61" s="978" t="n"/>
      <c r="AI61" s="978" t="n"/>
      <c r="AJ61" s="978" t="n"/>
      <c r="AK61" s="978" t="n"/>
      <c r="AL61" s="978" t="n"/>
      <c r="AM61" s="978" t="n"/>
      <c r="AN61" s="978" t="n"/>
      <c r="AO61" s="978" t="n"/>
      <c r="AP61" s="981" t="n"/>
      <c r="AQ61" s="412">
        <f>(($E$61)*($G$11))</f>
        <v/>
      </c>
      <c r="AR61" s="135">
        <f>(($E$61)*($G$11))</f>
        <v/>
      </c>
      <c r="AS61" s="135">
        <f>(($E$61)*($G$11))</f>
        <v/>
      </c>
      <c r="AT61" s="135">
        <f>(($E$61)*($G$11))</f>
        <v/>
      </c>
      <c r="AU61" s="135">
        <f>(($E$61)*($G$11))</f>
        <v/>
      </c>
      <c r="AV61" s="135">
        <f>(($E$61)*($G$11))</f>
        <v/>
      </c>
      <c r="AW61" s="135">
        <f>(($E$61)*($G$11))</f>
        <v/>
      </c>
      <c r="AX61" s="135">
        <f>(($E$61)*($G$11))</f>
        <v/>
      </c>
      <c r="AY61" s="135">
        <f>(($E$61)*($G$11))</f>
        <v/>
      </c>
      <c r="AZ61" s="135">
        <f>(($E$61)*($G$11))</f>
        <v/>
      </c>
      <c r="BA61" s="135">
        <f>(($E$61)*($G$11))</f>
        <v/>
      </c>
      <c r="BB61" s="412">
        <f>(($E$61)*($G$11))</f>
        <v/>
      </c>
      <c r="BC61" s="415">
        <f>(($E$61)*($G$11))</f>
        <v/>
      </c>
      <c r="BD61" s="135">
        <f>(($E$61)*($G$11))</f>
        <v/>
      </c>
      <c r="BE61" s="135">
        <f>(($E$61)*($G$11))</f>
        <v/>
      </c>
      <c r="BF61" s="135">
        <f>(($E$61)*($G$11))</f>
        <v/>
      </c>
      <c r="BG61" s="135">
        <f>(($E$61)*($G$11))</f>
        <v/>
      </c>
      <c r="BH61" s="135">
        <f>(($E$61)*($G$11))</f>
        <v/>
      </c>
      <c r="BI61" s="135">
        <f>(($E$61)*($G$11))</f>
        <v/>
      </c>
      <c r="BJ61" s="412">
        <f>(($E$61)*($G$11))</f>
        <v/>
      </c>
      <c r="BK61" s="412">
        <f>(($E$61)*($G$11))</f>
        <v/>
      </c>
      <c r="BL61" s="412">
        <f>(($E$61)*($G$11))</f>
        <v/>
      </c>
      <c r="BM61" s="412">
        <f>(($E$61)*($G$11))</f>
        <v/>
      </c>
      <c r="BN61" s="412">
        <f>(($E$61)*($G$11))</f>
        <v/>
      </c>
      <c r="BO61" s="879" t="n"/>
      <c r="BP61" s="877" t="n"/>
      <c r="BQ61" s="877" t="n"/>
      <c r="BR61" s="877" t="n"/>
      <c r="BS61" s="877" t="n"/>
      <c r="BT61" s="877" t="n"/>
      <c r="BU61" s="877" t="n"/>
      <c r="BV61" s="877" t="n"/>
      <c r="BW61" s="877" t="n"/>
      <c r="BX61" s="877" t="n"/>
      <c r="BY61" s="877" t="n"/>
      <c r="BZ61" s="877" t="n"/>
      <c r="CA61" s="932" t="n"/>
      <c r="CB61" s="136">
        <f>SUM(G61:BZ61)</f>
        <v/>
      </c>
      <c r="CC61" s="932" t="n"/>
      <c r="CD61" s="135">
        <f>(E61)</f>
        <v/>
      </c>
      <c r="CE61" s="136">
        <f>((CD61)-(CB61))</f>
        <v/>
      </c>
      <c r="CF61" s="876">
        <f>((CE61)/(CD61))</f>
        <v/>
      </c>
    </row>
    <row r="62">
      <c r="D62" s="149" t="inlineStr">
        <is>
          <t>Month 37</t>
        </is>
      </c>
      <c r="E62" s="138">
        <f>'3C. Tel. - Revenue Drivers - 1 '!J25</f>
        <v/>
      </c>
      <c r="F62" s="1968" t="n"/>
      <c r="G62" s="978" t="n"/>
      <c r="H62" s="978" t="n"/>
      <c r="I62" s="978" t="n"/>
      <c r="J62" s="978" t="n"/>
      <c r="K62" s="978" t="n"/>
      <c r="L62" s="978" t="n"/>
      <c r="M62" s="978" t="n"/>
      <c r="N62" s="978" t="n"/>
      <c r="O62" s="978" t="n"/>
      <c r="P62" s="978" t="n"/>
      <c r="Q62" s="978" t="n"/>
      <c r="R62" s="981" t="n"/>
      <c r="S62" s="978" t="n"/>
      <c r="T62" s="978" t="n"/>
      <c r="U62" s="978" t="n"/>
      <c r="V62" s="978" t="n"/>
      <c r="W62" s="978" t="n"/>
      <c r="X62" s="978" t="n"/>
      <c r="Y62" s="978" t="n"/>
      <c r="Z62" s="978" t="n"/>
      <c r="AA62" s="978" t="n"/>
      <c r="AB62" s="978" t="n"/>
      <c r="AC62" s="978" t="n"/>
      <c r="AD62" s="981" t="n"/>
      <c r="AE62" s="978" t="n"/>
      <c r="AF62" s="978" t="n"/>
      <c r="AG62" s="978" t="n"/>
      <c r="AH62" s="978" t="n"/>
      <c r="AI62" s="978" t="n"/>
      <c r="AJ62" s="978" t="n"/>
      <c r="AK62" s="978" t="n"/>
      <c r="AL62" s="978" t="n"/>
      <c r="AM62" s="978" t="n"/>
      <c r="AN62" s="978" t="n"/>
      <c r="AO62" s="978" t="n"/>
      <c r="AP62" s="981" t="n"/>
      <c r="AQ62" s="978" t="n"/>
      <c r="AR62" s="412">
        <f>(($E$62)*($G$11))</f>
        <v/>
      </c>
      <c r="AS62" s="135">
        <f>(($E$62)*($G$11))</f>
        <v/>
      </c>
      <c r="AT62" s="135">
        <f>(($E$62)*($G$11))</f>
        <v/>
      </c>
      <c r="AU62" s="135">
        <f>(($E$62)*($G$11))</f>
        <v/>
      </c>
      <c r="AV62" s="135">
        <f>(($E$62)*($G$11))</f>
        <v/>
      </c>
      <c r="AW62" s="135">
        <f>(($E$62)*($G$11))</f>
        <v/>
      </c>
      <c r="AX62" s="135">
        <f>(($E$62)*($G$11))</f>
        <v/>
      </c>
      <c r="AY62" s="135">
        <f>(($E$62)*($G$11))</f>
        <v/>
      </c>
      <c r="AZ62" s="135">
        <f>(($E$62)*($G$11))</f>
        <v/>
      </c>
      <c r="BA62" s="135">
        <f>(($E$62)*($G$11))</f>
        <v/>
      </c>
      <c r="BB62" s="412">
        <f>(($E$62)*($G$11))</f>
        <v/>
      </c>
      <c r="BC62" s="415">
        <f>(($E$62)*($G$11))</f>
        <v/>
      </c>
      <c r="BD62" s="135">
        <f>(($E$62)*($G$11))</f>
        <v/>
      </c>
      <c r="BE62" s="135">
        <f>(($E$62)*($G$11))</f>
        <v/>
      </c>
      <c r="BF62" s="135">
        <f>(($E$62)*($G$11))</f>
        <v/>
      </c>
      <c r="BG62" s="135">
        <f>(($E$62)*($G$11))</f>
        <v/>
      </c>
      <c r="BH62" s="135">
        <f>(($E$62)*($G$11))</f>
        <v/>
      </c>
      <c r="BI62" s="135">
        <f>(($E$62)*($G$11))</f>
        <v/>
      </c>
      <c r="BJ62" s="135">
        <f>(($E$62)*($G$11))</f>
        <v/>
      </c>
      <c r="BK62" s="412">
        <f>(($E$62)*($G$11))</f>
        <v/>
      </c>
      <c r="BL62" s="412">
        <f>(($E$62)*($G$11))</f>
        <v/>
      </c>
      <c r="BM62" s="412">
        <f>(($E$62)*($G$11))</f>
        <v/>
      </c>
      <c r="BN62" s="412">
        <f>(($E$62)*($G$11))</f>
        <v/>
      </c>
      <c r="BO62" s="415">
        <f>(($E$62)*($G$11))</f>
        <v/>
      </c>
      <c r="BP62" s="877" t="n"/>
      <c r="BQ62" s="877" t="n"/>
      <c r="BR62" s="877" t="n"/>
      <c r="BS62" s="877" t="n"/>
      <c r="BT62" s="877" t="n"/>
      <c r="BU62" s="877" t="n"/>
      <c r="BV62" s="877" t="n"/>
      <c r="BW62" s="877" t="n"/>
      <c r="BX62" s="877" t="n"/>
      <c r="BY62" s="877" t="n"/>
      <c r="BZ62" s="877" t="n"/>
      <c r="CA62" s="932" t="n"/>
      <c r="CB62" s="136">
        <f>SUM(G62:BZ62)</f>
        <v/>
      </c>
      <c r="CC62" s="932" t="n"/>
      <c r="CD62" s="135">
        <f>(E62)</f>
        <v/>
      </c>
      <c r="CE62" s="136">
        <f>((CD62)-(CB62))</f>
        <v/>
      </c>
      <c r="CF62" s="876">
        <f>((CE62)/(CD62))</f>
        <v/>
      </c>
    </row>
    <row r="63">
      <c r="D63" s="149" t="inlineStr">
        <is>
          <t>Month 38</t>
        </is>
      </c>
      <c r="E63" s="138">
        <f>'3C. Tel. - Revenue Drivers - 1 '!K25</f>
        <v/>
      </c>
      <c r="F63" s="1968" t="n"/>
      <c r="G63" s="978" t="n"/>
      <c r="H63" s="978" t="n"/>
      <c r="I63" s="978" t="n"/>
      <c r="J63" s="978" t="n"/>
      <c r="K63" s="978" t="n"/>
      <c r="L63" s="978" t="n"/>
      <c r="M63" s="978" t="n"/>
      <c r="N63" s="978" t="n"/>
      <c r="O63" s="978" t="n"/>
      <c r="P63" s="978" t="n"/>
      <c r="Q63" s="978" t="n"/>
      <c r="R63" s="981" t="n"/>
      <c r="S63" s="978" t="n"/>
      <c r="T63" s="978" t="n"/>
      <c r="U63" s="978" t="n"/>
      <c r="V63" s="978" t="n"/>
      <c r="W63" s="978" t="n"/>
      <c r="X63" s="978" t="n"/>
      <c r="Y63" s="978" t="n"/>
      <c r="Z63" s="978" t="n"/>
      <c r="AA63" s="978" t="n"/>
      <c r="AB63" s="978" t="n"/>
      <c r="AC63" s="978" t="n"/>
      <c r="AD63" s="981" t="n"/>
      <c r="AE63" s="978" t="n"/>
      <c r="AF63" s="978" t="n"/>
      <c r="AG63" s="978" t="n"/>
      <c r="AH63" s="978" t="n"/>
      <c r="AI63" s="978" t="n"/>
      <c r="AJ63" s="978" t="n"/>
      <c r="AK63" s="978" t="n"/>
      <c r="AL63" s="978" t="n"/>
      <c r="AM63" s="978" t="n"/>
      <c r="AN63" s="978" t="n"/>
      <c r="AO63" s="978" t="n"/>
      <c r="AP63" s="981" t="n"/>
      <c r="AQ63" s="978" t="n"/>
      <c r="AR63" s="978" t="n"/>
      <c r="AS63" s="412">
        <f>(($E$63)*($G$11))</f>
        <v/>
      </c>
      <c r="AT63" s="135">
        <f>(($E$63)*($G$11))</f>
        <v/>
      </c>
      <c r="AU63" s="135">
        <f>(($E$63)*($G$11))</f>
        <v/>
      </c>
      <c r="AV63" s="135">
        <f>(($E$63)*($G$11))</f>
        <v/>
      </c>
      <c r="AW63" s="135">
        <f>(($E$63)*($G$11))</f>
        <v/>
      </c>
      <c r="AX63" s="135">
        <f>(($E$63)*($G$11))</f>
        <v/>
      </c>
      <c r="AY63" s="135">
        <f>(($E$63)*($G$11))</f>
        <v/>
      </c>
      <c r="AZ63" s="135">
        <f>(($E$63)*($G$11))</f>
        <v/>
      </c>
      <c r="BA63" s="135">
        <f>(($E$63)*($G$11))</f>
        <v/>
      </c>
      <c r="BB63" s="412">
        <f>(($E$63)*($G$11))</f>
        <v/>
      </c>
      <c r="BC63" s="415">
        <f>(($E$63)*($G$11))</f>
        <v/>
      </c>
      <c r="BD63" s="135">
        <f>(($E$63)*($G$11))</f>
        <v/>
      </c>
      <c r="BE63" s="135">
        <f>(($E$63)*($G$11))</f>
        <v/>
      </c>
      <c r="BF63" s="135">
        <f>(($E$63)*($G$11))</f>
        <v/>
      </c>
      <c r="BG63" s="135">
        <f>(($E$63)*($G$11))</f>
        <v/>
      </c>
      <c r="BH63" s="135">
        <f>(($E$63)*($G$11))</f>
        <v/>
      </c>
      <c r="BI63" s="135">
        <f>(($E$63)*($G$11))</f>
        <v/>
      </c>
      <c r="BJ63" s="135">
        <f>(($E$63)*($G$11))</f>
        <v/>
      </c>
      <c r="BK63" s="135">
        <f>(($E$63)*($G$11))</f>
        <v/>
      </c>
      <c r="BL63" s="412">
        <f>(($E$63)*($G$11))</f>
        <v/>
      </c>
      <c r="BM63" s="412">
        <f>(($E$63)*($G$11))</f>
        <v/>
      </c>
      <c r="BN63" s="412">
        <f>(($E$63)*($G$11))</f>
        <v/>
      </c>
      <c r="BO63" s="415">
        <f>(($E$63)*($G$11))</f>
        <v/>
      </c>
      <c r="BP63" s="412">
        <f>(($E$63)*($G$11))</f>
        <v/>
      </c>
      <c r="BQ63" s="877" t="n"/>
      <c r="BR63" s="877" t="n"/>
      <c r="BS63" s="877" t="n"/>
      <c r="BT63" s="877" t="n"/>
      <c r="BU63" s="877" t="n"/>
      <c r="BV63" s="877" t="n"/>
      <c r="BW63" s="877" t="n"/>
      <c r="BX63" s="877" t="n"/>
      <c r="BY63" s="877" t="n"/>
      <c r="BZ63" s="877" t="n"/>
      <c r="CA63" s="932" t="n"/>
      <c r="CB63" s="136">
        <f>SUM(G63:BZ63)</f>
        <v/>
      </c>
      <c r="CC63" s="932" t="n"/>
      <c r="CD63" s="135">
        <f>(E63)</f>
        <v/>
      </c>
      <c r="CE63" s="136">
        <f>((CD63)-(CB63))</f>
        <v/>
      </c>
      <c r="CF63" s="876">
        <f>((CE63)/(CD63))</f>
        <v/>
      </c>
    </row>
    <row r="64">
      <c r="D64" s="149" t="inlineStr">
        <is>
          <t>Month 39</t>
        </is>
      </c>
      <c r="E64" s="138">
        <f>'3C. Tel. - Revenue Drivers - 1 '!L25</f>
        <v/>
      </c>
      <c r="F64" s="1968" t="n"/>
      <c r="G64" s="978" t="n"/>
      <c r="H64" s="978" t="n"/>
      <c r="I64" s="978" t="n"/>
      <c r="J64" s="978" t="n"/>
      <c r="K64" s="978" t="n"/>
      <c r="L64" s="978" t="n"/>
      <c r="M64" s="978" t="n"/>
      <c r="N64" s="978" t="n"/>
      <c r="O64" s="978" t="n"/>
      <c r="P64" s="978" t="n"/>
      <c r="Q64" s="978" t="n"/>
      <c r="R64" s="981" t="n"/>
      <c r="S64" s="978" t="n"/>
      <c r="T64" s="978" t="n"/>
      <c r="U64" s="978" t="n"/>
      <c r="V64" s="978" t="n"/>
      <c r="W64" s="978" t="n"/>
      <c r="X64" s="978" t="n"/>
      <c r="Y64" s="978" t="n"/>
      <c r="Z64" s="978" t="n"/>
      <c r="AA64" s="978" t="n"/>
      <c r="AB64" s="978" t="n"/>
      <c r="AC64" s="978" t="n"/>
      <c r="AD64" s="981" t="n"/>
      <c r="AE64" s="978" t="n"/>
      <c r="AF64" s="978" t="n"/>
      <c r="AG64" s="978" t="n"/>
      <c r="AH64" s="978" t="n"/>
      <c r="AI64" s="978" t="n"/>
      <c r="AJ64" s="978" t="n"/>
      <c r="AK64" s="978" t="n"/>
      <c r="AL64" s="978" t="n"/>
      <c r="AM64" s="978" t="n"/>
      <c r="AN64" s="978" t="n"/>
      <c r="AO64" s="978" t="n"/>
      <c r="AP64" s="981" t="n"/>
      <c r="AQ64" s="978" t="n"/>
      <c r="AR64" s="978" t="n"/>
      <c r="AS64" s="978" t="n"/>
      <c r="AT64" s="412">
        <f>(($E$64)*($G$11))</f>
        <v/>
      </c>
      <c r="AU64" s="135">
        <f>(($E$64)*($G$11))</f>
        <v/>
      </c>
      <c r="AV64" s="135">
        <f>(($E$64)*($G$11))</f>
        <v/>
      </c>
      <c r="AW64" s="135">
        <f>(($E$64)*($G$11))</f>
        <v/>
      </c>
      <c r="AX64" s="135">
        <f>(($E$64)*($G$11))</f>
        <v/>
      </c>
      <c r="AY64" s="135">
        <f>(($E$64)*($G$11))</f>
        <v/>
      </c>
      <c r="AZ64" s="135">
        <f>(($E$64)*($G$11))</f>
        <v/>
      </c>
      <c r="BA64" s="135">
        <f>(($E$64)*($G$11))</f>
        <v/>
      </c>
      <c r="BB64" s="412">
        <f>(($E$64)*($G$11))</f>
        <v/>
      </c>
      <c r="BC64" s="415">
        <f>(($E$64)*($G$11))</f>
        <v/>
      </c>
      <c r="BD64" s="135">
        <f>(($E$64)*($G$11))</f>
        <v/>
      </c>
      <c r="BE64" s="135">
        <f>(($E$64)*($G$11))</f>
        <v/>
      </c>
      <c r="BF64" s="135">
        <f>(($E$64)*($G$11))</f>
        <v/>
      </c>
      <c r="BG64" s="135">
        <f>(($E$64)*($G$11))</f>
        <v/>
      </c>
      <c r="BH64" s="135">
        <f>(($E$64)*($G$11))</f>
        <v/>
      </c>
      <c r="BI64" s="135">
        <f>(($E$64)*($G$11))</f>
        <v/>
      </c>
      <c r="BJ64" s="135">
        <f>(($E$64)*($G$11))</f>
        <v/>
      </c>
      <c r="BK64" s="135">
        <f>(($E$64)*($G$11))</f>
        <v/>
      </c>
      <c r="BL64" s="135">
        <f>(($E$64)*($G$11))</f>
        <v/>
      </c>
      <c r="BM64" s="412">
        <f>(($E$64)*($G$11))</f>
        <v/>
      </c>
      <c r="BN64" s="412">
        <f>(($E$64)*($G$11))</f>
        <v/>
      </c>
      <c r="BO64" s="415">
        <f>(($E$64)*($G$11))</f>
        <v/>
      </c>
      <c r="BP64" s="412">
        <f>(($E$64)*($G$11))</f>
        <v/>
      </c>
      <c r="BQ64" s="412">
        <f>(($E$64)*($G$11))</f>
        <v/>
      </c>
      <c r="BR64" s="877" t="n"/>
      <c r="BS64" s="877" t="n"/>
      <c r="BT64" s="877" t="n"/>
      <c r="BU64" s="877" t="n"/>
      <c r="BV64" s="877" t="n"/>
      <c r="BW64" s="877" t="n"/>
      <c r="BX64" s="877" t="n"/>
      <c r="BY64" s="877" t="n"/>
      <c r="BZ64" s="877" t="n"/>
      <c r="CA64" s="932" t="n"/>
      <c r="CB64" s="136">
        <f>SUM(G64:BZ64)</f>
        <v/>
      </c>
      <c r="CC64" s="932" t="n"/>
      <c r="CD64" s="135">
        <f>(E64)</f>
        <v/>
      </c>
      <c r="CE64" s="136">
        <f>((CD64)-(CB64))</f>
        <v/>
      </c>
      <c r="CF64" s="876">
        <f>((CE64)/(CD64))</f>
        <v/>
      </c>
    </row>
    <row r="65">
      <c r="D65" s="149" t="inlineStr">
        <is>
          <t>Month 40</t>
        </is>
      </c>
      <c r="E65" s="138">
        <f>'3C. Tel. - Revenue Drivers - 1 '!M25</f>
        <v/>
      </c>
      <c r="F65" s="1968" t="n"/>
      <c r="G65" s="978" t="n"/>
      <c r="H65" s="978" t="n"/>
      <c r="I65" s="978" t="n"/>
      <c r="J65" s="978" t="n"/>
      <c r="K65" s="978" t="n"/>
      <c r="L65" s="978" t="n"/>
      <c r="M65" s="978" t="n"/>
      <c r="N65" s="978" t="n"/>
      <c r="O65" s="978" t="n"/>
      <c r="P65" s="978" t="n"/>
      <c r="Q65" s="978" t="n"/>
      <c r="R65" s="981" t="n"/>
      <c r="S65" s="978" t="n"/>
      <c r="T65" s="978" t="n"/>
      <c r="U65" s="978" t="n"/>
      <c r="V65" s="978" t="n"/>
      <c r="W65" s="978" t="n"/>
      <c r="X65" s="978" t="n"/>
      <c r="Y65" s="978" t="n"/>
      <c r="Z65" s="978" t="n"/>
      <c r="AA65" s="978" t="n"/>
      <c r="AB65" s="978" t="n"/>
      <c r="AC65" s="978" t="n"/>
      <c r="AD65" s="981" t="n"/>
      <c r="AE65" s="978" t="n"/>
      <c r="AF65" s="978" t="n"/>
      <c r="AG65" s="978" t="n"/>
      <c r="AH65" s="978" t="n"/>
      <c r="AI65" s="978" t="n"/>
      <c r="AJ65" s="978" t="n"/>
      <c r="AK65" s="978" t="n"/>
      <c r="AL65" s="978" t="n"/>
      <c r="AM65" s="978" t="n"/>
      <c r="AN65" s="978" t="n"/>
      <c r="AO65" s="978" t="n"/>
      <c r="AP65" s="981" t="n"/>
      <c r="AQ65" s="978" t="n"/>
      <c r="AR65" s="978" t="n"/>
      <c r="AS65" s="978" t="n"/>
      <c r="AT65" s="978" t="n"/>
      <c r="AU65" s="412">
        <f>(($E$65)*($G$11))</f>
        <v/>
      </c>
      <c r="AV65" s="135">
        <f>(($E$65)*($G$11))</f>
        <v/>
      </c>
      <c r="AW65" s="135">
        <f>(($E$65)*($G$11))</f>
        <v/>
      </c>
      <c r="AX65" s="135">
        <f>(($E$65)*($G$11))</f>
        <v/>
      </c>
      <c r="AY65" s="135">
        <f>(($E$65)*($G$11))</f>
        <v/>
      </c>
      <c r="AZ65" s="135">
        <f>(($E$65)*($G$11))</f>
        <v/>
      </c>
      <c r="BA65" s="135">
        <f>(($E$65)*($G$11))</f>
        <v/>
      </c>
      <c r="BB65" s="412">
        <f>(($E$65)*($G$11))</f>
        <v/>
      </c>
      <c r="BC65" s="415">
        <f>(($E$65)*($G$11))</f>
        <v/>
      </c>
      <c r="BD65" s="135">
        <f>(($E$65)*($G$11))</f>
        <v/>
      </c>
      <c r="BE65" s="135">
        <f>(($E$65)*($G$11))</f>
        <v/>
      </c>
      <c r="BF65" s="135">
        <f>(($E$65)*($G$11))</f>
        <v/>
      </c>
      <c r="BG65" s="135">
        <f>(($E$65)*($G$11))</f>
        <v/>
      </c>
      <c r="BH65" s="135">
        <f>(($E$65)*($G$11))</f>
        <v/>
      </c>
      <c r="BI65" s="135">
        <f>(($E$65)*($G$11))</f>
        <v/>
      </c>
      <c r="BJ65" s="135">
        <f>(($E$65)*($G$11))</f>
        <v/>
      </c>
      <c r="BK65" s="135">
        <f>(($E$65)*($G$11))</f>
        <v/>
      </c>
      <c r="BL65" s="135">
        <f>(($E$65)*($G$11))</f>
        <v/>
      </c>
      <c r="BM65" s="135">
        <f>(($E$65)*($G$11))</f>
        <v/>
      </c>
      <c r="BN65" s="135">
        <f>(($E$65)*($G$11))</f>
        <v/>
      </c>
      <c r="BO65" s="415">
        <f>(($E$65)*($G$11))</f>
        <v/>
      </c>
      <c r="BP65" s="135">
        <f>(($E$65)*($G$11))</f>
        <v/>
      </c>
      <c r="BQ65" s="135">
        <f>(($E$65)*($G$11))</f>
        <v/>
      </c>
      <c r="BR65" s="135">
        <f>(($E$65)*($G$11))</f>
        <v/>
      </c>
      <c r="BS65" s="878" t="n"/>
      <c r="BT65" s="878" t="n"/>
      <c r="BU65" s="878" t="n"/>
      <c r="BV65" s="878" t="n"/>
      <c r="BW65" s="878" t="n"/>
      <c r="BX65" s="878" t="n"/>
      <c r="BY65" s="878" t="n"/>
      <c r="BZ65" s="878" t="n"/>
      <c r="CA65" s="932" t="n"/>
      <c r="CB65" s="136">
        <f>SUM(G65:BZ65)</f>
        <v/>
      </c>
      <c r="CC65" s="932" t="n"/>
      <c r="CD65" s="135">
        <f>(E65)</f>
        <v/>
      </c>
      <c r="CE65" s="136">
        <f>((CD65)-(CB65))</f>
        <v/>
      </c>
      <c r="CF65" s="876">
        <f>((CE65)/(CD65))</f>
        <v/>
      </c>
    </row>
    <row r="66">
      <c r="D66" s="149" t="inlineStr">
        <is>
          <t>Month 41</t>
        </is>
      </c>
      <c r="E66" s="138">
        <f>'3C. Tel. - Revenue Drivers - 1 '!N25</f>
        <v/>
      </c>
      <c r="F66" s="1968" t="n"/>
      <c r="G66" s="978" t="n"/>
      <c r="H66" s="978" t="n"/>
      <c r="I66" s="978" t="n"/>
      <c r="J66" s="978" t="n"/>
      <c r="K66" s="978" t="n"/>
      <c r="L66" s="978" t="n"/>
      <c r="M66" s="978" t="n"/>
      <c r="N66" s="978" t="n"/>
      <c r="O66" s="978" t="n"/>
      <c r="P66" s="978" t="n"/>
      <c r="Q66" s="978" t="n"/>
      <c r="R66" s="981" t="n"/>
      <c r="S66" s="978" t="n"/>
      <c r="T66" s="978" t="n"/>
      <c r="U66" s="978" t="n"/>
      <c r="V66" s="978" t="n"/>
      <c r="W66" s="978" t="n"/>
      <c r="X66" s="978" t="n"/>
      <c r="Y66" s="978" t="n"/>
      <c r="Z66" s="978" t="n"/>
      <c r="AA66" s="978" t="n"/>
      <c r="AB66" s="978" t="n"/>
      <c r="AC66" s="978" t="n"/>
      <c r="AD66" s="981" t="n"/>
      <c r="AE66" s="978" t="n"/>
      <c r="AF66" s="978" t="n"/>
      <c r="AG66" s="978" t="n"/>
      <c r="AH66" s="978" t="n"/>
      <c r="AI66" s="978" t="n"/>
      <c r="AJ66" s="978" t="n"/>
      <c r="AK66" s="978" t="n"/>
      <c r="AL66" s="978" t="n"/>
      <c r="AM66" s="978" t="n"/>
      <c r="AN66" s="978" t="n"/>
      <c r="AO66" s="978" t="n"/>
      <c r="AP66" s="981" t="n"/>
      <c r="AQ66" s="978" t="n"/>
      <c r="AR66" s="978" t="n"/>
      <c r="AS66" s="978" t="n"/>
      <c r="AT66" s="978" t="n"/>
      <c r="AU66" s="978" t="n"/>
      <c r="AV66" s="412">
        <f>(($E$66)*($G$11))</f>
        <v/>
      </c>
      <c r="AW66" s="135">
        <f>(($E$66)*($G$11))</f>
        <v/>
      </c>
      <c r="AX66" s="135">
        <f>(($E$66)*($G$11))</f>
        <v/>
      </c>
      <c r="AY66" s="135">
        <f>(($E$66)*($G$11))</f>
        <v/>
      </c>
      <c r="AZ66" s="135">
        <f>(($E$66)*($G$11))</f>
        <v/>
      </c>
      <c r="BA66" s="135">
        <f>(($E$66)*($G$11))</f>
        <v/>
      </c>
      <c r="BB66" s="412">
        <f>(($E$66)*($G$11))</f>
        <v/>
      </c>
      <c r="BC66" s="415">
        <f>(($E$66)*($G$11))</f>
        <v/>
      </c>
      <c r="BD66" s="135">
        <f>(($E$66)*($G$11))</f>
        <v/>
      </c>
      <c r="BE66" s="135">
        <f>(($E$66)*($G$11))</f>
        <v/>
      </c>
      <c r="BF66" s="135">
        <f>(($E$66)*($G$11))</f>
        <v/>
      </c>
      <c r="BG66" s="135">
        <f>(($E$66)*($G$11))</f>
        <v/>
      </c>
      <c r="BH66" s="135">
        <f>(($E$66)*($G$11))</f>
        <v/>
      </c>
      <c r="BI66" s="135">
        <f>(($E$66)*($G$11))</f>
        <v/>
      </c>
      <c r="BJ66" s="135">
        <f>(($E$66)*($G$11))</f>
        <v/>
      </c>
      <c r="BK66" s="135">
        <f>(($E$66)*($G$11))</f>
        <v/>
      </c>
      <c r="BL66" s="135">
        <f>(($E$66)*($G$11))</f>
        <v/>
      </c>
      <c r="BM66" s="135">
        <f>(($E$66)*($G$11))</f>
        <v/>
      </c>
      <c r="BN66" s="135">
        <f>(($E$66)*($G$11))</f>
        <v/>
      </c>
      <c r="BO66" s="415">
        <f>(($E$66)*($G$11))</f>
        <v/>
      </c>
      <c r="BP66" s="135">
        <f>(($E$66)*($G$11))</f>
        <v/>
      </c>
      <c r="BQ66" s="135">
        <f>(($E$66)*($G$11))</f>
        <v/>
      </c>
      <c r="BR66" s="135">
        <f>(($E$66)*($G$11))</f>
        <v/>
      </c>
      <c r="BS66" s="135">
        <f>(($E$66)*($G$11))</f>
        <v/>
      </c>
      <c r="BT66" s="878" t="n"/>
      <c r="BU66" s="878" t="n"/>
      <c r="BV66" s="878" t="n"/>
      <c r="BW66" s="878" t="n"/>
      <c r="BX66" s="878" t="n"/>
      <c r="BY66" s="878" t="n"/>
      <c r="BZ66" s="878" t="n"/>
      <c r="CA66" s="932" t="n"/>
      <c r="CB66" s="136">
        <f>SUM(G66:BZ66)</f>
        <v/>
      </c>
      <c r="CC66" s="932" t="n"/>
      <c r="CD66" s="135">
        <f>(E66)</f>
        <v/>
      </c>
      <c r="CE66" s="136">
        <f>((CD66)-(CB66))</f>
        <v/>
      </c>
      <c r="CF66" s="876">
        <f>((CE66)/(CD66))</f>
        <v/>
      </c>
    </row>
    <row r="67">
      <c r="D67" s="149" t="inlineStr">
        <is>
          <t>Month 42</t>
        </is>
      </c>
      <c r="E67" s="138">
        <f>'3C. Tel. - Revenue Drivers - 1 '!O25</f>
        <v/>
      </c>
      <c r="F67" s="1968" t="n"/>
      <c r="G67" s="978" t="n"/>
      <c r="H67" s="978" t="n"/>
      <c r="I67" s="978" t="n"/>
      <c r="J67" s="978" t="n"/>
      <c r="K67" s="978" t="n"/>
      <c r="L67" s="978" t="n"/>
      <c r="M67" s="978" t="n"/>
      <c r="N67" s="978" t="n"/>
      <c r="O67" s="978" t="n"/>
      <c r="P67" s="978" t="n"/>
      <c r="Q67" s="978" t="n"/>
      <c r="R67" s="981" t="n"/>
      <c r="S67" s="978" t="n"/>
      <c r="T67" s="978" t="n"/>
      <c r="U67" s="978" t="n"/>
      <c r="V67" s="978" t="n"/>
      <c r="W67" s="978" t="n"/>
      <c r="X67" s="978" t="n"/>
      <c r="Y67" s="978" t="n"/>
      <c r="Z67" s="978" t="n"/>
      <c r="AA67" s="978" t="n"/>
      <c r="AB67" s="978" t="n"/>
      <c r="AC67" s="978" t="n"/>
      <c r="AD67" s="981" t="n"/>
      <c r="AE67" s="978" t="n"/>
      <c r="AF67" s="978" t="n"/>
      <c r="AG67" s="978" t="n"/>
      <c r="AH67" s="978" t="n"/>
      <c r="AI67" s="978" t="n"/>
      <c r="AJ67" s="978" t="n"/>
      <c r="AK67" s="978" t="n"/>
      <c r="AL67" s="978" t="n"/>
      <c r="AM67" s="978" t="n"/>
      <c r="AN67" s="978" t="n"/>
      <c r="AO67" s="978" t="n"/>
      <c r="AP67" s="981" t="n"/>
      <c r="AQ67" s="978" t="n"/>
      <c r="AR67" s="978" t="n"/>
      <c r="AS67" s="978" t="n"/>
      <c r="AT67" s="978" t="n"/>
      <c r="AU67" s="978" t="n"/>
      <c r="AV67" s="978" t="n"/>
      <c r="AW67" s="412">
        <f>(($E$67)*($G$11))</f>
        <v/>
      </c>
      <c r="AX67" s="135">
        <f>(($E$67)*($G$11))</f>
        <v/>
      </c>
      <c r="AY67" s="135">
        <f>(($E$67)*($G$11))</f>
        <v/>
      </c>
      <c r="AZ67" s="135">
        <f>(($E$67)*($G$11))</f>
        <v/>
      </c>
      <c r="BA67" s="135">
        <f>(($E$67)*($G$11))</f>
        <v/>
      </c>
      <c r="BB67" s="412">
        <f>(($E$67)*($G$11))</f>
        <v/>
      </c>
      <c r="BC67" s="415">
        <f>(($E$67)*($G$11))</f>
        <v/>
      </c>
      <c r="BD67" s="135">
        <f>(($E$67)*($G$11))</f>
        <v/>
      </c>
      <c r="BE67" s="135">
        <f>(($E$67)*($G$11))</f>
        <v/>
      </c>
      <c r="BF67" s="135">
        <f>(($E$67)*($G$11))</f>
        <v/>
      </c>
      <c r="BG67" s="135">
        <f>(($E$67)*($G$11))</f>
        <v/>
      </c>
      <c r="BH67" s="135">
        <f>(($E$67)*($G$11))</f>
        <v/>
      </c>
      <c r="BI67" s="135">
        <f>(($E$67)*($G$11))</f>
        <v/>
      </c>
      <c r="BJ67" s="135">
        <f>(($E$67)*($G$11))</f>
        <v/>
      </c>
      <c r="BK67" s="135">
        <f>(($E$67)*($G$11))</f>
        <v/>
      </c>
      <c r="BL67" s="135">
        <f>(($E$67)*($G$11))</f>
        <v/>
      </c>
      <c r="BM67" s="135">
        <f>(($E$67)*($G$11))</f>
        <v/>
      </c>
      <c r="BN67" s="135">
        <f>(($E$67)*($G$11))</f>
        <v/>
      </c>
      <c r="BO67" s="415">
        <f>(($E$67)*($G$11))</f>
        <v/>
      </c>
      <c r="BP67" s="135">
        <f>(($E$67)*($G$11))</f>
        <v/>
      </c>
      <c r="BQ67" s="135">
        <f>(($E$67)*($G$11))</f>
        <v/>
      </c>
      <c r="BR67" s="135">
        <f>(($E$67)*($G$11))</f>
        <v/>
      </c>
      <c r="BS67" s="135">
        <f>(($E$67)*($G$11))</f>
        <v/>
      </c>
      <c r="BT67" s="135">
        <f>(($E$67)*($G$11))</f>
        <v/>
      </c>
      <c r="BU67" s="878" t="n"/>
      <c r="BV67" s="878" t="n"/>
      <c r="BW67" s="878" t="n"/>
      <c r="BX67" s="878" t="n"/>
      <c r="BY67" s="878" t="n"/>
      <c r="BZ67" s="878" t="n"/>
      <c r="CA67" s="932" t="n"/>
      <c r="CB67" s="136">
        <f>SUM(G67:BZ67)</f>
        <v/>
      </c>
      <c r="CC67" s="932" t="n"/>
      <c r="CD67" s="135">
        <f>(E67)</f>
        <v/>
      </c>
      <c r="CE67" s="136">
        <f>((CD67)-(CB67))</f>
        <v/>
      </c>
      <c r="CF67" s="876">
        <f>((CE67)/(CD67))</f>
        <v/>
      </c>
    </row>
    <row r="68">
      <c r="D68" s="149" t="inlineStr">
        <is>
          <t>Month 43</t>
        </is>
      </c>
      <c r="E68" s="138">
        <f>'3C. Tel. - Revenue Drivers - 1 '!P25</f>
        <v/>
      </c>
      <c r="F68" s="1968" t="n"/>
      <c r="G68" s="978" t="n"/>
      <c r="H68" s="978" t="n"/>
      <c r="I68" s="978" t="n"/>
      <c r="J68" s="978" t="n"/>
      <c r="K68" s="978" t="n"/>
      <c r="L68" s="978" t="n"/>
      <c r="M68" s="978" t="n"/>
      <c r="N68" s="978" t="n"/>
      <c r="O68" s="978" t="n"/>
      <c r="P68" s="978" t="n"/>
      <c r="Q68" s="978" t="n"/>
      <c r="R68" s="981" t="n"/>
      <c r="S68" s="978" t="n"/>
      <c r="T68" s="978" t="n"/>
      <c r="U68" s="978" t="n"/>
      <c r="V68" s="978" t="n"/>
      <c r="W68" s="978" t="n"/>
      <c r="X68" s="978" t="n"/>
      <c r="Y68" s="978" t="n"/>
      <c r="Z68" s="978" t="n"/>
      <c r="AA68" s="978" t="n"/>
      <c r="AB68" s="978" t="n"/>
      <c r="AC68" s="978" t="n"/>
      <c r="AD68" s="981" t="n"/>
      <c r="AE68" s="978" t="n"/>
      <c r="AF68" s="978" t="n"/>
      <c r="AG68" s="978" t="n"/>
      <c r="AH68" s="978" t="n"/>
      <c r="AI68" s="978" t="n"/>
      <c r="AJ68" s="978" t="n"/>
      <c r="AK68" s="978" t="n"/>
      <c r="AL68" s="978" t="n"/>
      <c r="AM68" s="978" t="n"/>
      <c r="AN68" s="978" t="n"/>
      <c r="AO68" s="978" t="n"/>
      <c r="AP68" s="981" t="n"/>
      <c r="AQ68" s="978" t="n"/>
      <c r="AR68" s="978" t="n"/>
      <c r="AS68" s="978" t="n"/>
      <c r="AT68" s="978" t="n"/>
      <c r="AU68" s="978" t="n"/>
      <c r="AV68" s="978" t="n"/>
      <c r="AW68" s="978" t="n"/>
      <c r="AX68" s="412">
        <f>(($E$68)*($G$11))</f>
        <v/>
      </c>
      <c r="AY68" s="135">
        <f>(($E$68)*($G$11))</f>
        <v/>
      </c>
      <c r="AZ68" s="135">
        <f>(($E$68)*($G$11))</f>
        <v/>
      </c>
      <c r="BA68" s="135">
        <f>(($E$68)*($G$11))</f>
        <v/>
      </c>
      <c r="BB68" s="412">
        <f>(($E$68)*($G$11))</f>
        <v/>
      </c>
      <c r="BC68" s="415">
        <f>(($E$68)*($G$11))</f>
        <v/>
      </c>
      <c r="BD68" s="135">
        <f>(($E$68)*($G$11))</f>
        <v/>
      </c>
      <c r="BE68" s="135">
        <f>(($E$68)*($G$11))</f>
        <v/>
      </c>
      <c r="BF68" s="135">
        <f>(($E$68)*($G$11))</f>
        <v/>
      </c>
      <c r="BG68" s="135">
        <f>(($E$68)*($G$11))</f>
        <v/>
      </c>
      <c r="BH68" s="135">
        <f>(($E$68)*($G$11))</f>
        <v/>
      </c>
      <c r="BI68" s="135">
        <f>(($E$68)*($G$11))</f>
        <v/>
      </c>
      <c r="BJ68" s="135">
        <f>(($E$68)*($G$11))</f>
        <v/>
      </c>
      <c r="BK68" s="135">
        <f>(($E$68)*($G$11))</f>
        <v/>
      </c>
      <c r="BL68" s="135">
        <f>(($E$68)*($G$11))</f>
        <v/>
      </c>
      <c r="BM68" s="135">
        <f>(($E$68)*($G$11))</f>
        <v/>
      </c>
      <c r="BN68" s="135">
        <f>(($E$68)*($G$11))</f>
        <v/>
      </c>
      <c r="BO68" s="415">
        <f>(($E$68)*($G$11))</f>
        <v/>
      </c>
      <c r="BP68" s="135">
        <f>(($E$68)*($G$11))</f>
        <v/>
      </c>
      <c r="BQ68" s="135">
        <f>(($E$68)*($G$11))</f>
        <v/>
      </c>
      <c r="BR68" s="135">
        <f>(($E$68)*($G$11))</f>
        <v/>
      </c>
      <c r="BS68" s="135">
        <f>(($E$68)*($G$11))</f>
        <v/>
      </c>
      <c r="BT68" s="135">
        <f>(($E$68)*($G$11))</f>
        <v/>
      </c>
      <c r="BU68" s="135">
        <f>(($E$68)*($G$11))</f>
        <v/>
      </c>
      <c r="BV68" s="878" t="n"/>
      <c r="BW68" s="878" t="n"/>
      <c r="BX68" s="878" t="n"/>
      <c r="BY68" s="878" t="n"/>
      <c r="BZ68" s="878" t="n"/>
      <c r="CA68" s="932" t="n"/>
      <c r="CB68" s="136">
        <f>SUM(G68:BZ68)</f>
        <v/>
      </c>
      <c r="CC68" s="932" t="n"/>
      <c r="CD68" s="135">
        <f>(E68)</f>
        <v/>
      </c>
      <c r="CE68" s="136">
        <f>((CD68)-(CB68))</f>
        <v/>
      </c>
      <c r="CF68" s="876">
        <f>((CE68)/(CD68))</f>
        <v/>
      </c>
    </row>
    <row r="69">
      <c r="D69" s="149" t="inlineStr">
        <is>
          <t>Month 44</t>
        </is>
      </c>
      <c r="E69" s="138">
        <f>'3C. Tel. - Revenue Drivers - 1 '!Q25</f>
        <v/>
      </c>
      <c r="F69" s="1968" t="n"/>
      <c r="G69" s="978" t="n"/>
      <c r="H69" s="978" t="n"/>
      <c r="I69" s="978" t="n"/>
      <c r="J69" s="978" t="n"/>
      <c r="K69" s="978" t="n"/>
      <c r="L69" s="978" t="n"/>
      <c r="M69" s="978" t="n"/>
      <c r="N69" s="978" t="n"/>
      <c r="O69" s="978" t="n"/>
      <c r="P69" s="978" t="n"/>
      <c r="Q69" s="978" t="n"/>
      <c r="R69" s="981" t="n"/>
      <c r="S69" s="978" t="n"/>
      <c r="T69" s="978" t="n"/>
      <c r="U69" s="978" t="n"/>
      <c r="V69" s="978" t="n"/>
      <c r="W69" s="978" t="n"/>
      <c r="X69" s="978" t="n"/>
      <c r="Y69" s="978" t="n"/>
      <c r="Z69" s="978" t="n"/>
      <c r="AA69" s="978" t="n"/>
      <c r="AB69" s="978" t="n"/>
      <c r="AC69" s="978" t="n"/>
      <c r="AD69" s="981" t="n"/>
      <c r="AE69" s="978" t="n"/>
      <c r="AF69" s="978" t="n"/>
      <c r="AG69" s="978" t="n"/>
      <c r="AH69" s="978" t="n"/>
      <c r="AI69" s="978" t="n"/>
      <c r="AJ69" s="978" t="n"/>
      <c r="AK69" s="978" t="n"/>
      <c r="AL69" s="978" t="n"/>
      <c r="AM69" s="978" t="n"/>
      <c r="AN69" s="978" t="n"/>
      <c r="AO69" s="978" t="n"/>
      <c r="AP69" s="981" t="n"/>
      <c r="AQ69" s="978" t="n"/>
      <c r="AR69" s="978" t="n"/>
      <c r="AS69" s="978" t="n"/>
      <c r="AT69" s="978" t="n"/>
      <c r="AU69" s="978" t="n"/>
      <c r="AV69" s="978" t="n"/>
      <c r="AW69" s="978" t="n"/>
      <c r="AX69" s="978" t="n"/>
      <c r="AY69" s="412">
        <f>(($E$69)*($G$11))</f>
        <v/>
      </c>
      <c r="AZ69" s="135">
        <f>(($E$69)*($G$11))</f>
        <v/>
      </c>
      <c r="BA69" s="135">
        <f>(($E$69)*($G$11))</f>
        <v/>
      </c>
      <c r="BB69" s="412">
        <f>(($E$69)*($G$11))</f>
        <v/>
      </c>
      <c r="BC69" s="415">
        <f>(($E$69)*($G$11))</f>
        <v/>
      </c>
      <c r="BD69" s="135">
        <f>(($E$69)*($G$11))</f>
        <v/>
      </c>
      <c r="BE69" s="135">
        <f>(($E$69)*($G$11))</f>
        <v/>
      </c>
      <c r="BF69" s="135">
        <f>(($E$69)*($G$11))</f>
        <v/>
      </c>
      <c r="BG69" s="135">
        <f>(($E$69)*($G$11))</f>
        <v/>
      </c>
      <c r="BH69" s="135">
        <f>(($E$69)*($G$11))</f>
        <v/>
      </c>
      <c r="BI69" s="135">
        <f>(($E$69)*($G$11))</f>
        <v/>
      </c>
      <c r="BJ69" s="135">
        <f>(($E$69)*($G$11))</f>
        <v/>
      </c>
      <c r="BK69" s="135">
        <f>(($E$69)*($G$11))</f>
        <v/>
      </c>
      <c r="BL69" s="135">
        <f>(($E$69)*($G$11))</f>
        <v/>
      </c>
      <c r="BM69" s="135">
        <f>(($E$69)*($G$11))</f>
        <v/>
      </c>
      <c r="BN69" s="135">
        <f>(($E$69)*($G$11))</f>
        <v/>
      </c>
      <c r="BO69" s="415">
        <f>(($E$69)*($G$11))</f>
        <v/>
      </c>
      <c r="BP69" s="135">
        <f>(($E$69)*($G$11))</f>
        <v/>
      </c>
      <c r="BQ69" s="135">
        <f>(($E$69)*($G$11))</f>
        <v/>
      </c>
      <c r="BR69" s="135">
        <f>(($E$69)*($G$11))</f>
        <v/>
      </c>
      <c r="BS69" s="135">
        <f>(($E$69)*($G$11))</f>
        <v/>
      </c>
      <c r="BT69" s="135">
        <f>(($E$69)*($G$11))</f>
        <v/>
      </c>
      <c r="BU69" s="135">
        <f>(($E$69)*($G$11))</f>
        <v/>
      </c>
      <c r="BV69" s="135">
        <f>(($E$69)*($G$11))</f>
        <v/>
      </c>
      <c r="BW69" s="878" t="n"/>
      <c r="BX69" s="878" t="n"/>
      <c r="BY69" s="878" t="n"/>
      <c r="BZ69" s="878" t="n"/>
      <c r="CA69" s="932" t="n"/>
      <c r="CB69" s="136">
        <f>SUM(G69:BZ69)</f>
        <v/>
      </c>
      <c r="CC69" s="932" t="n"/>
      <c r="CD69" s="135">
        <f>(E69)</f>
        <v/>
      </c>
      <c r="CE69" s="136">
        <f>((CD69)-(CB69))</f>
        <v/>
      </c>
      <c r="CF69" s="876">
        <f>((CE69)/(CD69))</f>
        <v/>
      </c>
    </row>
    <row r="70">
      <c r="D70" s="149" t="inlineStr">
        <is>
          <t>Month 45</t>
        </is>
      </c>
      <c r="E70" s="138">
        <f>'3C. Tel. - Revenue Drivers - 1 '!R25</f>
        <v/>
      </c>
      <c r="F70" s="1968" t="n"/>
      <c r="G70" s="978" t="n"/>
      <c r="H70" s="978" t="n"/>
      <c r="I70" s="978" t="n"/>
      <c r="J70" s="978" t="n"/>
      <c r="K70" s="978" t="n"/>
      <c r="L70" s="978" t="n"/>
      <c r="M70" s="978" t="n"/>
      <c r="N70" s="978" t="n"/>
      <c r="O70" s="978" t="n"/>
      <c r="P70" s="978" t="n"/>
      <c r="Q70" s="978" t="n"/>
      <c r="R70" s="981" t="n"/>
      <c r="S70" s="978" t="n"/>
      <c r="T70" s="978" t="n"/>
      <c r="U70" s="978" t="n"/>
      <c r="V70" s="978" t="n"/>
      <c r="W70" s="978" t="n"/>
      <c r="X70" s="978" t="n"/>
      <c r="Y70" s="978" t="n"/>
      <c r="Z70" s="978" t="n"/>
      <c r="AA70" s="978" t="n"/>
      <c r="AB70" s="978" t="n"/>
      <c r="AC70" s="978" t="n"/>
      <c r="AD70" s="981" t="n"/>
      <c r="AE70" s="978" t="n"/>
      <c r="AF70" s="978" t="n"/>
      <c r="AG70" s="978" t="n"/>
      <c r="AH70" s="978" t="n"/>
      <c r="AI70" s="978" t="n"/>
      <c r="AJ70" s="978" t="n"/>
      <c r="AK70" s="978" t="n"/>
      <c r="AL70" s="978" t="n"/>
      <c r="AM70" s="978" t="n"/>
      <c r="AN70" s="978" t="n"/>
      <c r="AO70" s="978" t="n"/>
      <c r="AP70" s="981" t="n"/>
      <c r="AQ70" s="978" t="n"/>
      <c r="AR70" s="978" t="n"/>
      <c r="AS70" s="978" t="n"/>
      <c r="AT70" s="978" t="n"/>
      <c r="AU70" s="978" t="n"/>
      <c r="AV70" s="978" t="n"/>
      <c r="AW70" s="978" t="n"/>
      <c r="AX70" s="978" t="n"/>
      <c r="AY70" s="978" t="n"/>
      <c r="AZ70" s="412">
        <f>(($E$70)*($G$11))</f>
        <v/>
      </c>
      <c r="BA70" s="135">
        <f>(($E$70)*($G$11))</f>
        <v/>
      </c>
      <c r="BB70" s="412">
        <f>(($E$70)*($G$11))</f>
        <v/>
      </c>
      <c r="BC70" s="415">
        <f>(($E$70)*($G$11))</f>
        <v/>
      </c>
      <c r="BD70" s="135">
        <f>(($E$70)*($G$11))</f>
        <v/>
      </c>
      <c r="BE70" s="135">
        <f>(($E$70)*($G$11))</f>
        <v/>
      </c>
      <c r="BF70" s="135">
        <f>(($E$70)*($G$11))</f>
        <v/>
      </c>
      <c r="BG70" s="135">
        <f>(($E$70)*($G$11))</f>
        <v/>
      </c>
      <c r="BH70" s="135">
        <f>(($E$70)*($G$11))</f>
        <v/>
      </c>
      <c r="BI70" s="135">
        <f>(($E$70)*($G$11))</f>
        <v/>
      </c>
      <c r="BJ70" s="135">
        <f>(($E$70)*($G$11))</f>
        <v/>
      </c>
      <c r="BK70" s="135">
        <f>(($E$70)*($G$11))</f>
        <v/>
      </c>
      <c r="BL70" s="135">
        <f>(($E$70)*($G$11))</f>
        <v/>
      </c>
      <c r="BM70" s="135">
        <f>(($E$70)*($G$11))</f>
        <v/>
      </c>
      <c r="BN70" s="135">
        <f>(($E$70)*($G$11))</f>
        <v/>
      </c>
      <c r="BO70" s="415">
        <f>(($E$70)*($G$11))</f>
        <v/>
      </c>
      <c r="BP70" s="135">
        <f>(($E$70)*($G$11))</f>
        <v/>
      </c>
      <c r="BQ70" s="135">
        <f>(($E$70)*($G$11))</f>
        <v/>
      </c>
      <c r="BR70" s="135">
        <f>(($E$70)*($G$11))</f>
        <v/>
      </c>
      <c r="BS70" s="135">
        <f>(($E$70)*($G$11))</f>
        <v/>
      </c>
      <c r="BT70" s="135">
        <f>(($E$70)*($G$11))</f>
        <v/>
      </c>
      <c r="BU70" s="135">
        <f>(($E$70)*($G$11))</f>
        <v/>
      </c>
      <c r="BV70" s="135">
        <f>(($E$70)*($G$11))</f>
        <v/>
      </c>
      <c r="BW70" s="135">
        <f>(($E$70)*($G$11))</f>
        <v/>
      </c>
      <c r="BX70" s="878" t="n"/>
      <c r="BY70" s="878" t="n"/>
      <c r="BZ70" s="878" t="n"/>
      <c r="CA70" s="932" t="n"/>
      <c r="CB70" s="136">
        <f>SUM(G70:BZ70)</f>
        <v/>
      </c>
      <c r="CC70" s="932" t="n"/>
      <c r="CD70" s="135">
        <f>(E70)</f>
        <v/>
      </c>
      <c r="CE70" s="136">
        <f>((CD70)-(CB70))</f>
        <v/>
      </c>
      <c r="CF70" s="876">
        <f>((CE70)/(CD70))</f>
        <v/>
      </c>
    </row>
    <row r="71">
      <c r="D71" s="149" t="inlineStr">
        <is>
          <t>Month 46</t>
        </is>
      </c>
      <c r="E71" s="138">
        <f>'3C. Tel. - Revenue Drivers - 1 '!S25</f>
        <v/>
      </c>
      <c r="F71" s="1968" t="n"/>
      <c r="G71" s="978" t="n"/>
      <c r="H71" s="978" t="n"/>
      <c r="I71" s="978" t="n"/>
      <c r="J71" s="978" t="n"/>
      <c r="K71" s="978" t="n"/>
      <c r="L71" s="978" t="n"/>
      <c r="M71" s="978" t="n"/>
      <c r="N71" s="978" t="n"/>
      <c r="O71" s="978" t="n"/>
      <c r="P71" s="978" t="n"/>
      <c r="Q71" s="978" t="n"/>
      <c r="R71" s="981" t="n"/>
      <c r="S71" s="978" t="n"/>
      <c r="T71" s="978" t="n"/>
      <c r="U71" s="978" t="n"/>
      <c r="V71" s="978" t="n"/>
      <c r="W71" s="978" t="n"/>
      <c r="X71" s="978" t="n"/>
      <c r="Y71" s="978" t="n"/>
      <c r="Z71" s="978" t="n"/>
      <c r="AA71" s="978" t="n"/>
      <c r="AB71" s="978" t="n"/>
      <c r="AC71" s="978" t="n"/>
      <c r="AD71" s="981" t="n"/>
      <c r="AE71" s="978" t="n"/>
      <c r="AF71" s="978" t="n"/>
      <c r="AG71" s="978" t="n"/>
      <c r="AH71" s="978" t="n"/>
      <c r="AI71" s="978" t="n"/>
      <c r="AJ71" s="978" t="n"/>
      <c r="AK71" s="978" t="n"/>
      <c r="AL71" s="978" t="n"/>
      <c r="AM71" s="978" t="n"/>
      <c r="AN71" s="978" t="n"/>
      <c r="AO71" s="978" t="n"/>
      <c r="AP71" s="981" t="n"/>
      <c r="AQ71" s="978" t="n"/>
      <c r="AR71" s="978" t="n"/>
      <c r="AS71" s="978" t="n"/>
      <c r="AT71" s="978" t="n"/>
      <c r="AU71" s="978" t="n"/>
      <c r="AV71" s="978" t="n"/>
      <c r="AW71" s="978" t="n"/>
      <c r="AX71" s="978" t="n"/>
      <c r="AY71" s="978" t="n"/>
      <c r="AZ71" s="978" t="n"/>
      <c r="BA71" s="412">
        <f>(($E$71)*($G$11))</f>
        <v/>
      </c>
      <c r="BB71" s="412">
        <f>(($E$71)*($G$11))</f>
        <v/>
      </c>
      <c r="BC71" s="415">
        <f>(($E$71)*($G$11))</f>
        <v/>
      </c>
      <c r="BD71" s="135">
        <f>(($E$71)*($G$11))</f>
        <v/>
      </c>
      <c r="BE71" s="135">
        <f>(($E$71)*($G$11))</f>
        <v/>
      </c>
      <c r="BF71" s="135">
        <f>(($E$71)*($G$11))</f>
        <v/>
      </c>
      <c r="BG71" s="135">
        <f>(($E$71)*($G$11))</f>
        <v/>
      </c>
      <c r="BH71" s="135">
        <f>(($E$71)*($G$11))</f>
        <v/>
      </c>
      <c r="BI71" s="135">
        <f>(($E$71)*($G$11))</f>
        <v/>
      </c>
      <c r="BJ71" s="135">
        <f>(($E$71)*($G$11))</f>
        <v/>
      </c>
      <c r="BK71" s="135">
        <f>(($E$71)*($G$11))</f>
        <v/>
      </c>
      <c r="BL71" s="135">
        <f>(($E$71)*($G$11))</f>
        <v/>
      </c>
      <c r="BM71" s="135">
        <f>(($E$71)*($G$11))</f>
        <v/>
      </c>
      <c r="BN71" s="135">
        <f>(($E$71)*($G$11))</f>
        <v/>
      </c>
      <c r="BO71" s="415">
        <f>(($E$71)*($G$11))</f>
        <v/>
      </c>
      <c r="BP71" s="135">
        <f>(($E$71)*($G$11))</f>
        <v/>
      </c>
      <c r="BQ71" s="135">
        <f>(($E$71)*($G$11))</f>
        <v/>
      </c>
      <c r="BR71" s="135">
        <f>(($E$71)*($G$11))</f>
        <v/>
      </c>
      <c r="BS71" s="135">
        <f>(($E$71)*($G$11))</f>
        <v/>
      </c>
      <c r="BT71" s="135">
        <f>(($E$71)*($G$11))</f>
        <v/>
      </c>
      <c r="BU71" s="135">
        <f>(($E$71)*($G$11))</f>
        <v/>
      </c>
      <c r="BV71" s="135">
        <f>(($E$71)*($G$11))</f>
        <v/>
      </c>
      <c r="BW71" s="135">
        <f>(($E$71)*($G$11))</f>
        <v/>
      </c>
      <c r="BX71" s="135">
        <f>(($E$71)*($G$11))</f>
        <v/>
      </c>
      <c r="BY71" s="878" t="n"/>
      <c r="BZ71" s="878" t="n"/>
      <c r="CA71" s="932" t="n"/>
      <c r="CB71" s="136">
        <f>SUM(G71:BZ71)</f>
        <v/>
      </c>
      <c r="CC71" s="932" t="n"/>
      <c r="CD71" s="135">
        <f>(E71)</f>
        <v/>
      </c>
      <c r="CE71" s="136">
        <f>((CD71)-(CB71))</f>
        <v/>
      </c>
      <c r="CF71" s="876">
        <f>((CE71)/(CD71))</f>
        <v/>
      </c>
    </row>
    <row r="72">
      <c r="D72" s="149" t="inlineStr">
        <is>
          <t>Month 47</t>
        </is>
      </c>
      <c r="E72" s="138">
        <f>'3C. Tel. - Revenue Drivers - 1 '!T25</f>
        <v/>
      </c>
      <c r="F72" s="1968" t="n"/>
      <c r="G72" s="978" t="n"/>
      <c r="H72" s="978" t="n"/>
      <c r="I72" s="978" t="n"/>
      <c r="J72" s="978" t="n"/>
      <c r="K72" s="978" t="n"/>
      <c r="L72" s="978" t="n"/>
      <c r="M72" s="978" t="n"/>
      <c r="N72" s="978" t="n"/>
      <c r="O72" s="978" t="n"/>
      <c r="P72" s="978" t="n"/>
      <c r="Q72" s="978" t="n"/>
      <c r="R72" s="981" t="n"/>
      <c r="S72" s="978" t="n"/>
      <c r="T72" s="978" t="n"/>
      <c r="U72" s="978" t="n"/>
      <c r="V72" s="978" t="n"/>
      <c r="W72" s="978" t="n"/>
      <c r="X72" s="978" t="n"/>
      <c r="Y72" s="978" t="n"/>
      <c r="Z72" s="978" t="n"/>
      <c r="AA72" s="978" t="n"/>
      <c r="AB72" s="978" t="n"/>
      <c r="AC72" s="978" t="n"/>
      <c r="AD72" s="981" t="n"/>
      <c r="AE72" s="978" t="n"/>
      <c r="AF72" s="978" t="n"/>
      <c r="AG72" s="978" t="n"/>
      <c r="AH72" s="978" t="n"/>
      <c r="AI72" s="978" t="n"/>
      <c r="AJ72" s="978" t="n"/>
      <c r="AK72" s="978" t="n"/>
      <c r="AL72" s="978" t="n"/>
      <c r="AM72" s="978" t="n"/>
      <c r="AN72" s="978" t="n"/>
      <c r="AO72" s="978" t="n"/>
      <c r="AP72" s="981" t="n"/>
      <c r="AQ72" s="978" t="n"/>
      <c r="AR72" s="978" t="n"/>
      <c r="AS72" s="978" t="n"/>
      <c r="AT72" s="978" t="n"/>
      <c r="AU72" s="978" t="n"/>
      <c r="AV72" s="978" t="n"/>
      <c r="AW72" s="978" t="n"/>
      <c r="AX72" s="978" t="n"/>
      <c r="AY72" s="978" t="n"/>
      <c r="AZ72" s="978" t="n"/>
      <c r="BA72" s="978" t="n"/>
      <c r="BB72" s="412">
        <f>(($E$72)*($G$11))</f>
        <v/>
      </c>
      <c r="BC72" s="415">
        <f>(($E$72)*($G$11))</f>
        <v/>
      </c>
      <c r="BD72" s="135">
        <f>(($E$72)*($G$11))</f>
        <v/>
      </c>
      <c r="BE72" s="135">
        <f>(($E$72)*($G$11))</f>
        <v/>
      </c>
      <c r="BF72" s="135">
        <f>(($E$72)*($G$11))</f>
        <v/>
      </c>
      <c r="BG72" s="135">
        <f>(($E$72)*($G$11))</f>
        <v/>
      </c>
      <c r="BH72" s="135">
        <f>(($E$72)*($G$11))</f>
        <v/>
      </c>
      <c r="BI72" s="135">
        <f>(($E$72)*($G$11))</f>
        <v/>
      </c>
      <c r="BJ72" s="135">
        <f>(($E$72)*($G$11))</f>
        <v/>
      </c>
      <c r="BK72" s="135">
        <f>(($E$72)*($G$11))</f>
        <v/>
      </c>
      <c r="BL72" s="135">
        <f>(($E$72)*($G$11))</f>
        <v/>
      </c>
      <c r="BM72" s="135">
        <f>(($E$72)*($G$11))</f>
        <v/>
      </c>
      <c r="BN72" s="135">
        <f>(($E$72)*($G$11))</f>
        <v/>
      </c>
      <c r="BO72" s="415">
        <f>(($E$72)*($G$11))</f>
        <v/>
      </c>
      <c r="BP72" s="135">
        <f>(($E$72)*($G$11))</f>
        <v/>
      </c>
      <c r="BQ72" s="135">
        <f>(($E$72)*($G$11))</f>
        <v/>
      </c>
      <c r="BR72" s="135">
        <f>(($E$72)*($G$11))</f>
        <v/>
      </c>
      <c r="BS72" s="135">
        <f>(($E$72)*($G$11))</f>
        <v/>
      </c>
      <c r="BT72" s="135">
        <f>(($E$72)*($G$11))</f>
        <v/>
      </c>
      <c r="BU72" s="135">
        <f>(($E$72)*($G$11))</f>
        <v/>
      </c>
      <c r="BV72" s="135">
        <f>(($E$72)*($G$11))</f>
        <v/>
      </c>
      <c r="BW72" s="135">
        <f>(($E$72)*($G$11))</f>
        <v/>
      </c>
      <c r="BX72" s="135">
        <f>(($E$72)*($G$11))</f>
        <v/>
      </c>
      <c r="BY72" s="135">
        <f>(($E$72)*($G$11))</f>
        <v/>
      </c>
      <c r="BZ72" s="135">
        <f>(($E$72)*($G$11))</f>
        <v/>
      </c>
      <c r="CA72" s="932" t="n"/>
      <c r="CB72" s="136">
        <f>SUM(G72:BZ72)</f>
        <v/>
      </c>
      <c r="CC72" s="932" t="n"/>
      <c r="CD72" s="135">
        <f>(E72)</f>
        <v/>
      </c>
      <c r="CE72" s="136">
        <f>((CD72)-(CB72))</f>
        <v/>
      </c>
      <c r="CF72" s="876">
        <f>((CE72)/(CD72))</f>
        <v/>
      </c>
    </row>
    <row r="73">
      <c r="D73" s="149" t="inlineStr">
        <is>
          <t>Month 48</t>
        </is>
      </c>
      <c r="E73" s="138">
        <f>'3C. Tel. - Revenue Drivers - 1 '!U25</f>
        <v/>
      </c>
      <c r="F73" s="1968" t="n"/>
      <c r="G73" s="978" t="n"/>
      <c r="H73" s="978" t="n"/>
      <c r="I73" s="978" t="n"/>
      <c r="J73" s="978" t="n"/>
      <c r="K73" s="978" t="n"/>
      <c r="L73" s="978" t="n"/>
      <c r="M73" s="978" t="n"/>
      <c r="N73" s="978" t="n"/>
      <c r="O73" s="978" t="n"/>
      <c r="P73" s="978" t="n"/>
      <c r="Q73" s="978" t="n"/>
      <c r="R73" s="981" t="n"/>
      <c r="S73" s="978" t="n"/>
      <c r="T73" s="978" t="n"/>
      <c r="U73" s="978" t="n"/>
      <c r="V73" s="978" t="n"/>
      <c r="W73" s="978" t="n"/>
      <c r="X73" s="978" t="n"/>
      <c r="Y73" s="978" t="n"/>
      <c r="Z73" s="978" t="n"/>
      <c r="AA73" s="978" t="n"/>
      <c r="AB73" s="978" t="n"/>
      <c r="AC73" s="978" t="n"/>
      <c r="AD73" s="981" t="n"/>
      <c r="AE73" s="978" t="n"/>
      <c r="AF73" s="978" t="n"/>
      <c r="AG73" s="978" t="n"/>
      <c r="AH73" s="978" t="n"/>
      <c r="AI73" s="978" t="n"/>
      <c r="AJ73" s="978" t="n"/>
      <c r="AK73" s="978" t="n"/>
      <c r="AL73" s="978" t="n"/>
      <c r="AM73" s="978" t="n"/>
      <c r="AN73" s="978" t="n"/>
      <c r="AO73" s="978" t="n"/>
      <c r="AP73" s="981" t="n"/>
      <c r="AQ73" s="978" t="n"/>
      <c r="AR73" s="978" t="n"/>
      <c r="AS73" s="978" t="n"/>
      <c r="AT73" s="978" t="n"/>
      <c r="AU73" s="978" t="n"/>
      <c r="AV73" s="978" t="n"/>
      <c r="AW73" s="978" t="n"/>
      <c r="AX73" s="978" t="n"/>
      <c r="AY73" s="978" t="n"/>
      <c r="AZ73" s="978" t="n"/>
      <c r="BA73" s="978" t="n"/>
      <c r="BB73" s="978" t="n"/>
      <c r="BC73" s="415">
        <f>(($E$73)*($G$11))</f>
        <v/>
      </c>
      <c r="BD73" s="135">
        <f>(($E$73)*($G$11))</f>
        <v/>
      </c>
      <c r="BE73" s="135">
        <f>(($E$73)*($G$11))</f>
        <v/>
      </c>
      <c r="BF73" s="135">
        <f>(($E$73)*($G$11))</f>
        <v/>
      </c>
      <c r="BG73" s="135">
        <f>(($E$73)*($G$11))</f>
        <v/>
      </c>
      <c r="BH73" s="135">
        <f>(($E$73)*($G$11))</f>
        <v/>
      </c>
      <c r="BI73" s="135">
        <f>(($E$73)*($G$11))</f>
        <v/>
      </c>
      <c r="BJ73" s="135">
        <f>(($E$73)*($G$11))</f>
        <v/>
      </c>
      <c r="BK73" s="135">
        <f>(($E$73)*($G$11))</f>
        <v/>
      </c>
      <c r="BL73" s="135">
        <f>(($E$73)*($G$11))</f>
        <v/>
      </c>
      <c r="BM73" s="135">
        <f>(($E$73)*($G$11))</f>
        <v/>
      </c>
      <c r="BN73" s="135">
        <f>(($E$73)*($G$11))</f>
        <v/>
      </c>
      <c r="BO73" s="415">
        <f>(($E$73)*($G$11))</f>
        <v/>
      </c>
      <c r="BP73" s="135">
        <f>(($E$73)*($G$11))</f>
        <v/>
      </c>
      <c r="BQ73" s="135">
        <f>(($E$73)*($G$11))</f>
        <v/>
      </c>
      <c r="BR73" s="135">
        <f>(($E$73)*($G$11))</f>
        <v/>
      </c>
      <c r="BS73" s="135">
        <f>(($E$73)*($G$11))</f>
        <v/>
      </c>
      <c r="BT73" s="135">
        <f>(($E$73)*($G$11))</f>
        <v/>
      </c>
      <c r="BU73" s="135">
        <f>(($E$73)*($G$11))</f>
        <v/>
      </c>
      <c r="BV73" s="135">
        <f>(($E$73)*($G$11))</f>
        <v/>
      </c>
      <c r="BW73" s="135">
        <f>(($E$73)*($G$11))</f>
        <v/>
      </c>
      <c r="BX73" s="135">
        <f>(($E$73)*($G$11))</f>
        <v/>
      </c>
      <c r="BY73" s="135">
        <f>(($E$73)*($G$11))</f>
        <v/>
      </c>
      <c r="BZ73" s="135">
        <f>(($E$73)*($G$11))</f>
        <v/>
      </c>
      <c r="CA73" s="932" t="n"/>
      <c r="CB73" s="136">
        <f>SUM(G73:BZ73)</f>
        <v/>
      </c>
      <c r="CC73" s="932" t="n"/>
      <c r="CD73" s="135">
        <f>(E73)</f>
        <v/>
      </c>
      <c r="CE73" s="136">
        <f>((CD73)-(CB73))</f>
        <v/>
      </c>
      <c r="CF73" s="876">
        <f>((CE73)/(CD73))</f>
        <v/>
      </c>
    </row>
    <row r="74">
      <c r="D74" s="149" t="inlineStr">
        <is>
          <t>Month 49</t>
        </is>
      </c>
      <c r="E74" s="138">
        <f>'3C. Tel. - Revenue Drivers - 1 '!J26</f>
        <v/>
      </c>
      <c r="F74" s="1968" t="n"/>
      <c r="G74" s="978" t="n"/>
      <c r="H74" s="978" t="n"/>
      <c r="I74" s="978" t="n"/>
      <c r="J74" s="978" t="n"/>
      <c r="K74" s="978" t="n"/>
      <c r="L74" s="978" t="n"/>
      <c r="M74" s="978" t="n"/>
      <c r="N74" s="978" t="n"/>
      <c r="O74" s="978" t="n"/>
      <c r="P74" s="978" t="n"/>
      <c r="Q74" s="978" t="n"/>
      <c r="R74" s="981" t="n"/>
      <c r="S74" s="978" t="n"/>
      <c r="T74" s="978" t="n"/>
      <c r="U74" s="978" t="n"/>
      <c r="V74" s="978" t="n"/>
      <c r="W74" s="978" t="n"/>
      <c r="X74" s="978" t="n"/>
      <c r="Y74" s="978" t="n"/>
      <c r="Z74" s="978" t="n"/>
      <c r="AA74" s="978" t="n"/>
      <c r="AB74" s="978" t="n"/>
      <c r="AC74" s="978" t="n"/>
      <c r="AD74" s="981" t="n"/>
      <c r="AE74" s="978" t="n"/>
      <c r="AF74" s="978" t="n"/>
      <c r="AG74" s="978" t="n"/>
      <c r="AH74" s="978" t="n"/>
      <c r="AI74" s="978" t="n"/>
      <c r="AJ74" s="978" t="n"/>
      <c r="AK74" s="978" t="n"/>
      <c r="AL74" s="978" t="n"/>
      <c r="AM74" s="978" t="n"/>
      <c r="AN74" s="978" t="n"/>
      <c r="AO74" s="978" t="n"/>
      <c r="AP74" s="981" t="n"/>
      <c r="AQ74" s="978" t="n"/>
      <c r="AR74" s="978" t="n"/>
      <c r="AS74" s="978" t="n"/>
      <c r="AT74" s="978" t="n"/>
      <c r="AU74" s="978" t="n"/>
      <c r="AV74" s="978" t="n"/>
      <c r="AW74" s="978" t="n"/>
      <c r="AX74" s="978" t="n"/>
      <c r="AY74" s="978" t="n"/>
      <c r="AZ74" s="978" t="n"/>
      <c r="BA74" s="978" t="n"/>
      <c r="BB74" s="978" t="n"/>
      <c r="BC74" s="982" t="n"/>
      <c r="BD74" s="412">
        <f>(($E$74)*($G$11))</f>
        <v/>
      </c>
      <c r="BE74" s="135">
        <f>(($E$74)*($G$11))</f>
        <v/>
      </c>
      <c r="BF74" s="135">
        <f>(($E$74)*($G$11))</f>
        <v/>
      </c>
      <c r="BG74" s="135">
        <f>(($E$74)*($G$11))</f>
        <v/>
      </c>
      <c r="BH74" s="135">
        <f>(($E$74)*($G$11))</f>
        <v/>
      </c>
      <c r="BI74" s="135">
        <f>(($E$74)*($G$11))</f>
        <v/>
      </c>
      <c r="BJ74" s="135">
        <f>(($E$74)*($G$11))</f>
        <v/>
      </c>
      <c r="BK74" s="135">
        <f>(($E$74)*($G$11))</f>
        <v/>
      </c>
      <c r="BL74" s="135">
        <f>(($E$74)*($G$11))</f>
        <v/>
      </c>
      <c r="BM74" s="135">
        <f>(($E$74)*($G$11))</f>
        <v/>
      </c>
      <c r="BN74" s="135">
        <f>(($E$74)*($G$11))</f>
        <v/>
      </c>
      <c r="BO74" s="415">
        <f>(($E$74)*($G$11))</f>
        <v/>
      </c>
      <c r="BP74" s="135">
        <f>(($E$74)*($G$11))</f>
        <v/>
      </c>
      <c r="BQ74" s="135">
        <f>(($E$74)*($G$11))</f>
        <v/>
      </c>
      <c r="BR74" s="135">
        <f>(($E$74)*($G$11))</f>
        <v/>
      </c>
      <c r="BS74" s="135">
        <f>(($E$74)*($G$11))</f>
        <v/>
      </c>
      <c r="BT74" s="135">
        <f>(($E$74)*($G$11))</f>
        <v/>
      </c>
      <c r="BU74" s="135">
        <f>(($E$74)*($G$11))</f>
        <v/>
      </c>
      <c r="BV74" s="135">
        <f>(($E$74)*($G$11))</f>
        <v/>
      </c>
      <c r="BW74" s="135">
        <f>(($E$74)*($G$11))</f>
        <v/>
      </c>
      <c r="BX74" s="135">
        <f>(($E$74)*($G$11))</f>
        <v/>
      </c>
      <c r="BY74" s="135">
        <f>(($E$74)*($G$11))</f>
        <v/>
      </c>
      <c r="BZ74" s="135">
        <f>(($E$74)*($G$11))</f>
        <v/>
      </c>
      <c r="CA74" s="932" t="n"/>
      <c r="CB74" s="136">
        <f>SUM(G74:BZ74)</f>
        <v/>
      </c>
      <c r="CC74" s="932" t="n"/>
      <c r="CD74" s="135">
        <f>(E74)</f>
        <v/>
      </c>
      <c r="CE74" s="136">
        <f>((CD74)-(CB74))</f>
        <v/>
      </c>
      <c r="CF74" s="876">
        <f>((CE74)/(CD74))</f>
        <v/>
      </c>
    </row>
    <row r="75">
      <c r="D75" s="149" t="inlineStr">
        <is>
          <t>Month 50</t>
        </is>
      </c>
      <c r="E75" s="138">
        <f>'3C. Tel. - Revenue Drivers - 1 '!K26</f>
        <v/>
      </c>
      <c r="F75" s="1968" t="n"/>
      <c r="G75" s="978" t="n"/>
      <c r="H75" s="978" t="n"/>
      <c r="I75" s="978" t="n"/>
      <c r="J75" s="978" t="n"/>
      <c r="K75" s="978" t="n"/>
      <c r="L75" s="978" t="n"/>
      <c r="M75" s="978" t="n"/>
      <c r="N75" s="978" t="n"/>
      <c r="O75" s="978" t="n"/>
      <c r="P75" s="978" t="n"/>
      <c r="Q75" s="978" t="n"/>
      <c r="R75" s="981" t="n"/>
      <c r="S75" s="978" t="n"/>
      <c r="T75" s="978" t="n"/>
      <c r="U75" s="978" t="n"/>
      <c r="V75" s="978" t="n"/>
      <c r="W75" s="978" t="n"/>
      <c r="X75" s="978" t="n"/>
      <c r="Y75" s="978" t="n"/>
      <c r="Z75" s="978" t="n"/>
      <c r="AA75" s="978" t="n"/>
      <c r="AB75" s="978" t="n"/>
      <c r="AC75" s="978" t="n"/>
      <c r="AD75" s="981" t="n"/>
      <c r="AE75" s="978" t="n"/>
      <c r="AF75" s="978" t="n"/>
      <c r="AG75" s="978" t="n"/>
      <c r="AH75" s="978" t="n"/>
      <c r="AI75" s="978" t="n"/>
      <c r="AJ75" s="978" t="n"/>
      <c r="AK75" s="978" t="n"/>
      <c r="AL75" s="978" t="n"/>
      <c r="AM75" s="978" t="n"/>
      <c r="AN75" s="978" t="n"/>
      <c r="AO75" s="978" t="n"/>
      <c r="AP75" s="981" t="n"/>
      <c r="AQ75" s="978" t="n"/>
      <c r="AR75" s="978" t="n"/>
      <c r="AS75" s="978" t="n"/>
      <c r="AT75" s="978" t="n"/>
      <c r="AU75" s="978" t="n"/>
      <c r="AV75" s="978" t="n"/>
      <c r="AW75" s="978" t="n"/>
      <c r="AX75" s="978" t="n"/>
      <c r="AY75" s="978" t="n"/>
      <c r="AZ75" s="978" t="n"/>
      <c r="BA75" s="978" t="n"/>
      <c r="BB75" s="978" t="n"/>
      <c r="BC75" s="982" t="n"/>
      <c r="BD75" s="978" t="n"/>
      <c r="BE75" s="412">
        <f>(($E$75)*($G$11))</f>
        <v/>
      </c>
      <c r="BF75" s="135">
        <f>(($E$75)*($G$11))</f>
        <v/>
      </c>
      <c r="BG75" s="135">
        <f>(($E$75)*($G$11))</f>
        <v/>
      </c>
      <c r="BH75" s="135">
        <f>(($E$75)*($G$11))</f>
        <v/>
      </c>
      <c r="BI75" s="135">
        <f>(($E$75)*($G$11))</f>
        <v/>
      </c>
      <c r="BJ75" s="135">
        <f>(($E$75)*($G$11))</f>
        <v/>
      </c>
      <c r="BK75" s="135">
        <f>(($E$75)*($G$11))</f>
        <v/>
      </c>
      <c r="BL75" s="135">
        <f>(($E$75)*($G$11))</f>
        <v/>
      </c>
      <c r="BM75" s="135">
        <f>(($E$75)*($G$11))</f>
        <v/>
      </c>
      <c r="BN75" s="135">
        <f>(($E$75)*($G$11))</f>
        <v/>
      </c>
      <c r="BO75" s="415">
        <f>(($E$75)*($G$11))</f>
        <v/>
      </c>
      <c r="BP75" s="135">
        <f>(($E$75)*($G$11))</f>
        <v/>
      </c>
      <c r="BQ75" s="135">
        <f>(($E$75)*($G$11))</f>
        <v/>
      </c>
      <c r="BR75" s="135">
        <f>(($E$75)*($G$11))</f>
        <v/>
      </c>
      <c r="BS75" s="135">
        <f>(($E$75)*($G$11))</f>
        <v/>
      </c>
      <c r="BT75" s="135">
        <f>(($E$75)*($G$11))</f>
        <v/>
      </c>
      <c r="BU75" s="135">
        <f>(($E$75)*($G$11))</f>
        <v/>
      </c>
      <c r="BV75" s="135">
        <f>(($E$75)*($G$11))</f>
        <v/>
      </c>
      <c r="BW75" s="135">
        <f>(($E$75)*($G$11))</f>
        <v/>
      </c>
      <c r="BX75" s="135">
        <f>(($E$75)*($G$11))</f>
        <v/>
      </c>
      <c r="BY75" s="135">
        <f>(($E$75)*($G$11))</f>
        <v/>
      </c>
      <c r="BZ75" s="135">
        <f>(($E$75)*($G$11))</f>
        <v/>
      </c>
      <c r="CA75" s="932" t="n"/>
      <c r="CB75" s="136">
        <f>SUM(G75:BZ75)</f>
        <v/>
      </c>
      <c r="CC75" s="932" t="n"/>
      <c r="CD75" s="135">
        <f>(E75)</f>
        <v/>
      </c>
      <c r="CE75" s="136">
        <f>((CD75)-(CB75))</f>
        <v/>
      </c>
      <c r="CF75" s="876">
        <f>((CE75)/(CD75))</f>
        <v/>
      </c>
    </row>
    <row r="76">
      <c r="D76" s="149" t="inlineStr">
        <is>
          <t>Month 51</t>
        </is>
      </c>
      <c r="E76" s="138">
        <f>'3C. Tel. - Revenue Drivers - 1 '!L26</f>
        <v/>
      </c>
      <c r="F76" s="1968" t="n"/>
      <c r="G76" s="978" t="n"/>
      <c r="H76" s="978" t="n"/>
      <c r="I76" s="978" t="n"/>
      <c r="J76" s="978" t="n"/>
      <c r="K76" s="978" t="n"/>
      <c r="L76" s="978" t="n"/>
      <c r="M76" s="978" t="n"/>
      <c r="N76" s="978" t="n"/>
      <c r="O76" s="978" t="n"/>
      <c r="P76" s="978" t="n"/>
      <c r="Q76" s="978" t="n"/>
      <c r="R76" s="981" t="n"/>
      <c r="S76" s="978" t="n"/>
      <c r="T76" s="978" t="n"/>
      <c r="U76" s="978" t="n"/>
      <c r="V76" s="978" t="n"/>
      <c r="W76" s="978" t="n"/>
      <c r="X76" s="978" t="n"/>
      <c r="Y76" s="978" t="n"/>
      <c r="Z76" s="978" t="n"/>
      <c r="AA76" s="978" t="n"/>
      <c r="AB76" s="978" t="n"/>
      <c r="AC76" s="978" t="n"/>
      <c r="AD76" s="981" t="n"/>
      <c r="AE76" s="978" t="n"/>
      <c r="AF76" s="978" t="n"/>
      <c r="AG76" s="978" t="n"/>
      <c r="AH76" s="978" t="n"/>
      <c r="AI76" s="978" t="n"/>
      <c r="AJ76" s="978" t="n"/>
      <c r="AK76" s="978" t="n"/>
      <c r="AL76" s="978" t="n"/>
      <c r="AM76" s="978" t="n"/>
      <c r="AN76" s="978" t="n"/>
      <c r="AO76" s="978" t="n"/>
      <c r="AP76" s="981" t="n"/>
      <c r="AQ76" s="978" t="n"/>
      <c r="AR76" s="978" t="n"/>
      <c r="AS76" s="978" t="n"/>
      <c r="AT76" s="978" t="n"/>
      <c r="AU76" s="978" t="n"/>
      <c r="AV76" s="978" t="n"/>
      <c r="AW76" s="978" t="n"/>
      <c r="AX76" s="978" t="n"/>
      <c r="AY76" s="978" t="n"/>
      <c r="AZ76" s="978" t="n"/>
      <c r="BA76" s="978" t="n"/>
      <c r="BB76" s="978" t="n"/>
      <c r="BC76" s="982" t="n"/>
      <c r="BD76" s="978" t="n"/>
      <c r="BE76" s="978" t="n"/>
      <c r="BF76" s="412">
        <f>(($E$76)*($G$11))</f>
        <v/>
      </c>
      <c r="BG76" s="135">
        <f>(($E$76)*($G$11))</f>
        <v/>
      </c>
      <c r="BH76" s="135">
        <f>(($E$76)*($G$11))</f>
        <v/>
      </c>
      <c r="BI76" s="135">
        <f>(($E$76)*($G$11))</f>
        <v/>
      </c>
      <c r="BJ76" s="135">
        <f>(($E$76)*($G$11))</f>
        <v/>
      </c>
      <c r="BK76" s="135">
        <f>(($E$76)*($G$11))</f>
        <v/>
      </c>
      <c r="BL76" s="135">
        <f>(($E$76)*($G$11))</f>
        <v/>
      </c>
      <c r="BM76" s="135">
        <f>(($E$76)*($G$11))</f>
        <v/>
      </c>
      <c r="BN76" s="135">
        <f>(($E$76)*($G$11))</f>
        <v/>
      </c>
      <c r="BO76" s="415">
        <f>(($E$76)*($G$11))</f>
        <v/>
      </c>
      <c r="BP76" s="135">
        <f>(($E$76)*($G$11))</f>
        <v/>
      </c>
      <c r="BQ76" s="135">
        <f>(($E$76)*($G$11))</f>
        <v/>
      </c>
      <c r="BR76" s="135">
        <f>(($E$76)*($G$11))</f>
        <v/>
      </c>
      <c r="BS76" s="135">
        <f>(($E$76)*($G$11))</f>
        <v/>
      </c>
      <c r="BT76" s="135">
        <f>(($E$76)*($G$11))</f>
        <v/>
      </c>
      <c r="BU76" s="135">
        <f>(($E$76)*($G$11))</f>
        <v/>
      </c>
      <c r="BV76" s="135">
        <f>(($E$76)*($G$11))</f>
        <v/>
      </c>
      <c r="BW76" s="135">
        <f>(($E$76)*($G$11))</f>
        <v/>
      </c>
      <c r="BX76" s="135">
        <f>(($E$76)*($G$11))</f>
        <v/>
      </c>
      <c r="BY76" s="135">
        <f>(($E$76)*($G$11))</f>
        <v/>
      </c>
      <c r="BZ76" s="135">
        <f>(($E$76)*($G$11))</f>
        <v/>
      </c>
      <c r="CA76" s="932" t="n"/>
      <c r="CB76" s="136">
        <f>SUM(G76:BZ76)</f>
        <v/>
      </c>
      <c r="CC76" s="932" t="n"/>
      <c r="CD76" s="135">
        <f>(E76)</f>
        <v/>
      </c>
      <c r="CE76" s="136">
        <f>((CD76)-(CB76))</f>
        <v/>
      </c>
      <c r="CF76" s="876">
        <f>((CE76)/(CD76))</f>
        <v/>
      </c>
    </row>
    <row r="77">
      <c r="D77" s="149" t="inlineStr">
        <is>
          <t>Month 52</t>
        </is>
      </c>
      <c r="E77" s="138">
        <f>'3C. Tel. - Revenue Drivers - 1 '!M26</f>
        <v/>
      </c>
      <c r="F77" s="1968" t="n"/>
      <c r="G77" s="978" t="n"/>
      <c r="H77" s="978" t="n"/>
      <c r="I77" s="978" t="n"/>
      <c r="J77" s="978" t="n"/>
      <c r="K77" s="978" t="n"/>
      <c r="L77" s="978" t="n"/>
      <c r="M77" s="978" t="n"/>
      <c r="N77" s="978" t="n"/>
      <c r="O77" s="978" t="n"/>
      <c r="P77" s="978" t="n"/>
      <c r="Q77" s="978" t="n"/>
      <c r="R77" s="981" t="n"/>
      <c r="S77" s="978" t="n"/>
      <c r="T77" s="978" t="n"/>
      <c r="U77" s="978" t="n"/>
      <c r="V77" s="978" t="n"/>
      <c r="W77" s="978" t="n"/>
      <c r="X77" s="978" t="n"/>
      <c r="Y77" s="978" t="n"/>
      <c r="Z77" s="978" t="n"/>
      <c r="AA77" s="978" t="n"/>
      <c r="AB77" s="978" t="n"/>
      <c r="AC77" s="978" t="n"/>
      <c r="AD77" s="981" t="n"/>
      <c r="AE77" s="978" t="n"/>
      <c r="AF77" s="978" t="n"/>
      <c r="AG77" s="978" t="n"/>
      <c r="AH77" s="978" t="n"/>
      <c r="AI77" s="978" t="n"/>
      <c r="AJ77" s="978" t="n"/>
      <c r="AK77" s="978" t="n"/>
      <c r="AL77" s="978" t="n"/>
      <c r="AM77" s="978" t="n"/>
      <c r="AN77" s="978" t="n"/>
      <c r="AO77" s="978" t="n"/>
      <c r="AP77" s="981" t="n"/>
      <c r="AQ77" s="978" t="n"/>
      <c r="AR77" s="978" t="n"/>
      <c r="AS77" s="978" t="n"/>
      <c r="AT77" s="978" t="n"/>
      <c r="AU77" s="978" t="n"/>
      <c r="AV77" s="978" t="n"/>
      <c r="AW77" s="978" t="n"/>
      <c r="AX77" s="978" t="n"/>
      <c r="AY77" s="978" t="n"/>
      <c r="AZ77" s="978" t="n"/>
      <c r="BA77" s="978" t="n"/>
      <c r="BB77" s="978" t="n"/>
      <c r="BC77" s="982" t="n"/>
      <c r="BD77" s="978" t="n"/>
      <c r="BE77" s="978" t="n"/>
      <c r="BF77" s="978" t="n"/>
      <c r="BG77" s="412">
        <f>(($E$77)*($G$11))</f>
        <v/>
      </c>
      <c r="BH77" s="135">
        <f>(($E$77)*($G$11))</f>
        <v/>
      </c>
      <c r="BI77" s="135">
        <f>(($E$77)*($G$11))</f>
        <v/>
      </c>
      <c r="BJ77" s="135">
        <f>(($E$77)*($G$11))</f>
        <v/>
      </c>
      <c r="BK77" s="135">
        <f>(($E$77)*($G$11))</f>
        <v/>
      </c>
      <c r="BL77" s="135">
        <f>(($E$77)*($G$11))</f>
        <v/>
      </c>
      <c r="BM77" s="135">
        <f>(($E$77)*($G$11))</f>
        <v/>
      </c>
      <c r="BN77" s="135">
        <f>(($E$77)*($G$11))</f>
        <v/>
      </c>
      <c r="BO77" s="415">
        <f>(($E$77)*($G$11))</f>
        <v/>
      </c>
      <c r="BP77" s="135">
        <f>(($E$77)*($G$11))</f>
        <v/>
      </c>
      <c r="BQ77" s="135">
        <f>(($E$77)*($G$11))</f>
        <v/>
      </c>
      <c r="BR77" s="135">
        <f>(($E$77)*($G$11))</f>
        <v/>
      </c>
      <c r="BS77" s="135">
        <f>(($E$77)*($G$11))</f>
        <v/>
      </c>
      <c r="BT77" s="135">
        <f>(($E$77)*($G$11))</f>
        <v/>
      </c>
      <c r="BU77" s="135">
        <f>(($E$77)*($G$11))</f>
        <v/>
      </c>
      <c r="BV77" s="135">
        <f>(($E$77)*($G$11))</f>
        <v/>
      </c>
      <c r="BW77" s="135">
        <f>(($E$77)*($G$11))</f>
        <v/>
      </c>
      <c r="BX77" s="135">
        <f>(($E$77)*($G$11))</f>
        <v/>
      </c>
      <c r="BY77" s="135">
        <f>(($E$77)*($G$11))</f>
        <v/>
      </c>
      <c r="BZ77" s="135">
        <f>(($E$77)*($G$11))</f>
        <v/>
      </c>
      <c r="CA77" s="932" t="n"/>
      <c r="CB77" s="136">
        <f>SUM(G77:BZ77)</f>
        <v/>
      </c>
      <c r="CC77" s="932" t="n"/>
      <c r="CD77" s="135">
        <f>(E77)</f>
        <v/>
      </c>
      <c r="CE77" s="136">
        <f>((CD77)-(CB77))</f>
        <v/>
      </c>
      <c r="CF77" s="876">
        <f>((CE77)/(CD77))</f>
        <v/>
      </c>
    </row>
    <row r="78">
      <c r="D78" s="149" t="inlineStr">
        <is>
          <t>Month 53</t>
        </is>
      </c>
      <c r="E78" s="138">
        <f>'3C. Tel. - Revenue Drivers - 1 '!N26</f>
        <v/>
      </c>
      <c r="F78" s="1968" t="n"/>
      <c r="G78" s="978" t="n"/>
      <c r="H78" s="978" t="n"/>
      <c r="I78" s="978" t="n"/>
      <c r="J78" s="978" t="n"/>
      <c r="K78" s="978" t="n"/>
      <c r="L78" s="978" t="n"/>
      <c r="M78" s="978" t="n"/>
      <c r="N78" s="978" t="n"/>
      <c r="O78" s="978" t="n"/>
      <c r="P78" s="978" t="n"/>
      <c r="Q78" s="978" t="n"/>
      <c r="R78" s="981" t="n"/>
      <c r="S78" s="978" t="n"/>
      <c r="T78" s="978" t="n"/>
      <c r="U78" s="978" t="n"/>
      <c r="V78" s="978" t="n"/>
      <c r="W78" s="978" t="n"/>
      <c r="X78" s="978" t="n"/>
      <c r="Y78" s="978" t="n"/>
      <c r="Z78" s="978" t="n"/>
      <c r="AA78" s="978" t="n"/>
      <c r="AB78" s="978" t="n"/>
      <c r="AC78" s="978" t="n"/>
      <c r="AD78" s="981" t="n"/>
      <c r="AE78" s="978" t="n"/>
      <c r="AF78" s="978" t="n"/>
      <c r="AG78" s="978" t="n"/>
      <c r="AH78" s="978" t="n"/>
      <c r="AI78" s="978" t="n"/>
      <c r="AJ78" s="978" t="n"/>
      <c r="AK78" s="978" t="n"/>
      <c r="AL78" s="978" t="n"/>
      <c r="AM78" s="978" t="n"/>
      <c r="AN78" s="978" t="n"/>
      <c r="AO78" s="978" t="n"/>
      <c r="AP78" s="981" t="n"/>
      <c r="AQ78" s="978" t="n"/>
      <c r="AR78" s="978" t="n"/>
      <c r="AS78" s="978" t="n"/>
      <c r="AT78" s="978" t="n"/>
      <c r="AU78" s="978" t="n"/>
      <c r="AV78" s="978" t="n"/>
      <c r="AW78" s="978" t="n"/>
      <c r="AX78" s="978" t="n"/>
      <c r="AY78" s="978" t="n"/>
      <c r="AZ78" s="978" t="n"/>
      <c r="BA78" s="978" t="n"/>
      <c r="BB78" s="978" t="n"/>
      <c r="BC78" s="982" t="n"/>
      <c r="BD78" s="978" t="n"/>
      <c r="BE78" s="978" t="n"/>
      <c r="BF78" s="978" t="n"/>
      <c r="BG78" s="978" t="n"/>
      <c r="BH78" s="412">
        <f>(($E$78)*($G$11))</f>
        <v/>
      </c>
      <c r="BI78" s="135">
        <f>(($E$78)*($G$11))</f>
        <v/>
      </c>
      <c r="BJ78" s="135">
        <f>(($E$78)*($G$11))</f>
        <v/>
      </c>
      <c r="BK78" s="135">
        <f>(($E$78)*($G$11))</f>
        <v/>
      </c>
      <c r="BL78" s="135">
        <f>(($E$78)*($G$11))</f>
        <v/>
      </c>
      <c r="BM78" s="135">
        <f>(($E$78)*($G$11))</f>
        <v/>
      </c>
      <c r="BN78" s="135">
        <f>(($E$78)*($G$11))</f>
        <v/>
      </c>
      <c r="BO78" s="415">
        <f>(($E$78)*($G$11))</f>
        <v/>
      </c>
      <c r="BP78" s="135">
        <f>(($E$78)*($G$11))</f>
        <v/>
      </c>
      <c r="BQ78" s="135">
        <f>(($E$78)*($G$11))</f>
        <v/>
      </c>
      <c r="BR78" s="135">
        <f>(($E$78)*($G$11))</f>
        <v/>
      </c>
      <c r="BS78" s="135">
        <f>(($E$78)*($G$11))</f>
        <v/>
      </c>
      <c r="BT78" s="135">
        <f>(($E$78)*($G$11))</f>
        <v/>
      </c>
      <c r="BU78" s="135">
        <f>(($E$78)*($G$11))</f>
        <v/>
      </c>
      <c r="BV78" s="135">
        <f>(($E$78)*($G$11))</f>
        <v/>
      </c>
      <c r="BW78" s="135">
        <f>(($E$78)*($G$11))</f>
        <v/>
      </c>
      <c r="BX78" s="135">
        <f>(($E$78)*($G$11))</f>
        <v/>
      </c>
      <c r="BY78" s="135">
        <f>(($E$78)*($G$11))</f>
        <v/>
      </c>
      <c r="BZ78" s="135">
        <f>(($E$78)*($G$11))</f>
        <v/>
      </c>
      <c r="CA78" s="932" t="n"/>
      <c r="CB78" s="136">
        <f>SUM(G78:BZ78)</f>
        <v/>
      </c>
      <c r="CC78" s="932" t="n"/>
      <c r="CD78" s="135">
        <f>(E78)</f>
        <v/>
      </c>
      <c r="CE78" s="136">
        <f>((CD78)-(CB78))</f>
        <v/>
      </c>
      <c r="CF78" s="876">
        <f>((CE78)/(CD78))</f>
        <v/>
      </c>
    </row>
    <row r="79">
      <c r="D79" s="149" t="inlineStr">
        <is>
          <t>Month 54</t>
        </is>
      </c>
      <c r="E79" s="138">
        <f>'3C. Tel. - Revenue Drivers - 1 '!O26</f>
        <v/>
      </c>
      <c r="F79" s="1968" t="n"/>
      <c r="G79" s="978" t="n"/>
      <c r="H79" s="978" t="n"/>
      <c r="I79" s="978" t="n"/>
      <c r="J79" s="978" t="n"/>
      <c r="K79" s="978" t="n"/>
      <c r="L79" s="978" t="n"/>
      <c r="M79" s="978" t="n"/>
      <c r="N79" s="978" t="n"/>
      <c r="O79" s="978" t="n"/>
      <c r="P79" s="978" t="n"/>
      <c r="Q79" s="978" t="n"/>
      <c r="R79" s="981" t="n"/>
      <c r="S79" s="978" t="n"/>
      <c r="T79" s="978" t="n"/>
      <c r="U79" s="978" t="n"/>
      <c r="V79" s="978" t="n"/>
      <c r="W79" s="978" t="n"/>
      <c r="X79" s="978" t="n"/>
      <c r="Y79" s="978" t="n"/>
      <c r="Z79" s="978" t="n"/>
      <c r="AA79" s="978" t="n"/>
      <c r="AB79" s="978" t="n"/>
      <c r="AC79" s="978" t="n"/>
      <c r="AD79" s="981" t="n"/>
      <c r="AE79" s="978" t="n"/>
      <c r="AF79" s="978" t="n"/>
      <c r="AG79" s="978" t="n"/>
      <c r="AH79" s="978" t="n"/>
      <c r="AI79" s="978" t="n"/>
      <c r="AJ79" s="978" t="n"/>
      <c r="AK79" s="978" t="n"/>
      <c r="AL79" s="978" t="n"/>
      <c r="AM79" s="978" t="n"/>
      <c r="AN79" s="978" t="n"/>
      <c r="AO79" s="978" t="n"/>
      <c r="AP79" s="981" t="n"/>
      <c r="AQ79" s="978" t="n"/>
      <c r="AR79" s="978" t="n"/>
      <c r="AS79" s="978" t="n"/>
      <c r="AT79" s="978" t="n"/>
      <c r="AU79" s="978" t="n"/>
      <c r="AV79" s="978" t="n"/>
      <c r="AW79" s="978" t="n"/>
      <c r="AX79" s="978" t="n"/>
      <c r="AY79" s="978" t="n"/>
      <c r="AZ79" s="978" t="n"/>
      <c r="BA79" s="978" t="n"/>
      <c r="BB79" s="978" t="n"/>
      <c r="BC79" s="982" t="n"/>
      <c r="BD79" s="978" t="n"/>
      <c r="BE79" s="978" t="n"/>
      <c r="BF79" s="978" t="n"/>
      <c r="BG79" s="978" t="n"/>
      <c r="BH79" s="978" t="n"/>
      <c r="BI79" s="412">
        <f>(($E$79)*($G$11))</f>
        <v/>
      </c>
      <c r="BJ79" s="135">
        <f>(($E$79)*($G$11))</f>
        <v/>
      </c>
      <c r="BK79" s="135">
        <f>(($E$79)*($G$11))</f>
        <v/>
      </c>
      <c r="BL79" s="135">
        <f>(($E$79)*($G$11))</f>
        <v/>
      </c>
      <c r="BM79" s="135">
        <f>(($E$79)*($G$11))</f>
        <v/>
      </c>
      <c r="BN79" s="135">
        <f>(($E$79)*($G$11))</f>
        <v/>
      </c>
      <c r="BO79" s="415">
        <f>(($E$79)*($G$11))</f>
        <v/>
      </c>
      <c r="BP79" s="135">
        <f>(($E$79)*($G$11))</f>
        <v/>
      </c>
      <c r="BQ79" s="135">
        <f>(($E$79)*($G$11))</f>
        <v/>
      </c>
      <c r="BR79" s="135">
        <f>(($E$79)*($G$11))</f>
        <v/>
      </c>
      <c r="BS79" s="135">
        <f>(($E$79)*($G$11))</f>
        <v/>
      </c>
      <c r="BT79" s="135">
        <f>(($E$79)*($G$11))</f>
        <v/>
      </c>
      <c r="BU79" s="135">
        <f>(($E$79)*($G$11))</f>
        <v/>
      </c>
      <c r="BV79" s="135">
        <f>(($E$79)*($G$11))</f>
        <v/>
      </c>
      <c r="BW79" s="135">
        <f>(($E$79)*($G$11))</f>
        <v/>
      </c>
      <c r="BX79" s="135">
        <f>(($E$79)*($G$11))</f>
        <v/>
      </c>
      <c r="BY79" s="135">
        <f>(($E$79)*($G$11))</f>
        <v/>
      </c>
      <c r="BZ79" s="135">
        <f>(($E$79)*($G$11))</f>
        <v/>
      </c>
      <c r="CA79" s="932" t="n"/>
      <c r="CB79" s="136">
        <f>SUM(G79:BZ79)</f>
        <v/>
      </c>
      <c r="CC79" s="932" t="n"/>
      <c r="CD79" s="135">
        <f>(E79)</f>
        <v/>
      </c>
      <c r="CE79" s="136">
        <f>((CD79)-(CB79))</f>
        <v/>
      </c>
      <c r="CF79" s="876">
        <f>((CE79)/(CD79))</f>
        <v/>
      </c>
    </row>
    <row r="80">
      <c r="D80" s="149" t="inlineStr">
        <is>
          <t>Month 55</t>
        </is>
      </c>
      <c r="E80" s="138">
        <f>'3C. Tel. - Revenue Drivers - 1 '!P26</f>
        <v/>
      </c>
      <c r="F80" s="1968" t="n"/>
      <c r="G80" s="978" t="n"/>
      <c r="H80" s="978" t="n"/>
      <c r="I80" s="978" t="n"/>
      <c r="J80" s="978" t="n"/>
      <c r="K80" s="978" t="n"/>
      <c r="L80" s="978" t="n"/>
      <c r="M80" s="978" t="n"/>
      <c r="N80" s="978" t="n"/>
      <c r="O80" s="978" t="n"/>
      <c r="P80" s="978" t="n"/>
      <c r="Q80" s="978" t="n"/>
      <c r="R80" s="981" t="n"/>
      <c r="S80" s="978" t="n"/>
      <c r="T80" s="978" t="n"/>
      <c r="U80" s="978" t="n"/>
      <c r="V80" s="978" t="n"/>
      <c r="W80" s="978" t="n"/>
      <c r="X80" s="978" t="n"/>
      <c r="Y80" s="978" t="n"/>
      <c r="Z80" s="978" t="n"/>
      <c r="AA80" s="978" t="n"/>
      <c r="AB80" s="978" t="n"/>
      <c r="AC80" s="978" t="n"/>
      <c r="AD80" s="981" t="n"/>
      <c r="AE80" s="978" t="n"/>
      <c r="AF80" s="978" t="n"/>
      <c r="AG80" s="978" t="n"/>
      <c r="AH80" s="978" t="n"/>
      <c r="AI80" s="978" t="n"/>
      <c r="AJ80" s="978" t="n"/>
      <c r="AK80" s="978" t="n"/>
      <c r="AL80" s="978" t="n"/>
      <c r="AM80" s="978" t="n"/>
      <c r="AN80" s="978" t="n"/>
      <c r="AO80" s="978" t="n"/>
      <c r="AP80" s="981" t="n"/>
      <c r="AQ80" s="978" t="n"/>
      <c r="AR80" s="978" t="n"/>
      <c r="AS80" s="978" t="n"/>
      <c r="AT80" s="978" t="n"/>
      <c r="AU80" s="978" t="n"/>
      <c r="AV80" s="978" t="n"/>
      <c r="AW80" s="978" t="n"/>
      <c r="AX80" s="978" t="n"/>
      <c r="AY80" s="978" t="n"/>
      <c r="AZ80" s="978" t="n"/>
      <c r="BA80" s="978" t="n"/>
      <c r="BB80" s="978" t="n"/>
      <c r="BC80" s="982" t="n"/>
      <c r="BD80" s="978" t="n"/>
      <c r="BE80" s="978" t="n"/>
      <c r="BF80" s="978" t="n"/>
      <c r="BG80" s="978" t="n"/>
      <c r="BH80" s="978" t="n"/>
      <c r="BI80" s="978" t="n"/>
      <c r="BJ80" s="412">
        <f>(($E$80)*($G$11))</f>
        <v/>
      </c>
      <c r="BK80" s="135">
        <f>(($E$80)*($G$11))</f>
        <v/>
      </c>
      <c r="BL80" s="135">
        <f>(($E$80)*($G$11))</f>
        <v/>
      </c>
      <c r="BM80" s="135">
        <f>(($E$80)*($G$11))</f>
        <v/>
      </c>
      <c r="BN80" s="135">
        <f>(($E$80)*($G$11))</f>
        <v/>
      </c>
      <c r="BO80" s="415">
        <f>(($E$80)*($G$11))</f>
        <v/>
      </c>
      <c r="BP80" s="135">
        <f>(($E$80)*($G$11))</f>
        <v/>
      </c>
      <c r="BQ80" s="135">
        <f>(($E$80)*($G$11))</f>
        <v/>
      </c>
      <c r="BR80" s="135">
        <f>(($E$80)*($G$11))</f>
        <v/>
      </c>
      <c r="BS80" s="135">
        <f>(($E$80)*($G$11))</f>
        <v/>
      </c>
      <c r="BT80" s="135">
        <f>(($E$80)*($G$11))</f>
        <v/>
      </c>
      <c r="BU80" s="135">
        <f>(($E$80)*($G$11))</f>
        <v/>
      </c>
      <c r="BV80" s="135">
        <f>(($E$80)*($G$11))</f>
        <v/>
      </c>
      <c r="BW80" s="135">
        <f>(($E$80)*($G$11))</f>
        <v/>
      </c>
      <c r="BX80" s="135">
        <f>(($E$80)*($G$11))</f>
        <v/>
      </c>
      <c r="BY80" s="135">
        <f>(($E$80)*($G$11))</f>
        <v/>
      </c>
      <c r="BZ80" s="135">
        <f>(($E$80)*($G$11))</f>
        <v/>
      </c>
      <c r="CA80" s="932" t="n"/>
      <c r="CB80" s="136">
        <f>SUM(G80:BZ80)</f>
        <v/>
      </c>
      <c r="CC80" s="932" t="n"/>
      <c r="CD80" s="135">
        <f>(E80)</f>
        <v/>
      </c>
      <c r="CE80" s="136">
        <f>((CD80)-(CB80))</f>
        <v/>
      </c>
      <c r="CF80" s="876">
        <f>((CE80)/(CD80))</f>
        <v/>
      </c>
    </row>
    <row r="81">
      <c r="D81" s="149" t="inlineStr">
        <is>
          <t>Month 56</t>
        </is>
      </c>
      <c r="E81" s="138">
        <f>'3C. Tel. - Revenue Drivers - 1 '!Q26</f>
        <v/>
      </c>
      <c r="F81" s="1968" t="n"/>
      <c r="G81" s="978" t="n"/>
      <c r="H81" s="978" t="n"/>
      <c r="I81" s="978" t="n"/>
      <c r="J81" s="978" t="n"/>
      <c r="K81" s="978" t="n"/>
      <c r="L81" s="978" t="n"/>
      <c r="M81" s="978" t="n"/>
      <c r="N81" s="978" t="n"/>
      <c r="O81" s="978" t="n"/>
      <c r="P81" s="978" t="n"/>
      <c r="Q81" s="978" t="n"/>
      <c r="R81" s="981" t="n"/>
      <c r="S81" s="978" t="n"/>
      <c r="T81" s="978" t="n"/>
      <c r="U81" s="978" t="n"/>
      <c r="V81" s="978" t="n"/>
      <c r="W81" s="978" t="n"/>
      <c r="X81" s="978" t="n"/>
      <c r="Y81" s="978" t="n"/>
      <c r="Z81" s="978" t="n"/>
      <c r="AA81" s="978" t="n"/>
      <c r="AB81" s="978" t="n"/>
      <c r="AC81" s="978" t="n"/>
      <c r="AD81" s="981" t="n"/>
      <c r="AE81" s="978" t="n"/>
      <c r="AF81" s="978" t="n"/>
      <c r="AG81" s="978" t="n"/>
      <c r="AH81" s="978" t="n"/>
      <c r="AI81" s="978" t="n"/>
      <c r="AJ81" s="978" t="n"/>
      <c r="AK81" s="978" t="n"/>
      <c r="AL81" s="978" t="n"/>
      <c r="AM81" s="978" t="n"/>
      <c r="AN81" s="978" t="n"/>
      <c r="AO81" s="978" t="n"/>
      <c r="AP81" s="981" t="n"/>
      <c r="AQ81" s="978" t="n"/>
      <c r="AR81" s="978" t="n"/>
      <c r="AS81" s="978" t="n"/>
      <c r="AT81" s="978" t="n"/>
      <c r="AU81" s="978" t="n"/>
      <c r="AV81" s="978" t="n"/>
      <c r="AW81" s="978" t="n"/>
      <c r="AX81" s="978" t="n"/>
      <c r="AY81" s="978" t="n"/>
      <c r="AZ81" s="978" t="n"/>
      <c r="BA81" s="978" t="n"/>
      <c r="BB81" s="978" t="n"/>
      <c r="BC81" s="982" t="n"/>
      <c r="BD81" s="978" t="n"/>
      <c r="BE81" s="978" t="n"/>
      <c r="BF81" s="978" t="n"/>
      <c r="BG81" s="978" t="n"/>
      <c r="BH81" s="978" t="n"/>
      <c r="BI81" s="978" t="n"/>
      <c r="BJ81" s="978" t="n"/>
      <c r="BK81" s="412">
        <f>(($E$81)*($G$11))</f>
        <v/>
      </c>
      <c r="BL81" s="135">
        <f>(($E$81)*($G$11))</f>
        <v/>
      </c>
      <c r="BM81" s="135">
        <f>(($E$81)*($G$11))</f>
        <v/>
      </c>
      <c r="BN81" s="135">
        <f>(($E$81)*($G$11))</f>
        <v/>
      </c>
      <c r="BO81" s="415">
        <f>(($E$81)*($G$11))</f>
        <v/>
      </c>
      <c r="BP81" s="135">
        <f>(($E$81)*($G$11))</f>
        <v/>
      </c>
      <c r="BQ81" s="135">
        <f>(($E$81)*($G$11))</f>
        <v/>
      </c>
      <c r="BR81" s="135">
        <f>(($E$81)*($G$11))</f>
        <v/>
      </c>
      <c r="BS81" s="135">
        <f>(($E$81)*($G$11))</f>
        <v/>
      </c>
      <c r="BT81" s="135">
        <f>(($E$81)*($G$11))</f>
        <v/>
      </c>
      <c r="BU81" s="135">
        <f>(($E$81)*($G$11))</f>
        <v/>
      </c>
      <c r="BV81" s="135">
        <f>(($E$81)*($G$11))</f>
        <v/>
      </c>
      <c r="BW81" s="135">
        <f>(($E$81)*($G$11))</f>
        <v/>
      </c>
      <c r="BX81" s="135">
        <f>(($E$81)*($G$11))</f>
        <v/>
      </c>
      <c r="BY81" s="135">
        <f>(($E$81)*($G$11))</f>
        <v/>
      </c>
      <c r="BZ81" s="135">
        <f>(($E$81)*($G$11))</f>
        <v/>
      </c>
      <c r="CA81" s="932" t="n"/>
      <c r="CB81" s="136">
        <f>SUM(G81:BZ81)</f>
        <v/>
      </c>
      <c r="CC81" s="932" t="n"/>
      <c r="CD81" s="135">
        <f>(E81)</f>
        <v/>
      </c>
      <c r="CE81" s="136">
        <f>((CD81)-(CB81))</f>
        <v/>
      </c>
      <c r="CF81" s="876">
        <f>((CE81)/(CD81))</f>
        <v/>
      </c>
    </row>
    <row r="82">
      <c r="D82" s="149" t="inlineStr">
        <is>
          <t>Month 57</t>
        </is>
      </c>
      <c r="E82" s="138">
        <f>'3C. Tel. - Revenue Drivers - 1 '!R26</f>
        <v/>
      </c>
      <c r="F82" s="1968" t="n"/>
      <c r="G82" s="978" t="n"/>
      <c r="H82" s="978" t="n"/>
      <c r="I82" s="978" t="n"/>
      <c r="J82" s="978" t="n"/>
      <c r="K82" s="978" t="n"/>
      <c r="L82" s="978" t="n"/>
      <c r="M82" s="978" t="n"/>
      <c r="N82" s="978" t="n"/>
      <c r="O82" s="978" t="n"/>
      <c r="P82" s="978" t="n"/>
      <c r="Q82" s="978" t="n"/>
      <c r="R82" s="981" t="n"/>
      <c r="S82" s="978" t="n"/>
      <c r="T82" s="978" t="n"/>
      <c r="U82" s="978" t="n"/>
      <c r="V82" s="978" t="n"/>
      <c r="W82" s="978" t="n"/>
      <c r="X82" s="978" t="n"/>
      <c r="Y82" s="978" t="n"/>
      <c r="Z82" s="978" t="n"/>
      <c r="AA82" s="978" t="n"/>
      <c r="AB82" s="978" t="n"/>
      <c r="AC82" s="978" t="n"/>
      <c r="AD82" s="981" t="n"/>
      <c r="AE82" s="978" t="n"/>
      <c r="AF82" s="978" t="n"/>
      <c r="AG82" s="978" t="n"/>
      <c r="AH82" s="978" t="n"/>
      <c r="AI82" s="978" t="n"/>
      <c r="AJ82" s="978" t="n"/>
      <c r="AK82" s="978" t="n"/>
      <c r="AL82" s="978" t="n"/>
      <c r="AM82" s="978" t="n"/>
      <c r="AN82" s="978" t="n"/>
      <c r="AO82" s="978" t="n"/>
      <c r="AP82" s="981" t="n"/>
      <c r="AQ82" s="978" t="n"/>
      <c r="AR82" s="978" t="n"/>
      <c r="AS82" s="978" t="n"/>
      <c r="AT82" s="978" t="n"/>
      <c r="AU82" s="978" t="n"/>
      <c r="AV82" s="978" t="n"/>
      <c r="AW82" s="978" t="n"/>
      <c r="AX82" s="978" t="n"/>
      <c r="AY82" s="978" t="n"/>
      <c r="AZ82" s="978" t="n"/>
      <c r="BA82" s="978" t="n"/>
      <c r="BB82" s="978" t="n"/>
      <c r="BC82" s="982" t="n"/>
      <c r="BD82" s="978" t="n"/>
      <c r="BE82" s="978" t="n"/>
      <c r="BF82" s="978" t="n"/>
      <c r="BG82" s="978" t="n"/>
      <c r="BH82" s="978" t="n"/>
      <c r="BI82" s="978" t="n"/>
      <c r="BJ82" s="978" t="n"/>
      <c r="BK82" s="978" t="n"/>
      <c r="BL82" s="412">
        <f>(($E$82)*($G$11))</f>
        <v/>
      </c>
      <c r="BM82" s="135">
        <f>(($E$82)*($G$11))</f>
        <v/>
      </c>
      <c r="BN82" s="135">
        <f>(($E$82)*($G$11))</f>
        <v/>
      </c>
      <c r="BO82" s="415">
        <f>(($E$82)*($G$11))</f>
        <v/>
      </c>
      <c r="BP82" s="135">
        <f>(($E$82)*($G$11))</f>
        <v/>
      </c>
      <c r="BQ82" s="135">
        <f>(($E$82)*($G$11))</f>
        <v/>
      </c>
      <c r="BR82" s="135">
        <f>(($E$82)*($G$11))</f>
        <v/>
      </c>
      <c r="BS82" s="135">
        <f>(($E$82)*($G$11))</f>
        <v/>
      </c>
      <c r="BT82" s="135">
        <f>(($E$82)*($G$11))</f>
        <v/>
      </c>
      <c r="BU82" s="135">
        <f>(($E$82)*($G$11))</f>
        <v/>
      </c>
      <c r="BV82" s="135">
        <f>(($E$82)*($G$11))</f>
        <v/>
      </c>
      <c r="BW82" s="135">
        <f>(($E$82)*($G$11))</f>
        <v/>
      </c>
      <c r="BX82" s="135">
        <f>(($E$82)*($G$11))</f>
        <v/>
      </c>
      <c r="BY82" s="135">
        <f>(($E$82)*($G$11))</f>
        <v/>
      </c>
      <c r="BZ82" s="135">
        <f>(($E$82)*($G$11))</f>
        <v/>
      </c>
      <c r="CA82" s="932" t="n"/>
      <c r="CB82" s="136">
        <f>SUM(G82:BZ82)</f>
        <v/>
      </c>
      <c r="CC82" s="932" t="n"/>
      <c r="CD82" s="135">
        <f>(E82)</f>
        <v/>
      </c>
      <c r="CE82" s="136">
        <f>((CD82)-(CB82))</f>
        <v/>
      </c>
      <c r="CF82" s="876">
        <f>((CE82)/(CD82))</f>
        <v/>
      </c>
    </row>
    <row r="83">
      <c r="D83" s="149" t="inlineStr">
        <is>
          <t>Month 58</t>
        </is>
      </c>
      <c r="E83" s="138">
        <f>'3C. Tel. - Revenue Drivers - 1 '!S26</f>
        <v/>
      </c>
      <c r="F83" s="1968" t="n"/>
      <c r="G83" s="978" t="n"/>
      <c r="H83" s="978" t="n"/>
      <c r="I83" s="977" t="n"/>
      <c r="J83" s="978" t="n"/>
      <c r="K83" s="978" t="n"/>
      <c r="L83" s="978" t="n"/>
      <c r="M83" s="978" t="n"/>
      <c r="N83" s="978" t="n"/>
      <c r="O83" s="978" t="n"/>
      <c r="P83" s="978" t="n"/>
      <c r="Q83" s="978" t="n"/>
      <c r="R83" s="981" t="n"/>
      <c r="S83" s="978" t="n"/>
      <c r="T83" s="978" t="n"/>
      <c r="U83" s="978" t="n"/>
      <c r="V83" s="978" t="n"/>
      <c r="W83" s="978" t="n"/>
      <c r="X83" s="978" t="n"/>
      <c r="Y83" s="978" t="n"/>
      <c r="Z83" s="978" t="n"/>
      <c r="AA83" s="978" t="n"/>
      <c r="AB83" s="978" t="n"/>
      <c r="AC83" s="978" t="n"/>
      <c r="AD83" s="981" t="n"/>
      <c r="AE83" s="978" t="n"/>
      <c r="AF83" s="978" t="n"/>
      <c r="AG83" s="978" t="n"/>
      <c r="AH83" s="978" t="n"/>
      <c r="AI83" s="978" t="n"/>
      <c r="AJ83" s="978" t="n"/>
      <c r="AK83" s="978" t="n"/>
      <c r="AL83" s="978" t="n"/>
      <c r="AM83" s="978" t="n"/>
      <c r="AN83" s="978" t="n"/>
      <c r="AO83" s="978" t="n"/>
      <c r="AP83" s="981" t="n"/>
      <c r="AQ83" s="978" t="n"/>
      <c r="AR83" s="978" t="n"/>
      <c r="AS83" s="978" t="n"/>
      <c r="AT83" s="978" t="n"/>
      <c r="AU83" s="978" t="n"/>
      <c r="AV83" s="978" t="n"/>
      <c r="AW83" s="978" t="n"/>
      <c r="AX83" s="978" t="n"/>
      <c r="AY83" s="978" t="n"/>
      <c r="AZ83" s="978" t="n"/>
      <c r="BA83" s="978" t="n"/>
      <c r="BB83" s="978" t="n"/>
      <c r="BC83" s="982" t="n"/>
      <c r="BD83" s="978" t="n"/>
      <c r="BE83" s="978" t="n"/>
      <c r="BF83" s="978" t="n"/>
      <c r="BG83" s="978" t="n"/>
      <c r="BH83" s="978" t="n"/>
      <c r="BI83" s="978" t="n"/>
      <c r="BJ83" s="978" t="n"/>
      <c r="BK83" s="978" t="n"/>
      <c r="BL83" s="978" t="n"/>
      <c r="BM83" s="412">
        <f>(($E$83)*($G$11))</f>
        <v/>
      </c>
      <c r="BN83" s="135">
        <f>(($E$83)*($G$11))</f>
        <v/>
      </c>
      <c r="BO83" s="415">
        <f>(($E$83)*($G$11))</f>
        <v/>
      </c>
      <c r="BP83" s="135">
        <f>(($E$83)*($G$11))</f>
        <v/>
      </c>
      <c r="BQ83" s="135">
        <f>(($E$83)*($G$11))</f>
        <v/>
      </c>
      <c r="BR83" s="135">
        <f>(($E$83)*($G$11))</f>
        <v/>
      </c>
      <c r="BS83" s="135">
        <f>(($E$83)*($G$11))</f>
        <v/>
      </c>
      <c r="BT83" s="135">
        <f>(($E$83)*($G$11))</f>
        <v/>
      </c>
      <c r="BU83" s="135">
        <f>(($E$83)*($G$11))</f>
        <v/>
      </c>
      <c r="BV83" s="135">
        <f>(($E$83)*($G$11))</f>
        <v/>
      </c>
      <c r="BW83" s="135">
        <f>(($E$83)*($G$11))</f>
        <v/>
      </c>
      <c r="BX83" s="135">
        <f>(($E$83)*($G$11))</f>
        <v/>
      </c>
      <c r="BY83" s="135">
        <f>(($E$83)*($G$11))</f>
        <v/>
      </c>
      <c r="BZ83" s="135">
        <f>(($E$83)*($G$11))</f>
        <v/>
      </c>
      <c r="CA83" s="932" t="n"/>
      <c r="CB83" s="136">
        <f>SUM(G83:BZ83)</f>
        <v/>
      </c>
      <c r="CC83" s="932" t="n"/>
      <c r="CD83" s="135">
        <f>(E83)</f>
        <v/>
      </c>
      <c r="CE83" s="136">
        <f>((CD83)-(CB83))</f>
        <v/>
      </c>
      <c r="CF83" s="876">
        <f>((CE83)/(CD83))</f>
        <v/>
      </c>
    </row>
    <row r="84">
      <c r="D84" s="149" t="inlineStr">
        <is>
          <t>Month 59</t>
        </is>
      </c>
      <c r="E84" s="138">
        <f>'3C. Tel. - Revenue Drivers - 1 '!T26</f>
        <v/>
      </c>
      <c r="F84" s="1968" t="n"/>
      <c r="G84" s="978" t="n"/>
      <c r="H84" s="978" t="n"/>
      <c r="I84" s="978" t="n"/>
      <c r="J84" s="978" t="n"/>
      <c r="K84" s="978" t="n"/>
      <c r="L84" s="978" t="n"/>
      <c r="M84" s="978" t="n"/>
      <c r="N84" s="978" t="n"/>
      <c r="O84" s="978" t="n"/>
      <c r="P84" s="978" t="n"/>
      <c r="Q84" s="978" t="n"/>
      <c r="R84" s="981" t="n"/>
      <c r="S84" s="978" t="n"/>
      <c r="T84" s="978" t="n"/>
      <c r="U84" s="978" t="n"/>
      <c r="V84" s="978" t="n"/>
      <c r="W84" s="978" t="n"/>
      <c r="X84" s="978" t="n"/>
      <c r="Y84" s="978" t="n"/>
      <c r="Z84" s="978" t="n"/>
      <c r="AA84" s="978" t="n"/>
      <c r="AB84" s="978" t="n"/>
      <c r="AC84" s="978" t="n"/>
      <c r="AD84" s="981" t="n"/>
      <c r="AE84" s="978" t="n"/>
      <c r="AF84" s="978" t="n"/>
      <c r="AG84" s="978" t="n"/>
      <c r="AH84" s="978" t="n"/>
      <c r="AI84" s="978" t="n"/>
      <c r="AJ84" s="978" t="n"/>
      <c r="AK84" s="978" t="n"/>
      <c r="AL84" s="978" t="n"/>
      <c r="AM84" s="978" t="n"/>
      <c r="AN84" s="978" t="n"/>
      <c r="AO84" s="978" t="n"/>
      <c r="AP84" s="981" t="n"/>
      <c r="AQ84" s="978" t="n"/>
      <c r="AR84" s="978" t="n"/>
      <c r="AS84" s="978" t="n"/>
      <c r="AT84" s="978" t="n"/>
      <c r="AU84" s="978" t="n"/>
      <c r="AV84" s="978" t="n"/>
      <c r="AW84" s="978" t="n"/>
      <c r="AX84" s="978" t="n"/>
      <c r="AY84" s="978" t="n"/>
      <c r="AZ84" s="978" t="n"/>
      <c r="BA84" s="978" t="n"/>
      <c r="BB84" s="978" t="n"/>
      <c r="BC84" s="982" t="n"/>
      <c r="BD84" s="978" t="n"/>
      <c r="BE84" s="978" t="n"/>
      <c r="BF84" s="978" t="n"/>
      <c r="BG84" s="978" t="n"/>
      <c r="BH84" s="978" t="n"/>
      <c r="BI84" s="978" t="n"/>
      <c r="BJ84" s="978" t="n"/>
      <c r="BK84" s="978" t="n"/>
      <c r="BL84" s="978" t="n"/>
      <c r="BM84" s="978" t="n"/>
      <c r="BN84" s="412">
        <f>(($E$84)*($G$11))</f>
        <v/>
      </c>
      <c r="BO84" s="415">
        <f>(($E$84)*($G$11))</f>
        <v/>
      </c>
      <c r="BP84" s="412">
        <f>(($E$84)*($G$11))</f>
        <v/>
      </c>
      <c r="BQ84" s="412">
        <f>(($E$84)*($G$11))</f>
        <v/>
      </c>
      <c r="BR84" s="412">
        <f>(($E$84)*($G$11))</f>
        <v/>
      </c>
      <c r="BS84" s="412">
        <f>(($E$84)*($G$11))</f>
        <v/>
      </c>
      <c r="BT84" s="412">
        <f>(($E$84)*($G$11))</f>
        <v/>
      </c>
      <c r="BU84" s="412">
        <f>(($E$84)*($G$11))</f>
        <v/>
      </c>
      <c r="BV84" s="412">
        <f>(($E$84)*($G$11))</f>
        <v/>
      </c>
      <c r="BW84" s="412">
        <f>(($E$84)*($G$11))</f>
        <v/>
      </c>
      <c r="BX84" s="412">
        <f>(($E$84)*($G$11))</f>
        <v/>
      </c>
      <c r="BY84" s="412">
        <f>(($E$84)*($G$11))</f>
        <v/>
      </c>
      <c r="BZ84" s="412">
        <f>(($E$84)*($G$11))</f>
        <v/>
      </c>
      <c r="CA84" s="932" t="n"/>
      <c r="CB84" s="136">
        <f>SUM(G84:BZ84)</f>
        <v/>
      </c>
      <c r="CC84" s="932" t="n"/>
      <c r="CD84" s="135">
        <f>(E84)</f>
        <v/>
      </c>
      <c r="CE84" s="136">
        <f>((CD84)-(CB84))</f>
        <v/>
      </c>
      <c r="CF84" s="876">
        <f>((CE84)/(CD84))</f>
        <v/>
      </c>
    </row>
    <row r="85">
      <c r="D85" s="149" t="inlineStr">
        <is>
          <t>Month 60</t>
        </is>
      </c>
      <c r="E85" s="138">
        <f>'3C. Tel. - Revenue Drivers - 1 '!U26</f>
        <v/>
      </c>
      <c r="F85" s="1968" t="n"/>
      <c r="G85" s="978" t="n"/>
      <c r="H85" s="978" t="n"/>
      <c r="I85" s="978" t="n"/>
      <c r="J85" s="978" t="n"/>
      <c r="K85" s="978" t="n"/>
      <c r="L85" s="978" t="n"/>
      <c r="M85" s="978" t="n"/>
      <c r="N85" s="978" t="n"/>
      <c r="O85" s="978" t="n"/>
      <c r="P85" s="978" t="n"/>
      <c r="Q85" s="978" t="n"/>
      <c r="R85" s="981" t="n"/>
      <c r="S85" s="978" t="n"/>
      <c r="T85" s="978" t="n"/>
      <c r="U85" s="978" t="n"/>
      <c r="V85" s="978" t="n"/>
      <c r="W85" s="978" t="n"/>
      <c r="X85" s="978" t="n"/>
      <c r="Y85" s="978" t="n"/>
      <c r="Z85" s="978" t="n"/>
      <c r="AA85" s="978" t="n"/>
      <c r="AB85" s="978" t="n"/>
      <c r="AC85" s="978" t="n"/>
      <c r="AD85" s="981" t="n"/>
      <c r="AE85" s="978" t="n"/>
      <c r="AF85" s="978" t="n"/>
      <c r="AG85" s="978" t="n"/>
      <c r="AH85" s="978" t="n"/>
      <c r="AI85" s="978" t="n"/>
      <c r="AJ85" s="978" t="n"/>
      <c r="AK85" s="978" t="n"/>
      <c r="AL85" s="978" t="n"/>
      <c r="AM85" s="978" t="n"/>
      <c r="AN85" s="978" t="n"/>
      <c r="AO85" s="978" t="n"/>
      <c r="AP85" s="981" t="n"/>
      <c r="AQ85" s="978" t="n"/>
      <c r="AR85" s="978" t="n"/>
      <c r="AS85" s="978" t="n"/>
      <c r="AT85" s="978" t="n"/>
      <c r="AU85" s="978" t="n"/>
      <c r="AV85" s="978" t="n"/>
      <c r="AW85" s="978" t="n"/>
      <c r="AX85" s="978" t="n"/>
      <c r="AY85" s="978" t="n"/>
      <c r="AZ85" s="978" t="n"/>
      <c r="BA85" s="978" t="n"/>
      <c r="BB85" s="978" t="n"/>
      <c r="BC85" s="982" t="n"/>
      <c r="BD85" s="978" t="n"/>
      <c r="BE85" s="978" t="n"/>
      <c r="BF85" s="978" t="n"/>
      <c r="BG85" s="978" t="n"/>
      <c r="BH85" s="978" t="n"/>
      <c r="BI85" s="978" t="n"/>
      <c r="BJ85" s="978" t="n"/>
      <c r="BK85" s="978" t="n"/>
      <c r="BL85" s="978" t="n"/>
      <c r="BM85" s="978" t="n"/>
      <c r="BN85" s="875" t="n"/>
      <c r="BO85" s="880">
        <f>(($E$85)*($G$11))</f>
        <v/>
      </c>
      <c r="BP85" s="875">
        <f>(($E$85)*($G$11))</f>
        <v/>
      </c>
      <c r="BQ85" s="875">
        <f>(($E$85)*($G$11))</f>
        <v/>
      </c>
      <c r="BR85" s="875">
        <f>(($E$85)*($G$11))</f>
        <v/>
      </c>
      <c r="BS85" s="875">
        <f>(($E$85)*($G$11))</f>
        <v/>
      </c>
      <c r="BT85" s="875">
        <f>(($E$85)*($G$11))</f>
        <v/>
      </c>
      <c r="BU85" s="875">
        <f>(($E$85)*($G$11))</f>
        <v/>
      </c>
      <c r="BV85" s="875">
        <f>(($E$85)*($G$11))</f>
        <v/>
      </c>
      <c r="BW85" s="875">
        <f>(($E$85)*($G$11))</f>
        <v/>
      </c>
      <c r="BX85" s="875">
        <f>(($E$85)*($G$11))</f>
        <v/>
      </c>
      <c r="BY85" s="875">
        <f>(($E$85)*($G$11))</f>
        <v/>
      </c>
      <c r="BZ85" s="875">
        <f>(($E$85)*($G$11))</f>
        <v/>
      </c>
      <c r="CA85" s="406" t="n"/>
      <c r="CB85" s="136">
        <f>SUM(G85:BZ85)</f>
        <v/>
      </c>
      <c r="CC85" s="932" t="n"/>
      <c r="CD85" s="135">
        <f>(E85)</f>
        <v/>
      </c>
      <c r="CE85" s="136">
        <f>((CD85)-(CB85))</f>
        <v/>
      </c>
      <c r="CF85" s="876">
        <f>((CE85)/(CD85))</f>
        <v/>
      </c>
    </row>
    <row r="86">
      <c r="D86" s="149" t="inlineStr">
        <is>
          <t>Month 61</t>
        </is>
      </c>
      <c r="E86" s="138">
        <f>'3C. Tel. - Revenue Drivers - 1 '!J27</f>
        <v/>
      </c>
      <c r="F86" s="1968" t="n"/>
      <c r="G86" s="978" t="n"/>
      <c r="H86" s="978" t="n"/>
      <c r="I86" s="978" t="n"/>
      <c r="J86" s="978" t="n"/>
      <c r="K86" s="978" t="n"/>
      <c r="L86" s="978" t="n"/>
      <c r="M86" s="978" t="n"/>
      <c r="N86" s="978" t="n"/>
      <c r="O86" s="978" t="n"/>
      <c r="P86" s="978" t="n"/>
      <c r="Q86" s="978" t="n"/>
      <c r="R86" s="981" t="n"/>
      <c r="S86" s="978" t="n"/>
      <c r="T86" s="978" t="n"/>
      <c r="U86" s="978" t="n"/>
      <c r="V86" s="978" t="n"/>
      <c r="W86" s="978" t="n"/>
      <c r="X86" s="978" t="n"/>
      <c r="Y86" s="978" t="n"/>
      <c r="Z86" s="978" t="n"/>
      <c r="AA86" s="978" t="n"/>
      <c r="AB86" s="978" t="n"/>
      <c r="AC86" s="978" t="n"/>
      <c r="AD86" s="981" t="n"/>
      <c r="AE86" s="978" t="n"/>
      <c r="AF86" s="978" t="n"/>
      <c r="AG86" s="978" t="n"/>
      <c r="AH86" s="978" t="n"/>
      <c r="AI86" s="978" t="n"/>
      <c r="AJ86" s="978" t="n"/>
      <c r="AK86" s="978" t="n"/>
      <c r="AL86" s="978" t="n"/>
      <c r="AM86" s="978" t="n"/>
      <c r="AN86" s="978" t="n"/>
      <c r="AO86" s="978" t="n"/>
      <c r="AP86" s="981" t="n"/>
      <c r="AQ86" s="978" t="n"/>
      <c r="AR86" s="978" t="n"/>
      <c r="AS86" s="978" t="n"/>
      <c r="AT86" s="978" t="n"/>
      <c r="AU86" s="978" t="n"/>
      <c r="AV86" s="978" t="n"/>
      <c r="AW86" s="978" t="n"/>
      <c r="AX86" s="978" t="n"/>
      <c r="AY86" s="978" t="n"/>
      <c r="AZ86" s="978" t="n"/>
      <c r="BA86" s="978" t="n"/>
      <c r="BB86" s="978" t="n"/>
      <c r="BC86" s="982" t="n"/>
      <c r="BD86" s="978" t="n"/>
      <c r="BE86" s="978" t="n"/>
      <c r="BF86" s="978" t="n"/>
      <c r="BG86" s="978" t="n"/>
      <c r="BH86" s="978" t="n"/>
      <c r="BI86" s="978" t="n"/>
      <c r="BJ86" s="978" t="n"/>
      <c r="BK86" s="978" t="n"/>
      <c r="BL86" s="978" t="n"/>
      <c r="BM86" s="978" t="n"/>
      <c r="BN86" s="875" t="n"/>
      <c r="BO86" s="880" t="n"/>
      <c r="BP86" s="875">
        <f>(($E$86)*($G$11))</f>
        <v/>
      </c>
      <c r="BQ86" s="875">
        <f>(($E$86)*($G$11))</f>
        <v/>
      </c>
      <c r="BR86" s="875">
        <f>(($E$86)*($G$11))</f>
        <v/>
      </c>
      <c r="BS86" s="875">
        <f>(($E$86)*($G$11))</f>
        <v/>
      </c>
      <c r="BT86" s="875">
        <f>(($E$86)*($G$11))</f>
        <v/>
      </c>
      <c r="BU86" s="875">
        <f>(($E$86)*($G$11))</f>
        <v/>
      </c>
      <c r="BV86" s="875">
        <f>(($E$86)*($G$11))</f>
        <v/>
      </c>
      <c r="BW86" s="875">
        <f>(($E$86)*($G$11))</f>
        <v/>
      </c>
      <c r="BX86" s="875">
        <f>(($E$86)*($G$11))</f>
        <v/>
      </c>
      <c r="BY86" s="875">
        <f>(($E$86)*($G$11))</f>
        <v/>
      </c>
      <c r="BZ86" s="875">
        <f>(($E$86)*($G$11))</f>
        <v/>
      </c>
      <c r="CA86" s="406" t="n"/>
      <c r="CB86" s="136">
        <f>SUM(G86:BZ86)</f>
        <v/>
      </c>
      <c r="CC86" s="932" t="n"/>
      <c r="CD86" s="135">
        <f>(E86)</f>
        <v/>
      </c>
      <c r="CE86" s="136">
        <f>((CD86)-(CB86))</f>
        <v/>
      </c>
      <c r="CF86" s="876">
        <f>((CE86)/(CD86))</f>
        <v/>
      </c>
    </row>
    <row r="87">
      <c r="D87" s="149" t="inlineStr">
        <is>
          <t>Month 62</t>
        </is>
      </c>
      <c r="E87" s="138">
        <f>'3C. Tel. - Revenue Drivers - 1 '!K27</f>
        <v/>
      </c>
      <c r="F87" s="1968" t="n"/>
      <c r="G87" s="978" t="n"/>
      <c r="H87" s="978" t="n"/>
      <c r="I87" s="978" t="n"/>
      <c r="J87" s="978" t="n"/>
      <c r="K87" s="978" t="n"/>
      <c r="L87" s="978" t="n"/>
      <c r="M87" s="978" t="n"/>
      <c r="N87" s="978" t="n"/>
      <c r="O87" s="978" t="n"/>
      <c r="P87" s="978" t="n"/>
      <c r="Q87" s="978" t="n"/>
      <c r="R87" s="981" t="n"/>
      <c r="S87" s="978" t="n"/>
      <c r="T87" s="978" t="n"/>
      <c r="U87" s="978" t="n"/>
      <c r="V87" s="978" t="n"/>
      <c r="W87" s="978" t="n"/>
      <c r="X87" s="978" t="n"/>
      <c r="Y87" s="978" t="n"/>
      <c r="Z87" s="978" t="n"/>
      <c r="AA87" s="978" t="n"/>
      <c r="AB87" s="978" t="n"/>
      <c r="AC87" s="978" t="n"/>
      <c r="AD87" s="981" t="n"/>
      <c r="AE87" s="978" t="n"/>
      <c r="AF87" s="978" t="n"/>
      <c r="AG87" s="978" t="n"/>
      <c r="AH87" s="978" t="n"/>
      <c r="AI87" s="978" t="n"/>
      <c r="AJ87" s="978" t="n"/>
      <c r="AK87" s="978" t="n"/>
      <c r="AL87" s="978" t="n"/>
      <c r="AM87" s="978" t="n"/>
      <c r="AN87" s="978" t="n"/>
      <c r="AO87" s="978" t="n"/>
      <c r="AP87" s="981" t="n"/>
      <c r="AQ87" s="978" t="n"/>
      <c r="AR87" s="978" t="n"/>
      <c r="AS87" s="978" t="n"/>
      <c r="AT87" s="978" t="n"/>
      <c r="AU87" s="978" t="n"/>
      <c r="AV87" s="978" t="n"/>
      <c r="AW87" s="978" t="n"/>
      <c r="AX87" s="978" t="n"/>
      <c r="AY87" s="978" t="n"/>
      <c r="AZ87" s="978" t="n"/>
      <c r="BA87" s="978" t="n"/>
      <c r="BB87" s="978" t="n"/>
      <c r="BC87" s="982" t="n"/>
      <c r="BD87" s="978" t="n"/>
      <c r="BE87" s="978" t="n"/>
      <c r="BF87" s="978" t="n"/>
      <c r="BG87" s="978" t="n"/>
      <c r="BH87" s="978" t="n"/>
      <c r="BI87" s="978" t="n"/>
      <c r="BJ87" s="978" t="n"/>
      <c r="BK87" s="978" t="n"/>
      <c r="BL87" s="978" t="n"/>
      <c r="BM87" s="978" t="n"/>
      <c r="BN87" s="875" t="n"/>
      <c r="BO87" s="880" t="n"/>
      <c r="BP87" s="875" t="n"/>
      <c r="BQ87" s="875">
        <f>(($E$87)*($G$11))</f>
        <v/>
      </c>
      <c r="BR87" s="875">
        <f>(($E$87)*($G$11))</f>
        <v/>
      </c>
      <c r="BS87" s="875">
        <f>(($E$87)*($G$11))</f>
        <v/>
      </c>
      <c r="BT87" s="875">
        <f>(($E$87)*($G$11))</f>
        <v/>
      </c>
      <c r="BU87" s="875">
        <f>(($E$87)*($G$11))</f>
        <v/>
      </c>
      <c r="BV87" s="875">
        <f>(($E$87)*($G$11))</f>
        <v/>
      </c>
      <c r="BW87" s="875">
        <f>(($E$87)*($G$11))</f>
        <v/>
      </c>
      <c r="BX87" s="875">
        <f>(($E$87)*($G$11))</f>
        <v/>
      </c>
      <c r="BY87" s="875">
        <f>(($E$87)*($G$11))</f>
        <v/>
      </c>
      <c r="BZ87" s="875">
        <f>(($E$87)*($G$11))</f>
        <v/>
      </c>
      <c r="CA87" s="406" t="n"/>
      <c r="CB87" s="136">
        <f>SUM(G87:BZ87)</f>
        <v/>
      </c>
      <c r="CC87" s="932" t="n"/>
      <c r="CD87" s="135">
        <f>(E87)</f>
        <v/>
      </c>
      <c r="CE87" s="136">
        <f>((CD87)-(CB87))</f>
        <v/>
      </c>
      <c r="CF87" s="876">
        <f>((CE87)/(CD87))</f>
        <v/>
      </c>
    </row>
    <row r="88">
      <c r="D88" s="149" t="inlineStr">
        <is>
          <t>Month 63</t>
        </is>
      </c>
      <c r="E88" s="138">
        <f>'3C. Tel. - Revenue Drivers - 1 '!L27</f>
        <v/>
      </c>
      <c r="F88" s="1968" t="n"/>
      <c r="G88" s="978" t="n"/>
      <c r="H88" s="978" t="n"/>
      <c r="I88" s="978" t="n"/>
      <c r="J88" s="978" t="n"/>
      <c r="K88" s="978" t="n"/>
      <c r="L88" s="978" t="n"/>
      <c r="M88" s="978" t="n"/>
      <c r="N88" s="978" t="n"/>
      <c r="O88" s="978" t="n"/>
      <c r="P88" s="978" t="n"/>
      <c r="Q88" s="978" t="n"/>
      <c r="R88" s="981" t="n"/>
      <c r="S88" s="978" t="n"/>
      <c r="T88" s="978" t="n"/>
      <c r="U88" s="978" t="n"/>
      <c r="V88" s="978" t="n"/>
      <c r="W88" s="978" t="n"/>
      <c r="X88" s="978" t="n"/>
      <c r="Y88" s="978" t="n"/>
      <c r="Z88" s="978" t="n"/>
      <c r="AA88" s="978" t="n"/>
      <c r="AB88" s="978" t="n"/>
      <c r="AC88" s="978" t="n"/>
      <c r="AD88" s="981" t="n"/>
      <c r="AE88" s="978" t="n"/>
      <c r="AF88" s="978" t="n"/>
      <c r="AG88" s="978" t="n"/>
      <c r="AH88" s="978" t="n"/>
      <c r="AI88" s="978" t="n"/>
      <c r="AJ88" s="978" t="n"/>
      <c r="AK88" s="978" t="n"/>
      <c r="AL88" s="978" t="n"/>
      <c r="AM88" s="978" t="n"/>
      <c r="AN88" s="978" t="n"/>
      <c r="AO88" s="978" t="n"/>
      <c r="AP88" s="981" t="n"/>
      <c r="AQ88" s="978" t="n"/>
      <c r="AR88" s="978" t="n"/>
      <c r="AS88" s="978" t="n"/>
      <c r="AT88" s="978" t="n"/>
      <c r="AU88" s="978" t="n"/>
      <c r="AV88" s="978" t="n"/>
      <c r="AW88" s="978" t="n"/>
      <c r="AX88" s="978" t="n"/>
      <c r="AY88" s="978" t="n"/>
      <c r="AZ88" s="978" t="n"/>
      <c r="BA88" s="978" t="n"/>
      <c r="BB88" s="978" t="n"/>
      <c r="BC88" s="982" t="n"/>
      <c r="BD88" s="978" t="n"/>
      <c r="BE88" s="978" t="n"/>
      <c r="BF88" s="978" t="n"/>
      <c r="BG88" s="978" t="n"/>
      <c r="BH88" s="978" t="n"/>
      <c r="BI88" s="978" t="n"/>
      <c r="BJ88" s="978" t="n"/>
      <c r="BK88" s="978" t="n"/>
      <c r="BL88" s="978" t="n"/>
      <c r="BM88" s="978" t="n"/>
      <c r="BN88" s="875" t="n"/>
      <c r="BO88" s="880" t="n"/>
      <c r="BP88" s="875" t="n"/>
      <c r="BQ88" s="875" t="n"/>
      <c r="BR88" s="875">
        <f>(($E$88)*($G$11))</f>
        <v/>
      </c>
      <c r="BS88" s="875">
        <f>(($E$88)*($G$11))</f>
        <v/>
      </c>
      <c r="BT88" s="875">
        <f>(($E$88)*($G$11))</f>
        <v/>
      </c>
      <c r="BU88" s="875">
        <f>(($E$88)*($G$11))</f>
        <v/>
      </c>
      <c r="BV88" s="875">
        <f>(($E$88)*($G$11))</f>
        <v/>
      </c>
      <c r="BW88" s="875">
        <f>(($E$88)*($G$11))</f>
        <v/>
      </c>
      <c r="BX88" s="875">
        <f>(($E$88)*($G$11))</f>
        <v/>
      </c>
      <c r="BY88" s="875">
        <f>(($E$88)*($G$11))</f>
        <v/>
      </c>
      <c r="BZ88" s="875">
        <f>(($E$88)*($G$11))</f>
        <v/>
      </c>
      <c r="CA88" s="406" t="n"/>
      <c r="CB88" s="136">
        <f>SUM(G88:BZ88)</f>
        <v/>
      </c>
      <c r="CC88" s="932" t="n"/>
      <c r="CD88" s="135">
        <f>(E88)</f>
        <v/>
      </c>
      <c r="CE88" s="136">
        <f>((CD88)-(CB88))</f>
        <v/>
      </c>
      <c r="CF88" s="876">
        <f>((CE88)/(CD88))</f>
        <v/>
      </c>
    </row>
    <row r="89">
      <c r="D89" s="149" t="inlineStr">
        <is>
          <t>Month 64</t>
        </is>
      </c>
      <c r="E89" s="138">
        <f>'3C. Tel. - Revenue Drivers - 1 '!M27</f>
        <v/>
      </c>
      <c r="F89" s="1968" t="n"/>
      <c r="G89" s="978" t="n"/>
      <c r="H89" s="978" t="n"/>
      <c r="I89" s="978" t="n"/>
      <c r="J89" s="978" t="n"/>
      <c r="K89" s="978" t="n"/>
      <c r="L89" s="978" t="n"/>
      <c r="M89" s="978" t="n"/>
      <c r="N89" s="978" t="n"/>
      <c r="O89" s="978" t="n"/>
      <c r="P89" s="978" t="n"/>
      <c r="Q89" s="978" t="n"/>
      <c r="R89" s="981" t="n"/>
      <c r="S89" s="978" t="n"/>
      <c r="T89" s="978" t="n"/>
      <c r="U89" s="978" t="n"/>
      <c r="V89" s="978" t="n"/>
      <c r="W89" s="978" t="n"/>
      <c r="X89" s="978" t="n"/>
      <c r="Y89" s="978" t="n"/>
      <c r="Z89" s="978" t="n"/>
      <c r="AA89" s="978" t="n"/>
      <c r="AB89" s="978" t="n"/>
      <c r="AC89" s="978" t="n"/>
      <c r="AD89" s="981" t="n"/>
      <c r="AE89" s="978" t="n"/>
      <c r="AF89" s="978" t="n"/>
      <c r="AG89" s="978" t="n"/>
      <c r="AH89" s="978" t="n"/>
      <c r="AI89" s="978" t="n"/>
      <c r="AJ89" s="978" t="n"/>
      <c r="AK89" s="978" t="n"/>
      <c r="AL89" s="978" t="n"/>
      <c r="AM89" s="978" t="n"/>
      <c r="AN89" s="978" t="n"/>
      <c r="AO89" s="978" t="n"/>
      <c r="AP89" s="981" t="n"/>
      <c r="AQ89" s="978" t="n"/>
      <c r="AR89" s="978" t="n"/>
      <c r="AS89" s="978" t="n"/>
      <c r="AT89" s="978" t="n"/>
      <c r="AU89" s="978" t="n"/>
      <c r="AV89" s="978" t="n"/>
      <c r="AW89" s="978" t="n"/>
      <c r="AX89" s="978" t="n"/>
      <c r="AY89" s="978" t="n"/>
      <c r="AZ89" s="978" t="n"/>
      <c r="BA89" s="978" t="n"/>
      <c r="BB89" s="978" t="n"/>
      <c r="BC89" s="982" t="n"/>
      <c r="BD89" s="978" t="n"/>
      <c r="BE89" s="978" t="n"/>
      <c r="BF89" s="978" t="n"/>
      <c r="BG89" s="978" t="n"/>
      <c r="BH89" s="978" t="n"/>
      <c r="BI89" s="978" t="n"/>
      <c r="BJ89" s="978" t="n"/>
      <c r="BK89" s="978" t="n"/>
      <c r="BL89" s="978" t="n"/>
      <c r="BM89" s="978" t="n"/>
      <c r="BN89" s="875" t="n"/>
      <c r="BO89" s="880" t="n"/>
      <c r="BP89" s="875" t="n"/>
      <c r="BQ89" s="875" t="n"/>
      <c r="BR89" s="875" t="n"/>
      <c r="BS89" s="875">
        <f>(($E$89)*($G$11))</f>
        <v/>
      </c>
      <c r="BT89" s="875">
        <f>(($E$89)*($G$11))</f>
        <v/>
      </c>
      <c r="BU89" s="875">
        <f>(($E$89)*($G$11))</f>
        <v/>
      </c>
      <c r="BV89" s="875">
        <f>(($E$89)*($G$11))</f>
        <v/>
      </c>
      <c r="BW89" s="875">
        <f>(($E$89)*($G$11))</f>
        <v/>
      </c>
      <c r="BX89" s="875">
        <f>(($E$89)*($G$11))</f>
        <v/>
      </c>
      <c r="BY89" s="875">
        <f>(($E$89)*($G$11))</f>
        <v/>
      </c>
      <c r="BZ89" s="875">
        <f>(($E$89)*($G$11))</f>
        <v/>
      </c>
      <c r="CA89" s="406" t="n"/>
      <c r="CB89" s="136">
        <f>SUM(G89:BZ89)</f>
        <v/>
      </c>
      <c r="CC89" s="932" t="n"/>
      <c r="CD89" s="135">
        <f>(E89)</f>
        <v/>
      </c>
      <c r="CE89" s="136">
        <f>((CD89)-(CB89))</f>
        <v/>
      </c>
      <c r="CF89" s="876">
        <f>((CE89)/(CD89))</f>
        <v/>
      </c>
    </row>
    <row r="90">
      <c r="D90" s="149" t="inlineStr">
        <is>
          <t>Month 65</t>
        </is>
      </c>
      <c r="E90" s="138">
        <f>'3C. Tel. - Revenue Drivers - 1 '!N27</f>
        <v/>
      </c>
      <c r="F90" s="1968" t="n"/>
      <c r="G90" s="978" t="n"/>
      <c r="H90" s="978" t="n"/>
      <c r="I90" s="978" t="n"/>
      <c r="J90" s="978" t="n"/>
      <c r="K90" s="978" t="n"/>
      <c r="L90" s="978" t="n"/>
      <c r="M90" s="978" t="n"/>
      <c r="N90" s="978" t="n"/>
      <c r="O90" s="978" t="n"/>
      <c r="P90" s="978" t="n"/>
      <c r="Q90" s="978" t="n"/>
      <c r="R90" s="981" t="n"/>
      <c r="S90" s="978" t="n"/>
      <c r="T90" s="978" t="n"/>
      <c r="U90" s="978" t="n"/>
      <c r="V90" s="978" t="n"/>
      <c r="W90" s="978" t="n"/>
      <c r="X90" s="978" t="n"/>
      <c r="Y90" s="978" t="n"/>
      <c r="Z90" s="978" t="n"/>
      <c r="AA90" s="978" t="n"/>
      <c r="AB90" s="978" t="n"/>
      <c r="AC90" s="978" t="n"/>
      <c r="AD90" s="981" t="n"/>
      <c r="AE90" s="978" t="n"/>
      <c r="AF90" s="978" t="n"/>
      <c r="AG90" s="978" t="n"/>
      <c r="AH90" s="978" t="n"/>
      <c r="AI90" s="978" t="n"/>
      <c r="AJ90" s="978" t="n"/>
      <c r="AK90" s="978" t="n"/>
      <c r="AL90" s="978" t="n"/>
      <c r="AM90" s="978" t="n"/>
      <c r="AN90" s="978" t="n"/>
      <c r="AO90" s="978" t="n"/>
      <c r="AP90" s="981" t="n"/>
      <c r="AQ90" s="978" t="n"/>
      <c r="AR90" s="978" t="n"/>
      <c r="AS90" s="978" t="n"/>
      <c r="AT90" s="978" t="n"/>
      <c r="AU90" s="978" t="n"/>
      <c r="AV90" s="978" t="n"/>
      <c r="AW90" s="978" t="n"/>
      <c r="AX90" s="978" t="n"/>
      <c r="AY90" s="978" t="n"/>
      <c r="AZ90" s="978" t="n"/>
      <c r="BA90" s="978" t="n"/>
      <c r="BB90" s="978" t="n"/>
      <c r="BC90" s="982" t="n"/>
      <c r="BD90" s="978" t="n"/>
      <c r="BE90" s="978" t="n"/>
      <c r="BF90" s="978" t="n"/>
      <c r="BG90" s="978" t="n"/>
      <c r="BH90" s="978" t="n"/>
      <c r="BI90" s="978" t="n"/>
      <c r="BJ90" s="978" t="n"/>
      <c r="BK90" s="978" t="n"/>
      <c r="BL90" s="978" t="n"/>
      <c r="BM90" s="978" t="n"/>
      <c r="BN90" s="875" t="n"/>
      <c r="BO90" s="880" t="n"/>
      <c r="BP90" s="875" t="n"/>
      <c r="BQ90" s="875" t="n"/>
      <c r="BR90" s="875" t="n"/>
      <c r="BS90" s="875" t="n"/>
      <c r="BT90" s="875">
        <f>(($E$90)*($G$11))</f>
        <v/>
      </c>
      <c r="BU90" s="875">
        <f>(($E$90)*($G$11))</f>
        <v/>
      </c>
      <c r="BV90" s="875">
        <f>(($E$90)*($G$11))</f>
        <v/>
      </c>
      <c r="BW90" s="875">
        <f>(($E$90)*($G$11))</f>
        <v/>
      </c>
      <c r="BX90" s="875">
        <f>(($E$90)*($G$11))</f>
        <v/>
      </c>
      <c r="BY90" s="875">
        <f>(($E$90)*($G$11))</f>
        <v/>
      </c>
      <c r="BZ90" s="875">
        <f>(($E$90)*($G$11))</f>
        <v/>
      </c>
      <c r="CA90" s="406" t="n"/>
      <c r="CB90" s="136">
        <f>SUM(G90:BZ90)</f>
        <v/>
      </c>
      <c r="CC90" s="932" t="n"/>
      <c r="CD90" s="135">
        <f>(E90)</f>
        <v/>
      </c>
      <c r="CE90" s="136">
        <f>((CD90)-(CB90))</f>
        <v/>
      </c>
      <c r="CF90" s="876">
        <f>((CE90)/(CD90))</f>
        <v/>
      </c>
    </row>
    <row r="91">
      <c r="D91" s="149" t="inlineStr">
        <is>
          <t>Month 66</t>
        </is>
      </c>
      <c r="E91" s="138">
        <f>'3C. Tel. - Revenue Drivers - 1 '!O27</f>
        <v/>
      </c>
      <c r="F91" s="1968" t="n"/>
      <c r="G91" s="978" t="n"/>
      <c r="H91" s="978" t="n"/>
      <c r="I91" s="978" t="n"/>
      <c r="J91" s="978" t="n"/>
      <c r="K91" s="978" t="n"/>
      <c r="L91" s="978" t="n"/>
      <c r="M91" s="978" t="n"/>
      <c r="N91" s="978" t="n"/>
      <c r="O91" s="978" t="n"/>
      <c r="P91" s="978" t="n"/>
      <c r="Q91" s="978" t="n"/>
      <c r="R91" s="981" t="n"/>
      <c r="S91" s="978" t="n"/>
      <c r="T91" s="978" t="n"/>
      <c r="U91" s="978" t="n"/>
      <c r="V91" s="978" t="n"/>
      <c r="W91" s="978" t="n"/>
      <c r="X91" s="978" t="n"/>
      <c r="Y91" s="978" t="n"/>
      <c r="Z91" s="978" t="n"/>
      <c r="AA91" s="978" t="n"/>
      <c r="AB91" s="978" t="n"/>
      <c r="AC91" s="978" t="n"/>
      <c r="AD91" s="981" t="n"/>
      <c r="AE91" s="978" t="n"/>
      <c r="AF91" s="978" t="n"/>
      <c r="AG91" s="978" t="n"/>
      <c r="AH91" s="978" t="n"/>
      <c r="AI91" s="978" t="n"/>
      <c r="AJ91" s="978" t="n"/>
      <c r="AK91" s="978" t="n"/>
      <c r="AL91" s="978" t="n"/>
      <c r="AM91" s="978" t="n"/>
      <c r="AN91" s="978" t="n"/>
      <c r="AO91" s="978" t="n"/>
      <c r="AP91" s="981" t="n"/>
      <c r="AQ91" s="978" t="n"/>
      <c r="AR91" s="978" t="n"/>
      <c r="AS91" s="978" t="n"/>
      <c r="AT91" s="978" t="n"/>
      <c r="AU91" s="978" t="n"/>
      <c r="AV91" s="978" t="n"/>
      <c r="AW91" s="978" t="n"/>
      <c r="AX91" s="978" t="n"/>
      <c r="AY91" s="978" t="n"/>
      <c r="AZ91" s="978" t="n"/>
      <c r="BA91" s="978" t="n"/>
      <c r="BB91" s="978" t="n"/>
      <c r="BC91" s="982" t="n"/>
      <c r="BD91" s="978" t="n"/>
      <c r="BE91" s="978" t="n"/>
      <c r="BF91" s="978" t="n"/>
      <c r="BG91" s="978" t="n"/>
      <c r="BH91" s="978" t="n"/>
      <c r="BI91" s="978" t="n"/>
      <c r="BJ91" s="978" t="n"/>
      <c r="BK91" s="978" t="n"/>
      <c r="BL91" s="978" t="n"/>
      <c r="BM91" s="978" t="n"/>
      <c r="BN91" s="875" t="n"/>
      <c r="BO91" s="880" t="n"/>
      <c r="BP91" s="875" t="n"/>
      <c r="BQ91" s="875" t="n"/>
      <c r="BR91" s="875" t="n"/>
      <c r="BS91" s="875" t="n"/>
      <c r="BT91" s="875" t="n"/>
      <c r="BU91" s="875">
        <f>(($E$91)*($G$11))</f>
        <v/>
      </c>
      <c r="BV91" s="875">
        <f>(($E$91)*($G$11))</f>
        <v/>
      </c>
      <c r="BW91" s="875">
        <f>(($E$91)*($G$11))</f>
        <v/>
      </c>
      <c r="BX91" s="875">
        <f>(($E$91)*($G$11))</f>
        <v/>
      </c>
      <c r="BY91" s="875">
        <f>(($E$91)*($G$11))</f>
        <v/>
      </c>
      <c r="BZ91" s="875">
        <f>(($E$91)*($G$11))</f>
        <v/>
      </c>
      <c r="CA91" s="406" t="n"/>
      <c r="CB91" s="136">
        <f>SUM(G91:BZ91)</f>
        <v/>
      </c>
      <c r="CC91" s="932" t="n"/>
      <c r="CD91" s="135">
        <f>(E91)</f>
        <v/>
      </c>
      <c r="CE91" s="136">
        <f>((CD91)-(CB91))</f>
        <v/>
      </c>
      <c r="CF91" s="876">
        <f>((CE91)/(CD91))</f>
        <v/>
      </c>
    </row>
    <row r="92">
      <c r="D92" s="149" t="inlineStr">
        <is>
          <t>Month 67</t>
        </is>
      </c>
      <c r="E92" s="138">
        <f>'3C. Tel. - Revenue Drivers - 1 '!P27</f>
        <v/>
      </c>
      <c r="F92" s="1968" t="n"/>
      <c r="G92" s="978" t="n"/>
      <c r="H92" s="978" t="n"/>
      <c r="I92" s="978" t="n"/>
      <c r="J92" s="978" t="n"/>
      <c r="K92" s="978" t="n"/>
      <c r="L92" s="978" t="n"/>
      <c r="M92" s="978" t="n"/>
      <c r="N92" s="978" t="n"/>
      <c r="O92" s="978" t="n"/>
      <c r="P92" s="978" t="n"/>
      <c r="Q92" s="978" t="n"/>
      <c r="R92" s="981" t="n"/>
      <c r="S92" s="978" t="n"/>
      <c r="T92" s="978" t="n"/>
      <c r="U92" s="978" t="n"/>
      <c r="V92" s="978" t="n"/>
      <c r="W92" s="978" t="n"/>
      <c r="X92" s="978" t="n"/>
      <c r="Y92" s="978" t="n"/>
      <c r="Z92" s="978" t="n"/>
      <c r="AA92" s="978" t="n"/>
      <c r="AB92" s="978" t="n"/>
      <c r="AC92" s="978" t="n"/>
      <c r="AD92" s="981" t="n"/>
      <c r="AE92" s="978" t="n"/>
      <c r="AF92" s="978" t="n"/>
      <c r="AG92" s="978" t="n"/>
      <c r="AH92" s="978" t="n"/>
      <c r="AI92" s="978" t="n"/>
      <c r="AJ92" s="978" t="n"/>
      <c r="AK92" s="978" t="n"/>
      <c r="AL92" s="978" t="n"/>
      <c r="AM92" s="978" t="n"/>
      <c r="AN92" s="978" t="n"/>
      <c r="AO92" s="978" t="n"/>
      <c r="AP92" s="981" t="n"/>
      <c r="AQ92" s="978" t="n"/>
      <c r="AR92" s="978" t="n"/>
      <c r="AS92" s="978" t="n"/>
      <c r="AT92" s="978" t="n"/>
      <c r="AU92" s="978" t="n"/>
      <c r="AV92" s="978" t="n"/>
      <c r="AW92" s="978" t="n"/>
      <c r="AX92" s="978" t="n"/>
      <c r="AY92" s="978" t="n"/>
      <c r="AZ92" s="978" t="n"/>
      <c r="BA92" s="978" t="n"/>
      <c r="BB92" s="978" t="n"/>
      <c r="BC92" s="982" t="n"/>
      <c r="BD92" s="978" t="n"/>
      <c r="BE92" s="978" t="n"/>
      <c r="BF92" s="978" t="n"/>
      <c r="BG92" s="978" t="n"/>
      <c r="BH92" s="978" t="n"/>
      <c r="BI92" s="978" t="n"/>
      <c r="BJ92" s="978" t="n"/>
      <c r="BK92" s="978" t="n"/>
      <c r="BL92" s="978" t="n"/>
      <c r="BM92" s="978" t="n"/>
      <c r="BN92" s="875" t="n"/>
      <c r="BO92" s="880" t="n"/>
      <c r="BP92" s="875" t="n"/>
      <c r="BQ92" s="875" t="n"/>
      <c r="BR92" s="875" t="n"/>
      <c r="BS92" s="875" t="n"/>
      <c r="BT92" s="875" t="n"/>
      <c r="BU92" s="875" t="n"/>
      <c r="BV92" s="875">
        <f>(($E$92)*($G$11))</f>
        <v/>
      </c>
      <c r="BW92" s="875">
        <f>(($E$92)*($G$11))</f>
        <v/>
      </c>
      <c r="BX92" s="875">
        <f>(($E$92)*($G$11))</f>
        <v/>
      </c>
      <c r="BY92" s="875">
        <f>(($E$92)*($G$11))</f>
        <v/>
      </c>
      <c r="BZ92" s="875">
        <f>(($E$92)*($G$11))</f>
        <v/>
      </c>
      <c r="CA92" s="406" t="n"/>
      <c r="CB92" s="136">
        <f>SUM(G92:BZ92)</f>
        <v/>
      </c>
      <c r="CC92" s="932" t="n"/>
      <c r="CD92" s="135">
        <f>(E92)</f>
        <v/>
      </c>
      <c r="CE92" s="136">
        <f>((CD92)-(CB92))</f>
        <v/>
      </c>
      <c r="CF92" s="876">
        <f>((CE92)/(CD92))</f>
        <v/>
      </c>
    </row>
    <row r="93">
      <c r="D93" s="149" t="inlineStr">
        <is>
          <t>Month 68</t>
        </is>
      </c>
      <c r="E93" s="138">
        <f>'3C. Tel. - Revenue Drivers - 1 '!Q27</f>
        <v/>
      </c>
      <c r="F93" s="1968" t="n"/>
      <c r="G93" s="978" t="n"/>
      <c r="H93" s="978" t="n"/>
      <c r="I93" s="978" t="n"/>
      <c r="J93" s="978" t="n"/>
      <c r="K93" s="978" t="n"/>
      <c r="L93" s="978" t="n"/>
      <c r="M93" s="978" t="n"/>
      <c r="N93" s="978" t="n"/>
      <c r="O93" s="978" t="n"/>
      <c r="P93" s="978" t="n"/>
      <c r="Q93" s="978" t="n"/>
      <c r="R93" s="981" t="n"/>
      <c r="S93" s="978" t="n"/>
      <c r="T93" s="978" t="n"/>
      <c r="U93" s="978" t="n"/>
      <c r="V93" s="978" t="n"/>
      <c r="W93" s="978" t="n"/>
      <c r="X93" s="978" t="n"/>
      <c r="Y93" s="978" t="n"/>
      <c r="Z93" s="978" t="n"/>
      <c r="AA93" s="978" t="n"/>
      <c r="AB93" s="978" t="n"/>
      <c r="AC93" s="978" t="n"/>
      <c r="AD93" s="981" t="n"/>
      <c r="AE93" s="978" t="n"/>
      <c r="AF93" s="978" t="n"/>
      <c r="AG93" s="978" t="n"/>
      <c r="AH93" s="978" t="n"/>
      <c r="AI93" s="978" t="n"/>
      <c r="AJ93" s="978" t="n"/>
      <c r="AK93" s="978" t="n"/>
      <c r="AL93" s="978" t="n"/>
      <c r="AM93" s="978" t="n"/>
      <c r="AN93" s="978" t="n"/>
      <c r="AO93" s="978" t="n"/>
      <c r="AP93" s="981" t="n"/>
      <c r="AQ93" s="978" t="n"/>
      <c r="AR93" s="978" t="n"/>
      <c r="AS93" s="978" t="n"/>
      <c r="AT93" s="978" t="n"/>
      <c r="AU93" s="978" t="n"/>
      <c r="AV93" s="978" t="n"/>
      <c r="AW93" s="978" t="n"/>
      <c r="AX93" s="978" t="n"/>
      <c r="AY93" s="978" t="n"/>
      <c r="AZ93" s="978" t="n"/>
      <c r="BA93" s="978" t="n"/>
      <c r="BB93" s="978" t="n"/>
      <c r="BC93" s="982" t="n"/>
      <c r="BD93" s="978" t="n"/>
      <c r="BE93" s="978" t="n"/>
      <c r="BF93" s="978" t="n"/>
      <c r="BG93" s="978" t="n"/>
      <c r="BH93" s="978" t="n"/>
      <c r="BI93" s="978" t="n"/>
      <c r="BJ93" s="978" t="n"/>
      <c r="BK93" s="978" t="n"/>
      <c r="BL93" s="978" t="n"/>
      <c r="BM93" s="978" t="n"/>
      <c r="BN93" s="875" t="n"/>
      <c r="BO93" s="880" t="n"/>
      <c r="BP93" s="875" t="n"/>
      <c r="BQ93" s="875" t="n"/>
      <c r="BR93" s="875" t="n"/>
      <c r="BS93" s="875" t="n"/>
      <c r="BT93" s="875" t="n"/>
      <c r="BU93" s="875" t="n"/>
      <c r="BV93" s="875" t="n"/>
      <c r="BW93" s="875">
        <f>(($E$93)*($G$11))</f>
        <v/>
      </c>
      <c r="BX93" s="875">
        <f>(($E$93)*($G$11))</f>
        <v/>
      </c>
      <c r="BY93" s="875">
        <f>(($E$93)*($G$11))</f>
        <v/>
      </c>
      <c r="BZ93" s="875">
        <f>(($E$93)*($G$11))</f>
        <v/>
      </c>
      <c r="CA93" s="406" t="n"/>
      <c r="CB93" s="136">
        <f>SUM(G93:BZ93)</f>
        <v/>
      </c>
      <c r="CC93" s="932" t="n"/>
      <c r="CD93" s="135">
        <f>(E93)</f>
        <v/>
      </c>
      <c r="CE93" s="136">
        <f>((CD93)-(CB93))</f>
        <v/>
      </c>
      <c r="CF93" s="876">
        <f>((CE93)/(CD93))</f>
        <v/>
      </c>
    </row>
    <row r="94">
      <c r="D94" s="149" t="inlineStr">
        <is>
          <t>Month 69</t>
        </is>
      </c>
      <c r="E94" s="138">
        <f>'3C. Tel. - Revenue Drivers - 1 '!R27</f>
        <v/>
      </c>
      <c r="F94" s="1968" t="n"/>
      <c r="G94" s="978" t="n"/>
      <c r="H94" s="978" t="n"/>
      <c r="I94" s="978" t="n"/>
      <c r="J94" s="978" t="n"/>
      <c r="K94" s="978" t="n"/>
      <c r="L94" s="978" t="n"/>
      <c r="M94" s="978" t="n"/>
      <c r="N94" s="978" t="n"/>
      <c r="O94" s="978" t="n"/>
      <c r="P94" s="978" t="n"/>
      <c r="Q94" s="978" t="n"/>
      <c r="R94" s="981" t="n"/>
      <c r="S94" s="978" t="n"/>
      <c r="T94" s="978" t="n"/>
      <c r="U94" s="978" t="n"/>
      <c r="V94" s="978" t="n"/>
      <c r="W94" s="978" t="n"/>
      <c r="X94" s="978" t="n"/>
      <c r="Y94" s="978" t="n"/>
      <c r="Z94" s="978" t="n"/>
      <c r="AA94" s="978" t="n"/>
      <c r="AB94" s="978" t="n"/>
      <c r="AC94" s="978" t="n"/>
      <c r="AD94" s="981" t="n"/>
      <c r="AE94" s="978" t="n"/>
      <c r="AF94" s="978" t="n"/>
      <c r="AG94" s="978" t="n"/>
      <c r="AH94" s="978" t="n"/>
      <c r="AI94" s="978" t="n"/>
      <c r="AJ94" s="978" t="n"/>
      <c r="AK94" s="978" t="n"/>
      <c r="AL94" s="978" t="n"/>
      <c r="AM94" s="978" t="n"/>
      <c r="AN94" s="978" t="n"/>
      <c r="AO94" s="978" t="n"/>
      <c r="AP94" s="981" t="n"/>
      <c r="AQ94" s="978" t="n"/>
      <c r="AR94" s="978" t="n"/>
      <c r="AS94" s="978" t="n"/>
      <c r="AT94" s="978" t="n"/>
      <c r="AU94" s="978" t="n"/>
      <c r="AV94" s="978" t="n"/>
      <c r="AW94" s="978" t="n"/>
      <c r="AX94" s="978" t="n"/>
      <c r="AY94" s="978" t="n"/>
      <c r="AZ94" s="978" t="n"/>
      <c r="BA94" s="978" t="n"/>
      <c r="BB94" s="978" t="n"/>
      <c r="BC94" s="982" t="n"/>
      <c r="BD94" s="978" t="n"/>
      <c r="BE94" s="978" t="n"/>
      <c r="BF94" s="978" t="n"/>
      <c r="BG94" s="978" t="n"/>
      <c r="BH94" s="978" t="n"/>
      <c r="BI94" s="978" t="n"/>
      <c r="BJ94" s="978" t="n"/>
      <c r="BK94" s="978" t="n"/>
      <c r="BL94" s="978" t="n"/>
      <c r="BM94" s="978" t="n"/>
      <c r="BN94" s="875" t="n"/>
      <c r="BO94" s="880" t="n"/>
      <c r="BP94" s="875" t="n"/>
      <c r="BQ94" s="875" t="n"/>
      <c r="BR94" s="875" t="n"/>
      <c r="BS94" s="875" t="n"/>
      <c r="BT94" s="875" t="n"/>
      <c r="BU94" s="875" t="n"/>
      <c r="BV94" s="875" t="n"/>
      <c r="BW94" s="875" t="n"/>
      <c r="BX94" s="875">
        <f>(($E$94)*($G$11))</f>
        <v/>
      </c>
      <c r="BY94" s="875">
        <f>(($E$94)*($G$11))</f>
        <v/>
      </c>
      <c r="BZ94" s="875">
        <f>(($E$94)*($G$11))</f>
        <v/>
      </c>
      <c r="CA94" s="406" t="n"/>
      <c r="CB94" s="136">
        <f>SUM(G94:BZ94)</f>
        <v/>
      </c>
      <c r="CC94" s="932" t="n"/>
      <c r="CD94" s="135">
        <f>(E94)</f>
        <v/>
      </c>
      <c r="CE94" s="136">
        <f>((CD94)-(CB94))</f>
        <v/>
      </c>
      <c r="CF94" s="876">
        <f>((CE94)/(CD94))</f>
        <v/>
      </c>
    </row>
    <row r="95">
      <c r="D95" s="149" t="inlineStr">
        <is>
          <t>Month 70</t>
        </is>
      </c>
      <c r="E95" s="138">
        <f>'3C. Tel. - Revenue Drivers - 1 '!S27</f>
        <v/>
      </c>
      <c r="F95" s="1968" t="n"/>
      <c r="G95" s="978" t="n"/>
      <c r="H95" s="978" t="n"/>
      <c r="I95" s="978" t="n"/>
      <c r="J95" s="978" t="n"/>
      <c r="K95" s="978" t="n"/>
      <c r="L95" s="978" t="n"/>
      <c r="M95" s="978" t="n"/>
      <c r="N95" s="978" t="n"/>
      <c r="O95" s="978" t="n"/>
      <c r="P95" s="978" t="n"/>
      <c r="Q95" s="978" t="n"/>
      <c r="R95" s="981" t="n"/>
      <c r="S95" s="978" t="n"/>
      <c r="T95" s="978" t="n"/>
      <c r="U95" s="978" t="n"/>
      <c r="V95" s="978" t="n"/>
      <c r="W95" s="978" t="n"/>
      <c r="X95" s="978" t="n"/>
      <c r="Y95" s="978" t="n"/>
      <c r="Z95" s="978" t="n"/>
      <c r="AA95" s="978" t="n"/>
      <c r="AB95" s="978" t="n"/>
      <c r="AC95" s="978" t="n"/>
      <c r="AD95" s="981" t="n"/>
      <c r="AE95" s="978" t="n"/>
      <c r="AF95" s="978" t="n"/>
      <c r="AG95" s="978" t="n"/>
      <c r="AH95" s="978" t="n"/>
      <c r="AI95" s="978" t="n"/>
      <c r="AJ95" s="978" t="n"/>
      <c r="AK95" s="978" t="n"/>
      <c r="AL95" s="978" t="n"/>
      <c r="AM95" s="978" t="n"/>
      <c r="AN95" s="978" t="n"/>
      <c r="AO95" s="978" t="n"/>
      <c r="AP95" s="981" t="n"/>
      <c r="AQ95" s="978" t="n"/>
      <c r="AR95" s="978" t="n"/>
      <c r="AS95" s="978" t="n"/>
      <c r="AT95" s="978" t="n"/>
      <c r="AU95" s="978" t="n"/>
      <c r="AV95" s="978" t="n"/>
      <c r="AW95" s="978" t="n"/>
      <c r="AX95" s="978" t="n"/>
      <c r="AY95" s="978" t="n"/>
      <c r="AZ95" s="978" t="n"/>
      <c r="BA95" s="978" t="n"/>
      <c r="BB95" s="978" t="n"/>
      <c r="BC95" s="982" t="n"/>
      <c r="BD95" s="978" t="n"/>
      <c r="BE95" s="978" t="n"/>
      <c r="BF95" s="978" t="n"/>
      <c r="BG95" s="978" t="n"/>
      <c r="BH95" s="978" t="n"/>
      <c r="BI95" s="978" t="n"/>
      <c r="BJ95" s="978" t="n"/>
      <c r="BK95" s="978" t="n"/>
      <c r="BL95" s="978" t="n"/>
      <c r="BM95" s="978" t="n"/>
      <c r="BN95" s="875" t="n"/>
      <c r="BO95" s="880" t="n"/>
      <c r="BP95" s="875" t="n"/>
      <c r="BQ95" s="875" t="n"/>
      <c r="BR95" s="875" t="n"/>
      <c r="BS95" s="875" t="n"/>
      <c r="BT95" s="875" t="n"/>
      <c r="BU95" s="875" t="n"/>
      <c r="BV95" s="875" t="n"/>
      <c r="BW95" s="875" t="n"/>
      <c r="BX95" s="875" t="n"/>
      <c r="BY95" s="875">
        <f>(($E$95)*($G$11))</f>
        <v/>
      </c>
      <c r="BZ95" s="875">
        <f>(($E$95)*($G$11))</f>
        <v/>
      </c>
      <c r="CA95" s="406" t="n"/>
      <c r="CB95" s="136">
        <f>SUM(G95:BZ95)</f>
        <v/>
      </c>
      <c r="CC95" s="932" t="n"/>
      <c r="CD95" s="135">
        <f>(E95)</f>
        <v/>
      </c>
      <c r="CE95" s="136">
        <f>((CD95)-(CB95))</f>
        <v/>
      </c>
      <c r="CF95" s="876">
        <f>((CE95)/(CD95))</f>
        <v/>
      </c>
    </row>
    <row r="96">
      <c r="D96" s="149" t="inlineStr">
        <is>
          <t>Month 71</t>
        </is>
      </c>
      <c r="E96" s="138">
        <f>'3C. Tel. - Revenue Drivers - 1 '!T27</f>
        <v/>
      </c>
      <c r="F96" s="1968" t="n"/>
      <c r="G96" s="978" t="n"/>
      <c r="H96" s="978" t="n"/>
      <c r="I96" s="978" t="n"/>
      <c r="J96" s="978" t="n"/>
      <c r="K96" s="978" t="n"/>
      <c r="L96" s="978" t="n"/>
      <c r="M96" s="978" t="n"/>
      <c r="N96" s="978" t="n"/>
      <c r="O96" s="978" t="n"/>
      <c r="P96" s="978" t="n"/>
      <c r="Q96" s="978" t="n"/>
      <c r="R96" s="981" t="n"/>
      <c r="S96" s="978" t="n"/>
      <c r="T96" s="978" t="n"/>
      <c r="U96" s="978" t="n"/>
      <c r="V96" s="978" t="n"/>
      <c r="W96" s="978" t="n"/>
      <c r="X96" s="978" t="n"/>
      <c r="Y96" s="978" t="n"/>
      <c r="Z96" s="978" t="n"/>
      <c r="AA96" s="978" t="n"/>
      <c r="AB96" s="978" t="n"/>
      <c r="AC96" s="978" t="n"/>
      <c r="AD96" s="981" t="n"/>
      <c r="AE96" s="978" t="n"/>
      <c r="AF96" s="978" t="n"/>
      <c r="AG96" s="978" t="n"/>
      <c r="AH96" s="978" t="n"/>
      <c r="AI96" s="978" t="n"/>
      <c r="AJ96" s="978" t="n"/>
      <c r="AK96" s="978" t="n"/>
      <c r="AL96" s="978" t="n"/>
      <c r="AM96" s="978" t="n"/>
      <c r="AN96" s="978" t="n"/>
      <c r="AO96" s="978" t="n"/>
      <c r="AP96" s="981" t="n"/>
      <c r="AQ96" s="978" t="n"/>
      <c r="AR96" s="978" t="n"/>
      <c r="AS96" s="978" t="n"/>
      <c r="AT96" s="978" t="n"/>
      <c r="AU96" s="978" t="n"/>
      <c r="AV96" s="978" t="n"/>
      <c r="AW96" s="978" t="n"/>
      <c r="AX96" s="978" t="n"/>
      <c r="AY96" s="978" t="n"/>
      <c r="AZ96" s="978" t="n"/>
      <c r="BA96" s="978" t="n"/>
      <c r="BB96" s="978" t="n"/>
      <c r="BC96" s="982" t="n"/>
      <c r="BD96" s="978" t="n"/>
      <c r="BE96" s="978" t="n"/>
      <c r="BF96" s="978" t="n"/>
      <c r="BG96" s="978" t="n"/>
      <c r="BH96" s="978" t="n"/>
      <c r="BI96" s="978" t="n"/>
      <c r="BJ96" s="978" t="n"/>
      <c r="BK96" s="978" t="n"/>
      <c r="BL96" s="978" t="n"/>
      <c r="BM96" s="978" t="n"/>
      <c r="BN96" s="875" t="n"/>
      <c r="BO96" s="880" t="n"/>
      <c r="BP96" s="875" t="n"/>
      <c r="BQ96" s="875" t="n"/>
      <c r="BR96" s="875" t="n"/>
      <c r="BS96" s="875" t="n"/>
      <c r="BT96" s="875" t="n"/>
      <c r="BU96" s="875" t="n"/>
      <c r="BV96" s="875" t="n"/>
      <c r="BW96" s="875" t="n"/>
      <c r="BX96" s="875" t="n"/>
      <c r="BY96" s="875" t="n"/>
      <c r="BZ96" s="875">
        <f>(($E$96)*($G$11))</f>
        <v/>
      </c>
      <c r="CA96" s="406" t="n"/>
      <c r="CB96" s="136">
        <f>SUM(G96:BZ96)</f>
        <v/>
      </c>
      <c r="CC96" s="932" t="n"/>
      <c r="CD96" s="135">
        <f>(E96)</f>
        <v/>
      </c>
      <c r="CE96" s="136">
        <f>((CD96)-(CB96))</f>
        <v/>
      </c>
      <c r="CF96" s="876">
        <f>((CE96)/(CD96))</f>
        <v/>
      </c>
    </row>
    <row r="97">
      <c r="D97" s="149" t="inlineStr">
        <is>
          <t>Month 72</t>
        </is>
      </c>
      <c r="E97" s="138">
        <f>'3C. Tel. - Revenue Drivers - 1 '!U27</f>
        <v/>
      </c>
      <c r="F97" s="1968" t="n"/>
      <c r="G97" s="978" t="n"/>
      <c r="H97" s="978" t="n"/>
      <c r="I97" s="978" t="n"/>
      <c r="J97" s="978" t="n"/>
      <c r="K97" s="978" t="n"/>
      <c r="L97" s="978" t="n"/>
      <c r="M97" s="978" t="n"/>
      <c r="N97" s="978" t="n"/>
      <c r="O97" s="978" t="n"/>
      <c r="P97" s="978" t="n"/>
      <c r="Q97" s="978" t="n"/>
      <c r="R97" s="981" t="n"/>
      <c r="S97" s="978" t="n"/>
      <c r="T97" s="978" t="n"/>
      <c r="U97" s="978" t="n"/>
      <c r="V97" s="978" t="n"/>
      <c r="W97" s="978" t="n"/>
      <c r="X97" s="978" t="n"/>
      <c r="Y97" s="978" t="n"/>
      <c r="Z97" s="978" t="n"/>
      <c r="AA97" s="978" t="n"/>
      <c r="AB97" s="978" t="n"/>
      <c r="AC97" s="978" t="n"/>
      <c r="AD97" s="981" t="n"/>
      <c r="AE97" s="978" t="n"/>
      <c r="AF97" s="978" t="n"/>
      <c r="AG97" s="978" t="n"/>
      <c r="AH97" s="978" t="n"/>
      <c r="AI97" s="978" t="n"/>
      <c r="AJ97" s="978" t="n"/>
      <c r="AK97" s="978" t="n"/>
      <c r="AL97" s="978" t="n"/>
      <c r="AM97" s="978" t="n"/>
      <c r="AN97" s="978" t="n"/>
      <c r="AO97" s="978" t="n"/>
      <c r="AP97" s="981" t="n"/>
      <c r="AQ97" s="978" t="n"/>
      <c r="AR97" s="978" t="n"/>
      <c r="AS97" s="978" t="n"/>
      <c r="AT97" s="978" t="n"/>
      <c r="AU97" s="978" t="n"/>
      <c r="AV97" s="978" t="n"/>
      <c r="AW97" s="978" t="n"/>
      <c r="AX97" s="978" t="n"/>
      <c r="AY97" s="978" t="n"/>
      <c r="AZ97" s="978" t="n"/>
      <c r="BA97" s="978" t="n"/>
      <c r="BB97" s="978" t="n"/>
      <c r="BC97" s="982" t="n"/>
      <c r="BD97" s="978" t="n"/>
      <c r="BE97" s="978" t="n"/>
      <c r="BF97" s="978" t="n"/>
      <c r="BG97" s="978" t="n"/>
      <c r="BH97" s="978" t="n"/>
      <c r="BI97" s="978" t="n"/>
      <c r="BJ97" s="978" t="n"/>
      <c r="BK97" s="978" t="n"/>
      <c r="BL97" s="978" t="n"/>
      <c r="BM97" s="978" t="n"/>
      <c r="BN97" s="875" t="n"/>
      <c r="BO97" s="880" t="n"/>
      <c r="BP97" s="875" t="n"/>
      <c r="BQ97" s="875" t="n"/>
      <c r="BR97" s="875" t="n"/>
      <c r="BS97" s="875" t="n"/>
      <c r="BT97" s="875" t="n"/>
      <c r="BU97" s="875" t="n"/>
      <c r="BV97" s="875" t="n"/>
      <c r="BW97" s="875" t="n"/>
      <c r="BX97" s="875" t="n"/>
      <c r="BY97" s="875" t="n"/>
      <c r="BZ97" s="875" t="n"/>
      <c r="CA97" s="406" t="n"/>
      <c r="CB97" s="136">
        <f>SUM(G97:BZ97)</f>
        <v/>
      </c>
      <c r="CC97" s="932" t="n"/>
      <c r="CD97" s="135">
        <f>(E97)</f>
        <v/>
      </c>
      <c r="CE97" s="136">
        <f>((CD97)-(CB97))</f>
        <v/>
      </c>
      <c r="CF97" s="876">
        <f>((CE97)/(CD97))</f>
        <v/>
      </c>
    </row>
    <row r="98" ht="3" customHeight="1" s="1883">
      <c r="D98" s="626" t="n"/>
      <c r="E98" s="926" t="n"/>
      <c r="F98" s="626" t="n"/>
      <c r="G98" s="933" t="n"/>
      <c r="H98" s="933" t="n"/>
      <c r="I98" s="933" t="n"/>
      <c r="J98" s="933" t="n"/>
      <c r="K98" s="933" t="n"/>
      <c r="L98" s="933" t="n"/>
      <c r="M98" s="933" t="n"/>
      <c r="N98" s="933" t="n"/>
      <c r="O98" s="933" t="n"/>
      <c r="P98" s="933" t="n"/>
      <c r="Q98" s="933" t="n"/>
      <c r="R98" s="983" t="n"/>
      <c r="S98" s="933" t="n"/>
      <c r="T98" s="933" t="n"/>
      <c r="U98" s="933" t="n"/>
      <c r="V98" s="933" t="n"/>
      <c r="W98" s="933" t="n"/>
      <c r="X98" s="933" t="n"/>
      <c r="Y98" s="933" t="n"/>
      <c r="Z98" s="933" t="n"/>
      <c r="AA98" s="933" t="n"/>
      <c r="AB98" s="933" t="n"/>
      <c r="AC98" s="933" t="n"/>
      <c r="AD98" s="983" t="n"/>
      <c r="AE98" s="933" t="n"/>
      <c r="AF98" s="933" t="n"/>
      <c r="AG98" s="933" t="n"/>
      <c r="AH98" s="933" t="n"/>
      <c r="AI98" s="933" t="n"/>
      <c r="AJ98" s="933" t="n"/>
      <c r="AK98" s="933" t="n"/>
      <c r="AL98" s="933" t="n"/>
      <c r="AM98" s="933" t="n"/>
      <c r="AN98" s="933" t="n"/>
      <c r="AO98" s="933" t="n"/>
      <c r="AP98" s="983" t="n"/>
      <c r="AQ98" s="933" t="n"/>
      <c r="AR98" s="933" t="n"/>
      <c r="AS98" s="933" t="n"/>
      <c r="AT98" s="933" t="n"/>
      <c r="AU98" s="933" t="n"/>
      <c r="AV98" s="933" t="n"/>
      <c r="AW98" s="933" t="n"/>
      <c r="AX98" s="933" t="n"/>
      <c r="AY98" s="933" t="n"/>
      <c r="AZ98" s="933" t="n"/>
      <c r="BA98" s="933" t="n"/>
      <c r="BB98" s="933" t="n"/>
      <c r="BC98" s="984" t="n"/>
      <c r="BD98" s="933" t="n"/>
      <c r="BE98" s="933" t="n"/>
      <c r="BF98" s="933" t="n"/>
      <c r="BG98" s="933" t="n"/>
      <c r="BH98" s="933" t="n"/>
      <c r="BI98" s="933" t="n"/>
      <c r="BJ98" s="933" t="n"/>
      <c r="BK98" s="933" t="n"/>
      <c r="BL98" s="933" t="n"/>
      <c r="BM98" s="933" t="n"/>
      <c r="BN98" s="933" t="n"/>
      <c r="BO98" s="984" t="n"/>
      <c r="BP98" s="933" t="n"/>
      <c r="BQ98" s="933" t="n"/>
      <c r="BR98" s="933" t="n"/>
      <c r="BS98" s="933" t="n"/>
      <c r="BT98" s="933" t="n"/>
      <c r="BU98" s="933" t="n"/>
      <c r="BV98" s="933" t="n"/>
      <c r="BW98" s="933" t="n"/>
      <c r="BX98" s="933" t="n"/>
      <c r="BY98" s="933" t="n"/>
      <c r="BZ98" s="933" t="n"/>
      <c r="CA98" s="932" t="n"/>
      <c r="CB98" s="933" t="n"/>
      <c r="CC98" s="932" t="n"/>
      <c r="CD98" s="933" t="n"/>
      <c r="CE98" s="933" t="n"/>
      <c r="CF98" s="407" t="n"/>
    </row>
    <row r="99" ht="3" customHeight="1" s="1883">
      <c r="D99" s="626" t="n"/>
      <c r="E99" s="117" t="n"/>
      <c r="F99" s="626" t="n"/>
      <c r="G99" s="932" t="n"/>
      <c r="H99" s="932" t="n"/>
      <c r="I99" s="932" t="n"/>
      <c r="J99" s="932" t="n"/>
      <c r="K99" s="932" t="n"/>
      <c r="L99" s="932" t="n"/>
      <c r="M99" s="932" t="n"/>
      <c r="N99" s="932" t="n"/>
      <c r="O99" s="932" t="n"/>
      <c r="P99" s="932" t="n"/>
      <c r="Q99" s="932" t="n"/>
      <c r="R99" s="985" t="n"/>
      <c r="S99" s="932" t="n"/>
      <c r="T99" s="932" t="n"/>
      <c r="U99" s="932" t="n"/>
      <c r="V99" s="932" t="n"/>
      <c r="W99" s="932" t="n"/>
      <c r="X99" s="932" t="n"/>
      <c r="Y99" s="932" t="n"/>
      <c r="Z99" s="932" t="n"/>
      <c r="AA99" s="932" t="n"/>
      <c r="AB99" s="932" t="n"/>
      <c r="AC99" s="932" t="n"/>
      <c r="AD99" s="985" t="n"/>
      <c r="AE99" s="932" t="n"/>
      <c r="AF99" s="932" t="n"/>
      <c r="AG99" s="932" t="n"/>
      <c r="AH99" s="932" t="n"/>
      <c r="AI99" s="932" t="n"/>
      <c r="AJ99" s="932" t="n"/>
      <c r="AK99" s="932" t="n"/>
      <c r="AL99" s="932" t="n"/>
      <c r="AM99" s="932" t="n"/>
      <c r="AN99" s="932" t="n"/>
      <c r="AO99" s="932" t="n"/>
      <c r="AP99" s="985" t="n"/>
      <c r="AQ99" s="932" t="n"/>
      <c r="AR99" s="932" t="n"/>
      <c r="AS99" s="932" t="n"/>
      <c r="AT99" s="932" t="n"/>
      <c r="AU99" s="932" t="n"/>
      <c r="AV99" s="932" t="n"/>
      <c r="AW99" s="932" t="n"/>
      <c r="AX99" s="932" t="n"/>
      <c r="AY99" s="932" t="n"/>
      <c r="AZ99" s="932" t="n"/>
      <c r="BA99" s="932" t="n"/>
      <c r="BB99" s="934" t="n"/>
      <c r="BC99" s="986" t="n"/>
      <c r="BD99" s="932" t="n"/>
      <c r="BE99" s="932" t="n"/>
      <c r="BF99" s="932" t="n"/>
      <c r="BG99" s="932" t="n"/>
      <c r="BH99" s="932" t="n"/>
      <c r="BI99" s="932" t="n"/>
      <c r="BJ99" s="932" t="n"/>
      <c r="BK99" s="932" t="n"/>
      <c r="BL99" s="932" t="n"/>
      <c r="BM99" s="932" t="n"/>
      <c r="BN99" s="932" t="n"/>
      <c r="BO99" s="986" t="n"/>
      <c r="BP99" s="932" t="n"/>
      <c r="BQ99" s="932" t="n"/>
      <c r="BR99" s="932" t="n"/>
      <c r="BS99" s="932" t="n"/>
      <c r="BT99" s="932" t="n"/>
      <c r="BU99" s="932" t="n"/>
      <c r="BV99" s="932" t="n"/>
      <c r="BW99" s="932" t="n"/>
      <c r="BX99" s="932" t="n"/>
      <c r="BY99" s="932" t="n"/>
      <c r="BZ99" s="932" t="n"/>
      <c r="CA99" s="932" t="n"/>
      <c r="CB99" s="932" t="n"/>
      <c r="CC99" s="932" t="n"/>
      <c r="CD99" s="932" t="n"/>
      <c r="CE99" s="932" t="n"/>
      <c r="CF99" s="407" t="n"/>
    </row>
    <row r="100">
      <c r="D100" s="419" t="inlineStr">
        <is>
          <t>Total</t>
        </is>
      </c>
      <c r="E100" s="138">
        <f>SUM(E26:E87)</f>
        <v/>
      </c>
      <c r="F100" s="626" t="n"/>
      <c r="G100" s="136">
        <f>SUM(G26:G97)</f>
        <v/>
      </c>
      <c r="H100" s="136">
        <f>SUM(H26:H97)</f>
        <v/>
      </c>
      <c r="I100" s="136">
        <f>SUM(I26:I97)</f>
        <v/>
      </c>
      <c r="J100" s="136">
        <f>SUM(J26:J97)</f>
        <v/>
      </c>
      <c r="K100" s="136">
        <f>SUM(K26:K97)</f>
        <v/>
      </c>
      <c r="L100" s="136">
        <f>SUM(L26:L97)</f>
        <v/>
      </c>
      <c r="M100" s="136">
        <f>SUM(M26:M97)</f>
        <v/>
      </c>
      <c r="N100" s="136">
        <f>SUM(N26:N97)</f>
        <v/>
      </c>
      <c r="O100" s="136">
        <f>SUM(O26:O97)</f>
        <v/>
      </c>
      <c r="P100" s="136">
        <f>SUM(P26:P97)</f>
        <v/>
      </c>
      <c r="Q100" s="136">
        <f>SUM(Q26:Q97)</f>
        <v/>
      </c>
      <c r="R100" s="987">
        <f>SUM(R26:R97)</f>
        <v/>
      </c>
      <c r="S100" s="136">
        <f>SUM(S26:S97)</f>
        <v/>
      </c>
      <c r="T100" s="136">
        <f>SUM(T26:T97)</f>
        <v/>
      </c>
      <c r="U100" s="136">
        <f>SUM(U26:U97)</f>
        <v/>
      </c>
      <c r="V100" s="136">
        <f>SUM(V26:V97)</f>
        <v/>
      </c>
      <c r="W100" s="136">
        <f>SUM(W26:W97)</f>
        <v/>
      </c>
      <c r="X100" s="136">
        <f>SUM(X26:X97)</f>
        <v/>
      </c>
      <c r="Y100" s="136">
        <f>SUM(Y26:Y97)</f>
        <v/>
      </c>
      <c r="Z100" s="136">
        <f>SUM(Z26:Z97)</f>
        <v/>
      </c>
      <c r="AA100" s="136">
        <f>SUM(AA26:AA97)</f>
        <v/>
      </c>
      <c r="AB100" s="136">
        <f>SUM(AB26:AB97)</f>
        <v/>
      </c>
      <c r="AC100" s="136">
        <f>SUM(AC26:AC97)</f>
        <v/>
      </c>
      <c r="AD100" s="987">
        <f>SUM(AD26:AD97)</f>
        <v/>
      </c>
      <c r="AE100" s="136">
        <f>SUM(AE26:AE97)</f>
        <v/>
      </c>
      <c r="AF100" s="136">
        <f>SUM(AF26:AF97)</f>
        <v/>
      </c>
      <c r="AG100" s="136">
        <f>SUM(AG26:AG97)</f>
        <v/>
      </c>
      <c r="AH100" s="136">
        <f>SUM(AH26:AH97)</f>
        <v/>
      </c>
      <c r="AI100" s="136">
        <f>SUM(AI26:AI97)</f>
        <v/>
      </c>
      <c r="AJ100" s="136">
        <f>SUM(AJ26:AJ97)</f>
        <v/>
      </c>
      <c r="AK100" s="136">
        <f>SUM(AK26:AK97)</f>
        <v/>
      </c>
      <c r="AL100" s="136">
        <f>SUM(AL26:AL97)</f>
        <v/>
      </c>
      <c r="AM100" s="136">
        <f>SUM(AM26:AM97)</f>
        <v/>
      </c>
      <c r="AN100" s="136">
        <f>SUM(AN26:AN97)</f>
        <v/>
      </c>
      <c r="AO100" s="136">
        <f>SUM(AO26:AO97)</f>
        <v/>
      </c>
      <c r="AP100" s="987">
        <f>SUM(AP26:AP97)</f>
        <v/>
      </c>
      <c r="AQ100" s="136">
        <f>SUM(AQ26:AQ97)</f>
        <v/>
      </c>
      <c r="AR100" s="136">
        <f>SUM(AR26:AR97)</f>
        <v/>
      </c>
      <c r="AS100" s="136">
        <f>SUM(AS26:AS97)</f>
        <v/>
      </c>
      <c r="AT100" s="136">
        <f>SUM(AT26:AT97)</f>
        <v/>
      </c>
      <c r="AU100" s="136">
        <f>SUM(AU26:AU97)</f>
        <v/>
      </c>
      <c r="AV100" s="136">
        <f>SUM(AV26:AV97)</f>
        <v/>
      </c>
      <c r="AW100" s="136">
        <f>SUM(AW26:AW97)</f>
        <v/>
      </c>
      <c r="AX100" s="136">
        <f>SUM(AX26:AX97)</f>
        <v/>
      </c>
      <c r="AY100" s="136">
        <f>SUM(AY26:AY97)</f>
        <v/>
      </c>
      <c r="AZ100" s="136">
        <f>SUM(AZ26:AZ97)</f>
        <v/>
      </c>
      <c r="BA100" s="136">
        <f>SUM(BA26:BA97)</f>
        <v/>
      </c>
      <c r="BB100" s="414">
        <f>SUM(BB26:BB97)</f>
        <v/>
      </c>
      <c r="BC100" s="416">
        <f>SUM(BC26:BC97)</f>
        <v/>
      </c>
      <c r="BD100" s="136">
        <f>SUM(BD26:BD97)</f>
        <v/>
      </c>
      <c r="BE100" s="136">
        <f>SUM(BE26:BE97)</f>
        <v/>
      </c>
      <c r="BF100" s="136">
        <f>SUM(BF26:BF97)</f>
        <v/>
      </c>
      <c r="BG100" s="136">
        <f>SUM(BG26:BG97)</f>
        <v/>
      </c>
      <c r="BH100" s="136">
        <f>SUM(BH26:BH97)</f>
        <v/>
      </c>
      <c r="BI100" s="136">
        <f>SUM(BI26:BI97)</f>
        <v/>
      </c>
      <c r="BJ100" s="136">
        <f>SUM(BJ26:BJ97)</f>
        <v/>
      </c>
      <c r="BK100" s="136">
        <f>SUM(BK26:BK97)</f>
        <v/>
      </c>
      <c r="BL100" s="136">
        <f>SUM(BL26:BL97)</f>
        <v/>
      </c>
      <c r="BM100" s="136">
        <f>SUM(BM26:BM97)</f>
        <v/>
      </c>
      <c r="BN100" s="136">
        <f>SUM(BN26:BN97)</f>
        <v/>
      </c>
      <c r="BO100" s="416">
        <f>SUM(BO26:BO97)</f>
        <v/>
      </c>
      <c r="BP100" s="136">
        <f>SUM(BP26:BP97)</f>
        <v/>
      </c>
      <c r="BQ100" s="136">
        <f>SUM(BQ26:BQ97)</f>
        <v/>
      </c>
      <c r="BR100" s="136">
        <f>SUM(BR26:BR97)</f>
        <v/>
      </c>
      <c r="BS100" s="136">
        <f>SUM(BS26:BS97)</f>
        <v/>
      </c>
      <c r="BT100" s="136">
        <f>SUM(BT26:BT97)</f>
        <v/>
      </c>
      <c r="BU100" s="136">
        <f>SUM(BU26:BU97)</f>
        <v/>
      </c>
      <c r="BV100" s="136">
        <f>SUM(BV26:BV97)</f>
        <v/>
      </c>
      <c r="BW100" s="136">
        <f>SUM(BW26:BW97)</f>
        <v/>
      </c>
      <c r="BX100" s="136">
        <f>SUM(BX26:BX97)</f>
        <v/>
      </c>
      <c r="BY100" s="136">
        <f>SUM(BY26:BY97)</f>
        <v/>
      </c>
      <c r="BZ100" s="136">
        <f>SUM(BZ26:BZ97)</f>
        <v/>
      </c>
      <c r="CA100" s="932" t="n"/>
      <c r="CB100" s="401">
        <f>SUM(CB26:CB97)</f>
        <v/>
      </c>
      <c r="CC100" s="932" t="n"/>
      <c r="CD100" s="401">
        <f>SUM(CD26:CD97)</f>
        <v/>
      </c>
      <c r="CE100" s="401">
        <f>SUM(CE26:CE97)</f>
        <v/>
      </c>
      <c r="CF100" s="407" t="n"/>
    </row>
    <row r="101" ht="3" customHeight="1" s="1883" thickBot="1">
      <c r="D101" s="626" t="n"/>
      <c r="E101" s="988" t="n"/>
      <c r="F101" s="626" t="n"/>
      <c r="G101" s="989" t="n"/>
      <c r="H101" s="989" t="n"/>
      <c r="I101" s="989" t="n"/>
      <c r="J101" s="989" t="n"/>
      <c r="K101" s="989" t="n"/>
      <c r="L101" s="989" t="n"/>
      <c r="M101" s="989" t="n"/>
      <c r="N101" s="989" t="n"/>
      <c r="O101" s="989" t="n"/>
      <c r="P101" s="989" t="n"/>
      <c r="Q101" s="989" t="n"/>
      <c r="R101" s="990" t="n"/>
      <c r="S101" s="989" t="n"/>
      <c r="T101" s="989" t="n"/>
      <c r="U101" s="989" t="n"/>
      <c r="V101" s="989" t="n"/>
      <c r="W101" s="989" t="n"/>
      <c r="X101" s="989" t="n"/>
      <c r="Y101" s="989" t="n"/>
      <c r="Z101" s="989" t="n"/>
      <c r="AA101" s="989" t="n"/>
      <c r="AB101" s="989" t="n"/>
      <c r="AC101" s="989" t="n"/>
      <c r="AD101" s="990" t="n"/>
      <c r="AE101" s="989" t="n"/>
      <c r="AF101" s="989" t="n"/>
      <c r="AG101" s="989" t="n"/>
      <c r="AH101" s="989" t="n"/>
      <c r="AI101" s="989" t="n"/>
      <c r="AJ101" s="989" t="n"/>
      <c r="AK101" s="989" t="n"/>
      <c r="AL101" s="989" t="n"/>
      <c r="AM101" s="989" t="n"/>
      <c r="AN101" s="989" t="n"/>
      <c r="AO101" s="989" t="n"/>
      <c r="AP101" s="990" t="n"/>
      <c r="AQ101" s="989" t="n"/>
      <c r="AR101" s="989" t="n"/>
      <c r="AS101" s="989" t="n"/>
      <c r="AT101" s="989" t="n"/>
      <c r="AU101" s="989" t="n"/>
      <c r="AV101" s="989" t="n"/>
      <c r="AW101" s="989" t="n"/>
      <c r="AX101" s="989" t="n"/>
      <c r="AY101" s="989" t="n"/>
      <c r="AZ101" s="989" t="n"/>
      <c r="BA101" s="989" t="n"/>
      <c r="BB101" s="989" t="n"/>
      <c r="BC101" s="991" t="n"/>
      <c r="BD101" s="989" t="n"/>
      <c r="BE101" s="989" t="n"/>
      <c r="BF101" s="989" t="n"/>
      <c r="BG101" s="989" t="n"/>
      <c r="BH101" s="989" t="n"/>
      <c r="BI101" s="989" t="n"/>
      <c r="BJ101" s="989" t="n"/>
      <c r="BK101" s="989" t="n"/>
      <c r="BL101" s="989" t="n"/>
      <c r="BM101" s="989" t="n"/>
      <c r="BN101" s="989" t="n"/>
      <c r="BO101" s="991" t="n"/>
      <c r="BP101" s="989" t="n"/>
      <c r="BQ101" s="989" t="n"/>
      <c r="BR101" s="989" t="n"/>
      <c r="BS101" s="989" t="n"/>
      <c r="BT101" s="989" t="n"/>
      <c r="BU101" s="989" t="n"/>
      <c r="BV101" s="989" t="n"/>
      <c r="BW101" s="989" t="n"/>
      <c r="BX101" s="989" t="n"/>
      <c r="BY101" s="989" t="n"/>
      <c r="BZ101" s="989" t="n"/>
      <c r="CA101" s="932" t="n"/>
      <c r="CB101" s="992" t="n"/>
      <c r="CC101" s="932" t="n"/>
      <c r="CD101" s="993" t="n"/>
      <c r="CE101" s="993" t="n"/>
      <c r="CF101" s="407" t="n"/>
    </row>
    <row r="102" ht="16" customHeight="1" s="1883" thickTop="1">
      <c r="D102" s="626" t="n"/>
      <c r="E102" s="626" t="n"/>
      <c r="F102" s="626" t="n"/>
      <c r="G102" s="932" t="n"/>
      <c r="H102" s="932" t="n"/>
      <c r="I102" s="932" t="n"/>
      <c r="J102" s="932" t="n"/>
      <c r="K102" s="932" t="n"/>
      <c r="L102" s="932" t="n"/>
      <c r="M102" s="932" t="n"/>
      <c r="N102" s="932" t="n"/>
      <c r="O102" s="932" t="n"/>
      <c r="P102" s="932" t="n"/>
      <c r="Q102" s="932" t="n"/>
      <c r="R102" s="985" t="n"/>
      <c r="S102" s="932" t="n"/>
      <c r="T102" s="932" t="n"/>
      <c r="U102" s="932" t="n"/>
      <c r="V102" s="932" t="n"/>
      <c r="W102" s="932" t="n"/>
      <c r="X102" s="932" t="n"/>
      <c r="Y102" s="932" t="n"/>
      <c r="Z102" s="932" t="n"/>
      <c r="AA102" s="932" t="n"/>
      <c r="AB102" s="932" t="n"/>
      <c r="AC102" s="932" t="n"/>
      <c r="AD102" s="985" t="n"/>
      <c r="AE102" s="932" t="n"/>
      <c r="AF102" s="932" t="n"/>
      <c r="AG102" s="932" t="n"/>
      <c r="AH102" s="932" t="n"/>
      <c r="AI102" s="932" t="n"/>
      <c r="AJ102" s="932" t="n"/>
      <c r="AK102" s="932" t="n"/>
      <c r="AL102" s="932" t="n"/>
      <c r="AM102" s="932" t="n"/>
      <c r="AN102" s="932" t="n"/>
      <c r="AO102" s="932" t="n"/>
      <c r="AP102" s="985" t="n"/>
      <c r="AQ102" s="932" t="n"/>
      <c r="AR102" s="932" t="n"/>
      <c r="AS102" s="932" t="n"/>
      <c r="AT102" s="932" t="n"/>
      <c r="AU102" s="932" t="n"/>
      <c r="AV102" s="932" t="n"/>
      <c r="AW102" s="932" t="n"/>
      <c r="AX102" s="932" t="n"/>
      <c r="AY102" s="932" t="n"/>
      <c r="AZ102" s="932" t="n"/>
      <c r="BA102" s="932" t="n"/>
      <c r="BB102" s="934" t="n"/>
      <c r="BC102" s="986" t="n"/>
      <c r="BD102" s="932" t="n"/>
      <c r="BE102" s="932" t="n"/>
      <c r="BF102" s="932" t="n"/>
      <c r="BG102" s="932" t="n"/>
      <c r="BH102" s="932" t="n"/>
      <c r="BI102" s="932" t="n"/>
      <c r="BJ102" s="932" t="n"/>
      <c r="BK102" s="932" t="n"/>
      <c r="BL102" s="932" t="n"/>
      <c r="BM102" s="932" t="n"/>
      <c r="BN102" s="932" t="n"/>
      <c r="BO102" s="986" t="n"/>
      <c r="BP102" s="932" t="n"/>
      <c r="BQ102" s="932" t="n"/>
      <c r="BR102" s="932" t="n"/>
      <c r="BS102" s="932" t="n"/>
      <c r="BT102" s="932" t="n"/>
      <c r="BU102" s="932" t="n"/>
      <c r="BV102" s="932" t="n"/>
      <c r="BW102" s="932" t="n"/>
      <c r="BX102" s="932" t="n"/>
      <c r="BY102" s="932" t="n"/>
      <c r="BZ102" s="932" t="n"/>
      <c r="CA102" s="932" t="n"/>
      <c r="CB102" s="936" t="n"/>
      <c r="CC102" s="932" t="n"/>
      <c r="CD102" s="430" t="n"/>
      <c r="CE102" s="430" t="n"/>
      <c r="CF102" s="407" t="n"/>
    </row>
    <row r="103">
      <c r="D103" s="626" t="n"/>
      <c r="E103" s="626" t="n"/>
      <c r="F103" s="626" t="n"/>
      <c r="G103" s="932" t="n"/>
      <c r="H103" s="932" t="n"/>
      <c r="I103" s="932" t="n"/>
      <c r="J103" s="932" t="n"/>
      <c r="K103" s="932" t="n"/>
      <c r="L103" s="932" t="n"/>
      <c r="M103" s="932" t="n"/>
      <c r="N103" s="932" t="n"/>
      <c r="O103" s="932" t="n"/>
      <c r="P103" s="932" t="n"/>
      <c r="Q103" s="138" t="inlineStr">
        <is>
          <t xml:space="preserve">Ʃ, Months 1 - 12 </t>
        </is>
      </c>
      <c r="R103" s="987">
        <f>SUM(G100:R100)</f>
        <v/>
      </c>
      <c r="S103" s="932" t="n"/>
      <c r="T103" s="932" t="n"/>
      <c r="U103" s="932" t="n"/>
      <c r="V103" s="932" t="n"/>
      <c r="W103" s="932" t="n"/>
      <c r="X103" s="932" t="n"/>
      <c r="Y103" s="932" t="n"/>
      <c r="Z103" s="932" t="n"/>
      <c r="AA103" s="932" t="n"/>
      <c r="AB103" s="932" t="n"/>
      <c r="AC103" s="138" t="inlineStr">
        <is>
          <t>Ʃ, Months 13 - 24</t>
        </is>
      </c>
      <c r="AD103" s="987">
        <f>SUM(S100:AD100)</f>
        <v/>
      </c>
      <c r="AE103" s="932" t="n"/>
      <c r="AF103" s="932" t="n"/>
      <c r="AG103" s="932" t="n"/>
      <c r="AH103" s="932" t="n"/>
      <c r="AI103" s="932" t="n"/>
      <c r="AJ103" s="932" t="n"/>
      <c r="AK103" s="932" t="n"/>
      <c r="AL103" s="932" t="n"/>
      <c r="AM103" s="932" t="n"/>
      <c r="AN103" s="932" t="n"/>
      <c r="AO103" s="138" t="inlineStr">
        <is>
          <t>Ʃ, Months 25 - 36</t>
        </is>
      </c>
      <c r="AP103" s="987">
        <f>SUM(AE100:AP100)</f>
        <v/>
      </c>
      <c r="AQ103" s="932" t="n"/>
      <c r="AR103" s="932" t="n"/>
      <c r="AS103" s="932" t="n"/>
      <c r="AT103" s="932" t="n"/>
      <c r="AU103" s="932" t="n"/>
      <c r="AV103" s="932" t="n"/>
      <c r="AW103" s="932" t="n"/>
      <c r="AX103" s="932" t="n"/>
      <c r="AY103" s="932" t="n"/>
      <c r="AZ103" s="932" t="n"/>
      <c r="BA103" s="138" t="inlineStr">
        <is>
          <t>Ʃ, Months 37 - 48</t>
        </is>
      </c>
      <c r="BB103" s="414">
        <f>SUM(AQ100:BB100)</f>
        <v/>
      </c>
      <c r="BC103" s="986" t="n"/>
      <c r="BD103" s="932" t="n"/>
      <c r="BE103" s="932" t="n"/>
      <c r="BF103" s="932" t="n"/>
      <c r="BG103" s="932" t="n"/>
      <c r="BH103" s="932" t="n"/>
      <c r="BI103" s="932" t="n"/>
      <c r="BJ103" s="932" t="n"/>
      <c r="BK103" s="932" t="n"/>
      <c r="BL103" s="932" t="n"/>
      <c r="BM103" s="138" t="inlineStr">
        <is>
          <t>Ʃ, Months 49 - 60</t>
        </is>
      </c>
      <c r="BN103" s="136">
        <f>SUM(BC100:BN100)</f>
        <v/>
      </c>
      <c r="BO103" s="416" t="n"/>
      <c r="BP103" s="136" t="n"/>
      <c r="BQ103" s="136" t="n"/>
      <c r="BR103" s="136" t="n"/>
      <c r="BS103" s="136" t="n"/>
      <c r="BT103" s="136" t="n"/>
      <c r="BU103" s="136" t="n"/>
      <c r="BV103" s="136" t="n"/>
      <c r="BW103" s="136" t="n"/>
      <c r="BX103" s="136" t="n"/>
      <c r="BY103" s="138" t="inlineStr">
        <is>
          <t>Ʃ, Months 61 - 72</t>
        </is>
      </c>
      <c r="BZ103" s="136">
        <f>SUM(BO100:BZ100)</f>
        <v/>
      </c>
      <c r="CA103" s="932" t="n"/>
      <c r="CB103" s="401">
        <f>((R103)+(AD103)+(AP103)+(BB103)+(BN103))</f>
        <v/>
      </c>
      <c r="CC103" s="932" t="n"/>
      <c r="CD103" s="429">
        <f>(CD100)</f>
        <v/>
      </c>
      <c r="CE103" s="429">
        <f>((CD100)-(CB103))</f>
        <v/>
      </c>
      <c r="CF103" s="407" t="n"/>
    </row>
    <row r="104">
      <c r="D104" s="626" t="n"/>
      <c r="E104" s="626" t="n"/>
      <c r="F104" s="626" t="n"/>
      <c r="G104" s="932" t="n"/>
      <c r="H104" s="932" t="n"/>
      <c r="I104" s="932" t="n"/>
      <c r="J104" s="932" t="n"/>
      <c r="K104" s="932" t="n"/>
      <c r="L104" s="932" t="n"/>
      <c r="M104" s="932" t="n"/>
      <c r="N104" s="932" t="n"/>
      <c r="O104" s="932" t="n"/>
      <c r="P104" s="932" t="n"/>
      <c r="Q104" s="932" t="n"/>
      <c r="R104" s="985" t="n"/>
      <c r="S104" s="932" t="n"/>
      <c r="T104" s="932" t="n"/>
      <c r="U104" s="932" t="n"/>
      <c r="V104" s="932" t="n"/>
      <c r="W104" s="932" t="n"/>
      <c r="X104" s="932" t="n"/>
      <c r="Y104" s="932" t="n"/>
      <c r="Z104" s="932" t="n"/>
      <c r="AA104" s="932" t="n"/>
      <c r="AB104" s="932" t="n"/>
      <c r="AC104" s="932" t="n"/>
      <c r="AD104" s="985" t="n"/>
      <c r="AE104" s="932" t="n"/>
      <c r="AF104" s="932" t="n"/>
      <c r="AG104" s="932" t="n"/>
      <c r="AH104" s="932" t="n"/>
      <c r="AI104" s="932" t="n"/>
      <c r="AJ104" s="932" t="n"/>
      <c r="AK104" s="932" t="n"/>
      <c r="AL104" s="932" t="n"/>
      <c r="AM104" s="932" t="n"/>
      <c r="AN104" s="932" t="n"/>
      <c r="AO104" s="932" t="n"/>
      <c r="AP104" s="985" t="n"/>
      <c r="AQ104" s="932" t="n"/>
      <c r="AR104" s="932" t="n"/>
      <c r="AS104" s="932" t="n"/>
      <c r="AT104" s="932" t="n"/>
      <c r="AU104" s="932" t="n"/>
      <c r="AV104" s="932" t="n"/>
      <c r="AW104" s="932" t="n"/>
      <c r="AX104" s="932" t="n"/>
      <c r="AY104" s="932" t="n"/>
      <c r="AZ104" s="932" t="n"/>
      <c r="BA104" s="932" t="n"/>
      <c r="BB104" s="934" t="n"/>
      <c r="BC104" s="986" t="n"/>
      <c r="BD104" s="932" t="n"/>
      <c r="BE104" s="932" t="n"/>
      <c r="BF104" s="932" t="n"/>
      <c r="BG104" s="932" t="n"/>
      <c r="BH104" s="932" t="n"/>
      <c r="BI104" s="932" t="n"/>
      <c r="BJ104" s="932" t="n"/>
      <c r="BK104" s="932" t="n"/>
      <c r="BL104" s="932" t="n"/>
      <c r="BM104" s="932" t="n"/>
      <c r="BN104" s="932" t="n"/>
      <c r="BO104" s="986" t="n"/>
      <c r="BP104" s="932" t="n"/>
      <c r="BQ104" s="932" t="n"/>
      <c r="BR104" s="932" t="n"/>
      <c r="BS104" s="932" t="n"/>
      <c r="BT104" s="932" t="n"/>
      <c r="BU104" s="932" t="n"/>
      <c r="BV104" s="932" t="n"/>
      <c r="BW104" s="932" t="n"/>
      <c r="BX104" s="932" t="n"/>
      <c r="BY104" s="932" t="n"/>
      <c r="BZ104" s="932" t="n"/>
      <c r="CA104" s="932" t="n"/>
      <c r="CB104" s="936" t="n"/>
      <c r="CC104" s="932" t="n"/>
      <c r="CD104" s="430" t="n"/>
      <c r="CE104" s="430" t="n"/>
      <c r="CF104" s="407" t="n"/>
    </row>
    <row r="105">
      <c r="D105" s="422" t="n"/>
      <c r="E105" s="422" t="n"/>
      <c r="F105" s="422" t="n"/>
      <c r="G105" s="407" t="n"/>
      <c r="H105" s="407" t="n"/>
      <c r="I105" s="407" t="n"/>
      <c r="J105" s="407" t="n"/>
      <c r="K105" s="407" t="n"/>
      <c r="L105" s="407" t="n"/>
      <c r="M105" s="407" t="n"/>
      <c r="N105" s="407" t="n"/>
      <c r="O105" s="407" t="n"/>
      <c r="P105" s="407" t="n"/>
      <c r="Q105" s="407" t="n"/>
      <c r="R105" s="434" t="n"/>
      <c r="S105" s="407" t="n"/>
      <c r="T105" s="407" t="n"/>
      <c r="U105" s="407" t="n"/>
      <c r="V105" s="407" t="n"/>
      <c r="W105" s="407" t="n"/>
      <c r="X105" s="407" t="n"/>
      <c r="Y105" s="407" t="n"/>
      <c r="Z105" s="407" t="n"/>
      <c r="AA105" s="407" t="n"/>
      <c r="AB105" s="407" t="n"/>
      <c r="AC105" s="407" t="n"/>
      <c r="AD105" s="434" t="n"/>
      <c r="AE105" s="407" t="n"/>
      <c r="AF105" s="407" t="n"/>
      <c r="AG105" s="407" t="n"/>
      <c r="AH105" s="407" t="n"/>
      <c r="AI105" s="407" t="n"/>
      <c r="AJ105" s="407" t="n"/>
      <c r="AK105" s="407" t="n"/>
      <c r="AL105" s="407" t="n"/>
      <c r="AM105" s="407" t="n"/>
      <c r="AN105" s="407" t="n"/>
      <c r="AO105" s="407" t="n"/>
      <c r="AP105" s="434" t="n"/>
      <c r="AQ105" s="407" t="n"/>
      <c r="AR105" s="407" t="n"/>
      <c r="AS105" s="407" t="n"/>
      <c r="AT105" s="407" t="n"/>
      <c r="AU105" s="407" t="n"/>
      <c r="AV105" s="407" t="n"/>
      <c r="AW105" s="407" t="n"/>
      <c r="AX105" s="407" t="n"/>
      <c r="AY105" s="407" t="n"/>
      <c r="AZ105" s="407" t="n"/>
      <c r="BA105" s="407" t="n"/>
      <c r="BB105" s="435" t="n"/>
      <c r="BC105" s="436" t="n"/>
      <c r="BD105" s="407" t="n"/>
      <c r="BE105" s="407" t="n"/>
      <c r="BF105" s="407" t="n"/>
      <c r="BG105" s="407" t="n"/>
      <c r="BH105" s="407" t="n"/>
      <c r="BI105" s="407" t="n"/>
      <c r="BJ105" s="407" t="n"/>
      <c r="BK105" s="407" t="n"/>
      <c r="BL105" s="407" t="n"/>
      <c r="BM105" s="407" t="n"/>
      <c r="BN105" s="407" t="n"/>
      <c r="BO105" s="436" t="n"/>
      <c r="BP105" s="407" t="n"/>
      <c r="BQ105" s="407" t="n"/>
      <c r="BR105" s="407" t="n"/>
      <c r="BS105" s="407" t="n"/>
      <c r="BT105" s="407" t="n"/>
      <c r="BU105" s="407" t="n"/>
      <c r="BV105" s="407" t="n"/>
      <c r="BW105" s="407" t="n"/>
      <c r="BX105" s="407" t="n"/>
      <c r="BY105" s="407" t="n"/>
      <c r="BZ105" s="407" t="n"/>
      <c r="CA105" s="407" t="n"/>
      <c r="CB105" s="428" t="inlineStr">
        <is>
          <t>Total</t>
        </is>
      </c>
      <c r="CC105" s="407" t="n"/>
      <c r="CD105" s="428" t="inlineStr">
        <is>
          <t>Total</t>
        </is>
      </c>
      <c r="CE105" s="428" t="inlineStr">
        <is>
          <t xml:space="preserve">Active Users </t>
        </is>
      </c>
      <c r="CF105" s="407" t="n"/>
    </row>
    <row r="106">
      <c r="D106" s="422" t="n"/>
      <c r="E106" s="422" t="n"/>
      <c r="F106" s="422" t="n"/>
      <c r="G106" s="407" t="n"/>
      <c r="H106" s="407" t="n"/>
      <c r="I106" s="407" t="n"/>
      <c r="J106" s="407" t="n"/>
      <c r="K106" s="407" t="n"/>
      <c r="L106" s="407" t="n"/>
      <c r="M106" s="407" t="n"/>
      <c r="N106" s="407" t="n"/>
      <c r="O106" s="407" t="n"/>
      <c r="P106" s="407" t="n"/>
      <c r="Q106" s="407" t="n"/>
      <c r="R106" s="434" t="n"/>
      <c r="S106" s="407" t="n"/>
      <c r="T106" s="407" t="n"/>
      <c r="U106" s="407" t="n"/>
      <c r="V106" s="407" t="n"/>
      <c r="W106" s="407" t="n"/>
      <c r="X106" s="407" t="n"/>
      <c r="Y106" s="407" t="n"/>
      <c r="Z106" s="407" t="n"/>
      <c r="AA106" s="407" t="n"/>
      <c r="AB106" s="407" t="n"/>
      <c r="AC106" s="407" t="n"/>
      <c r="AD106" s="434" t="n"/>
      <c r="AE106" s="407" t="n"/>
      <c r="AF106" s="407" t="n"/>
      <c r="AG106" s="407" t="n"/>
      <c r="AH106" s="407" t="n"/>
      <c r="AI106" s="407" t="n"/>
      <c r="AJ106" s="407" t="n"/>
      <c r="AK106" s="407" t="n"/>
      <c r="AL106" s="407" t="n"/>
      <c r="AM106" s="407" t="n"/>
      <c r="AN106" s="407" t="n"/>
      <c r="AO106" s="407" t="n"/>
      <c r="AP106" s="434" t="n"/>
      <c r="AQ106" s="407" t="n"/>
      <c r="AR106" s="407" t="n"/>
      <c r="AS106" s="407" t="n"/>
      <c r="AT106" s="407" t="n"/>
      <c r="AU106" s="407" t="n"/>
      <c r="AV106" s="407" t="n"/>
      <c r="AW106" s="407" t="n"/>
      <c r="AX106" s="407" t="n"/>
      <c r="AY106" s="407" t="n"/>
      <c r="AZ106" s="407" t="n"/>
      <c r="BA106" s="407" t="n"/>
      <c r="BB106" s="435" t="n"/>
      <c r="BC106" s="436" t="n"/>
      <c r="BD106" s="407" t="n"/>
      <c r="BE106" s="407" t="n"/>
      <c r="BF106" s="407" t="n"/>
      <c r="BG106" s="407" t="n"/>
      <c r="BH106" s="407" t="n"/>
      <c r="BI106" s="407" t="n"/>
      <c r="BJ106" s="407" t="n"/>
      <c r="BK106" s="407" t="n"/>
      <c r="BL106" s="407" t="n"/>
      <c r="BM106" s="407" t="n"/>
      <c r="BN106" s="407" t="n"/>
      <c r="BO106" s="436" t="n"/>
      <c r="BP106" s="407" t="n"/>
      <c r="BQ106" s="407" t="n"/>
      <c r="BR106" s="407" t="n"/>
      <c r="BS106" s="407" t="n"/>
      <c r="BT106" s="407" t="n"/>
      <c r="BU106" s="407" t="n"/>
      <c r="BV106" s="407" t="n"/>
      <c r="BW106" s="407" t="n"/>
      <c r="BX106" s="407" t="n"/>
      <c r="BY106" s="407" t="n"/>
      <c r="BZ106" s="407" t="n"/>
      <c r="CA106" s="407" t="n"/>
      <c r="CB106" s="428" t="inlineStr">
        <is>
          <t>Attrition</t>
        </is>
      </c>
      <c r="CC106" s="407" t="n"/>
      <c r="CD106" s="431" t="inlineStr">
        <is>
          <t>Unique Users</t>
        </is>
      </c>
      <c r="CE106" s="431" t="inlineStr">
        <is>
          <t>Remaining</t>
        </is>
      </c>
      <c r="CF106" s="407" t="n"/>
    </row>
    <row r="107">
      <c r="D107" s="422" t="n"/>
      <c r="E107" s="422" t="n"/>
      <c r="F107" s="422" t="n"/>
      <c r="G107" s="1882" t="inlineStr">
        <is>
          <t>Month 1</t>
        </is>
      </c>
      <c r="H107" s="1882" t="inlineStr">
        <is>
          <t>Month 2</t>
        </is>
      </c>
      <c r="I107" s="1882" t="inlineStr">
        <is>
          <t>Month 3</t>
        </is>
      </c>
      <c r="J107" s="1882" t="inlineStr">
        <is>
          <t>Month 4</t>
        </is>
      </c>
      <c r="K107" s="1882" t="inlineStr">
        <is>
          <t>Month 5</t>
        </is>
      </c>
      <c r="L107" s="1882" t="inlineStr">
        <is>
          <t>Month 6</t>
        </is>
      </c>
      <c r="M107" s="1882" t="inlineStr">
        <is>
          <t>Month 7</t>
        </is>
      </c>
      <c r="N107" s="1882" t="inlineStr">
        <is>
          <t>Month 8</t>
        </is>
      </c>
      <c r="O107" s="1882" t="inlineStr">
        <is>
          <t>Month 9</t>
        </is>
      </c>
      <c r="P107" s="1882" t="inlineStr">
        <is>
          <t>Month 10</t>
        </is>
      </c>
      <c r="Q107" s="1882" t="inlineStr">
        <is>
          <t>Month 11</t>
        </is>
      </c>
      <c r="R107" s="439" t="inlineStr">
        <is>
          <t>Month 12</t>
        </is>
      </c>
      <c r="S107" s="1882" t="inlineStr">
        <is>
          <t>Month 13</t>
        </is>
      </c>
      <c r="T107" s="1882" t="inlineStr">
        <is>
          <t>Month 14</t>
        </is>
      </c>
      <c r="U107" s="1882" t="inlineStr">
        <is>
          <t>Month 15</t>
        </is>
      </c>
      <c r="V107" s="1882" t="inlineStr">
        <is>
          <t>Month 16</t>
        </is>
      </c>
      <c r="W107" s="1882" t="inlineStr">
        <is>
          <t>Month 17</t>
        </is>
      </c>
      <c r="X107" s="1882" t="inlineStr">
        <is>
          <t>Month 18</t>
        </is>
      </c>
      <c r="Y107" s="1882" t="inlineStr">
        <is>
          <t>Month 19</t>
        </is>
      </c>
      <c r="Z107" s="1882" t="inlineStr">
        <is>
          <t>Month 20</t>
        </is>
      </c>
      <c r="AA107" s="1882" t="inlineStr">
        <is>
          <t>Month 21</t>
        </is>
      </c>
      <c r="AB107" s="1882" t="inlineStr">
        <is>
          <t>Month 22</t>
        </is>
      </c>
      <c r="AC107" s="1882" t="inlineStr">
        <is>
          <t>Month 23</t>
        </is>
      </c>
      <c r="AD107" s="439" t="inlineStr">
        <is>
          <t>Month 24</t>
        </is>
      </c>
      <c r="AE107" s="1882" t="inlineStr">
        <is>
          <t>Month 25</t>
        </is>
      </c>
      <c r="AF107" s="1882" t="inlineStr">
        <is>
          <t>Month 26</t>
        </is>
      </c>
      <c r="AG107" s="1882" t="inlineStr">
        <is>
          <t>Month 27</t>
        </is>
      </c>
      <c r="AH107" s="1882" t="inlineStr">
        <is>
          <t>Month 28</t>
        </is>
      </c>
      <c r="AI107" s="1882" t="inlineStr">
        <is>
          <t>Month 29</t>
        </is>
      </c>
      <c r="AJ107" s="1882" t="inlineStr">
        <is>
          <t>Month 30</t>
        </is>
      </c>
      <c r="AK107" s="1882" t="inlineStr">
        <is>
          <t>Month 31</t>
        </is>
      </c>
      <c r="AL107" s="1882" t="inlineStr">
        <is>
          <t>Month 32</t>
        </is>
      </c>
      <c r="AM107" s="1882" t="inlineStr">
        <is>
          <t>Month 33</t>
        </is>
      </c>
      <c r="AN107" s="1882" t="inlineStr">
        <is>
          <t>Month 34</t>
        </is>
      </c>
      <c r="AO107" s="1882" t="inlineStr">
        <is>
          <t>Month 35</t>
        </is>
      </c>
      <c r="AP107" s="439" t="inlineStr">
        <is>
          <t>Month 36</t>
        </is>
      </c>
      <c r="AQ107" s="1882" t="inlineStr">
        <is>
          <t>Month 37</t>
        </is>
      </c>
      <c r="AR107" s="1882" t="inlineStr">
        <is>
          <t>Month 38</t>
        </is>
      </c>
      <c r="AS107" s="1882" t="inlineStr">
        <is>
          <t>Month 39</t>
        </is>
      </c>
      <c r="AT107" s="1882" t="inlineStr">
        <is>
          <t>Month 40</t>
        </is>
      </c>
      <c r="AU107" s="1882" t="inlineStr">
        <is>
          <t>Month 41</t>
        </is>
      </c>
      <c r="AV107" s="1882" t="inlineStr">
        <is>
          <t>Month 42</t>
        </is>
      </c>
      <c r="AW107" s="1882" t="inlineStr">
        <is>
          <t>Month 43</t>
        </is>
      </c>
      <c r="AX107" s="1882" t="inlineStr">
        <is>
          <t>Month 44</t>
        </is>
      </c>
      <c r="AY107" s="1882" t="inlineStr">
        <is>
          <t>Month 45</t>
        </is>
      </c>
      <c r="AZ107" s="1882" t="inlineStr">
        <is>
          <t>Month 46</t>
        </is>
      </c>
      <c r="BA107" s="1882" t="inlineStr">
        <is>
          <t>Month 47</t>
        </is>
      </c>
      <c r="BB107" s="1882" t="inlineStr">
        <is>
          <t>Month 48</t>
        </is>
      </c>
      <c r="BC107" s="433" t="inlineStr">
        <is>
          <t>Month 49</t>
        </is>
      </c>
      <c r="BD107" s="1882" t="inlineStr">
        <is>
          <t>Month 50</t>
        </is>
      </c>
      <c r="BE107" s="1882" t="inlineStr">
        <is>
          <t>Month 51</t>
        </is>
      </c>
      <c r="BF107" s="1882" t="inlineStr">
        <is>
          <t>Month 52</t>
        </is>
      </c>
      <c r="BG107" s="1882" t="inlineStr">
        <is>
          <t>Month 53</t>
        </is>
      </c>
      <c r="BH107" s="1882" t="inlineStr">
        <is>
          <t>Month 54</t>
        </is>
      </c>
      <c r="BI107" s="1882" t="inlineStr">
        <is>
          <t>Month 55</t>
        </is>
      </c>
      <c r="BJ107" s="1882" t="inlineStr">
        <is>
          <t>Month 56</t>
        </is>
      </c>
      <c r="BK107" s="1882" t="inlineStr">
        <is>
          <t>Month 57</t>
        </is>
      </c>
      <c r="BL107" s="1882" t="inlineStr">
        <is>
          <t>Month 58</t>
        </is>
      </c>
      <c r="BM107" s="1882" t="inlineStr">
        <is>
          <t>Month 59</t>
        </is>
      </c>
      <c r="BN107" s="1882" t="inlineStr">
        <is>
          <t>Month 60</t>
        </is>
      </c>
      <c r="BO107" s="433" t="inlineStr">
        <is>
          <t>Month 61</t>
        </is>
      </c>
      <c r="BP107" s="1882" t="inlineStr">
        <is>
          <t>Month 62</t>
        </is>
      </c>
      <c r="BQ107" s="1882" t="inlineStr">
        <is>
          <t>Month 63</t>
        </is>
      </c>
      <c r="BR107" s="1882" t="inlineStr">
        <is>
          <t>Month 64</t>
        </is>
      </c>
      <c r="BS107" s="1882" t="inlineStr">
        <is>
          <t>Month 65</t>
        </is>
      </c>
      <c r="BT107" s="1882" t="inlineStr">
        <is>
          <t>Month 66</t>
        </is>
      </c>
      <c r="BU107" s="1882" t="inlineStr">
        <is>
          <t>Month 67</t>
        </is>
      </c>
      <c r="BV107" s="1882" t="inlineStr">
        <is>
          <t>Month 68</t>
        </is>
      </c>
      <c r="BW107" s="1882" t="inlineStr">
        <is>
          <t>Month 69</t>
        </is>
      </c>
      <c r="BX107" s="1882" t="inlineStr">
        <is>
          <t>Month 70</t>
        </is>
      </c>
      <c r="BY107" s="1882" t="inlineStr">
        <is>
          <t>Month 71</t>
        </is>
      </c>
      <c r="BZ107" s="1882" t="inlineStr">
        <is>
          <t>Month 72</t>
        </is>
      </c>
      <c r="CA107" s="422" t="n"/>
      <c r="CB107" s="431" t="inlineStr">
        <is>
          <t>Ʃ, Months 1 - 72</t>
        </is>
      </c>
      <c r="CC107" s="407" t="n"/>
      <c r="CD107" s="431" t="inlineStr">
        <is>
          <t>Ʃ, Months 1 - 72</t>
        </is>
      </c>
      <c r="CE107" s="431" t="inlineStr">
        <is>
          <t>At Month 72</t>
        </is>
      </c>
      <c r="CF107" s="407" t="n"/>
    </row>
    <row r="114">
      <c r="B114" s="603" t="inlineStr">
        <is>
          <t>II.</t>
        </is>
      </c>
      <c r="C114" s="422" t="n"/>
      <c r="D114" s="423" t="inlineStr">
        <is>
          <t>Telephone Renewal Volume, By Month, Months 13 - 60</t>
        </is>
      </c>
      <c r="E114" s="423" t="n"/>
      <c r="F114" s="423" t="n"/>
      <c r="G114" s="408" t="n"/>
      <c r="H114" s="407" t="n"/>
      <c r="I114" s="407" t="n"/>
      <c r="J114" s="407" t="n"/>
      <c r="K114" s="407" t="n"/>
      <c r="L114" s="407" t="n"/>
      <c r="M114" s="407" t="n"/>
      <c r="N114" s="407" t="n"/>
      <c r="O114" s="407" t="n"/>
      <c r="P114" s="407" t="n"/>
      <c r="Q114" s="407" t="n"/>
      <c r="R114" s="435" t="n"/>
      <c r="S114" s="435" t="n"/>
      <c r="T114" s="407" t="n"/>
      <c r="U114" s="407" t="n"/>
      <c r="V114" s="407" t="n"/>
      <c r="W114" s="407" t="n"/>
      <c r="X114" s="407" t="n"/>
      <c r="Y114" s="407" t="n"/>
      <c r="Z114" s="407" t="n"/>
      <c r="AA114" s="407" t="n"/>
      <c r="AB114" s="407" t="n"/>
      <c r="AC114" s="407" t="n"/>
      <c r="AD114" s="435" t="n"/>
      <c r="AE114" s="407" t="n"/>
      <c r="AF114" s="407" t="n"/>
      <c r="AG114" s="407" t="n"/>
      <c r="AH114" s="407" t="n"/>
      <c r="AI114" s="407" t="n"/>
      <c r="AJ114" s="407" t="n"/>
      <c r="AK114" s="407" t="n"/>
      <c r="AL114" s="407" t="n"/>
      <c r="AM114" s="407" t="n"/>
      <c r="AN114" s="407" t="n"/>
      <c r="AO114" s="407" t="n"/>
      <c r="AP114" s="435" t="n"/>
      <c r="AQ114" s="407" t="n"/>
      <c r="AR114" s="407" t="n"/>
      <c r="AS114" s="407" t="n"/>
      <c r="AT114" s="407" t="n"/>
      <c r="AU114" s="407" t="n"/>
      <c r="AV114" s="407" t="n"/>
      <c r="AW114" s="407" t="n"/>
      <c r="AX114" s="407" t="n"/>
      <c r="AY114" s="407" t="n"/>
      <c r="AZ114" s="407" t="n"/>
      <c r="BA114" s="407" t="n"/>
      <c r="BB114" s="435" t="n"/>
      <c r="BC114" s="435" t="n"/>
      <c r="BD114" s="407" t="n"/>
      <c r="BE114" s="407" t="n"/>
      <c r="BF114" s="407" t="n"/>
      <c r="BG114" s="407" t="n"/>
      <c r="BH114" s="407" t="n"/>
      <c r="BI114" s="407" t="n"/>
      <c r="BJ114" s="407" t="n"/>
      <c r="BK114" s="407" t="n"/>
      <c r="BL114" s="407" t="n"/>
      <c r="BM114" s="407" t="n"/>
      <c r="BN114" s="407" t="n"/>
      <c r="BO114" s="407" t="n"/>
      <c r="BP114" s="407" t="n"/>
      <c r="BQ114" s="407" t="n"/>
      <c r="BR114" s="407" t="n"/>
      <c r="BS114" s="407" t="n"/>
      <c r="BT114" s="407" t="n"/>
      <c r="BU114" s="407" t="n"/>
      <c r="BV114" s="407" t="n"/>
      <c r="BW114" s="407" t="n"/>
      <c r="BX114" s="407" t="n"/>
      <c r="BY114" s="407" t="n"/>
      <c r="BZ114" s="407" t="n"/>
      <c r="CA114" s="407" t="n"/>
      <c r="CB114" s="407" t="n"/>
      <c r="CC114" s="407" t="n"/>
      <c r="CD114" s="407" t="n"/>
      <c r="CE114" s="407" t="n"/>
      <c r="CF114" s="407" t="n"/>
    </row>
    <row r="115" ht="3" customHeight="1" s="1883">
      <c r="B115" s="422" t="n"/>
      <c r="C115" s="422" t="n"/>
      <c r="D115" s="604" t="n"/>
      <c r="E115" s="604" t="n"/>
      <c r="F115" s="604" t="n"/>
      <c r="G115" s="438" t="n"/>
      <c r="H115" s="407" t="n"/>
      <c r="I115" s="407" t="n"/>
      <c r="J115" s="407" t="n"/>
      <c r="K115" s="407" t="n"/>
      <c r="L115" s="407" t="n"/>
      <c r="M115" s="407" t="n"/>
      <c r="N115" s="407" t="n"/>
      <c r="O115" s="407" t="n"/>
      <c r="P115" s="407" t="n"/>
      <c r="Q115" s="407" t="n"/>
      <c r="R115" s="435" t="n"/>
      <c r="S115" s="407" t="n"/>
      <c r="T115" s="407" t="n"/>
      <c r="U115" s="407" t="n"/>
      <c r="V115" s="407" t="n"/>
      <c r="W115" s="407" t="n"/>
      <c r="X115" s="407" t="n"/>
      <c r="Y115" s="407" t="n"/>
      <c r="Z115" s="407" t="n"/>
      <c r="AA115" s="407" t="n"/>
      <c r="AB115" s="407" t="n"/>
      <c r="AC115" s="407" t="n"/>
      <c r="AD115" s="435" t="n"/>
      <c r="AE115" s="407" t="n"/>
      <c r="AF115" s="407" t="n"/>
      <c r="AG115" s="407" t="n"/>
      <c r="AH115" s="407" t="n"/>
      <c r="AI115" s="407" t="n"/>
      <c r="AJ115" s="407" t="n"/>
      <c r="AK115" s="407" t="n"/>
      <c r="AL115" s="407" t="n"/>
      <c r="AM115" s="407" t="n"/>
      <c r="AN115" s="407" t="n"/>
      <c r="AO115" s="407" t="n"/>
      <c r="AP115" s="435" t="n"/>
      <c r="AQ115" s="407" t="n"/>
      <c r="AR115" s="407" t="n"/>
      <c r="AS115" s="407" t="n"/>
      <c r="AT115" s="407" t="n"/>
      <c r="AU115" s="407" t="n"/>
      <c r="AV115" s="407" t="n"/>
      <c r="AW115" s="407" t="n"/>
      <c r="AX115" s="407" t="n"/>
      <c r="AY115" s="407" t="n"/>
      <c r="AZ115" s="407" t="n"/>
      <c r="BA115" s="407" t="n"/>
      <c r="BB115" s="435" t="n"/>
      <c r="BC115" s="435" t="n"/>
      <c r="BD115" s="407" t="n"/>
      <c r="BE115" s="407" t="n"/>
      <c r="BF115" s="407" t="n"/>
      <c r="BG115" s="407" t="n"/>
      <c r="BH115" s="407" t="n"/>
      <c r="BI115" s="407" t="n"/>
      <c r="BJ115" s="407" t="n"/>
      <c r="BK115" s="407" t="n"/>
      <c r="BL115" s="407" t="n"/>
      <c r="BM115" s="407" t="n"/>
      <c r="BN115" s="407" t="n"/>
      <c r="BO115" s="407" t="n"/>
      <c r="BP115" s="407" t="n"/>
      <c r="BQ115" s="407" t="n"/>
      <c r="BR115" s="407" t="n"/>
      <c r="BS115" s="407" t="n"/>
      <c r="BT115" s="407" t="n"/>
      <c r="BU115" s="407" t="n"/>
      <c r="BV115" s="407" t="n"/>
      <c r="BW115" s="407" t="n"/>
      <c r="BX115" s="407" t="n"/>
      <c r="BY115" s="407" t="n"/>
      <c r="BZ115" s="407" t="n"/>
      <c r="CA115" s="407" t="n"/>
      <c r="CB115" s="407" t="n"/>
      <c r="CC115" s="407" t="n"/>
      <c r="CD115" s="407" t="n"/>
      <c r="CE115" s="407" t="n"/>
      <c r="CF115" s="407" t="n"/>
    </row>
    <row r="116" ht="3" customHeight="1" s="1883">
      <c r="B116" s="422" t="n"/>
      <c r="C116" s="422" t="n"/>
      <c r="D116" s="422" t="n"/>
      <c r="E116" s="422" t="n"/>
      <c r="F116" s="422" t="n"/>
      <c r="G116" s="407" t="n"/>
      <c r="H116" s="407" t="n"/>
      <c r="I116" s="407" t="n"/>
      <c r="J116" s="407" t="n"/>
      <c r="K116" s="407" t="n"/>
      <c r="L116" s="407" t="n"/>
      <c r="M116" s="407" t="n"/>
      <c r="N116" s="407" t="n"/>
      <c r="O116" s="407" t="n"/>
      <c r="P116" s="407" t="n"/>
      <c r="Q116" s="407" t="n"/>
      <c r="R116" s="435" t="n"/>
      <c r="S116" s="407" t="n"/>
      <c r="T116" s="407" t="n"/>
      <c r="U116" s="407" t="n"/>
      <c r="V116" s="407" t="n"/>
      <c r="W116" s="407" t="n"/>
      <c r="X116" s="407" t="n"/>
      <c r="Y116" s="407" t="n"/>
      <c r="Z116" s="407" t="n"/>
      <c r="AA116" s="407" t="n"/>
      <c r="AB116" s="407" t="n"/>
      <c r="AC116" s="407" t="n"/>
      <c r="AD116" s="435" t="n"/>
      <c r="AE116" s="407" t="n"/>
      <c r="AF116" s="407" t="n"/>
      <c r="AG116" s="407" t="n"/>
      <c r="AH116" s="407" t="n"/>
      <c r="AI116" s="407" t="n"/>
      <c r="AJ116" s="407" t="n"/>
      <c r="AK116" s="407" t="n"/>
      <c r="AL116" s="407" t="n"/>
      <c r="AM116" s="407" t="n"/>
      <c r="AN116" s="407" t="n"/>
      <c r="AO116" s="407" t="n"/>
      <c r="AP116" s="435" t="n"/>
      <c r="AQ116" s="407" t="n"/>
      <c r="AR116" s="407" t="n"/>
      <c r="AS116" s="407" t="n"/>
      <c r="AT116" s="407" t="n"/>
      <c r="AU116" s="407" t="n"/>
      <c r="AV116" s="407" t="n"/>
      <c r="AW116" s="407" t="n"/>
      <c r="AX116" s="407" t="n"/>
      <c r="AY116" s="407" t="n"/>
      <c r="AZ116" s="407" t="n"/>
      <c r="BA116" s="407" t="n"/>
      <c r="BB116" s="435" t="n"/>
      <c r="BC116" s="435" t="n"/>
      <c r="BD116" s="407" t="n"/>
      <c r="BE116" s="407" t="n"/>
      <c r="BF116" s="407" t="n"/>
      <c r="BG116" s="407" t="n"/>
      <c r="BH116" s="407" t="n"/>
      <c r="BI116" s="407" t="n"/>
      <c r="BJ116" s="407" t="n"/>
      <c r="BK116" s="407" t="n"/>
      <c r="BL116" s="407" t="n"/>
      <c r="BM116" s="407" t="n"/>
      <c r="BN116" s="407" t="n"/>
      <c r="BO116" s="407" t="n"/>
      <c r="BP116" s="407" t="n"/>
      <c r="BQ116" s="407" t="n"/>
      <c r="BR116" s="407" t="n"/>
      <c r="BS116" s="407" t="n"/>
      <c r="BT116" s="407" t="n"/>
      <c r="BU116" s="407" t="n"/>
      <c r="BV116" s="407" t="n"/>
      <c r="BW116" s="407" t="n"/>
      <c r="BX116" s="407" t="n"/>
      <c r="BY116" s="407" t="n"/>
      <c r="BZ116" s="407" t="n"/>
      <c r="CA116" s="407" t="n"/>
      <c r="CB116" s="407" t="n"/>
      <c r="CC116" s="407" t="n"/>
      <c r="CD116" s="407" t="n"/>
      <c r="CE116" s="407" t="n"/>
      <c r="CF116" s="407" t="n"/>
    </row>
    <row r="117">
      <c r="B117" s="422" t="n"/>
      <c r="C117" s="422" t="n"/>
      <c r="D117" s="422" t="n"/>
      <c r="E117" s="422" t="n"/>
      <c r="F117" s="422" t="n"/>
      <c r="G117" s="407" t="n"/>
      <c r="H117" s="407" t="n"/>
      <c r="I117" s="407" t="n"/>
      <c r="J117" s="407" t="n"/>
      <c r="K117" s="407" t="n"/>
      <c r="L117" s="407" t="n"/>
      <c r="M117" s="407" t="n"/>
      <c r="N117" s="407" t="n"/>
      <c r="O117" s="407" t="n"/>
      <c r="P117" s="407" t="n"/>
      <c r="Q117" s="407" t="n"/>
      <c r="R117" s="435" t="n"/>
      <c r="S117" s="407" t="n"/>
      <c r="T117" s="407" t="n"/>
      <c r="U117" s="407" t="n"/>
      <c r="V117" s="407" t="n"/>
      <c r="W117" s="407" t="n"/>
      <c r="X117" s="407" t="n"/>
      <c r="Y117" s="407" t="n"/>
      <c r="Z117" s="407" t="n"/>
      <c r="AA117" s="407" t="n"/>
      <c r="AB117" s="407" t="n"/>
      <c r="AC117" s="407" t="n"/>
      <c r="AD117" s="435" t="n"/>
      <c r="AE117" s="407" t="n"/>
      <c r="AF117" s="407" t="n"/>
      <c r="AG117" s="407" t="n"/>
      <c r="AH117" s="407" t="n"/>
      <c r="AI117" s="407" t="n"/>
      <c r="AJ117" s="407" t="n"/>
      <c r="AK117" s="407" t="n"/>
      <c r="AL117" s="407" t="n"/>
      <c r="AM117" s="407" t="n"/>
      <c r="AN117" s="407" t="n"/>
      <c r="AO117" s="407" t="n"/>
      <c r="AP117" s="435" t="n"/>
      <c r="AQ117" s="407" t="n"/>
      <c r="AR117" s="407" t="n"/>
      <c r="AS117" s="407" t="n"/>
      <c r="AT117" s="407" t="n"/>
      <c r="AU117" s="407" t="n"/>
      <c r="AV117" s="407" t="n"/>
      <c r="AW117" s="407" t="n"/>
      <c r="AX117" s="407" t="n"/>
      <c r="AY117" s="407" t="n"/>
      <c r="AZ117" s="407" t="n"/>
      <c r="BA117" s="407" t="n"/>
      <c r="BB117" s="435" t="n"/>
      <c r="BC117" s="435" t="n"/>
      <c r="BD117" s="407" t="n"/>
      <c r="BE117" s="407" t="n"/>
      <c r="BF117" s="407" t="n"/>
      <c r="BG117" s="407" t="n"/>
      <c r="BH117" s="407" t="n"/>
      <c r="BI117" s="407" t="n"/>
      <c r="BJ117" s="407" t="n"/>
      <c r="BK117" s="407" t="n"/>
      <c r="BL117" s="407" t="n"/>
      <c r="BM117" s="407" t="n"/>
      <c r="BN117" s="407" t="n"/>
      <c r="BO117" s="407" t="n"/>
      <c r="BP117" s="407" t="n"/>
      <c r="BQ117" s="407" t="n"/>
      <c r="BR117" s="407" t="n"/>
      <c r="BS117" s="407" t="n"/>
      <c r="BT117" s="407" t="n"/>
      <c r="BU117" s="407" t="n"/>
      <c r="BV117" s="407" t="n"/>
      <c r="BW117" s="407" t="n"/>
      <c r="BX117" s="407" t="n"/>
      <c r="BY117" s="407" t="n"/>
      <c r="BZ117" s="407" t="n"/>
      <c r="CA117" s="407" t="n"/>
      <c r="CB117" s="407" t="n"/>
      <c r="CC117" s="407" t="n"/>
      <c r="CD117" s="407" t="n"/>
      <c r="CE117" s="407" t="n"/>
      <c r="CF117" s="407" t="n"/>
    </row>
    <row r="118">
      <c r="B118" s="422" t="n"/>
      <c r="C118" s="422" t="n"/>
      <c r="D118" s="422" t="n"/>
      <c r="E118" s="422" t="n"/>
      <c r="F118" s="422" t="n"/>
      <c r="G118" s="1915" t="inlineStr">
        <is>
          <t>Renewal Volume by Activation Vintage, Months 1 - 60</t>
        </is>
      </c>
      <c r="CC118" s="407" t="n"/>
      <c r="CD118" s="1915" t="inlineStr">
        <is>
          <t>Check</t>
        </is>
      </c>
    </row>
    <row r="119" ht="3" customHeight="1" s="1883">
      <c r="B119" s="422" t="n"/>
      <c r="C119" s="422" t="n"/>
      <c r="D119" s="422" t="n"/>
      <c r="E119" s="422" t="n"/>
      <c r="F119" s="422" t="n"/>
      <c r="G119" s="965" t="n"/>
      <c r="H119" s="965" t="n"/>
      <c r="I119" s="965" t="n"/>
      <c r="J119" s="965" t="n"/>
      <c r="K119" s="965" t="n"/>
      <c r="L119" s="965" t="n"/>
      <c r="M119" s="965" t="n"/>
      <c r="N119" s="965" t="n"/>
      <c r="O119" s="965" t="n"/>
      <c r="P119" s="965" t="n"/>
      <c r="Q119" s="965" t="n"/>
      <c r="R119" s="965" t="n"/>
      <c r="S119" s="965" t="n"/>
      <c r="T119" s="965" t="n"/>
      <c r="U119" s="965" t="n"/>
      <c r="V119" s="965" t="n"/>
      <c r="W119" s="965" t="n"/>
      <c r="X119" s="965" t="n"/>
      <c r="Y119" s="965" t="n"/>
      <c r="Z119" s="965" t="n"/>
      <c r="AA119" s="965" t="n"/>
      <c r="AB119" s="965" t="n"/>
      <c r="AC119" s="965" t="n"/>
      <c r="AD119" s="965" t="n"/>
      <c r="AE119" s="965" t="n"/>
      <c r="AF119" s="965" t="n"/>
      <c r="AG119" s="965" t="n"/>
      <c r="AH119" s="965" t="n"/>
      <c r="AI119" s="965" t="n"/>
      <c r="AJ119" s="965" t="n"/>
      <c r="AK119" s="965" t="n"/>
      <c r="AL119" s="965" t="n"/>
      <c r="AM119" s="965" t="n"/>
      <c r="AN119" s="965" t="n"/>
      <c r="AO119" s="965" t="n"/>
      <c r="AP119" s="965" t="n"/>
      <c r="AQ119" s="965" t="n"/>
      <c r="AR119" s="965" t="n"/>
      <c r="AS119" s="965" t="n"/>
      <c r="AT119" s="965" t="n"/>
      <c r="AU119" s="965" t="n"/>
      <c r="AV119" s="965" t="n"/>
      <c r="AW119" s="965" t="n"/>
      <c r="AX119" s="965" t="n"/>
      <c r="AY119" s="965" t="n"/>
      <c r="AZ119" s="965" t="n"/>
      <c r="BA119" s="965" t="n"/>
      <c r="BB119" s="965" t="n"/>
      <c r="BC119" s="965" t="n"/>
      <c r="BD119" s="965" t="n"/>
      <c r="BE119" s="965" t="n"/>
      <c r="BF119" s="965" t="n"/>
      <c r="BG119" s="965" t="n"/>
      <c r="BH119" s="965" t="n"/>
      <c r="BI119" s="965" t="n"/>
      <c r="BJ119" s="965" t="n"/>
      <c r="BK119" s="965" t="n"/>
      <c r="BL119" s="965" t="n"/>
      <c r="BM119" s="965" t="n"/>
      <c r="BN119" s="965" t="n"/>
      <c r="BO119" s="965" t="n"/>
      <c r="BP119" s="965" t="n"/>
      <c r="BQ119" s="965" t="n"/>
      <c r="BR119" s="965" t="n"/>
      <c r="BS119" s="965" t="n"/>
      <c r="BT119" s="965" t="n"/>
      <c r="BU119" s="965" t="n"/>
      <c r="BV119" s="965" t="n"/>
      <c r="BW119" s="965" t="n"/>
      <c r="BX119" s="965" t="n"/>
      <c r="BY119" s="965" t="n"/>
      <c r="BZ119" s="965" t="n"/>
      <c r="CA119" s="965" t="n"/>
      <c r="CB119" s="965" t="n"/>
      <c r="CC119" s="407" t="n"/>
      <c r="CD119" s="926" t="n"/>
      <c r="CE119" s="926" t="n"/>
      <c r="CF119" s="438" t="n"/>
    </row>
    <row r="120" ht="3" customHeight="1" s="1883">
      <c r="B120" s="422" t="n"/>
      <c r="C120" s="422" t="n"/>
      <c r="D120" s="422" t="n"/>
      <c r="E120" s="422" t="n"/>
      <c r="F120" s="422" t="n"/>
      <c r="G120" s="626" t="n"/>
      <c r="H120" s="626" t="n"/>
      <c r="I120" s="626" t="n"/>
      <c r="J120" s="626" t="n"/>
      <c r="K120" s="626" t="n"/>
      <c r="L120" s="626" t="n"/>
      <c r="M120" s="626" t="n"/>
      <c r="N120" s="626" t="n"/>
      <c r="O120" s="626" t="n"/>
      <c r="P120" s="626" t="n"/>
      <c r="Q120" s="626" t="n"/>
      <c r="R120" s="626" t="n"/>
      <c r="S120" s="626" t="n"/>
      <c r="T120" s="626" t="n"/>
      <c r="U120" s="626" t="n"/>
      <c r="V120" s="626" t="n"/>
      <c r="W120" s="626" t="n"/>
      <c r="X120" s="626" t="n"/>
      <c r="Y120" s="626" t="n"/>
      <c r="Z120" s="626" t="n"/>
      <c r="AA120" s="626" t="n"/>
      <c r="AB120" s="626" t="n"/>
      <c r="AC120" s="626" t="n"/>
      <c r="AD120" s="626" t="n"/>
      <c r="AE120" s="626" t="n"/>
      <c r="AF120" s="626" t="n"/>
      <c r="AG120" s="626" t="n"/>
      <c r="AH120" s="626" t="n"/>
      <c r="AI120" s="626" t="n"/>
      <c r="AJ120" s="626" t="n"/>
      <c r="AK120" s="626" t="n"/>
      <c r="AL120" s="626" t="n"/>
      <c r="AM120" s="626" t="n"/>
      <c r="AN120" s="626" t="n"/>
      <c r="AO120" s="626" t="n"/>
      <c r="AP120" s="626" t="n"/>
      <c r="AQ120" s="626" t="n"/>
      <c r="AR120" s="626" t="n"/>
      <c r="AS120" s="626" t="n"/>
      <c r="AT120" s="626" t="n"/>
      <c r="AU120" s="626" t="n"/>
      <c r="AV120" s="626" t="n"/>
      <c r="AW120" s="626" t="n"/>
      <c r="AX120" s="626" t="n"/>
      <c r="AY120" s="626" t="n"/>
      <c r="AZ120" s="626" t="n"/>
      <c r="BA120" s="626" t="n"/>
      <c r="BB120" s="626" t="n"/>
      <c r="BC120" s="626" t="n"/>
      <c r="BD120" s="626" t="n"/>
      <c r="BE120" s="626" t="n"/>
      <c r="BF120" s="626" t="n"/>
      <c r="BG120" s="626" t="n"/>
      <c r="BH120" s="626" t="n"/>
      <c r="BI120" s="626" t="n"/>
      <c r="BJ120" s="626" t="n"/>
      <c r="BK120" s="626" t="n"/>
      <c r="BL120" s="626" t="n"/>
      <c r="BM120" s="626" t="n"/>
      <c r="BN120" s="626" t="n"/>
      <c r="BO120" s="626" t="n"/>
      <c r="BP120" s="626" t="n"/>
      <c r="BQ120" s="626" t="n"/>
      <c r="BR120" s="626" t="n"/>
      <c r="BS120" s="626" t="n"/>
      <c r="BT120" s="626" t="n"/>
      <c r="BU120" s="626" t="n"/>
      <c r="BV120" s="626" t="n"/>
      <c r="BW120" s="626" t="n"/>
      <c r="BX120" s="626" t="n"/>
      <c r="BY120" s="626" t="n"/>
      <c r="BZ120" s="626" t="n"/>
      <c r="CA120" s="626" t="n"/>
      <c r="CB120" s="626" t="n"/>
      <c r="CC120" s="407" t="n"/>
      <c r="CD120" s="626" t="n"/>
      <c r="CE120" s="626" t="n"/>
      <c r="CF120" s="407" t="n"/>
    </row>
    <row r="121" ht="15" customHeight="1" s="1883">
      <c r="B121" s="422" t="n"/>
      <c r="C121" s="422" t="n"/>
      <c r="E121" s="419" t="inlineStr">
        <is>
          <t>Activation</t>
        </is>
      </c>
      <c r="F121" s="422" t="n"/>
      <c r="G121" s="626" t="n"/>
      <c r="H121" s="626" t="n"/>
      <c r="I121" s="626" t="n"/>
      <c r="J121" s="626" t="n"/>
      <c r="K121" s="626" t="n"/>
      <c r="L121" s="626" t="n"/>
      <c r="M121" s="626" t="n"/>
      <c r="N121" s="626" t="n"/>
      <c r="O121" s="626" t="n"/>
      <c r="P121" s="626" t="n"/>
      <c r="Q121" s="626" t="n"/>
      <c r="R121" s="626" t="n"/>
      <c r="S121" s="626" t="n"/>
      <c r="T121" s="626" t="n"/>
      <c r="U121" s="626" t="n"/>
      <c r="V121" s="626" t="n"/>
      <c r="W121" s="626" t="n"/>
      <c r="X121" s="626" t="n"/>
      <c r="Y121" s="626" t="n"/>
      <c r="Z121" s="626" t="n"/>
      <c r="AA121" s="626" t="n"/>
      <c r="AB121" s="626" t="n"/>
      <c r="AC121" s="626" t="n"/>
      <c r="AD121" s="626" t="n"/>
      <c r="AE121" s="626" t="n"/>
      <c r="AF121" s="626" t="n"/>
      <c r="AG121" s="626" t="n"/>
      <c r="AH121" s="626" t="n"/>
      <c r="AI121" s="626" t="n"/>
      <c r="AJ121" s="626" t="n"/>
      <c r="AK121" s="626" t="n"/>
      <c r="AL121" s="626" t="n"/>
      <c r="AM121" s="626" t="n"/>
      <c r="AN121" s="626" t="n"/>
      <c r="AO121" s="626" t="n"/>
      <c r="AP121" s="626" t="n"/>
      <c r="AQ121" s="626" t="n"/>
      <c r="AR121" s="626" t="n"/>
      <c r="AS121" s="626" t="n"/>
      <c r="AT121" s="626" t="n"/>
      <c r="AU121" s="626" t="n"/>
      <c r="AV121" s="626" t="n"/>
      <c r="AW121" s="626" t="n"/>
      <c r="AX121" s="626" t="n"/>
      <c r="AY121" s="626" t="n"/>
      <c r="AZ121" s="626" t="n"/>
      <c r="BA121" s="626" t="n"/>
      <c r="BB121" s="626" t="n"/>
      <c r="BC121" s="626" t="n"/>
      <c r="BD121" s="626" t="n"/>
      <c r="BE121" s="626" t="n"/>
      <c r="BF121" s="626" t="n"/>
      <c r="BG121" s="626" t="n"/>
      <c r="BH121" s="626" t="n"/>
      <c r="BI121" s="626" t="n"/>
      <c r="BJ121" s="626" t="n"/>
      <c r="BK121" s="626" t="n"/>
      <c r="BL121" s="626" t="n"/>
      <c r="BM121" s="626" t="n"/>
      <c r="BN121" s="626" t="n"/>
      <c r="BO121" s="626" t="n"/>
      <c r="BP121" s="626" t="n"/>
      <c r="BQ121" s="626" t="n"/>
      <c r="BR121" s="626" t="n"/>
      <c r="BS121" s="626" t="n"/>
      <c r="BT121" s="626" t="n"/>
      <c r="BU121" s="626" t="n"/>
      <c r="BV121" s="626" t="n"/>
      <c r="BW121" s="626" t="n"/>
      <c r="BX121" s="626" t="n"/>
      <c r="BY121" s="626" t="n"/>
      <c r="BZ121" s="626" t="n"/>
      <c r="CA121" s="626" t="n"/>
      <c r="CB121" s="626" t="n"/>
      <c r="CC121" s="407" t="n"/>
      <c r="CD121" s="407" t="n"/>
      <c r="CE121" s="407" t="n"/>
      <c r="CF121" s="407" t="n"/>
    </row>
    <row r="122" ht="15" customHeight="1" s="1883">
      <c r="B122" s="422" t="n"/>
      <c r="C122" s="422" t="n"/>
      <c r="D122" s="419" t="n"/>
      <c r="E122" s="419" t="inlineStr">
        <is>
          <t>Volume</t>
        </is>
      </c>
      <c r="F122" s="422" t="n"/>
      <c r="G122" s="626" t="n"/>
      <c r="H122" s="626" t="n"/>
      <c r="I122" s="626" t="n"/>
      <c r="J122" s="626" t="n"/>
      <c r="K122" s="626" t="n"/>
      <c r="L122" s="626" t="n"/>
      <c r="M122" s="626" t="n"/>
      <c r="N122" s="626" t="n"/>
      <c r="O122" s="626" t="n"/>
      <c r="P122" s="626" t="n"/>
      <c r="Q122" s="626" t="n"/>
      <c r="R122" s="626" t="n"/>
      <c r="S122" s="626" t="n"/>
      <c r="T122" s="626" t="n"/>
      <c r="U122" s="626" t="n"/>
      <c r="V122" s="626" t="n"/>
      <c r="W122" s="626" t="n"/>
      <c r="X122" s="626" t="n"/>
      <c r="Y122" s="626" t="n"/>
      <c r="Z122" s="626" t="n"/>
      <c r="AA122" s="626" t="n"/>
      <c r="AB122" s="626" t="n"/>
      <c r="AC122" s="626" t="n"/>
      <c r="AD122" s="626" t="n"/>
      <c r="AE122" s="626" t="n"/>
      <c r="AF122" s="626" t="n"/>
      <c r="AG122" s="626" t="n"/>
      <c r="AH122" s="626" t="n"/>
      <c r="AI122" s="626" t="n"/>
      <c r="AJ122" s="626" t="n"/>
      <c r="AK122" s="626" t="n"/>
      <c r="AL122" s="626" t="n"/>
      <c r="AM122" s="626" t="n"/>
      <c r="AN122" s="626" t="n"/>
      <c r="AO122" s="626" t="n"/>
      <c r="AP122" s="626" t="n"/>
      <c r="AQ122" s="626" t="n"/>
      <c r="AR122" s="626" t="n"/>
      <c r="AS122" s="626" t="n"/>
      <c r="AT122" s="626" t="n"/>
      <c r="AU122" s="626" t="n"/>
      <c r="AV122" s="626" t="n"/>
      <c r="AW122" s="626" t="n"/>
      <c r="AX122" s="626" t="n"/>
      <c r="AY122" s="626" t="n"/>
      <c r="AZ122" s="626" t="n"/>
      <c r="BA122" s="626" t="n"/>
      <c r="BB122" s="626" t="n"/>
      <c r="BC122" s="626" t="n"/>
      <c r="BD122" s="626" t="n"/>
      <c r="BE122" s="626" t="n"/>
      <c r="BF122" s="626" t="n"/>
      <c r="BG122" s="626" t="n"/>
      <c r="BH122" s="626" t="n"/>
      <c r="BI122" s="626" t="n"/>
      <c r="BJ122" s="626" t="n"/>
      <c r="BK122" s="626" t="n"/>
      <c r="BL122" s="626" t="n"/>
      <c r="BM122" s="626" t="n"/>
      <c r="BN122" s="626" t="n"/>
      <c r="BO122" s="626" t="n"/>
      <c r="BP122" s="626" t="n"/>
      <c r="BQ122" s="626" t="n"/>
      <c r="BR122" s="626" t="n"/>
      <c r="BS122" s="626" t="n"/>
      <c r="BT122" s="626" t="n"/>
      <c r="BU122" s="626" t="n"/>
      <c r="BV122" s="626" t="n"/>
      <c r="BW122" s="626" t="n"/>
      <c r="BX122" s="626" t="n"/>
      <c r="BY122" s="626" t="n"/>
      <c r="BZ122" s="626" t="n"/>
      <c r="CA122" s="626" t="n"/>
      <c r="CB122" s="420" t="inlineStr">
        <is>
          <t>Renewal</t>
        </is>
      </c>
      <c r="CC122" s="407" t="n"/>
      <c r="CD122" s="407" t="n"/>
      <c r="CE122" s="427" t="inlineStr">
        <is>
          <t xml:space="preserve">Active Users </t>
        </is>
      </c>
      <c r="CF122" s="407" t="n"/>
    </row>
    <row r="123" ht="15" customHeight="1" s="1883">
      <c r="B123" s="422" t="n"/>
      <c r="C123" s="422" t="n"/>
      <c r="D123" s="419" t="inlineStr">
        <is>
          <t>Activation</t>
        </is>
      </c>
      <c r="E123" s="386" t="inlineStr">
        <is>
          <t>By Month</t>
        </is>
      </c>
      <c r="F123" s="422" t="n"/>
      <c r="G123" s="626" t="n"/>
      <c r="H123" s="626" t="n"/>
      <c r="I123" s="626" t="n"/>
      <c r="J123" s="626" t="n"/>
      <c r="K123" s="626" t="n"/>
      <c r="L123" s="626" t="n"/>
      <c r="M123" s="626" t="n"/>
      <c r="N123" s="626" t="n"/>
      <c r="O123" s="626" t="n"/>
      <c r="P123" s="626" t="n"/>
      <c r="Q123" s="626" t="n"/>
      <c r="R123" s="626" t="n"/>
      <c r="S123" s="626" t="n"/>
      <c r="T123" s="626" t="n"/>
      <c r="U123" s="626" t="n"/>
      <c r="V123" s="626" t="n"/>
      <c r="W123" s="626" t="n"/>
      <c r="X123" s="626" t="n"/>
      <c r="Y123" s="626" t="n"/>
      <c r="Z123" s="626" t="n"/>
      <c r="AA123" s="626" t="n"/>
      <c r="AB123" s="626" t="n"/>
      <c r="AC123" s="626" t="n"/>
      <c r="AD123" s="626" t="n"/>
      <c r="AE123" s="626" t="n"/>
      <c r="AF123" s="626" t="n"/>
      <c r="AG123" s="626" t="n"/>
      <c r="AH123" s="626" t="n"/>
      <c r="AI123" s="626" t="n"/>
      <c r="AJ123" s="626" t="n"/>
      <c r="AK123" s="626" t="n"/>
      <c r="AL123" s="626" t="n"/>
      <c r="AM123" s="626" t="n"/>
      <c r="AN123" s="626" t="n"/>
      <c r="AO123" s="626" t="n"/>
      <c r="AP123" s="626" t="n"/>
      <c r="AQ123" s="626" t="n"/>
      <c r="AR123" s="626" t="n"/>
      <c r="AS123" s="626" t="n"/>
      <c r="AT123" s="626" t="n"/>
      <c r="AU123" s="626" t="n"/>
      <c r="AV123" s="626" t="n"/>
      <c r="AW123" s="626" t="n"/>
      <c r="AX123" s="626" t="n"/>
      <c r="AY123" s="626" t="n"/>
      <c r="AZ123" s="626" t="n"/>
      <c r="BA123" s="626" t="n"/>
      <c r="BB123" s="626" t="n"/>
      <c r="BC123" s="626" t="n"/>
      <c r="BD123" s="626" t="n"/>
      <c r="BE123" s="626" t="n"/>
      <c r="BF123" s="626" t="n"/>
      <c r="BG123" s="626" t="n"/>
      <c r="BH123" s="626" t="n"/>
      <c r="BI123" s="626" t="n"/>
      <c r="BJ123" s="626" t="n"/>
      <c r="BK123" s="626" t="n"/>
      <c r="BL123" s="626" t="n"/>
      <c r="BM123" s="626" t="n"/>
      <c r="BN123" s="626" t="n"/>
      <c r="BO123" s="626" t="n"/>
      <c r="BP123" s="626" t="n"/>
      <c r="BQ123" s="626" t="n"/>
      <c r="BR123" s="626" t="n"/>
      <c r="BS123" s="626" t="n"/>
      <c r="BT123" s="626" t="n"/>
      <c r="BU123" s="626" t="n"/>
      <c r="BV123" s="626" t="n"/>
      <c r="BW123" s="626" t="n"/>
      <c r="BX123" s="626" t="n"/>
      <c r="BY123" s="626" t="n"/>
      <c r="BZ123" s="626" t="n"/>
      <c r="CA123" s="626" t="n"/>
      <c r="CB123" s="420" t="inlineStr">
        <is>
          <t>Volume</t>
        </is>
      </c>
      <c r="CC123" s="407" t="n"/>
      <c r="CD123" s="427" t="n"/>
      <c r="CE123" s="386" t="inlineStr">
        <is>
          <t>Remaining</t>
        </is>
      </c>
      <c r="CF123" s="407" t="n"/>
    </row>
    <row r="124">
      <c r="B124" s="422" t="n"/>
      <c r="C124" s="422" t="n"/>
      <c r="D124" s="117" t="inlineStr">
        <is>
          <t>Vintage</t>
        </is>
      </c>
      <c r="E124" s="386" t="inlineStr">
        <is>
          <t>Of Activation</t>
        </is>
      </c>
      <c r="F124" s="422" t="n"/>
      <c r="G124" s="117" t="inlineStr">
        <is>
          <t>Month 1</t>
        </is>
      </c>
      <c r="H124" s="117" t="inlineStr">
        <is>
          <t>Month 2</t>
        </is>
      </c>
      <c r="I124" s="117" t="inlineStr">
        <is>
          <t>Month 3</t>
        </is>
      </c>
      <c r="J124" s="117" t="inlineStr">
        <is>
          <t>Month 4</t>
        </is>
      </c>
      <c r="K124" s="117" t="inlineStr">
        <is>
          <t>Month 5</t>
        </is>
      </c>
      <c r="L124" s="117" t="inlineStr">
        <is>
          <t>Month 6</t>
        </is>
      </c>
      <c r="M124" s="117" t="inlineStr">
        <is>
          <t>Month 7</t>
        </is>
      </c>
      <c r="N124" s="117" t="inlineStr">
        <is>
          <t>Month 8</t>
        </is>
      </c>
      <c r="O124" s="117" t="inlineStr">
        <is>
          <t>Month 9</t>
        </is>
      </c>
      <c r="P124" s="117" t="inlineStr">
        <is>
          <t>Month 10</t>
        </is>
      </c>
      <c r="Q124" s="117" t="inlineStr">
        <is>
          <t>Month 11</t>
        </is>
      </c>
      <c r="R124" s="1915" t="inlineStr">
        <is>
          <t>Month 12</t>
        </is>
      </c>
      <c r="S124" s="418" t="inlineStr">
        <is>
          <t>Month 13</t>
        </is>
      </c>
      <c r="T124" s="117" t="inlineStr">
        <is>
          <t>Month 14</t>
        </is>
      </c>
      <c r="U124" s="117" t="inlineStr">
        <is>
          <t>Month 15</t>
        </is>
      </c>
      <c r="V124" s="117" t="inlineStr">
        <is>
          <t>Month 16</t>
        </is>
      </c>
      <c r="W124" s="117" t="inlineStr">
        <is>
          <t>Month 17</t>
        </is>
      </c>
      <c r="X124" s="117" t="inlineStr">
        <is>
          <t>Month 18</t>
        </is>
      </c>
      <c r="Y124" s="117" t="inlineStr">
        <is>
          <t>Month 19</t>
        </is>
      </c>
      <c r="Z124" s="117" t="inlineStr">
        <is>
          <t>Month 20</t>
        </is>
      </c>
      <c r="AA124" s="117" t="inlineStr">
        <is>
          <t>Month 21</t>
        </is>
      </c>
      <c r="AB124" s="117" t="inlineStr">
        <is>
          <t>Month 22</t>
        </is>
      </c>
      <c r="AC124" s="117" t="inlineStr">
        <is>
          <t>Month 23</t>
        </is>
      </c>
      <c r="AD124" s="1915" t="inlineStr">
        <is>
          <t>Month 24</t>
        </is>
      </c>
      <c r="AE124" s="418" t="inlineStr">
        <is>
          <t>Month 25</t>
        </is>
      </c>
      <c r="AF124" s="117" t="inlineStr">
        <is>
          <t>Month 26</t>
        </is>
      </c>
      <c r="AG124" s="117" t="inlineStr">
        <is>
          <t>Month 27</t>
        </is>
      </c>
      <c r="AH124" s="117" t="inlineStr">
        <is>
          <t>Month 28</t>
        </is>
      </c>
      <c r="AI124" s="117" t="inlineStr">
        <is>
          <t>Month 29</t>
        </is>
      </c>
      <c r="AJ124" s="117" t="inlineStr">
        <is>
          <t>Month 30</t>
        </is>
      </c>
      <c r="AK124" s="117" t="inlineStr">
        <is>
          <t>Month 31</t>
        </is>
      </c>
      <c r="AL124" s="117" t="inlineStr">
        <is>
          <t>Month 32</t>
        </is>
      </c>
      <c r="AM124" s="117" t="inlineStr">
        <is>
          <t>Month 33</t>
        </is>
      </c>
      <c r="AN124" s="117" t="inlineStr">
        <is>
          <t>Month 34</t>
        </is>
      </c>
      <c r="AO124" s="117" t="inlineStr">
        <is>
          <t>Month 35</t>
        </is>
      </c>
      <c r="AP124" s="1915" t="inlineStr">
        <is>
          <t>Month 36</t>
        </is>
      </c>
      <c r="AQ124" s="418" t="inlineStr">
        <is>
          <t>Month 37</t>
        </is>
      </c>
      <c r="AR124" s="117" t="inlineStr">
        <is>
          <t>Month 38</t>
        </is>
      </c>
      <c r="AS124" s="117" t="inlineStr">
        <is>
          <t>Month 39</t>
        </is>
      </c>
      <c r="AT124" s="117" t="inlineStr">
        <is>
          <t>Month 40</t>
        </is>
      </c>
      <c r="AU124" s="117" t="inlineStr">
        <is>
          <t>Month 41</t>
        </is>
      </c>
      <c r="AV124" s="117" t="inlineStr">
        <is>
          <t>Month 42</t>
        </is>
      </c>
      <c r="AW124" s="117" t="inlineStr">
        <is>
          <t>Month 43</t>
        </is>
      </c>
      <c r="AX124" s="117" t="inlineStr">
        <is>
          <t>Month 44</t>
        </is>
      </c>
      <c r="AY124" s="117" t="inlineStr">
        <is>
          <t>Month 45</t>
        </is>
      </c>
      <c r="AZ124" s="117" t="inlineStr">
        <is>
          <t>Month 46</t>
        </is>
      </c>
      <c r="BA124" s="117" t="inlineStr">
        <is>
          <t>Month 47</t>
        </is>
      </c>
      <c r="BB124" s="1915" t="inlineStr">
        <is>
          <t>Month 48</t>
        </is>
      </c>
      <c r="BC124" s="418" t="inlineStr">
        <is>
          <t>Month 49</t>
        </is>
      </c>
      <c r="BD124" s="117" t="inlineStr">
        <is>
          <t>Month 50</t>
        </is>
      </c>
      <c r="BE124" s="117" t="inlineStr">
        <is>
          <t>Month 51</t>
        </is>
      </c>
      <c r="BF124" s="117" t="inlineStr">
        <is>
          <t>Month 52</t>
        </is>
      </c>
      <c r="BG124" s="117" t="inlineStr">
        <is>
          <t>Month 53</t>
        </is>
      </c>
      <c r="BH124" s="117" t="inlineStr">
        <is>
          <t>Month 54</t>
        </is>
      </c>
      <c r="BI124" s="117" t="inlineStr">
        <is>
          <t>Month 55</t>
        </is>
      </c>
      <c r="BJ124" s="117" t="inlineStr">
        <is>
          <t>Month 56</t>
        </is>
      </c>
      <c r="BK124" s="117" t="inlineStr">
        <is>
          <t>Month 57</t>
        </is>
      </c>
      <c r="BL124" s="117" t="inlineStr">
        <is>
          <t>Month 58</t>
        </is>
      </c>
      <c r="BM124" s="117" t="inlineStr">
        <is>
          <t>Month 59</t>
        </is>
      </c>
      <c r="BN124" s="117" t="inlineStr">
        <is>
          <t>Month 60</t>
        </is>
      </c>
      <c r="BO124" s="418" t="inlineStr">
        <is>
          <t>Month 61</t>
        </is>
      </c>
      <c r="BP124" s="117" t="inlineStr">
        <is>
          <t>Month 62</t>
        </is>
      </c>
      <c r="BQ124" s="117" t="inlineStr">
        <is>
          <t>Month 63</t>
        </is>
      </c>
      <c r="BR124" s="117" t="inlineStr">
        <is>
          <t>Month 64</t>
        </is>
      </c>
      <c r="BS124" s="117" t="inlineStr">
        <is>
          <t>Month 65</t>
        </is>
      </c>
      <c r="BT124" s="117" t="inlineStr">
        <is>
          <t>Month 66</t>
        </is>
      </c>
      <c r="BU124" s="117" t="inlineStr">
        <is>
          <t>Month 67</t>
        </is>
      </c>
      <c r="BV124" s="117" t="inlineStr">
        <is>
          <t>Month 68</t>
        </is>
      </c>
      <c r="BW124" s="117" t="inlineStr">
        <is>
          <t>Month 69</t>
        </is>
      </c>
      <c r="BX124" s="117" t="inlineStr">
        <is>
          <t>Month 70</t>
        </is>
      </c>
      <c r="BY124" s="117" t="inlineStr">
        <is>
          <t>Month 71</t>
        </is>
      </c>
      <c r="BZ124" s="117" t="inlineStr">
        <is>
          <t>Month 72</t>
        </is>
      </c>
      <c r="CA124" s="407" t="n"/>
      <c r="CB124" s="427" t="inlineStr">
        <is>
          <t>By Vintage</t>
        </is>
      </c>
      <c r="CC124" s="407" t="n"/>
      <c r="CD124" s="427" t="inlineStr">
        <is>
          <t>Check</t>
        </is>
      </c>
      <c r="CE124" s="386" t="inlineStr">
        <is>
          <t>After Attrition</t>
        </is>
      </c>
      <c r="CF124" s="427" t="inlineStr">
        <is>
          <t>Check</t>
        </is>
      </c>
    </row>
    <row r="125" ht="3" customHeight="1" s="1883">
      <c r="B125" s="422" t="n"/>
      <c r="C125" s="422" t="n"/>
      <c r="D125" s="926" t="n"/>
      <c r="E125" s="926" t="n"/>
      <c r="F125" s="422" t="n"/>
      <c r="G125" s="926" t="n"/>
      <c r="H125" s="926" t="n"/>
      <c r="I125" s="926" t="n"/>
      <c r="J125" s="926" t="n"/>
      <c r="K125" s="926" t="n"/>
      <c r="L125" s="926" t="n"/>
      <c r="M125" s="926" t="n"/>
      <c r="N125" s="926" t="n"/>
      <c r="O125" s="926" t="n"/>
      <c r="P125" s="926" t="n"/>
      <c r="Q125" s="926" t="n"/>
      <c r="R125" s="926" t="n"/>
      <c r="S125" s="968" t="n"/>
      <c r="T125" s="926" t="n"/>
      <c r="U125" s="926" t="n"/>
      <c r="V125" s="926" t="n"/>
      <c r="W125" s="926" t="n"/>
      <c r="X125" s="926" t="n"/>
      <c r="Y125" s="926" t="n"/>
      <c r="Z125" s="926" t="n"/>
      <c r="AA125" s="926" t="n"/>
      <c r="AB125" s="926" t="n"/>
      <c r="AC125" s="926" t="n"/>
      <c r="AD125" s="926" t="n"/>
      <c r="AE125" s="968" t="n"/>
      <c r="AF125" s="926" t="n"/>
      <c r="AG125" s="926" t="n"/>
      <c r="AH125" s="926" t="n"/>
      <c r="AI125" s="926" t="n"/>
      <c r="AJ125" s="926" t="n"/>
      <c r="AK125" s="926" t="n"/>
      <c r="AL125" s="926" t="n"/>
      <c r="AM125" s="926" t="n"/>
      <c r="AN125" s="926" t="n"/>
      <c r="AO125" s="926" t="n"/>
      <c r="AP125" s="926" t="n"/>
      <c r="AQ125" s="968" t="n"/>
      <c r="AR125" s="926" t="n"/>
      <c r="AS125" s="926" t="n"/>
      <c r="AT125" s="926" t="n"/>
      <c r="AU125" s="926" t="n"/>
      <c r="AV125" s="926" t="n"/>
      <c r="AW125" s="926" t="n"/>
      <c r="AX125" s="926" t="n"/>
      <c r="AY125" s="926" t="n"/>
      <c r="AZ125" s="926" t="n"/>
      <c r="BA125" s="926" t="n"/>
      <c r="BB125" s="926" t="n"/>
      <c r="BC125" s="968" t="n"/>
      <c r="BD125" s="926" t="n"/>
      <c r="BE125" s="926" t="n"/>
      <c r="BF125" s="926" t="n"/>
      <c r="BG125" s="926" t="n"/>
      <c r="BH125" s="926" t="n"/>
      <c r="BI125" s="926" t="n"/>
      <c r="BJ125" s="926" t="n"/>
      <c r="BK125" s="926" t="n"/>
      <c r="BL125" s="926" t="n"/>
      <c r="BM125" s="926" t="n"/>
      <c r="BN125" s="926" t="n"/>
      <c r="BO125" s="968" t="n"/>
      <c r="BP125" s="926" t="n"/>
      <c r="BQ125" s="926" t="n"/>
      <c r="BR125" s="926" t="n"/>
      <c r="BS125" s="926" t="n"/>
      <c r="BT125" s="926" t="n"/>
      <c r="BU125" s="926" t="n"/>
      <c r="BV125" s="926" t="n"/>
      <c r="BW125" s="926" t="n"/>
      <c r="BX125" s="926" t="n"/>
      <c r="BY125" s="926" t="n"/>
      <c r="BZ125" s="926" t="n"/>
      <c r="CA125" s="407" t="n"/>
      <c r="CB125" s="438" t="n"/>
      <c r="CC125" s="407" t="n"/>
      <c r="CD125" s="438" t="n"/>
      <c r="CE125" s="438" t="n"/>
      <c r="CF125" s="438" t="n"/>
    </row>
    <row r="126" ht="3" customHeight="1" s="1883">
      <c r="B126" s="422" t="n"/>
      <c r="C126" s="422" t="n"/>
      <c r="D126" s="626" t="n"/>
      <c r="E126" s="626" t="n"/>
      <c r="F126" s="422" t="n"/>
      <c r="G126" s="1968" t="n"/>
      <c r="H126" s="626" t="n"/>
      <c r="I126" s="626" t="n"/>
      <c r="J126" s="626" t="n"/>
      <c r="K126" s="626" t="n"/>
      <c r="L126" s="626" t="n"/>
      <c r="M126" s="626" t="n"/>
      <c r="N126" s="626" t="n"/>
      <c r="O126" s="626" t="n"/>
      <c r="P126" s="626" t="n"/>
      <c r="Q126" s="626" t="n"/>
      <c r="R126" s="1968" t="n"/>
      <c r="S126" s="970" t="n"/>
      <c r="T126" s="626" t="n"/>
      <c r="U126" s="626" t="n"/>
      <c r="V126" s="626" t="n"/>
      <c r="W126" s="626" t="n"/>
      <c r="X126" s="626" t="n"/>
      <c r="Y126" s="626" t="n"/>
      <c r="Z126" s="626" t="n"/>
      <c r="AA126" s="626" t="n"/>
      <c r="AB126" s="1968" t="n"/>
      <c r="AC126" s="1968" t="n"/>
      <c r="AD126" s="1968" t="n"/>
      <c r="AE126" s="970" t="n"/>
      <c r="AF126" s="1968" t="n"/>
      <c r="AG126" s="1968" t="n"/>
      <c r="AH126" s="1968" t="n"/>
      <c r="AI126" s="1968" t="n"/>
      <c r="AJ126" s="1968" t="n"/>
      <c r="AK126" s="1968" t="n"/>
      <c r="AL126" s="1968" t="n"/>
      <c r="AM126" s="1968" t="n"/>
      <c r="AN126" s="1968" t="n"/>
      <c r="AO126" s="1968" t="n"/>
      <c r="AP126" s="1968" t="n"/>
      <c r="AQ126" s="970" t="n"/>
      <c r="AR126" s="1968" t="n"/>
      <c r="AS126" s="1968" t="n"/>
      <c r="AT126" s="1968" t="n"/>
      <c r="AU126" s="1968" t="n"/>
      <c r="AV126" s="1968" t="n"/>
      <c r="AW126" s="1968" t="n"/>
      <c r="AX126" s="1968" t="n"/>
      <c r="AY126" s="1968" t="n"/>
      <c r="AZ126" s="1968" t="n"/>
      <c r="BA126" s="1968" t="n"/>
      <c r="BB126" s="1968" t="n"/>
      <c r="BC126" s="970" t="n"/>
      <c r="BD126" s="1968" t="n"/>
      <c r="BE126" s="1968" t="n"/>
      <c r="BF126" s="1968" t="n"/>
      <c r="BG126" s="1968" t="n"/>
      <c r="BH126" s="1968" t="n"/>
      <c r="BI126" s="1968" t="n"/>
      <c r="BJ126" s="1968" t="n"/>
      <c r="BK126" s="1968" t="n"/>
      <c r="BL126" s="1968" t="n"/>
      <c r="BM126" s="1968" t="n"/>
      <c r="BN126" s="1968" t="n"/>
      <c r="BO126" s="970" t="n"/>
      <c r="BP126" s="1968" t="n"/>
      <c r="BQ126" s="1968" t="n"/>
      <c r="BR126" s="1968" t="n"/>
      <c r="BS126" s="1968" t="n"/>
      <c r="BT126" s="1968" t="n"/>
      <c r="BU126" s="1968" t="n"/>
      <c r="BV126" s="1968" t="n"/>
      <c r="BW126" s="1968" t="n"/>
      <c r="BX126" s="1968" t="n"/>
      <c r="BY126" s="1968" t="n"/>
      <c r="BZ126" s="1968" t="n"/>
      <c r="CA126" s="407" t="n"/>
      <c r="CB126" s="407" t="n"/>
      <c r="CC126" s="407" t="n"/>
      <c r="CD126" s="407" t="n"/>
      <c r="CE126" s="407" t="n"/>
      <c r="CF126" s="407" t="n"/>
    </row>
    <row r="127">
      <c r="B127" s="383" t="n"/>
      <c r="C127" s="383" t="n"/>
      <c r="D127" s="149" t="inlineStr">
        <is>
          <t>Month 1</t>
        </is>
      </c>
      <c r="E127" s="447">
        <f>(E26)</f>
        <v/>
      </c>
      <c r="F127" s="383" t="n"/>
      <c r="G127" s="594" t="n"/>
      <c r="H127" s="594" t="n"/>
      <c r="I127" s="594" t="n"/>
      <c r="J127" s="594" t="n"/>
      <c r="K127" s="594" t="n"/>
      <c r="L127" s="594" t="n"/>
      <c r="M127" s="594" t="n"/>
      <c r="N127" s="594" t="n"/>
      <c r="O127" s="594" t="n"/>
      <c r="P127" s="594" t="n"/>
      <c r="Q127" s="594" t="n"/>
      <c r="R127" s="595" t="n"/>
      <c r="S127" s="442">
        <f>(($E127)-SUM(G26:S26))</f>
        <v/>
      </c>
      <c r="T127" s="441" t="n"/>
      <c r="U127" s="441" t="n"/>
      <c r="V127" s="391" t="n"/>
      <c r="W127" s="391" t="n"/>
      <c r="X127" s="391" t="n"/>
      <c r="Y127" s="391" t="n"/>
      <c r="Z127" s="391" t="n"/>
      <c r="AA127" s="391" t="n"/>
      <c r="AB127" s="391" t="n"/>
      <c r="AC127" s="391" t="n"/>
      <c r="AD127" s="441" t="n"/>
      <c r="AE127" s="442">
        <f>(($E127)-SUM(G26:AE26))</f>
        <v/>
      </c>
      <c r="AF127" s="391" t="n"/>
      <c r="AG127" s="391" t="n"/>
      <c r="AH127" s="391" t="n"/>
      <c r="AI127" s="391" t="n"/>
      <c r="AJ127" s="391" t="n"/>
      <c r="AK127" s="391" t="n"/>
      <c r="AL127" s="391" t="n"/>
      <c r="AM127" s="391" t="n"/>
      <c r="AN127" s="391" t="n"/>
      <c r="AO127" s="391" t="n"/>
      <c r="AP127" s="441" t="n"/>
      <c r="AQ127" s="442">
        <f>(($E127)-SUM(G26:AQ26))</f>
        <v/>
      </c>
      <c r="AR127" s="391" t="n"/>
      <c r="AS127" s="391" t="n"/>
      <c r="AT127" s="391" t="n"/>
      <c r="AU127" s="391" t="n"/>
      <c r="AV127" s="391" t="n"/>
      <c r="AW127" s="391" t="n"/>
      <c r="AX127" s="391" t="n"/>
      <c r="AY127" s="391" t="n"/>
      <c r="AZ127" s="391" t="n"/>
      <c r="BA127" s="391" t="n"/>
      <c r="BB127" s="441" t="n"/>
      <c r="BC127" s="442">
        <f>(($E127)-SUM(G26:BC26))</f>
        <v/>
      </c>
      <c r="BD127" s="391" t="n"/>
      <c r="BE127" s="391" t="n"/>
      <c r="BF127" s="391" t="n"/>
      <c r="BG127" s="391" t="n"/>
      <c r="BH127" s="391" t="n"/>
      <c r="BI127" s="391" t="n"/>
      <c r="BJ127" s="391" t="n"/>
      <c r="BK127" s="391" t="n"/>
      <c r="BL127" s="391" t="n"/>
      <c r="BM127" s="391" t="n"/>
      <c r="BN127" s="391" t="n"/>
      <c r="BO127" s="442">
        <f>(($E127)-SUM(G26:BO26))</f>
        <v/>
      </c>
      <c r="BP127" s="391" t="n"/>
      <c r="BQ127" s="391" t="n"/>
      <c r="BR127" s="391" t="n"/>
      <c r="BS127" s="391" t="n"/>
      <c r="BT127" s="391" t="n"/>
      <c r="BU127" s="391" t="n"/>
      <c r="BV127" s="391" t="n"/>
      <c r="BW127" s="391" t="n"/>
      <c r="BX127" s="391" t="n"/>
      <c r="BY127" s="391" t="n"/>
      <c r="BZ127" s="391" t="n"/>
      <c r="CA127" s="391" t="n"/>
      <c r="CB127" s="397">
        <f>SUM(G26:BZ26)</f>
        <v/>
      </c>
      <c r="CC127" s="391" t="n"/>
      <c r="CD127" s="397">
        <f>SUM(BC127:BN127)</f>
        <v/>
      </c>
      <c r="CE127" s="391">
        <f>(CE26)</f>
        <v/>
      </c>
      <c r="CF127" s="386">
        <f>IF(CD127=CE127,"Y","N")</f>
        <v/>
      </c>
    </row>
    <row r="128">
      <c r="B128" s="383" t="n"/>
      <c r="C128" s="383" t="n"/>
      <c r="D128" s="149" t="inlineStr">
        <is>
          <t>Month 2</t>
        </is>
      </c>
      <c r="E128" s="447">
        <f>(E27)</f>
        <v/>
      </c>
      <c r="F128" s="383" t="n"/>
      <c r="G128" s="594" t="n"/>
      <c r="H128" s="594" t="n"/>
      <c r="I128" s="594" t="n"/>
      <c r="J128" s="594" t="n"/>
      <c r="K128" s="594" t="n"/>
      <c r="L128" s="594" t="n"/>
      <c r="M128" s="594" t="n"/>
      <c r="N128" s="594" t="n"/>
      <c r="O128" s="594" t="n"/>
      <c r="P128" s="594" t="n"/>
      <c r="Q128" s="594" t="n"/>
      <c r="R128" s="595" t="n"/>
      <c r="S128" s="602" t="n"/>
      <c r="T128" s="441">
        <f>(($E128)-SUM(H27:T27))</f>
        <v/>
      </c>
      <c r="U128" s="441" t="n"/>
      <c r="V128" s="441" t="n"/>
      <c r="W128" s="391" t="n"/>
      <c r="X128" s="391" t="n"/>
      <c r="Y128" s="391" t="n"/>
      <c r="Z128" s="391" t="n"/>
      <c r="AA128" s="391" t="n"/>
      <c r="AB128" s="391" t="n"/>
      <c r="AC128" s="391" t="n"/>
      <c r="AD128" s="441" t="n"/>
      <c r="AE128" s="442" t="n"/>
      <c r="AF128" s="441">
        <f>(($E128)-SUM(H27:AF27))</f>
        <v/>
      </c>
      <c r="AG128" s="391" t="n"/>
      <c r="AH128" s="391" t="n"/>
      <c r="AI128" s="391" t="n"/>
      <c r="AJ128" s="391" t="n"/>
      <c r="AK128" s="391" t="n"/>
      <c r="AL128" s="391" t="n"/>
      <c r="AM128" s="391" t="n"/>
      <c r="AN128" s="391" t="n"/>
      <c r="AO128" s="391" t="n"/>
      <c r="AP128" s="441" t="n"/>
      <c r="AQ128" s="442" t="n"/>
      <c r="AR128" s="391">
        <f>(($E128)-SUM(H27:AR27))</f>
        <v/>
      </c>
      <c r="AS128" s="391" t="n"/>
      <c r="AT128" s="391" t="n"/>
      <c r="AU128" s="391" t="n"/>
      <c r="AV128" s="391" t="n"/>
      <c r="AW128" s="391" t="n"/>
      <c r="AX128" s="391" t="n"/>
      <c r="AY128" s="391" t="n"/>
      <c r="AZ128" s="391" t="n"/>
      <c r="BA128" s="391" t="n"/>
      <c r="BB128" s="441" t="n"/>
      <c r="BC128" s="442" t="n"/>
      <c r="BD128" s="391">
        <f>(($E128)-SUM(H27:BD27))</f>
        <v/>
      </c>
      <c r="BE128" s="391" t="n"/>
      <c r="BF128" s="391" t="n"/>
      <c r="BG128" s="391" t="n"/>
      <c r="BH128" s="391" t="n"/>
      <c r="BI128" s="391" t="n"/>
      <c r="BJ128" s="391" t="n"/>
      <c r="BK128" s="391" t="n"/>
      <c r="BL128" s="391" t="n"/>
      <c r="BM128" s="391" t="n"/>
      <c r="BN128" s="391" t="n"/>
      <c r="BO128" s="442" t="n"/>
      <c r="BP128" s="391">
        <f>(($E128)-SUM(H27:BP27))</f>
        <v/>
      </c>
      <c r="BQ128" s="391" t="n"/>
      <c r="BR128" s="391" t="n"/>
      <c r="BS128" s="391" t="n"/>
      <c r="BT128" s="391" t="n"/>
      <c r="BU128" s="391" t="n"/>
      <c r="BV128" s="391" t="n"/>
      <c r="BW128" s="391" t="n"/>
      <c r="BX128" s="391" t="n"/>
      <c r="BY128" s="391" t="n"/>
      <c r="BZ128" s="391" t="n"/>
      <c r="CA128" s="391" t="n"/>
      <c r="CB128" s="397">
        <f>SUM(G27:BZ27)</f>
        <v/>
      </c>
      <c r="CC128" s="391" t="n"/>
      <c r="CD128" s="397">
        <f>SUM(BC128:BN128)</f>
        <v/>
      </c>
      <c r="CE128" s="391">
        <f>(CE27)</f>
        <v/>
      </c>
      <c r="CF128" s="386">
        <f>IF(CD128=CE128,"Y","N")</f>
        <v/>
      </c>
    </row>
    <row r="129">
      <c r="D129" s="149" t="inlineStr">
        <is>
          <t>Month 3</t>
        </is>
      </c>
      <c r="E129" s="447">
        <f>(E28)</f>
        <v/>
      </c>
      <c r="F129" s="383" t="n"/>
      <c r="G129" s="594" t="n"/>
      <c r="H129" s="594" t="n"/>
      <c r="I129" s="594" t="n"/>
      <c r="J129" s="594" t="n"/>
      <c r="K129" s="594" t="n"/>
      <c r="L129" s="594" t="n"/>
      <c r="M129" s="594" t="n"/>
      <c r="N129" s="594" t="n"/>
      <c r="O129" s="594" t="n"/>
      <c r="P129" s="594" t="n"/>
      <c r="Q129" s="594" t="n"/>
      <c r="R129" s="595" t="n"/>
      <c r="S129" s="602" t="n"/>
      <c r="T129" s="594" t="n"/>
      <c r="U129" s="441">
        <f>(($E129)-SUM(I28:U28))</f>
        <v/>
      </c>
      <c r="V129" s="441" t="n"/>
      <c r="W129" s="441" t="n"/>
      <c r="X129" s="391" t="n"/>
      <c r="Y129" s="391" t="n"/>
      <c r="Z129" s="391" t="n"/>
      <c r="AA129" s="391" t="n"/>
      <c r="AB129" s="391" t="n"/>
      <c r="AC129" s="391" t="n"/>
      <c r="AD129" s="441" t="n"/>
      <c r="AE129" s="442" t="n"/>
      <c r="AF129" s="391" t="n"/>
      <c r="AG129" s="441">
        <f>(($E129)-SUM(I28:AG28))</f>
        <v/>
      </c>
      <c r="AH129" s="391" t="n"/>
      <c r="AI129" s="391" t="n"/>
      <c r="AJ129" s="391" t="n"/>
      <c r="AK129" s="391" t="n"/>
      <c r="AL129" s="391" t="n"/>
      <c r="AM129" s="391" t="n"/>
      <c r="AN129" s="391" t="n"/>
      <c r="AO129" s="391" t="n"/>
      <c r="AP129" s="441" t="n"/>
      <c r="AQ129" s="442" t="n"/>
      <c r="AR129" s="391" t="n"/>
      <c r="AS129" s="391">
        <f>(($E129)-SUM(I28:AS28))</f>
        <v/>
      </c>
      <c r="AT129" s="391" t="n"/>
      <c r="AU129" s="391" t="n"/>
      <c r="AV129" s="391" t="n"/>
      <c r="AW129" s="391" t="n"/>
      <c r="AX129" s="391" t="n"/>
      <c r="AY129" s="391" t="n"/>
      <c r="AZ129" s="391" t="n"/>
      <c r="BA129" s="391" t="n"/>
      <c r="BB129" s="441" t="n"/>
      <c r="BC129" s="442" t="n"/>
      <c r="BD129" s="391" t="n"/>
      <c r="BE129" s="391">
        <f>(($E129)-SUM(I28:BE28))</f>
        <v/>
      </c>
      <c r="BF129" s="391" t="n"/>
      <c r="BG129" s="391" t="n"/>
      <c r="BH129" s="391" t="n"/>
      <c r="BI129" s="391" t="n"/>
      <c r="BJ129" s="391" t="n"/>
      <c r="BK129" s="391" t="n"/>
      <c r="BL129" s="391" t="n"/>
      <c r="BM129" s="391" t="n"/>
      <c r="BN129" s="391" t="n"/>
      <c r="BO129" s="442" t="n"/>
      <c r="BP129" s="391" t="n"/>
      <c r="BQ129" s="391">
        <f>(($E129)-SUM(I28:BQ28))</f>
        <v/>
      </c>
      <c r="BR129" s="391" t="n"/>
      <c r="BS129" s="391" t="n"/>
      <c r="BT129" s="391" t="n"/>
      <c r="BU129" s="391" t="n"/>
      <c r="BV129" s="391" t="n"/>
      <c r="BW129" s="391" t="n"/>
      <c r="BX129" s="391" t="n"/>
      <c r="BY129" s="391" t="n"/>
      <c r="BZ129" s="391" t="n"/>
      <c r="CA129" s="391" t="n"/>
      <c r="CB129" s="397">
        <f>SUM(G28:BZ28)</f>
        <v/>
      </c>
      <c r="CC129" s="391" t="n"/>
      <c r="CD129" s="397">
        <f>SUM(BC129:BN129)</f>
        <v/>
      </c>
      <c r="CE129" s="391">
        <f>(CE28)</f>
        <v/>
      </c>
      <c r="CF129" s="386">
        <f>IF(CD129=CE129,"Y","N")</f>
        <v/>
      </c>
    </row>
    <row r="130">
      <c r="D130" s="149" t="inlineStr">
        <is>
          <t>Month 4</t>
        </is>
      </c>
      <c r="E130" s="447">
        <f>(E29)</f>
        <v/>
      </c>
      <c r="F130" s="383" t="n"/>
      <c r="G130" s="594" t="n"/>
      <c r="H130" s="594" t="n"/>
      <c r="I130" s="594" t="n"/>
      <c r="J130" s="594" t="n"/>
      <c r="K130" s="594" t="n"/>
      <c r="L130" s="594" t="n"/>
      <c r="M130" s="594" t="n"/>
      <c r="N130" s="594" t="n"/>
      <c r="O130" s="594" t="n"/>
      <c r="P130" s="594" t="n"/>
      <c r="Q130" s="594" t="n"/>
      <c r="R130" s="595" t="n"/>
      <c r="S130" s="602" t="n"/>
      <c r="T130" s="594" t="n"/>
      <c r="U130" s="594" t="n"/>
      <c r="V130" s="441">
        <f>(($E130)-SUM(J29:V29))</f>
        <v/>
      </c>
      <c r="W130" s="441" t="n"/>
      <c r="X130" s="441" t="n"/>
      <c r="Y130" s="391" t="n"/>
      <c r="Z130" s="391" t="n"/>
      <c r="AA130" s="391" t="n"/>
      <c r="AB130" s="391" t="n"/>
      <c r="AC130" s="391" t="n"/>
      <c r="AD130" s="441" t="n"/>
      <c r="AE130" s="442" t="n"/>
      <c r="AF130" s="391" t="n"/>
      <c r="AG130" s="391" t="n"/>
      <c r="AH130" s="441">
        <f>(($E130)-SUM(J29:AH29))</f>
        <v/>
      </c>
      <c r="AI130" s="391" t="n"/>
      <c r="AJ130" s="391" t="n"/>
      <c r="AK130" s="391" t="n"/>
      <c r="AL130" s="391" t="n"/>
      <c r="AM130" s="391" t="n"/>
      <c r="AN130" s="391" t="n"/>
      <c r="AO130" s="391" t="n"/>
      <c r="AP130" s="441" t="n"/>
      <c r="AQ130" s="442" t="n"/>
      <c r="AR130" s="391" t="n"/>
      <c r="AS130" s="391" t="n"/>
      <c r="AT130" s="391">
        <f>(($E130)-SUM(J29:AT29))</f>
        <v/>
      </c>
      <c r="AU130" s="391" t="n"/>
      <c r="AV130" s="391" t="n"/>
      <c r="AW130" s="391" t="n"/>
      <c r="AX130" s="391" t="n"/>
      <c r="AY130" s="391" t="n"/>
      <c r="AZ130" s="391" t="n"/>
      <c r="BA130" s="391" t="n"/>
      <c r="BB130" s="441" t="n"/>
      <c r="BC130" s="442" t="n"/>
      <c r="BD130" s="391" t="n"/>
      <c r="BE130" s="391" t="n"/>
      <c r="BF130" s="391">
        <f>(($E130)-SUM(J29:BF29))</f>
        <v/>
      </c>
      <c r="BG130" s="391" t="n"/>
      <c r="BH130" s="391" t="n"/>
      <c r="BI130" s="391" t="n"/>
      <c r="BJ130" s="391" t="n"/>
      <c r="BK130" s="391" t="n"/>
      <c r="BL130" s="391" t="n"/>
      <c r="BM130" s="391" t="n"/>
      <c r="BN130" s="391" t="n"/>
      <c r="BO130" s="442" t="n"/>
      <c r="BP130" s="391" t="n"/>
      <c r="BQ130" s="391" t="n"/>
      <c r="BR130" s="391">
        <f>(($E130)-SUM(J29:BR29))</f>
        <v/>
      </c>
      <c r="BS130" s="391" t="n"/>
      <c r="BT130" s="391" t="n"/>
      <c r="BU130" s="391" t="n"/>
      <c r="BV130" s="391" t="n"/>
      <c r="BW130" s="391" t="n"/>
      <c r="BX130" s="391" t="n"/>
      <c r="BY130" s="391" t="n"/>
      <c r="BZ130" s="391" t="n"/>
      <c r="CA130" s="391" t="n"/>
      <c r="CB130" s="397">
        <f>SUM(G29:BZ29)</f>
        <v/>
      </c>
      <c r="CC130" s="391" t="n"/>
      <c r="CD130" s="397">
        <f>SUM(BC130:BN130)</f>
        <v/>
      </c>
      <c r="CE130" s="391">
        <f>(CE29)</f>
        <v/>
      </c>
      <c r="CF130" s="386">
        <f>IF(CD130=CE130,"Y","N")</f>
        <v/>
      </c>
    </row>
    <row r="131">
      <c r="D131" s="149" t="inlineStr">
        <is>
          <t>Month 5</t>
        </is>
      </c>
      <c r="E131" s="447">
        <f>(E30)</f>
        <v/>
      </c>
      <c r="F131" s="383" t="n"/>
      <c r="G131" s="594" t="n"/>
      <c r="H131" s="594" t="n"/>
      <c r="I131" s="594" t="n"/>
      <c r="J131" s="594" t="n"/>
      <c r="K131" s="594" t="n"/>
      <c r="L131" s="594" t="n"/>
      <c r="M131" s="594" t="n"/>
      <c r="N131" s="594" t="n"/>
      <c r="O131" s="594" t="n"/>
      <c r="P131" s="594" t="n"/>
      <c r="Q131" s="594" t="n"/>
      <c r="R131" s="595" t="n"/>
      <c r="S131" s="602" t="n"/>
      <c r="T131" s="594" t="n"/>
      <c r="U131" s="594" t="n"/>
      <c r="V131" s="594" t="n"/>
      <c r="W131" s="441">
        <f>(($E131)-SUM(K30:W30))</f>
        <v/>
      </c>
      <c r="X131" s="441" t="n"/>
      <c r="Y131" s="441" t="n"/>
      <c r="Z131" s="391" t="n"/>
      <c r="AA131" s="391" t="n"/>
      <c r="AB131" s="391" t="n"/>
      <c r="AC131" s="391" t="n"/>
      <c r="AD131" s="441" t="n"/>
      <c r="AE131" s="442" t="n"/>
      <c r="AF131" s="391" t="n"/>
      <c r="AG131" s="391" t="n"/>
      <c r="AH131" s="391" t="n"/>
      <c r="AI131" s="441">
        <f>(($E131)-SUM(K30:AI30))</f>
        <v/>
      </c>
      <c r="AJ131" s="391" t="n"/>
      <c r="AK131" s="391" t="n"/>
      <c r="AL131" s="391" t="n"/>
      <c r="AM131" s="391" t="n"/>
      <c r="AN131" s="391" t="n"/>
      <c r="AO131" s="391" t="n"/>
      <c r="AP131" s="441" t="n"/>
      <c r="AQ131" s="442" t="n"/>
      <c r="AR131" s="391" t="n"/>
      <c r="AS131" s="391" t="n"/>
      <c r="AT131" s="391" t="n"/>
      <c r="AU131" s="391">
        <f>(($E131)-SUM(K30:AU30))</f>
        <v/>
      </c>
      <c r="AV131" s="391" t="n"/>
      <c r="AW131" s="391" t="n"/>
      <c r="AX131" s="391" t="n"/>
      <c r="AY131" s="391" t="n"/>
      <c r="AZ131" s="391" t="n"/>
      <c r="BA131" s="391" t="n"/>
      <c r="BB131" s="441" t="n"/>
      <c r="BC131" s="442" t="n"/>
      <c r="BD131" s="391" t="n"/>
      <c r="BE131" s="391" t="n"/>
      <c r="BF131" s="391" t="n"/>
      <c r="BG131" s="391">
        <f>(($E131)-SUM(K30:BG30))</f>
        <v/>
      </c>
      <c r="BH131" s="391" t="n"/>
      <c r="BI131" s="391" t="n"/>
      <c r="BJ131" s="391" t="n"/>
      <c r="BK131" s="391" t="n"/>
      <c r="BL131" s="391" t="n"/>
      <c r="BM131" s="391" t="n"/>
      <c r="BN131" s="391" t="n"/>
      <c r="BO131" s="442" t="n"/>
      <c r="BP131" s="391" t="n"/>
      <c r="BQ131" s="391" t="n"/>
      <c r="BR131" s="391" t="n"/>
      <c r="BS131" s="391">
        <f>(($E131)-SUM(K30:BS30))</f>
        <v/>
      </c>
      <c r="BT131" s="391" t="n"/>
      <c r="BU131" s="391" t="n"/>
      <c r="BV131" s="391" t="n"/>
      <c r="BW131" s="391" t="n"/>
      <c r="BX131" s="391" t="n"/>
      <c r="BY131" s="391" t="n"/>
      <c r="BZ131" s="391" t="n"/>
      <c r="CA131" s="391" t="n"/>
      <c r="CB131" s="397">
        <f>SUM(G30:BZ30)</f>
        <v/>
      </c>
      <c r="CC131" s="391" t="n"/>
      <c r="CD131" s="397">
        <f>SUM(BC131:BN131)</f>
        <v/>
      </c>
      <c r="CE131" s="391">
        <f>(CE30)</f>
        <v/>
      </c>
      <c r="CF131" s="386">
        <f>IF(CD131=CE131,"Y","N")</f>
        <v/>
      </c>
    </row>
    <row r="132">
      <c r="D132" s="149" t="inlineStr">
        <is>
          <t>Month 6</t>
        </is>
      </c>
      <c r="E132" s="447">
        <f>(E31)</f>
        <v/>
      </c>
      <c r="F132" s="383" t="n"/>
      <c r="G132" s="594" t="n"/>
      <c r="H132" s="594" t="n"/>
      <c r="I132" s="594" t="n"/>
      <c r="J132" s="594" t="n"/>
      <c r="K132" s="594" t="n"/>
      <c r="L132" s="594" t="n"/>
      <c r="M132" s="594" t="n"/>
      <c r="N132" s="594" t="n"/>
      <c r="O132" s="594" t="n"/>
      <c r="P132" s="594" t="n"/>
      <c r="Q132" s="594" t="n"/>
      <c r="R132" s="595" t="n"/>
      <c r="S132" s="602" t="n"/>
      <c r="T132" s="594" t="n"/>
      <c r="U132" s="594" t="n"/>
      <c r="V132" s="594" t="n"/>
      <c r="W132" s="594" t="n"/>
      <c r="X132" s="441">
        <f>(($E132)-SUM(L31:X31))</f>
        <v/>
      </c>
      <c r="Y132" s="441" t="n"/>
      <c r="Z132" s="441" t="n"/>
      <c r="AA132" s="391" t="n"/>
      <c r="AB132" s="391" t="n"/>
      <c r="AC132" s="391" t="n"/>
      <c r="AD132" s="441" t="n"/>
      <c r="AE132" s="442" t="n"/>
      <c r="AF132" s="391" t="n"/>
      <c r="AG132" s="391" t="n"/>
      <c r="AH132" s="391" t="n"/>
      <c r="AI132" s="391" t="n"/>
      <c r="AJ132" s="441">
        <f>(($E132)-SUM(L31:AJ31))</f>
        <v/>
      </c>
      <c r="AK132" s="391" t="n"/>
      <c r="AL132" s="391" t="n"/>
      <c r="AM132" s="391" t="n"/>
      <c r="AN132" s="391" t="n"/>
      <c r="AO132" s="391" t="n"/>
      <c r="AP132" s="441" t="n"/>
      <c r="AQ132" s="442" t="n"/>
      <c r="AR132" s="391" t="n"/>
      <c r="AS132" s="391" t="n"/>
      <c r="AT132" s="391" t="n"/>
      <c r="AU132" s="391" t="n"/>
      <c r="AV132" s="391">
        <f>(($E132)-SUM(L31:AV31))</f>
        <v/>
      </c>
      <c r="AW132" s="391" t="n"/>
      <c r="AX132" s="391" t="n"/>
      <c r="AY132" s="391" t="n"/>
      <c r="AZ132" s="391" t="n"/>
      <c r="BA132" s="391" t="n"/>
      <c r="BB132" s="441" t="n"/>
      <c r="BC132" s="442" t="n"/>
      <c r="BD132" s="391" t="n"/>
      <c r="BE132" s="391" t="n"/>
      <c r="BF132" s="391" t="n"/>
      <c r="BG132" s="391" t="n"/>
      <c r="BH132" s="391">
        <f>(($E132)-SUM(L31:BH31))</f>
        <v/>
      </c>
      <c r="BI132" s="391" t="n"/>
      <c r="BJ132" s="391" t="n"/>
      <c r="BK132" s="391" t="n"/>
      <c r="BL132" s="391" t="n"/>
      <c r="BM132" s="391" t="n"/>
      <c r="BN132" s="391" t="n"/>
      <c r="BO132" s="442" t="n"/>
      <c r="BP132" s="391" t="n"/>
      <c r="BQ132" s="391" t="n"/>
      <c r="BR132" s="391" t="n"/>
      <c r="BS132" s="391" t="n"/>
      <c r="BT132" s="391">
        <f>(($E132)-SUM(L31:BT31))</f>
        <v/>
      </c>
      <c r="BU132" s="391" t="n"/>
      <c r="BV132" s="391" t="n"/>
      <c r="BW132" s="391" t="n"/>
      <c r="BX132" s="391" t="n"/>
      <c r="BY132" s="391" t="n"/>
      <c r="BZ132" s="391" t="n"/>
      <c r="CA132" s="391" t="n"/>
      <c r="CB132" s="397">
        <f>SUM(G31:BZ31)</f>
        <v/>
      </c>
      <c r="CC132" s="391" t="n"/>
      <c r="CD132" s="397">
        <f>SUM(BC132:BN132)</f>
        <v/>
      </c>
      <c r="CE132" s="391">
        <f>(CE31)</f>
        <v/>
      </c>
      <c r="CF132" s="386">
        <f>IF(CD132=CE132,"Y","N")</f>
        <v/>
      </c>
    </row>
    <row r="133">
      <c r="D133" s="149" t="inlineStr">
        <is>
          <t>Month 7</t>
        </is>
      </c>
      <c r="E133" s="447">
        <f>(E32)</f>
        <v/>
      </c>
      <c r="F133" s="383" t="n"/>
      <c r="G133" s="594" t="n"/>
      <c r="H133" s="594" t="n"/>
      <c r="I133" s="594" t="n"/>
      <c r="J133" s="594" t="n"/>
      <c r="K133" s="594" t="n"/>
      <c r="L133" s="594" t="n"/>
      <c r="M133" s="594" t="n"/>
      <c r="N133" s="594" t="n"/>
      <c r="O133" s="594" t="n"/>
      <c r="P133" s="594" t="n"/>
      <c r="Q133" s="594" t="n"/>
      <c r="R133" s="594" t="n"/>
      <c r="S133" s="602" t="n"/>
      <c r="T133" s="594" t="n"/>
      <c r="U133" s="594" t="n"/>
      <c r="V133" s="594" t="n"/>
      <c r="W133" s="594" t="n"/>
      <c r="X133" s="594" t="n"/>
      <c r="Y133" s="441">
        <f>(($E133)-SUM(M32:Y32))</f>
        <v/>
      </c>
      <c r="Z133" s="441" t="n"/>
      <c r="AA133" s="441" t="n"/>
      <c r="AB133" s="391" t="n"/>
      <c r="AC133" s="391" t="n"/>
      <c r="AD133" s="441" t="n"/>
      <c r="AE133" s="442" t="n"/>
      <c r="AF133" s="391" t="n"/>
      <c r="AG133" s="391" t="n"/>
      <c r="AH133" s="391" t="n"/>
      <c r="AI133" s="391" t="n"/>
      <c r="AJ133" s="391" t="n"/>
      <c r="AK133" s="441">
        <f>(($E133)-SUM(M32:AK32))</f>
        <v/>
      </c>
      <c r="AL133" s="391" t="n"/>
      <c r="AM133" s="391" t="n"/>
      <c r="AN133" s="391" t="n"/>
      <c r="AO133" s="391" t="n"/>
      <c r="AP133" s="441" t="n"/>
      <c r="AQ133" s="442" t="n"/>
      <c r="AR133" s="391" t="n"/>
      <c r="AS133" s="391" t="n"/>
      <c r="AT133" s="391" t="n"/>
      <c r="AU133" s="391" t="n"/>
      <c r="AV133" s="391" t="n"/>
      <c r="AW133" s="391">
        <f>(($E133)-SUM(M32:AW32))</f>
        <v/>
      </c>
      <c r="AX133" s="391" t="n"/>
      <c r="AY133" s="391" t="n"/>
      <c r="AZ133" s="391" t="n"/>
      <c r="BA133" s="391" t="n"/>
      <c r="BB133" s="441" t="n"/>
      <c r="BC133" s="442" t="n"/>
      <c r="BD133" s="391" t="n"/>
      <c r="BE133" s="391" t="n"/>
      <c r="BF133" s="391" t="n"/>
      <c r="BG133" s="391" t="n"/>
      <c r="BH133" s="391" t="n"/>
      <c r="BI133" s="391">
        <f>(($E133)-SUM(M32:BI32))</f>
        <v/>
      </c>
      <c r="BJ133" s="391" t="n"/>
      <c r="BK133" s="391" t="n"/>
      <c r="BL133" s="391" t="n"/>
      <c r="BM133" s="391" t="n"/>
      <c r="BN133" s="391" t="n"/>
      <c r="BO133" s="442" t="n"/>
      <c r="BP133" s="391" t="n"/>
      <c r="BQ133" s="391" t="n"/>
      <c r="BR133" s="391" t="n"/>
      <c r="BS133" s="391" t="n"/>
      <c r="BT133" s="391" t="n"/>
      <c r="BU133" s="391">
        <f>(($E133)-SUM(M32:BU32))</f>
        <v/>
      </c>
      <c r="BV133" s="391" t="n"/>
      <c r="BW133" s="391" t="n"/>
      <c r="BX133" s="391" t="n"/>
      <c r="BY133" s="391" t="n"/>
      <c r="BZ133" s="391" t="n"/>
      <c r="CA133" s="391" t="n"/>
      <c r="CB133" s="397">
        <f>SUM(G32:BZ32)</f>
        <v/>
      </c>
      <c r="CC133" s="391" t="n"/>
      <c r="CD133" s="397">
        <f>SUM(BC133:BN133)</f>
        <v/>
      </c>
      <c r="CE133" s="391">
        <f>(CE32)</f>
        <v/>
      </c>
      <c r="CF133" s="386">
        <f>IF(CD133=CE133,"Y","N")</f>
        <v/>
      </c>
    </row>
    <row r="134">
      <c r="D134" s="149" t="inlineStr">
        <is>
          <t>Month 8</t>
        </is>
      </c>
      <c r="E134" s="447">
        <f>(E33)</f>
        <v/>
      </c>
      <c r="F134" s="383" t="n"/>
      <c r="G134" s="594" t="n"/>
      <c r="H134" s="594" t="n"/>
      <c r="I134" s="594" t="n"/>
      <c r="J134" s="594" t="n"/>
      <c r="K134" s="594" t="n"/>
      <c r="L134" s="594" t="n"/>
      <c r="M134" s="594" t="n"/>
      <c r="N134" s="594" t="n"/>
      <c r="O134" s="594" t="n"/>
      <c r="P134" s="594" t="n"/>
      <c r="Q134" s="594" t="n"/>
      <c r="R134" s="594" t="n"/>
      <c r="S134" s="602" t="n"/>
      <c r="T134" s="594" t="n"/>
      <c r="U134" s="594" t="n"/>
      <c r="V134" s="594" t="n"/>
      <c r="W134" s="594" t="n"/>
      <c r="X134" s="594" t="n"/>
      <c r="Y134" s="594" t="n"/>
      <c r="Z134" s="441">
        <f>(($E134)-SUM(N33:Z33))</f>
        <v/>
      </c>
      <c r="AA134" s="441" t="n"/>
      <c r="AB134" s="441" t="n"/>
      <c r="AC134" s="391" t="n"/>
      <c r="AD134" s="441" t="n"/>
      <c r="AE134" s="442" t="n"/>
      <c r="AF134" s="391" t="n"/>
      <c r="AG134" s="391" t="n"/>
      <c r="AH134" s="391" t="n"/>
      <c r="AI134" s="391" t="n"/>
      <c r="AJ134" s="391" t="n"/>
      <c r="AK134" s="391" t="n"/>
      <c r="AL134" s="441">
        <f>(($E134)-SUM(N33:AL33))</f>
        <v/>
      </c>
      <c r="AM134" s="391" t="n"/>
      <c r="AN134" s="391" t="n"/>
      <c r="AO134" s="391" t="n"/>
      <c r="AP134" s="441" t="n"/>
      <c r="AQ134" s="442" t="n"/>
      <c r="AR134" s="391" t="n"/>
      <c r="AS134" s="391" t="n"/>
      <c r="AT134" s="391" t="n"/>
      <c r="AU134" s="391" t="n"/>
      <c r="AV134" s="391" t="n"/>
      <c r="AW134" s="391" t="n"/>
      <c r="AX134" s="391">
        <f>(($E134)-SUM(N33:AX33))</f>
        <v/>
      </c>
      <c r="AY134" s="391" t="n"/>
      <c r="AZ134" s="391" t="n"/>
      <c r="BA134" s="391" t="n"/>
      <c r="BB134" s="441" t="n"/>
      <c r="BC134" s="442" t="n"/>
      <c r="BD134" s="391" t="n"/>
      <c r="BE134" s="391" t="n"/>
      <c r="BF134" s="391" t="n"/>
      <c r="BG134" s="391" t="n"/>
      <c r="BH134" s="391" t="n"/>
      <c r="BI134" s="391" t="n"/>
      <c r="BJ134" s="391">
        <f>(($E134)-SUM(N33:BJ33))</f>
        <v/>
      </c>
      <c r="BK134" s="391" t="n"/>
      <c r="BL134" s="391" t="n"/>
      <c r="BM134" s="391" t="n"/>
      <c r="BN134" s="391" t="n"/>
      <c r="BO134" s="442" t="n"/>
      <c r="BP134" s="391" t="n"/>
      <c r="BQ134" s="391" t="n"/>
      <c r="BR134" s="391" t="n"/>
      <c r="BS134" s="391" t="n"/>
      <c r="BT134" s="391" t="n"/>
      <c r="BU134" s="391" t="n"/>
      <c r="BV134" s="391">
        <f>(($E134)-SUM(N33:BV33))</f>
        <v/>
      </c>
      <c r="BW134" s="391" t="n"/>
      <c r="BX134" s="391" t="n"/>
      <c r="BY134" s="391" t="n"/>
      <c r="BZ134" s="391" t="n"/>
      <c r="CA134" s="391" t="n"/>
      <c r="CB134" s="397">
        <f>SUM(G33:BZ33)</f>
        <v/>
      </c>
      <c r="CC134" s="391" t="n"/>
      <c r="CD134" s="397">
        <f>SUM(BC134:BN134)</f>
        <v/>
      </c>
      <c r="CE134" s="391">
        <f>(CE33)</f>
        <v/>
      </c>
      <c r="CF134" s="386">
        <f>IF(CD134=CE134,"Y","N")</f>
        <v/>
      </c>
    </row>
    <row r="135">
      <c r="D135" s="149" t="inlineStr">
        <is>
          <t>Month 9</t>
        </is>
      </c>
      <c r="E135" s="447">
        <f>(E34)</f>
        <v/>
      </c>
      <c r="F135" s="383" t="n"/>
      <c r="G135" s="594" t="n"/>
      <c r="H135" s="594" t="n"/>
      <c r="I135" s="594" t="n"/>
      <c r="J135" s="594" t="n"/>
      <c r="K135" s="594" t="n"/>
      <c r="L135" s="594" t="n"/>
      <c r="M135" s="594" t="n"/>
      <c r="N135" s="594" t="n"/>
      <c r="O135" s="594" t="n"/>
      <c r="P135" s="594" t="n"/>
      <c r="Q135" s="594" t="n"/>
      <c r="R135" s="594" t="n"/>
      <c r="S135" s="602" t="n"/>
      <c r="T135" s="594" t="n"/>
      <c r="U135" s="594" t="n"/>
      <c r="V135" s="594" t="n"/>
      <c r="W135" s="594" t="n"/>
      <c r="X135" s="594" t="n"/>
      <c r="Y135" s="594" t="n"/>
      <c r="Z135" s="594" t="n"/>
      <c r="AA135" s="441">
        <f>(($E135)-SUM(O34:AA34))</f>
        <v/>
      </c>
      <c r="AB135" s="441" t="n"/>
      <c r="AC135" s="441" t="n"/>
      <c r="AD135" s="441" t="n"/>
      <c r="AE135" s="442" t="n"/>
      <c r="AF135" s="391" t="n"/>
      <c r="AG135" s="391" t="n"/>
      <c r="AH135" s="391" t="n"/>
      <c r="AI135" s="391" t="n"/>
      <c r="AJ135" s="391" t="n"/>
      <c r="AK135" s="391" t="n"/>
      <c r="AL135" s="391" t="n"/>
      <c r="AM135" s="441">
        <f>(($E135)-SUM(O34:AM34))</f>
        <v/>
      </c>
      <c r="AN135" s="391" t="n"/>
      <c r="AO135" s="391" t="n"/>
      <c r="AP135" s="441" t="n"/>
      <c r="AQ135" s="442" t="n"/>
      <c r="AR135" s="391" t="n"/>
      <c r="AS135" s="391" t="n"/>
      <c r="AT135" s="391" t="n"/>
      <c r="AU135" s="391" t="n"/>
      <c r="AV135" s="391" t="n"/>
      <c r="AW135" s="391" t="n"/>
      <c r="AX135" s="391" t="n"/>
      <c r="AY135" s="391">
        <f>(($E135)-SUM(O34:AY34))</f>
        <v/>
      </c>
      <c r="AZ135" s="391" t="n"/>
      <c r="BA135" s="391" t="n"/>
      <c r="BB135" s="441" t="n"/>
      <c r="BC135" s="442" t="n"/>
      <c r="BD135" s="391" t="n"/>
      <c r="BE135" s="391" t="n"/>
      <c r="BF135" s="391" t="n"/>
      <c r="BG135" s="391" t="n"/>
      <c r="BH135" s="391" t="n"/>
      <c r="BI135" s="391" t="n"/>
      <c r="BJ135" s="391" t="n"/>
      <c r="BK135" s="391">
        <f>(($E135)-SUM(O34:BK34))</f>
        <v/>
      </c>
      <c r="BL135" s="391" t="n"/>
      <c r="BM135" s="391" t="n"/>
      <c r="BN135" s="391" t="n"/>
      <c r="BO135" s="442" t="n"/>
      <c r="BP135" s="391" t="n"/>
      <c r="BQ135" s="391" t="n"/>
      <c r="BR135" s="391" t="n"/>
      <c r="BS135" s="391" t="n"/>
      <c r="BT135" s="391" t="n"/>
      <c r="BU135" s="391" t="n"/>
      <c r="BV135" s="391" t="n"/>
      <c r="BW135" s="391">
        <f>(($E135)-SUM(O34:BW34))</f>
        <v/>
      </c>
      <c r="BX135" s="391" t="n"/>
      <c r="BY135" s="391" t="n"/>
      <c r="BZ135" s="391" t="n"/>
      <c r="CA135" s="391" t="n"/>
      <c r="CB135" s="397">
        <f>SUM(G34:BZ34)</f>
        <v/>
      </c>
      <c r="CC135" s="391" t="n"/>
      <c r="CD135" s="397">
        <f>SUM(BC135:BN135)</f>
        <v/>
      </c>
      <c r="CE135" s="391">
        <f>(CE34)</f>
        <v/>
      </c>
      <c r="CF135" s="386">
        <f>IF(CD135=CE135,"Y","N")</f>
        <v/>
      </c>
    </row>
    <row r="136">
      <c r="D136" s="149" t="inlineStr">
        <is>
          <t>Month 10</t>
        </is>
      </c>
      <c r="E136" s="447">
        <f>(E35)</f>
        <v/>
      </c>
      <c r="F136" s="383" t="n"/>
      <c r="G136" s="594" t="n"/>
      <c r="H136" s="594" t="n"/>
      <c r="I136" s="594" t="n"/>
      <c r="J136" s="594" t="n"/>
      <c r="K136" s="594" t="n"/>
      <c r="L136" s="594" t="n"/>
      <c r="M136" s="594" t="n"/>
      <c r="N136" s="594" t="n"/>
      <c r="O136" s="594" t="n"/>
      <c r="P136" s="594" t="n"/>
      <c r="Q136" s="594" t="n"/>
      <c r="R136" s="594" t="n"/>
      <c r="S136" s="602" t="n"/>
      <c r="T136" s="594" t="n"/>
      <c r="U136" s="594" t="n"/>
      <c r="V136" s="594" t="n"/>
      <c r="W136" s="594" t="n"/>
      <c r="X136" s="594" t="n"/>
      <c r="Y136" s="594" t="n"/>
      <c r="Z136" s="594" t="n"/>
      <c r="AA136" s="594" t="n"/>
      <c r="AB136" s="441">
        <f>(($E136)-SUM(P35:AB35))</f>
        <v/>
      </c>
      <c r="AC136" s="441" t="n"/>
      <c r="AD136" s="441" t="n"/>
      <c r="AE136" s="442" t="n"/>
      <c r="AF136" s="391" t="n"/>
      <c r="AG136" s="391" t="n"/>
      <c r="AH136" s="391" t="n"/>
      <c r="AI136" s="391" t="n"/>
      <c r="AJ136" s="391" t="n"/>
      <c r="AK136" s="391" t="n"/>
      <c r="AL136" s="391" t="n"/>
      <c r="AM136" s="391" t="n"/>
      <c r="AN136" s="441">
        <f>(($E136)-SUM(P35:AN35))</f>
        <v/>
      </c>
      <c r="AO136" s="391" t="n"/>
      <c r="AP136" s="441" t="n"/>
      <c r="AQ136" s="442" t="n"/>
      <c r="AR136" s="391" t="n"/>
      <c r="AS136" s="391" t="n"/>
      <c r="AT136" s="391" t="n"/>
      <c r="AU136" s="391" t="n"/>
      <c r="AV136" s="391" t="n"/>
      <c r="AW136" s="391" t="n"/>
      <c r="AX136" s="391" t="n"/>
      <c r="AY136" s="391" t="n"/>
      <c r="AZ136" s="391">
        <f>(($E136)-SUM(P35:AZ35))</f>
        <v/>
      </c>
      <c r="BA136" s="391" t="n"/>
      <c r="BB136" s="441" t="n"/>
      <c r="BC136" s="442" t="n"/>
      <c r="BD136" s="391" t="n"/>
      <c r="BE136" s="391" t="n"/>
      <c r="BF136" s="391" t="n"/>
      <c r="BG136" s="391" t="n"/>
      <c r="BH136" s="391" t="n"/>
      <c r="BI136" s="391" t="n"/>
      <c r="BJ136" s="391" t="n"/>
      <c r="BK136" s="391" t="n"/>
      <c r="BL136" s="391">
        <f>(($E136)-SUM(P35:BL35))</f>
        <v/>
      </c>
      <c r="BM136" s="391" t="n"/>
      <c r="BN136" s="391" t="n"/>
      <c r="BO136" s="442" t="n"/>
      <c r="BP136" s="391" t="n"/>
      <c r="BQ136" s="391" t="n"/>
      <c r="BR136" s="391" t="n"/>
      <c r="BS136" s="391" t="n"/>
      <c r="BT136" s="391" t="n"/>
      <c r="BU136" s="391" t="n"/>
      <c r="BV136" s="391" t="n"/>
      <c r="BW136" s="391" t="n"/>
      <c r="BX136" s="391">
        <f>(($E136)-SUM(P35:BX35))</f>
        <v/>
      </c>
      <c r="BY136" s="391" t="n"/>
      <c r="BZ136" s="391" t="n"/>
      <c r="CA136" s="391" t="n"/>
      <c r="CB136" s="397">
        <f>SUM(G35:BZ35)</f>
        <v/>
      </c>
      <c r="CC136" s="391" t="n"/>
      <c r="CD136" s="397">
        <f>SUM(BC136:BN136)</f>
        <v/>
      </c>
      <c r="CE136" s="391">
        <f>(CE35)</f>
        <v/>
      </c>
      <c r="CF136" s="386">
        <f>IF(CD136=CE136,"Y","N")</f>
        <v/>
      </c>
    </row>
    <row r="137">
      <c r="D137" s="149" t="inlineStr">
        <is>
          <t>Month 11</t>
        </is>
      </c>
      <c r="E137" s="447">
        <f>(E36)</f>
        <v/>
      </c>
      <c r="F137" s="383" t="n"/>
      <c r="G137" s="594" t="n"/>
      <c r="H137" s="594" t="n"/>
      <c r="I137" s="594" t="n"/>
      <c r="J137" s="594" t="n"/>
      <c r="K137" s="594" t="n"/>
      <c r="L137" s="594" t="n"/>
      <c r="M137" s="594" t="n"/>
      <c r="N137" s="594" t="n"/>
      <c r="O137" s="594" t="n"/>
      <c r="P137" s="594" t="n"/>
      <c r="Q137" s="594" t="n"/>
      <c r="R137" s="594" t="n"/>
      <c r="S137" s="602" t="n"/>
      <c r="T137" s="594" t="n"/>
      <c r="U137" s="594" t="n"/>
      <c r="V137" s="594" t="n"/>
      <c r="W137" s="594" t="n"/>
      <c r="X137" s="594" t="n"/>
      <c r="Y137" s="594" t="n"/>
      <c r="Z137" s="594" t="n"/>
      <c r="AA137" s="594" t="n"/>
      <c r="AB137" s="594" t="n"/>
      <c r="AC137" s="441">
        <f>(($E137)-SUM(Q36:AC36))</f>
        <v/>
      </c>
      <c r="AD137" s="441" t="n"/>
      <c r="AE137" s="442" t="n"/>
      <c r="AF137" s="391" t="n"/>
      <c r="AG137" s="391" t="n"/>
      <c r="AH137" s="391" t="n"/>
      <c r="AI137" s="391" t="n"/>
      <c r="AJ137" s="391" t="n"/>
      <c r="AK137" s="391" t="n"/>
      <c r="AL137" s="391" t="n"/>
      <c r="AM137" s="391" t="n"/>
      <c r="AN137" s="391" t="n"/>
      <c r="AO137" s="441">
        <f>(($E137)-SUM(Q36:AO36))</f>
        <v/>
      </c>
      <c r="AP137" s="441" t="n"/>
      <c r="AQ137" s="442" t="n"/>
      <c r="AR137" s="391" t="n"/>
      <c r="AS137" s="391" t="n"/>
      <c r="AT137" s="391" t="n"/>
      <c r="AU137" s="391" t="n"/>
      <c r="AV137" s="391" t="n"/>
      <c r="AW137" s="391" t="n"/>
      <c r="AX137" s="391" t="n"/>
      <c r="AY137" s="391" t="n"/>
      <c r="AZ137" s="391" t="n"/>
      <c r="BA137" s="391">
        <f>(($E137)-SUM(Q36:BA36))</f>
        <v/>
      </c>
      <c r="BB137" s="441" t="n"/>
      <c r="BC137" s="442" t="n"/>
      <c r="BD137" s="391" t="n"/>
      <c r="BE137" s="391" t="n"/>
      <c r="BF137" s="391" t="n"/>
      <c r="BG137" s="391" t="n"/>
      <c r="BH137" s="391" t="n"/>
      <c r="BI137" s="391" t="n"/>
      <c r="BJ137" s="391" t="n"/>
      <c r="BK137" s="391" t="n"/>
      <c r="BL137" s="391" t="n"/>
      <c r="BM137" s="391">
        <f>(($E137)-SUM(Q36:BM36))</f>
        <v/>
      </c>
      <c r="BN137" s="391" t="n"/>
      <c r="BO137" s="442" t="n"/>
      <c r="BP137" s="391" t="n"/>
      <c r="BQ137" s="391" t="n"/>
      <c r="BR137" s="391" t="n"/>
      <c r="BS137" s="391" t="n"/>
      <c r="BT137" s="391" t="n"/>
      <c r="BU137" s="391" t="n"/>
      <c r="BV137" s="391" t="n"/>
      <c r="BW137" s="391" t="n"/>
      <c r="BX137" s="391" t="n"/>
      <c r="BY137" s="391">
        <f>(($E137)-SUM(Q36:BY36))</f>
        <v/>
      </c>
      <c r="BZ137" s="391" t="n"/>
      <c r="CA137" s="391" t="n"/>
      <c r="CB137" s="397">
        <f>SUM(G36:BZ36)</f>
        <v/>
      </c>
      <c r="CC137" s="391" t="n"/>
      <c r="CD137" s="397">
        <f>SUM(BC137:BN137)</f>
        <v/>
      </c>
      <c r="CE137" s="391">
        <f>(CE36)</f>
        <v/>
      </c>
      <c r="CF137" s="386">
        <f>IF(CD137=CE137,"Y","N")</f>
        <v/>
      </c>
    </row>
    <row r="138">
      <c r="D138" s="149" t="inlineStr">
        <is>
          <t>Month 12</t>
        </is>
      </c>
      <c r="E138" s="447">
        <f>(E37)</f>
        <v/>
      </c>
      <c r="F138" s="116" t="n"/>
      <c r="G138" s="596" t="n"/>
      <c r="H138" s="596" t="n"/>
      <c r="I138" s="596" t="n"/>
      <c r="J138" s="596" t="n"/>
      <c r="K138" s="596" t="n"/>
      <c r="L138" s="596" t="n"/>
      <c r="M138" s="596" t="n"/>
      <c r="N138" s="596" t="n"/>
      <c r="O138" s="596" t="n"/>
      <c r="P138" s="596" t="n"/>
      <c r="Q138" s="596" t="n"/>
      <c r="R138" s="596" t="n"/>
      <c r="S138" s="601" t="n"/>
      <c r="T138" s="596" t="n"/>
      <c r="U138" s="596" t="n"/>
      <c r="V138" s="596" t="n"/>
      <c r="W138" s="596" t="n"/>
      <c r="X138" s="596" t="n"/>
      <c r="Y138" s="596" t="n"/>
      <c r="Z138" s="596" t="n"/>
      <c r="AA138" s="596" t="n"/>
      <c r="AB138" s="596" t="n"/>
      <c r="AC138" s="596" t="n"/>
      <c r="AD138" s="441">
        <f>(($E138)-SUM(R37:AD37))</f>
        <v/>
      </c>
      <c r="AE138" s="442" t="n"/>
      <c r="AF138" s="441" t="n"/>
      <c r="AG138" s="391" t="n"/>
      <c r="AH138" s="391" t="n"/>
      <c r="AI138" s="391" t="n"/>
      <c r="AJ138" s="391" t="n"/>
      <c r="AK138" s="391" t="n"/>
      <c r="AL138" s="391" t="n"/>
      <c r="AM138" s="391" t="n"/>
      <c r="AN138" s="391" t="n"/>
      <c r="AO138" s="391" t="n"/>
      <c r="AP138" s="441">
        <f>(($E138)-SUM(R37:AP37))</f>
        <v/>
      </c>
      <c r="AQ138" s="442" t="n"/>
      <c r="AR138" s="391" t="n"/>
      <c r="AS138" s="391" t="n"/>
      <c r="AT138" s="391" t="n"/>
      <c r="AU138" s="391" t="n"/>
      <c r="AV138" s="391" t="n"/>
      <c r="AW138" s="391" t="n"/>
      <c r="AX138" s="391" t="n"/>
      <c r="AY138" s="391" t="n"/>
      <c r="AZ138" s="391" t="n"/>
      <c r="BA138" s="391" t="n"/>
      <c r="BB138" s="441">
        <f>(($E138)-SUM(R37:BB37))</f>
        <v/>
      </c>
      <c r="BC138" s="442" t="n"/>
      <c r="BD138" s="391" t="n"/>
      <c r="BE138" s="391" t="n"/>
      <c r="BF138" s="391" t="n"/>
      <c r="BG138" s="391" t="n"/>
      <c r="BH138" s="391" t="n"/>
      <c r="BI138" s="391" t="n"/>
      <c r="BJ138" s="391" t="n"/>
      <c r="BK138" s="391" t="n"/>
      <c r="BL138" s="391" t="n"/>
      <c r="BM138" s="391" t="n"/>
      <c r="BN138" s="391">
        <f>(($E138)-SUM(R37:BZ37))</f>
        <v/>
      </c>
      <c r="BO138" s="442" t="n"/>
      <c r="BP138" s="391" t="n"/>
      <c r="BQ138" s="391" t="n"/>
      <c r="BR138" s="391" t="n"/>
      <c r="BS138" s="391" t="n"/>
      <c r="BT138" s="391" t="n"/>
      <c r="BU138" s="391" t="n"/>
      <c r="BV138" s="391" t="n"/>
      <c r="BW138" s="391" t="n"/>
      <c r="BX138" s="391" t="n"/>
      <c r="BY138" s="391" t="n"/>
      <c r="BZ138" s="391">
        <f>(($E138)-SUM(R37:BZ37))</f>
        <v/>
      </c>
      <c r="CA138" s="122" t="n"/>
      <c r="CB138" s="397">
        <f>SUM(G37:BZ37)</f>
        <v/>
      </c>
      <c r="CC138" s="122" t="n"/>
      <c r="CD138" s="397">
        <f>SUM(BC138:BN138)</f>
        <v/>
      </c>
      <c r="CE138" s="391">
        <f>(CE37)</f>
        <v/>
      </c>
      <c r="CF138" s="386">
        <f>IF(CD138=CE138,"Y","N")</f>
        <v/>
      </c>
    </row>
    <row r="139">
      <c r="D139" s="149" t="inlineStr">
        <is>
          <t>Month 13</t>
        </is>
      </c>
      <c r="E139" s="447">
        <f>(E38)</f>
        <v/>
      </c>
      <c r="F139" s="116" t="n"/>
      <c r="G139" s="596" t="n"/>
      <c r="H139" s="596" t="n"/>
      <c r="I139" s="596" t="n"/>
      <c r="J139" s="596" t="n"/>
      <c r="K139" s="596" t="n"/>
      <c r="L139" s="596" t="n"/>
      <c r="M139" s="596" t="n"/>
      <c r="N139" s="596" t="n"/>
      <c r="O139" s="596" t="n"/>
      <c r="P139" s="596" t="n"/>
      <c r="Q139" s="596" t="n"/>
      <c r="R139" s="596" t="n"/>
      <c r="S139" s="601" t="n"/>
      <c r="T139" s="596" t="n"/>
      <c r="U139" s="596" t="n"/>
      <c r="V139" s="596" t="n"/>
      <c r="W139" s="596" t="n"/>
      <c r="X139" s="596" t="n"/>
      <c r="Y139" s="596" t="n"/>
      <c r="Z139" s="596" t="n"/>
      <c r="AA139" s="596" t="n"/>
      <c r="AB139" s="596" t="n"/>
      <c r="AC139" s="596" t="n"/>
      <c r="AD139" s="597" t="n"/>
      <c r="AE139" s="442">
        <f>(($E139)-SUM(S38:AE38))</f>
        <v/>
      </c>
      <c r="AF139" s="441" t="n"/>
      <c r="AG139" s="441" t="n"/>
      <c r="AH139" s="391" t="n"/>
      <c r="AI139" s="391" t="n"/>
      <c r="AJ139" s="391" t="n"/>
      <c r="AK139" s="391" t="n"/>
      <c r="AL139" s="391" t="n"/>
      <c r="AM139" s="391" t="n"/>
      <c r="AN139" s="391" t="n"/>
      <c r="AO139" s="391" t="n"/>
      <c r="AP139" s="441" t="n"/>
      <c r="AQ139" s="442">
        <f>(($E139)-SUM(S38:AQ38))</f>
        <v/>
      </c>
      <c r="AR139" s="391" t="n"/>
      <c r="AS139" s="391" t="n"/>
      <c r="AT139" s="391" t="n"/>
      <c r="AU139" s="391" t="n"/>
      <c r="AV139" s="391" t="n"/>
      <c r="AW139" s="391" t="n"/>
      <c r="AX139" s="391" t="n"/>
      <c r="AY139" s="391" t="n"/>
      <c r="AZ139" s="391" t="n"/>
      <c r="BA139" s="391" t="n"/>
      <c r="BB139" s="441" t="n"/>
      <c r="BC139" s="442">
        <f>(($E139)-SUM(S38:BC38))</f>
        <v/>
      </c>
      <c r="BD139" s="122" t="n"/>
      <c r="BE139" s="122" t="n"/>
      <c r="BF139" s="122" t="n"/>
      <c r="BG139" s="122" t="n"/>
      <c r="BH139" s="122" t="n"/>
      <c r="BI139" s="122" t="n"/>
      <c r="BJ139" s="122" t="n"/>
      <c r="BK139" s="122" t="n"/>
      <c r="BL139" s="122" t="n"/>
      <c r="BM139" s="122" t="n"/>
      <c r="BN139" s="122" t="n"/>
      <c r="BO139" s="442">
        <f>(($E139)-SUM(S38:BO38))</f>
        <v/>
      </c>
      <c r="BP139" s="122" t="n"/>
      <c r="BQ139" s="122" t="n"/>
      <c r="BR139" s="122" t="n"/>
      <c r="BS139" s="122" t="n"/>
      <c r="BT139" s="122" t="n"/>
      <c r="BU139" s="122" t="n"/>
      <c r="BV139" s="122" t="n"/>
      <c r="BW139" s="122" t="n"/>
      <c r="BX139" s="122" t="n"/>
      <c r="BY139" s="122" t="n"/>
      <c r="BZ139" s="122" t="n"/>
      <c r="CA139" s="122" t="n"/>
      <c r="CB139" s="397">
        <f>SUM(G38:BZ38)</f>
        <v/>
      </c>
      <c r="CC139" s="122" t="n"/>
      <c r="CD139" s="397">
        <f>SUM(BC139:BN139)</f>
        <v/>
      </c>
      <c r="CE139" s="391">
        <f>(CE38)</f>
        <v/>
      </c>
      <c r="CF139" s="386">
        <f>IF(CD139=CE139,"Y","N")</f>
        <v/>
      </c>
    </row>
    <row r="140">
      <c r="D140" s="149" t="inlineStr">
        <is>
          <t>Month 14</t>
        </is>
      </c>
      <c r="E140" s="447">
        <f>(E39)</f>
        <v/>
      </c>
      <c r="F140" s="116" t="n"/>
      <c r="G140" s="596" t="n"/>
      <c r="H140" s="596" t="n"/>
      <c r="I140" s="596" t="n"/>
      <c r="J140" s="596" t="n"/>
      <c r="K140" s="596" t="n"/>
      <c r="L140" s="596" t="n"/>
      <c r="M140" s="596" t="n"/>
      <c r="N140" s="596" t="n"/>
      <c r="O140" s="596" t="n"/>
      <c r="P140" s="596" t="n"/>
      <c r="Q140" s="596" t="n"/>
      <c r="R140" s="596" t="n"/>
      <c r="S140" s="601" t="n"/>
      <c r="T140" s="596" t="n"/>
      <c r="U140" s="596" t="n"/>
      <c r="V140" s="596" t="n"/>
      <c r="W140" s="596" t="n"/>
      <c r="X140" s="596" t="n"/>
      <c r="Y140" s="596" t="n"/>
      <c r="Z140" s="596" t="n"/>
      <c r="AA140" s="596" t="n"/>
      <c r="AB140" s="596" t="n"/>
      <c r="AC140" s="596" t="n"/>
      <c r="AD140" s="597" t="n"/>
      <c r="AE140" s="601" t="n"/>
      <c r="AF140" s="441">
        <f>(($E140)-SUM(T39:AF39))</f>
        <v/>
      </c>
      <c r="AG140" s="441" t="n"/>
      <c r="AH140" s="441" t="n"/>
      <c r="AI140" s="391" t="n"/>
      <c r="AJ140" s="391" t="n"/>
      <c r="AK140" s="391" t="n"/>
      <c r="AL140" s="391" t="n"/>
      <c r="AM140" s="391" t="n"/>
      <c r="AN140" s="391" t="n"/>
      <c r="AO140" s="391" t="n"/>
      <c r="AP140" s="441" t="n"/>
      <c r="AQ140" s="442" t="n"/>
      <c r="AR140" s="441">
        <f>(($E140)-SUM(T39:AR39))</f>
        <v/>
      </c>
      <c r="AS140" s="391" t="n"/>
      <c r="AT140" s="391" t="n"/>
      <c r="AU140" s="391" t="n"/>
      <c r="AV140" s="391" t="n"/>
      <c r="AW140" s="391" t="n"/>
      <c r="AX140" s="391" t="n"/>
      <c r="AY140" s="391" t="n"/>
      <c r="AZ140" s="391" t="n"/>
      <c r="BA140" s="391" t="n"/>
      <c r="BB140" s="441" t="n"/>
      <c r="BC140" s="442" t="n"/>
      <c r="BD140" s="391">
        <f>(($E140)-SUM(T39:BD39))</f>
        <v/>
      </c>
      <c r="BE140" s="122" t="n"/>
      <c r="BF140" s="122" t="n"/>
      <c r="BG140" s="122" t="n"/>
      <c r="BH140" s="122" t="n"/>
      <c r="BI140" s="122" t="n"/>
      <c r="BJ140" s="122" t="n"/>
      <c r="BK140" s="122" t="n"/>
      <c r="BL140" s="122" t="n"/>
      <c r="BM140" s="122" t="n"/>
      <c r="BN140" s="122" t="n"/>
      <c r="BO140" s="442" t="n"/>
      <c r="BP140" s="391">
        <f>(($E140)-SUM(T39:BP39))</f>
        <v/>
      </c>
      <c r="BQ140" s="122" t="n"/>
      <c r="BR140" s="122" t="n"/>
      <c r="BS140" s="122" t="n"/>
      <c r="BT140" s="122" t="n"/>
      <c r="BU140" s="122" t="n"/>
      <c r="BV140" s="122" t="n"/>
      <c r="BW140" s="122" t="n"/>
      <c r="BX140" s="122" t="n"/>
      <c r="BY140" s="122" t="n"/>
      <c r="BZ140" s="122" t="n"/>
      <c r="CA140" s="122" t="n"/>
      <c r="CB140" s="397">
        <f>SUM(G39:BZ39)</f>
        <v/>
      </c>
      <c r="CC140" s="122" t="n"/>
      <c r="CD140" s="397">
        <f>SUM(BC140:BN140)</f>
        <v/>
      </c>
      <c r="CE140" s="391">
        <f>(CE39)</f>
        <v/>
      </c>
      <c r="CF140" s="386">
        <f>IF(CD140=CE140,"Y","N")</f>
        <v/>
      </c>
    </row>
    <row r="141">
      <c r="D141" s="149" t="inlineStr">
        <is>
          <t>Month 15</t>
        </is>
      </c>
      <c r="E141" s="447">
        <f>(E40)</f>
        <v/>
      </c>
      <c r="F141" s="116" t="n"/>
      <c r="G141" s="596" t="n"/>
      <c r="H141" s="596" t="n"/>
      <c r="I141" s="596" t="n"/>
      <c r="J141" s="596" t="n"/>
      <c r="K141" s="596" t="n"/>
      <c r="L141" s="596" t="n"/>
      <c r="M141" s="596" t="n"/>
      <c r="N141" s="596" t="n"/>
      <c r="O141" s="596" t="n"/>
      <c r="P141" s="596" t="n"/>
      <c r="Q141" s="596" t="n"/>
      <c r="R141" s="596" t="n"/>
      <c r="S141" s="601" t="n"/>
      <c r="T141" s="596" t="n"/>
      <c r="U141" s="596" t="n"/>
      <c r="V141" s="596" t="n"/>
      <c r="W141" s="596" t="n"/>
      <c r="X141" s="596" t="n"/>
      <c r="Y141" s="596" t="n"/>
      <c r="Z141" s="596" t="n"/>
      <c r="AA141" s="596" t="n"/>
      <c r="AB141" s="596" t="n"/>
      <c r="AC141" s="596" t="n"/>
      <c r="AD141" s="597" t="n"/>
      <c r="AE141" s="601" t="n"/>
      <c r="AF141" s="596" t="n"/>
      <c r="AG141" s="441">
        <f>(($E141)-SUM(U40:AG40))</f>
        <v/>
      </c>
      <c r="AH141" s="441" t="n"/>
      <c r="AI141" s="441" t="n"/>
      <c r="AJ141" s="391" t="n"/>
      <c r="AK141" s="391" t="n"/>
      <c r="AL141" s="391" t="n"/>
      <c r="AM141" s="391" t="n"/>
      <c r="AN141" s="391" t="n"/>
      <c r="AO141" s="391" t="n"/>
      <c r="AP141" s="441" t="n"/>
      <c r="AQ141" s="442" t="n"/>
      <c r="AR141" s="391" t="n"/>
      <c r="AS141" s="441">
        <f>(($E141)-SUM(U40:AS40))</f>
        <v/>
      </c>
      <c r="AT141" s="391" t="n"/>
      <c r="AU141" s="391" t="n"/>
      <c r="AV141" s="391" t="n"/>
      <c r="AW141" s="391" t="n"/>
      <c r="AX141" s="391" t="n"/>
      <c r="AY141" s="391" t="n"/>
      <c r="AZ141" s="391" t="n"/>
      <c r="BA141" s="391" t="n"/>
      <c r="BB141" s="441" t="n"/>
      <c r="BC141" s="442" t="n"/>
      <c r="BD141" s="391" t="n"/>
      <c r="BE141" s="391">
        <f>(($E141)-SUM(U40:BE40))</f>
        <v/>
      </c>
      <c r="BF141" s="122" t="n"/>
      <c r="BG141" s="122" t="n"/>
      <c r="BH141" s="122" t="n"/>
      <c r="BI141" s="122" t="n"/>
      <c r="BJ141" s="122" t="n"/>
      <c r="BK141" s="122" t="n"/>
      <c r="BL141" s="122" t="n"/>
      <c r="BM141" s="122" t="n"/>
      <c r="BN141" s="122" t="n"/>
      <c r="BO141" s="442" t="n"/>
      <c r="BP141" s="391" t="n"/>
      <c r="BQ141" s="391">
        <f>(($E141)-SUM(U40:BQ40))</f>
        <v/>
      </c>
      <c r="BR141" s="122" t="n"/>
      <c r="BS141" s="122" t="n"/>
      <c r="BT141" s="122" t="n"/>
      <c r="BU141" s="122" t="n"/>
      <c r="BV141" s="122" t="n"/>
      <c r="BW141" s="122" t="n"/>
      <c r="BX141" s="122" t="n"/>
      <c r="BY141" s="122" t="n"/>
      <c r="BZ141" s="122" t="n"/>
      <c r="CA141" s="122" t="n"/>
      <c r="CB141" s="397">
        <f>SUM(G40:BZ40)</f>
        <v/>
      </c>
      <c r="CC141" s="122" t="n"/>
      <c r="CD141" s="397">
        <f>SUM(BC141:BN141)</f>
        <v/>
      </c>
      <c r="CE141" s="391">
        <f>(CE40)</f>
        <v/>
      </c>
      <c r="CF141" s="386">
        <f>IF(CD141=CE141,"Y","N")</f>
        <v/>
      </c>
    </row>
    <row r="142">
      <c r="D142" s="149" t="inlineStr">
        <is>
          <t>Month 16</t>
        </is>
      </c>
      <c r="E142" s="447">
        <f>(E41)</f>
        <v/>
      </c>
      <c r="F142" s="116" t="n"/>
      <c r="G142" s="596" t="n"/>
      <c r="H142" s="596" t="n"/>
      <c r="I142" s="596" t="n"/>
      <c r="J142" s="596" t="n"/>
      <c r="K142" s="596" t="n"/>
      <c r="L142" s="596" t="n"/>
      <c r="M142" s="596" t="n"/>
      <c r="N142" s="596" t="n"/>
      <c r="O142" s="596" t="n"/>
      <c r="P142" s="596" t="n"/>
      <c r="Q142" s="596" t="n"/>
      <c r="R142" s="596" t="n"/>
      <c r="S142" s="601" t="n"/>
      <c r="T142" s="596" t="n"/>
      <c r="U142" s="596" t="n"/>
      <c r="V142" s="596" t="n"/>
      <c r="W142" s="596" t="n"/>
      <c r="X142" s="596" t="n"/>
      <c r="Y142" s="596" t="n"/>
      <c r="Z142" s="596" t="n"/>
      <c r="AA142" s="596" t="n"/>
      <c r="AB142" s="596" t="n"/>
      <c r="AC142" s="596" t="n"/>
      <c r="AD142" s="597" t="n"/>
      <c r="AE142" s="601" t="n"/>
      <c r="AF142" s="596" t="n"/>
      <c r="AG142" s="596" t="n"/>
      <c r="AH142" s="441">
        <f>(($E142)-SUM(V41:AH41))</f>
        <v/>
      </c>
      <c r="AI142" s="441" t="n"/>
      <c r="AJ142" s="441" t="n"/>
      <c r="AK142" s="391" t="n"/>
      <c r="AL142" s="391" t="n"/>
      <c r="AM142" s="391" t="n"/>
      <c r="AN142" s="391" t="n"/>
      <c r="AO142" s="391" t="n"/>
      <c r="AP142" s="441" t="n"/>
      <c r="AQ142" s="442" t="n"/>
      <c r="AR142" s="391" t="n"/>
      <c r="AS142" s="391" t="n"/>
      <c r="AT142" s="441">
        <f>(($E142)-SUM(V41:AT41))</f>
        <v/>
      </c>
      <c r="AU142" s="391" t="n"/>
      <c r="AV142" s="391" t="n"/>
      <c r="AW142" s="391" t="n"/>
      <c r="AX142" s="391" t="n"/>
      <c r="AY142" s="391" t="n"/>
      <c r="AZ142" s="391" t="n"/>
      <c r="BA142" s="391" t="n"/>
      <c r="BB142" s="441" t="n"/>
      <c r="BC142" s="442" t="n"/>
      <c r="BD142" s="391" t="n"/>
      <c r="BE142" s="391" t="n"/>
      <c r="BF142" s="391">
        <f>(($E142)-SUM(V41:BF41))</f>
        <v/>
      </c>
      <c r="BG142" s="122" t="n"/>
      <c r="BH142" s="122" t="n"/>
      <c r="BI142" s="122" t="n"/>
      <c r="BJ142" s="122" t="n"/>
      <c r="BK142" s="122" t="n"/>
      <c r="BL142" s="122" t="n"/>
      <c r="BM142" s="122" t="n"/>
      <c r="BN142" s="122" t="n"/>
      <c r="BO142" s="442" t="n"/>
      <c r="BP142" s="391" t="n"/>
      <c r="BQ142" s="391" t="n"/>
      <c r="BR142" s="391">
        <f>(($E142)-SUM(V41:BR41))</f>
        <v/>
      </c>
      <c r="BS142" s="122" t="n"/>
      <c r="BT142" s="122" t="n"/>
      <c r="BU142" s="122" t="n"/>
      <c r="BV142" s="122" t="n"/>
      <c r="BW142" s="122" t="n"/>
      <c r="BX142" s="122" t="n"/>
      <c r="BY142" s="122" t="n"/>
      <c r="BZ142" s="122" t="n"/>
      <c r="CA142" s="122" t="n"/>
      <c r="CB142" s="397">
        <f>SUM(G41:BZ41)</f>
        <v/>
      </c>
      <c r="CC142" s="122" t="n"/>
      <c r="CD142" s="397">
        <f>SUM(BC142:BN142)</f>
        <v/>
      </c>
      <c r="CE142" s="391">
        <f>(CE41)</f>
        <v/>
      </c>
      <c r="CF142" s="386">
        <f>IF(CD142=CE142,"Y","N")</f>
        <v/>
      </c>
    </row>
    <row r="143">
      <c r="D143" s="149" t="inlineStr">
        <is>
          <t>Month 17</t>
        </is>
      </c>
      <c r="E143" s="447">
        <f>(E42)</f>
        <v/>
      </c>
      <c r="F143" s="116" t="n"/>
      <c r="G143" s="596" t="n"/>
      <c r="H143" s="596" t="n"/>
      <c r="I143" s="596" t="n"/>
      <c r="J143" s="596" t="n"/>
      <c r="K143" s="596" t="n"/>
      <c r="L143" s="596" t="n"/>
      <c r="M143" s="596" t="n"/>
      <c r="N143" s="596" t="n"/>
      <c r="O143" s="596" t="n"/>
      <c r="P143" s="596" t="n"/>
      <c r="Q143" s="596" t="n"/>
      <c r="R143" s="596" t="n"/>
      <c r="S143" s="601" t="n"/>
      <c r="T143" s="596" t="n"/>
      <c r="U143" s="596" t="n"/>
      <c r="V143" s="596" t="n"/>
      <c r="W143" s="596" t="n"/>
      <c r="X143" s="596" t="n"/>
      <c r="Y143" s="596" t="n"/>
      <c r="Z143" s="596" t="n"/>
      <c r="AA143" s="596" t="n"/>
      <c r="AB143" s="596" t="n"/>
      <c r="AC143" s="596" t="n"/>
      <c r="AD143" s="597" t="n"/>
      <c r="AE143" s="601" t="n"/>
      <c r="AF143" s="596" t="n"/>
      <c r="AG143" s="596" t="n"/>
      <c r="AH143" s="596" t="n"/>
      <c r="AI143" s="441">
        <f>(($E143)-SUM(W42:AI42))</f>
        <v/>
      </c>
      <c r="AJ143" s="441" t="n"/>
      <c r="AK143" s="441" t="n"/>
      <c r="AL143" s="391" t="n"/>
      <c r="AM143" s="391" t="n"/>
      <c r="AN143" s="391" t="n"/>
      <c r="AO143" s="391" t="n"/>
      <c r="AP143" s="441" t="n"/>
      <c r="AQ143" s="442" t="n"/>
      <c r="AR143" s="391" t="n"/>
      <c r="AS143" s="391" t="n"/>
      <c r="AT143" s="391" t="n"/>
      <c r="AU143" s="441">
        <f>(($E143)-SUM(W42:AU42))</f>
        <v/>
      </c>
      <c r="AV143" s="391" t="n"/>
      <c r="AW143" s="391" t="n"/>
      <c r="AX143" s="391" t="n"/>
      <c r="AY143" s="391" t="n"/>
      <c r="AZ143" s="391" t="n"/>
      <c r="BA143" s="391" t="n"/>
      <c r="BB143" s="441" t="n"/>
      <c r="BC143" s="442" t="n"/>
      <c r="BD143" s="391" t="n"/>
      <c r="BE143" s="391" t="n"/>
      <c r="BF143" s="391" t="n"/>
      <c r="BG143" s="391">
        <f>(($E143)-SUM(W42:BG42))</f>
        <v/>
      </c>
      <c r="BH143" s="122" t="n"/>
      <c r="BI143" s="122" t="n"/>
      <c r="BJ143" s="122" t="n"/>
      <c r="BK143" s="122" t="n"/>
      <c r="BL143" s="122" t="n"/>
      <c r="BM143" s="122" t="n"/>
      <c r="BN143" s="122" t="n"/>
      <c r="BO143" s="442" t="n"/>
      <c r="BP143" s="391" t="n"/>
      <c r="BQ143" s="391" t="n"/>
      <c r="BR143" s="391" t="n"/>
      <c r="BS143" s="391">
        <f>(($E143)-SUM(W42:BS42))</f>
        <v/>
      </c>
      <c r="BT143" s="122" t="n"/>
      <c r="BU143" s="122" t="n"/>
      <c r="BV143" s="122" t="n"/>
      <c r="BW143" s="122" t="n"/>
      <c r="BX143" s="122" t="n"/>
      <c r="BY143" s="122" t="n"/>
      <c r="BZ143" s="122" t="n"/>
      <c r="CA143" s="122" t="n"/>
      <c r="CB143" s="397">
        <f>SUM(G42:BZ42)</f>
        <v/>
      </c>
      <c r="CC143" s="122" t="n"/>
      <c r="CD143" s="397">
        <f>SUM(BC143:BN143)</f>
        <v/>
      </c>
      <c r="CE143" s="391">
        <f>(CE42)</f>
        <v/>
      </c>
      <c r="CF143" s="386">
        <f>IF(CD143=CE143,"Y","N")</f>
        <v/>
      </c>
    </row>
    <row r="144">
      <c r="D144" s="149" t="inlineStr">
        <is>
          <t>Month 18</t>
        </is>
      </c>
      <c r="E144" s="447">
        <f>(E43)</f>
        <v/>
      </c>
      <c r="F144" s="116" t="n"/>
      <c r="G144" s="596" t="n"/>
      <c r="H144" s="596" t="n"/>
      <c r="I144" s="596" t="n"/>
      <c r="J144" s="596" t="n"/>
      <c r="K144" s="596" t="n"/>
      <c r="L144" s="596" t="n"/>
      <c r="M144" s="596" t="n"/>
      <c r="N144" s="596" t="n"/>
      <c r="O144" s="596" t="n"/>
      <c r="P144" s="596" t="n"/>
      <c r="Q144" s="596" t="n"/>
      <c r="R144" s="596" t="n"/>
      <c r="S144" s="601" t="n"/>
      <c r="T144" s="596" t="n"/>
      <c r="U144" s="596" t="n"/>
      <c r="V144" s="596" t="n"/>
      <c r="W144" s="596" t="n"/>
      <c r="X144" s="596" t="n"/>
      <c r="Y144" s="596" t="n"/>
      <c r="Z144" s="596" t="n"/>
      <c r="AA144" s="596" t="n"/>
      <c r="AB144" s="596" t="n"/>
      <c r="AC144" s="596" t="n"/>
      <c r="AD144" s="597" t="n"/>
      <c r="AE144" s="601" t="n"/>
      <c r="AF144" s="596" t="n"/>
      <c r="AG144" s="596" t="n"/>
      <c r="AH144" s="596" t="n"/>
      <c r="AI144" s="596" t="n"/>
      <c r="AJ144" s="441">
        <f>(($E144)-SUM(X43:AJ43))</f>
        <v/>
      </c>
      <c r="AK144" s="441" t="n"/>
      <c r="AL144" s="441" t="n"/>
      <c r="AM144" s="391" t="n"/>
      <c r="AN144" s="391" t="n"/>
      <c r="AO144" s="391" t="n"/>
      <c r="AP144" s="441" t="n"/>
      <c r="AQ144" s="442" t="n"/>
      <c r="AR144" s="391" t="n"/>
      <c r="AS144" s="391" t="n"/>
      <c r="AT144" s="391" t="n"/>
      <c r="AU144" s="391" t="n"/>
      <c r="AV144" s="441">
        <f>(($E144)-SUM(X43:AV43))</f>
        <v/>
      </c>
      <c r="AW144" s="391" t="n"/>
      <c r="AX144" s="391" t="n"/>
      <c r="AY144" s="391" t="n"/>
      <c r="AZ144" s="391" t="n"/>
      <c r="BA144" s="391" t="n"/>
      <c r="BB144" s="441" t="n"/>
      <c r="BC144" s="442" t="n"/>
      <c r="BD144" s="391" t="n"/>
      <c r="BE144" s="391" t="n"/>
      <c r="BF144" s="391" t="n"/>
      <c r="BG144" s="391" t="n"/>
      <c r="BH144" s="391">
        <f>(($E144)-SUM(X43:BH43))</f>
        <v/>
      </c>
      <c r="BI144" s="122" t="n"/>
      <c r="BJ144" s="122" t="n"/>
      <c r="BK144" s="122" t="n"/>
      <c r="BL144" s="122" t="n"/>
      <c r="BM144" s="122" t="n"/>
      <c r="BN144" s="122" t="n"/>
      <c r="BO144" s="442" t="n"/>
      <c r="BP144" s="391" t="n"/>
      <c r="BQ144" s="391" t="n"/>
      <c r="BR144" s="391" t="n"/>
      <c r="BS144" s="391" t="n"/>
      <c r="BT144" s="391">
        <f>(($E144)-SUM(X43:BT43))</f>
        <v/>
      </c>
      <c r="BU144" s="122" t="n"/>
      <c r="BV144" s="122" t="n"/>
      <c r="BW144" s="122" t="n"/>
      <c r="BX144" s="122" t="n"/>
      <c r="BY144" s="122" t="n"/>
      <c r="BZ144" s="122" t="n"/>
      <c r="CA144" s="122" t="n"/>
      <c r="CB144" s="397">
        <f>SUM(G43:BZ43)</f>
        <v/>
      </c>
      <c r="CC144" s="122" t="n"/>
      <c r="CD144" s="397">
        <f>SUM(BC144:BN144)</f>
        <v/>
      </c>
      <c r="CE144" s="391">
        <f>(CE43)</f>
        <v/>
      </c>
      <c r="CF144" s="386">
        <f>IF(CD144=CE144,"Y","N")</f>
        <v/>
      </c>
    </row>
    <row r="145">
      <c r="D145" s="149" t="inlineStr">
        <is>
          <t>Month 19</t>
        </is>
      </c>
      <c r="E145" s="447">
        <f>(E44)</f>
        <v/>
      </c>
      <c r="F145" s="116" t="n"/>
      <c r="G145" s="596" t="n"/>
      <c r="H145" s="596" t="n"/>
      <c r="I145" s="596" t="n"/>
      <c r="J145" s="596" t="n"/>
      <c r="K145" s="596" t="n"/>
      <c r="L145" s="596" t="n"/>
      <c r="M145" s="596" t="n"/>
      <c r="N145" s="596" t="n"/>
      <c r="O145" s="596" t="n"/>
      <c r="P145" s="596" t="n"/>
      <c r="Q145" s="596" t="n"/>
      <c r="R145" s="596" t="n"/>
      <c r="S145" s="601" t="n"/>
      <c r="T145" s="596" t="n"/>
      <c r="U145" s="596" t="n"/>
      <c r="V145" s="596" t="n"/>
      <c r="W145" s="596" t="n"/>
      <c r="X145" s="596" t="n"/>
      <c r="Y145" s="596" t="n"/>
      <c r="Z145" s="596" t="n"/>
      <c r="AA145" s="596" t="n"/>
      <c r="AB145" s="596" t="n"/>
      <c r="AC145" s="596" t="n"/>
      <c r="AD145" s="597" t="n"/>
      <c r="AE145" s="601" t="n"/>
      <c r="AF145" s="596" t="n"/>
      <c r="AG145" s="596" t="n"/>
      <c r="AH145" s="596" t="n"/>
      <c r="AI145" s="596" t="n"/>
      <c r="AJ145" s="596" t="n"/>
      <c r="AK145" s="441">
        <f>(($E145)-SUM(Y44:AK44))</f>
        <v/>
      </c>
      <c r="AL145" s="441" t="n"/>
      <c r="AM145" s="441" t="n"/>
      <c r="AN145" s="391" t="n"/>
      <c r="AO145" s="391" t="n"/>
      <c r="AP145" s="441" t="n"/>
      <c r="AQ145" s="442" t="n"/>
      <c r="AR145" s="391" t="n"/>
      <c r="AS145" s="391" t="n"/>
      <c r="AT145" s="391" t="n"/>
      <c r="AU145" s="391" t="n"/>
      <c r="AV145" s="391" t="n"/>
      <c r="AW145" s="441">
        <f>(($E145)-SUM(Y44:AW44))</f>
        <v/>
      </c>
      <c r="AX145" s="391" t="n"/>
      <c r="AY145" s="391" t="n"/>
      <c r="AZ145" s="391" t="n"/>
      <c r="BA145" s="391" t="n"/>
      <c r="BB145" s="441" t="n"/>
      <c r="BC145" s="442" t="n"/>
      <c r="BD145" s="391" t="n"/>
      <c r="BE145" s="391" t="n"/>
      <c r="BF145" s="391" t="n"/>
      <c r="BG145" s="391" t="n"/>
      <c r="BH145" s="391" t="n"/>
      <c r="BI145" s="391">
        <f>(($E145)-SUM(Y44:BI44))</f>
        <v/>
      </c>
      <c r="BJ145" s="122" t="n"/>
      <c r="BK145" s="122" t="n"/>
      <c r="BL145" s="122" t="n"/>
      <c r="BM145" s="122" t="n"/>
      <c r="BN145" s="122" t="n"/>
      <c r="BO145" s="442" t="n"/>
      <c r="BP145" s="391" t="n"/>
      <c r="BQ145" s="391" t="n"/>
      <c r="BR145" s="391" t="n"/>
      <c r="BS145" s="391" t="n"/>
      <c r="BT145" s="391" t="n"/>
      <c r="BU145" s="391">
        <f>(($E145)-SUM(Y44:BU44))</f>
        <v/>
      </c>
      <c r="BV145" s="122" t="n"/>
      <c r="BW145" s="122" t="n"/>
      <c r="BX145" s="122" t="n"/>
      <c r="BY145" s="122" t="n"/>
      <c r="BZ145" s="122" t="n"/>
      <c r="CA145" s="122" t="n"/>
      <c r="CB145" s="397">
        <f>SUM(G44:BZ44)</f>
        <v/>
      </c>
      <c r="CC145" s="122" t="n"/>
      <c r="CD145" s="397">
        <f>SUM(BC145:BN145)</f>
        <v/>
      </c>
      <c r="CE145" s="391">
        <f>(CE44)</f>
        <v/>
      </c>
      <c r="CF145" s="386">
        <f>IF(CD145=CE145,"Y","N")</f>
        <v/>
      </c>
    </row>
    <row r="146">
      <c r="D146" s="149" t="inlineStr">
        <is>
          <t>Month 20</t>
        </is>
      </c>
      <c r="E146" s="447">
        <f>(E45)</f>
        <v/>
      </c>
      <c r="F146" s="116" t="n"/>
      <c r="G146" s="596" t="n"/>
      <c r="H146" s="596" t="n"/>
      <c r="I146" s="596" t="n"/>
      <c r="J146" s="596" t="n"/>
      <c r="K146" s="596" t="n"/>
      <c r="L146" s="596" t="n"/>
      <c r="M146" s="596" t="n"/>
      <c r="N146" s="596" t="n"/>
      <c r="O146" s="596" t="n"/>
      <c r="P146" s="596" t="n"/>
      <c r="Q146" s="596" t="n"/>
      <c r="R146" s="596" t="n"/>
      <c r="S146" s="601" t="n"/>
      <c r="T146" s="596" t="n"/>
      <c r="U146" s="596" t="n"/>
      <c r="V146" s="596" t="n"/>
      <c r="W146" s="596" t="n"/>
      <c r="X146" s="596" t="n"/>
      <c r="Y146" s="596" t="n"/>
      <c r="Z146" s="596" t="n"/>
      <c r="AA146" s="596" t="n"/>
      <c r="AB146" s="596" t="n"/>
      <c r="AC146" s="596" t="n"/>
      <c r="AD146" s="597" t="n"/>
      <c r="AE146" s="601" t="n"/>
      <c r="AF146" s="596" t="n"/>
      <c r="AG146" s="596" t="n"/>
      <c r="AH146" s="596" t="n"/>
      <c r="AI146" s="596" t="n"/>
      <c r="AJ146" s="596" t="n"/>
      <c r="AK146" s="596" t="n"/>
      <c r="AL146" s="441">
        <f>(($E146)-SUM(Z45:AL45))</f>
        <v/>
      </c>
      <c r="AM146" s="441" t="n"/>
      <c r="AN146" s="441" t="n"/>
      <c r="AO146" s="391" t="n"/>
      <c r="AP146" s="441" t="n"/>
      <c r="AQ146" s="442" t="n"/>
      <c r="AR146" s="391" t="n"/>
      <c r="AS146" s="391" t="n"/>
      <c r="AT146" s="391" t="n"/>
      <c r="AU146" s="391" t="n"/>
      <c r="AV146" s="391" t="n"/>
      <c r="AW146" s="391" t="n"/>
      <c r="AX146" s="441">
        <f>(($E146)-SUM(Z45:AX45))</f>
        <v/>
      </c>
      <c r="AY146" s="391" t="n"/>
      <c r="AZ146" s="391" t="n"/>
      <c r="BA146" s="391" t="n"/>
      <c r="BB146" s="441" t="n"/>
      <c r="BC146" s="442" t="n"/>
      <c r="BD146" s="391" t="n"/>
      <c r="BE146" s="391" t="n"/>
      <c r="BF146" s="391" t="n"/>
      <c r="BG146" s="391" t="n"/>
      <c r="BH146" s="391" t="n"/>
      <c r="BI146" s="391" t="n"/>
      <c r="BJ146" s="391">
        <f>(($E146)-SUM(Z45:BJ45))</f>
        <v/>
      </c>
      <c r="BK146" s="122" t="n"/>
      <c r="BL146" s="122" t="n"/>
      <c r="BM146" s="122" t="n"/>
      <c r="BN146" s="122" t="n"/>
      <c r="BO146" s="442" t="n"/>
      <c r="BP146" s="391" t="n"/>
      <c r="BQ146" s="391" t="n"/>
      <c r="BR146" s="391" t="n"/>
      <c r="BS146" s="391" t="n"/>
      <c r="BT146" s="391" t="n"/>
      <c r="BU146" s="391" t="n"/>
      <c r="BV146" s="391">
        <f>(($E146)-SUM(Z45:BV45))</f>
        <v/>
      </c>
      <c r="BW146" s="122" t="n"/>
      <c r="BX146" s="122" t="n"/>
      <c r="BY146" s="122" t="n"/>
      <c r="BZ146" s="122" t="n"/>
      <c r="CA146" s="122" t="n"/>
      <c r="CB146" s="397">
        <f>SUM(G45:BZ45)</f>
        <v/>
      </c>
      <c r="CC146" s="122" t="n"/>
      <c r="CD146" s="397">
        <f>SUM(BC146:BN146)</f>
        <v/>
      </c>
      <c r="CE146" s="391">
        <f>(CE45)</f>
        <v/>
      </c>
      <c r="CF146" s="386">
        <f>IF(CD146=CE146,"Y","N")</f>
        <v/>
      </c>
    </row>
    <row r="147">
      <c r="D147" s="149" t="inlineStr">
        <is>
          <t>Month 21</t>
        </is>
      </c>
      <c r="E147" s="447">
        <f>(E46)</f>
        <v/>
      </c>
      <c r="F147" s="116" t="n"/>
      <c r="G147" s="596" t="n"/>
      <c r="H147" s="596" t="n"/>
      <c r="I147" s="596" t="n"/>
      <c r="J147" s="596" t="n"/>
      <c r="K147" s="596" t="n"/>
      <c r="L147" s="596" t="n"/>
      <c r="M147" s="596" t="n"/>
      <c r="N147" s="596" t="n"/>
      <c r="O147" s="596" t="n"/>
      <c r="P147" s="596" t="n"/>
      <c r="Q147" s="596" t="n"/>
      <c r="R147" s="596" t="n"/>
      <c r="S147" s="601" t="n"/>
      <c r="T147" s="596" t="n"/>
      <c r="U147" s="596" t="n"/>
      <c r="V147" s="596" t="n"/>
      <c r="W147" s="596" t="n"/>
      <c r="X147" s="596" t="n"/>
      <c r="Y147" s="596" t="n"/>
      <c r="Z147" s="596" t="n"/>
      <c r="AA147" s="596" t="n"/>
      <c r="AB147" s="596" t="n"/>
      <c r="AC147" s="596" t="n"/>
      <c r="AD147" s="597" t="n"/>
      <c r="AE147" s="601" t="n"/>
      <c r="AF147" s="596" t="n"/>
      <c r="AG147" s="596" t="n"/>
      <c r="AH147" s="596" t="n"/>
      <c r="AI147" s="596" t="n"/>
      <c r="AJ147" s="596" t="n"/>
      <c r="AK147" s="596" t="n"/>
      <c r="AL147" s="596" t="n"/>
      <c r="AM147" s="441">
        <f>(($E147)-SUM(AA46:AM46))</f>
        <v/>
      </c>
      <c r="AN147" s="441" t="n"/>
      <c r="AO147" s="441" t="n"/>
      <c r="AP147" s="441" t="n"/>
      <c r="AQ147" s="442" t="n"/>
      <c r="AR147" s="391" t="n"/>
      <c r="AS147" s="391" t="n"/>
      <c r="AT147" s="391" t="n"/>
      <c r="AU147" s="391" t="n"/>
      <c r="AV147" s="391" t="n"/>
      <c r="AW147" s="391" t="n"/>
      <c r="AX147" s="391" t="n"/>
      <c r="AY147" s="441">
        <f>(($E147)-SUM(AA46:AY46))</f>
        <v/>
      </c>
      <c r="AZ147" s="391" t="n"/>
      <c r="BA147" s="391" t="n"/>
      <c r="BB147" s="441" t="n"/>
      <c r="BC147" s="442" t="n"/>
      <c r="BD147" s="391" t="n"/>
      <c r="BE147" s="391" t="n"/>
      <c r="BF147" s="391" t="n"/>
      <c r="BG147" s="391" t="n"/>
      <c r="BH147" s="391" t="n"/>
      <c r="BI147" s="391" t="n"/>
      <c r="BJ147" s="391" t="n"/>
      <c r="BK147" s="391">
        <f>(($E147)-SUM(AA46:BK46))</f>
        <v/>
      </c>
      <c r="BL147" s="122" t="n"/>
      <c r="BM147" s="122" t="n"/>
      <c r="BN147" s="122" t="n"/>
      <c r="BO147" s="442" t="n"/>
      <c r="BP147" s="391" t="n"/>
      <c r="BQ147" s="391" t="n"/>
      <c r="BR147" s="391" t="n"/>
      <c r="BS147" s="391" t="n"/>
      <c r="BT147" s="391" t="n"/>
      <c r="BU147" s="391" t="n"/>
      <c r="BV147" s="391" t="n"/>
      <c r="BW147" s="391">
        <f>(($E147)-SUM(AA46:BW46))</f>
        <v/>
      </c>
      <c r="BX147" s="122" t="n"/>
      <c r="BY147" s="122" t="n"/>
      <c r="BZ147" s="122" t="n"/>
      <c r="CA147" s="122" t="n"/>
      <c r="CB147" s="397">
        <f>SUM(G46:BZ46)</f>
        <v/>
      </c>
      <c r="CC147" s="122" t="n"/>
      <c r="CD147" s="397">
        <f>SUM(BC147:BN147)</f>
        <v/>
      </c>
      <c r="CE147" s="391">
        <f>(CE46)</f>
        <v/>
      </c>
      <c r="CF147" s="386">
        <f>IF(CD147=CE147,"Y","N")</f>
        <v/>
      </c>
    </row>
    <row r="148">
      <c r="D148" s="149" t="inlineStr">
        <is>
          <t>Month 22</t>
        </is>
      </c>
      <c r="E148" s="447">
        <f>(E47)</f>
        <v/>
      </c>
      <c r="F148" s="116" t="n"/>
      <c r="G148" s="596" t="n"/>
      <c r="H148" s="596" t="n"/>
      <c r="I148" s="596" t="n"/>
      <c r="J148" s="596" t="n"/>
      <c r="K148" s="596" t="n"/>
      <c r="L148" s="596" t="n"/>
      <c r="M148" s="596" t="n"/>
      <c r="N148" s="596" t="n"/>
      <c r="O148" s="596" t="n"/>
      <c r="P148" s="596" t="n"/>
      <c r="Q148" s="596" t="n"/>
      <c r="R148" s="596" t="n"/>
      <c r="S148" s="601" t="n"/>
      <c r="T148" s="596" t="n"/>
      <c r="U148" s="596" t="n"/>
      <c r="V148" s="596" t="n"/>
      <c r="W148" s="596" t="n"/>
      <c r="X148" s="596" t="n"/>
      <c r="Y148" s="596" t="n"/>
      <c r="Z148" s="596" t="n"/>
      <c r="AA148" s="596" t="n"/>
      <c r="AB148" s="596" t="n"/>
      <c r="AC148" s="596" t="n"/>
      <c r="AD148" s="597" t="n"/>
      <c r="AE148" s="601" t="n"/>
      <c r="AF148" s="596" t="n"/>
      <c r="AG148" s="596" t="n"/>
      <c r="AH148" s="596" t="n"/>
      <c r="AI148" s="596" t="n"/>
      <c r="AJ148" s="596" t="n"/>
      <c r="AK148" s="596" t="n"/>
      <c r="AL148" s="596" t="n"/>
      <c r="AM148" s="596" t="n"/>
      <c r="AN148" s="441">
        <f>(($E148)-SUM(AB47:AN47))</f>
        <v/>
      </c>
      <c r="AO148" s="441" t="n"/>
      <c r="AP148" s="441" t="n"/>
      <c r="AQ148" s="442" t="n"/>
      <c r="AR148" s="391" t="n"/>
      <c r="AS148" s="391" t="n"/>
      <c r="AT148" s="391" t="n"/>
      <c r="AU148" s="391" t="n"/>
      <c r="AV148" s="391" t="n"/>
      <c r="AW148" s="391" t="n"/>
      <c r="AX148" s="391" t="n"/>
      <c r="AY148" s="391" t="n"/>
      <c r="AZ148" s="441">
        <f>(($E148)-SUM(AB47:AZ47))</f>
        <v/>
      </c>
      <c r="BA148" s="391" t="n"/>
      <c r="BB148" s="441" t="n"/>
      <c r="BC148" s="442" t="n"/>
      <c r="BD148" s="391" t="n"/>
      <c r="BE148" s="391" t="n"/>
      <c r="BF148" s="391" t="n"/>
      <c r="BG148" s="391" t="n"/>
      <c r="BH148" s="391" t="n"/>
      <c r="BI148" s="391" t="n"/>
      <c r="BJ148" s="391" t="n"/>
      <c r="BK148" s="391" t="n"/>
      <c r="BL148" s="391">
        <f>(($E148)-SUM(AB47:BL47))</f>
        <v/>
      </c>
      <c r="BM148" s="122" t="n"/>
      <c r="BN148" s="122" t="n"/>
      <c r="BO148" s="442" t="n"/>
      <c r="BP148" s="391" t="n"/>
      <c r="BQ148" s="391" t="n"/>
      <c r="BR148" s="391" t="n"/>
      <c r="BS148" s="391" t="n"/>
      <c r="BT148" s="391" t="n"/>
      <c r="BU148" s="391" t="n"/>
      <c r="BV148" s="391" t="n"/>
      <c r="BW148" s="391" t="n"/>
      <c r="BX148" s="391">
        <f>(($E148)-SUM(AB47:BX47))</f>
        <v/>
      </c>
      <c r="BY148" s="122" t="n"/>
      <c r="BZ148" s="122" t="n"/>
      <c r="CA148" s="122" t="n"/>
      <c r="CB148" s="397">
        <f>SUM(G47:BZ47)</f>
        <v/>
      </c>
      <c r="CC148" s="122" t="n"/>
      <c r="CD148" s="397">
        <f>SUM(BC148:BN148)</f>
        <v/>
      </c>
      <c r="CE148" s="391">
        <f>(CE47)</f>
        <v/>
      </c>
      <c r="CF148" s="386">
        <f>IF(CD148=CE148,"Y","N")</f>
        <v/>
      </c>
    </row>
    <row r="149">
      <c r="D149" s="149" t="inlineStr">
        <is>
          <t>Month 23</t>
        </is>
      </c>
      <c r="E149" s="447">
        <f>(E48)</f>
        <v/>
      </c>
      <c r="F149" s="116" t="n"/>
      <c r="G149" s="596" t="n"/>
      <c r="H149" s="596" t="n"/>
      <c r="I149" s="596" t="n"/>
      <c r="J149" s="596" t="n"/>
      <c r="K149" s="596" t="n"/>
      <c r="L149" s="596" t="n"/>
      <c r="M149" s="596" t="n"/>
      <c r="N149" s="596" t="n"/>
      <c r="O149" s="596" t="n"/>
      <c r="P149" s="596" t="n"/>
      <c r="Q149" s="596" t="n"/>
      <c r="R149" s="596" t="n"/>
      <c r="S149" s="601" t="n"/>
      <c r="T149" s="596" t="n"/>
      <c r="U149" s="596" t="n"/>
      <c r="V149" s="596" t="n"/>
      <c r="W149" s="596" t="n"/>
      <c r="X149" s="596" t="n"/>
      <c r="Y149" s="596" t="n"/>
      <c r="Z149" s="596" t="n"/>
      <c r="AA149" s="596" t="n"/>
      <c r="AB149" s="596" t="n"/>
      <c r="AC149" s="596" t="n"/>
      <c r="AD149" s="597" t="n"/>
      <c r="AE149" s="601" t="n"/>
      <c r="AF149" s="596" t="n"/>
      <c r="AG149" s="596" t="n"/>
      <c r="AH149" s="596" t="n"/>
      <c r="AI149" s="596" t="n"/>
      <c r="AJ149" s="596" t="n"/>
      <c r="AK149" s="596" t="n"/>
      <c r="AL149" s="596" t="n"/>
      <c r="AM149" s="596" t="n"/>
      <c r="AN149" s="596" t="n"/>
      <c r="AO149" s="441">
        <f>(($E149)-SUM(AC48:AO48))</f>
        <v/>
      </c>
      <c r="AP149" s="441" t="n"/>
      <c r="AQ149" s="442" t="n"/>
      <c r="AR149" s="391" t="n"/>
      <c r="AS149" s="391" t="n"/>
      <c r="AT149" s="391" t="n"/>
      <c r="AU149" s="391" t="n"/>
      <c r="AV149" s="391" t="n"/>
      <c r="AW149" s="391" t="n"/>
      <c r="AX149" s="391" t="n"/>
      <c r="AY149" s="391" t="n"/>
      <c r="AZ149" s="391" t="n"/>
      <c r="BA149" s="441">
        <f>(($E149)-SUM(AC48:BA48))</f>
        <v/>
      </c>
      <c r="BB149" s="441" t="n"/>
      <c r="BC149" s="442" t="n"/>
      <c r="BD149" s="391" t="n"/>
      <c r="BE149" s="391" t="n"/>
      <c r="BF149" s="391" t="n"/>
      <c r="BG149" s="391" t="n"/>
      <c r="BH149" s="391" t="n"/>
      <c r="BI149" s="391" t="n"/>
      <c r="BJ149" s="391" t="n"/>
      <c r="BK149" s="391" t="n"/>
      <c r="BL149" s="391" t="n"/>
      <c r="BM149" s="391">
        <f>(($E149)-SUM(AC48:BM48))</f>
        <v/>
      </c>
      <c r="BN149" s="122" t="n"/>
      <c r="BO149" s="442" t="n"/>
      <c r="BP149" s="391" t="n"/>
      <c r="BQ149" s="391" t="n"/>
      <c r="BR149" s="391" t="n"/>
      <c r="BS149" s="391" t="n"/>
      <c r="BT149" s="391" t="n"/>
      <c r="BU149" s="391" t="n"/>
      <c r="BV149" s="391" t="n"/>
      <c r="BW149" s="391" t="n"/>
      <c r="BX149" s="391" t="n"/>
      <c r="BY149" s="391">
        <f>(($E149)-SUM(AC48:BY48))</f>
        <v/>
      </c>
      <c r="BZ149" s="122" t="n"/>
      <c r="CA149" s="122" t="n"/>
      <c r="CB149" s="397">
        <f>SUM(G48:BZ48)</f>
        <v/>
      </c>
      <c r="CC149" s="122" t="n"/>
      <c r="CD149" s="397">
        <f>SUM(BC149:BN149)</f>
        <v/>
      </c>
      <c r="CE149" s="391">
        <f>(CE48)</f>
        <v/>
      </c>
      <c r="CF149" s="386">
        <f>IF(CD149=CE149,"Y","N")</f>
        <v/>
      </c>
    </row>
    <row r="150">
      <c r="D150" s="149" t="inlineStr">
        <is>
          <t>Month 24</t>
        </is>
      </c>
      <c r="E150" s="447">
        <f>(E49)</f>
        <v/>
      </c>
      <c r="F150" s="116" t="n"/>
      <c r="G150" s="596" t="n"/>
      <c r="H150" s="596" t="n"/>
      <c r="I150" s="596" t="n"/>
      <c r="J150" s="596" t="n"/>
      <c r="K150" s="596" t="n"/>
      <c r="L150" s="596" t="n"/>
      <c r="M150" s="596" t="n"/>
      <c r="N150" s="596" t="n"/>
      <c r="O150" s="596" t="n"/>
      <c r="P150" s="596" t="n"/>
      <c r="Q150" s="596" t="n"/>
      <c r="R150" s="596" t="n"/>
      <c r="S150" s="601" t="n"/>
      <c r="T150" s="596" t="n"/>
      <c r="U150" s="596" t="n"/>
      <c r="V150" s="596" t="n"/>
      <c r="W150" s="596" t="n"/>
      <c r="X150" s="596" t="n"/>
      <c r="Y150" s="596" t="n"/>
      <c r="Z150" s="596" t="n"/>
      <c r="AA150" s="596" t="n"/>
      <c r="AB150" s="596" t="n"/>
      <c r="AC150" s="596" t="n"/>
      <c r="AD150" s="597" t="n"/>
      <c r="AE150" s="601" t="n"/>
      <c r="AF150" s="596" t="n"/>
      <c r="AG150" s="596" t="n"/>
      <c r="AH150" s="596" t="n"/>
      <c r="AI150" s="596" t="n"/>
      <c r="AJ150" s="596" t="n"/>
      <c r="AK150" s="596" t="n"/>
      <c r="AL150" s="596" t="n"/>
      <c r="AM150" s="596" t="n"/>
      <c r="AN150" s="596" t="n"/>
      <c r="AO150" s="596" t="n"/>
      <c r="AP150" s="441">
        <f>(($E150)-SUM(AD49:AP49))</f>
        <v/>
      </c>
      <c r="AQ150" s="442" t="n"/>
      <c r="AR150" s="441" t="n"/>
      <c r="AS150" s="391" t="n"/>
      <c r="AT150" s="391" t="n"/>
      <c r="AU150" s="391" t="n"/>
      <c r="AV150" s="391" t="n"/>
      <c r="AW150" s="391" t="n"/>
      <c r="AX150" s="391" t="n"/>
      <c r="AY150" s="391" t="n"/>
      <c r="AZ150" s="391" t="n"/>
      <c r="BA150" s="391" t="n"/>
      <c r="BB150" s="441">
        <f>(($E150)-SUM(AD49:BB49))</f>
        <v/>
      </c>
      <c r="BC150" s="442" t="n"/>
      <c r="BD150" s="391" t="n"/>
      <c r="BE150" s="391" t="n"/>
      <c r="BF150" s="391" t="n"/>
      <c r="BG150" s="391" t="n"/>
      <c r="BH150" s="391" t="n"/>
      <c r="BI150" s="391" t="n"/>
      <c r="BJ150" s="391" t="n"/>
      <c r="BK150" s="391" t="n"/>
      <c r="BL150" s="391" t="n"/>
      <c r="BM150" s="391" t="n"/>
      <c r="BN150" s="391">
        <f>(($E150)-SUM(AD49:BN49))</f>
        <v/>
      </c>
      <c r="BO150" s="442" t="n"/>
      <c r="BP150" s="391" t="n"/>
      <c r="BQ150" s="391" t="n"/>
      <c r="BR150" s="391" t="n"/>
      <c r="BS150" s="391" t="n"/>
      <c r="BT150" s="391" t="n"/>
      <c r="BU150" s="391" t="n"/>
      <c r="BV150" s="391" t="n"/>
      <c r="BW150" s="391" t="n"/>
      <c r="BX150" s="391" t="n"/>
      <c r="BY150" s="391" t="n"/>
      <c r="BZ150" s="391">
        <f>(($E150)-SUM(AD49:BZ49))</f>
        <v/>
      </c>
      <c r="CA150" s="122" t="n"/>
      <c r="CB150" s="397">
        <f>SUM(G49:BZ49)</f>
        <v/>
      </c>
      <c r="CC150" s="122" t="n"/>
      <c r="CD150" s="397">
        <f>SUM(BC150:BN150)</f>
        <v/>
      </c>
      <c r="CE150" s="391">
        <f>(CE49)</f>
        <v/>
      </c>
      <c r="CF150" s="386">
        <f>IF(CD150=CE150,"Y","N")</f>
        <v/>
      </c>
    </row>
    <row r="151">
      <c r="D151" s="149" t="inlineStr">
        <is>
          <t>Month 25</t>
        </is>
      </c>
      <c r="E151" s="447">
        <f>(E50)</f>
        <v/>
      </c>
      <c r="F151" s="116" t="n"/>
      <c r="G151" s="596" t="n"/>
      <c r="H151" s="596" t="n"/>
      <c r="I151" s="596" t="n"/>
      <c r="J151" s="596" t="n"/>
      <c r="K151" s="596" t="n"/>
      <c r="L151" s="596" t="n"/>
      <c r="M151" s="596" t="n"/>
      <c r="N151" s="596" t="n"/>
      <c r="O151" s="596" t="n"/>
      <c r="P151" s="596" t="n"/>
      <c r="Q151" s="596" t="n"/>
      <c r="R151" s="596" t="n"/>
      <c r="S151" s="601" t="n"/>
      <c r="T151" s="596" t="n"/>
      <c r="U151" s="596" t="n"/>
      <c r="V151" s="596" t="n"/>
      <c r="W151" s="596" t="n"/>
      <c r="X151" s="596" t="n"/>
      <c r="Y151" s="596" t="n"/>
      <c r="Z151" s="596" t="n"/>
      <c r="AA151" s="596" t="n"/>
      <c r="AB151" s="596" t="n"/>
      <c r="AC151" s="596" t="n"/>
      <c r="AD151" s="597" t="n"/>
      <c r="AE151" s="601" t="n"/>
      <c r="AF151" s="596" t="n"/>
      <c r="AG151" s="596" t="n"/>
      <c r="AH151" s="596" t="n"/>
      <c r="AI151" s="596" t="n"/>
      <c r="AJ151" s="596" t="n"/>
      <c r="AK151" s="596" t="n"/>
      <c r="AL151" s="596" t="n"/>
      <c r="AM151" s="596" t="n"/>
      <c r="AN151" s="596" t="n"/>
      <c r="AO151" s="596" t="n"/>
      <c r="AP151" s="597" t="n"/>
      <c r="AQ151" s="442">
        <f>(($E151)-SUM(AE50:AQ50))</f>
        <v/>
      </c>
      <c r="AR151" s="441" t="n"/>
      <c r="AS151" s="441" t="n"/>
      <c r="AT151" s="391" t="n"/>
      <c r="AU151" s="391" t="n"/>
      <c r="AV151" s="391" t="n"/>
      <c r="AW151" s="391" t="n"/>
      <c r="AX151" s="391" t="n"/>
      <c r="AY151" s="391" t="n"/>
      <c r="AZ151" s="391" t="n"/>
      <c r="BA151" s="391" t="n"/>
      <c r="BB151" s="441" t="n"/>
      <c r="BC151" s="442">
        <f>(($E151)-SUM(AE50:BC50))</f>
        <v/>
      </c>
      <c r="BD151" s="122" t="n"/>
      <c r="BE151" s="122" t="n"/>
      <c r="BF151" s="122" t="n"/>
      <c r="BG151" s="122" t="n"/>
      <c r="BH151" s="122" t="n"/>
      <c r="BI151" s="122" t="n"/>
      <c r="BJ151" s="122" t="n"/>
      <c r="BK151" s="122" t="n"/>
      <c r="BL151" s="122" t="n"/>
      <c r="BM151" s="122" t="n"/>
      <c r="BN151" s="122" t="n"/>
      <c r="BO151" s="442">
        <f>(($E151)-SUM(AE50:BO50))</f>
        <v/>
      </c>
      <c r="BP151" s="122" t="n"/>
      <c r="BQ151" s="122" t="n"/>
      <c r="BR151" s="122" t="n"/>
      <c r="BS151" s="122" t="n"/>
      <c r="BT151" s="122" t="n"/>
      <c r="BU151" s="122" t="n"/>
      <c r="BV151" s="122" t="n"/>
      <c r="BW151" s="122" t="n"/>
      <c r="BX151" s="122" t="n"/>
      <c r="BY151" s="122" t="n"/>
      <c r="BZ151" s="122" t="n"/>
      <c r="CA151" s="122" t="n"/>
      <c r="CB151" s="397">
        <f>SUM(G50:BZ50)</f>
        <v/>
      </c>
      <c r="CC151" s="122" t="n"/>
      <c r="CD151" s="397">
        <f>SUM(BC151:BN151)</f>
        <v/>
      </c>
      <c r="CE151" s="391">
        <f>(CE50)</f>
        <v/>
      </c>
      <c r="CF151" s="386">
        <f>IF(CD151=CE151,"Y","N")</f>
        <v/>
      </c>
    </row>
    <row r="152">
      <c r="D152" s="149" t="inlineStr">
        <is>
          <t>Month 26</t>
        </is>
      </c>
      <c r="E152" s="447">
        <f>(E51)</f>
        <v/>
      </c>
      <c r="F152" s="116" t="n"/>
      <c r="G152" s="596" t="n"/>
      <c r="H152" s="596" t="n"/>
      <c r="I152" s="596" t="n"/>
      <c r="J152" s="596" t="n"/>
      <c r="K152" s="596" t="n"/>
      <c r="L152" s="596" t="n"/>
      <c r="M152" s="596" t="n"/>
      <c r="N152" s="596" t="n"/>
      <c r="O152" s="596" t="n"/>
      <c r="P152" s="596" t="n"/>
      <c r="Q152" s="596" t="n"/>
      <c r="R152" s="596" t="n"/>
      <c r="S152" s="601" t="n"/>
      <c r="T152" s="596" t="n"/>
      <c r="U152" s="596" t="n"/>
      <c r="V152" s="596" t="n"/>
      <c r="W152" s="596" t="n"/>
      <c r="X152" s="596" t="n"/>
      <c r="Y152" s="596" t="n"/>
      <c r="Z152" s="596" t="n"/>
      <c r="AA152" s="596" t="n"/>
      <c r="AB152" s="596" t="n"/>
      <c r="AC152" s="596" t="n"/>
      <c r="AD152" s="597" t="n"/>
      <c r="AE152" s="601" t="n"/>
      <c r="AF152" s="596" t="n"/>
      <c r="AG152" s="596" t="n"/>
      <c r="AH152" s="596" t="n"/>
      <c r="AI152" s="596" t="n"/>
      <c r="AJ152" s="596" t="n"/>
      <c r="AK152" s="596" t="n"/>
      <c r="AL152" s="596" t="n"/>
      <c r="AM152" s="596" t="n"/>
      <c r="AN152" s="596" t="n"/>
      <c r="AO152" s="596" t="n"/>
      <c r="AP152" s="597" t="n"/>
      <c r="AQ152" s="601" t="n"/>
      <c r="AR152" s="441">
        <f>(($E152)-SUM(AF51:AR51))</f>
        <v/>
      </c>
      <c r="AS152" s="441" t="n"/>
      <c r="AT152" s="441" t="n"/>
      <c r="AU152" s="391" t="n"/>
      <c r="AV152" s="391" t="n"/>
      <c r="AW152" s="391" t="n"/>
      <c r="AX152" s="391" t="n"/>
      <c r="AY152" s="391" t="n"/>
      <c r="AZ152" s="391" t="n"/>
      <c r="BA152" s="391" t="n"/>
      <c r="BB152" s="441" t="n"/>
      <c r="BC152" s="442" t="n"/>
      <c r="BD152" s="441">
        <f>(($E152)-SUM(AF51:BD51))</f>
        <v/>
      </c>
      <c r="BE152" s="122" t="n"/>
      <c r="BF152" s="122" t="n"/>
      <c r="BG152" s="122" t="n"/>
      <c r="BH152" s="122" t="n"/>
      <c r="BI152" s="122" t="n"/>
      <c r="BJ152" s="122" t="n"/>
      <c r="BK152" s="122" t="n"/>
      <c r="BL152" s="122" t="n"/>
      <c r="BM152" s="122" t="n"/>
      <c r="BN152" s="122" t="n"/>
      <c r="BO152" s="442" t="n"/>
      <c r="BP152" s="441">
        <f>(($E152)-SUM(AF51:BP51))</f>
        <v/>
      </c>
      <c r="BQ152" s="122" t="n"/>
      <c r="BR152" s="122" t="n"/>
      <c r="BS152" s="122" t="n"/>
      <c r="BT152" s="122" t="n"/>
      <c r="BU152" s="122" t="n"/>
      <c r="BV152" s="122" t="n"/>
      <c r="BW152" s="122" t="n"/>
      <c r="BX152" s="122" t="n"/>
      <c r="BY152" s="122" t="n"/>
      <c r="BZ152" s="122" t="n"/>
      <c r="CA152" s="122" t="n"/>
      <c r="CB152" s="397">
        <f>SUM(G51:BZ51)</f>
        <v/>
      </c>
      <c r="CC152" s="122" t="n"/>
      <c r="CD152" s="397">
        <f>SUM(BC152:BN152)</f>
        <v/>
      </c>
      <c r="CE152" s="391">
        <f>(CE51)</f>
        <v/>
      </c>
      <c r="CF152" s="386">
        <f>IF(CD152=CE152,"Y","N")</f>
        <v/>
      </c>
    </row>
    <row r="153">
      <c r="D153" s="149" t="inlineStr">
        <is>
          <t>Month 27</t>
        </is>
      </c>
      <c r="E153" s="447">
        <f>(E52)</f>
        <v/>
      </c>
      <c r="F153" s="116" t="n"/>
      <c r="G153" s="596" t="n"/>
      <c r="H153" s="596" t="n"/>
      <c r="I153" s="596" t="n"/>
      <c r="J153" s="596" t="n"/>
      <c r="K153" s="596" t="n"/>
      <c r="L153" s="596" t="n"/>
      <c r="M153" s="596" t="n"/>
      <c r="N153" s="596" t="n"/>
      <c r="O153" s="596" t="n"/>
      <c r="P153" s="596" t="n"/>
      <c r="Q153" s="596" t="n"/>
      <c r="R153" s="596" t="n"/>
      <c r="S153" s="601" t="n"/>
      <c r="T153" s="596" t="n"/>
      <c r="U153" s="596" t="n"/>
      <c r="V153" s="596" t="n"/>
      <c r="W153" s="596" t="n"/>
      <c r="X153" s="596" t="n"/>
      <c r="Y153" s="596" t="n"/>
      <c r="Z153" s="596" t="n"/>
      <c r="AA153" s="596" t="n"/>
      <c r="AB153" s="596" t="n"/>
      <c r="AC153" s="596" t="n"/>
      <c r="AD153" s="597" t="n"/>
      <c r="AE153" s="601" t="n"/>
      <c r="AF153" s="596" t="n"/>
      <c r="AG153" s="596" t="n"/>
      <c r="AH153" s="596" t="n"/>
      <c r="AI153" s="596" t="n"/>
      <c r="AJ153" s="596" t="n"/>
      <c r="AK153" s="596" t="n"/>
      <c r="AL153" s="596" t="n"/>
      <c r="AM153" s="596" t="n"/>
      <c r="AN153" s="596" t="n"/>
      <c r="AO153" s="596" t="n"/>
      <c r="AP153" s="597" t="n"/>
      <c r="AQ153" s="601" t="n"/>
      <c r="AR153" s="596" t="n"/>
      <c r="AS153" s="441">
        <f>(($E153)-SUM(AG52:AS52))</f>
        <v/>
      </c>
      <c r="AT153" s="441" t="n"/>
      <c r="AU153" s="441" t="n"/>
      <c r="AV153" s="391" t="n"/>
      <c r="AW153" s="391" t="n"/>
      <c r="AX153" s="391" t="n"/>
      <c r="AY153" s="391" t="n"/>
      <c r="AZ153" s="391" t="n"/>
      <c r="BA153" s="391" t="n"/>
      <c r="BB153" s="441" t="n"/>
      <c r="BC153" s="442" t="n"/>
      <c r="BD153" s="391" t="n"/>
      <c r="BE153" s="441">
        <f>(($E153)-SUM(AG52:BE52))</f>
        <v/>
      </c>
      <c r="BF153" s="122" t="n"/>
      <c r="BG153" s="122" t="n"/>
      <c r="BH153" s="122" t="n"/>
      <c r="BI153" s="122" t="n"/>
      <c r="BJ153" s="122" t="n"/>
      <c r="BK153" s="122" t="n"/>
      <c r="BL153" s="122" t="n"/>
      <c r="BM153" s="122" t="n"/>
      <c r="BN153" s="122" t="n"/>
      <c r="BO153" s="442" t="n"/>
      <c r="BP153" s="391" t="n"/>
      <c r="BQ153" s="441">
        <f>(($E153)-SUM(AG52:BQ52))</f>
        <v/>
      </c>
      <c r="BR153" s="122" t="n"/>
      <c r="BS153" s="122" t="n"/>
      <c r="BT153" s="122" t="n"/>
      <c r="BU153" s="122" t="n"/>
      <c r="BV153" s="122" t="n"/>
      <c r="BW153" s="122" t="n"/>
      <c r="BX153" s="122" t="n"/>
      <c r="BY153" s="122" t="n"/>
      <c r="BZ153" s="122" t="n"/>
      <c r="CA153" s="122" t="n"/>
      <c r="CB153" s="397">
        <f>SUM(G52:BZ52)</f>
        <v/>
      </c>
      <c r="CC153" s="122" t="n"/>
      <c r="CD153" s="397">
        <f>SUM(BC153:BN153)</f>
        <v/>
      </c>
      <c r="CE153" s="391">
        <f>(CE52)</f>
        <v/>
      </c>
      <c r="CF153" s="386">
        <f>IF(CD153=CE153,"Y","N")</f>
        <v/>
      </c>
    </row>
    <row r="154">
      <c r="D154" s="149" t="inlineStr">
        <is>
          <t>Month 28</t>
        </is>
      </c>
      <c r="E154" s="447">
        <f>(E53)</f>
        <v/>
      </c>
      <c r="F154" s="116" t="n"/>
      <c r="G154" s="596" t="n"/>
      <c r="H154" s="596" t="n"/>
      <c r="I154" s="596" t="n"/>
      <c r="J154" s="596" t="n"/>
      <c r="K154" s="596" t="n"/>
      <c r="L154" s="596" t="n"/>
      <c r="M154" s="596" t="n"/>
      <c r="N154" s="596" t="n"/>
      <c r="O154" s="596" t="n"/>
      <c r="P154" s="596" t="n"/>
      <c r="Q154" s="596" t="n"/>
      <c r="R154" s="596" t="n"/>
      <c r="S154" s="601" t="n"/>
      <c r="T154" s="596" t="n"/>
      <c r="U154" s="596" t="n"/>
      <c r="V154" s="596" t="n"/>
      <c r="W154" s="596" t="n"/>
      <c r="X154" s="596" t="n"/>
      <c r="Y154" s="596" t="n"/>
      <c r="Z154" s="596" t="n"/>
      <c r="AA154" s="596" t="n"/>
      <c r="AB154" s="596" t="n"/>
      <c r="AC154" s="596" t="n"/>
      <c r="AD154" s="597" t="n"/>
      <c r="AE154" s="601" t="n"/>
      <c r="AF154" s="596" t="n"/>
      <c r="AG154" s="596" t="n"/>
      <c r="AH154" s="596" t="n"/>
      <c r="AI154" s="596" t="n"/>
      <c r="AJ154" s="596" t="n"/>
      <c r="AK154" s="596" t="n"/>
      <c r="AL154" s="596" t="n"/>
      <c r="AM154" s="596" t="n"/>
      <c r="AN154" s="596" t="n"/>
      <c r="AO154" s="596" t="n"/>
      <c r="AP154" s="597" t="n"/>
      <c r="AQ154" s="601" t="n"/>
      <c r="AR154" s="596" t="n"/>
      <c r="AS154" s="596" t="n"/>
      <c r="AT154" s="441">
        <f>(($E154)-SUM(AH53:AT53))</f>
        <v/>
      </c>
      <c r="AU154" s="441" t="n"/>
      <c r="AV154" s="441" t="n"/>
      <c r="AW154" s="391" t="n"/>
      <c r="AX154" s="391" t="n"/>
      <c r="AY154" s="391" t="n"/>
      <c r="AZ154" s="391" t="n"/>
      <c r="BA154" s="391" t="n"/>
      <c r="BB154" s="441" t="n"/>
      <c r="BC154" s="442" t="n"/>
      <c r="BD154" s="391" t="n"/>
      <c r="BE154" s="391" t="n"/>
      <c r="BF154" s="441">
        <f>(($E154)-SUM(AH53:BF53))</f>
        <v/>
      </c>
      <c r="BG154" s="122" t="n"/>
      <c r="BH154" s="122" t="n"/>
      <c r="BI154" s="122" t="n"/>
      <c r="BJ154" s="122" t="n"/>
      <c r="BK154" s="122" t="n"/>
      <c r="BL154" s="122" t="n"/>
      <c r="BM154" s="122" t="n"/>
      <c r="BN154" s="122" t="n"/>
      <c r="BO154" s="442" t="n"/>
      <c r="BP154" s="391" t="n"/>
      <c r="BQ154" s="391" t="n"/>
      <c r="BR154" s="441">
        <f>(($E154)-SUM(AH53:BR53))</f>
        <v/>
      </c>
      <c r="BS154" s="122" t="n"/>
      <c r="BT154" s="122" t="n"/>
      <c r="BU154" s="122" t="n"/>
      <c r="BV154" s="122" t="n"/>
      <c r="BW154" s="122" t="n"/>
      <c r="BX154" s="122" t="n"/>
      <c r="BY154" s="122" t="n"/>
      <c r="BZ154" s="122" t="n"/>
      <c r="CA154" s="122" t="n"/>
      <c r="CB154" s="397">
        <f>SUM(G53:BZ53)</f>
        <v/>
      </c>
      <c r="CC154" s="122" t="n"/>
      <c r="CD154" s="397">
        <f>SUM(BC154:BN154)</f>
        <v/>
      </c>
      <c r="CE154" s="391">
        <f>(CE53)</f>
        <v/>
      </c>
      <c r="CF154" s="386">
        <f>IF(CD154=CE154,"Y","N")</f>
        <v/>
      </c>
    </row>
    <row r="155">
      <c r="D155" s="149" t="inlineStr">
        <is>
          <t>Month 29</t>
        </is>
      </c>
      <c r="E155" s="447">
        <f>(E54)</f>
        <v/>
      </c>
      <c r="F155" s="116" t="n"/>
      <c r="G155" s="596" t="n"/>
      <c r="H155" s="596" t="n"/>
      <c r="I155" s="596" t="n"/>
      <c r="J155" s="596" t="n"/>
      <c r="K155" s="596" t="n"/>
      <c r="L155" s="596" t="n"/>
      <c r="M155" s="596" t="n"/>
      <c r="N155" s="596" t="n"/>
      <c r="O155" s="596" t="n"/>
      <c r="P155" s="596" t="n"/>
      <c r="Q155" s="596" t="n"/>
      <c r="R155" s="596" t="n"/>
      <c r="S155" s="601" t="n"/>
      <c r="T155" s="596" t="n"/>
      <c r="U155" s="596" t="n"/>
      <c r="V155" s="596" t="n"/>
      <c r="W155" s="596" t="n"/>
      <c r="X155" s="596" t="n"/>
      <c r="Y155" s="596" t="n"/>
      <c r="Z155" s="596" t="n"/>
      <c r="AA155" s="596" t="n"/>
      <c r="AB155" s="596" t="n"/>
      <c r="AC155" s="596" t="n"/>
      <c r="AD155" s="597" t="n"/>
      <c r="AE155" s="601" t="n"/>
      <c r="AF155" s="596" t="n"/>
      <c r="AG155" s="596" t="n"/>
      <c r="AH155" s="596" t="n"/>
      <c r="AI155" s="596" t="n"/>
      <c r="AJ155" s="596" t="n"/>
      <c r="AK155" s="596" t="n"/>
      <c r="AL155" s="596" t="n"/>
      <c r="AM155" s="596" t="n"/>
      <c r="AN155" s="596" t="n"/>
      <c r="AO155" s="596" t="n"/>
      <c r="AP155" s="597" t="n"/>
      <c r="AQ155" s="601" t="n"/>
      <c r="AR155" s="596" t="n"/>
      <c r="AS155" s="596" t="n"/>
      <c r="AT155" s="596" t="n"/>
      <c r="AU155" s="441">
        <f>(($E155)-SUM(AI54:AU54))</f>
        <v/>
      </c>
      <c r="AV155" s="441" t="n"/>
      <c r="AW155" s="441" t="n"/>
      <c r="AX155" s="391" t="n"/>
      <c r="AY155" s="391" t="n"/>
      <c r="AZ155" s="391" t="n"/>
      <c r="BA155" s="391" t="n"/>
      <c r="BB155" s="441" t="n"/>
      <c r="BC155" s="442" t="n"/>
      <c r="BD155" s="391" t="n"/>
      <c r="BE155" s="391" t="n"/>
      <c r="BF155" s="391" t="n"/>
      <c r="BG155" s="441">
        <f>(($E155)-SUM(AI54:BG54))</f>
        <v/>
      </c>
      <c r="BH155" s="122" t="n"/>
      <c r="BI155" s="122" t="n"/>
      <c r="BJ155" s="122" t="n"/>
      <c r="BK155" s="122" t="n"/>
      <c r="BL155" s="122" t="n"/>
      <c r="BM155" s="122" t="n"/>
      <c r="BN155" s="122" t="n"/>
      <c r="BO155" s="442" t="n"/>
      <c r="BP155" s="391" t="n"/>
      <c r="BQ155" s="391" t="n"/>
      <c r="BR155" s="391" t="n"/>
      <c r="BS155" s="441">
        <f>(($E155)-SUM(AI54:BS54))</f>
        <v/>
      </c>
      <c r="BT155" s="122" t="n"/>
      <c r="BU155" s="122" t="n"/>
      <c r="BV155" s="122" t="n"/>
      <c r="BW155" s="122" t="n"/>
      <c r="BX155" s="122" t="n"/>
      <c r="BY155" s="122" t="n"/>
      <c r="BZ155" s="122" t="n"/>
      <c r="CA155" s="122" t="n"/>
      <c r="CB155" s="397">
        <f>SUM(G54:BZ54)</f>
        <v/>
      </c>
      <c r="CC155" s="122" t="n"/>
      <c r="CD155" s="397">
        <f>SUM(BC155:BN155)</f>
        <v/>
      </c>
      <c r="CE155" s="391">
        <f>(CE54)</f>
        <v/>
      </c>
      <c r="CF155" s="386">
        <f>IF(CD155=CE155,"Y","N")</f>
        <v/>
      </c>
    </row>
    <row r="156">
      <c r="D156" s="149" t="inlineStr">
        <is>
          <t>Month 30</t>
        </is>
      </c>
      <c r="E156" s="447">
        <f>(E55)</f>
        <v/>
      </c>
      <c r="F156" s="116" t="n"/>
      <c r="G156" s="596" t="n"/>
      <c r="H156" s="596" t="n"/>
      <c r="I156" s="596" t="n"/>
      <c r="J156" s="596" t="n"/>
      <c r="K156" s="596" t="n"/>
      <c r="L156" s="596" t="n"/>
      <c r="M156" s="596" t="n"/>
      <c r="N156" s="596" t="n"/>
      <c r="O156" s="596" t="n"/>
      <c r="P156" s="596" t="n"/>
      <c r="Q156" s="596" t="n"/>
      <c r="R156" s="596" t="n"/>
      <c r="S156" s="601" t="n"/>
      <c r="T156" s="596" t="n"/>
      <c r="U156" s="596" t="n"/>
      <c r="V156" s="596" t="n"/>
      <c r="W156" s="596" t="n"/>
      <c r="X156" s="596" t="n"/>
      <c r="Y156" s="596" t="n"/>
      <c r="Z156" s="596" t="n"/>
      <c r="AA156" s="596" t="n"/>
      <c r="AB156" s="596" t="n"/>
      <c r="AC156" s="596" t="n"/>
      <c r="AD156" s="597" t="n"/>
      <c r="AE156" s="601" t="n"/>
      <c r="AF156" s="596" t="n"/>
      <c r="AG156" s="596" t="n"/>
      <c r="AH156" s="596" t="n"/>
      <c r="AI156" s="596" t="n"/>
      <c r="AJ156" s="596" t="n"/>
      <c r="AK156" s="596" t="n"/>
      <c r="AL156" s="596" t="n"/>
      <c r="AM156" s="596" t="n"/>
      <c r="AN156" s="596" t="n"/>
      <c r="AO156" s="596" t="n"/>
      <c r="AP156" s="597" t="n"/>
      <c r="AQ156" s="601" t="n"/>
      <c r="AR156" s="596" t="n"/>
      <c r="AS156" s="596" t="n"/>
      <c r="AT156" s="596" t="n"/>
      <c r="AU156" s="596" t="n"/>
      <c r="AV156" s="441">
        <f>(($E156)-SUM(AJ55:AV55))</f>
        <v/>
      </c>
      <c r="AW156" s="441" t="n"/>
      <c r="AX156" s="441" t="n"/>
      <c r="AY156" s="391" t="n"/>
      <c r="AZ156" s="391" t="n"/>
      <c r="BA156" s="391" t="n"/>
      <c r="BB156" s="441" t="n"/>
      <c r="BC156" s="442" t="n"/>
      <c r="BD156" s="391" t="n"/>
      <c r="BE156" s="391" t="n"/>
      <c r="BF156" s="391" t="n"/>
      <c r="BG156" s="391" t="n"/>
      <c r="BH156" s="441">
        <f>(($E156)-SUM(AJ55:BH55))</f>
        <v/>
      </c>
      <c r="BI156" s="122" t="n"/>
      <c r="BJ156" s="122" t="n"/>
      <c r="BK156" s="122" t="n"/>
      <c r="BL156" s="122" t="n"/>
      <c r="BM156" s="122" t="n"/>
      <c r="BN156" s="122" t="n"/>
      <c r="BO156" s="442" t="n"/>
      <c r="BP156" s="391" t="n"/>
      <c r="BQ156" s="391" t="n"/>
      <c r="BR156" s="391" t="n"/>
      <c r="BS156" s="391" t="n"/>
      <c r="BT156" s="441">
        <f>(($E156)-SUM(AJ55:BT55))</f>
        <v/>
      </c>
      <c r="BU156" s="122" t="n"/>
      <c r="BV156" s="122" t="n"/>
      <c r="BW156" s="122" t="n"/>
      <c r="BX156" s="122" t="n"/>
      <c r="BY156" s="122" t="n"/>
      <c r="BZ156" s="122" t="n"/>
      <c r="CA156" s="122" t="n"/>
      <c r="CB156" s="397">
        <f>SUM(G55:BZ55)</f>
        <v/>
      </c>
      <c r="CC156" s="122" t="n"/>
      <c r="CD156" s="397">
        <f>SUM(BC156:BN156)</f>
        <v/>
      </c>
      <c r="CE156" s="391">
        <f>(CE55)</f>
        <v/>
      </c>
      <c r="CF156" s="386">
        <f>IF(CD156=CE156,"Y","N")</f>
        <v/>
      </c>
    </row>
    <row r="157">
      <c r="D157" s="149" t="inlineStr">
        <is>
          <t>Month 31</t>
        </is>
      </c>
      <c r="E157" s="447">
        <f>(E56)</f>
        <v/>
      </c>
      <c r="F157" s="116" t="n"/>
      <c r="G157" s="596" t="n"/>
      <c r="H157" s="596" t="n"/>
      <c r="I157" s="596" t="n"/>
      <c r="J157" s="596" t="n"/>
      <c r="K157" s="596" t="n"/>
      <c r="L157" s="596" t="n"/>
      <c r="M157" s="596" t="n"/>
      <c r="N157" s="596" t="n"/>
      <c r="O157" s="596" t="n"/>
      <c r="P157" s="596" t="n"/>
      <c r="Q157" s="596" t="n"/>
      <c r="R157" s="596" t="n"/>
      <c r="S157" s="601" t="n"/>
      <c r="T157" s="596" t="n"/>
      <c r="U157" s="596" t="n"/>
      <c r="V157" s="596" t="n"/>
      <c r="W157" s="596" t="n"/>
      <c r="X157" s="596" t="n"/>
      <c r="Y157" s="596" t="n"/>
      <c r="Z157" s="596" t="n"/>
      <c r="AA157" s="596" t="n"/>
      <c r="AB157" s="596" t="n"/>
      <c r="AC157" s="596" t="n"/>
      <c r="AD157" s="597" t="n"/>
      <c r="AE157" s="601" t="n"/>
      <c r="AF157" s="596" t="n"/>
      <c r="AG157" s="596" t="n"/>
      <c r="AH157" s="596" t="n"/>
      <c r="AI157" s="596" t="n"/>
      <c r="AJ157" s="596" t="n"/>
      <c r="AK157" s="596" t="n"/>
      <c r="AL157" s="596" t="n"/>
      <c r="AM157" s="596" t="n"/>
      <c r="AN157" s="596" t="n"/>
      <c r="AO157" s="596" t="n"/>
      <c r="AP157" s="597" t="n"/>
      <c r="AQ157" s="601" t="n"/>
      <c r="AR157" s="596" t="n"/>
      <c r="AS157" s="596" t="n"/>
      <c r="AT157" s="596" t="n"/>
      <c r="AU157" s="596" t="n"/>
      <c r="AV157" s="596" t="n"/>
      <c r="AW157" s="441">
        <f>(($E157)-SUM(AK56:AW56))</f>
        <v/>
      </c>
      <c r="AX157" s="441" t="n"/>
      <c r="AY157" s="441" t="n"/>
      <c r="AZ157" s="391" t="n"/>
      <c r="BA157" s="391" t="n"/>
      <c r="BB157" s="441" t="n"/>
      <c r="BC157" s="442" t="n"/>
      <c r="BD157" s="391" t="n"/>
      <c r="BE157" s="391" t="n"/>
      <c r="BF157" s="391" t="n"/>
      <c r="BG157" s="391" t="n"/>
      <c r="BH157" s="391" t="n"/>
      <c r="BI157" s="441">
        <f>(($E157)-SUM(AK56:BI56))</f>
        <v/>
      </c>
      <c r="BJ157" s="122" t="n"/>
      <c r="BK157" s="122" t="n"/>
      <c r="BL157" s="122" t="n"/>
      <c r="BM157" s="122" t="n"/>
      <c r="BN157" s="122" t="n"/>
      <c r="BO157" s="442" t="n"/>
      <c r="BP157" s="391" t="n"/>
      <c r="BQ157" s="391" t="n"/>
      <c r="BR157" s="391" t="n"/>
      <c r="BS157" s="391" t="n"/>
      <c r="BT157" s="391" t="n"/>
      <c r="BU157" s="441">
        <f>(($E157)-SUM(AK56:BU56))</f>
        <v/>
      </c>
      <c r="BV157" s="122" t="n"/>
      <c r="BW157" s="122" t="n"/>
      <c r="BX157" s="122" t="n"/>
      <c r="BY157" s="122" t="n"/>
      <c r="BZ157" s="122" t="n"/>
      <c r="CA157" s="122" t="n"/>
      <c r="CB157" s="397">
        <f>SUM(G56:BZ56)</f>
        <v/>
      </c>
      <c r="CC157" s="122" t="n"/>
      <c r="CD157" s="397">
        <f>SUM(BC157:BN157)</f>
        <v/>
      </c>
      <c r="CE157" s="391">
        <f>(CE56)</f>
        <v/>
      </c>
      <c r="CF157" s="386">
        <f>IF(CD157=CE157,"Y","N")</f>
        <v/>
      </c>
    </row>
    <row r="158">
      <c r="D158" s="149" t="inlineStr">
        <is>
          <t>Month 32</t>
        </is>
      </c>
      <c r="E158" s="447">
        <f>(E57)</f>
        <v/>
      </c>
      <c r="F158" s="116" t="n"/>
      <c r="G158" s="596" t="n"/>
      <c r="H158" s="596" t="n"/>
      <c r="I158" s="596" t="n"/>
      <c r="J158" s="596" t="n"/>
      <c r="K158" s="596" t="n"/>
      <c r="L158" s="596" t="n"/>
      <c r="M158" s="596" t="n"/>
      <c r="N158" s="596" t="n"/>
      <c r="O158" s="596" t="n"/>
      <c r="P158" s="596" t="n"/>
      <c r="Q158" s="596" t="n"/>
      <c r="R158" s="596" t="n"/>
      <c r="S158" s="601" t="n"/>
      <c r="T158" s="596" t="n"/>
      <c r="U158" s="596" t="n"/>
      <c r="V158" s="596" t="n"/>
      <c r="W158" s="596" t="n"/>
      <c r="X158" s="596" t="n"/>
      <c r="Y158" s="596" t="n"/>
      <c r="Z158" s="596" t="n"/>
      <c r="AA158" s="596" t="n"/>
      <c r="AB158" s="596" t="n"/>
      <c r="AC158" s="596" t="n"/>
      <c r="AD158" s="597" t="n"/>
      <c r="AE158" s="601" t="n"/>
      <c r="AF158" s="596" t="n"/>
      <c r="AG158" s="596" t="n"/>
      <c r="AH158" s="596" t="n"/>
      <c r="AI158" s="596" t="n"/>
      <c r="AJ158" s="596" t="n"/>
      <c r="AK158" s="596" t="n"/>
      <c r="AL158" s="596" t="n"/>
      <c r="AM158" s="596" t="n"/>
      <c r="AN158" s="596" t="n"/>
      <c r="AO158" s="596" t="n"/>
      <c r="AP158" s="597" t="n"/>
      <c r="AQ158" s="601" t="n"/>
      <c r="AR158" s="596" t="n"/>
      <c r="AS158" s="596" t="n"/>
      <c r="AT158" s="596" t="n"/>
      <c r="AU158" s="596" t="n"/>
      <c r="AV158" s="596" t="n"/>
      <c r="AW158" s="596" t="n"/>
      <c r="AX158" s="441">
        <f>(($E158)-SUM(AL57:AX57))</f>
        <v/>
      </c>
      <c r="AY158" s="441" t="n"/>
      <c r="AZ158" s="441" t="n"/>
      <c r="BA158" s="391" t="n"/>
      <c r="BB158" s="441" t="n"/>
      <c r="BC158" s="442" t="n"/>
      <c r="BD158" s="391" t="n"/>
      <c r="BE158" s="391" t="n"/>
      <c r="BF158" s="391" t="n"/>
      <c r="BG158" s="391" t="n"/>
      <c r="BH158" s="391" t="n"/>
      <c r="BI158" s="391" t="n"/>
      <c r="BJ158" s="441">
        <f>(($E158)-SUM(AL57:BJ57))</f>
        <v/>
      </c>
      <c r="BK158" s="122" t="n"/>
      <c r="BL158" s="122" t="n"/>
      <c r="BM158" s="122" t="n"/>
      <c r="BN158" s="122" t="n"/>
      <c r="BO158" s="442" t="n"/>
      <c r="BP158" s="391" t="n"/>
      <c r="BQ158" s="391" t="n"/>
      <c r="BR158" s="391" t="n"/>
      <c r="BS158" s="391" t="n"/>
      <c r="BT158" s="391" t="n"/>
      <c r="BU158" s="391" t="n"/>
      <c r="BV158" s="441">
        <f>(($E158)-SUM(AL57:BV57))</f>
        <v/>
      </c>
      <c r="BW158" s="122" t="n"/>
      <c r="BX158" s="122" t="n"/>
      <c r="BY158" s="122" t="n"/>
      <c r="BZ158" s="122" t="n"/>
      <c r="CA158" s="122" t="n"/>
      <c r="CB158" s="397">
        <f>SUM(G57:BZ57)</f>
        <v/>
      </c>
      <c r="CC158" s="122" t="n"/>
      <c r="CD158" s="397">
        <f>SUM(BC158:BN158)</f>
        <v/>
      </c>
      <c r="CE158" s="391">
        <f>(CE57)</f>
        <v/>
      </c>
      <c r="CF158" s="386">
        <f>IF(CD158=CE158,"Y","N")</f>
        <v/>
      </c>
    </row>
    <row r="159">
      <c r="D159" s="149" t="inlineStr">
        <is>
          <t>Month 33</t>
        </is>
      </c>
      <c r="E159" s="447">
        <f>(E58)</f>
        <v/>
      </c>
      <c r="F159" s="116" t="n"/>
      <c r="G159" s="596" t="n"/>
      <c r="H159" s="596" t="n"/>
      <c r="I159" s="596" t="n"/>
      <c r="J159" s="596" t="n"/>
      <c r="K159" s="596" t="n"/>
      <c r="L159" s="596" t="n"/>
      <c r="M159" s="596" t="n"/>
      <c r="N159" s="596" t="n"/>
      <c r="O159" s="596" t="n"/>
      <c r="P159" s="596" t="n"/>
      <c r="Q159" s="596" t="n"/>
      <c r="R159" s="596" t="n"/>
      <c r="S159" s="601" t="n"/>
      <c r="T159" s="596" t="n"/>
      <c r="U159" s="596" t="n"/>
      <c r="V159" s="596" t="n"/>
      <c r="W159" s="596" t="n"/>
      <c r="X159" s="596" t="n"/>
      <c r="Y159" s="596" t="n"/>
      <c r="Z159" s="596" t="n"/>
      <c r="AA159" s="596" t="n"/>
      <c r="AB159" s="596" t="n"/>
      <c r="AC159" s="596" t="n"/>
      <c r="AD159" s="597" t="n"/>
      <c r="AE159" s="601" t="n"/>
      <c r="AF159" s="596" t="n"/>
      <c r="AG159" s="596" t="n"/>
      <c r="AH159" s="596" t="n"/>
      <c r="AI159" s="596" t="n"/>
      <c r="AJ159" s="596" t="n"/>
      <c r="AK159" s="596" t="n"/>
      <c r="AL159" s="596" t="n"/>
      <c r="AM159" s="596" t="n"/>
      <c r="AN159" s="596" t="n"/>
      <c r="AO159" s="596" t="n"/>
      <c r="AP159" s="597" t="n"/>
      <c r="AQ159" s="601" t="n"/>
      <c r="AR159" s="596" t="n"/>
      <c r="AS159" s="596" t="n"/>
      <c r="AT159" s="596" t="n"/>
      <c r="AU159" s="596" t="n"/>
      <c r="AV159" s="596" t="n"/>
      <c r="AW159" s="596" t="n"/>
      <c r="AX159" s="596" t="n"/>
      <c r="AY159" s="441">
        <f>(($E159)-SUM(AM58:AY58))</f>
        <v/>
      </c>
      <c r="AZ159" s="441" t="n"/>
      <c r="BA159" s="441" t="n"/>
      <c r="BB159" s="441" t="n"/>
      <c r="BC159" s="442" t="n"/>
      <c r="BD159" s="391" t="n"/>
      <c r="BE159" s="391" t="n"/>
      <c r="BF159" s="391" t="n"/>
      <c r="BG159" s="391" t="n"/>
      <c r="BH159" s="391" t="n"/>
      <c r="BI159" s="391" t="n"/>
      <c r="BJ159" s="391" t="n"/>
      <c r="BK159" s="441">
        <f>(($E159)-SUM(AM58:BK58))</f>
        <v/>
      </c>
      <c r="BL159" s="122" t="n"/>
      <c r="BM159" s="122" t="n"/>
      <c r="BN159" s="122" t="n"/>
      <c r="BO159" s="442" t="n"/>
      <c r="BP159" s="391" t="n"/>
      <c r="BQ159" s="391" t="n"/>
      <c r="BR159" s="391" t="n"/>
      <c r="BS159" s="391" t="n"/>
      <c r="BT159" s="391" t="n"/>
      <c r="BU159" s="391" t="n"/>
      <c r="BV159" s="391" t="n"/>
      <c r="BW159" s="441">
        <f>(($E159)-SUM(AM58:BW58))</f>
        <v/>
      </c>
      <c r="BX159" s="122" t="n"/>
      <c r="BY159" s="122" t="n"/>
      <c r="BZ159" s="122" t="n"/>
      <c r="CA159" s="122" t="n"/>
      <c r="CB159" s="397">
        <f>SUM(G58:BZ58)</f>
        <v/>
      </c>
      <c r="CC159" s="122" t="n"/>
      <c r="CD159" s="397">
        <f>SUM(BC159:BN159)</f>
        <v/>
      </c>
      <c r="CE159" s="391">
        <f>(CE58)</f>
        <v/>
      </c>
      <c r="CF159" s="386">
        <f>IF(CD159=CE159,"Y","N")</f>
        <v/>
      </c>
    </row>
    <row r="160">
      <c r="D160" s="149" t="inlineStr">
        <is>
          <t>Month 34</t>
        </is>
      </c>
      <c r="E160" s="447">
        <f>(E59)</f>
        <v/>
      </c>
      <c r="F160" s="116" t="n"/>
      <c r="G160" s="596" t="n"/>
      <c r="H160" s="596" t="n"/>
      <c r="I160" s="596" t="n"/>
      <c r="J160" s="596" t="n"/>
      <c r="K160" s="596" t="n"/>
      <c r="L160" s="596" t="n"/>
      <c r="M160" s="596" t="n"/>
      <c r="N160" s="596" t="n"/>
      <c r="O160" s="596" t="n"/>
      <c r="P160" s="596" t="n"/>
      <c r="Q160" s="596" t="n"/>
      <c r="R160" s="596" t="n"/>
      <c r="S160" s="601" t="n"/>
      <c r="T160" s="596" t="n"/>
      <c r="U160" s="596" t="n"/>
      <c r="V160" s="596" t="n"/>
      <c r="W160" s="596" t="n"/>
      <c r="X160" s="596" t="n"/>
      <c r="Y160" s="596" t="n"/>
      <c r="Z160" s="596" t="n"/>
      <c r="AA160" s="596" t="n"/>
      <c r="AB160" s="596" t="n"/>
      <c r="AC160" s="596" t="n"/>
      <c r="AD160" s="597" t="n"/>
      <c r="AE160" s="601" t="n"/>
      <c r="AF160" s="596" t="n"/>
      <c r="AG160" s="596" t="n"/>
      <c r="AH160" s="596" t="n"/>
      <c r="AI160" s="596" t="n"/>
      <c r="AJ160" s="596" t="n"/>
      <c r="AK160" s="596" t="n"/>
      <c r="AL160" s="596" t="n"/>
      <c r="AM160" s="596" t="n"/>
      <c r="AN160" s="596" t="n"/>
      <c r="AO160" s="596" t="n"/>
      <c r="AP160" s="597" t="n"/>
      <c r="AQ160" s="601" t="n"/>
      <c r="AR160" s="596" t="n"/>
      <c r="AS160" s="596" t="n"/>
      <c r="AT160" s="596" t="n"/>
      <c r="AU160" s="596" t="n"/>
      <c r="AV160" s="596" t="n"/>
      <c r="AW160" s="596" t="n"/>
      <c r="AX160" s="596" t="n"/>
      <c r="AY160" s="596" t="n"/>
      <c r="AZ160" s="441">
        <f>(($E160)-SUM(AN59:AZ59))</f>
        <v/>
      </c>
      <c r="BA160" s="441" t="n"/>
      <c r="BB160" s="441" t="n"/>
      <c r="BC160" s="442" t="n"/>
      <c r="BD160" s="391" t="n"/>
      <c r="BE160" s="391" t="n"/>
      <c r="BF160" s="391" t="n"/>
      <c r="BG160" s="391" t="n"/>
      <c r="BH160" s="391" t="n"/>
      <c r="BI160" s="391" t="n"/>
      <c r="BJ160" s="391" t="n"/>
      <c r="BK160" s="391" t="n"/>
      <c r="BL160" s="441">
        <f>(($E160)-SUM(AN59:BL59))</f>
        <v/>
      </c>
      <c r="BM160" s="122" t="n"/>
      <c r="BN160" s="122" t="n"/>
      <c r="BO160" s="442" t="n"/>
      <c r="BP160" s="391" t="n"/>
      <c r="BQ160" s="391" t="n"/>
      <c r="BR160" s="391" t="n"/>
      <c r="BS160" s="391" t="n"/>
      <c r="BT160" s="391" t="n"/>
      <c r="BU160" s="391" t="n"/>
      <c r="BV160" s="391" t="n"/>
      <c r="BW160" s="391" t="n"/>
      <c r="BX160" s="441">
        <f>(($E160)-SUM(AN59:BX59))</f>
        <v/>
      </c>
      <c r="BY160" s="122" t="n"/>
      <c r="BZ160" s="122" t="n"/>
      <c r="CA160" s="122" t="n"/>
      <c r="CB160" s="397">
        <f>SUM(G59:BZ59)</f>
        <v/>
      </c>
      <c r="CC160" s="122" t="n"/>
      <c r="CD160" s="397">
        <f>SUM(BC160:BN160)</f>
        <v/>
      </c>
      <c r="CE160" s="391">
        <f>(CE59)</f>
        <v/>
      </c>
      <c r="CF160" s="386">
        <f>IF(CD160=CE160,"Y","N")</f>
        <v/>
      </c>
    </row>
    <row r="161">
      <c r="D161" s="149" t="inlineStr">
        <is>
          <t>Month 35</t>
        </is>
      </c>
      <c r="E161" s="447">
        <f>(E60)</f>
        <v/>
      </c>
      <c r="F161" s="116" t="n"/>
      <c r="G161" s="596" t="n"/>
      <c r="H161" s="596" t="n"/>
      <c r="I161" s="596" t="n"/>
      <c r="J161" s="596" t="n"/>
      <c r="K161" s="596" t="n"/>
      <c r="L161" s="596" t="n"/>
      <c r="M161" s="596" t="n"/>
      <c r="N161" s="596" t="n"/>
      <c r="O161" s="596" t="n"/>
      <c r="P161" s="596" t="n"/>
      <c r="Q161" s="596" t="n"/>
      <c r="R161" s="596" t="n"/>
      <c r="S161" s="601" t="n"/>
      <c r="T161" s="596" t="n"/>
      <c r="U161" s="596" t="n"/>
      <c r="V161" s="596" t="n"/>
      <c r="W161" s="596" t="n"/>
      <c r="X161" s="596" t="n"/>
      <c r="Y161" s="596" t="n"/>
      <c r="Z161" s="596" t="n"/>
      <c r="AA161" s="596" t="n"/>
      <c r="AB161" s="596" t="n"/>
      <c r="AC161" s="596" t="n"/>
      <c r="AD161" s="597" t="n"/>
      <c r="AE161" s="601" t="n"/>
      <c r="AF161" s="596" t="n"/>
      <c r="AG161" s="596" t="n"/>
      <c r="AH161" s="596" t="n"/>
      <c r="AI161" s="596" t="n"/>
      <c r="AJ161" s="596" t="n"/>
      <c r="AK161" s="596" t="n"/>
      <c r="AL161" s="596" t="n"/>
      <c r="AM161" s="596" t="n"/>
      <c r="AN161" s="596" t="n"/>
      <c r="AO161" s="596" t="n"/>
      <c r="AP161" s="597" t="n"/>
      <c r="AQ161" s="601" t="n"/>
      <c r="AR161" s="596" t="n"/>
      <c r="AS161" s="596" t="n"/>
      <c r="AT161" s="596" t="n"/>
      <c r="AU161" s="596" t="n"/>
      <c r="AV161" s="596" t="n"/>
      <c r="AW161" s="596" t="n"/>
      <c r="AX161" s="596" t="n"/>
      <c r="AY161" s="596" t="n"/>
      <c r="AZ161" s="596" t="n"/>
      <c r="BA161" s="441">
        <f>(($E161)-SUM(AO60:BA60))</f>
        <v/>
      </c>
      <c r="BB161" s="441" t="n"/>
      <c r="BC161" s="442" t="n"/>
      <c r="BD161" s="391" t="n"/>
      <c r="BE161" s="391" t="n"/>
      <c r="BF161" s="391" t="n"/>
      <c r="BG161" s="391" t="n"/>
      <c r="BH161" s="391" t="n"/>
      <c r="BI161" s="391" t="n"/>
      <c r="BJ161" s="391" t="n"/>
      <c r="BK161" s="391" t="n"/>
      <c r="BL161" s="391" t="n"/>
      <c r="BM161" s="441">
        <f>(($E161)-SUM(AO60:BM60))</f>
        <v/>
      </c>
      <c r="BN161" s="122" t="n"/>
      <c r="BO161" s="442" t="n"/>
      <c r="BP161" s="391" t="n"/>
      <c r="BQ161" s="391" t="n"/>
      <c r="BR161" s="391" t="n"/>
      <c r="BS161" s="391" t="n"/>
      <c r="BT161" s="391" t="n"/>
      <c r="BU161" s="391" t="n"/>
      <c r="BV161" s="391" t="n"/>
      <c r="BW161" s="391" t="n"/>
      <c r="BX161" s="391" t="n"/>
      <c r="BY161" s="441">
        <f>(($E161)-SUM(AO60:BY60))</f>
        <v/>
      </c>
      <c r="BZ161" s="122" t="n"/>
      <c r="CA161" s="122" t="n"/>
      <c r="CB161" s="397">
        <f>SUM(G60:BZ60)</f>
        <v/>
      </c>
      <c r="CC161" s="122" t="n"/>
      <c r="CD161" s="397">
        <f>SUM(BC161:BN161)</f>
        <v/>
      </c>
      <c r="CE161" s="391">
        <f>(CE60)</f>
        <v/>
      </c>
      <c r="CF161" s="386">
        <f>IF(CD161=CE161,"Y","N")</f>
        <v/>
      </c>
    </row>
    <row r="162">
      <c r="D162" s="149" t="inlineStr">
        <is>
          <t>Month 36</t>
        </is>
      </c>
      <c r="E162" s="447">
        <f>(E61)</f>
        <v/>
      </c>
      <c r="F162" s="116" t="n"/>
      <c r="G162" s="596" t="n"/>
      <c r="H162" s="596" t="n"/>
      <c r="I162" s="596" t="n"/>
      <c r="J162" s="596" t="n"/>
      <c r="K162" s="596" t="n"/>
      <c r="L162" s="596" t="n"/>
      <c r="M162" s="596" t="n"/>
      <c r="N162" s="596" t="n"/>
      <c r="O162" s="596" t="n"/>
      <c r="P162" s="596" t="n"/>
      <c r="Q162" s="596" t="n"/>
      <c r="R162" s="596" t="n"/>
      <c r="S162" s="601" t="n"/>
      <c r="T162" s="596" t="n"/>
      <c r="U162" s="596" t="n"/>
      <c r="V162" s="596" t="n"/>
      <c r="W162" s="596" t="n"/>
      <c r="X162" s="596" t="n"/>
      <c r="Y162" s="596" t="n"/>
      <c r="Z162" s="596" t="n"/>
      <c r="AA162" s="596" t="n"/>
      <c r="AB162" s="596" t="n"/>
      <c r="AC162" s="596" t="n"/>
      <c r="AD162" s="597" t="n"/>
      <c r="AE162" s="601" t="n"/>
      <c r="AF162" s="596" t="n"/>
      <c r="AG162" s="596" t="n"/>
      <c r="AH162" s="596" t="n"/>
      <c r="AI162" s="596" t="n"/>
      <c r="AJ162" s="596" t="n"/>
      <c r="AK162" s="596" t="n"/>
      <c r="AL162" s="596" t="n"/>
      <c r="AM162" s="596" t="n"/>
      <c r="AN162" s="596" t="n"/>
      <c r="AO162" s="596" t="n"/>
      <c r="AP162" s="597" t="n"/>
      <c r="AQ162" s="601" t="n"/>
      <c r="AR162" s="596" t="n"/>
      <c r="AS162" s="596" t="n"/>
      <c r="AT162" s="596" t="n"/>
      <c r="AU162" s="596" t="n"/>
      <c r="AV162" s="596" t="n"/>
      <c r="AW162" s="596" t="n"/>
      <c r="AX162" s="596" t="n"/>
      <c r="AY162" s="596" t="n"/>
      <c r="AZ162" s="596" t="n"/>
      <c r="BA162" s="596" t="n"/>
      <c r="BB162" s="441">
        <f>(($E162)-SUM(AP61:BB61))</f>
        <v/>
      </c>
      <c r="BC162" s="442" t="n"/>
      <c r="BD162" s="441" t="n"/>
      <c r="BE162" s="391" t="n"/>
      <c r="BF162" s="391" t="n"/>
      <c r="BG162" s="391" t="n"/>
      <c r="BH162" s="391" t="n"/>
      <c r="BI162" s="391" t="n"/>
      <c r="BJ162" s="391" t="n"/>
      <c r="BK162" s="391" t="n"/>
      <c r="BL162" s="391" t="n"/>
      <c r="BM162" s="391" t="n"/>
      <c r="BN162" s="441">
        <f>(($E162)-SUM(AP61:BN61))</f>
        <v/>
      </c>
      <c r="BO162" s="442" t="n"/>
      <c r="BP162" s="441" t="n"/>
      <c r="BQ162" s="391" t="n"/>
      <c r="BR162" s="391" t="n"/>
      <c r="BS162" s="391" t="n"/>
      <c r="BT162" s="391" t="n"/>
      <c r="BU162" s="391" t="n"/>
      <c r="BV162" s="391" t="n"/>
      <c r="BW162" s="391" t="n"/>
      <c r="BX162" s="391" t="n"/>
      <c r="BY162" s="391" t="n"/>
      <c r="BZ162" s="441">
        <f>(($E162)-SUM(AP61:BZ61))</f>
        <v/>
      </c>
      <c r="CA162" s="122" t="n"/>
      <c r="CB162" s="397">
        <f>SUM(G61:BZ61)</f>
        <v/>
      </c>
      <c r="CC162" s="122" t="n"/>
      <c r="CD162" s="397">
        <f>SUM(BC162:BN162)</f>
        <v/>
      </c>
      <c r="CE162" s="391">
        <f>(CE61)</f>
        <v/>
      </c>
      <c r="CF162" s="386">
        <f>IF(CD162=CE162,"Y","N")</f>
        <v/>
      </c>
    </row>
    <row r="163">
      <c r="D163" s="149" t="inlineStr">
        <is>
          <t>Month 37</t>
        </is>
      </c>
      <c r="E163" s="447">
        <f>(E62)</f>
        <v/>
      </c>
      <c r="F163" s="116" t="n"/>
      <c r="G163" s="596" t="n"/>
      <c r="H163" s="596" t="n"/>
      <c r="I163" s="596" t="n"/>
      <c r="J163" s="596" t="n"/>
      <c r="K163" s="596" t="n"/>
      <c r="L163" s="596" t="n"/>
      <c r="M163" s="596" t="n"/>
      <c r="N163" s="596" t="n"/>
      <c r="O163" s="596" t="n"/>
      <c r="P163" s="596" t="n"/>
      <c r="Q163" s="596" t="n"/>
      <c r="R163" s="596" t="n"/>
      <c r="S163" s="601" t="n"/>
      <c r="T163" s="596" t="n"/>
      <c r="U163" s="596" t="n"/>
      <c r="V163" s="596" t="n"/>
      <c r="W163" s="596" t="n"/>
      <c r="X163" s="596" t="n"/>
      <c r="Y163" s="596" t="n"/>
      <c r="Z163" s="596" t="n"/>
      <c r="AA163" s="596" t="n"/>
      <c r="AB163" s="596" t="n"/>
      <c r="AC163" s="596" t="n"/>
      <c r="AD163" s="597" t="n"/>
      <c r="AE163" s="601" t="n"/>
      <c r="AF163" s="596" t="n"/>
      <c r="AG163" s="596" t="n"/>
      <c r="AH163" s="596" t="n"/>
      <c r="AI163" s="596" t="n"/>
      <c r="AJ163" s="596" t="n"/>
      <c r="AK163" s="596" t="n"/>
      <c r="AL163" s="596" t="n"/>
      <c r="AM163" s="596" t="n"/>
      <c r="AN163" s="596" t="n"/>
      <c r="AO163" s="596" t="n"/>
      <c r="AP163" s="597" t="n"/>
      <c r="AQ163" s="601" t="n"/>
      <c r="AR163" s="596" t="n"/>
      <c r="AS163" s="596" t="n"/>
      <c r="AT163" s="596" t="n"/>
      <c r="AU163" s="596" t="n"/>
      <c r="AV163" s="596" t="n"/>
      <c r="AW163" s="596" t="n"/>
      <c r="AX163" s="596" t="n"/>
      <c r="AY163" s="596" t="n"/>
      <c r="AZ163" s="596" t="n"/>
      <c r="BA163" s="596" t="n"/>
      <c r="BB163" s="597" t="n"/>
      <c r="BC163" s="442">
        <f>(($E163)-SUM(AQ62:BC62))</f>
        <v/>
      </c>
      <c r="BD163" s="122" t="n"/>
      <c r="BE163" s="122" t="n"/>
      <c r="BF163" s="122" t="n"/>
      <c r="BG163" s="122" t="n"/>
      <c r="BH163" s="122" t="n"/>
      <c r="BI163" s="122" t="n"/>
      <c r="BJ163" s="122" t="n"/>
      <c r="BK163" s="122" t="n"/>
      <c r="BL163" s="122" t="n"/>
      <c r="BM163" s="122" t="n"/>
      <c r="BN163" s="122" t="n"/>
      <c r="BO163" s="442">
        <f>(($E163)-SUM(AQ62:BO62))</f>
        <v/>
      </c>
      <c r="BP163" s="122" t="n"/>
      <c r="BQ163" s="122" t="n"/>
      <c r="BR163" s="122" t="n"/>
      <c r="BS163" s="122" t="n"/>
      <c r="BT163" s="122" t="n"/>
      <c r="BU163" s="122" t="n"/>
      <c r="BV163" s="122" t="n"/>
      <c r="BW163" s="122" t="n"/>
      <c r="BX163" s="122" t="n"/>
      <c r="BY163" s="122" t="n"/>
      <c r="BZ163" s="122" t="n"/>
      <c r="CA163" s="122" t="n"/>
      <c r="CB163" s="397">
        <f>SUM(G62:BZ62)</f>
        <v/>
      </c>
      <c r="CC163" s="122" t="n"/>
      <c r="CD163" s="397">
        <f>(($E163)-SUM(AQ62:$BN62))</f>
        <v/>
      </c>
      <c r="CE163" s="391">
        <f>(CE62)</f>
        <v/>
      </c>
      <c r="CF163" s="386">
        <f>IF(CD163=CE163,"Y","N")</f>
        <v/>
      </c>
    </row>
    <row r="164">
      <c r="D164" s="149" t="inlineStr">
        <is>
          <t>Month 38</t>
        </is>
      </c>
      <c r="E164" s="447">
        <f>(E63)</f>
        <v/>
      </c>
      <c r="F164" s="116" t="n"/>
      <c r="G164" s="596" t="n"/>
      <c r="H164" s="596" t="n"/>
      <c r="I164" s="596" t="n"/>
      <c r="J164" s="596" t="n"/>
      <c r="K164" s="596" t="n"/>
      <c r="L164" s="596" t="n"/>
      <c r="M164" s="596" t="n"/>
      <c r="N164" s="596" t="n"/>
      <c r="O164" s="596" t="n"/>
      <c r="P164" s="596" t="n"/>
      <c r="Q164" s="596" t="n"/>
      <c r="R164" s="596" t="n"/>
      <c r="S164" s="601" t="n"/>
      <c r="T164" s="596" t="n"/>
      <c r="U164" s="596" t="n"/>
      <c r="V164" s="596" t="n"/>
      <c r="W164" s="596" t="n"/>
      <c r="X164" s="596" t="n"/>
      <c r="Y164" s="596" t="n"/>
      <c r="Z164" s="596" t="n"/>
      <c r="AA164" s="596" t="n"/>
      <c r="AB164" s="596" t="n"/>
      <c r="AC164" s="596" t="n"/>
      <c r="AD164" s="597" t="n"/>
      <c r="AE164" s="601" t="n"/>
      <c r="AF164" s="596" t="n"/>
      <c r="AG164" s="596" t="n"/>
      <c r="AH164" s="596" t="n"/>
      <c r="AI164" s="596" t="n"/>
      <c r="AJ164" s="596" t="n"/>
      <c r="AK164" s="596" t="n"/>
      <c r="AL164" s="596" t="n"/>
      <c r="AM164" s="596" t="n"/>
      <c r="AN164" s="596" t="n"/>
      <c r="AO164" s="596" t="n"/>
      <c r="AP164" s="597" t="n"/>
      <c r="AQ164" s="601" t="n"/>
      <c r="AR164" s="596" t="n"/>
      <c r="AS164" s="596" t="n"/>
      <c r="AT164" s="596" t="n"/>
      <c r="AU164" s="596" t="n"/>
      <c r="AV164" s="596" t="n"/>
      <c r="AW164" s="596" t="n"/>
      <c r="AX164" s="596" t="n"/>
      <c r="AY164" s="596" t="n"/>
      <c r="AZ164" s="596" t="n"/>
      <c r="BA164" s="596" t="n"/>
      <c r="BB164" s="597" t="n"/>
      <c r="BC164" s="601" t="n"/>
      <c r="BD164" s="441">
        <f>(($E164)-SUM(AR63:BD63))</f>
        <v/>
      </c>
      <c r="BE164" s="122" t="n"/>
      <c r="BF164" s="122" t="n"/>
      <c r="BG164" s="122" t="n"/>
      <c r="BH164" s="122" t="n"/>
      <c r="BI164" s="122" t="n"/>
      <c r="BJ164" s="122" t="n"/>
      <c r="BK164" s="122" t="n"/>
      <c r="BL164" s="122" t="n"/>
      <c r="BM164" s="122" t="n"/>
      <c r="BN164" s="122" t="n"/>
      <c r="BO164" s="442" t="n"/>
      <c r="BP164" s="441">
        <f>(($E164)-SUM(AR63:BP63))</f>
        <v/>
      </c>
      <c r="BQ164" s="122" t="n"/>
      <c r="BR164" s="122" t="n"/>
      <c r="BS164" s="122" t="n"/>
      <c r="BT164" s="122" t="n"/>
      <c r="BU164" s="122" t="n"/>
      <c r="BV164" s="122" t="n"/>
      <c r="BW164" s="122" t="n"/>
      <c r="BX164" s="122" t="n"/>
      <c r="BY164" s="122" t="n"/>
      <c r="BZ164" s="122" t="n"/>
      <c r="CA164" s="122" t="n"/>
      <c r="CB164" s="397">
        <f>SUM(G63:BZ63)</f>
        <v/>
      </c>
      <c r="CC164" s="122" t="n"/>
      <c r="CD164" s="397">
        <f>(($E164)-SUM(AQ63:$BN63))</f>
        <v/>
      </c>
      <c r="CE164" s="391">
        <f>(CE63)</f>
        <v/>
      </c>
      <c r="CF164" s="386">
        <f>IF(CD164=CE164,"Y","N")</f>
        <v/>
      </c>
    </row>
    <row r="165">
      <c r="D165" s="149" t="inlineStr">
        <is>
          <t>Month 39</t>
        </is>
      </c>
      <c r="E165" s="447">
        <f>(E64)</f>
        <v/>
      </c>
      <c r="F165" s="116" t="n"/>
      <c r="G165" s="596" t="n"/>
      <c r="H165" s="596" t="n"/>
      <c r="I165" s="596" t="n"/>
      <c r="J165" s="596" t="n"/>
      <c r="K165" s="596" t="n"/>
      <c r="L165" s="596" t="n"/>
      <c r="M165" s="596" t="n"/>
      <c r="N165" s="596" t="n"/>
      <c r="O165" s="596" t="n"/>
      <c r="P165" s="596" t="n"/>
      <c r="Q165" s="596" t="n"/>
      <c r="R165" s="596" t="n"/>
      <c r="S165" s="601" t="n"/>
      <c r="T165" s="596" t="n"/>
      <c r="U165" s="596" t="n"/>
      <c r="V165" s="596" t="n"/>
      <c r="W165" s="596" t="n"/>
      <c r="X165" s="596" t="n"/>
      <c r="Y165" s="596" t="n"/>
      <c r="Z165" s="596" t="n"/>
      <c r="AA165" s="596" t="n"/>
      <c r="AB165" s="596" t="n"/>
      <c r="AC165" s="596" t="n"/>
      <c r="AD165" s="597" t="n"/>
      <c r="AE165" s="601" t="n"/>
      <c r="AF165" s="596" t="n"/>
      <c r="AG165" s="596" t="n"/>
      <c r="AH165" s="596" t="n"/>
      <c r="AI165" s="596" t="n"/>
      <c r="AJ165" s="596" t="n"/>
      <c r="AK165" s="596" t="n"/>
      <c r="AL165" s="596" t="n"/>
      <c r="AM165" s="596" t="n"/>
      <c r="AN165" s="596" t="n"/>
      <c r="AO165" s="596" t="n"/>
      <c r="AP165" s="597" t="n"/>
      <c r="AQ165" s="601" t="n"/>
      <c r="AR165" s="596" t="n"/>
      <c r="AS165" s="596" t="n"/>
      <c r="AT165" s="596" t="n"/>
      <c r="AU165" s="596" t="n"/>
      <c r="AV165" s="596" t="n"/>
      <c r="AW165" s="596" t="n"/>
      <c r="AX165" s="596" t="n"/>
      <c r="AY165" s="596" t="n"/>
      <c r="AZ165" s="596" t="n"/>
      <c r="BA165" s="596" t="n"/>
      <c r="BB165" s="597" t="n"/>
      <c r="BC165" s="601" t="n"/>
      <c r="BD165" s="596" t="n"/>
      <c r="BE165" s="441">
        <f>(($E165)-SUM(AS64:BE64))</f>
        <v/>
      </c>
      <c r="BF165" s="122" t="n"/>
      <c r="BG165" s="122" t="n"/>
      <c r="BH165" s="122" t="n"/>
      <c r="BI165" s="122" t="n"/>
      <c r="BJ165" s="122" t="n"/>
      <c r="BK165" s="122" t="n"/>
      <c r="BL165" s="122" t="n"/>
      <c r="BM165" s="122" t="n"/>
      <c r="BN165" s="122" t="n"/>
      <c r="BO165" s="442" t="n"/>
      <c r="BP165" s="391" t="n"/>
      <c r="BQ165" s="441">
        <f>(($E165)-SUM(AS64:BQ64))</f>
        <v/>
      </c>
      <c r="BR165" s="122" t="n"/>
      <c r="BS165" s="122" t="n"/>
      <c r="BT165" s="122" t="n"/>
      <c r="BU165" s="122" t="n"/>
      <c r="BV165" s="122" t="n"/>
      <c r="BW165" s="122" t="n"/>
      <c r="BX165" s="122" t="n"/>
      <c r="BY165" s="122" t="n"/>
      <c r="BZ165" s="122" t="n"/>
      <c r="CA165" s="122" t="n"/>
      <c r="CB165" s="397">
        <f>SUM(G64:BZ64)</f>
        <v/>
      </c>
      <c r="CC165" s="122" t="n"/>
      <c r="CD165" s="397">
        <f>(($E165)-SUM(AQ64:$BN64))</f>
        <v/>
      </c>
      <c r="CE165" s="391">
        <f>(CE64)</f>
        <v/>
      </c>
      <c r="CF165" s="386">
        <f>IF(CD165=CE165,"Y","N")</f>
        <v/>
      </c>
    </row>
    <row r="166">
      <c r="D166" s="149" t="inlineStr">
        <is>
          <t>Month 40</t>
        </is>
      </c>
      <c r="E166" s="447">
        <f>(E65)</f>
        <v/>
      </c>
      <c r="F166" s="116" t="n"/>
      <c r="G166" s="596" t="n"/>
      <c r="H166" s="596" t="n"/>
      <c r="I166" s="596" t="n"/>
      <c r="J166" s="596" t="n"/>
      <c r="K166" s="596" t="n"/>
      <c r="L166" s="596" t="n"/>
      <c r="M166" s="596" t="n"/>
      <c r="N166" s="596" t="n"/>
      <c r="O166" s="596" t="n"/>
      <c r="P166" s="596" t="n"/>
      <c r="Q166" s="596" t="n"/>
      <c r="R166" s="596" t="n"/>
      <c r="S166" s="601" t="n"/>
      <c r="T166" s="596" t="n"/>
      <c r="U166" s="596" t="n"/>
      <c r="V166" s="596" t="n"/>
      <c r="W166" s="596" t="n"/>
      <c r="X166" s="596" t="n"/>
      <c r="Y166" s="596" t="n"/>
      <c r="Z166" s="596" t="n"/>
      <c r="AA166" s="596" t="n"/>
      <c r="AB166" s="596" t="n"/>
      <c r="AC166" s="596" t="n"/>
      <c r="AD166" s="597" t="n"/>
      <c r="AE166" s="601" t="n"/>
      <c r="AF166" s="596" t="n"/>
      <c r="AG166" s="596" t="n"/>
      <c r="AH166" s="596" t="n"/>
      <c r="AI166" s="596" t="n"/>
      <c r="AJ166" s="596" t="n"/>
      <c r="AK166" s="596" t="n"/>
      <c r="AL166" s="596" t="n"/>
      <c r="AM166" s="596" t="n"/>
      <c r="AN166" s="596" t="n"/>
      <c r="AO166" s="596" t="n"/>
      <c r="AP166" s="597" t="n"/>
      <c r="AQ166" s="601" t="n"/>
      <c r="AR166" s="596" t="n"/>
      <c r="AS166" s="596" t="n"/>
      <c r="AT166" s="596" t="n"/>
      <c r="AU166" s="596" t="n"/>
      <c r="AV166" s="596" t="n"/>
      <c r="AW166" s="596" t="n"/>
      <c r="AX166" s="596" t="n"/>
      <c r="AY166" s="596" t="n"/>
      <c r="AZ166" s="596" t="n"/>
      <c r="BA166" s="596" t="n"/>
      <c r="BB166" s="597" t="n"/>
      <c r="BC166" s="601" t="n"/>
      <c r="BD166" s="596" t="n"/>
      <c r="BE166" s="596" t="n"/>
      <c r="BF166" s="441">
        <f>(($E166)-SUM(AT65:BF65))</f>
        <v/>
      </c>
      <c r="BG166" s="122" t="n"/>
      <c r="BH166" s="122" t="n"/>
      <c r="BI166" s="122" t="n"/>
      <c r="BJ166" s="122" t="n"/>
      <c r="BK166" s="122" t="n"/>
      <c r="BL166" s="122" t="n"/>
      <c r="BM166" s="122" t="n"/>
      <c r="BN166" s="122" t="n"/>
      <c r="BO166" s="442" t="n"/>
      <c r="BP166" s="391" t="n"/>
      <c r="BQ166" s="391" t="n"/>
      <c r="BR166" s="441">
        <f>(($E166)-SUM(AT65:BR65))</f>
        <v/>
      </c>
      <c r="BS166" s="122" t="n"/>
      <c r="BT166" s="122" t="n"/>
      <c r="BU166" s="122" t="n"/>
      <c r="BV166" s="122" t="n"/>
      <c r="BW166" s="122" t="n"/>
      <c r="BX166" s="122" t="n"/>
      <c r="BY166" s="122" t="n"/>
      <c r="BZ166" s="122" t="n"/>
      <c r="CA166" s="122" t="n"/>
      <c r="CB166" s="397">
        <f>SUM(G65:BZ65)</f>
        <v/>
      </c>
      <c r="CC166" s="122" t="n"/>
      <c r="CD166" s="397">
        <f>(($E166)-SUM(AQ65:$BN65))</f>
        <v/>
      </c>
      <c r="CE166" s="391">
        <f>(CE65)</f>
        <v/>
      </c>
      <c r="CF166" s="386">
        <f>IF(CD166=CE166,"Y","N")</f>
        <v/>
      </c>
    </row>
    <row r="167">
      <c r="D167" s="149" t="inlineStr">
        <is>
          <t>Month 41</t>
        </is>
      </c>
      <c r="E167" s="447">
        <f>(E66)</f>
        <v/>
      </c>
      <c r="F167" s="116" t="n"/>
      <c r="G167" s="596" t="n"/>
      <c r="H167" s="596" t="n"/>
      <c r="I167" s="596" t="n"/>
      <c r="J167" s="596" t="n"/>
      <c r="K167" s="596" t="n"/>
      <c r="L167" s="596" t="n"/>
      <c r="M167" s="596" t="n"/>
      <c r="N167" s="596" t="n"/>
      <c r="O167" s="596" t="n"/>
      <c r="P167" s="596" t="n"/>
      <c r="Q167" s="596" t="n"/>
      <c r="R167" s="596" t="n"/>
      <c r="S167" s="601" t="n"/>
      <c r="T167" s="596" t="n"/>
      <c r="U167" s="596" t="n"/>
      <c r="V167" s="596" t="n"/>
      <c r="W167" s="596" t="n"/>
      <c r="X167" s="596" t="n"/>
      <c r="Y167" s="596" t="n"/>
      <c r="Z167" s="596" t="n"/>
      <c r="AA167" s="596" t="n"/>
      <c r="AB167" s="596" t="n"/>
      <c r="AC167" s="596" t="n"/>
      <c r="AD167" s="597" t="n"/>
      <c r="AE167" s="601" t="n"/>
      <c r="AF167" s="596" t="n"/>
      <c r="AG167" s="596" t="n"/>
      <c r="AH167" s="596" t="n"/>
      <c r="AI167" s="596" t="n"/>
      <c r="AJ167" s="596" t="n"/>
      <c r="AK167" s="596" t="n"/>
      <c r="AL167" s="596" t="n"/>
      <c r="AM167" s="596" t="n"/>
      <c r="AN167" s="596" t="n"/>
      <c r="AO167" s="596" t="n"/>
      <c r="AP167" s="597" t="n"/>
      <c r="AQ167" s="601" t="n"/>
      <c r="AR167" s="596" t="n"/>
      <c r="AS167" s="596" t="n"/>
      <c r="AT167" s="596" t="n"/>
      <c r="AU167" s="596" t="n"/>
      <c r="AV167" s="596" t="n"/>
      <c r="AW167" s="596" t="n"/>
      <c r="AX167" s="596" t="n"/>
      <c r="AY167" s="596" t="n"/>
      <c r="AZ167" s="596" t="n"/>
      <c r="BA167" s="596" t="n"/>
      <c r="BB167" s="597" t="n"/>
      <c r="BC167" s="601" t="n"/>
      <c r="BD167" s="596" t="n"/>
      <c r="BE167" s="596" t="n"/>
      <c r="BF167" s="596" t="n"/>
      <c r="BG167" s="441">
        <f>(($E167)-SUM(AU66:BG66))</f>
        <v/>
      </c>
      <c r="BH167" s="122" t="n"/>
      <c r="BI167" s="122" t="n"/>
      <c r="BJ167" s="122" t="n"/>
      <c r="BK167" s="122" t="n"/>
      <c r="BL167" s="122" t="n"/>
      <c r="BM167" s="122" t="n"/>
      <c r="BN167" s="122" t="n"/>
      <c r="BO167" s="442" t="n"/>
      <c r="BP167" s="391" t="n"/>
      <c r="BQ167" s="391" t="n"/>
      <c r="BR167" s="391" t="n"/>
      <c r="BS167" s="441">
        <f>(($E167)-SUM(AU66:BS66))</f>
        <v/>
      </c>
      <c r="BT167" s="122" t="n"/>
      <c r="BU167" s="122" t="n"/>
      <c r="BV167" s="122" t="n"/>
      <c r="BW167" s="122" t="n"/>
      <c r="BX167" s="122" t="n"/>
      <c r="BY167" s="122" t="n"/>
      <c r="BZ167" s="122" t="n"/>
      <c r="CA167" s="122" t="n"/>
      <c r="CB167" s="397">
        <f>SUM(G66:BZ66)</f>
        <v/>
      </c>
      <c r="CC167" s="122" t="n"/>
      <c r="CD167" s="397">
        <f>(($E167)-SUM(AQ66:$BN66))</f>
        <v/>
      </c>
      <c r="CE167" s="391">
        <f>(CE66)</f>
        <v/>
      </c>
      <c r="CF167" s="386">
        <f>IF(CD167=CE167,"Y","N")</f>
        <v/>
      </c>
    </row>
    <row r="168">
      <c r="D168" s="149" t="inlineStr">
        <is>
          <t>Month 42</t>
        </is>
      </c>
      <c r="E168" s="447">
        <f>(E67)</f>
        <v/>
      </c>
      <c r="F168" s="116" t="n"/>
      <c r="G168" s="596" t="n"/>
      <c r="H168" s="596" t="n"/>
      <c r="I168" s="596" t="n"/>
      <c r="J168" s="596" t="n"/>
      <c r="K168" s="596" t="n"/>
      <c r="L168" s="596" t="n"/>
      <c r="M168" s="596" t="n"/>
      <c r="N168" s="596" t="n"/>
      <c r="O168" s="596" t="n"/>
      <c r="P168" s="596" t="n"/>
      <c r="Q168" s="596" t="n"/>
      <c r="R168" s="596" t="n"/>
      <c r="S168" s="601" t="n"/>
      <c r="T168" s="596" t="n"/>
      <c r="U168" s="596" t="n"/>
      <c r="V168" s="596" t="n"/>
      <c r="W168" s="596" t="n"/>
      <c r="X168" s="596" t="n"/>
      <c r="Y168" s="596" t="n"/>
      <c r="Z168" s="596" t="n"/>
      <c r="AA168" s="596" t="n"/>
      <c r="AB168" s="596" t="n"/>
      <c r="AC168" s="596" t="n"/>
      <c r="AD168" s="597" t="n"/>
      <c r="AE168" s="601" t="n"/>
      <c r="AF168" s="596" t="n"/>
      <c r="AG168" s="596" t="n"/>
      <c r="AH168" s="596" t="n"/>
      <c r="AI168" s="596" t="n"/>
      <c r="AJ168" s="596" t="n"/>
      <c r="AK168" s="596" t="n"/>
      <c r="AL168" s="596" t="n"/>
      <c r="AM168" s="596" t="n"/>
      <c r="AN168" s="596" t="n"/>
      <c r="AO168" s="596" t="n"/>
      <c r="AP168" s="597" t="n"/>
      <c r="AQ168" s="601" t="n"/>
      <c r="AR168" s="596" t="n"/>
      <c r="AS168" s="596" t="n"/>
      <c r="AT168" s="596" t="n"/>
      <c r="AU168" s="596" t="n"/>
      <c r="AV168" s="596" t="n"/>
      <c r="AW168" s="596" t="n"/>
      <c r="AX168" s="596" t="n"/>
      <c r="AY168" s="596" t="n"/>
      <c r="AZ168" s="596" t="n"/>
      <c r="BA168" s="596" t="n"/>
      <c r="BB168" s="597" t="n"/>
      <c r="BC168" s="601" t="n"/>
      <c r="BD168" s="596" t="n"/>
      <c r="BE168" s="596" t="n"/>
      <c r="BF168" s="596" t="n"/>
      <c r="BG168" s="596" t="n"/>
      <c r="BH168" s="441">
        <f>(($E168)-SUM(AV67:BH67))</f>
        <v/>
      </c>
      <c r="BI168" s="122" t="n"/>
      <c r="BJ168" s="122" t="n"/>
      <c r="BK168" s="122" t="n"/>
      <c r="BL168" s="122" t="n"/>
      <c r="BM168" s="122" t="n"/>
      <c r="BN168" s="122" t="n"/>
      <c r="BO168" s="442" t="n"/>
      <c r="BP168" s="391" t="n"/>
      <c r="BQ168" s="391" t="n"/>
      <c r="BR168" s="391" t="n"/>
      <c r="BS168" s="391" t="n"/>
      <c r="BT168" s="441">
        <f>(($E168)-SUM(AV67:BT67))</f>
        <v/>
      </c>
      <c r="BU168" s="122" t="n"/>
      <c r="BV168" s="122" t="n"/>
      <c r="BW168" s="122" t="n"/>
      <c r="BX168" s="122" t="n"/>
      <c r="BY168" s="122" t="n"/>
      <c r="BZ168" s="122" t="n"/>
      <c r="CA168" s="122" t="n"/>
      <c r="CB168" s="397">
        <f>SUM(G67:BZ67)</f>
        <v/>
      </c>
      <c r="CC168" s="122" t="n"/>
      <c r="CD168" s="397">
        <f>(($E168)-SUM(AQ67:$BN67))</f>
        <v/>
      </c>
      <c r="CE168" s="391">
        <f>(CE67)</f>
        <v/>
      </c>
      <c r="CF168" s="386">
        <f>IF(CD168=CE168,"Y","N")</f>
        <v/>
      </c>
    </row>
    <row r="169">
      <c r="D169" s="149" t="inlineStr">
        <is>
          <t>Month 43</t>
        </is>
      </c>
      <c r="E169" s="447">
        <f>(E68)</f>
        <v/>
      </c>
      <c r="F169" s="116" t="n"/>
      <c r="G169" s="596" t="n"/>
      <c r="H169" s="596" t="n"/>
      <c r="I169" s="596" t="n"/>
      <c r="J169" s="596" t="n"/>
      <c r="K169" s="596" t="n"/>
      <c r="L169" s="596" t="n"/>
      <c r="M169" s="596" t="n"/>
      <c r="N169" s="596" t="n"/>
      <c r="O169" s="596" t="n"/>
      <c r="P169" s="596" t="n"/>
      <c r="Q169" s="596" t="n"/>
      <c r="R169" s="596" t="n"/>
      <c r="S169" s="601" t="n"/>
      <c r="T169" s="596" t="n"/>
      <c r="U169" s="596" t="n"/>
      <c r="V169" s="596" t="n"/>
      <c r="W169" s="596" t="n"/>
      <c r="X169" s="596" t="n"/>
      <c r="Y169" s="596" t="n"/>
      <c r="Z169" s="596" t="n"/>
      <c r="AA169" s="596" t="n"/>
      <c r="AB169" s="596" t="n"/>
      <c r="AC169" s="596" t="n"/>
      <c r="AD169" s="597" t="n"/>
      <c r="AE169" s="601" t="n"/>
      <c r="AF169" s="596" t="n"/>
      <c r="AG169" s="596" t="n"/>
      <c r="AH169" s="596" t="n"/>
      <c r="AI169" s="596" t="n"/>
      <c r="AJ169" s="596" t="n"/>
      <c r="AK169" s="596" t="n"/>
      <c r="AL169" s="596" t="n"/>
      <c r="AM169" s="596" t="n"/>
      <c r="AN169" s="596" t="n"/>
      <c r="AO169" s="596" t="n"/>
      <c r="AP169" s="597" t="n"/>
      <c r="AQ169" s="601" t="n"/>
      <c r="AR169" s="596" t="n"/>
      <c r="AS169" s="596" t="n"/>
      <c r="AT169" s="596" t="n"/>
      <c r="AU169" s="596" t="n"/>
      <c r="AV169" s="596" t="n"/>
      <c r="AW169" s="596" t="n"/>
      <c r="AX169" s="596" t="n"/>
      <c r="AY169" s="596" t="n"/>
      <c r="AZ169" s="596" t="n"/>
      <c r="BA169" s="596" t="n"/>
      <c r="BB169" s="597" t="n"/>
      <c r="BC169" s="601" t="n"/>
      <c r="BD169" s="596" t="n"/>
      <c r="BE169" s="596" t="n"/>
      <c r="BF169" s="596" t="n"/>
      <c r="BG169" s="596" t="n"/>
      <c r="BH169" s="596" t="n"/>
      <c r="BI169" s="441">
        <f>(($E169)-SUM(AW68:BI68))</f>
        <v/>
      </c>
      <c r="BJ169" s="122" t="n"/>
      <c r="BK169" s="122" t="n"/>
      <c r="BL169" s="122" t="n"/>
      <c r="BM169" s="122" t="n"/>
      <c r="BN169" s="122" t="n"/>
      <c r="BO169" s="442" t="n"/>
      <c r="BP169" s="391" t="n"/>
      <c r="BQ169" s="391" t="n"/>
      <c r="BR169" s="391" t="n"/>
      <c r="BS169" s="391" t="n"/>
      <c r="BT169" s="391" t="n"/>
      <c r="BU169" s="441">
        <f>(($E169)-SUM(AW68:BU68))</f>
        <v/>
      </c>
      <c r="BV169" s="122" t="n"/>
      <c r="BW169" s="122" t="n"/>
      <c r="BX169" s="122" t="n"/>
      <c r="BY169" s="122" t="n"/>
      <c r="BZ169" s="122" t="n"/>
      <c r="CA169" s="122" t="n"/>
      <c r="CB169" s="397">
        <f>SUM(G68:BZ68)</f>
        <v/>
      </c>
      <c r="CC169" s="122" t="n"/>
      <c r="CD169" s="397">
        <f>(($E169)-SUM(AQ68:$BN68))</f>
        <v/>
      </c>
      <c r="CE169" s="391">
        <f>(CE68)</f>
        <v/>
      </c>
      <c r="CF169" s="386">
        <f>IF(CD169=CE169,"Y","N")</f>
        <v/>
      </c>
    </row>
    <row r="170">
      <c r="D170" s="149" t="inlineStr">
        <is>
          <t>Month 44</t>
        </is>
      </c>
      <c r="E170" s="447">
        <f>(E69)</f>
        <v/>
      </c>
      <c r="F170" s="116" t="n"/>
      <c r="G170" s="596" t="n"/>
      <c r="H170" s="596" t="n"/>
      <c r="I170" s="596" t="n"/>
      <c r="J170" s="596" t="n"/>
      <c r="K170" s="596" t="n"/>
      <c r="L170" s="596" t="n"/>
      <c r="M170" s="596" t="n"/>
      <c r="N170" s="596" t="n"/>
      <c r="O170" s="596" t="n"/>
      <c r="P170" s="596" t="n"/>
      <c r="Q170" s="596" t="n"/>
      <c r="R170" s="596" t="n"/>
      <c r="S170" s="601" t="n"/>
      <c r="T170" s="596" t="n"/>
      <c r="U170" s="596" t="n"/>
      <c r="V170" s="596" t="n"/>
      <c r="W170" s="596" t="n"/>
      <c r="X170" s="596" t="n"/>
      <c r="Y170" s="596" t="n"/>
      <c r="Z170" s="596" t="n"/>
      <c r="AA170" s="596" t="n"/>
      <c r="AB170" s="596" t="n"/>
      <c r="AC170" s="596" t="n"/>
      <c r="AD170" s="597" t="n"/>
      <c r="AE170" s="601" t="n"/>
      <c r="AF170" s="596" t="n"/>
      <c r="AG170" s="596" t="n"/>
      <c r="AH170" s="596" t="n"/>
      <c r="AI170" s="596" t="n"/>
      <c r="AJ170" s="596" t="n"/>
      <c r="AK170" s="596" t="n"/>
      <c r="AL170" s="596" t="n"/>
      <c r="AM170" s="596" t="n"/>
      <c r="AN170" s="596" t="n"/>
      <c r="AO170" s="596" t="n"/>
      <c r="AP170" s="597" t="n"/>
      <c r="AQ170" s="601" t="n"/>
      <c r="AR170" s="596" t="n"/>
      <c r="AS170" s="596" t="n"/>
      <c r="AT170" s="596" t="n"/>
      <c r="AU170" s="596" t="n"/>
      <c r="AV170" s="596" t="n"/>
      <c r="AW170" s="596" t="n"/>
      <c r="AX170" s="596" t="n"/>
      <c r="AY170" s="596" t="n"/>
      <c r="AZ170" s="596" t="n"/>
      <c r="BA170" s="596" t="n"/>
      <c r="BB170" s="597" t="n"/>
      <c r="BC170" s="601" t="n"/>
      <c r="BD170" s="596" t="n"/>
      <c r="BE170" s="596" t="n"/>
      <c r="BF170" s="596" t="n"/>
      <c r="BG170" s="596" t="n"/>
      <c r="BH170" s="596" t="n"/>
      <c r="BI170" s="596" t="n"/>
      <c r="BJ170" s="441">
        <f>(($E170)-SUM(AX69:BJ69))</f>
        <v/>
      </c>
      <c r="BK170" s="122" t="n"/>
      <c r="BL170" s="122" t="n"/>
      <c r="BM170" s="122" t="n"/>
      <c r="BN170" s="122" t="n"/>
      <c r="BO170" s="442" t="n"/>
      <c r="BP170" s="391" t="n"/>
      <c r="BQ170" s="391" t="n"/>
      <c r="BR170" s="391" t="n"/>
      <c r="BS170" s="391" t="n"/>
      <c r="BT170" s="391" t="n"/>
      <c r="BU170" s="391" t="n"/>
      <c r="BV170" s="441">
        <f>(($E170)-SUM(AX69:BV69))</f>
        <v/>
      </c>
      <c r="BW170" s="122" t="n"/>
      <c r="BX170" s="122" t="n"/>
      <c r="BY170" s="122" t="n"/>
      <c r="BZ170" s="122" t="n"/>
      <c r="CA170" s="122" t="n"/>
      <c r="CB170" s="397">
        <f>SUM(G69:BZ69)</f>
        <v/>
      </c>
      <c r="CC170" s="122" t="n"/>
      <c r="CD170" s="397">
        <f>(($E170)-SUM(AQ69:$BN69))</f>
        <v/>
      </c>
      <c r="CE170" s="391">
        <f>(CE69)</f>
        <v/>
      </c>
      <c r="CF170" s="386">
        <f>IF(CD170=CE170,"Y","N")</f>
        <v/>
      </c>
    </row>
    <row r="171">
      <c r="D171" s="149" t="inlineStr">
        <is>
          <t>Month 45</t>
        </is>
      </c>
      <c r="E171" s="447">
        <f>(E70)</f>
        <v/>
      </c>
      <c r="F171" s="116" t="n"/>
      <c r="G171" s="596" t="n"/>
      <c r="H171" s="596" t="n"/>
      <c r="I171" s="596" t="n"/>
      <c r="J171" s="596" t="n"/>
      <c r="K171" s="596" t="n"/>
      <c r="L171" s="596" t="n"/>
      <c r="M171" s="596" t="n"/>
      <c r="N171" s="596" t="n"/>
      <c r="O171" s="596" t="n"/>
      <c r="P171" s="596" t="n"/>
      <c r="Q171" s="596" t="n"/>
      <c r="R171" s="596" t="n"/>
      <c r="S171" s="601" t="n"/>
      <c r="T171" s="596" t="n"/>
      <c r="U171" s="596" t="n"/>
      <c r="V171" s="596" t="n"/>
      <c r="W171" s="596" t="n"/>
      <c r="X171" s="596" t="n"/>
      <c r="Y171" s="596" t="n"/>
      <c r="Z171" s="596" t="n"/>
      <c r="AA171" s="596" t="n"/>
      <c r="AB171" s="596" t="n"/>
      <c r="AC171" s="596" t="n"/>
      <c r="AD171" s="597" t="n"/>
      <c r="AE171" s="601" t="n"/>
      <c r="AF171" s="596" t="n"/>
      <c r="AG171" s="596" t="n"/>
      <c r="AH171" s="596" t="n"/>
      <c r="AI171" s="596" t="n"/>
      <c r="AJ171" s="596" t="n"/>
      <c r="AK171" s="596" t="n"/>
      <c r="AL171" s="596" t="n"/>
      <c r="AM171" s="596" t="n"/>
      <c r="AN171" s="596" t="n"/>
      <c r="AO171" s="596" t="n"/>
      <c r="AP171" s="597" t="n"/>
      <c r="AQ171" s="601" t="n"/>
      <c r="AR171" s="596" t="n"/>
      <c r="AS171" s="596" t="n"/>
      <c r="AT171" s="596" t="n"/>
      <c r="AU171" s="596" t="n"/>
      <c r="AV171" s="596" t="n"/>
      <c r="AW171" s="596" t="n"/>
      <c r="AX171" s="596" t="n"/>
      <c r="AY171" s="596" t="n"/>
      <c r="AZ171" s="596" t="n"/>
      <c r="BA171" s="596" t="n"/>
      <c r="BB171" s="597" t="n"/>
      <c r="BC171" s="601" t="n"/>
      <c r="BD171" s="596" t="n"/>
      <c r="BE171" s="596" t="n"/>
      <c r="BF171" s="596" t="n"/>
      <c r="BG171" s="596" t="n"/>
      <c r="BH171" s="596" t="n"/>
      <c r="BI171" s="596" t="n"/>
      <c r="BJ171" s="596" t="n"/>
      <c r="BK171" s="441">
        <f>(($E171)-SUM(AY70:BK70))</f>
        <v/>
      </c>
      <c r="BL171" s="122" t="n"/>
      <c r="BM171" s="122" t="n"/>
      <c r="BN171" s="122" t="n"/>
      <c r="BO171" s="442" t="n"/>
      <c r="BP171" s="391" t="n"/>
      <c r="BQ171" s="391" t="n"/>
      <c r="BR171" s="391" t="n"/>
      <c r="BS171" s="391" t="n"/>
      <c r="BT171" s="391" t="n"/>
      <c r="BU171" s="391" t="n"/>
      <c r="BV171" s="391" t="n"/>
      <c r="BW171" s="441">
        <f>(($E171)-SUM(AY70:BW70))</f>
        <v/>
      </c>
      <c r="BX171" s="122" t="n"/>
      <c r="BY171" s="122" t="n"/>
      <c r="BZ171" s="122" t="n"/>
      <c r="CA171" s="122" t="n"/>
      <c r="CB171" s="397">
        <f>SUM(G70:BZ70)</f>
        <v/>
      </c>
      <c r="CC171" s="122" t="n"/>
      <c r="CD171" s="397">
        <f>(($E171)-SUM(AQ70:$BN70))</f>
        <v/>
      </c>
      <c r="CE171" s="391">
        <f>(CE70)</f>
        <v/>
      </c>
      <c r="CF171" s="386">
        <f>IF(CD171=CE171,"Y","N")</f>
        <v/>
      </c>
    </row>
    <row r="172">
      <c r="D172" s="149" t="inlineStr">
        <is>
          <t>Month 46</t>
        </is>
      </c>
      <c r="E172" s="447">
        <f>(E71)</f>
        <v/>
      </c>
      <c r="F172" s="116" t="n"/>
      <c r="G172" s="596" t="n"/>
      <c r="H172" s="596" t="n"/>
      <c r="I172" s="596" t="n"/>
      <c r="J172" s="596" t="n"/>
      <c r="K172" s="596" t="n"/>
      <c r="L172" s="596" t="n"/>
      <c r="M172" s="596" t="n"/>
      <c r="N172" s="596" t="n"/>
      <c r="O172" s="596" t="n"/>
      <c r="P172" s="596" t="n"/>
      <c r="Q172" s="596" t="n"/>
      <c r="R172" s="596" t="n"/>
      <c r="S172" s="601" t="n"/>
      <c r="T172" s="596" t="n"/>
      <c r="U172" s="596" t="n"/>
      <c r="V172" s="596" t="n"/>
      <c r="W172" s="596" t="n"/>
      <c r="X172" s="596" t="n"/>
      <c r="Y172" s="596" t="n"/>
      <c r="Z172" s="596" t="n"/>
      <c r="AA172" s="596" t="n"/>
      <c r="AB172" s="596" t="n"/>
      <c r="AC172" s="596" t="n"/>
      <c r="AD172" s="597" t="n"/>
      <c r="AE172" s="601" t="n"/>
      <c r="AF172" s="596" t="n"/>
      <c r="AG172" s="596" t="n"/>
      <c r="AH172" s="596" t="n"/>
      <c r="AI172" s="596" t="n"/>
      <c r="AJ172" s="596" t="n"/>
      <c r="AK172" s="596" t="n"/>
      <c r="AL172" s="596" t="n"/>
      <c r="AM172" s="596" t="n"/>
      <c r="AN172" s="596" t="n"/>
      <c r="AO172" s="596" t="n"/>
      <c r="AP172" s="597" t="n"/>
      <c r="AQ172" s="601" t="n"/>
      <c r="AR172" s="596" t="n"/>
      <c r="AS172" s="596" t="n"/>
      <c r="AT172" s="596" t="n"/>
      <c r="AU172" s="596" t="n"/>
      <c r="AV172" s="596" t="n"/>
      <c r="AW172" s="596" t="n"/>
      <c r="AX172" s="596" t="n"/>
      <c r="AY172" s="596" t="n"/>
      <c r="AZ172" s="596" t="n"/>
      <c r="BA172" s="596" t="n"/>
      <c r="BB172" s="597" t="n"/>
      <c r="BC172" s="601" t="n"/>
      <c r="BD172" s="596" t="n"/>
      <c r="BE172" s="596" t="n"/>
      <c r="BF172" s="596" t="n"/>
      <c r="BG172" s="596" t="n"/>
      <c r="BH172" s="596" t="n"/>
      <c r="BI172" s="596" t="n"/>
      <c r="BJ172" s="596" t="n"/>
      <c r="BK172" s="596" t="n"/>
      <c r="BL172" s="441">
        <f>(($E172)-SUM(AZ71:BL71))</f>
        <v/>
      </c>
      <c r="BM172" s="122" t="n"/>
      <c r="BN172" s="122" t="n"/>
      <c r="BO172" s="442" t="n"/>
      <c r="BP172" s="391" t="n"/>
      <c r="BQ172" s="391" t="n"/>
      <c r="BR172" s="391" t="n"/>
      <c r="BS172" s="391" t="n"/>
      <c r="BT172" s="391" t="n"/>
      <c r="BU172" s="391" t="n"/>
      <c r="BV172" s="391" t="n"/>
      <c r="BW172" s="391" t="n"/>
      <c r="BX172" s="441">
        <f>(($E172)-SUM(AZ71:BX71))</f>
        <v/>
      </c>
      <c r="BY172" s="122" t="n"/>
      <c r="BZ172" s="122" t="n"/>
      <c r="CA172" s="122" t="n"/>
      <c r="CB172" s="397">
        <f>SUM(G71:BZ71)</f>
        <v/>
      </c>
      <c r="CC172" s="122" t="n"/>
      <c r="CD172" s="397">
        <f>(($E172)-SUM(AQ71:$BN71))</f>
        <v/>
      </c>
      <c r="CE172" s="391">
        <f>(CE71)</f>
        <v/>
      </c>
      <c r="CF172" s="386">
        <f>IF(CD172=CE172,"Y","N")</f>
        <v/>
      </c>
    </row>
    <row r="173">
      <c r="D173" s="149" t="inlineStr">
        <is>
          <t>Month 47</t>
        </is>
      </c>
      <c r="E173" s="447">
        <f>(E72)</f>
        <v/>
      </c>
      <c r="F173" s="116" t="n"/>
      <c r="G173" s="596" t="n"/>
      <c r="H173" s="596" t="n"/>
      <c r="I173" s="596" t="n"/>
      <c r="J173" s="596" t="n"/>
      <c r="K173" s="596" t="n"/>
      <c r="L173" s="596" t="n"/>
      <c r="M173" s="596" t="n"/>
      <c r="N173" s="596" t="n"/>
      <c r="O173" s="596" t="n"/>
      <c r="P173" s="596" t="n"/>
      <c r="Q173" s="596" t="n"/>
      <c r="R173" s="596" t="n"/>
      <c r="S173" s="601" t="n"/>
      <c r="T173" s="596" t="n"/>
      <c r="U173" s="596" t="n"/>
      <c r="V173" s="596" t="n"/>
      <c r="W173" s="596" t="n"/>
      <c r="X173" s="596" t="n"/>
      <c r="Y173" s="596" t="n"/>
      <c r="Z173" s="596" t="n"/>
      <c r="AA173" s="596" t="n"/>
      <c r="AB173" s="596" t="n"/>
      <c r="AC173" s="596" t="n"/>
      <c r="AD173" s="597" t="n"/>
      <c r="AE173" s="601" t="n"/>
      <c r="AF173" s="596" t="n"/>
      <c r="AG173" s="596" t="n"/>
      <c r="AH173" s="596" t="n"/>
      <c r="AI173" s="596" t="n"/>
      <c r="AJ173" s="596" t="n"/>
      <c r="AK173" s="596" t="n"/>
      <c r="AL173" s="596" t="n"/>
      <c r="AM173" s="596" t="n"/>
      <c r="AN173" s="596" t="n"/>
      <c r="AO173" s="596" t="n"/>
      <c r="AP173" s="597" t="n"/>
      <c r="AQ173" s="601" t="n"/>
      <c r="AR173" s="596" t="n"/>
      <c r="AS173" s="596" t="n"/>
      <c r="AT173" s="596" t="n"/>
      <c r="AU173" s="596" t="n"/>
      <c r="AV173" s="596" t="n"/>
      <c r="AW173" s="596" t="n"/>
      <c r="AX173" s="596" t="n"/>
      <c r="AY173" s="596" t="n"/>
      <c r="AZ173" s="596" t="n"/>
      <c r="BA173" s="596" t="n"/>
      <c r="BB173" s="597" t="n"/>
      <c r="BC173" s="601" t="n"/>
      <c r="BD173" s="596" t="n"/>
      <c r="BE173" s="596" t="n"/>
      <c r="BF173" s="596" t="n"/>
      <c r="BG173" s="596" t="n"/>
      <c r="BH173" s="596" t="n"/>
      <c r="BI173" s="596" t="n"/>
      <c r="BJ173" s="596" t="n"/>
      <c r="BK173" s="596" t="n"/>
      <c r="BL173" s="596" t="n"/>
      <c r="BM173" s="441">
        <f>(($E173)-SUM(BA72:BM72))</f>
        <v/>
      </c>
      <c r="BN173" s="122" t="n"/>
      <c r="BO173" s="442" t="n"/>
      <c r="BP173" s="391" t="n"/>
      <c r="BQ173" s="391" t="n"/>
      <c r="BR173" s="391" t="n"/>
      <c r="BS173" s="391" t="n"/>
      <c r="BT173" s="391" t="n"/>
      <c r="BU173" s="391" t="n"/>
      <c r="BV173" s="391" t="n"/>
      <c r="BW173" s="391" t="n"/>
      <c r="BX173" s="391" t="n"/>
      <c r="BY173" s="441">
        <f>(($E173)-SUM(BA72:BY72))</f>
        <v/>
      </c>
      <c r="BZ173" s="122" t="n"/>
      <c r="CA173" s="122" t="n"/>
      <c r="CB173" s="397">
        <f>SUM(G72:BZ72)</f>
        <v/>
      </c>
      <c r="CC173" s="122" t="n"/>
      <c r="CD173" s="397">
        <f>(($E173)-SUM(AQ72:$BN72))</f>
        <v/>
      </c>
      <c r="CE173" s="391">
        <f>(CE72)</f>
        <v/>
      </c>
      <c r="CF173" s="386">
        <f>IF(CD173=CE173,"Y","N")</f>
        <v/>
      </c>
    </row>
    <row r="174">
      <c r="D174" s="149" t="inlineStr">
        <is>
          <t>Month 48</t>
        </is>
      </c>
      <c r="E174" s="447">
        <f>(E73)</f>
        <v/>
      </c>
      <c r="F174" s="116" t="n"/>
      <c r="G174" s="596" t="n"/>
      <c r="H174" s="596" t="n"/>
      <c r="I174" s="596" t="n"/>
      <c r="J174" s="596" t="n"/>
      <c r="K174" s="596" t="n"/>
      <c r="L174" s="596" t="n"/>
      <c r="M174" s="596" t="n"/>
      <c r="N174" s="596" t="n"/>
      <c r="O174" s="596" t="n"/>
      <c r="P174" s="596" t="n"/>
      <c r="Q174" s="596" t="n"/>
      <c r="R174" s="596" t="n"/>
      <c r="S174" s="601" t="n"/>
      <c r="T174" s="596" t="n"/>
      <c r="U174" s="596" t="n"/>
      <c r="V174" s="596" t="n"/>
      <c r="W174" s="596" t="n"/>
      <c r="X174" s="596" t="n"/>
      <c r="Y174" s="596" t="n"/>
      <c r="Z174" s="596" t="n"/>
      <c r="AA174" s="596" t="n"/>
      <c r="AB174" s="596" t="n"/>
      <c r="AC174" s="596" t="n"/>
      <c r="AD174" s="597" t="n"/>
      <c r="AE174" s="601" t="n"/>
      <c r="AF174" s="596" t="n"/>
      <c r="AG174" s="596" t="n"/>
      <c r="AH174" s="596" t="n"/>
      <c r="AI174" s="596" t="n"/>
      <c r="AJ174" s="596" t="n"/>
      <c r="AK174" s="596" t="n"/>
      <c r="AL174" s="596" t="n"/>
      <c r="AM174" s="596" t="n"/>
      <c r="AN174" s="596" t="n"/>
      <c r="AO174" s="596" t="n"/>
      <c r="AP174" s="597" t="n"/>
      <c r="AQ174" s="601" t="n"/>
      <c r="AR174" s="596" t="n"/>
      <c r="AS174" s="596" t="n"/>
      <c r="AT174" s="596" t="n"/>
      <c r="AU174" s="596" t="n"/>
      <c r="AV174" s="596" t="n"/>
      <c r="AW174" s="596" t="n"/>
      <c r="AX174" s="596" t="n"/>
      <c r="AY174" s="596" t="n"/>
      <c r="AZ174" s="596" t="n"/>
      <c r="BA174" s="596" t="n"/>
      <c r="BB174" s="597" t="n"/>
      <c r="BC174" s="601" t="n"/>
      <c r="BD174" s="596" t="n"/>
      <c r="BE174" s="596" t="n"/>
      <c r="BF174" s="596" t="n"/>
      <c r="BG174" s="596" t="n"/>
      <c r="BH174" s="596" t="n"/>
      <c r="BI174" s="596" t="n"/>
      <c r="BJ174" s="596" t="n"/>
      <c r="BK174" s="596" t="n"/>
      <c r="BL174" s="596" t="n"/>
      <c r="BM174" s="596" t="n"/>
      <c r="BN174" s="441">
        <f>(($E174)-SUM(BB73:BN73))</f>
        <v/>
      </c>
      <c r="BO174" s="442" t="n"/>
      <c r="BP174" s="441" t="n"/>
      <c r="BQ174" s="391" t="n"/>
      <c r="BR174" s="391" t="n"/>
      <c r="BS174" s="391" t="n"/>
      <c r="BT174" s="391" t="n"/>
      <c r="BU174" s="391" t="n"/>
      <c r="BV174" s="391" t="n"/>
      <c r="BW174" s="391" t="n"/>
      <c r="BX174" s="391" t="n"/>
      <c r="BY174" s="391" t="n"/>
      <c r="BZ174" s="441">
        <f>(($E174)-SUM(BB73:BZ73))</f>
        <v/>
      </c>
      <c r="CA174" s="122" t="n"/>
      <c r="CB174" s="397">
        <f>SUM(G73:BZ73)</f>
        <v/>
      </c>
      <c r="CC174" s="122" t="n"/>
      <c r="CD174" s="397">
        <f>(($E174)-SUM(AQ73:$BN73))</f>
        <v/>
      </c>
      <c r="CE174" s="391">
        <f>(CE73)</f>
        <v/>
      </c>
      <c r="CF174" s="386">
        <f>IF(CD174=CE174,"Y","N")</f>
        <v/>
      </c>
    </row>
    <row r="175">
      <c r="D175" s="149" t="inlineStr">
        <is>
          <t>Month 49</t>
        </is>
      </c>
      <c r="E175" s="447">
        <f>(E74)</f>
        <v/>
      </c>
      <c r="F175" s="116" t="n"/>
      <c r="G175" s="596" t="n"/>
      <c r="H175" s="596" t="n"/>
      <c r="I175" s="596" t="n"/>
      <c r="J175" s="596" t="n"/>
      <c r="K175" s="596" t="n"/>
      <c r="L175" s="596" t="n"/>
      <c r="M175" s="596" t="n"/>
      <c r="N175" s="596" t="n"/>
      <c r="O175" s="596" t="n"/>
      <c r="P175" s="596" t="n"/>
      <c r="Q175" s="596" t="n"/>
      <c r="R175" s="596" t="n"/>
      <c r="S175" s="601" t="n"/>
      <c r="T175" s="596" t="n"/>
      <c r="U175" s="596" t="n"/>
      <c r="V175" s="596" t="n"/>
      <c r="W175" s="596" t="n"/>
      <c r="X175" s="596" t="n"/>
      <c r="Y175" s="596" t="n"/>
      <c r="Z175" s="596" t="n"/>
      <c r="AA175" s="596" t="n"/>
      <c r="AB175" s="596" t="n"/>
      <c r="AC175" s="596" t="n"/>
      <c r="AD175" s="597" t="n"/>
      <c r="AE175" s="601" t="n"/>
      <c r="AF175" s="596" t="n"/>
      <c r="AG175" s="596" t="n"/>
      <c r="AH175" s="596" t="n"/>
      <c r="AI175" s="596" t="n"/>
      <c r="AJ175" s="596" t="n"/>
      <c r="AK175" s="596" t="n"/>
      <c r="AL175" s="596" t="n"/>
      <c r="AM175" s="596" t="n"/>
      <c r="AN175" s="596" t="n"/>
      <c r="AO175" s="596" t="n"/>
      <c r="AP175" s="597" t="n"/>
      <c r="AQ175" s="601" t="n"/>
      <c r="AR175" s="596" t="n"/>
      <c r="AS175" s="596" t="n"/>
      <c r="AT175" s="596" t="n"/>
      <c r="AU175" s="596" t="n"/>
      <c r="AV175" s="596" t="n"/>
      <c r="AW175" s="596" t="n"/>
      <c r="AX175" s="596" t="n"/>
      <c r="AY175" s="596" t="n"/>
      <c r="AZ175" s="596" t="n"/>
      <c r="BA175" s="596" t="n"/>
      <c r="BB175" s="597" t="n"/>
      <c r="BC175" s="601" t="n"/>
      <c r="BD175" s="596" t="n"/>
      <c r="BE175" s="596" t="n"/>
      <c r="BF175" s="596" t="n"/>
      <c r="BG175" s="596" t="n"/>
      <c r="BH175" s="596" t="n"/>
      <c r="BI175" s="596" t="n"/>
      <c r="BJ175" s="596" t="n"/>
      <c r="BK175" s="596" t="n"/>
      <c r="BL175" s="596" t="n"/>
      <c r="BM175" s="596" t="n"/>
      <c r="BN175" s="596" t="n"/>
      <c r="BO175" s="442">
        <f>(($E175)-SUM(BC74:BO74))</f>
        <v/>
      </c>
      <c r="BP175" s="122" t="n"/>
      <c r="BQ175" s="122" t="n"/>
      <c r="BR175" s="122" t="n"/>
      <c r="BS175" s="122" t="n"/>
      <c r="BT175" s="122" t="n"/>
      <c r="BU175" s="122" t="n"/>
      <c r="BV175" s="122" t="n"/>
      <c r="BW175" s="122" t="n"/>
      <c r="BX175" s="122" t="n"/>
      <c r="BY175" s="122" t="n"/>
      <c r="BZ175" s="122" t="n"/>
      <c r="CA175" s="122" t="n"/>
      <c r="CB175" s="397">
        <f>SUM(G74:BZ74)</f>
        <v/>
      </c>
      <c r="CC175" s="122" t="n"/>
      <c r="CD175" s="397">
        <f>(($E175)-SUM(AQ74:$BN74))</f>
        <v/>
      </c>
      <c r="CE175" s="391">
        <f>(CE74)</f>
        <v/>
      </c>
      <c r="CF175" s="386">
        <f>IF(CD175=CE175,"Y","N")</f>
        <v/>
      </c>
    </row>
    <row r="176">
      <c r="D176" s="149" t="inlineStr">
        <is>
          <t>Month 50</t>
        </is>
      </c>
      <c r="E176" s="447">
        <f>(E75)</f>
        <v/>
      </c>
      <c r="F176" s="116" t="n"/>
      <c r="G176" s="596" t="n"/>
      <c r="H176" s="596" t="n"/>
      <c r="I176" s="596" t="n"/>
      <c r="J176" s="596" t="n"/>
      <c r="K176" s="596" t="n"/>
      <c r="L176" s="596" t="n"/>
      <c r="M176" s="596" t="n"/>
      <c r="N176" s="596" t="n"/>
      <c r="O176" s="596" t="n"/>
      <c r="P176" s="596" t="n"/>
      <c r="Q176" s="596" t="n"/>
      <c r="R176" s="596" t="n"/>
      <c r="S176" s="601" t="n"/>
      <c r="T176" s="596" t="n"/>
      <c r="U176" s="596" t="n"/>
      <c r="V176" s="596" t="n"/>
      <c r="W176" s="596" t="n"/>
      <c r="X176" s="596" t="n"/>
      <c r="Y176" s="596" t="n"/>
      <c r="Z176" s="596" t="n"/>
      <c r="AA176" s="596" t="n"/>
      <c r="AB176" s="596" t="n"/>
      <c r="AC176" s="596" t="n"/>
      <c r="AD176" s="597" t="n"/>
      <c r="AE176" s="601" t="n"/>
      <c r="AF176" s="596" t="n"/>
      <c r="AG176" s="596" t="n"/>
      <c r="AH176" s="596" t="n"/>
      <c r="AI176" s="596" t="n"/>
      <c r="AJ176" s="596" t="n"/>
      <c r="AK176" s="596" t="n"/>
      <c r="AL176" s="596" t="n"/>
      <c r="AM176" s="596" t="n"/>
      <c r="AN176" s="596" t="n"/>
      <c r="AO176" s="596" t="n"/>
      <c r="AP176" s="597" t="n"/>
      <c r="AQ176" s="601" t="n"/>
      <c r="AR176" s="596" t="n"/>
      <c r="AS176" s="596" t="n"/>
      <c r="AT176" s="596" t="n"/>
      <c r="AU176" s="596" t="n"/>
      <c r="AV176" s="596" t="n"/>
      <c r="AW176" s="596" t="n"/>
      <c r="AX176" s="596" t="n"/>
      <c r="AY176" s="596" t="n"/>
      <c r="AZ176" s="596" t="n"/>
      <c r="BA176" s="596" t="n"/>
      <c r="BB176" s="597" t="n"/>
      <c r="BC176" s="601" t="n"/>
      <c r="BD176" s="596" t="n"/>
      <c r="BE176" s="596" t="n"/>
      <c r="BF176" s="596" t="n"/>
      <c r="BG176" s="596" t="n"/>
      <c r="BH176" s="596" t="n"/>
      <c r="BI176" s="596" t="n"/>
      <c r="BJ176" s="596" t="n"/>
      <c r="BK176" s="596" t="n"/>
      <c r="BL176" s="596" t="n"/>
      <c r="BM176" s="596" t="n"/>
      <c r="BN176" s="596" t="n"/>
      <c r="BO176" s="601" t="n"/>
      <c r="BP176" s="441">
        <f>(($E176)-SUM(BD75:BP75))</f>
        <v/>
      </c>
      <c r="BQ176" s="122" t="n"/>
      <c r="BR176" s="122" t="n"/>
      <c r="BS176" s="122" t="n"/>
      <c r="BT176" s="122" t="n"/>
      <c r="BU176" s="122" t="n"/>
      <c r="BV176" s="122" t="n"/>
      <c r="BW176" s="122" t="n"/>
      <c r="BX176" s="122" t="n"/>
      <c r="BY176" s="122" t="n"/>
      <c r="BZ176" s="122" t="n"/>
      <c r="CA176" s="122" t="n"/>
      <c r="CB176" s="397">
        <f>SUM(G75:BZ75)</f>
        <v/>
      </c>
      <c r="CC176" s="122" t="n"/>
      <c r="CD176" s="397">
        <f>(($E176)-SUM(AQ75:$BN75))</f>
        <v/>
      </c>
      <c r="CE176" s="391">
        <f>(CE75)</f>
        <v/>
      </c>
      <c r="CF176" s="386">
        <f>IF(CD176=CE176,"Y","N")</f>
        <v/>
      </c>
    </row>
    <row r="177">
      <c r="D177" s="149" t="inlineStr">
        <is>
          <t>Month 51</t>
        </is>
      </c>
      <c r="E177" s="447">
        <f>(E76)</f>
        <v/>
      </c>
      <c r="F177" s="116" t="n"/>
      <c r="G177" s="596" t="n"/>
      <c r="H177" s="596" t="n"/>
      <c r="I177" s="596" t="n"/>
      <c r="J177" s="596" t="n"/>
      <c r="K177" s="596" t="n"/>
      <c r="L177" s="596" t="n"/>
      <c r="M177" s="596" t="n"/>
      <c r="N177" s="596" t="n"/>
      <c r="O177" s="596" t="n"/>
      <c r="P177" s="596" t="n"/>
      <c r="Q177" s="596" t="n"/>
      <c r="R177" s="596" t="n"/>
      <c r="S177" s="601" t="n"/>
      <c r="T177" s="596" t="n"/>
      <c r="U177" s="596" t="n"/>
      <c r="V177" s="596" t="n"/>
      <c r="W177" s="596" t="n"/>
      <c r="X177" s="596" t="n"/>
      <c r="Y177" s="596" t="n"/>
      <c r="Z177" s="596" t="n"/>
      <c r="AA177" s="596" t="n"/>
      <c r="AB177" s="596" t="n"/>
      <c r="AC177" s="596" t="n"/>
      <c r="AD177" s="597" t="n"/>
      <c r="AE177" s="601" t="n"/>
      <c r="AF177" s="596" t="n"/>
      <c r="AG177" s="596" t="n"/>
      <c r="AH177" s="596" t="n"/>
      <c r="AI177" s="596" t="n"/>
      <c r="AJ177" s="596" t="n"/>
      <c r="AK177" s="596" t="n"/>
      <c r="AL177" s="596" t="n"/>
      <c r="AM177" s="596" t="n"/>
      <c r="AN177" s="596" t="n"/>
      <c r="AO177" s="596" t="n"/>
      <c r="AP177" s="597" t="n"/>
      <c r="AQ177" s="601" t="n"/>
      <c r="AR177" s="596" t="n"/>
      <c r="AS177" s="596" t="n"/>
      <c r="AT177" s="596" t="n"/>
      <c r="AU177" s="596" t="n"/>
      <c r="AV177" s="596" t="n"/>
      <c r="AW177" s="596" t="n"/>
      <c r="AX177" s="596" t="n"/>
      <c r="AY177" s="596" t="n"/>
      <c r="AZ177" s="596" t="n"/>
      <c r="BA177" s="596" t="n"/>
      <c r="BB177" s="597" t="n"/>
      <c r="BC177" s="601" t="n"/>
      <c r="BD177" s="596" t="n"/>
      <c r="BE177" s="596" t="n"/>
      <c r="BF177" s="596" t="n"/>
      <c r="BG177" s="596" t="n"/>
      <c r="BH177" s="596" t="n"/>
      <c r="BI177" s="596" t="n"/>
      <c r="BJ177" s="596" t="n"/>
      <c r="BK177" s="596" t="n"/>
      <c r="BL177" s="596" t="n"/>
      <c r="BM177" s="596" t="n"/>
      <c r="BN177" s="596" t="n"/>
      <c r="BO177" s="601" t="n"/>
      <c r="BP177" s="596" t="n"/>
      <c r="BQ177" s="441">
        <f>(($E177)-SUM(BE76:BQ76))</f>
        <v/>
      </c>
      <c r="BR177" s="122" t="n"/>
      <c r="BS177" s="122" t="n"/>
      <c r="BT177" s="122" t="n"/>
      <c r="BU177" s="122" t="n"/>
      <c r="BV177" s="122" t="n"/>
      <c r="BW177" s="122" t="n"/>
      <c r="BX177" s="122" t="n"/>
      <c r="BY177" s="122" t="n"/>
      <c r="BZ177" s="122" t="n"/>
      <c r="CA177" s="122" t="n"/>
      <c r="CB177" s="397">
        <f>SUM(G76:BZ76)</f>
        <v/>
      </c>
      <c r="CC177" s="122" t="n"/>
      <c r="CD177" s="397">
        <f>(($E177)-SUM(AQ76:$BN76))</f>
        <v/>
      </c>
      <c r="CE177" s="391">
        <f>(CE76)</f>
        <v/>
      </c>
      <c r="CF177" s="386">
        <f>IF(CD177=CE177,"Y","N")</f>
        <v/>
      </c>
    </row>
    <row r="178">
      <c r="D178" s="149" t="inlineStr">
        <is>
          <t>Month 52</t>
        </is>
      </c>
      <c r="E178" s="447">
        <f>(E77)</f>
        <v/>
      </c>
      <c r="F178" s="116" t="n"/>
      <c r="G178" s="596" t="n"/>
      <c r="H178" s="596" t="n"/>
      <c r="I178" s="596" t="n"/>
      <c r="J178" s="596" t="n"/>
      <c r="K178" s="596" t="n"/>
      <c r="L178" s="596" t="n"/>
      <c r="M178" s="596" t="n"/>
      <c r="N178" s="596" t="n"/>
      <c r="O178" s="596" t="n"/>
      <c r="P178" s="596" t="n"/>
      <c r="Q178" s="596" t="n"/>
      <c r="R178" s="596" t="n"/>
      <c r="S178" s="601" t="n"/>
      <c r="T178" s="596" t="n"/>
      <c r="U178" s="596" t="n"/>
      <c r="V178" s="596" t="n"/>
      <c r="W178" s="596" t="n"/>
      <c r="X178" s="596" t="n"/>
      <c r="Y178" s="596" t="n"/>
      <c r="Z178" s="596" t="n"/>
      <c r="AA178" s="596" t="n"/>
      <c r="AB178" s="596" t="n"/>
      <c r="AC178" s="596" t="n"/>
      <c r="AD178" s="597" t="n"/>
      <c r="AE178" s="601" t="n"/>
      <c r="AF178" s="596" t="n"/>
      <c r="AG178" s="596" t="n"/>
      <c r="AH178" s="596" t="n"/>
      <c r="AI178" s="596" t="n"/>
      <c r="AJ178" s="596" t="n"/>
      <c r="AK178" s="596" t="n"/>
      <c r="AL178" s="596" t="n"/>
      <c r="AM178" s="596" t="n"/>
      <c r="AN178" s="596" t="n"/>
      <c r="AO178" s="596" t="n"/>
      <c r="AP178" s="597" t="n"/>
      <c r="AQ178" s="601" t="n"/>
      <c r="AR178" s="596" t="n"/>
      <c r="AS178" s="596" t="n"/>
      <c r="AT178" s="596" t="n"/>
      <c r="AU178" s="596" t="n"/>
      <c r="AV178" s="596" t="n"/>
      <c r="AW178" s="596" t="n"/>
      <c r="AX178" s="596" t="n"/>
      <c r="AY178" s="596" t="n"/>
      <c r="AZ178" s="596" t="n"/>
      <c r="BA178" s="596" t="n"/>
      <c r="BB178" s="597" t="n"/>
      <c r="BC178" s="601" t="n"/>
      <c r="BD178" s="596" t="n"/>
      <c r="BE178" s="596" t="n"/>
      <c r="BF178" s="596" t="n"/>
      <c r="BG178" s="596" t="n"/>
      <c r="BH178" s="596" t="n"/>
      <c r="BI178" s="596" t="n"/>
      <c r="BJ178" s="596" t="n"/>
      <c r="BK178" s="596" t="n"/>
      <c r="BL178" s="596" t="n"/>
      <c r="BM178" s="596" t="n"/>
      <c r="BN178" s="596" t="n"/>
      <c r="BO178" s="601" t="n"/>
      <c r="BP178" s="596" t="n"/>
      <c r="BQ178" s="596" t="n"/>
      <c r="BR178" s="441">
        <f>(($E178)-SUM(BF77:BR77))</f>
        <v/>
      </c>
      <c r="BS178" s="122" t="n"/>
      <c r="BT178" s="122" t="n"/>
      <c r="BU178" s="122" t="n"/>
      <c r="BV178" s="122" t="n"/>
      <c r="BW178" s="122" t="n"/>
      <c r="BX178" s="122" t="n"/>
      <c r="BY178" s="122" t="n"/>
      <c r="BZ178" s="122" t="n"/>
      <c r="CA178" s="122" t="n"/>
      <c r="CB178" s="397">
        <f>SUM(G77:BZ77)</f>
        <v/>
      </c>
      <c r="CC178" s="122" t="n"/>
      <c r="CD178" s="397">
        <f>(($E178)-SUM(AQ77:$BN77))</f>
        <v/>
      </c>
      <c r="CE178" s="391">
        <f>(CE77)</f>
        <v/>
      </c>
      <c r="CF178" s="386">
        <f>IF(CD178=CE178,"Y","N")</f>
        <v/>
      </c>
    </row>
    <row r="179">
      <c r="D179" s="149" t="inlineStr">
        <is>
          <t>Month 53</t>
        </is>
      </c>
      <c r="E179" s="447">
        <f>(E78)</f>
        <v/>
      </c>
      <c r="F179" s="116" t="n"/>
      <c r="G179" s="596" t="n"/>
      <c r="H179" s="596" t="n"/>
      <c r="I179" s="596" t="n"/>
      <c r="J179" s="596" t="n"/>
      <c r="K179" s="596" t="n"/>
      <c r="L179" s="596" t="n"/>
      <c r="M179" s="596" t="n"/>
      <c r="N179" s="596" t="n"/>
      <c r="O179" s="596" t="n"/>
      <c r="P179" s="596" t="n"/>
      <c r="Q179" s="596" t="n"/>
      <c r="R179" s="596" t="n"/>
      <c r="S179" s="601" t="n"/>
      <c r="T179" s="596" t="n"/>
      <c r="U179" s="596" t="n"/>
      <c r="V179" s="596" t="n"/>
      <c r="W179" s="596" t="n"/>
      <c r="X179" s="596" t="n"/>
      <c r="Y179" s="596" t="n"/>
      <c r="Z179" s="596" t="n"/>
      <c r="AA179" s="596" t="n"/>
      <c r="AB179" s="596" t="n"/>
      <c r="AC179" s="596" t="n"/>
      <c r="AD179" s="597" t="n"/>
      <c r="AE179" s="601" t="n"/>
      <c r="AF179" s="596" t="n"/>
      <c r="AG179" s="596" t="n"/>
      <c r="AH179" s="596" t="n"/>
      <c r="AI179" s="596" t="n"/>
      <c r="AJ179" s="596" t="n"/>
      <c r="AK179" s="596" t="n"/>
      <c r="AL179" s="596" t="n"/>
      <c r="AM179" s="596" t="n"/>
      <c r="AN179" s="596" t="n"/>
      <c r="AO179" s="596" t="n"/>
      <c r="AP179" s="597" t="n"/>
      <c r="AQ179" s="601" t="n"/>
      <c r="AR179" s="596" t="n"/>
      <c r="AS179" s="596" t="n"/>
      <c r="AT179" s="596" t="n"/>
      <c r="AU179" s="596" t="n"/>
      <c r="AV179" s="596" t="n"/>
      <c r="AW179" s="596" t="n"/>
      <c r="AX179" s="596" t="n"/>
      <c r="AY179" s="596" t="n"/>
      <c r="AZ179" s="596" t="n"/>
      <c r="BA179" s="596" t="n"/>
      <c r="BB179" s="597" t="n"/>
      <c r="BC179" s="601" t="n"/>
      <c r="BD179" s="596" t="n"/>
      <c r="BE179" s="596" t="n"/>
      <c r="BF179" s="596" t="n"/>
      <c r="BG179" s="596" t="n"/>
      <c r="BH179" s="596" t="n"/>
      <c r="BI179" s="596" t="n"/>
      <c r="BJ179" s="596" t="n"/>
      <c r="BK179" s="596" t="n"/>
      <c r="BL179" s="596" t="n"/>
      <c r="BM179" s="596" t="n"/>
      <c r="BN179" s="596" t="n"/>
      <c r="BO179" s="601" t="n"/>
      <c r="BP179" s="596" t="n"/>
      <c r="BQ179" s="596" t="n"/>
      <c r="BR179" s="596" t="n"/>
      <c r="BS179" s="441">
        <f>(($E179)-SUM(BG78:BS78))</f>
        <v/>
      </c>
      <c r="BT179" s="122" t="n"/>
      <c r="BU179" s="122" t="n"/>
      <c r="BV179" s="122" t="n"/>
      <c r="BW179" s="122" t="n"/>
      <c r="BX179" s="122" t="n"/>
      <c r="BY179" s="122" t="n"/>
      <c r="BZ179" s="122" t="n"/>
      <c r="CA179" s="122" t="n"/>
      <c r="CB179" s="397">
        <f>SUM(G78:BZ78)</f>
        <v/>
      </c>
      <c r="CC179" s="122" t="n"/>
      <c r="CD179" s="397">
        <f>(($E179)-SUM(AQ78:$BN78))</f>
        <v/>
      </c>
      <c r="CE179" s="391">
        <f>(CE78)</f>
        <v/>
      </c>
      <c r="CF179" s="386">
        <f>IF(CD179=CE179,"Y","N")</f>
        <v/>
      </c>
    </row>
    <row r="180">
      <c r="D180" s="149" t="inlineStr">
        <is>
          <t>Month 54</t>
        </is>
      </c>
      <c r="E180" s="447">
        <f>(E79)</f>
        <v/>
      </c>
      <c r="F180" s="116" t="n"/>
      <c r="G180" s="596" t="n"/>
      <c r="H180" s="596" t="n"/>
      <c r="I180" s="596" t="n"/>
      <c r="J180" s="596" t="n"/>
      <c r="K180" s="596" t="n"/>
      <c r="L180" s="596" t="n"/>
      <c r="M180" s="596" t="n"/>
      <c r="N180" s="596" t="n"/>
      <c r="O180" s="596" t="n"/>
      <c r="P180" s="596" t="n"/>
      <c r="Q180" s="596" t="n"/>
      <c r="R180" s="596" t="n"/>
      <c r="S180" s="601" t="n"/>
      <c r="T180" s="596" t="n"/>
      <c r="U180" s="596" t="n"/>
      <c r="V180" s="596" t="n"/>
      <c r="W180" s="596" t="n"/>
      <c r="X180" s="596" t="n"/>
      <c r="Y180" s="596" t="n"/>
      <c r="Z180" s="596" t="n"/>
      <c r="AA180" s="596" t="n"/>
      <c r="AB180" s="596" t="n"/>
      <c r="AC180" s="596" t="n"/>
      <c r="AD180" s="597" t="n"/>
      <c r="AE180" s="601" t="n"/>
      <c r="AF180" s="596" t="n"/>
      <c r="AG180" s="596" t="n"/>
      <c r="AH180" s="596" t="n"/>
      <c r="AI180" s="596" t="n"/>
      <c r="AJ180" s="596" t="n"/>
      <c r="AK180" s="596" t="n"/>
      <c r="AL180" s="596" t="n"/>
      <c r="AM180" s="596" t="n"/>
      <c r="AN180" s="596" t="n"/>
      <c r="AO180" s="596" t="n"/>
      <c r="AP180" s="597" t="n"/>
      <c r="AQ180" s="601" t="n"/>
      <c r="AR180" s="596" t="n"/>
      <c r="AS180" s="596" t="n"/>
      <c r="AT180" s="596" t="n"/>
      <c r="AU180" s="596" t="n"/>
      <c r="AV180" s="596" t="n"/>
      <c r="AW180" s="596" t="n"/>
      <c r="AX180" s="596" t="n"/>
      <c r="AY180" s="596" t="n"/>
      <c r="AZ180" s="596" t="n"/>
      <c r="BA180" s="596" t="n"/>
      <c r="BB180" s="597" t="n"/>
      <c r="BC180" s="601" t="n"/>
      <c r="BD180" s="596" t="n"/>
      <c r="BE180" s="596" t="n"/>
      <c r="BF180" s="596" t="n"/>
      <c r="BG180" s="596" t="n"/>
      <c r="BH180" s="596" t="n"/>
      <c r="BI180" s="596" t="n"/>
      <c r="BJ180" s="596" t="n"/>
      <c r="BK180" s="596" t="n"/>
      <c r="BL180" s="596" t="n"/>
      <c r="BM180" s="596" t="n"/>
      <c r="BN180" s="596" t="n"/>
      <c r="BO180" s="601" t="n"/>
      <c r="BP180" s="596" t="n"/>
      <c r="BQ180" s="596" t="n"/>
      <c r="BR180" s="596" t="n"/>
      <c r="BS180" s="596" t="n"/>
      <c r="BT180" s="441">
        <f>(($E180)-SUM(BH79:BT79))</f>
        <v/>
      </c>
      <c r="BU180" s="122" t="n"/>
      <c r="BV180" s="122" t="n"/>
      <c r="BW180" s="122" t="n"/>
      <c r="BX180" s="122" t="n"/>
      <c r="BY180" s="122" t="n"/>
      <c r="BZ180" s="122" t="n"/>
      <c r="CA180" s="122" t="n"/>
      <c r="CB180" s="397">
        <f>SUM(G79:BZ79)</f>
        <v/>
      </c>
      <c r="CC180" s="122" t="n"/>
      <c r="CD180" s="397">
        <f>(($E180)-SUM(AQ79:$BN79))</f>
        <v/>
      </c>
      <c r="CE180" s="391">
        <f>(CE79)</f>
        <v/>
      </c>
      <c r="CF180" s="386">
        <f>IF(CD180=CE180,"Y","N")</f>
        <v/>
      </c>
    </row>
    <row r="181">
      <c r="D181" s="149" t="inlineStr">
        <is>
          <t>Month 55</t>
        </is>
      </c>
      <c r="E181" s="447">
        <f>(E80)</f>
        <v/>
      </c>
      <c r="F181" s="116" t="n"/>
      <c r="G181" s="596" t="n"/>
      <c r="H181" s="596" t="n"/>
      <c r="I181" s="596" t="n"/>
      <c r="J181" s="596" t="n"/>
      <c r="K181" s="596" t="n"/>
      <c r="L181" s="596" t="n"/>
      <c r="M181" s="596" t="n"/>
      <c r="N181" s="596" t="n"/>
      <c r="O181" s="596" t="n"/>
      <c r="P181" s="596" t="n"/>
      <c r="Q181" s="596" t="n"/>
      <c r="R181" s="596" t="n"/>
      <c r="S181" s="601" t="n"/>
      <c r="T181" s="596" t="n"/>
      <c r="U181" s="596" t="n"/>
      <c r="V181" s="596" t="n"/>
      <c r="W181" s="596" t="n"/>
      <c r="X181" s="596" t="n"/>
      <c r="Y181" s="596" t="n"/>
      <c r="Z181" s="596" t="n"/>
      <c r="AA181" s="596" t="n"/>
      <c r="AB181" s="596" t="n"/>
      <c r="AC181" s="596" t="n"/>
      <c r="AD181" s="597" t="n"/>
      <c r="AE181" s="601" t="n"/>
      <c r="AF181" s="596" t="n"/>
      <c r="AG181" s="596" t="n"/>
      <c r="AH181" s="596" t="n"/>
      <c r="AI181" s="596" t="n"/>
      <c r="AJ181" s="596" t="n"/>
      <c r="AK181" s="596" t="n"/>
      <c r="AL181" s="596" t="n"/>
      <c r="AM181" s="596" t="n"/>
      <c r="AN181" s="596" t="n"/>
      <c r="AO181" s="596" t="n"/>
      <c r="AP181" s="597" t="n"/>
      <c r="AQ181" s="601" t="n"/>
      <c r="AR181" s="596" t="n"/>
      <c r="AS181" s="596" t="n"/>
      <c r="AT181" s="596" t="n"/>
      <c r="AU181" s="596" t="n"/>
      <c r="AV181" s="596" t="n"/>
      <c r="AW181" s="596" t="n"/>
      <c r="AX181" s="596" t="n"/>
      <c r="AY181" s="596" t="n"/>
      <c r="AZ181" s="596" t="n"/>
      <c r="BA181" s="596" t="n"/>
      <c r="BB181" s="597" t="n"/>
      <c r="BC181" s="601" t="n"/>
      <c r="BD181" s="596" t="n"/>
      <c r="BE181" s="596" t="n"/>
      <c r="BF181" s="596" t="n"/>
      <c r="BG181" s="596" t="n"/>
      <c r="BH181" s="596" t="n"/>
      <c r="BI181" s="596" t="n"/>
      <c r="BJ181" s="596" t="n"/>
      <c r="BK181" s="596" t="n"/>
      <c r="BL181" s="596" t="n"/>
      <c r="BM181" s="596" t="n"/>
      <c r="BN181" s="596" t="n"/>
      <c r="BO181" s="601" t="n"/>
      <c r="BP181" s="596" t="n"/>
      <c r="BQ181" s="596" t="n"/>
      <c r="BR181" s="596" t="n"/>
      <c r="BS181" s="596" t="n"/>
      <c r="BT181" s="596" t="n"/>
      <c r="BU181" s="441">
        <f>(($E181)-SUM(BI80:BU80))</f>
        <v/>
      </c>
      <c r="BV181" s="122" t="n"/>
      <c r="BW181" s="122" t="n"/>
      <c r="BX181" s="122" t="n"/>
      <c r="BY181" s="122" t="n"/>
      <c r="BZ181" s="122" t="n"/>
      <c r="CA181" s="122" t="n"/>
      <c r="CB181" s="397">
        <f>SUM(G80:BZ80)</f>
        <v/>
      </c>
      <c r="CC181" s="122" t="n"/>
      <c r="CD181" s="397">
        <f>(($E181)-SUM(AQ80:$BN80))</f>
        <v/>
      </c>
      <c r="CE181" s="391">
        <f>(CE80)</f>
        <v/>
      </c>
      <c r="CF181" s="386">
        <f>IF(CD181=CE181,"Y","N")</f>
        <v/>
      </c>
    </row>
    <row r="182">
      <c r="D182" s="149" t="inlineStr">
        <is>
          <t>Month 56</t>
        </is>
      </c>
      <c r="E182" s="447">
        <f>(E81)</f>
        <v/>
      </c>
      <c r="F182" s="116" t="n"/>
      <c r="G182" s="596" t="n"/>
      <c r="H182" s="596" t="n"/>
      <c r="I182" s="596" t="n"/>
      <c r="J182" s="596" t="n"/>
      <c r="K182" s="596" t="n"/>
      <c r="L182" s="596" t="n"/>
      <c r="M182" s="596" t="n"/>
      <c r="N182" s="596" t="n"/>
      <c r="O182" s="596" t="n"/>
      <c r="P182" s="596" t="n"/>
      <c r="Q182" s="596" t="n"/>
      <c r="R182" s="596" t="n"/>
      <c r="S182" s="601" t="n"/>
      <c r="T182" s="596" t="n"/>
      <c r="U182" s="596" t="n"/>
      <c r="V182" s="596" t="n"/>
      <c r="W182" s="596" t="n"/>
      <c r="X182" s="596" t="n"/>
      <c r="Y182" s="596" t="n"/>
      <c r="Z182" s="596" t="n"/>
      <c r="AA182" s="596" t="n"/>
      <c r="AB182" s="596" t="n"/>
      <c r="AC182" s="596" t="n"/>
      <c r="AD182" s="597" t="n"/>
      <c r="AE182" s="601" t="n"/>
      <c r="AF182" s="596" t="n"/>
      <c r="AG182" s="596" t="n"/>
      <c r="AH182" s="596" t="n"/>
      <c r="AI182" s="596" t="n"/>
      <c r="AJ182" s="596" t="n"/>
      <c r="AK182" s="596" t="n"/>
      <c r="AL182" s="596" t="n"/>
      <c r="AM182" s="596" t="n"/>
      <c r="AN182" s="596" t="n"/>
      <c r="AO182" s="596" t="n"/>
      <c r="AP182" s="597" t="n"/>
      <c r="AQ182" s="601" t="n"/>
      <c r="AR182" s="596" t="n"/>
      <c r="AS182" s="596" t="n"/>
      <c r="AT182" s="596" t="n"/>
      <c r="AU182" s="596" t="n"/>
      <c r="AV182" s="596" t="n"/>
      <c r="AW182" s="596" t="n"/>
      <c r="AX182" s="596" t="n"/>
      <c r="AY182" s="596" t="n"/>
      <c r="AZ182" s="596" t="n"/>
      <c r="BA182" s="596" t="n"/>
      <c r="BB182" s="597" t="n"/>
      <c r="BC182" s="601" t="n"/>
      <c r="BD182" s="596" t="n"/>
      <c r="BE182" s="596" t="n"/>
      <c r="BF182" s="596" t="n"/>
      <c r="BG182" s="596" t="n"/>
      <c r="BH182" s="596" t="n"/>
      <c r="BI182" s="596" t="n"/>
      <c r="BJ182" s="596" t="n"/>
      <c r="BK182" s="596" t="n"/>
      <c r="BL182" s="596" t="n"/>
      <c r="BM182" s="596" t="n"/>
      <c r="BN182" s="596" t="n"/>
      <c r="BO182" s="601" t="n"/>
      <c r="BP182" s="596" t="n"/>
      <c r="BQ182" s="596" t="n"/>
      <c r="BR182" s="596" t="n"/>
      <c r="BS182" s="596" t="n"/>
      <c r="BT182" s="596" t="n"/>
      <c r="BU182" s="596" t="n"/>
      <c r="BV182" s="441">
        <f>(($E182)-SUM(BJ81:BV81))</f>
        <v/>
      </c>
      <c r="BW182" s="122" t="n"/>
      <c r="BX182" s="122" t="n"/>
      <c r="BY182" s="122" t="n"/>
      <c r="BZ182" s="122" t="n"/>
      <c r="CA182" s="122" t="n"/>
      <c r="CB182" s="397">
        <f>SUM(G81:BZ81)</f>
        <v/>
      </c>
      <c r="CC182" s="122" t="n"/>
      <c r="CD182" s="397">
        <f>(($E182)-SUM(AQ81:$BN81))</f>
        <v/>
      </c>
      <c r="CE182" s="391">
        <f>(CE81)</f>
        <v/>
      </c>
      <c r="CF182" s="386">
        <f>IF(CD182=CE182,"Y","N")</f>
        <v/>
      </c>
    </row>
    <row r="183">
      <c r="D183" s="149" t="inlineStr">
        <is>
          <t>Month 57</t>
        </is>
      </c>
      <c r="E183" s="447">
        <f>(E82)</f>
        <v/>
      </c>
      <c r="F183" s="116" t="n"/>
      <c r="G183" s="596" t="n"/>
      <c r="H183" s="596" t="n"/>
      <c r="I183" s="596" t="n"/>
      <c r="J183" s="596" t="n"/>
      <c r="K183" s="596" t="n"/>
      <c r="L183" s="596" t="n"/>
      <c r="M183" s="596" t="n"/>
      <c r="N183" s="596" t="n"/>
      <c r="O183" s="596" t="n"/>
      <c r="P183" s="596" t="n"/>
      <c r="Q183" s="596" t="n"/>
      <c r="R183" s="596" t="n"/>
      <c r="S183" s="601" t="n"/>
      <c r="T183" s="596" t="n"/>
      <c r="U183" s="596" t="n"/>
      <c r="V183" s="596" t="n"/>
      <c r="W183" s="596" t="n"/>
      <c r="X183" s="596" t="n"/>
      <c r="Y183" s="596" t="n"/>
      <c r="Z183" s="596" t="n"/>
      <c r="AA183" s="596" t="n"/>
      <c r="AB183" s="596" t="n"/>
      <c r="AC183" s="596" t="n"/>
      <c r="AD183" s="597" t="n"/>
      <c r="AE183" s="601" t="n"/>
      <c r="AF183" s="596" t="n"/>
      <c r="AG183" s="596" t="n"/>
      <c r="AH183" s="596" t="n"/>
      <c r="AI183" s="596" t="n"/>
      <c r="AJ183" s="596" t="n"/>
      <c r="AK183" s="596" t="n"/>
      <c r="AL183" s="596" t="n"/>
      <c r="AM183" s="596" t="n"/>
      <c r="AN183" s="596" t="n"/>
      <c r="AO183" s="596" t="n"/>
      <c r="AP183" s="597" t="n"/>
      <c r="AQ183" s="601" t="n"/>
      <c r="AR183" s="596" t="n"/>
      <c r="AS183" s="596" t="n"/>
      <c r="AT183" s="596" t="n"/>
      <c r="AU183" s="596" t="n"/>
      <c r="AV183" s="596" t="n"/>
      <c r="AW183" s="596" t="n"/>
      <c r="AX183" s="596" t="n"/>
      <c r="AY183" s="596" t="n"/>
      <c r="AZ183" s="596" t="n"/>
      <c r="BA183" s="596" t="n"/>
      <c r="BB183" s="597" t="n"/>
      <c r="BC183" s="601" t="n"/>
      <c r="BD183" s="596" t="n"/>
      <c r="BE183" s="596" t="n"/>
      <c r="BF183" s="596" t="n"/>
      <c r="BG183" s="596" t="n"/>
      <c r="BH183" s="596" t="n"/>
      <c r="BI183" s="596" t="n"/>
      <c r="BJ183" s="596" t="n"/>
      <c r="BK183" s="596" t="n"/>
      <c r="BL183" s="596" t="n"/>
      <c r="BM183" s="596" t="n"/>
      <c r="BN183" s="596" t="n"/>
      <c r="BO183" s="601" t="n"/>
      <c r="BP183" s="596" t="n"/>
      <c r="BQ183" s="596" t="n"/>
      <c r="BR183" s="596" t="n"/>
      <c r="BS183" s="596" t="n"/>
      <c r="BT183" s="596" t="n"/>
      <c r="BU183" s="596" t="n"/>
      <c r="BV183" s="596" t="n"/>
      <c r="BW183" s="441">
        <f>(($E183)-SUM(BK82:BW82))</f>
        <v/>
      </c>
      <c r="BX183" s="122" t="n"/>
      <c r="BY183" s="122" t="n"/>
      <c r="BZ183" s="122" t="n"/>
      <c r="CA183" s="122" t="n"/>
      <c r="CB183" s="397">
        <f>SUM(G82:BZ82)</f>
        <v/>
      </c>
      <c r="CC183" s="122" t="n"/>
      <c r="CD183" s="397">
        <f>(($E183)-SUM(AQ82:$BN82))</f>
        <v/>
      </c>
      <c r="CE183" s="391">
        <f>(CE82)</f>
        <v/>
      </c>
      <c r="CF183" s="386">
        <f>IF(CD183=CE183,"Y","N")</f>
        <v/>
      </c>
    </row>
    <row r="184">
      <c r="D184" s="149" t="inlineStr">
        <is>
          <t>Month 58</t>
        </is>
      </c>
      <c r="E184" s="447">
        <f>(E83)</f>
        <v/>
      </c>
      <c r="F184" s="116" t="n"/>
      <c r="G184" s="596" t="n"/>
      <c r="H184" s="596" t="n"/>
      <c r="I184" s="596" t="n"/>
      <c r="J184" s="596" t="n"/>
      <c r="K184" s="596" t="n"/>
      <c r="L184" s="596" t="n"/>
      <c r="M184" s="596" t="n"/>
      <c r="N184" s="596" t="n"/>
      <c r="O184" s="596" t="n"/>
      <c r="P184" s="596" t="n"/>
      <c r="Q184" s="596" t="n"/>
      <c r="R184" s="596" t="n"/>
      <c r="S184" s="601" t="n"/>
      <c r="T184" s="596" t="n"/>
      <c r="U184" s="596" t="n"/>
      <c r="V184" s="596" t="n"/>
      <c r="W184" s="596" t="n"/>
      <c r="X184" s="596" t="n"/>
      <c r="Y184" s="596" t="n"/>
      <c r="Z184" s="596" t="n"/>
      <c r="AA184" s="596" t="n"/>
      <c r="AB184" s="596" t="n"/>
      <c r="AC184" s="596" t="n"/>
      <c r="AD184" s="597" t="n"/>
      <c r="AE184" s="601" t="n"/>
      <c r="AF184" s="596" t="n"/>
      <c r="AG184" s="596" t="n"/>
      <c r="AH184" s="596" t="n"/>
      <c r="AI184" s="596" t="n"/>
      <c r="AJ184" s="596" t="n"/>
      <c r="AK184" s="596" t="n"/>
      <c r="AL184" s="596" t="n"/>
      <c r="AM184" s="596" t="n"/>
      <c r="AN184" s="596" t="n"/>
      <c r="AO184" s="596" t="n"/>
      <c r="AP184" s="597" t="n"/>
      <c r="AQ184" s="601" t="n"/>
      <c r="AR184" s="596" t="n"/>
      <c r="AS184" s="596" t="n"/>
      <c r="AT184" s="596" t="n"/>
      <c r="AU184" s="596" t="n"/>
      <c r="AV184" s="596" t="n"/>
      <c r="AW184" s="596" t="n"/>
      <c r="AX184" s="596" t="n"/>
      <c r="AY184" s="596" t="n"/>
      <c r="AZ184" s="596" t="n"/>
      <c r="BA184" s="596" t="n"/>
      <c r="BB184" s="597" t="n"/>
      <c r="BC184" s="601" t="n"/>
      <c r="BD184" s="596" t="n"/>
      <c r="BE184" s="596" t="n"/>
      <c r="BF184" s="596" t="n"/>
      <c r="BG184" s="596" t="n"/>
      <c r="BH184" s="596" t="n"/>
      <c r="BI184" s="596" t="n"/>
      <c r="BJ184" s="596" t="n"/>
      <c r="BK184" s="596" t="n"/>
      <c r="BL184" s="596" t="n"/>
      <c r="BM184" s="596" t="n"/>
      <c r="BN184" s="596" t="n"/>
      <c r="BO184" s="601" t="n"/>
      <c r="BP184" s="596" t="n"/>
      <c r="BQ184" s="596" t="n"/>
      <c r="BR184" s="596" t="n"/>
      <c r="BS184" s="596" t="n"/>
      <c r="BT184" s="596" t="n"/>
      <c r="BU184" s="596" t="n"/>
      <c r="BV184" s="596" t="n"/>
      <c r="BW184" s="596" t="n"/>
      <c r="BX184" s="441">
        <f>(($E184)-SUM(BL83:BX83))</f>
        <v/>
      </c>
      <c r="BY184" s="122" t="n"/>
      <c r="BZ184" s="122" t="n"/>
      <c r="CA184" s="122" t="n"/>
      <c r="CB184" s="397">
        <f>SUM(G83:BZ83)</f>
        <v/>
      </c>
      <c r="CC184" s="122" t="n"/>
      <c r="CD184" s="397">
        <f>(($E184)-SUM(AQ83:$BN83))</f>
        <v/>
      </c>
      <c r="CE184" s="391">
        <f>(CE83)</f>
        <v/>
      </c>
      <c r="CF184" s="386">
        <f>IF(CD184=CE184,"Y","N")</f>
        <v/>
      </c>
    </row>
    <row r="185">
      <c r="D185" s="149" t="inlineStr">
        <is>
          <t>Month 59</t>
        </is>
      </c>
      <c r="E185" s="447">
        <f>(E84)</f>
        <v/>
      </c>
      <c r="F185" s="116" t="n"/>
      <c r="G185" s="596" t="n"/>
      <c r="H185" s="596" t="n"/>
      <c r="I185" s="596" t="n"/>
      <c r="J185" s="596" t="n"/>
      <c r="K185" s="596" t="n"/>
      <c r="L185" s="596" t="n"/>
      <c r="M185" s="596" t="n"/>
      <c r="N185" s="596" t="n"/>
      <c r="O185" s="596" t="n"/>
      <c r="P185" s="596" t="n"/>
      <c r="Q185" s="596" t="n"/>
      <c r="R185" s="597" t="n"/>
      <c r="S185" s="601" t="n"/>
      <c r="T185" s="596" t="n"/>
      <c r="U185" s="596" t="n"/>
      <c r="V185" s="596" t="n"/>
      <c r="W185" s="596" t="n"/>
      <c r="X185" s="596" t="n"/>
      <c r="Y185" s="596" t="n"/>
      <c r="Z185" s="596" t="n"/>
      <c r="AA185" s="596" t="n"/>
      <c r="AB185" s="596" t="n"/>
      <c r="AC185" s="596" t="n"/>
      <c r="AD185" s="597" t="n"/>
      <c r="AE185" s="601" t="n"/>
      <c r="AF185" s="596" t="n"/>
      <c r="AG185" s="596" t="n"/>
      <c r="AH185" s="596" t="n"/>
      <c r="AI185" s="596" t="n"/>
      <c r="AJ185" s="596" t="n"/>
      <c r="AK185" s="596" t="n"/>
      <c r="AL185" s="596" t="n"/>
      <c r="AM185" s="596" t="n"/>
      <c r="AN185" s="596" t="n"/>
      <c r="AO185" s="596" t="n"/>
      <c r="AP185" s="597" t="n"/>
      <c r="AQ185" s="601" t="n"/>
      <c r="AR185" s="596" t="n"/>
      <c r="AS185" s="596" t="n"/>
      <c r="AT185" s="596" t="n"/>
      <c r="AU185" s="596" t="n"/>
      <c r="AV185" s="596" t="n"/>
      <c r="AW185" s="596" t="n"/>
      <c r="AX185" s="596" t="n"/>
      <c r="AY185" s="596" t="n"/>
      <c r="AZ185" s="596" t="n"/>
      <c r="BA185" s="596" t="n"/>
      <c r="BB185" s="597" t="n"/>
      <c r="BC185" s="601" t="n"/>
      <c r="BD185" s="596" t="n"/>
      <c r="BE185" s="596" t="n"/>
      <c r="BF185" s="596" t="n"/>
      <c r="BG185" s="596" t="n"/>
      <c r="BH185" s="596" t="n"/>
      <c r="BI185" s="596" t="n"/>
      <c r="BJ185" s="596" t="n"/>
      <c r="BK185" s="596" t="n"/>
      <c r="BL185" s="596" t="n"/>
      <c r="BM185" s="596" t="n"/>
      <c r="BN185" s="596" t="n"/>
      <c r="BO185" s="601" t="n"/>
      <c r="BP185" s="596" t="n"/>
      <c r="BQ185" s="596" t="n"/>
      <c r="BR185" s="596" t="n"/>
      <c r="BS185" s="596" t="n"/>
      <c r="BT185" s="596" t="n"/>
      <c r="BU185" s="596" t="n"/>
      <c r="BV185" s="596" t="n"/>
      <c r="BW185" s="596" t="n"/>
      <c r="BX185" s="596" t="n"/>
      <c r="BY185" s="441">
        <f>(($E185)-SUM(BM84:BY84))</f>
        <v/>
      </c>
      <c r="BZ185" s="122" t="n"/>
      <c r="CA185" s="122" t="n"/>
      <c r="CB185" s="397">
        <f>SUM(G84:BZ84)</f>
        <v/>
      </c>
      <c r="CC185" s="122" t="n"/>
      <c r="CD185" s="397">
        <f>(($E185)-SUM(AQ84:$BN84))</f>
        <v/>
      </c>
      <c r="CE185" s="391">
        <f>(CE84)</f>
        <v/>
      </c>
      <c r="CF185" s="386">
        <f>IF(CD185=CE185,"Y","N")</f>
        <v/>
      </c>
    </row>
    <row r="186">
      <c r="D186" s="149" t="inlineStr">
        <is>
          <t>Month 60</t>
        </is>
      </c>
      <c r="E186" s="447">
        <f>(E85)</f>
        <v/>
      </c>
      <c r="F186" s="116" t="n"/>
      <c r="G186" s="596" t="n"/>
      <c r="H186" s="596" t="n"/>
      <c r="I186" s="596" t="n"/>
      <c r="J186" s="596" t="n"/>
      <c r="K186" s="596" t="n"/>
      <c r="L186" s="596" t="n"/>
      <c r="M186" s="596" t="n"/>
      <c r="N186" s="596" t="n"/>
      <c r="O186" s="596" t="n"/>
      <c r="P186" s="596" t="n"/>
      <c r="Q186" s="596" t="n"/>
      <c r="R186" s="597" t="n"/>
      <c r="S186" s="601" t="n"/>
      <c r="T186" s="596" t="n"/>
      <c r="U186" s="596" t="n"/>
      <c r="V186" s="596" t="n"/>
      <c r="W186" s="596" t="n"/>
      <c r="X186" s="596" t="n"/>
      <c r="Y186" s="596" t="n"/>
      <c r="Z186" s="596" t="n"/>
      <c r="AA186" s="596" t="n"/>
      <c r="AB186" s="596" t="n"/>
      <c r="AC186" s="596" t="n"/>
      <c r="AD186" s="597" t="n"/>
      <c r="AE186" s="601" t="n"/>
      <c r="AF186" s="596" t="n"/>
      <c r="AG186" s="596" t="n"/>
      <c r="AH186" s="596" t="n"/>
      <c r="AI186" s="596" t="n"/>
      <c r="AJ186" s="596" t="n"/>
      <c r="AK186" s="596" t="n"/>
      <c r="AL186" s="596" t="n"/>
      <c r="AM186" s="596" t="n"/>
      <c r="AN186" s="596" t="n"/>
      <c r="AO186" s="596" t="n"/>
      <c r="AP186" s="597" t="n"/>
      <c r="AQ186" s="601" t="n"/>
      <c r="AR186" s="596" t="n"/>
      <c r="AS186" s="596" t="n"/>
      <c r="AT186" s="596" t="n"/>
      <c r="AU186" s="596" t="n"/>
      <c r="AV186" s="596" t="n"/>
      <c r="AW186" s="596" t="n"/>
      <c r="AX186" s="596" t="n"/>
      <c r="AY186" s="596" t="n"/>
      <c r="AZ186" s="596" t="n"/>
      <c r="BA186" s="596" t="n"/>
      <c r="BB186" s="597" t="n"/>
      <c r="BC186" s="601" t="n"/>
      <c r="BD186" s="596" t="n"/>
      <c r="BE186" s="596" t="n"/>
      <c r="BF186" s="596" t="n"/>
      <c r="BG186" s="596" t="n"/>
      <c r="BH186" s="596" t="n"/>
      <c r="BI186" s="596" t="n"/>
      <c r="BJ186" s="596" t="n"/>
      <c r="BK186" s="596" t="n"/>
      <c r="BL186" s="596" t="n"/>
      <c r="BM186" s="596" t="n"/>
      <c r="BN186" s="596" t="n"/>
      <c r="BO186" s="601" t="n"/>
      <c r="BP186" s="596" t="n"/>
      <c r="BQ186" s="596" t="n"/>
      <c r="BR186" s="596" t="n"/>
      <c r="BS186" s="596" t="n"/>
      <c r="BT186" s="596" t="n"/>
      <c r="BU186" s="596" t="n"/>
      <c r="BV186" s="596" t="n"/>
      <c r="BW186" s="596" t="n"/>
      <c r="BX186" s="596" t="n"/>
      <c r="BY186" s="596" t="n"/>
      <c r="BZ186" s="441">
        <f>(($E186)-SUM(BN85:BZ85))</f>
        <v/>
      </c>
      <c r="CA186" s="122" t="n"/>
      <c r="CB186" s="397">
        <f>SUM(G85:BZ85)</f>
        <v/>
      </c>
      <c r="CC186" s="122" t="n"/>
      <c r="CD186" s="397">
        <f>(($E186)-SUM(AQ85:$BN85))</f>
        <v/>
      </c>
      <c r="CE186" s="391">
        <f>(CE85)</f>
        <v/>
      </c>
      <c r="CF186" s="386">
        <f>IF(CD186=CE186,"Y","N")</f>
        <v/>
      </c>
    </row>
    <row r="187">
      <c r="D187" s="149" t="inlineStr">
        <is>
          <t>Month 61</t>
        </is>
      </c>
      <c r="E187" s="447">
        <f>(E86)</f>
        <v/>
      </c>
      <c r="F187" s="116" t="n"/>
      <c r="G187" s="596" t="n"/>
      <c r="H187" s="596" t="n"/>
      <c r="I187" s="596" t="n"/>
      <c r="J187" s="596" t="n"/>
      <c r="K187" s="596" t="n"/>
      <c r="L187" s="596" t="n"/>
      <c r="M187" s="596" t="n"/>
      <c r="N187" s="596" t="n"/>
      <c r="O187" s="596" t="n"/>
      <c r="P187" s="596" t="n"/>
      <c r="Q187" s="596" t="n"/>
      <c r="R187" s="597" t="n"/>
      <c r="S187" s="601" t="n"/>
      <c r="T187" s="596" t="n"/>
      <c r="U187" s="596" t="n"/>
      <c r="V187" s="596" t="n"/>
      <c r="W187" s="596" t="n"/>
      <c r="X187" s="596" t="n"/>
      <c r="Y187" s="596" t="n"/>
      <c r="Z187" s="596" t="n"/>
      <c r="AA187" s="596" t="n"/>
      <c r="AB187" s="596" t="n"/>
      <c r="AC187" s="596" t="n"/>
      <c r="AD187" s="597" t="n"/>
      <c r="AE187" s="601" t="n"/>
      <c r="AF187" s="596" t="n"/>
      <c r="AG187" s="596" t="n"/>
      <c r="AH187" s="596" t="n"/>
      <c r="AI187" s="596" t="n"/>
      <c r="AJ187" s="596" t="n"/>
      <c r="AK187" s="596" t="n"/>
      <c r="AL187" s="596" t="n"/>
      <c r="AM187" s="596" t="n"/>
      <c r="AN187" s="596" t="n"/>
      <c r="AO187" s="596" t="n"/>
      <c r="AP187" s="597" t="n"/>
      <c r="AQ187" s="601" t="n"/>
      <c r="AR187" s="596" t="n"/>
      <c r="AS187" s="596" t="n"/>
      <c r="AT187" s="596" t="n"/>
      <c r="AU187" s="596" t="n"/>
      <c r="AV187" s="596" t="n"/>
      <c r="AW187" s="596" t="n"/>
      <c r="AX187" s="596" t="n"/>
      <c r="AY187" s="596" t="n"/>
      <c r="AZ187" s="596" t="n"/>
      <c r="BA187" s="596" t="n"/>
      <c r="BB187" s="597" t="n"/>
      <c r="BC187" s="601" t="n"/>
      <c r="BD187" s="596" t="n"/>
      <c r="BE187" s="596" t="n"/>
      <c r="BF187" s="596" t="n"/>
      <c r="BG187" s="596" t="n"/>
      <c r="BH187" s="596" t="n"/>
      <c r="BI187" s="596" t="n"/>
      <c r="BJ187" s="596" t="n"/>
      <c r="BK187" s="596" t="n"/>
      <c r="BL187" s="596" t="n"/>
      <c r="BM187" s="596" t="n"/>
      <c r="BN187" s="596" t="n"/>
      <c r="BO187" s="601" t="n"/>
      <c r="BP187" s="596" t="n"/>
      <c r="BQ187" s="596" t="n"/>
      <c r="BR187" s="596" t="n"/>
      <c r="BS187" s="596" t="n"/>
      <c r="BT187" s="596" t="n"/>
      <c r="BU187" s="596" t="n"/>
      <c r="BV187" s="596" t="n"/>
      <c r="BW187" s="596" t="n"/>
      <c r="BX187" s="596" t="n"/>
      <c r="BY187" s="596" t="n"/>
      <c r="BZ187" s="596" t="n"/>
      <c r="CA187" s="122" t="n"/>
      <c r="CB187" s="397">
        <f>SUM(G86:BZ86)</f>
        <v/>
      </c>
      <c r="CC187" s="122" t="n"/>
      <c r="CD187" s="397">
        <f>(($E187)-SUM(AQ86:$BN86))</f>
        <v/>
      </c>
      <c r="CE187" s="391">
        <f>(CE86)</f>
        <v/>
      </c>
      <c r="CF187" s="386">
        <f>IF(CD187=CE187,"Y","N")</f>
        <v/>
      </c>
    </row>
    <row r="188">
      <c r="D188" s="149" t="inlineStr">
        <is>
          <t>Month 62</t>
        </is>
      </c>
      <c r="E188" s="447">
        <f>(E87)</f>
        <v/>
      </c>
      <c r="F188" s="116" t="n"/>
      <c r="G188" s="596" t="n"/>
      <c r="H188" s="596" t="n"/>
      <c r="I188" s="596" t="n"/>
      <c r="J188" s="596" t="n"/>
      <c r="K188" s="596" t="n"/>
      <c r="L188" s="596" t="n"/>
      <c r="M188" s="596" t="n"/>
      <c r="N188" s="596" t="n"/>
      <c r="O188" s="596" t="n"/>
      <c r="P188" s="596" t="n"/>
      <c r="Q188" s="596" t="n"/>
      <c r="R188" s="597" t="n"/>
      <c r="S188" s="601" t="n"/>
      <c r="T188" s="596" t="n"/>
      <c r="U188" s="596" t="n"/>
      <c r="V188" s="596" t="n"/>
      <c r="W188" s="596" t="n"/>
      <c r="X188" s="596" t="n"/>
      <c r="Y188" s="596" t="n"/>
      <c r="Z188" s="596" t="n"/>
      <c r="AA188" s="596" t="n"/>
      <c r="AB188" s="596" t="n"/>
      <c r="AC188" s="596" t="n"/>
      <c r="AD188" s="597" t="n"/>
      <c r="AE188" s="601" t="n"/>
      <c r="AF188" s="596" t="n"/>
      <c r="AG188" s="596" t="n"/>
      <c r="AH188" s="596" t="n"/>
      <c r="AI188" s="596" t="n"/>
      <c r="AJ188" s="596" t="n"/>
      <c r="AK188" s="596" t="n"/>
      <c r="AL188" s="596" t="n"/>
      <c r="AM188" s="596" t="n"/>
      <c r="AN188" s="596" t="n"/>
      <c r="AO188" s="596" t="n"/>
      <c r="AP188" s="597" t="n"/>
      <c r="AQ188" s="601" t="n"/>
      <c r="AR188" s="596" t="n"/>
      <c r="AS188" s="596" t="n"/>
      <c r="AT188" s="596" t="n"/>
      <c r="AU188" s="596" t="n"/>
      <c r="AV188" s="596" t="n"/>
      <c r="AW188" s="596" t="n"/>
      <c r="AX188" s="596" t="n"/>
      <c r="AY188" s="596" t="n"/>
      <c r="AZ188" s="596" t="n"/>
      <c r="BA188" s="596" t="n"/>
      <c r="BB188" s="597" t="n"/>
      <c r="BC188" s="601" t="n"/>
      <c r="BD188" s="596" t="n"/>
      <c r="BE188" s="596" t="n"/>
      <c r="BF188" s="596" t="n"/>
      <c r="BG188" s="596" t="n"/>
      <c r="BH188" s="596" t="n"/>
      <c r="BI188" s="596" t="n"/>
      <c r="BJ188" s="596" t="n"/>
      <c r="BK188" s="596" t="n"/>
      <c r="BL188" s="596" t="n"/>
      <c r="BM188" s="596" t="n"/>
      <c r="BN188" s="596" t="n"/>
      <c r="BO188" s="601" t="n"/>
      <c r="BP188" s="596" t="n"/>
      <c r="BQ188" s="596" t="n"/>
      <c r="BR188" s="596" t="n"/>
      <c r="BS188" s="596" t="n"/>
      <c r="BT188" s="596" t="n"/>
      <c r="BU188" s="596" t="n"/>
      <c r="BV188" s="596" t="n"/>
      <c r="BW188" s="596" t="n"/>
      <c r="BX188" s="596" t="n"/>
      <c r="BY188" s="596" t="n"/>
      <c r="BZ188" s="596" t="n"/>
      <c r="CA188" s="122" t="n"/>
      <c r="CB188" s="397">
        <f>SUM(G87:BZ87)</f>
        <v/>
      </c>
      <c r="CC188" s="122" t="n"/>
      <c r="CD188" s="397">
        <f>(($E188)-SUM(AQ87:$BN87))</f>
        <v/>
      </c>
      <c r="CE188" s="391">
        <f>(CE87)</f>
        <v/>
      </c>
      <c r="CF188" s="386">
        <f>IF(CD188=CE188,"Y","N")</f>
        <v/>
      </c>
    </row>
    <row r="189">
      <c r="D189" s="149" t="inlineStr">
        <is>
          <t>Month 63</t>
        </is>
      </c>
      <c r="E189" s="447">
        <f>(E88)</f>
        <v/>
      </c>
      <c r="F189" s="116" t="n"/>
      <c r="G189" s="596" t="n"/>
      <c r="H189" s="596" t="n"/>
      <c r="I189" s="596" t="n"/>
      <c r="J189" s="596" t="n"/>
      <c r="K189" s="596" t="n"/>
      <c r="L189" s="596" t="n"/>
      <c r="M189" s="596" t="n"/>
      <c r="N189" s="596" t="n"/>
      <c r="O189" s="596" t="n"/>
      <c r="P189" s="596" t="n"/>
      <c r="Q189" s="596" t="n"/>
      <c r="R189" s="597" t="n"/>
      <c r="S189" s="601" t="n"/>
      <c r="T189" s="596" t="n"/>
      <c r="U189" s="596" t="n"/>
      <c r="V189" s="596" t="n"/>
      <c r="W189" s="596" t="n"/>
      <c r="X189" s="596" t="n"/>
      <c r="Y189" s="596" t="n"/>
      <c r="Z189" s="596" t="n"/>
      <c r="AA189" s="596" t="n"/>
      <c r="AB189" s="596" t="n"/>
      <c r="AC189" s="596" t="n"/>
      <c r="AD189" s="597" t="n"/>
      <c r="AE189" s="601" t="n"/>
      <c r="AF189" s="596" t="n"/>
      <c r="AG189" s="596" t="n"/>
      <c r="AH189" s="596" t="n"/>
      <c r="AI189" s="596" t="n"/>
      <c r="AJ189" s="596" t="n"/>
      <c r="AK189" s="596" t="n"/>
      <c r="AL189" s="596" t="n"/>
      <c r="AM189" s="596" t="n"/>
      <c r="AN189" s="596" t="n"/>
      <c r="AO189" s="596" t="n"/>
      <c r="AP189" s="597" t="n"/>
      <c r="AQ189" s="601" t="n"/>
      <c r="AR189" s="596" t="n"/>
      <c r="AS189" s="596" t="n"/>
      <c r="AT189" s="596" t="n"/>
      <c r="AU189" s="596" t="n"/>
      <c r="AV189" s="596" t="n"/>
      <c r="AW189" s="596" t="n"/>
      <c r="AX189" s="596" t="n"/>
      <c r="AY189" s="596" t="n"/>
      <c r="AZ189" s="596" t="n"/>
      <c r="BA189" s="596" t="n"/>
      <c r="BB189" s="597" t="n"/>
      <c r="BC189" s="601" t="n"/>
      <c r="BD189" s="596" t="n"/>
      <c r="BE189" s="596" t="n"/>
      <c r="BF189" s="596" t="n"/>
      <c r="BG189" s="596" t="n"/>
      <c r="BH189" s="596" t="n"/>
      <c r="BI189" s="596" t="n"/>
      <c r="BJ189" s="596" t="n"/>
      <c r="BK189" s="596" t="n"/>
      <c r="BL189" s="596" t="n"/>
      <c r="BM189" s="596" t="n"/>
      <c r="BN189" s="596" t="n"/>
      <c r="BO189" s="601" t="n"/>
      <c r="BP189" s="596" t="n"/>
      <c r="BQ189" s="596" t="n"/>
      <c r="BR189" s="596" t="n"/>
      <c r="BS189" s="596" t="n"/>
      <c r="BT189" s="596" t="n"/>
      <c r="BU189" s="596" t="n"/>
      <c r="BV189" s="596" t="n"/>
      <c r="BW189" s="596" t="n"/>
      <c r="BX189" s="596" t="n"/>
      <c r="BY189" s="596" t="n"/>
      <c r="BZ189" s="596" t="n"/>
      <c r="CA189" s="122" t="n"/>
      <c r="CB189" s="397">
        <f>SUM(G88:BZ88)</f>
        <v/>
      </c>
      <c r="CC189" s="122" t="n"/>
      <c r="CD189" s="397">
        <f>(($E189)-SUM(AQ88:$BN88))</f>
        <v/>
      </c>
      <c r="CE189" s="391">
        <f>(CE88)</f>
        <v/>
      </c>
      <c r="CF189" s="386">
        <f>IF(CD189=CE189,"Y","N")</f>
        <v/>
      </c>
    </row>
    <row r="190">
      <c r="D190" s="149" t="inlineStr">
        <is>
          <t>Month 64</t>
        </is>
      </c>
      <c r="E190" s="447">
        <f>(E89)</f>
        <v/>
      </c>
      <c r="F190" s="116" t="n"/>
      <c r="G190" s="596" t="n"/>
      <c r="H190" s="596" t="n"/>
      <c r="I190" s="596" t="n"/>
      <c r="J190" s="596" t="n"/>
      <c r="K190" s="596" t="n"/>
      <c r="L190" s="596" t="n"/>
      <c r="M190" s="596" t="n"/>
      <c r="N190" s="596" t="n"/>
      <c r="O190" s="596" t="n"/>
      <c r="P190" s="596" t="n"/>
      <c r="Q190" s="596" t="n"/>
      <c r="R190" s="597" t="n"/>
      <c r="S190" s="601" t="n"/>
      <c r="T190" s="596" t="n"/>
      <c r="U190" s="596" t="n"/>
      <c r="V190" s="596" t="n"/>
      <c r="W190" s="596" t="n"/>
      <c r="X190" s="596" t="n"/>
      <c r="Y190" s="596" t="n"/>
      <c r="Z190" s="596" t="n"/>
      <c r="AA190" s="596" t="n"/>
      <c r="AB190" s="596" t="n"/>
      <c r="AC190" s="596" t="n"/>
      <c r="AD190" s="597" t="n"/>
      <c r="AE190" s="601" t="n"/>
      <c r="AF190" s="596" t="n"/>
      <c r="AG190" s="596" t="n"/>
      <c r="AH190" s="596" t="n"/>
      <c r="AI190" s="596" t="n"/>
      <c r="AJ190" s="596" t="n"/>
      <c r="AK190" s="596" t="n"/>
      <c r="AL190" s="596" t="n"/>
      <c r="AM190" s="596" t="n"/>
      <c r="AN190" s="596" t="n"/>
      <c r="AO190" s="596" t="n"/>
      <c r="AP190" s="597" t="n"/>
      <c r="AQ190" s="601" t="n"/>
      <c r="AR190" s="596" t="n"/>
      <c r="AS190" s="596" t="n"/>
      <c r="AT190" s="596" t="n"/>
      <c r="AU190" s="596" t="n"/>
      <c r="AV190" s="596" t="n"/>
      <c r="AW190" s="596" t="n"/>
      <c r="AX190" s="596" t="n"/>
      <c r="AY190" s="596" t="n"/>
      <c r="AZ190" s="596" t="n"/>
      <c r="BA190" s="596" t="n"/>
      <c r="BB190" s="597" t="n"/>
      <c r="BC190" s="601" t="n"/>
      <c r="BD190" s="596" t="n"/>
      <c r="BE190" s="596" t="n"/>
      <c r="BF190" s="596" t="n"/>
      <c r="BG190" s="596" t="n"/>
      <c r="BH190" s="596" t="n"/>
      <c r="BI190" s="596" t="n"/>
      <c r="BJ190" s="596" t="n"/>
      <c r="BK190" s="596" t="n"/>
      <c r="BL190" s="596" t="n"/>
      <c r="BM190" s="596" t="n"/>
      <c r="BN190" s="596" t="n"/>
      <c r="BO190" s="601" t="n"/>
      <c r="BP190" s="596" t="n"/>
      <c r="BQ190" s="596" t="n"/>
      <c r="BR190" s="596" t="n"/>
      <c r="BS190" s="596" t="n"/>
      <c r="BT190" s="596" t="n"/>
      <c r="BU190" s="596" t="n"/>
      <c r="BV190" s="596" t="n"/>
      <c r="BW190" s="596" t="n"/>
      <c r="BX190" s="596" t="n"/>
      <c r="BY190" s="596" t="n"/>
      <c r="BZ190" s="596" t="n"/>
      <c r="CA190" s="122" t="n"/>
      <c r="CB190" s="397">
        <f>SUM(G89:BZ89)</f>
        <v/>
      </c>
      <c r="CC190" s="122" t="n"/>
      <c r="CD190" s="397">
        <f>(($E190)-SUM(AQ89:$BN89))</f>
        <v/>
      </c>
      <c r="CE190" s="391">
        <f>(CE89)</f>
        <v/>
      </c>
      <c r="CF190" s="386">
        <f>IF(CD190=CE190,"Y","N")</f>
        <v/>
      </c>
    </row>
    <row r="191">
      <c r="D191" s="149" t="inlineStr">
        <is>
          <t>Month 65</t>
        </is>
      </c>
      <c r="E191" s="447">
        <f>(E90)</f>
        <v/>
      </c>
      <c r="F191" s="116" t="n"/>
      <c r="G191" s="596" t="n"/>
      <c r="H191" s="596" t="n"/>
      <c r="I191" s="596" t="n"/>
      <c r="J191" s="596" t="n"/>
      <c r="K191" s="596" t="n"/>
      <c r="L191" s="596" t="n"/>
      <c r="M191" s="596" t="n"/>
      <c r="N191" s="596" t="n"/>
      <c r="O191" s="596" t="n"/>
      <c r="P191" s="596" t="n"/>
      <c r="Q191" s="596" t="n"/>
      <c r="R191" s="597" t="n"/>
      <c r="S191" s="601" t="n"/>
      <c r="T191" s="596" t="n"/>
      <c r="U191" s="596" t="n"/>
      <c r="V191" s="596" t="n"/>
      <c r="W191" s="596" t="n"/>
      <c r="X191" s="596" t="n"/>
      <c r="Y191" s="596" t="n"/>
      <c r="Z191" s="596" t="n"/>
      <c r="AA191" s="596" t="n"/>
      <c r="AB191" s="596" t="n"/>
      <c r="AC191" s="596" t="n"/>
      <c r="AD191" s="597" t="n"/>
      <c r="AE191" s="601" t="n"/>
      <c r="AF191" s="596" t="n"/>
      <c r="AG191" s="596" t="n"/>
      <c r="AH191" s="596" t="n"/>
      <c r="AI191" s="596" t="n"/>
      <c r="AJ191" s="596" t="n"/>
      <c r="AK191" s="596" t="n"/>
      <c r="AL191" s="596" t="n"/>
      <c r="AM191" s="596" t="n"/>
      <c r="AN191" s="596" t="n"/>
      <c r="AO191" s="596" t="n"/>
      <c r="AP191" s="597" t="n"/>
      <c r="AQ191" s="601" t="n"/>
      <c r="AR191" s="596" t="n"/>
      <c r="AS191" s="596" t="n"/>
      <c r="AT191" s="596" t="n"/>
      <c r="AU191" s="596" t="n"/>
      <c r="AV191" s="596" t="n"/>
      <c r="AW191" s="596" t="n"/>
      <c r="AX191" s="596" t="n"/>
      <c r="AY191" s="596" t="n"/>
      <c r="AZ191" s="596" t="n"/>
      <c r="BA191" s="596" t="n"/>
      <c r="BB191" s="597" t="n"/>
      <c r="BC191" s="601" t="n"/>
      <c r="BD191" s="596" t="n"/>
      <c r="BE191" s="596" t="n"/>
      <c r="BF191" s="596" t="n"/>
      <c r="BG191" s="596" t="n"/>
      <c r="BH191" s="596" t="n"/>
      <c r="BI191" s="596" t="n"/>
      <c r="BJ191" s="596" t="n"/>
      <c r="BK191" s="596" t="n"/>
      <c r="BL191" s="596" t="n"/>
      <c r="BM191" s="596" t="n"/>
      <c r="BN191" s="596" t="n"/>
      <c r="BO191" s="601" t="n"/>
      <c r="BP191" s="596" t="n"/>
      <c r="BQ191" s="596" t="n"/>
      <c r="BR191" s="596" t="n"/>
      <c r="BS191" s="596" t="n"/>
      <c r="BT191" s="596" t="n"/>
      <c r="BU191" s="596" t="n"/>
      <c r="BV191" s="596" t="n"/>
      <c r="BW191" s="596" t="n"/>
      <c r="BX191" s="596" t="n"/>
      <c r="BY191" s="596" t="n"/>
      <c r="BZ191" s="596" t="n"/>
      <c r="CA191" s="122" t="n"/>
      <c r="CB191" s="397">
        <f>SUM(G90:BZ90)</f>
        <v/>
      </c>
      <c r="CC191" s="122" t="n"/>
      <c r="CD191" s="397">
        <f>(($E191)-SUM(AQ90:$BN90))</f>
        <v/>
      </c>
      <c r="CE191" s="391">
        <f>(CE90)</f>
        <v/>
      </c>
      <c r="CF191" s="386">
        <f>IF(CD191=CE191,"Y","N")</f>
        <v/>
      </c>
    </row>
    <row r="192">
      <c r="D192" s="149" t="inlineStr">
        <is>
          <t>Month 66</t>
        </is>
      </c>
      <c r="E192" s="447">
        <f>(E91)</f>
        <v/>
      </c>
      <c r="F192" s="116" t="n"/>
      <c r="G192" s="596" t="n"/>
      <c r="H192" s="596" t="n"/>
      <c r="I192" s="596" t="n"/>
      <c r="J192" s="596" t="n"/>
      <c r="K192" s="596" t="n"/>
      <c r="L192" s="596" t="n"/>
      <c r="M192" s="596" t="n"/>
      <c r="N192" s="596" t="n"/>
      <c r="O192" s="596" t="n"/>
      <c r="P192" s="596" t="n"/>
      <c r="Q192" s="596" t="n"/>
      <c r="R192" s="597" t="n"/>
      <c r="S192" s="601" t="n"/>
      <c r="T192" s="596" t="n"/>
      <c r="U192" s="596" t="n"/>
      <c r="V192" s="596" t="n"/>
      <c r="W192" s="596" t="n"/>
      <c r="X192" s="596" t="n"/>
      <c r="Y192" s="596" t="n"/>
      <c r="Z192" s="596" t="n"/>
      <c r="AA192" s="596" t="n"/>
      <c r="AB192" s="596" t="n"/>
      <c r="AC192" s="596" t="n"/>
      <c r="AD192" s="597" t="n"/>
      <c r="AE192" s="601" t="n"/>
      <c r="AF192" s="596" t="n"/>
      <c r="AG192" s="596" t="n"/>
      <c r="AH192" s="596" t="n"/>
      <c r="AI192" s="596" t="n"/>
      <c r="AJ192" s="596" t="n"/>
      <c r="AK192" s="596" t="n"/>
      <c r="AL192" s="596" t="n"/>
      <c r="AM192" s="596" t="n"/>
      <c r="AN192" s="596" t="n"/>
      <c r="AO192" s="596" t="n"/>
      <c r="AP192" s="597" t="n"/>
      <c r="AQ192" s="601" t="n"/>
      <c r="AR192" s="596" t="n"/>
      <c r="AS192" s="596" t="n"/>
      <c r="AT192" s="596" t="n"/>
      <c r="AU192" s="596" t="n"/>
      <c r="AV192" s="596" t="n"/>
      <c r="AW192" s="596" t="n"/>
      <c r="AX192" s="596" t="n"/>
      <c r="AY192" s="596" t="n"/>
      <c r="AZ192" s="596" t="n"/>
      <c r="BA192" s="596" t="n"/>
      <c r="BB192" s="597" t="n"/>
      <c r="BC192" s="601" t="n"/>
      <c r="BD192" s="596" t="n"/>
      <c r="BE192" s="596" t="n"/>
      <c r="BF192" s="596" t="n"/>
      <c r="BG192" s="596" t="n"/>
      <c r="BH192" s="596" t="n"/>
      <c r="BI192" s="596" t="n"/>
      <c r="BJ192" s="596" t="n"/>
      <c r="BK192" s="596" t="n"/>
      <c r="BL192" s="596" t="n"/>
      <c r="BM192" s="596" t="n"/>
      <c r="BN192" s="596" t="n"/>
      <c r="BO192" s="601" t="n"/>
      <c r="BP192" s="596" t="n"/>
      <c r="BQ192" s="596" t="n"/>
      <c r="BR192" s="596" t="n"/>
      <c r="BS192" s="596" t="n"/>
      <c r="BT192" s="596" t="n"/>
      <c r="BU192" s="596" t="n"/>
      <c r="BV192" s="596" t="n"/>
      <c r="BW192" s="596" t="n"/>
      <c r="BX192" s="596" t="n"/>
      <c r="BY192" s="596" t="n"/>
      <c r="BZ192" s="596" t="n"/>
      <c r="CA192" s="122" t="n"/>
      <c r="CB192" s="397">
        <f>SUM(G91:BZ91)</f>
        <v/>
      </c>
      <c r="CC192" s="122" t="n"/>
      <c r="CD192" s="397">
        <f>(($E192)-SUM(AQ91:$BN91))</f>
        <v/>
      </c>
      <c r="CE192" s="391">
        <f>(CE91)</f>
        <v/>
      </c>
      <c r="CF192" s="386">
        <f>IF(CD192=CE192,"Y","N")</f>
        <v/>
      </c>
    </row>
    <row r="193">
      <c r="D193" s="149" t="inlineStr">
        <is>
          <t>Month 67</t>
        </is>
      </c>
      <c r="E193" s="447">
        <f>(E92)</f>
        <v/>
      </c>
      <c r="F193" s="116" t="n"/>
      <c r="G193" s="596" t="n"/>
      <c r="H193" s="596" t="n"/>
      <c r="I193" s="596" t="n"/>
      <c r="J193" s="596" t="n"/>
      <c r="K193" s="596" t="n"/>
      <c r="L193" s="596" t="n"/>
      <c r="M193" s="596" t="n"/>
      <c r="N193" s="596" t="n"/>
      <c r="O193" s="596" t="n"/>
      <c r="P193" s="596" t="n"/>
      <c r="Q193" s="596" t="n"/>
      <c r="R193" s="597" t="n"/>
      <c r="S193" s="601" t="n"/>
      <c r="T193" s="596" t="n"/>
      <c r="U193" s="596" t="n"/>
      <c r="V193" s="596" t="n"/>
      <c r="W193" s="596" t="n"/>
      <c r="X193" s="596" t="n"/>
      <c r="Y193" s="596" t="n"/>
      <c r="Z193" s="596" t="n"/>
      <c r="AA193" s="596" t="n"/>
      <c r="AB193" s="596" t="n"/>
      <c r="AC193" s="596" t="n"/>
      <c r="AD193" s="597" t="n"/>
      <c r="AE193" s="601" t="n"/>
      <c r="AF193" s="596" t="n"/>
      <c r="AG193" s="596" t="n"/>
      <c r="AH193" s="596" t="n"/>
      <c r="AI193" s="596" t="n"/>
      <c r="AJ193" s="596" t="n"/>
      <c r="AK193" s="596" t="n"/>
      <c r="AL193" s="596" t="n"/>
      <c r="AM193" s="596" t="n"/>
      <c r="AN193" s="596" t="n"/>
      <c r="AO193" s="596" t="n"/>
      <c r="AP193" s="597" t="n"/>
      <c r="AQ193" s="601" t="n"/>
      <c r="AR193" s="596" t="n"/>
      <c r="AS193" s="596" t="n"/>
      <c r="AT193" s="596" t="n"/>
      <c r="AU193" s="596" t="n"/>
      <c r="AV193" s="596" t="n"/>
      <c r="AW193" s="596" t="n"/>
      <c r="AX193" s="596" t="n"/>
      <c r="AY193" s="596" t="n"/>
      <c r="AZ193" s="596" t="n"/>
      <c r="BA193" s="596" t="n"/>
      <c r="BB193" s="597" t="n"/>
      <c r="BC193" s="601" t="n"/>
      <c r="BD193" s="596" t="n"/>
      <c r="BE193" s="596" t="n"/>
      <c r="BF193" s="596" t="n"/>
      <c r="BG193" s="596" t="n"/>
      <c r="BH193" s="596" t="n"/>
      <c r="BI193" s="596" t="n"/>
      <c r="BJ193" s="596" t="n"/>
      <c r="BK193" s="596" t="n"/>
      <c r="BL193" s="596" t="n"/>
      <c r="BM193" s="596" t="n"/>
      <c r="BN193" s="596" t="n"/>
      <c r="BO193" s="601" t="n"/>
      <c r="BP193" s="596" t="n"/>
      <c r="BQ193" s="596" t="n"/>
      <c r="BR193" s="596" t="n"/>
      <c r="BS193" s="596" t="n"/>
      <c r="BT193" s="596" t="n"/>
      <c r="BU193" s="596" t="n"/>
      <c r="BV193" s="596" t="n"/>
      <c r="BW193" s="596" t="n"/>
      <c r="BX193" s="596" t="n"/>
      <c r="BY193" s="596" t="n"/>
      <c r="BZ193" s="596" t="n"/>
      <c r="CA193" s="122" t="n"/>
      <c r="CB193" s="397">
        <f>SUM(G92:BZ92)</f>
        <v/>
      </c>
      <c r="CC193" s="122" t="n"/>
      <c r="CD193" s="397">
        <f>(($E193)-SUM(AQ92:$BN92))</f>
        <v/>
      </c>
      <c r="CE193" s="391">
        <f>(CE92)</f>
        <v/>
      </c>
      <c r="CF193" s="386">
        <f>IF(CD193=CE193,"Y","N")</f>
        <v/>
      </c>
    </row>
    <row r="194">
      <c r="D194" s="149" t="inlineStr">
        <is>
          <t>Month 68</t>
        </is>
      </c>
      <c r="E194" s="447">
        <f>(E93)</f>
        <v/>
      </c>
      <c r="F194" s="116" t="n"/>
      <c r="G194" s="596" t="n"/>
      <c r="H194" s="596" t="n"/>
      <c r="I194" s="596" t="n"/>
      <c r="J194" s="596" t="n"/>
      <c r="K194" s="596" t="n"/>
      <c r="L194" s="596" t="n"/>
      <c r="M194" s="596" t="n"/>
      <c r="N194" s="596" t="n"/>
      <c r="O194" s="596" t="n"/>
      <c r="P194" s="596" t="n"/>
      <c r="Q194" s="596" t="n"/>
      <c r="R194" s="597" t="n"/>
      <c r="S194" s="601" t="n"/>
      <c r="T194" s="596" t="n"/>
      <c r="U194" s="596" t="n"/>
      <c r="V194" s="596" t="n"/>
      <c r="W194" s="596" t="n"/>
      <c r="X194" s="596" t="n"/>
      <c r="Y194" s="596" t="n"/>
      <c r="Z194" s="596" t="n"/>
      <c r="AA194" s="596" t="n"/>
      <c r="AB194" s="596" t="n"/>
      <c r="AC194" s="596" t="n"/>
      <c r="AD194" s="597" t="n"/>
      <c r="AE194" s="601" t="n"/>
      <c r="AF194" s="596" t="n"/>
      <c r="AG194" s="596" t="n"/>
      <c r="AH194" s="596" t="n"/>
      <c r="AI194" s="596" t="n"/>
      <c r="AJ194" s="596" t="n"/>
      <c r="AK194" s="596" t="n"/>
      <c r="AL194" s="596" t="n"/>
      <c r="AM194" s="596" t="n"/>
      <c r="AN194" s="596" t="n"/>
      <c r="AO194" s="596" t="n"/>
      <c r="AP194" s="597" t="n"/>
      <c r="AQ194" s="601" t="n"/>
      <c r="AR194" s="596" t="n"/>
      <c r="AS194" s="596" t="n"/>
      <c r="AT194" s="596" t="n"/>
      <c r="AU194" s="596" t="n"/>
      <c r="AV194" s="596" t="n"/>
      <c r="AW194" s="596" t="n"/>
      <c r="AX194" s="596" t="n"/>
      <c r="AY194" s="596" t="n"/>
      <c r="AZ194" s="596" t="n"/>
      <c r="BA194" s="596" t="n"/>
      <c r="BB194" s="597" t="n"/>
      <c r="BC194" s="601" t="n"/>
      <c r="BD194" s="596" t="n"/>
      <c r="BE194" s="596" t="n"/>
      <c r="BF194" s="596" t="n"/>
      <c r="BG194" s="596" t="n"/>
      <c r="BH194" s="596" t="n"/>
      <c r="BI194" s="596" t="n"/>
      <c r="BJ194" s="596" t="n"/>
      <c r="BK194" s="596" t="n"/>
      <c r="BL194" s="596" t="n"/>
      <c r="BM194" s="596" t="n"/>
      <c r="BN194" s="596" t="n"/>
      <c r="BO194" s="601" t="n"/>
      <c r="BP194" s="596" t="n"/>
      <c r="BQ194" s="596" t="n"/>
      <c r="BR194" s="596" t="n"/>
      <c r="BS194" s="596" t="n"/>
      <c r="BT194" s="596" t="n"/>
      <c r="BU194" s="596" t="n"/>
      <c r="BV194" s="596" t="n"/>
      <c r="BW194" s="596" t="n"/>
      <c r="BX194" s="596" t="n"/>
      <c r="BY194" s="596" t="n"/>
      <c r="BZ194" s="596" t="n"/>
      <c r="CA194" s="122" t="n"/>
      <c r="CB194" s="397">
        <f>SUM(G93:BZ93)</f>
        <v/>
      </c>
      <c r="CC194" s="122" t="n"/>
      <c r="CD194" s="397">
        <f>(($E194)-SUM(AQ93:$BN93))</f>
        <v/>
      </c>
      <c r="CE194" s="391">
        <f>(CE93)</f>
        <v/>
      </c>
      <c r="CF194" s="386">
        <f>IF(CD194=CE194,"Y","N")</f>
        <v/>
      </c>
    </row>
    <row r="195">
      <c r="D195" s="149" t="inlineStr">
        <is>
          <t>Month 69</t>
        </is>
      </c>
      <c r="E195" s="447">
        <f>(E94)</f>
        <v/>
      </c>
      <c r="F195" s="116" t="n"/>
      <c r="G195" s="596" t="n"/>
      <c r="H195" s="596" t="n"/>
      <c r="I195" s="596" t="n"/>
      <c r="J195" s="596" t="n"/>
      <c r="K195" s="596" t="n"/>
      <c r="L195" s="596" t="n"/>
      <c r="M195" s="596" t="n"/>
      <c r="N195" s="596" t="n"/>
      <c r="O195" s="596" t="n"/>
      <c r="P195" s="596" t="n"/>
      <c r="Q195" s="596" t="n"/>
      <c r="R195" s="597" t="n"/>
      <c r="S195" s="601" t="n"/>
      <c r="T195" s="596" t="n"/>
      <c r="U195" s="596" t="n"/>
      <c r="V195" s="596" t="n"/>
      <c r="W195" s="596" t="n"/>
      <c r="X195" s="596" t="n"/>
      <c r="Y195" s="596" t="n"/>
      <c r="Z195" s="596" t="n"/>
      <c r="AA195" s="596" t="n"/>
      <c r="AB195" s="596" t="n"/>
      <c r="AC195" s="596" t="n"/>
      <c r="AD195" s="597" t="n"/>
      <c r="AE195" s="601" t="n"/>
      <c r="AF195" s="596" t="n"/>
      <c r="AG195" s="596" t="n"/>
      <c r="AH195" s="596" t="n"/>
      <c r="AI195" s="596" t="n"/>
      <c r="AJ195" s="596" t="n"/>
      <c r="AK195" s="596" t="n"/>
      <c r="AL195" s="596" t="n"/>
      <c r="AM195" s="596" t="n"/>
      <c r="AN195" s="596" t="n"/>
      <c r="AO195" s="596" t="n"/>
      <c r="AP195" s="597" t="n"/>
      <c r="AQ195" s="601" t="n"/>
      <c r="AR195" s="596" t="n"/>
      <c r="AS195" s="596" t="n"/>
      <c r="AT195" s="596" t="n"/>
      <c r="AU195" s="596" t="n"/>
      <c r="AV195" s="596" t="n"/>
      <c r="AW195" s="596" t="n"/>
      <c r="AX195" s="596" t="n"/>
      <c r="AY195" s="596" t="n"/>
      <c r="AZ195" s="596" t="n"/>
      <c r="BA195" s="596" t="n"/>
      <c r="BB195" s="597" t="n"/>
      <c r="BC195" s="601" t="n"/>
      <c r="BD195" s="596" t="n"/>
      <c r="BE195" s="596" t="n"/>
      <c r="BF195" s="596" t="n"/>
      <c r="BG195" s="596" t="n"/>
      <c r="BH195" s="596" t="n"/>
      <c r="BI195" s="596" t="n"/>
      <c r="BJ195" s="596" t="n"/>
      <c r="BK195" s="596" t="n"/>
      <c r="BL195" s="596" t="n"/>
      <c r="BM195" s="596" t="n"/>
      <c r="BN195" s="596" t="n"/>
      <c r="BO195" s="601" t="n"/>
      <c r="BP195" s="596" t="n"/>
      <c r="BQ195" s="596" t="n"/>
      <c r="BR195" s="596" t="n"/>
      <c r="BS195" s="596" t="n"/>
      <c r="BT195" s="596" t="n"/>
      <c r="BU195" s="596" t="n"/>
      <c r="BV195" s="596" t="n"/>
      <c r="BW195" s="596" t="n"/>
      <c r="BX195" s="596" t="n"/>
      <c r="BY195" s="596" t="n"/>
      <c r="BZ195" s="596" t="n"/>
      <c r="CA195" s="122" t="n"/>
      <c r="CB195" s="397">
        <f>SUM(G94:BZ94)</f>
        <v/>
      </c>
      <c r="CC195" s="122" t="n"/>
      <c r="CD195" s="397">
        <f>(($E195)-SUM(AQ94:$BN94))</f>
        <v/>
      </c>
      <c r="CE195" s="391">
        <f>(CE94)</f>
        <v/>
      </c>
      <c r="CF195" s="386">
        <f>IF(CD195=CE195,"Y","N")</f>
        <v/>
      </c>
    </row>
    <row r="196">
      <c r="D196" s="149" t="inlineStr">
        <is>
          <t>Month 70</t>
        </is>
      </c>
      <c r="E196" s="447">
        <f>(E95)</f>
        <v/>
      </c>
      <c r="F196" s="116" t="n"/>
      <c r="G196" s="596" t="n"/>
      <c r="H196" s="596" t="n"/>
      <c r="I196" s="596" t="n"/>
      <c r="J196" s="596" t="n"/>
      <c r="K196" s="596" t="n"/>
      <c r="L196" s="596" t="n"/>
      <c r="M196" s="596" t="n"/>
      <c r="N196" s="596" t="n"/>
      <c r="O196" s="596" t="n"/>
      <c r="P196" s="596" t="n"/>
      <c r="Q196" s="596" t="n"/>
      <c r="R196" s="597" t="n"/>
      <c r="S196" s="601" t="n"/>
      <c r="T196" s="596" t="n"/>
      <c r="U196" s="596" t="n"/>
      <c r="V196" s="596" t="n"/>
      <c r="W196" s="596" t="n"/>
      <c r="X196" s="596" t="n"/>
      <c r="Y196" s="596" t="n"/>
      <c r="Z196" s="596" t="n"/>
      <c r="AA196" s="596" t="n"/>
      <c r="AB196" s="596" t="n"/>
      <c r="AC196" s="596" t="n"/>
      <c r="AD196" s="597" t="n"/>
      <c r="AE196" s="601" t="n"/>
      <c r="AF196" s="596" t="n"/>
      <c r="AG196" s="596" t="n"/>
      <c r="AH196" s="596" t="n"/>
      <c r="AI196" s="596" t="n"/>
      <c r="AJ196" s="596" t="n"/>
      <c r="AK196" s="596" t="n"/>
      <c r="AL196" s="596" t="n"/>
      <c r="AM196" s="596" t="n"/>
      <c r="AN196" s="596" t="n"/>
      <c r="AO196" s="596" t="n"/>
      <c r="AP196" s="597" t="n"/>
      <c r="AQ196" s="601" t="n"/>
      <c r="AR196" s="596" t="n"/>
      <c r="AS196" s="596" t="n"/>
      <c r="AT196" s="596" t="n"/>
      <c r="AU196" s="596" t="n"/>
      <c r="AV196" s="596" t="n"/>
      <c r="AW196" s="596" t="n"/>
      <c r="AX196" s="596" t="n"/>
      <c r="AY196" s="596" t="n"/>
      <c r="AZ196" s="596" t="n"/>
      <c r="BA196" s="596" t="n"/>
      <c r="BB196" s="597" t="n"/>
      <c r="BC196" s="601" t="n"/>
      <c r="BD196" s="596" t="n"/>
      <c r="BE196" s="596" t="n"/>
      <c r="BF196" s="596" t="n"/>
      <c r="BG196" s="596" t="n"/>
      <c r="BH196" s="596" t="n"/>
      <c r="BI196" s="596" t="n"/>
      <c r="BJ196" s="596" t="n"/>
      <c r="BK196" s="596" t="n"/>
      <c r="BL196" s="596" t="n"/>
      <c r="BM196" s="596" t="n"/>
      <c r="BN196" s="596" t="n"/>
      <c r="BO196" s="601" t="n"/>
      <c r="BP196" s="596" t="n"/>
      <c r="BQ196" s="596" t="n"/>
      <c r="BR196" s="596" t="n"/>
      <c r="BS196" s="596" t="n"/>
      <c r="BT196" s="596" t="n"/>
      <c r="BU196" s="596" t="n"/>
      <c r="BV196" s="596" t="n"/>
      <c r="BW196" s="596" t="n"/>
      <c r="BX196" s="596" t="n"/>
      <c r="BY196" s="596" t="n"/>
      <c r="BZ196" s="596" t="n"/>
      <c r="CA196" s="122" t="n"/>
      <c r="CB196" s="397">
        <f>SUM(G95:BZ95)</f>
        <v/>
      </c>
      <c r="CC196" s="122" t="n"/>
      <c r="CD196" s="397">
        <f>(($E196)-SUM(AQ95:$BN95))</f>
        <v/>
      </c>
      <c r="CE196" s="391">
        <f>(CE95)</f>
        <v/>
      </c>
      <c r="CF196" s="386">
        <f>IF(CD196=CE196,"Y","N")</f>
        <v/>
      </c>
    </row>
    <row r="197">
      <c r="D197" s="149" t="inlineStr">
        <is>
          <t>Month 71</t>
        </is>
      </c>
      <c r="E197" s="447">
        <f>(E96)</f>
        <v/>
      </c>
      <c r="F197" s="116" t="n"/>
      <c r="G197" s="596" t="n"/>
      <c r="H197" s="596" t="n"/>
      <c r="I197" s="596" t="n"/>
      <c r="J197" s="596" t="n"/>
      <c r="K197" s="596" t="n"/>
      <c r="L197" s="596" t="n"/>
      <c r="M197" s="596" t="n"/>
      <c r="N197" s="596" t="n"/>
      <c r="O197" s="596" t="n"/>
      <c r="P197" s="596" t="n"/>
      <c r="Q197" s="596" t="n"/>
      <c r="R197" s="597" t="n"/>
      <c r="S197" s="601" t="n"/>
      <c r="T197" s="596" t="n"/>
      <c r="U197" s="596" t="n"/>
      <c r="V197" s="596" t="n"/>
      <c r="W197" s="596" t="n"/>
      <c r="X197" s="596" t="n"/>
      <c r="Y197" s="596" t="n"/>
      <c r="Z197" s="596" t="n"/>
      <c r="AA197" s="596" t="n"/>
      <c r="AB197" s="596" t="n"/>
      <c r="AC197" s="596" t="n"/>
      <c r="AD197" s="597" t="n"/>
      <c r="AE197" s="601" t="n"/>
      <c r="AF197" s="596" t="n"/>
      <c r="AG197" s="596" t="n"/>
      <c r="AH197" s="596" t="n"/>
      <c r="AI197" s="596" t="n"/>
      <c r="AJ197" s="596" t="n"/>
      <c r="AK197" s="596" t="n"/>
      <c r="AL197" s="596" t="n"/>
      <c r="AM197" s="596" t="n"/>
      <c r="AN197" s="596" t="n"/>
      <c r="AO197" s="596" t="n"/>
      <c r="AP197" s="597" t="n"/>
      <c r="AQ197" s="601" t="n"/>
      <c r="AR197" s="596" t="n"/>
      <c r="AS197" s="596" t="n"/>
      <c r="AT197" s="596" t="n"/>
      <c r="AU197" s="596" t="n"/>
      <c r="AV197" s="596" t="n"/>
      <c r="AW197" s="596" t="n"/>
      <c r="AX197" s="596" t="n"/>
      <c r="AY197" s="596" t="n"/>
      <c r="AZ197" s="596" t="n"/>
      <c r="BA197" s="596" t="n"/>
      <c r="BB197" s="597" t="n"/>
      <c r="BC197" s="601" t="n"/>
      <c r="BD197" s="596" t="n"/>
      <c r="BE197" s="596" t="n"/>
      <c r="BF197" s="596" t="n"/>
      <c r="BG197" s="596" t="n"/>
      <c r="BH197" s="596" t="n"/>
      <c r="BI197" s="596" t="n"/>
      <c r="BJ197" s="596" t="n"/>
      <c r="BK197" s="596" t="n"/>
      <c r="BL197" s="596" t="n"/>
      <c r="BM197" s="596" t="n"/>
      <c r="BN197" s="596" t="n"/>
      <c r="BO197" s="601" t="n"/>
      <c r="BP197" s="596" t="n"/>
      <c r="BQ197" s="596" t="n"/>
      <c r="BR197" s="596" t="n"/>
      <c r="BS197" s="596" t="n"/>
      <c r="BT197" s="596" t="n"/>
      <c r="BU197" s="596" t="n"/>
      <c r="BV197" s="596" t="n"/>
      <c r="BW197" s="596" t="n"/>
      <c r="BX197" s="596" t="n"/>
      <c r="BY197" s="596" t="n"/>
      <c r="BZ197" s="596" t="n"/>
      <c r="CA197" s="122" t="n"/>
      <c r="CB197" s="397">
        <f>SUM(G96:BZ96)</f>
        <v/>
      </c>
      <c r="CC197" s="122" t="n"/>
      <c r="CD197" s="397">
        <f>(($E197)-SUM(AQ96:$BN96))</f>
        <v/>
      </c>
      <c r="CE197" s="391">
        <f>(CE96)</f>
        <v/>
      </c>
      <c r="CF197" s="386">
        <f>IF(CD197=CE197,"Y","N")</f>
        <v/>
      </c>
    </row>
    <row r="198">
      <c r="D198" s="149" t="inlineStr">
        <is>
          <t>Month 72</t>
        </is>
      </c>
      <c r="E198" s="447">
        <f>(E97)</f>
        <v/>
      </c>
      <c r="F198" s="116" t="n"/>
      <c r="G198" s="596" t="n"/>
      <c r="H198" s="596" t="n"/>
      <c r="I198" s="596" t="n"/>
      <c r="J198" s="596" t="n"/>
      <c r="K198" s="596" t="n"/>
      <c r="L198" s="596" t="n"/>
      <c r="M198" s="596" t="n"/>
      <c r="N198" s="596" t="n"/>
      <c r="O198" s="596" t="n"/>
      <c r="P198" s="596" t="n"/>
      <c r="Q198" s="596" t="n"/>
      <c r="R198" s="597" t="n"/>
      <c r="S198" s="601" t="n"/>
      <c r="T198" s="596" t="n"/>
      <c r="U198" s="596" t="n"/>
      <c r="V198" s="596" t="n"/>
      <c r="W198" s="596" t="n"/>
      <c r="X198" s="596" t="n"/>
      <c r="Y198" s="596" t="n"/>
      <c r="Z198" s="596" t="n"/>
      <c r="AA198" s="596" t="n"/>
      <c r="AB198" s="596" t="n"/>
      <c r="AC198" s="596" t="n"/>
      <c r="AD198" s="597" t="n"/>
      <c r="AE198" s="601" t="n"/>
      <c r="AF198" s="596" t="n"/>
      <c r="AG198" s="596" t="n"/>
      <c r="AH198" s="596" t="n"/>
      <c r="AI198" s="596" t="n"/>
      <c r="AJ198" s="596" t="n"/>
      <c r="AK198" s="596" t="n"/>
      <c r="AL198" s="596" t="n"/>
      <c r="AM198" s="596" t="n"/>
      <c r="AN198" s="596" t="n"/>
      <c r="AO198" s="596" t="n"/>
      <c r="AP198" s="597" t="n"/>
      <c r="AQ198" s="601" t="n"/>
      <c r="AR198" s="596" t="n"/>
      <c r="AS198" s="596" t="n"/>
      <c r="AT198" s="596" t="n"/>
      <c r="AU198" s="596" t="n"/>
      <c r="AV198" s="596" t="n"/>
      <c r="AW198" s="596" t="n"/>
      <c r="AX198" s="596" t="n"/>
      <c r="AY198" s="596" t="n"/>
      <c r="AZ198" s="596" t="n"/>
      <c r="BA198" s="596" t="n"/>
      <c r="BB198" s="597" t="n"/>
      <c r="BC198" s="601" t="n"/>
      <c r="BD198" s="596" t="n"/>
      <c r="BE198" s="596" t="n"/>
      <c r="BF198" s="596" t="n"/>
      <c r="BG198" s="596" t="n"/>
      <c r="BH198" s="596" t="n"/>
      <c r="BI198" s="596" t="n"/>
      <c r="BJ198" s="596" t="n"/>
      <c r="BK198" s="596" t="n"/>
      <c r="BL198" s="596" t="n"/>
      <c r="BM198" s="596" t="n"/>
      <c r="BN198" s="596" t="n"/>
      <c r="BO198" s="601" t="n"/>
      <c r="BP198" s="596" t="n"/>
      <c r="BQ198" s="596" t="n"/>
      <c r="BR198" s="596" t="n"/>
      <c r="BS198" s="596" t="n"/>
      <c r="BT198" s="596" t="n"/>
      <c r="BU198" s="596" t="n"/>
      <c r="BV198" s="596" t="n"/>
      <c r="BW198" s="596" t="n"/>
      <c r="BX198" s="596" t="n"/>
      <c r="BY198" s="596" t="n"/>
      <c r="BZ198" s="596" t="n"/>
      <c r="CA198" s="122" t="n"/>
      <c r="CB198" s="397">
        <f>SUM(G97:BZ97)</f>
        <v/>
      </c>
      <c r="CC198" s="122" t="n"/>
      <c r="CD198" s="397">
        <f>(($E198)-SUM(AQ97:$BN97))</f>
        <v/>
      </c>
      <c r="CE198" s="391">
        <f>(CE97)</f>
        <v/>
      </c>
      <c r="CF198" s="386">
        <f>IF(CD198=CE198,"Y","N")</f>
        <v/>
      </c>
    </row>
    <row r="199" ht="3" customHeight="1" s="1883">
      <c r="D199" s="116" t="n"/>
      <c r="E199" s="881" t="n"/>
      <c r="F199" s="116" t="n"/>
      <c r="G199" s="598" t="n"/>
      <c r="H199" s="598" t="n"/>
      <c r="I199" s="598" t="n"/>
      <c r="J199" s="598" t="n"/>
      <c r="K199" s="598" t="n"/>
      <c r="L199" s="598" t="n"/>
      <c r="M199" s="598" t="n"/>
      <c r="N199" s="598" t="n"/>
      <c r="O199" s="598" t="n"/>
      <c r="P199" s="598" t="n"/>
      <c r="Q199" s="598" t="n"/>
      <c r="R199" s="598" t="n"/>
      <c r="S199" s="451" t="n"/>
      <c r="T199" s="449" t="n"/>
      <c r="U199" s="449" t="n"/>
      <c r="V199" s="449" t="n"/>
      <c r="W199" s="449" t="n"/>
      <c r="X199" s="449" t="n"/>
      <c r="Y199" s="449" t="n"/>
      <c r="Z199" s="449" t="n"/>
      <c r="AA199" s="449" t="n"/>
      <c r="AB199" s="449" t="n"/>
      <c r="AC199" s="449" t="n"/>
      <c r="AD199" s="449" t="n"/>
      <c r="AE199" s="451" t="n"/>
      <c r="AF199" s="449" t="n"/>
      <c r="AG199" s="449" t="n"/>
      <c r="AH199" s="449" t="n"/>
      <c r="AI199" s="449" t="n"/>
      <c r="AJ199" s="449" t="n"/>
      <c r="AK199" s="449" t="n"/>
      <c r="AL199" s="449" t="n"/>
      <c r="AM199" s="449" t="n"/>
      <c r="AN199" s="449" t="n"/>
      <c r="AO199" s="449" t="n"/>
      <c r="AP199" s="449" t="n"/>
      <c r="AQ199" s="451" t="n"/>
      <c r="AR199" s="449" t="n"/>
      <c r="AS199" s="449" t="n"/>
      <c r="AT199" s="449" t="n"/>
      <c r="AU199" s="449" t="n"/>
      <c r="AV199" s="449" t="n"/>
      <c r="AW199" s="449" t="n"/>
      <c r="AX199" s="449" t="n"/>
      <c r="AY199" s="449" t="n"/>
      <c r="AZ199" s="449" t="n"/>
      <c r="BA199" s="449" t="n"/>
      <c r="BB199" s="449" t="n"/>
      <c r="BC199" s="451" t="n"/>
      <c r="BD199" s="449" t="n"/>
      <c r="BE199" s="449" t="n"/>
      <c r="BF199" s="449" t="n"/>
      <c r="BG199" s="449" t="n"/>
      <c r="BH199" s="449" t="n"/>
      <c r="BI199" s="449" t="n"/>
      <c r="BJ199" s="449" t="n"/>
      <c r="BK199" s="449" t="n"/>
      <c r="BL199" s="449" t="n"/>
      <c r="BM199" s="449" t="n"/>
      <c r="BN199" s="449" t="n"/>
      <c r="BO199" s="882" t="n"/>
      <c r="BP199" s="598" t="n"/>
      <c r="BQ199" s="449" t="n"/>
      <c r="BR199" s="449" t="n"/>
      <c r="BS199" s="449" t="n"/>
      <c r="BT199" s="449" t="n"/>
      <c r="BU199" s="449" t="n"/>
      <c r="BV199" s="449" t="n"/>
      <c r="BW199" s="449" t="n"/>
      <c r="BX199" s="449" t="n"/>
      <c r="BY199" s="449" t="n"/>
      <c r="BZ199" s="449" t="n"/>
      <c r="CA199" s="122" t="n"/>
      <c r="CB199" s="449" t="n"/>
      <c r="CC199" s="122" t="n"/>
      <c r="CD199" s="122" t="n"/>
      <c r="CE199" s="391" t="n"/>
      <c r="CF199" s="122" t="n"/>
    </row>
    <row r="200" ht="3" customHeight="1" s="1883">
      <c r="D200" s="116" t="n"/>
      <c r="E200" s="149" t="n"/>
      <c r="F200" s="116" t="n"/>
      <c r="G200" s="596" t="n"/>
      <c r="H200" s="596" t="n"/>
      <c r="I200" s="596" t="n"/>
      <c r="J200" s="596" t="n"/>
      <c r="K200" s="596" t="n"/>
      <c r="L200" s="596" t="n"/>
      <c r="M200" s="596" t="n"/>
      <c r="N200" s="596" t="n"/>
      <c r="O200" s="596" t="n"/>
      <c r="P200" s="596" t="n"/>
      <c r="Q200" s="596" t="n"/>
      <c r="R200" s="597" t="n"/>
      <c r="S200" s="444" t="n"/>
      <c r="T200" s="122" t="n"/>
      <c r="U200" s="122" t="n"/>
      <c r="V200" s="122" t="n"/>
      <c r="W200" s="122" t="n"/>
      <c r="X200" s="122" t="n"/>
      <c r="Y200" s="122" t="n"/>
      <c r="Z200" s="122" t="n"/>
      <c r="AA200" s="122" t="n"/>
      <c r="AB200" s="122" t="n"/>
      <c r="AC200" s="122" t="n"/>
      <c r="AD200" s="445" t="n"/>
      <c r="AE200" s="444" t="n"/>
      <c r="AF200" s="122" t="n"/>
      <c r="AG200" s="122" t="n"/>
      <c r="AH200" s="122" t="n"/>
      <c r="AI200" s="122" t="n"/>
      <c r="AJ200" s="122" t="n"/>
      <c r="AK200" s="122" t="n"/>
      <c r="AL200" s="122" t="n"/>
      <c r="AM200" s="122" t="n"/>
      <c r="AN200" s="122" t="n"/>
      <c r="AO200" s="122" t="n"/>
      <c r="AP200" s="445" t="n"/>
      <c r="AQ200" s="444" t="n"/>
      <c r="AR200" s="122" t="n"/>
      <c r="AS200" s="122" t="n"/>
      <c r="AT200" s="122" t="n"/>
      <c r="AU200" s="122" t="n"/>
      <c r="AV200" s="122" t="n"/>
      <c r="AW200" s="122" t="n"/>
      <c r="AX200" s="122" t="n"/>
      <c r="AY200" s="122" t="n"/>
      <c r="AZ200" s="122" t="n"/>
      <c r="BA200" s="122" t="n"/>
      <c r="BB200" s="445" t="n"/>
      <c r="BC200" s="444" t="n"/>
      <c r="BD200" s="122" t="n"/>
      <c r="BE200" s="122" t="n"/>
      <c r="BF200" s="122" t="n"/>
      <c r="BG200" s="122" t="n"/>
      <c r="BH200" s="122" t="n"/>
      <c r="BI200" s="122" t="n"/>
      <c r="BJ200" s="122" t="n"/>
      <c r="BK200" s="122" t="n"/>
      <c r="BL200" s="122" t="n"/>
      <c r="BM200" s="122" t="n"/>
      <c r="BN200" s="122" t="n"/>
      <c r="BO200" s="444" t="n"/>
      <c r="BP200" s="122" t="n"/>
      <c r="BQ200" s="122" t="n"/>
      <c r="BR200" s="122" t="n"/>
      <c r="BS200" s="122" t="n"/>
      <c r="BT200" s="122" t="n"/>
      <c r="BU200" s="122" t="n"/>
      <c r="BV200" s="122" t="n"/>
      <c r="BW200" s="122" t="n"/>
      <c r="BX200" s="122" t="n"/>
      <c r="BY200" s="122" t="n"/>
      <c r="BZ200" s="122" t="n"/>
      <c r="CA200" s="122" t="n"/>
      <c r="CB200" s="122" t="n"/>
      <c r="CC200" s="122" t="n"/>
      <c r="CD200" s="122" t="n"/>
      <c r="CE200" s="391" t="n"/>
      <c r="CF200" s="122" t="n"/>
    </row>
    <row r="201">
      <c r="D201" s="419" t="inlineStr">
        <is>
          <t>Total</t>
        </is>
      </c>
      <c r="E201" s="138">
        <f>SUM(E127:E198)</f>
        <v/>
      </c>
      <c r="F201" s="626" t="n"/>
      <c r="G201" s="599">
        <f>SUM(G127:G198)</f>
        <v/>
      </c>
      <c r="H201" s="599">
        <f>SUM(H127:H198)</f>
        <v/>
      </c>
      <c r="I201" s="599">
        <f>SUM(I127:I198)</f>
        <v/>
      </c>
      <c r="J201" s="599">
        <f>SUM(J127:J198)</f>
        <v/>
      </c>
      <c r="K201" s="599">
        <f>SUM(K127:K198)</f>
        <v/>
      </c>
      <c r="L201" s="599">
        <f>SUM(L127:L198)</f>
        <v/>
      </c>
      <c r="M201" s="599">
        <f>SUM(M127:M198)</f>
        <v/>
      </c>
      <c r="N201" s="599">
        <f>SUM(N127:N198)</f>
        <v/>
      </c>
      <c r="O201" s="599">
        <f>SUM(O127:O198)</f>
        <v/>
      </c>
      <c r="P201" s="599">
        <f>SUM(P127:P198)</f>
        <v/>
      </c>
      <c r="Q201" s="599">
        <f>SUM(Q127:Q198)</f>
        <v/>
      </c>
      <c r="R201" s="600">
        <f>SUM(R127:R198)</f>
        <v/>
      </c>
      <c r="S201" s="416">
        <f>SUM(S127:S198)</f>
        <v/>
      </c>
      <c r="T201" s="136">
        <f>SUM(T127:T198)</f>
        <v/>
      </c>
      <c r="U201" s="136">
        <f>SUM(U127:U198)</f>
        <v/>
      </c>
      <c r="V201" s="136">
        <f>SUM(V127:V198)</f>
        <v/>
      </c>
      <c r="W201" s="136">
        <f>SUM(W127:W198)</f>
        <v/>
      </c>
      <c r="X201" s="136">
        <f>SUM(X127:X198)</f>
        <v/>
      </c>
      <c r="Y201" s="136">
        <f>SUM(Y127:Y198)</f>
        <v/>
      </c>
      <c r="Z201" s="136">
        <f>SUM(Z127:Z198)</f>
        <v/>
      </c>
      <c r="AA201" s="136">
        <f>SUM(AA127:AA198)</f>
        <v/>
      </c>
      <c r="AB201" s="136">
        <f>SUM(AB127:AB198)</f>
        <v/>
      </c>
      <c r="AC201" s="136">
        <f>SUM(AC127:AC198)</f>
        <v/>
      </c>
      <c r="AD201" s="414">
        <f>SUM(AD127:AD198)</f>
        <v/>
      </c>
      <c r="AE201" s="416">
        <f>SUM(AE127:AE198)</f>
        <v/>
      </c>
      <c r="AF201" s="136">
        <f>SUM(AF127:AF198)</f>
        <v/>
      </c>
      <c r="AG201" s="136">
        <f>SUM(AG127:AG198)</f>
        <v/>
      </c>
      <c r="AH201" s="136">
        <f>SUM(AH127:AH198)</f>
        <v/>
      </c>
      <c r="AI201" s="136">
        <f>SUM(AI127:AI198)</f>
        <v/>
      </c>
      <c r="AJ201" s="136">
        <f>SUM(AJ127:AJ198)</f>
        <v/>
      </c>
      <c r="AK201" s="136">
        <f>SUM(AK127:AK198)</f>
        <v/>
      </c>
      <c r="AL201" s="136">
        <f>SUM(AL127:AL198)</f>
        <v/>
      </c>
      <c r="AM201" s="136">
        <f>SUM(AM127:AM198)</f>
        <v/>
      </c>
      <c r="AN201" s="136">
        <f>SUM(AN127:AN198)</f>
        <v/>
      </c>
      <c r="AO201" s="136">
        <f>SUM(AO127:AO198)</f>
        <v/>
      </c>
      <c r="AP201" s="414">
        <f>SUM(AP127:AP198)</f>
        <v/>
      </c>
      <c r="AQ201" s="416">
        <f>SUM(AQ127:AQ198)</f>
        <v/>
      </c>
      <c r="AR201" s="136">
        <f>SUM(AR127:AR198)</f>
        <v/>
      </c>
      <c r="AS201" s="136">
        <f>SUM(AS127:AS198)</f>
        <v/>
      </c>
      <c r="AT201" s="136">
        <f>SUM(AT127:AT198)</f>
        <v/>
      </c>
      <c r="AU201" s="136">
        <f>SUM(AU127:AU198)</f>
        <v/>
      </c>
      <c r="AV201" s="136">
        <f>SUM(AV127:AV198)</f>
        <v/>
      </c>
      <c r="AW201" s="136">
        <f>SUM(AW127:AW198)</f>
        <v/>
      </c>
      <c r="AX201" s="136">
        <f>SUM(AX127:AX198)</f>
        <v/>
      </c>
      <c r="AY201" s="136">
        <f>SUM(AY127:AY198)</f>
        <v/>
      </c>
      <c r="AZ201" s="136">
        <f>SUM(AZ127:AZ198)</f>
        <v/>
      </c>
      <c r="BA201" s="136">
        <f>SUM(BA127:BA198)</f>
        <v/>
      </c>
      <c r="BB201" s="414">
        <f>SUM(BB127:BB198)</f>
        <v/>
      </c>
      <c r="BC201" s="416">
        <f>SUM(BC127:BC198)</f>
        <v/>
      </c>
      <c r="BD201" s="136">
        <f>SUM(BD127:BD198)</f>
        <v/>
      </c>
      <c r="BE201" s="136">
        <f>SUM(BE127:BE198)</f>
        <v/>
      </c>
      <c r="BF201" s="136">
        <f>SUM(BF127:BF198)</f>
        <v/>
      </c>
      <c r="BG201" s="136">
        <f>SUM(BG127:BG198)</f>
        <v/>
      </c>
      <c r="BH201" s="136">
        <f>SUM(BH127:BH198)</f>
        <v/>
      </c>
      <c r="BI201" s="136">
        <f>SUM(BI127:BI198)</f>
        <v/>
      </c>
      <c r="BJ201" s="136">
        <f>SUM(BJ127:BJ198)</f>
        <v/>
      </c>
      <c r="BK201" s="136">
        <f>SUM(BK127:BK198)</f>
        <v/>
      </c>
      <c r="BL201" s="136">
        <f>SUM(BL127:BL198)</f>
        <v/>
      </c>
      <c r="BM201" s="136">
        <f>SUM(BM127:BM198)</f>
        <v/>
      </c>
      <c r="BN201" s="136">
        <f>SUM(BN127:BN198)</f>
        <v/>
      </c>
      <c r="BO201" s="416">
        <f>SUM(BO127:BO198)</f>
        <v/>
      </c>
      <c r="BP201" s="136">
        <f>SUM(BP127:BP198)</f>
        <v/>
      </c>
      <c r="BQ201" s="136">
        <f>SUM(BQ127:BQ198)</f>
        <v/>
      </c>
      <c r="BR201" s="136">
        <f>SUM(BR127:BR198)</f>
        <v/>
      </c>
      <c r="BS201" s="136">
        <f>SUM(BS127:BS198)</f>
        <v/>
      </c>
      <c r="BT201" s="136">
        <f>SUM(BT127:BT198)</f>
        <v/>
      </c>
      <c r="BU201" s="136">
        <f>SUM(BU127:BU198)</f>
        <v/>
      </c>
      <c r="BV201" s="136">
        <f>SUM(BV127:BV198)</f>
        <v/>
      </c>
      <c r="BW201" s="136">
        <f>SUM(BW127:BW198)</f>
        <v/>
      </c>
      <c r="BX201" s="136">
        <f>SUM(BX127:BX198)</f>
        <v/>
      </c>
      <c r="BY201" s="136">
        <f>SUM(BY127:BY198)</f>
        <v/>
      </c>
      <c r="BZ201" s="136">
        <f>SUM(BZ127:BZ198)</f>
        <v/>
      </c>
      <c r="CA201" s="122" t="n"/>
      <c r="CB201" s="136">
        <f>SUM(CB127:CB186)</f>
        <v/>
      </c>
      <c r="CC201" s="122" t="n"/>
      <c r="CD201" s="122" t="n"/>
      <c r="CE201" s="391" t="n"/>
      <c r="CF201" s="122" t="n"/>
    </row>
    <row r="202" ht="3" customHeight="1" s="1883" thickBot="1">
      <c r="D202" s="116" t="n"/>
      <c r="E202" s="988" t="n"/>
      <c r="F202" s="626" t="n"/>
      <c r="G202" s="994" t="n"/>
      <c r="H202" s="994" t="n"/>
      <c r="I202" s="994" t="n"/>
      <c r="J202" s="994" t="n"/>
      <c r="K202" s="994" t="n"/>
      <c r="L202" s="994" t="n"/>
      <c r="M202" s="994" t="n"/>
      <c r="N202" s="994" t="n"/>
      <c r="O202" s="994" t="n"/>
      <c r="P202" s="994" t="n"/>
      <c r="Q202" s="994" t="n"/>
      <c r="R202" s="994" t="n"/>
      <c r="S202" s="991" t="n"/>
      <c r="T202" s="989" t="n"/>
      <c r="U202" s="989" t="n"/>
      <c r="V202" s="989" t="n"/>
      <c r="W202" s="989" t="n"/>
      <c r="X202" s="989" t="n"/>
      <c r="Y202" s="989" t="n"/>
      <c r="Z202" s="989" t="n"/>
      <c r="AA202" s="989" t="n"/>
      <c r="AB202" s="989" t="n"/>
      <c r="AC202" s="989" t="n"/>
      <c r="AD202" s="989" t="n"/>
      <c r="AE202" s="991" t="n"/>
      <c r="AF202" s="989" t="n"/>
      <c r="AG202" s="989" t="n"/>
      <c r="AH202" s="989" t="n"/>
      <c r="AI202" s="989" t="n"/>
      <c r="AJ202" s="989" t="n"/>
      <c r="AK202" s="989" t="n"/>
      <c r="AL202" s="989" t="n"/>
      <c r="AM202" s="989" t="n"/>
      <c r="AN202" s="989" t="n"/>
      <c r="AO202" s="989" t="n"/>
      <c r="AP202" s="989" t="n"/>
      <c r="AQ202" s="991" t="n"/>
      <c r="AR202" s="989" t="n"/>
      <c r="AS202" s="989" t="n"/>
      <c r="AT202" s="989" t="n"/>
      <c r="AU202" s="989" t="n"/>
      <c r="AV202" s="989" t="n"/>
      <c r="AW202" s="989" t="n"/>
      <c r="AX202" s="989" t="n"/>
      <c r="AY202" s="989" t="n"/>
      <c r="AZ202" s="989" t="n"/>
      <c r="BA202" s="989" t="n"/>
      <c r="BB202" s="989" t="n"/>
      <c r="BC202" s="991" t="n"/>
      <c r="BD202" s="989" t="n"/>
      <c r="BE202" s="989" t="n"/>
      <c r="BF202" s="989" t="n"/>
      <c r="BG202" s="989" t="n"/>
      <c r="BH202" s="989" t="n"/>
      <c r="BI202" s="989" t="n"/>
      <c r="BJ202" s="989" t="n"/>
      <c r="BK202" s="989" t="n"/>
      <c r="BL202" s="989" t="n"/>
      <c r="BM202" s="989" t="n"/>
      <c r="BN202" s="989" t="n"/>
      <c r="BO202" s="991" t="n"/>
      <c r="BP202" s="989" t="n"/>
      <c r="BQ202" s="989" t="n"/>
      <c r="BR202" s="989" t="n"/>
      <c r="BS202" s="989" t="n"/>
      <c r="BT202" s="989" t="n"/>
      <c r="BU202" s="989" t="n"/>
      <c r="BV202" s="989" t="n"/>
      <c r="BW202" s="989" t="n"/>
      <c r="BX202" s="989" t="n"/>
      <c r="BY202" s="989" t="n"/>
      <c r="BZ202" s="989" t="n"/>
      <c r="CA202" s="122" t="n"/>
      <c r="CB202" s="989" t="n"/>
      <c r="CC202" s="122" t="n"/>
      <c r="CD202" s="122" t="n"/>
      <c r="CE202" s="391" t="n"/>
      <c r="CF202" s="122" t="n"/>
    </row>
    <row r="203" ht="16" customHeight="1" s="1883" thickTop="1">
      <c r="D203" s="116" t="n"/>
      <c r="E203" s="116" t="n"/>
      <c r="F203" s="116" t="n"/>
      <c r="G203" s="122" t="n"/>
      <c r="H203" s="122" t="n"/>
      <c r="I203" s="122" t="n"/>
      <c r="J203" s="122" t="n"/>
      <c r="K203" s="122" t="n"/>
      <c r="L203" s="122" t="n"/>
      <c r="M203" s="122" t="n"/>
      <c r="N203" s="122" t="n"/>
      <c r="O203" s="122" t="n"/>
      <c r="P203" s="122" t="n"/>
      <c r="Q203" s="122" t="n"/>
      <c r="R203" s="445" t="n"/>
      <c r="S203" s="444" t="n"/>
      <c r="T203" s="122" t="n"/>
      <c r="U203" s="122" t="n"/>
      <c r="V203" s="122" t="n"/>
      <c r="W203" s="122" t="n"/>
      <c r="X203" s="122" t="n"/>
      <c r="Y203" s="122" t="n"/>
      <c r="Z203" s="122" t="n"/>
      <c r="AA203" s="122" t="n"/>
      <c r="AB203" s="122" t="n"/>
      <c r="AC203" s="122" t="n"/>
      <c r="AD203" s="445" t="n"/>
      <c r="AE203" s="444" t="n"/>
      <c r="AF203" s="122" t="n"/>
      <c r="AG203" s="122" t="n"/>
      <c r="AH203" s="122" t="n"/>
      <c r="AI203" s="122" t="n"/>
      <c r="AJ203" s="122" t="n"/>
      <c r="AK203" s="122" t="n"/>
      <c r="AL203" s="122" t="n"/>
      <c r="AM203" s="122" t="n"/>
      <c r="AN203" s="122" t="n"/>
      <c r="AO203" s="122" t="n"/>
      <c r="AP203" s="445" t="n"/>
      <c r="AQ203" s="444" t="n"/>
      <c r="AR203" s="122" t="n"/>
      <c r="AS203" s="122" t="n"/>
      <c r="AT203" s="122" t="n"/>
      <c r="AU203" s="122" t="n"/>
      <c r="AV203" s="122" t="n"/>
      <c r="AW203" s="122" t="n"/>
      <c r="AX203" s="122" t="n"/>
      <c r="AY203" s="122" t="n"/>
      <c r="AZ203" s="122" t="n"/>
      <c r="BA203" s="122" t="n"/>
      <c r="BB203" s="445" t="n"/>
      <c r="BC203" s="444" t="n"/>
      <c r="BD203" s="122" t="n"/>
      <c r="BE203" s="122" t="n"/>
      <c r="BF203" s="122" t="n"/>
      <c r="BG203" s="122" t="n"/>
      <c r="BH203" s="122" t="n"/>
      <c r="BI203" s="122" t="n"/>
      <c r="BJ203" s="122" t="n"/>
      <c r="BK203" s="122" t="n"/>
      <c r="BL203" s="122" t="n"/>
      <c r="BM203" s="122" t="n"/>
      <c r="BN203" s="122" t="n"/>
      <c r="BO203" s="444" t="n"/>
      <c r="BP203" s="122" t="n"/>
      <c r="BQ203" s="122" t="n"/>
      <c r="BR203" s="122" t="n"/>
      <c r="BS203" s="122" t="n"/>
      <c r="BT203" s="122" t="n"/>
      <c r="BU203" s="122" t="n"/>
      <c r="BV203" s="122" t="n"/>
      <c r="BW203" s="122" t="n"/>
      <c r="BX203" s="122" t="n"/>
      <c r="BY203" s="122" t="n"/>
      <c r="BZ203" s="122" t="n"/>
      <c r="CA203" s="122" t="n"/>
      <c r="CB203" s="122" t="n"/>
      <c r="CC203" s="122" t="n"/>
      <c r="CD203" s="122" t="n"/>
      <c r="CE203" s="391" t="n"/>
      <c r="CF203" s="122" t="n"/>
    </row>
    <row r="204">
      <c r="D204" s="116" t="n"/>
      <c r="E204" s="116" t="n"/>
      <c r="F204" s="116" t="n"/>
      <c r="G204" s="1882" t="inlineStr">
        <is>
          <t>Month 1</t>
        </is>
      </c>
      <c r="H204" s="1882" t="inlineStr">
        <is>
          <t>Month 2</t>
        </is>
      </c>
      <c r="I204" s="1882" t="inlineStr">
        <is>
          <t>Month 3</t>
        </is>
      </c>
      <c r="J204" s="1882" t="inlineStr">
        <is>
          <t>Month 4</t>
        </is>
      </c>
      <c r="K204" s="1882" t="inlineStr">
        <is>
          <t>Month 5</t>
        </is>
      </c>
      <c r="L204" s="1882" t="inlineStr">
        <is>
          <t>Month 6</t>
        </is>
      </c>
      <c r="M204" s="1882" t="inlineStr">
        <is>
          <t>Month 7</t>
        </is>
      </c>
      <c r="N204" s="1882" t="inlineStr">
        <is>
          <t>Month 8</t>
        </is>
      </c>
      <c r="O204" s="1882" t="inlineStr">
        <is>
          <t>Month 9</t>
        </is>
      </c>
      <c r="P204" s="1882" t="inlineStr">
        <is>
          <t>Month 10</t>
        </is>
      </c>
      <c r="Q204" s="1882" t="inlineStr">
        <is>
          <t>Month 11</t>
        </is>
      </c>
      <c r="R204" s="1882" t="inlineStr">
        <is>
          <t>Month 12</t>
        </is>
      </c>
      <c r="S204" s="433" t="inlineStr">
        <is>
          <t>Month 13</t>
        </is>
      </c>
      <c r="T204" s="1882" t="inlineStr">
        <is>
          <t>Month 14</t>
        </is>
      </c>
      <c r="U204" s="1882" t="inlineStr">
        <is>
          <t>Month 15</t>
        </is>
      </c>
      <c r="V204" s="1882" t="inlineStr">
        <is>
          <t>Month 16</t>
        </is>
      </c>
      <c r="W204" s="1882" t="inlineStr">
        <is>
          <t>Month 17</t>
        </is>
      </c>
      <c r="X204" s="1882" t="inlineStr">
        <is>
          <t>Month 18</t>
        </is>
      </c>
      <c r="Y204" s="1882" t="inlineStr">
        <is>
          <t>Month 19</t>
        </is>
      </c>
      <c r="Z204" s="1882" t="inlineStr">
        <is>
          <t>Month 20</t>
        </is>
      </c>
      <c r="AA204" s="1882" t="inlineStr">
        <is>
          <t>Month 21</t>
        </is>
      </c>
      <c r="AB204" s="1882" t="inlineStr">
        <is>
          <t>Month 22</t>
        </is>
      </c>
      <c r="AC204" s="1882" t="inlineStr">
        <is>
          <t>Month 23</t>
        </is>
      </c>
      <c r="AD204" s="1882" t="inlineStr">
        <is>
          <t>Month 24</t>
        </is>
      </c>
      <c r="AE204" s="433" t="inlineStr">
        <is>
          <t>Month 25</t>
        </is>
      </c>
      <c r="AF204" s="1882" t="inlineStr">
        <is>
          <t>Month 26</t>
        </is>
      </c>
      <c r="AG204" s="1882" t="inlineStr">
        <is>
          <t>Month 27</t>
        </is>
      </c>
      <c r="AH204" s="1882" t="inlineStr">
        <is>
          <t>Month 28</t>
        </is>
      </c>
      <c r="AI204" s="1882" t="inlineStr">
        <is>
          <t>Month 29</t>
        </is>
      </c>
      <c r="AJ204" s="1882" t="inlineStr">
        <is>
          <t>Month 30</t>
        </is>
      </c>
      <c r="AK204" s="1882" t="inlineStr">
        <is>
          <t>Month 31</t>
        </is>
      </c>
      <c r="AL204" s="1882" t="inlineStr">
        <is>
          <t>Month 32</t>
        </is>
      </c>
      <c r="AM204" s="1882" t="inlineStr">
        <is>
          <t>Month 33</t>
        </is>
      </c>
      <c r="AN204" s="1882" t="inlineStr">
        <is>
          <t>Month 34</t>
        </is>
      </c>
      <c r="AO204" s="1882" t="inlineStr">
        <is>
          <t>Month 35</t>
        </is>
      </c>
      <c r="AP204" s="1882" t="inlineStr">
        <is>
          <t>Month 36</t>
        </is>
      </c>
      <c r="AQ204" s="433" t="inlineStr">
        <is>
          <t>Month 37</t>
        </is>
      </c>
      <c r="AR204" s="1882" t="inlineStr">
        <is>
          <t>Month 38</t>
        </is>
      </c>
      <c r="AS204" s="1882" t="inlineStr">
        <is>
          <t>Month 39</t>
        </is>
      </c>
      <c r="AT204" s="1882" t="inlineStr">
        <is>
          <t>Month 40</t>
        </is>
      </c>
      <c r="AU204" s="1882" t="inlineStr">
        <is>
          <t>Month 41</t>
        </is>
      </c>
      <c r="AV204" s="1882" t="inlineStr">
        <is>
          <t>Month 42</t>
        </is>
      </c>
      <c r="AW204" s="1882" t="inlineStr">
        <is>
          <t>Month 43</t>
        </is>
      </c>
      <c r="AX204" s="1882" t="inlineStr">
        <is>
          <t>Month 44</t>
        </is>
      </c>
      <c r="AY204" s="1882" t="inlineStr">
        <is>
          <t>Month 45</t>
        </is>
      </c>
      <c r="AZ204" s="1882" t="inlineStr">
        <is>
          <t>Month 46</t>
        </is>
      </c>
      <c r="BA204" s="1882" t="inlineStr">
        <is>
          <t>Month 47</t>
        </is>
      </c>
      <c r="BB204" s="1882" t="inlineStr">
        <is>
          <t>Month 48</t>
        </is>
      </c>
      <c r="BC204" s="433" t="inlineStr">
        <is>
          <t>Month 49</t>
        </is>
      </c>
      <c r="BD204" s="1882" t="inlineStr">
        <is>
          <t>Month 50</t>
        </is>
      </c>
      <c r="BE204" s="1882" t="inlineStr">
        <is>
          <t>Month 51</t>
        </is>
      </c>
      <c r="BF204" s="1882" t="inlineStr">
        <is>
          <t>Month 52</t>
        </is>
      </c>
      <c r="BG204" s="1882" t="inlineStr">
        <is>
          <t>Month 53</t>
        </is>
      </c>
      <c r="BH204" s="1882" t="inlineStr">
        <is>
          <t>Month 54</t>
        </is>
      </c>
      <c r="BI204" s="1882" t="inlineStr">
        <is>
          <t>Month 55</t>
        </is>
      </c>
      <c r="BJ204" s="1882" t="inlineStr">
        <is>
          <t>Month 56</t>
        </is>
      </c>
      <c r="BK204" s="1882" t="inlineStr">
        <is>
          <t>Month 57</t>
        </is>
      </c>
      <c r="BL204" s="1882" t="inlineStr">
        <is>
          <t>Month 58</t>
        </is>
      </c>
      <c r="BM204" s="1882" t="inlineStr">
        <is>
          <t>Month 59</t>
        </is>
      </c>
      <c r="BN204" s="1882" t="inlineStr">
        <is>
          <t>Month 60</t>
        </is>
      </c>
      <c r="BO204" s="433" t="inlineStr">
        <is>
          <t>Month 61</t>
        </is>
      </c>
      <c r="BP204" s="1882" t="inlineStr">
        <is>
          <t>Month 62</t>
        </is>
      </c>
      <c r="BQ204" s="1882" t="inlineStr">
        <is>
          <t>Month 63</t>
        </is>
      </c>
      <c r="BR204" s="1882" t="inlineStr">
        <is>
          <t>Month 64</t>
        </is>
      </c>
      <c r="BS204" s="1882" t="inlineStr">
        <is>
          <t>Month 65</t>
        </is>
      </c>
      <c r="BT204" s="1882" t="inlineStr">
        <is>
          <t>Month 66</t>
        </is>
      </c>
      <c r="BU204" s="1882" t="inlineStr">
        <is>
          <t>Month 67</t>
        </is>
      </c>
      <c r="BV204" s="1882" t="inlineStr">
        <is>
          <t>Month 68</t>
        </is>
      </c>
      <c r="BW204" s="1882" t="inlineStr">
        <is>
          <t>Month 69</t>
        </is>
      </c>
      <c r="BX204" s="1882" t="inlineStr">
        <is>
          <t>Month 70</t>
        </is>
      </c>
      <c r="BY204" s="1882" t="inlineStr">
        <is>
          <t>Month 71</t>
        </is>
      </c>
      <c r="BZ204" s="1882" t="inlineStr">
        <is>
          <t>Month 72</t>
        </is>
      </c>
      <c r="CA204" s="122" t="n"/>
      <c r="CB204" s="122" t="n"/>
      <c r="CC204" s="122" t="n"/>
      <c r="CD204" s="122" t="n"/>
      <c r="CE204" s="391" t="n"/>
      <c r="CF204" s="122" t="n"/>
    </row>
    <row r="211" ht="15" customHeight="1" s="1883">
      <c r="B211" s="467" t="inlineStr">
        <is>
          <t>III.</t>
        </is>
      </c>
      <c r="C211" s="116" t="n"/>
      <c r="D211" s="118" t="inlineStr">
        <is>
          <t>Customers Qualifying for Rewards, Months 1 - 60</t>
        </is>
      </c>
      <c r="E211" s="116" t="n"/>
      <c r="F211" s="116" t="n"/>
      <c r="G211" s="122" t="n"/>
      <c r="H211" s="122" t="n"/>
      <c r="I211" s="122" t="n"/>
      <c r="J211" s="122" t="n"/>
      <c r="K211" s="122" t="n"/>
      <c r="L211" s="122" t="n"/>
      <c r="M211" s="122" t="n"/>
      <c r="N211" s="122" t="n"/>
      <c r="O211" s="122" t="n"/>
      <c r="P211" s="122" t="n"/>
      <c r="Q211" s="122" t="n"/>
      <c r="R211" s="122" t="n"/>
      <c r="S211" s="122" t="n"/>
      <c r="T211" s="122" t="n"/>
      <c r="U211" s="122" t="n"/>
      <c r="V211" s="122" t="n"/>
      <c r="W211" s="122" t="n"/>
      <c r="X211" s="122" t="n"/>
      <c r="Y211" s="122" t="n"/>
      <c r="Z211" s="122" t="n"/>
      <c r="AA211" s="122" t="n"/>
      <c r="AB211" s="122" t="n"/>
      <c r="AC211" s="122" t="n"/>
      <c r="AD211" s="122" t="n"/>
      <c r="AE211" s="445" t="n"/>
      <c r="AF211" s="122" t="n"/>
      <c r="AG211" s="122" t="n"/>
      <c r="AH211" s="122" t="n"/>
      <c r="AI211" s="122" t="n"/>
      <c r="AJ211" s="122" t="n"/>
      <c r="AK211" s="122" t="n"/>
      <c r="AL211" s="122" t="n"/>
      <c r="AM211" s="122" t="n"/>
      <c r="AN211" s="122" t="n"/>
      <c r="AO211" s="122" t="n"/>
      <c r="AP211" s="122" t="n"/>
      <c r="AQ211" s="122" t="n"/>
      <c r="AR211" s="122" t="n"/>
      <c r="AS211" s="122" t="n"/>
      <c r="AT211" s="122" t="n"/>
      <c r="AU211" s="122" t="n"/>
      <c r="AV211" s="122" t="n"/>
      <c r="AW211" s="122" t="n"/>
      <c r="AX211" s="122" t="n"/>
      <c r="AY211" s="122" t="n"/>
      <c r="AZ211" s="122" t="n"/>
      <c r="BA211" s="122" t="n"/>
      <c r="BB211" s="122" t="n"/>
      <c r="BC211" s="122" t="n"/>
      <c r="BD211" s="122" t="n"/>
      <c r="BE211" s="122" t="n"/>
      <c r="BF211" s="122" t="n"/>
      <c r="BG211" s="122" t="n"/>
      <c r="BH211" s="122" t="n"/>
      <c r="BI211" s="122" t="n"/>
      <c r="BJ211" s="122" t="n"/>
      <c r="BK211" s="122" t="n"/>
      <c r="BL211" s="122" t="n"/>
      <c r="BM211" s="122" t="n"/>
      <c r="BN211" s="122" t="n"/>
      <c r="BO211" s="122" t="n"/>
      <c r="BP211" s="122" t="n"/>
      <c r="BQ211" s="122" t="n"/>
      <c r="BR211" s="122" t="n"/>
      <c r="BS211" s="122" t="n"/>
      <c r="BT211" s="122" t="n"/>
      <c r="BU211" s="122" t="n"/>
      <c r="BV211" s="122" t="n"/>
      <c r="BW211" s="122" t="n"/>
      <c r="BX211" s="122" t="n"/>
      <c r="BY211" s="122" t="n"/>
      <c r="BZ211" s="122" t="n"/>
      <c r="CA211" s="122" t="n"/>
      <c r="CB211" s="122" t="n"/>
      <c r="CC211" s="122" t="n"/>
      <c r="CD211" s="122" t="n"/>
      <c r="CE211" s="391" t="n"/>
      <c r="CF211" s="122" t="n"/>
    </row>
    <row r="212" ht="3" customHeight="1" s="1883">
      <c r="B212" s="116" t="n"/>
      <c r="C212" s="116" t="n"/>
      <c r="D212" s="450" t="n"/>
      <c r="E212" s="450" t="n"/>
      <c r="F212" s="450" t="n"/>
      <c r="G212" s="449" t="n"/>
      <c r="H212" s="122" t="n"/>
      <c r="I212" s="122" t="n"/>
      <c r="J212" s="122" t="n"/>
      <c r="K212" s="122" t="n"/>
      <c r="L212" s="122" t="n"/>
      <c r="M212" s="122" t="n"/>
      <c r="N212" s="122" t="n"/>
      <c r="O212" s="122" t="n"/>
      <c r="P212" s="122" t="n"/>
      <c r="Q212" s="122" t="n"/>
      <c r="R212" s="122" t="n"/>
      <c r="S212" s="122" t="n"/>
      <c r="T212" s="122" t="n"/>
      <c r="U212" s="122" t="n"/>
      <c r="V212" s="122" t="n"/>
      <c r="W212" s="122" t="n"/>
      <c r="X212" s="122" t="n"/>
      <c r="Y212" s="122" t="n"/>
      <c r="Z212" s="122" t="n"/>
      <c r="AA212" s="122" t="n"/>
      <c r="AB212" s="122" t="n"/>
      <c r="AC212" s="122" t="n"/>
      <c r="AD212" s="122" t="n"/>
      <c r="AE212" s="445" t="n"/>
      <c r="AF212" s="122" t="n"/>
      <c r="AG212" s="122" t="n"/>
      <c r="AH212" s="122" t="n"/>
      <c r="AI212" s="122" t="n"/>
      <c r="AJ212" s="122" t="n"/>
      <c r="AK212" s="122" t="n"/>
      <c r="AL212" s="122" t="n"/>
      <c r="AM212" s="122" t="n"/>
      <c r="AN212" s="122" t="n"/>
      <c r="AO212" s="122" t="n"/>
      <c r="AP212" s="122" t="n"/>
      <c r="AQ212" s="122" t="n"/>
      <c r="AR212" s="122" t="n"/>
      <c r="AS212" s="122" t="n"/>
      <c r="AT212" s="122" t="n"/>
      <c r="AU212" s="122" t="n"/>
      <c r="AV212" s="122" t="n"/>
      <c r="AW212" s="122" t="n"/>
      <c r="AX212" s="122" t="n"/>
      <c r="AY212" s="122" t="n"/>
      <c r="AZ212" s="122" t="n"/>
      <c r="BA212" s="122" t="n"/>
      <c r="BB212" s="122" t="n"/>
      <c r="BC212" s="122" t="n"/>
      <c r="BD212" s="122" t="n"/>
      <c r="BE212" s="122" t="n"/>
      <c r="BF212" s="122" t="n"/>
      <c r="BG212" s="122" t="n"/>
      <c r="BH212" s="122" t="n"/>
      <c r="BI212" s="122" t="n"/>
      <c r="BJ212" s="122" t="n"/>
      <c r="BK212" s="122" t="n"/>
      <c r="BL212" s="122" t="n"/>
      <c r="BM212" s="122" t="n"/>
      <c r="BN212" s="122" t="n"/>
      <c r="BO212" s="122" t="n"/>
      <c r="BP212" s="122" t="n"/>
      <c r="BQ212" s="122" t="n"/>
      <c r="BR212" s="122" t="n"/>
      <c r="BS212" s="122" t="n"/>
      <c r="BT212" s="122" t="n"/>
      <c r="BU212" s="122" t="n"/>
      <c r="BV212" s="122" t="n"/>
      <c r="BW212" s="122" t="n"/>
      <c r="BX212" s="122" t="n"/>
      <c r="BY212" s="122" t="n"/>
      <c r="BZ212" s="122" t="n"/>
      <c r="CA212" s="122" t="n"/>
      <c r="CB212" s="122" t="n"/>
      <c r="CC212" s="122" t="n"/>
      <c r="CD212" s="122" t="n"/>
      <c r="CE212" s="391" t="n"/>
      <c r="CF212" s="122" t="n"/>
    </row>
    <row r="213" ht="3" customHeight="1" s="1883">
      <c r="B213" s="116" t="n"/>
      <c r="C213" s="116" t="n"/>
      <c r="D213" s="116" t="n"/>
      <c r="E213" s="116" t="n"/>
      <c r="F213" s="116" t="n"/>
      <c r="G213" s="122" t="n"/>
      <c r="H213" s="122" t="n"/>
      <c r="I213" s="122" t="n"/>
      <c r="J213" s="122" t="n"/>
      <c r="K213" s="122" t="n"/>
      <c r="L213" s="122" t="n"/>
      <c r="M213" s="122" t="n"/>
      <c r="N213" s="122" t="n"/>
      <c r="O213" s="122" t="n"/>
      <c r="P213" s="122" t="n"/>
      <c r="Q213" s="122" t="n"/>
      <c r="R213" s="122" t="n"/>
      <c r="S213" s="122" t="n"/>
      <c r="T213" s="122" t="n"/>
      <c r="U213" s="122" t="n"/>
      <c r="V213" s="122" t="n"/>
      <c r="W213" s="122" t="n"/>
      <c r="X213" s="122" t="n"/>
      <c r="Y213" s="122" t="n"/>
      <c r="Z213" s="122" t="n"/>
      <c r="AA213" s="122" t="n"/>
      <c r="AB213" s="122" t="n"/>
      <c r="AC213" s="122" t="n"/>
      <c r="AD213" s="122" t="n"/>
      <c r="AE213" s="445" t="n"/>
      <c r="AF213" s="122" t="n"/>
      <c r="AG213" s="122" t="n"/>
      <c r="AH213" s="122" t="n"/>
      <c r="AI213" s="122" t="n"/>
      <c r="AJ213" s="122" t="n"/>
      <c r="AK213" s="122" t="n"/>
      <c r="AL213" s="122" t="n"/>
      <c r="AM213" s="122" t="n"/>
      <c r="AN213" s="122" t="n"/>
      <c r="AO213" s="122" t="n"/>
      <c r="AP213" s="122" t="n"/>
      <c r="AQ213" s="122" t="n"/>
      <c r="AR213" s="122" t="n"/>
      <c r="AS213" s="122" t="n"/>
      <c r="AT213" s="122" t="n"/>
      <c r="AU213" s="122" t="n"/>
      <c r="AV213" s="122" t="n"/>
      <c r="AW213" s="122" t="n"/>
      <c r="AX213" s="122" t="n"/>
      <c r="AY213" s="122" t="n"/>
      <c r="AZ213" s="122" t="n"/>
      <c r="BA213" s="122" t="n"/>
      <c r="BB213" s="122" t="n"/>
      <c r="BC213" s="122" t="n"/>
      <c r="BD213" s="122" t="n"/>
      <c r="BE213" s="122" t="n"/>
      <c r="BF213" s="122" t="n"/>
      <c r="BG213" s="122" t="n"/>
      <c r="BH213" s="122" t="n"/>
      <c r="BI213" s="122" t="n"/>
      <c r="BJ213" s="122" t="n"/>
      <c r="BK213" s="122" t="n"/>
      <c r="BL213" s="122" t="n"/>
      <c r="BM213" s="122" t="n"/>
      <c r="BN213" s="122" t="n"/>
      <c r="BO213" s="122" t="n"/>
      <c r="BP213" s="122" t="n"/>
      <c r="BQ213" s="122" t="n"/>
      <c r="BR213" s="122" t="n"/>
      <c r="BS213" s="122" t="n"/>
      <c r="BT213" s="122" t="n"/>
      <c r="BU213" s="122" t="n"/>
      <c r="BV213" s="122" t="n"/>
      <c r="BW213" s="122" t="n"/>
      <c r="BX213" s="122" t="n"/>
      <c r="BY213" s="122" t="n"/>
      <c r="BZ213" s="122" t="n"/>
      <c r="CA213" s="122" t="n"/>
      <c r="CB213" s="122" t="n"/>
      <c r="CC213" s="122" t="n"/>
      <c r="CD213" s="122" t="n"/>
      <c r="CE213" s="391" t="n"/>
      <c r="CF213" s="122" t="n"/>
    </row>
    <row r="214" ht="15" customHeight="1" s="1883">
      <c r="B214" s="116" t="n"/>
      <c r="C214" s="116" t="n"/>
      <c r="D214" s="116" t="n"/>
      <c r="E214" s="116" t="n"/>
      <c r="F214" s="116" t="n"/>
      <c r="G214" s="122" t="n"/>
      <c r="H214" s="122" t="n"/>
      <c r="I214" s="122" t="n"/>
      <c r="J214" s="122" t="n"/>
      <c r="K214" s="122" t="n"/>
      <c r="L214" s="122" t="n"/>
      <c r="M214" s="122" t="n"/>
      <c r="N214" s="122" t="n"/>
      <c r="O214" s="122" t="n"/>
      <c r="P214" s="122" t="n"/>
      <c r="Q214" s="122" t="n"/>
      <c r="R214" s="122" t="n"/>
      <c r="S214" s="122" t="n"/>
      <c r="T214" s="122" t="n"/>
      <c r="U214" s="122" t="n"/>
      <c r="V214" s="122" t="n"/>
      <c r="W214" s="122" t="n"/>
      <c r="X214" s="122" t="n"/>
      <c r="Y214" s="122" t="n"/>
      <c r="Z214" s="122" t="n"/>
      <c r="AA214" s="122" t="n"/>
      <c r="AB214" s="122" t="n"/>
      <c r="AC214" s="122" t="n"/>
      <c r="AD214" s="122" t="n"/>
      <c r="AE214" s="445" t="n"/>
      <c r="AF214" s="122" t="n"/>
      <c r="AG214" s="122" t="n"/>
      <c r="AH214" s="122" t="n"/>
      <c r="AI214" s="122" t="n"/>
      <c r="AJ214" s="122" t="n"/>
      <c r="AK214" s="122" t="n"/>
      <c r="AL214" s="122" t="n"/>
      <c r="AM214" s="122" t="n"/>
      <c r="AN214" s="122" t="n"/>
      <c r="AO214" s="122" t="n"/>
      <c r="AP214" s="122" t="n"/>
      <c r="AQ214" s="122" t="n"/>
      <c r="AR214" s="122" t="n"/>
      <c r="AS214" s="122" t="n"/>
      <c r="AT214" s="122" t="n"/>
      <c r="AU214" s="122" t="n"/>
      <c r="AV214" s="122" t="n"/>
      <c r="AW214" s="122" t="n"/>
      <c r="AX214" s="122" t="n"/>
      <c r="AY214" s="122" t="n"/>
      <c r="AZ214" s="122" t="n"/>
      <c r="BA214" s="122" t="n"/>
      <c r="BB214" s="122" t="n"/>
      <c r="BC214" s="122" t="n"/>
      <c r="BD214" s="122" t="n"/>
      <c r="BE214" s="122" t="n"/>
      <c r="BF214" s="122" t="n"/>
      <c r="BG214" s="122" t="n"/>
      <c r="BH214" s="122" t="n"/>
      <c r="BI214" s="122" t="n"/>
      <c r="BJ214" s="122" t="n"/>
      <c r="BK214" s="122" t="n"/>
      <c r="BL214" s="122" t="n"/>
      <c r="BM214" s="122" t="n"/>
      <c r="BN214" s="122" t="n"/>
      <c r="BO214" s="122" t="n"/>
      <c r="BP214" s="122" t="n"/>
      <c r="BQ214" s="122" t="n"/>
      <c r="BR214" s="122" t="n"/>
      <c r="BS214" s="122" t="n"/>
      <c r="BT214" s="122" t="n"/>
      <c r="BU214" s="122" t="n"/>
      <c r="BV214" s="122" t="n"/>
      <c r="BW214" s="122" t="n"/>
      <c r="BX214" s="122" t="n"/>
      <c r="BY214" s="122" t="n"/>
      <c r="BZ214" s="122" t="n"/>
      <c r="CA214" s="122" t="n"/>
      <c r="CB214" s="122" t="n"/>
      <c r="CC214" s="122" t="n"/>
      <c r="CD214" s="122" t="n"/>
      <c r="CE214" s="391" t="n"/>
      <c r="CF214" s="122" t="n"/>
    </row>
    <row r="215" ht="15" customHeight="1" s="1883">
      <c r="B215" s="422" t="n"/>
      <c r="C215" s="422" t="n"/>
      <c r="D215" s="422" t="n"/>
      <c r="E215" s="422" t="n"/>
      <c r="F215" s="422" t="n"/>
      <c r="G215" s="1915" t="inlineStr">
        <is>
          <t>Active Users By Vintage By Month, Months 1 - 60</t>
        </is>
      </c>
      <c r="CC215" s="407" t="n"/>
      <c r="CD215" s="1915" t="inlineStr">
        <is>
          <t>Check</t>
        </is>
      </c>
    </row>
    <row r="216" ht="3" customHeight="1" s="1883">
      <c r="B216" s="422" t="n"/>
      <c r="C216" s="422" t="n"/>
      <c r="D216" s="422" t="n"/>
      <c r="E216" s="422" t="n"/>
      <c r="F216" s="422" t="n"/>
      <c r="G216" s="926" t="n"/>
      <c r="H216" s="926" t="n"/>
      <c r="I216" s="926" t="n"/>
      <c r="J216" s="926" t="n"/>
      <c r="K216" s="926" t="n"/>
      <c r="L216" s="926" t="n"/>
      <c r="M216" s="926" t="n"/>
      <c r="N216" s="926" t="n"/>
      <c r="O216" s="926" t="n"/>
      <c r="P216" s="926" t="n"/>
      <c r="Q216" s="926" t="n"/>
      <c r="R216" s="926" t="n"/>
      <c r="S216" s="926" t="n"/>
      <c r="T216" s="926" t="n"/>
      <c r="U216" s="926" t="n"/>
      <c r="V216" s="926" t="n"/>
      <c r="W216" s="926" t="n"/>
      <c r="X216" s="926" t="n"/>
      <c r="Y216" s="926" t="n"/>
      <c r="Z216" s="926" t="n"/>
      <c r="AA216" s="926" t="n"/>
      <c r="AB216" s="926" t="n"/>
      <c r="AC216" s="926" t="n"/>
      <c r="AD216" s="926" t="n"/>
      <c r="AE216" s="926" t="n"/>
      <c r="AF216" s="926" t="n"/>
      <c r="AG216" s="926" t="n"/>
      <c r="AH216" s="926" t="n"/>
      <c r="AI216" s="926" t="n"/>
      <c r="AJ216" s="926" t="n"/>
      <c r="AK216" s="926" t="n"/>
      <c r="AL216" s="926" t="n"/>
      <c r="AM216" s="926" t="n"/>
      <c r="AN216" s="926" t="n"/>
      <c r="AO216" s="926" t="n"/>
      <c r="AP216" s="926" t="n"/>
      <c r="AQ216" s="926" t="n"/>
      <c r="AR216" s="926" t="n"/>
      <c r="AS216" s="926" t="n"/>
      <c r="AT216" s="926" t="n"/>
      <c r="AU216" s="926" t="n"/>
      <c r="AV216" s="926" t="n"/>
      <c r="AW216" s="926" t="n"/>
      <c r="AX216" s="926" t="n"/>
      <c r="AY216" s="926" t="n"/>
      <c r="AZ216" s="926" t="n"/>
      <c r="BA216" s="926" t="n"/>
      <c r="BB216" s="926" t="n"/>
      <c r="BC216" s="926" t="n"/>
      <c r="BD216" s="926" t="n"/>
      <c r="BE216" s="926" t="n"/>
      <c r="BF216" s="926" t="n"/>
      <c r="BG216" s="926" t="n"/>
      <c r="BH216" s="926" t="n"/>
      <c r="BI216" s="926" t="n"/>
      <c r="BJ216" s="926" t="n"/>
      <c r="BK216" s="926" t="n"/>
      <c r="BL216" s="926" t="n"/>
      <c r="BM216" s="926" t="n"/>
      <c r="BN216" s="926" t="n"/>
      <c r="BO216" s="1968" t="n"/>
      <c r="BP216" s="1968" t="n"/>
      <c r="BQ216" s="1968" t="n"/>
      <c r="BR216" s="1968" t="n"/>
      <c r="BS216" s="1968" t="n"/>
      <c r="BT216" s="1968" t="n"/>
      <c r="BU216" s="1968" t="n"/>
      <c r="BV216" s="1968" t="n"/>
      <c r="BW216" s="1968" t="n"/>
      <c r="BX216" s="1968" t="n"/>
      <c r="BY216" s="1968" t="n"/>
      <c r="BZ216" s="1968" t="n"/>
      <c r="CA216" s="965" t="n"/>
      <c r="CB216" s="926" t="n"/>
      <c r="CC216" s="407" t="n"/>
      <c r="CD216" s="926" t="n"/>
      <c r="CE216" s="926" t="n"/>
      <c r="CF216" s="438" t="n"/>
    </row>
    <row r="217" ht="3" customHeight="1" s="1883">
      <c r="B217" s="422" t="n"/>
      <c r="C217" s="422" t="n"/>
      <c r="D217" s="422" t="n"/>
      <c r="E217" s="422" t="n"/>
      <c r="F217" s="422" t="n"/>
      <c r="G217" s="626" t="n"/>
      <c r="H217" s="626" t="n"/>
      <c r="I217" s="626" t="n"/>
      <c r="J217" s="626" t="n"/>
      <c r="K217" s="626" t="n"/>
      <c r="L217" s="626" t="n"/>
      <c r="M217" s="626" t="n"/>
      <c r="N217" s="626" t="n"/>
      <c r="O217" s="626" t="n"/>
      <c r="P217" s="626" t="n"/>
      <c r="Q217" s="626" t="n"/>
      <c r="R217" s="626" t="n"/>
      <c r="S217" s="626" t="n"/>
      <c r="T217" s="626" t="n"/>
      <c r="U217" s="626" t="n"/>
      <c r="V217" s="626" t="n"/>
      <c r="W217" s="626" t="n"/>
      <c r="X217" s="626" t="n"/>
      <c r="Y217" s="626" t="n"/>
      <c r="Z217" s="626" t="n"/>
      <c r="AA217" s="626" t="n"/>
      <c r="AB217" s="626" t="n"/>
      <c r="AC217" s="626" t="n"/>
      <c r="AD217" s="626" t="n"/>
      <c r="AE217" s="626" t="n"/>
      <c r="AF217" s="626" t="n"/>
      <c r="AG217" s="626" t="n"/>
      <c r="AH217" s="626" t="n"/>
      <c r="AI217" s="626" t="n"/>
      <c r="AJ217" s="626" t="n"/>
      <c r="AK217" s="626" t="n"/>
      <c r="AL217" s="626" t="n"/>
      <c r="AM217" s="626" t="n"/>
      <c r="AN217" s="626" t="n"/>
      <c r="AO217" s="626" t="n"/>
      <c r="AP217" s="626" t="n"/>
      <c r="AQ217" s="626" t="n"/>
      <c r="AR217" s="626" t="n"/>
      <c r="AS217" s="626" t="n"/>
      <c r="AT217" s="626" t="n"/>
      <c r="AU217" s="626" t="n"/>
      <c r="AV217" s="626" t="n"/>
      <c r="AW217" s="626" t="n"/>
      <c r="AX217" s="626" t="n"/>
      <c r="AY217" s="626" t="n"/>
      <c r="AZ217" s="626" t="n"/>
      <c r="BA217" s="626" t="n"/>
      <c r="BB217" s="626" t="n"/>
      <c r="BC217" s="626" t="n"/>
      <c r="BD217" s="626" t="n"/>
      <c r="BE217" s="626" t="n"/>
      <c r="BF217" s="626" t="n"/>
      <c r="BG217" s="626" t="n"/>
      <c r="BH217" s="626" t="n"/>
      <c r="BI217" s="626" t="n"/>
      <c r="BJ217" s="626" t="n"/>
      <c r="BK217" s="626" t="n"/>
      <c r="BL217" s="626" t="n"/>
      <c r="BM217" s="626" t="n"/>
      <c r="BN217" s="626" t="n"/>
      <c r="BO217" s="626" t="n"/>
      <c r="BP217" s="626" t="n"/>
      <c r="BQ217" s="626" t="n"/>
      <c r="BR217" s="626" t="n"/>
      <c r="BS217" s="626" t="n"/>
      <c r="BT217" s="626" t="n"/>
      <c r="BU217" s="626" t="n"/>
      <c r="BV217" s="626" t="n"/>
      <c r="BW217" s="626" t="n"/>
      <c r="BX217" s="626" t="n"/>
      <c r="BY217" s="626" t="n"/>
      <c r="BZ217" s="626" t="n"/>
      <c r="CA217" s="626" t="n"/>
      <c r="CB217" s="626" t="n"/>
      <c r="CC217" s="407" t="n"/>
      <c r="CD217" s="626" t="n"/>
      <c r="CE217" s="626" t="n"/>
      <c r="CF217" s="407" t="n"/>
    </row>
    <row r="218" ht="15" customHeight="1" s="1883">
      <c r="B218" s="422" t="n"/>
      <c r="C218" s="422" t="n"/>
      <c r="E218" s="419" t="inlineStr">
        <is>
          <t>Activation</t>
        </is>
      </c>
      <c r="F218" s="422" t="n"/>
      <c r="G218" s="626" t="n"/>
      <c r="H218" s="626" t="n"/>
      <c r="I218" s="626" t="n"/>
      <c r="J218" s="626" t="n"/>
      <c r="K218" s="626" t="n"/>
      <c r="L218" s="626" t="n"/>
      <c r="M218" s="626" t="n"/>
      <c r="N218" s="626" t="n"/>
      <c r="O218" s="626" t="n"/>
      <c r="P218" s="626" t="n"/>
      <c r="Q218" s="626" t="n"/>
      <c r="R218" s="626" t="n"/>
      <c r="S218" s="626" t="n"/>
      <c r="T218" s="626" t="n"/>
      <c r="U218" s="626" t="n"/>
      <c r="V218" s="626" t="n"/>
      <c r="W218" s="626" t="n"/>
      <c r="X218" s="626" t="n"/>
      <c r="Y218" s="626" t="n"/>
      <c r="Z218" s="626" t="n"/>
      <c r="AA218" s="626" t="n"/>
      <c r="AB218" s="626" t="n"/>
      <c r="AC218" s="626" t="n"/>
      <c r="AD218" s="626" t="n"/>
      <c r="AE218" s="626" t="n"/>
      <c r="AF218" s="626" t="n"/>
      <c r="AG218" s="626" t="n"/>
      <c r="AH218" s="626" t="n"/>
      <c r="AI218" s="626" t="n"/>
      <c r="AJ218" s="626" t="n"/>
      <c r="AK218" s="626" t="n"/>
      <c r="AL218" s="626" t="n"/>
      <c r="AM218" s="626" t="n"/>
      <c r="AN218" s="626" t="n"/>
      <c r="AO218" s="626" t="n"/>
      <c r="AP218" s="626" t="n"/>
      <c r="AQ218" s="626" t="n"/>
      <c r="AR218" s="626" t="n"/>
      <c r="AS218" s="626" t="n"/>
      <c r="AT218" s="626" t="n"/>
      <c r="AU218" s="626" t="n"/>
      <c r="AV218" s="626" t="n"/>
      <c r="AW218" s="626" t="n"/>
      <c r="AX218" s="626" t="n"/>
      <c r="AY218" s="626" t="n"/>
      <c r="AZ218" s="626" t="n"/>
      <c r="BA218" s="626" t="n"/>
      <c r="BB218" s="626" t="n"/>
      <c r="BC218" s="626" t="n"/>
      <c r="BD218" s="626" t="n"/>
      <c r="BE218" s="626" t="n"/>
      <c r="BF218" s="626" t="n"/>
      <c r="BG218" s="626" t="n"/>
      <c r="BH218" s="626" t="n"/>
      <c r="BI218" s="626" t="n"/>
      <c r="BJ218" s="626" t="n"/>
      <c r="BK218" s="626" t="n"/>
      <c r="BL218" s="626" t="n"/>
      <c r="BM218" s="626" t="n"/>
      <c r="BN218" s="626" t="n"/>
      <c r="BO218" s="626" t="n"/>
      <c r="BP218" s="626" t="n"/>
      <c r="BQ218" s="626" t="n"/>
      <c r="BR218" s="626" t="n"/>
      <c r="BS218" s="626" t="n"/>
      <c r="BT218" s="626" t="n"/>
      <c r="BU218" s="626" t="n"/>
      <c r="BV218" s="626" t="n"/>
      <c r="BW218" s="626" t="n"/>
      <c r="BX218" s="626" t="n"/>
      <c r="BY218" s="626" t="n"/>
      <c r="BZ218" s="626" t="n"/>
      <c r="CA218" s="626" t="n"/>
      <c r="CB218" s="626" t="n"/>
      <c r="CC218" s="407" t="n"/>
      <c r="CD218" s="407" t="n"/>
      <c r="CE218" s="407" t="n"/>
      <c r="CF218" s="407" t="n"/>
    </row>
    <row r="219" ht="15" customHeight="1" s="1883">
      <c r="B219" s="422" t="n"/>
      <c r="C219" s="422" t="n"/>
      <c r="D219" s="419" t="n"/>
      <c r="E219" s="419" t="inlineStr">
        <is>
          <t>Volume</t>
        </is>
      </c>
      <c r="F219" s="422" t="n"/>
      <c r="G219" s="626" t="n"/>
      <c r="H219" s="626" t="n"/>
      <c r="I219" s="626" t="n"/>
      <c r="J219" s="626" t="n"/>
      <c r="K219" s="626" t="n"/>
      <c r="L219" s="626" t="n"/>
      <c r="M219" s="626" t="n"/>
      <c r="N219" s="626" t="n"/>
      <c r="O219" s="626" t="n"/>
      <c r="P219" s="626" t="n"/>
      <c r="Q219" s="626" t="n"/>
      <c r="R219" s="626" t="n"/>
      <c r="S219" s="626" t="n"/>
      <c r="T219" s="626" t="n"/>
      <c r="U219" s="626" t="n"/>
      <c r="V219" s="626" t="n"/>
      <c r="W219" s="626" t="n"/>
      <c r="X219" s="626" t="n"/>
      <c r="Y219" s="626" t="n"/>
      <c r="Z219" s="626" t="n"/>
      <c r="AA219" s="626" t="n"/>
      <c r="AB219" s="626" t="n"/>
      <c r="AC219" s="626" t="n"/>
      <c r="AD219" s="626" t="n"/>
      <c r="AE219" s="626" t="n"/>
      <c r="AF219" s="626" t="n"/>
      <c r="AG219" s="626" t="n"/>
      <c r="AH219" s="626" t="n"/>
      <c r="AI219" s="626" t="n"/>
      <c r="AJ219" s="626" t="n"/>
      <c r="AK219" s="626" t="n"/>
      <c r="AL219" s="626" t="n"/>
      <c r="AM219" s="626" t="n"/>
      <c r="AN219" s="626" t="n"/>
      <c r="AO219" s="626" t="n"/>
      <c r="AP219" s="626" t="n"/>
      <c r="AQ219" s="626" t="n"/>
      <c r="AR219" s="626" t="n"/>
      <c r="AS219" s="626" t="n"/>
      <c r="AT219" s="626" t="n"/>
      <c r="AU219" s="626" t="n"/>
      <c r="AV219" s="626" t="n"/>
      <c r="AW219" s="626" t="n"/>
      <c r="AX219" s="626" t="n"/>
      <c r="AY219" s="626" t="n"/>
      <c r="AZ219" s="626" t="n"/>
      <c r="BA219" s="626" t="n"/>
      <c r="BB219" s="626" t="n"/>
      <c r="BC219" s="626" t="n"/>
      <c r="BD219" s="626" t="n"/>
      <c r="BE219" s="626" t="n"/>
      <c r="BF219" s="626" t="n"/>
      <c r="BG219" s="626" t="n"/>
      <c r="BH219" s="626" t="n"/>
      <c r="BI219" s="626" t="n"/>
      <c r="BJ219" s="626" t="n"/>
      <c r="BK219" s="626" t="n"/>
      <c r="BL219" s="626" t="n"/>
      <c r="BM219" s="626" t="n"/>
      <c r="BN219" s="626" t="n"/>
      <c r="BO219" s="626" t="n"/>
      <c r="BP219" s="626" t="n"/>
      <c r="BQ219" s="626" t="n"/>
      <c r="BR219" s="626" t="n"/>
      <c r="BS219" s="626" t="n"/>
      <c r="BT219" s="626" t="n"/>
      <c r="BU219" s="626" t="n"/>
      <c r="BV219" s="626" t="n"/>
      <c r="BW219" s="626" t="n"/>
      <c r="BX219" s="626" t="n"/>
      <c r="BY219" s="626" t="n"/>
      <c r="BZ219" s="626" t="n"/>
      <c r="CA219" s="626" t="n"/>
      <c r="CB219" s="420" t="n"/>
      <c r="CC219" s="407" t="n"/>
      <c r="CD219" s="407" t="n"/>
      <c r="CE219" s="427" t="inlineStr">
        <is>
          <t xml:space="preserve">Active Users </t>
        </is>
      </c>
      <c r="CF219" s="407" t="n"/>
    </row>
    <row r="220" ht="15" customHeight="1" s="1883">
      <c r="B220" s="422" t="n"/>
      <c r="C220" s="422" t="n"/>
      <c r="D220" s="419" t="inlineStr">
        <is>
          <t>Activation</t>
        </is>
      </c>
      <c r="E220" s="386" t="inlineStr">
        <is>
          <t>By Month</t>
        </is>
      </c>
      <c r="F220" s="422" t="n"/>
      <c r="G220" s="626" t="n"/>
      <c r="H220" s="626" t="n"/>
      <c r="I220" s="626" t="n"/>
      <c r="J220" s="626" t="n"/>
      <c r="K220" s="626" t="n"/>
      <c r="L220" s="626" t="n"/>
      <c r="M220" s="626" t="n"/>
      <c r="N220" s="626" t="n"/>
      <c r="O220" s="626" t="n"/>
      <c r="P220" s="626" t="n"/>
      <c r="Q220" s="626" t="n"/>
      <c r="R220" s="626" t="n"/>
      <c r="S220" s="626" t="n"/>
      <c r="T220" s="626" t="n"/>
      <c r="U220" s="626" t="n"/>
      <c r="V220" s="626" t="n"/>
      <c r="W220" s="626" t="n"/>
      <c r="X220" s="626" t="n"/>
      <c r="Y220" s="626" t="n"/>
      <c r="Z220" s="626" t="n"/>
      <c r="AA220" s="626" t="n"/>
      <c r="AB220" s="626" t="n"/>
      <c r="AC220" s="626" t="n"/>
      <c r="AD220" s="626" t="n"/>
      <c r="AE220" s="626" t="n"/>
      <c r="AF220" s="626" t="n"/>
      <c r="AG220" s="626" t="n"/>
      <c r="AH220" s="626" t="n"/>
      <c r="AI220" s="626" t="n"/>
      <c r="AJ220" s="626" t="n"/>
      <c r="AK220" s="626" t="n"/>
      <c r="AL220" s="626" t="n"/>
      <c r="AM220" s="626" t="n"/>
      <c r="AN220" s="626" t="n"/>
      <c r="AO220" s="626" t="n"/>
      <c r="AP220" s="626" t="n"/>
      <c r="AQ220" s="626" t="n"/>
      <c r="AR220" s="626" t="n"/>
      <c r="AS220" s="626" t="n"/>
      <c r="AT220" s="626" t="n"/>
      <c r="AU220" s="626" t="n"/>
      <c r="AV220" s="626" t="n"/>
      <c r="AW220" s="626" t="n"/>
      <c r="AX220" s="626" t="n"/>
      <c r="AY220" s="626" t="n"/>
      <c r="AZ220" s="626" t="n"/>
      <c r="BA220" s="626" t="n"/>
      <c r="BB220" s="626" t="n"/>
      <c r="BC220" s="626" t="n"/>
      <c r="BD220" s="626" t="n"/>
      <c r="BE220" s="626" t="n"/>
      <c r="BF220" s="626" t="n"/>
      <c r="BG220" s="626" t="n"/>
      <c r="BH220" s="626" t="n"/>
      <c r="BI220" s="626" t="n"/>
      <c r="BJ220" s="626" t="n"/>
      <c r="BK220" s="626" t="n"/>
      <c r="BL220" s="626" t="n"/>
      <c r="BM220" s="626" t="n"/>
      <c r="BN220" s="626" t="n"/>
      <c r="BO220" s="626" t="n"/>
      <c r="BP220" s="626" t="n"/>
      <c r="BQ220" s="626" t="n"/>
      <c r="BR220" s="626" t="n"/>
      <c r="BS220" s="626" t="n"/>
      <c r="BT220" s="626" t="n"/>
      <c r="BU220" s="626" t="n"/>
      <c r="BV220" s="626" t="n"/>
      <c r="BW220" s="626" t="n"/>
      <c r="BX220" s="626" t="n"/>
      <c r="BY220" s="626" t="n"/>
      <c r="BZ220" s="626" t="n"/>
      <c r="CA220" s="626" t="n"/>
      <c r="CB220" s="420" t="n"/>
      <c r="CC220" s="407" t="n"/>
      <c r="CD220" s="427" t="n"/>
      <c r="CE220" s="386" t="inlineStr">
        <is>
          <t>Remaining</t>
        </is>
      </c>
      <c r="CF220" s="407" t="n"/>
    </row>
    <row r="221" ht="15" customHeight="1" s="1883">
      <c r="B221" s="422" t="n"/>
      <c r="C221" s="422" t="n"/>
      <c r="D221" s="117" t="inlineStr">
        <is>
          <t>Vintage</t>
        </is>
      </c>
      <c r="E221" s="386" t="inlineStr">
        <is>
          <t>Of Activation</t>
        </is>
      </c>
      <c r="F221" s="422" t="n"/>
      <c r="G221" s="117" t="inlineStr">
        <is>
          <t>Month 1</t>
        </is>
      </c>
      <c r="H221" s="117" t="inlineStr">
        <is>
          <t>Month 2</t>
        </is>
      </c>
      <c r="I221" s="117" t="inlineStr">
        <is>
          <t>Month 3</t>
        </is>
      </c>
      <c r="J221" s="117" t="inlineStr">
        <is>
          <t>Month 4</t>
        </is>
      </c>
      <c r="K221" s="117" t="inlineStr">
        <is>
          <t>Month 5</t>
        </is>
      </c>
      <c r="L221" s="117" t="inlineStr">
        <is>
          <t>Month 6</t>
        </is>
      </c>
      <c r="M221" s="117" t="inlineStr">
        <is>
          <t>Month 7</t>
        </is>
      </c>
      <c r="N221" s="117" t="inlineStr">
        <is>
          <t>Month 8</t>
        </is>
      </c>
      <c r="O221" s="117" t="inlineStr">
        <is>
          <t>Month 9</t>
        </is>
      </c>
      <c r="P221" s="117" t="inlineStr">
        <is>
          <t>Month 10</t>
        </is>
      </c>
      <c r="Q221" s="117" t="inlineStr">
        <is>
          <t>Month 11</t>
        </is>
      </c>
      <c r="R221" s="1915" t="inlineStr">
        <is>
          <t>Month 12</t>
        </is>
      </c>
      <c r="S221" s="418" t="inlineStr">
        <is>
          <t>Month 13</t>
        </is>
      </c>
      <c r="T221" s="117" t="inlineStr">
        <is>
          <t>Month 14</t>
        </is>
      </c>
      <c r="U221" s="117" t="inlineStr">
        <is>
          <t>Month 15</t>
        </is>
      </c>
      <c r="V221" s="117" t="inlineStr">
        <is>
          <t>Month 16</t>
        </is>
      </c>
      <c r="W221" s="117" t="inlineStr">
        <is>
          <t>Month 17</t>
        </is>
      </c>
      <c r="X221" s="117" t="inlineStr">
        <is>
          <t>Month 18</t>
        </is>
      </c>
      <c r="Y221" s="117" t="inlineStr">
        <is>
          <t>Month 19</t>
        </is>
      </c>
      <c r="Z221" s="117" t="inlineStr">
        <is>
          <t>Month 20</t>
        </is>
      </c>
      <c r="AA221" s="117" t="inlineStr">
        <is>
          <t>Month 21</t>
        </is>
      </c>
      <c r="AB221" s="117" t="inlineStr">
        <is>
          <t>Month 22</t>
        </is>
      </c>
      <c r="AC221" s="117" t="inlineStr">
        <is>
          <t>Month 23</t>
        </is>
      </c>
      <c r="AD221" s="1915" t="inlineStr">
        <is>
          <t>Month 24</t>
        </is>
      </c>
      <c r="AE221" s="418" t="inlineStr">
        <is>
          <t>Month 25</t>
        </is>
      </c>
      <c r="AF221" s="117" t="inlineStr">
        <is>
          <t>Month 26</t>
        </is>
      </c>
      <c r="AG221" s="117" t="inlineStr">
        <is>
          <t>Month 27</t>
        </is>
      </c>
      <c r="AH221" s="117" t="inlineStr">
        <is>
          <t>Month 28</t>
        </is>
      </c>
      <c r="AI221" s="117" t="inlineStr">
        <is>
          <t>Month 29</t>
        </is>
      </c>
      <c r="AJ221" s="117" t="inlineStr">
        <is>
          <t>Month 30</t>
        </is>
      </c>
      <c r="AK221" s="117" t="inlineStr">
        <is>
          <t>Month 31</t>
        </is>
      </c>
      <c r="AL221" s="117" t="inlineStr">
        <is>
          <t>Month 32</t>
        </is>
      </c>
      <c r="AM221" s="117" t="inlineStr">
        <is>
          <t>Month 33</t>
        </is>
      </c>
      <c r="AN221" s="117" t="inlineStr">
        <is>
          <t>Month 34</t>
        </is>
      </c>
      <c r="AO221" s="117" t="inlineStr">
        <is>
          <t>Month 35</t>
        </is>
      </c>
      <c r="AP221" s="1915" t="inlineStr">
        <is>
          <t>Month 36</t>
        </is>
      </c>
      <c r="AQ221" s="418" t="inlineStr">
        <is>
          <t>Month 37</t>
        </is>
      </c>
      <c r="AR221" s="117" t="inlineStr">
        <is>
          <t>Month 38</t>
        </is>
      </c>
      <c r="AS221" s="117" t="inlineStr">
        <is>
          <t>Month 39</t>
        </is>
      </c>
      <c r="AT221" s="117" t="inlineStr">
        <is>
          <t>Month 40</t>
        </is>
      </c>
      <c r="AU221" s="117" t="inlineStr">
        <is>
          <t>Month 41</t>
        </is>
      </c>
      <c r="AV221" s="117" t="inlineStr">
        <is>
          <t>Month 42</t>
        </is>
      </c>
      <c r="AW221" s="117" t="inlineStr">
        <is>
          <t>Month 43</t>
        </is>
      </c>
      <c r="AX221" s="117" t="inlineStr">
        <is>
          <t>Month 44</t>
        </is>
      </c>
      <c r="AY221" s="117" t="inlineStr">
        <is>
          <t>Month 45</t>
        </is>
      </c>
      <c r="AZ221" s="117" t="inlineStr">
        <is>
          <t>Month 46</t>
        </is>
      </c>
      <c r="BA221" s="117" t="inlineStr">
        <is>
          <t>Month 47</t>
        </is>
      </c>
      <c r="BB221" s="1915" t="inlineStr">
        <is>
          <t>Month 48</t>
        </is>
      </c>
      <c r="BC221" s="418" t="inlineStr">
        <is>
          <t>Month 49</t>
        </is>
      </c>
      <c r="BD221" s="117" t="inlineStr">
        <is>
          <t>Month 50</t>
        </is>
      </c>
      <c r="BE221" s="117" t="inlineStr">
        <is>
          <t>Month 51</t>
        </is>
      </c>
      <c r="BF221" s="117" t="inlineStr">
        <is>
          <t>Month 52</t>
        </is>
      </c>
      <c r="BG221" s="117" t="inlineStr">
        <is>
          <t>Month 53</t>
        </is>
      </c>
      <c r="BH221" s="117" t="inlineStr">
        <is>
          <t>Month 54</t>
        </is>
      </c>
      <c r="BI221" s="117" t="inlineStr">
        <is>
          <t>Month 55</t>
        </is>
      </c>
      <c r="BJ221" s="117" t="inlineStr">
        <is>
          <t>Month 56</t>
        </is>
      </c>
      <c r="BK221" s="117" t="inlineStr">
        <is>
          <t>Month 57</t>
        </is>
      </c>
      <c r="BL221" s="117" t="inlineStr">
        <is>
          <t>Month 58</t>
        </is>
      </c>
      <c r="BM221" s="117" t="inlineStr">
        <is>
          <t>Month 59</t>
        </is>
      </c>
      <c r="BN221" s="117" t="inlineStr">
        <is>
          <t>Month 60</t>
        </is>
      </c>
      <c r="BO221" s="117" t="n"/>
      <c r="BP221" s="117" t="n"/>
      <c r="BQ221" s="117" t="n"/>
      <c r="BR221" s="117" t="n"/>
      <c r="BS221" s="117" t="n"/>
      <c r="BT221" s="117" t="n"/>
      <c r="BU221" s="117" t="n"/>
      <c r="BV221" s="117" t="n"/>
      <c r="BW221" s="117" t="n"/>
      <c r="BX221" s="117" t="n"/>
      <c r="BY221" s="117" t="n"/>
      <c r="BZ221" s="117" t="n"/>
      <c r="CA221" s="407" t="n"/>
      <c r="CB221" s="427" t="n"/>
      <c r="CC221" s="407" t="n"/>
      <c r="CD221" s="427" t="inlineStr">
        <is>
          <t>Check</t>
        </is>
      </c>
      <c r="CE221" s="386" t="inlineStr">
        <is>
          <t>After Attrition</t>
        </is>
      </c>
      <c r="CF221" s="427" t="inlineStr">
        <is>
          <t>Check</t>
        </is>
      </c>
    </row>
    <row r="222" ht="3" customHeight="1" s="1883">
      <c r="B222" s="422" t="n"/>
      <c r="C222" s="422" t="n"/>
      <c r="D222" s="926" t="n"/>
      <c r="E222" s="926" t="n"/>
      <c r="F222" s="422" t="n"/>
      <c r="G222" s="926" t="n"/>
      <c r="H222" s="926" t="n"/>
      <c r="I222" s="926" t="n"/>
      <c r="J222" s="926" t="n"/>
      <c r="K222" s="926" t="n"/>
      <c r="L222" s="926" t="n"/>
      <c r="M222" s="926" t="n"/>
      <c r="N222" s="926" t="n"/>
      <c r="O222" s="926" t="n"/>
      <c r="P222" s="926" t="n"/>
      <c r="Q222" s="926" t="n"/>
      <c r="R222" s="926" t="n"/>
      <c r="S222" s="968" t="n"/>
      <c r="T222" s="926" t="n"/>
      <c r="U222" s="926" t="n"/>
      <c r="V222" s="926" t="n"/>
      <c r="W222" s="926" t="n"/>
      <c r="X222" s="926" t="n"/>
      <c r="Y222" s="926" t="n"/>
      <c r="Z222" s="926" t="n"/>
      <c r="AA222" s="926" t="n"/>
      <c r="AB222" s="926" t="n"/>
      <c r="AC222" s="926" t="n"/>
      <c r="AD222" s="926" t="n"/>
      <c r="AE222" s="968" t="n"/>
      <c r="AF222" s="926" t="n"/>
      <c r="AG222" s="926" t="n"/>
      <c r="AH222" s="926" t="n"/>
      <c r="AI222" s="926" t="n"/>
      <c r="AJ222" s="926" t="n"/>
      <c r="AK222" s="926" t="n"/>
      <c r="AL222" s="926" t="n"/>
      <c r="AM222" s="926" t="n"/>
      <c r="AN222" s="926" t="n"/>
      <c r="AO222" s="926" t="n"/>
      <c r="AP222" s="926" t="n"/>
      <c r="AQ222" s="968" t="n"/>
      <c r="AR222" s="926" t="n"/>
      <c r="AS222" s="926" t="n"/>
      <c r="AT222" s="926" t="n"/>
      <c r="AU222" s="926" t="n"/>
      <c r="AV222" s="926" t="n"/>
      <c r="AW222" s="926" t="n"/>
      <c r="AX222" s="926" t="n"/>
      <c r="AY222" s="926" t="n"/>
      <c r="AZ222" s="926" t="n"/>
      <c r="BA222" s="926" t="n"/>
      <c r="BB222" s="926" t="n"/>
      <c r="BC222" s="968" t="n"/>
      <c r="BD222" s="926" t="n"/>
      <c r="BE222" s="926" t="n"/>
      <c r="BF222" s="926" t="n"/>
      <c r="BG222" s="926" t="n"/>
      <c r="BH222" s="926" t="n"/>
      <c r="BI222" s="926" t="n"/>
      <c r="BJ222" s="926" t="n"/>
      <c r="BK222" s="926" t="n"/>
      <c r="BL222" s="926" t="n"/>
      <c r="BM222" s="926" t="n"/>
      <c r="BN222" s="926" t="n"/>
      <c r="BO222" s="1968" t="n"/>
      <c r="BP222" s="1968" t="n"/>
      <c r="BQ222" s="1968" t="n"/>
      <c r="BR222" s="1968" t="n"/>
      <c r="BS222" s="1968" t="n"/>
      <c r="BT222" s="1968" t="n"/>
      <c r="BU222" s="1968" t="n"/>
      <c r="BV222" s="1968" t="n"/>
      <c r="BW222" s="1968" t="n"/>
      <c r="BX222" s="1968" t="n"/>
      <c r="BY222" s="1968" t="n"/>
      <c r="BZ222" s="1968" t="n"/>
      <c r="CA222" s="407" t="n"/>
      <c r="CB222" s="438" t="n"/>
      <c r="CC222" s="407" t="n"/>
      <c r="CD222" s="438" t="n"/>
      <c r="CE222" s="438" t="n"/>
      <c r="CF222" s="438" t="n"/>
    </row>
    <row r="223" ht="3" customHeight="1" s="1883">
      <c r="B223" s="422" t="n"/>
      <c r="C223" s="422" t="n"/>
      <c r="D223" s="626" t="n"/>
      <c r="E223" s="626" t="n"/>
      <c r="F223" s="422" t="n"/>
      <c r="G223" s="1968" t="n"/>
      <c r="H223" s="626" t="n"/>
      <c r="I223" s="626" t="n"/>
      <c r="J223" s="626" t="n"/>
      <c r="K223" s="626" t="n"/>
      <c r="L223" s="626" t="n"/>
      <c r="M223" s="626" t="n"/>
      <c r="N223" s="626" t="n"/>
      <c r="O223" s="626" t="n"/>
      <c r="P223" s="626" t="n"/>
      <c r="Q223" s="626" t="n"/>
      <c r="R223" s="1968" t="n"/>
      <c r="S223" s="970" t="n"/>
      <c r="T223" s="626" t="n"/>
      <c r="U223" s="626" t="n"/>
      <c r="V223" s="626" t="n"/>
      <c r="W223" s="626" t="n"/>
      <c r="X223" s="626" t="n"/>
      <c r="Y223" s="626" t="n"/>
      <c r="Z223" s="626" t="n"/>
      <c r="AA223" s="626" t="n"/>
      <c r="AB223" s="1968" t="n"/>
      <c r="AC223" s="1968" t="n"/>
      <c r="AD223" s="1968" t="n"/>
      <c r="AE223" s="970" t="n"/>
      <c r="AF223" s="1968" t="n"/>
      <c r="AG223" s="1968" t="n"/>
      <c r="AH223" s="1968" t="n"/>
      <c r="AI223" s="1968" t="n"/>
      <c r="AJ223" s="1968" t="n"/>
      <c r="AK223" s="1968" t="n"/>
      <c r="AL223" s="1968" t="n"/>
      <c r="AM223" s="1968" t="n"/>
      <c r="AN223" s="1968" t="n"/>
      <c r="AO223" s="1968" t="n"/>
      <c r="AP223" s="1968" t="n"/>
      <c r="AQ223" s="970" t="n"/>
      <c r="AR223" s="1968" t="n"/>
      <c r="AS223" s="1968" t="n"/>
      <c r="AT223" s="1968" t="n"/>
      <c r="AU223" s="1968" t="n"/>
      <c r="AV223" s="1968" t="n"/>
      <c r="AW223" s="1968" t="n"/>
      <c r="AX223" s="1968" t="n"/>
      <c r="AY223" s="1968" t="n"/>
      <c r="AZ223" s="1968" t="n"/>
      <c r="BA223" s="1968" t="n"/>
      <c r="BB223" s="1968" t="n"/>
      <c r="BC223" s="970" t="n"/>
      <c r="BD223" s="1968" t="n"/>
      <c r="BE223" s="1968" t="n"/>
      <c r="BF223" s="1968" t="n"/>
      <c r="BG223" s="1968" t="n"/>
      <c r="BH223" s="1968" t="n"/>
      <c r="BI223" s="1968" t="n"/>
      <c r="BJ223" s="1968" t="n"/>
      <c r="BK223" s="1968" t="n"/>
      <c r="BL223" s="1968" t="n"/>
      <c r="BM223" s="1968" t="n"/>
      <c r="BN223" s="1968" t="n"/>
      <c r="BO223" s="1968" t="n"/>
      <c r="BP223" s="1968" t="n"/>
      <c r="BQ223" s="1968" t="n"/>
      <c r="BR223" s="1968" t="n"/>
      <c r="BS223" s="1968" t="n"/>
      <c r="BT223" s="1968" t="n"/>
      <c r="BU223" s="1968" t="n"/>
      <c r="BV223" s="1968" t="n"/>
      <c r="BW223" s="1968" t="n"/>
      <c r="BX223" s="1968" t="n"/>
      <c r="BY223" s="1968" t="n"/>
      <c r="BZ223" s="1968" t="n"/>
      <c r="CA223" s="407" t="n"/>
      <c r="CB223" s="407" t="n"/>
      <c r="CC223" s="407" t="n"/>
      <c r="CD223" s="407" t="n"/>
      <c r="CE223" s="407" t="n"/>
      <c r="CF223" s="407" t="n"/>
    </row>
    <row r="224" ht="15" customHeight="1" s="1883">
      <c r="B224" s="116" t="n"/>
      <c r="C224" s="116" t="n"/>
      <c r="D224" s="149" t="inlineStr">
        <is>
          <t>Month 1</t>
        </is>
      </c>
      <c r="E224" s="123">
        <f>(E26)</f>
        <v/>
      </c>
      <c r="F224" s="116" t="n"/>
      <c r="G224" s="443">
        <f>(($E224)-(G26))</f>
        <v/>
      </c>
      <c r="H224" s="443">
        <f>(($E224)-SUM($G26:H26))</f>
        <v/>
      </c>
      <c r="I224" s="122">
        <f>(($E224)-SUM($G26:I26))</f>
        <v/>
      </c>
      <c r="J224" s="122">
        <f>(($E224)-SUM($G26:J26))</f>
        <v/>
      </c>
      <c r="K224" s="122">
        <f>(($E224)-SUM($G26:K26))</f>
        <v/>
      </c>
      <c r="L224" s="122">
        <f>(($E224)-SUM($G26:L26))</f>
        <v/>
      </c>
      <c r="M224" s="122">
        <f>(($E224)-SUM($G26:M26))</f>
        <v/>
      </c>
      <c r="N224" s="122">
        <f>(($E224)-SUM($G26:N26))</f>
        <v/>
      </c>
      <c r="O224" s="122">
        <f>(($E224)-SUM($G26:O26))</f>
        <v/>
      </c>
      <c r="P224" s="122">
        <f>(($E224)-SUM($G26:P26))</f>
        <v/>
      </c>
      <c r="Q224" s="122">
        <f>(($E224)-SUM($G26:Q26))</f>
        <v/>
      </c>
      <c r="R224" s="122">
        <f>(($E224)-SUM($G26:R26))</f>
        <v/>
      </c>
      <c r="S224" s="444">
        <f>(($E224)-SUM($G26:S26))</f>
        <v/>
      </c>
      <c r="T224" s="122">
        <f>(($E224)-SUM($G26:T26))</f>
        <v/>
      </c>
      <c r="U224" s="122">
        <f>(($E224)-SUM($G26:U26))</f>
        <v/>
      </c>
      <c r="V224" s="122">
        <f>(($E224)-SUM($G26:V26))</f>
        <v/>
      </c>
      <c r="W224" s="122">
        <f>(($E224)-SUM($G26:W26))</f>
        <v/>
      </c>
      <c r="X224" s="122">
        <f>(($E224)-SUM($G26:X26))</f>
        <v/>
      </c>
      <c r="Y224" s="122">
        <f>(($E224)-SUM($G26:Y26))</f>
        <v/>
      </c>
      <c r="Z224" s="122">
        <f>(($E224)-SUM($G26:Z26))</f>
        <v/>
      </c>
      <c r="AA224" s="122">
        <f>(($E224)-SUM($G26:AA26))</f>
        <v/>
      </c>
      <c r="AB224" s="122">
        <f>(($E224)-SUM($G26:AB26))</f>
        <v/>
      </c>
      <c r="AC224" s="122">
        <f>(($E224)-SUM($G26:AC26))</f>
        <v/>
      </c>
      <c r="AD224" s="122">
        <f>(($E224)-SUM($G26:AD26))</f>
        <v/>
      </c>
      <c r="AE224" s="444">
        <f>(($E224)-SUM($G26:AE26))</f>
        <v/>
      </c>
      <c r="AF224" s="122">
        <f>(($E224)-SUM($G26:AF26))</f>
        <v/>
      </c>
      <c r="AG224" s="122">
        <f>(($E224)-SUM($G26:AG26))</f>
        <v/>
      </c>
      <c r="AH224" s="122">
        <f>(($E224)-SUM($G26:AH26))</f>
        <v/>
      </c>
      <c r="AI224" s="122">
        <f>(($E224)-SUM($G26:AI26))</f>
        <v/>
      </c>
      <c r="AJ224" s="122">
        <f>(($E224)-SUM($G26:AJ26))</f>
        <v/>
      </c>
      <c r="AK224" s="122">
        <f>(($E224)-SUM($G26:AK26))</f>
        <v/>
      </c>
      <c r="AL224" s="122">
        <f>(($E224)-SUM($G26:AL26))</f>
        <v/>
      </c>
      <c r="AM224" s="122">
        <f>(($E224)-SUM($G26:AM26))</f>
        <v/>
      </c>
      <c r="AN224" s="122">
        <f>(($E224)-SUM($G26:AN26))</f>
        <v/>
      </c>
      <c r="AO224" s="122">
        <f>(($E224)-SUM($G26:AO26))</f>
        <v/>
      </c>
      <c r="AP224" s="122">
        <f>(($E224)-SUM($G26:AP26))</f>
        <v/>
      </c>
      <c r="AQ224" s="444">
        <f>(($E224)-SUM($G26:AQ26))</f>
        <v/>
      </c>
      <c r="AR224" s="122">
        <f>(($E224)-SUM($G26:AR26))</f>
        <v/>
      </c>
      <c r="AS224" s="122">
        <f>(($E224)-SUM($G26:AS26))</f>
        <v/>
      </c>
      <c r="AT224" s="122">
        <f>(($E224)-SUM($G26:AT26))</f>
        <v/>
      </c>
      <c r="AU224" s="122">
        <f>(($E224)-SUM($G26:AU26))</f>
        <v/>
      </c>
      <c r="AV224" s="122">
        <f>(($E224)-SUM($G26:AV26))</f>
        <v/>
      </c>
      <c r="AW224" s="122">
        <f>(($E224)-SUM($G26:AW26))</f>
        <v/>
      </c>
      <c r="AX224" s="122">
        <f>(($E224)-SUM($G26:AX26))</f>
        <v/>
      </c>
      <c r="AY224" s="122">
        <f>(($E224)-SUM($G26:AY26))</f>
        <v/>
      </c>
      <c r="AZ224" s="122">
        <f>(($E224)-SUM($G26:AZ26))</f>
        <v/>
      </c>
      <c r="BA224" s="122">
        <f>(($E224)-SUM($G26:BA26))</f>
        <v/>
      </c>
      <c r="BB224" s="122">
        <f>(($E224)-SUM($G26:BB26))</f>
        <v/>
      </c>
      <c r="BC224" s="444">
        <f>(($E224)-SUM($G26:BC26))</f>
        <v/>
      </c>
      <c r="BD224" s="122">
        <f>(($E224)-SUM($G26:BD26))</f>
        <v/>
      </c>
      <c r="BE224" s="122">
        <f>(($E224)-SUM($G26:BE26))</f>
        <v/>
      </c>
      <c r="BF224" s="122">
        <f>(($E224)-SUM($G26:BF26))</f>
        <v/>
      </c>
      <c r="BG224" s="122">
        <f>(($E224)-SUM($G26:BG26))</f>
        <v/>
      </c>
      <c r="BH224" s="122">
        <f>(($E224)-SUM($G26:BH26))</f>
        <v/>
      </c>
      <c r="BI224" s="122">
        <f>(($E224)-SUM($G26:BI26))</f>
        <v/>
      </c>
      <c r="BJ224" s="122">
        <f>(($E224)-SUM($G26:BJ26))</f>
        <v/>
      </c>
      <c r="BK224" s="122">
        <f>(($E224)-SUM($G26:BK26))</f>
        <v/>
      </c>
      <c r="BL224" s="122">
        <f>(($E224)-SUM($G26:BL26))</f>
        <v/>
      </c>
      <c r="BM224" s="122">
        <f>(($E224)-SUM($G26:BM26))</f>
        <v/>
      </c>
      <c r="BN224" s="122">
        <f>(($E224)-SUM($G26:BN26))</f>
        <v/>
      </c>
      <c r="BO224" s="122" t="n"/>
      <c r="BP224" s="122" t="n"/>
      <c r="BQ224" s="122" t="n"/>
      <c r="BR224" s="122" t="n"/>
      <c r="BS224" s="122" t="n"/>
      <c r="BT224" s="122" t="n"/>
      <c r="BU224" s="122" t="n"/>
      <c r="BV224" s="122" t="n"/>
      <c r="BW224" s="122" t="n"/>
      <c r="BX224" s="122" t="n"/>
      <c r="BY224" s="122" t="n"/>
      <c r="BZ224" s="122" t="n"/>
      <c r="CA224" s="122" t="n"/>
      <c r="CB224" s="122" t="n"/>
      <c r="CC224" s="122" t="n"/>
      <c r="CD224" s="123">
        <f>(BN224)</f>
        <v/>
      </c>
      <c r="CE224" s="397">
        <f>(CE26)</f>
        <v/>
      </c>
      <c r="CF224" s="386">
        <f>IF(CD224=CE224,"Y","N")</f>
        <v/>
      </c>
    </row>
    <row r="225" ht="15" customHeight="1" s="1883">
      <c r="D225" s="149" t="inlineStr">
        <is>
          <t>Month 2</t>
        </is>
      </c>
      <c r="E225" s="123">
        <f>(E27)</f>
        <v/>
      </c>
      <c r="F225" s="116" t="n"/>
      <c r="G225" s="122" t="n"/>
      <c r="H225" s="443">
        <f>(($E225)-SUM($G27:H27))</f>
        <v/>
      </c>
      <c r="I225" s="443">
        <f>(($E225)-SUM($G27:I27))</f>
        <v/>
      </c>
      <c r="J225" s="122">
        <f>(($E225)-SUM($G27:J27))</f>
        <v/>
      </c>
      <c r="K225" s="122">
        <f>(($E225)-SUM($G27:K27))</f>
        <v/>
      </c>
      <c r="L225" s="122">
        <f>(($E225)-SUM($G27:L27))</f>
        <v/>
      </c>
      <c r="M225" s="122">
        <f>(($E225)-SUM($G27:M27))</f>
        <v/>
      </c>
      <c r="N225" s="122">
        <f>(($E225)-SUM($G27:N27))</f>
        <v/>
      </c>
      <c r="O225" s="122">
        <f>(($E225)-SUM($G27:O27))</f>
        <v/>
      </c>
      <c r="P225" s="122">
        <f>(($E225)-SUM($G27:P27))</f>
        <v/>
      </c>
      <c r="Q225" s="122">
        <f>(($E225)-SUM($G27:Q27))</f>
        <v/>
      </c>
      <c r="R225" s="122">
        <f>(($E225)-SUM($G27:R27))</f>
        <v/>
      </c>
      <c r="S225" s="444">
        <f>(($E225)-SUM($G27:S27))</f>
        <v/>
      </c>
      <c r="T225" s="122">
        <f>(($E225)-SUM($G27:T27))</f>
        <v/>
      </c>
      <c r="U225" s="122">
        <f>(($E225)-SUM($G27:U27))</f>
        <v/>
      </c>
      <c r="V225" s="122">
        <f>(($E225)-SUM($G27:V27))</f>
        <v/>
      </c>
      <c r="W225" s="122">
        <f>(($E225)-SUM($G27:W27))</f>
        <v/>
      </c>
      <c r="X225" s="122">
        <f>(($E225)-SUM($G27:X27))</f>
        <v/>
      </c>
      <c r="Y225" s="122">
        <f>(($E225)-SUM($G27:Y27))</f>
        <v/>
      </c>
      <c r="Z225" s="122">
        <f>(($E225)-SUM($G27:Z27))</f>
        <v/>
      </c>
      <c r="AA225" s="122">
        <f>(($E225)-SUM($G27:AA27))</f>
        <v/>
      </c>
      <c r="AB225" s="122">
        <f>(($E225)-SUM($G27:AB27))</f>
        <v/>
      </c>
      <c r="AC225" s="122">
        <f>(($E225)-SUM($G27:AC27))</f>
        <v/>
      </c>
      <c r="AD225" s="122">
        <f>(($E225)-SUM($G27:AD27))</f>
        <v/>
      </c>
      <c r="AE225" s="444">
        <f>(($E225)-SUM($G27:AE27))</f>
        <v/>
      </c>
      <c r="AF225" s="122">
        <f>(($E225)-SUM($G27:AF27))</f>
        <v/>
      </c>
      <c r="AG225" s="122">
        <f>(($E225)-SUM($G27:AG27))</f>
        <v/>
      </c>
      <c r="AH225" s="122">
        <f>(($E225)-SUM($G27:AH27))</f>
        <v/>
      </c>
      <c r="AI225" s="122">
        <f>(($E225)-SUM($G27:AI27))</f>
        <v/>
      </c>
      <c r="AJ225" s="122">
        <f>(($E225)-SUM($G27:AJ27))</f>
        <v/>
      </c>
      <c r="AK225" s="122">
        <f>(($E225)-SUM($G27:AK27))</f>
        <v/>
      </c>
      <c r="AL225" s="122">
        <f>(($E225)-SUM($G27:AL27))</f>
        <v/>
      </c>
      <c r="AM225" s="122">
        <f>(($E225)-SUM($G27:AM27))</f>
        <v/>
      </c>
      <c r="AN225" s="122">
        <f>(($E225)-SUM($G27:AN27))</f>
        <v/>
      </c>
      <c r="AO225" s="122">
        <f>(($E225)-SUM($G27:AO27))</f>
        <v/>
      </c>
      <c r="AP225" s="122">
        <f>(($E225)-SUM($G27:AP27))</f>
        <v/>
      </c>
      <c r="AQ225" s="444">
        <f>(($E225)-SUM($G27:AQ27))</f>
        <v/>
      </c>
      <c r="AR225" s="122">
        <f>(($E225)-SUM($G27:AR27))</f>
        <v/>
      </c>
      <c r="AS225" s="122">
        <f>(($E225)-SUM($G27:AS27))</f>
        <v/>
      </c>
      <c r="AT225" s="122">
        <f>(($E225)-SUM($G27:AT27))</f>
        <v/>
      </c>
      <c r="AU225" s="122">
        <f>(($E225)-SUM($G27:AU27))</f>
        <v/>
      </c>
      <c r="AV225" s="122">
        <f>(($E225)-SUM($G27:AV27))</f>
        <v/>
      </c>
      <c r="AW225" s="122">
        <f>(($E225)-SUM($G27:AW27))</f>
        <v/>
      </c>
      <c r="AX225" s="122">
        <f>(($E225)-SUM($G27:AX27))</f>
        <v/>
      </c>
      <c r="AY225" s="122">
        <f>(($E225)-SUM($G27:AY27))</f>
        <v/>
      </c>
      <c r="AZ225" s="122">
        <f>(($E225)-SUM($G27:AZ27))</f>
        <v/>
      </c>
      <c r="BA225" s="122">
        <f>(($E225)-SUM($G27:BA27))</f>
        <v/>
      </c>
      <c r="BB225" s="122">
        <f>(($E225)-SUM($G27:BB27))</f>
        <v/>
      </c>
      <c r="BC225" s="444">
        <f>(($E225)-SUM($G27:BC27))</f>
        <v/>
      </c>
      <c r="BD225" s="122">
        <f>(($E225)-SUM($G27:BD27))</f>
        <v/>
      </c>
      <c r="BE225" s="122">
        <f>(($E225)-SUM($G27:BE27))</f>
        <v/>
      </c>
      <c r="BF225" s="122">
        <f>(($E225)-SUM($G27:BF27))</f>
        <v/>
      </c>
      <c r="BG225" s="122">
        <f>(($E225)-SUM($G27:BG27))</f>
        <v/>
      </c>
      <c r="BH225" s="122">
        <f>(($E225)-SUM($G27:BH27))</f>
        <v/>
      </c>
      <c r="BI225" s="122">
        <f>(($E225)-SUM($G27:BI27))</f>
        <v/>
      </c>
      <c r="BJ225" s="122">
        <f>(($E225)-SUM($G27:BJ27))</f>
        <v/>
      </c>
      <c r="BK225" s="122">
        <f>(($E225)-SUM($G27:BK27))</f>
        <v/>
      </c>
      <c r="BL225" s="122">
        <f>(($E225)-SUM($G27:BL27))</f>
        <v/>
      </c>
      <c r="BM225" s="122">
        <f>(($E225)-SUM($G27:BM27))</f>
        <v/>
      </c>
      <c r="BN225" s="122">
        <f>(($E225)-SUM($G27:BN27))</f>
        <v/>
      </c>
      <c r="BO225" s="122" t="n"/>
      <c r="BP225" s="122" t="n"/>
      <c r="BQ225" s="122" t="n"/>
      <c r="BR225" s="122" t="n"/>
      <c r="BS225" s="122" t="n"/>
      <c r="BT225" s="122" t="n"/>
      <c r="BU225" s="122" t="n"/>
      <c r="BV225" s="122" t="n"/>
      <c r="BW225" s="122" t="n"/>
      <c r="BX225" s="122" t="n"/>
      <c r="BY225" s="122" t="n"/>
      <c r="BZ225" s="122" t="n"/>
      <c r="CA225" s="122" t="n"/>
      <c r="CB225" s="122" t="n"/>
      <c r="CC225" s="122" t="n"/>
      <c r="CD225" s="123">
        <f>(BN225)</f>
        <v/>
      </c>
      <c r="CE225" s="397">
        <f>(CE27)</f>
        <v/>
      </c>
      <c r="CF225" s="386">
        <f>IF(CD225=CE225,"Y","N")</f>
        <v/>
      </c>
    </row>
    <row r="226" ht="15" customHeight="1" s="1883">
      <c r="D226" s="149" t="inlineStr">
        <is>
          <t>Month 3</t>
        </is>
      </c>
      <c r="E226" s="123">
        <f>(E28)</f>
        <v/>
      </c>
      <c r="F226" s="116" t="n"/>
      <c r="G226" s="122" t="n"/>
      <c r="H226" s="122" t="n"/>
      <c r="I226" s="443">
        <f>(($E226)-SUM($G28:I28))</f>
        <v/>
      </c>
      <c r="J226" s="443">
        <f>(($E226)-SUM($G28:J28))</f>
        <v/>
      </c>
      <c r="K226" s="122">
        <f>(($E226)-SUM($G28:K28))</f>
        <v/>
      </c>
      <c r="L226" s="122">
        <f>(($E226)-SUM($G28:L28))</f>
        <v/>
      </c>
      <c r="M226" s="122">
        <f>(($E226)-SUM($G28:M28))</f>
        <v/>
      </c>
      <c r="N226" s="122">
        <f>(($E226)-SUM($G28:N28))</f>
        <v/>
      </c>
      <c r="O226" s="122">
        <f>(($E226)-SUM($G28:O28))</f>
        <v/>
      </c>
      <c r="P226" s="122">
        <f>(($E226)-SUM($G28:P28))</f>
        <v/>
      </c>
      <c r="Q226" s="122">
        <f>(($E226)-SUM($G28:Q28))</f>
        <v/>
      </c>
      <c r="R226" s="122">
        <f>(($E226)-SUM($G28:R28))</f>
        <v/>
      </c>
      <c r="S226" s="444">
        <f>(($E226)-SUM($G28:S28))</f>
        <v/>
      </c>
      <c r="T226" s="122">
        <f>(($E226)-SUM($G28:T28))</f>
        <v/>
      </c>
      <c r="U226" s="122">
        <f>(($E226)-SUM($G28:U28))</f>
        <v/>
      </c>
      <c r="V226" s="122">
        <f>(($E226)-SUM($G28:V28))</f>
        <v/>
      </c>
      <c r="W226" s="122">
        <f>(($E226)-SUM($G28:W28))</f>
        <v/>
      </c>
      <c r="X226" s="122">
        <f>(($E226)-SUM($G28:X28))</f>
        <v/>
      </c>
      <c r="Y226" s="122">
        <f>(($E226)-SUM($G28:Y28))</f>
        <v/>
      </c>
      <c r="Z226" s="122">
        <f>(($E226)-SUM($G28:Z28))</f>
        <v/>
      </c>
      <c r="AA226" s="122">
        <f>(($E226)-SUM($G28:AA28))</f>
        <v/>
      </c>
      <c r="AB226" s="122">
        <f>(($E226)-SUM($G28:AB28))</f>
        <v/>
      </c>
      <c r="AC226" s="122">
        <f>(($E226)-SUM($G28:AC28))</f>
        <v/>
      </c>
      <c r="AD226" s="122">
        <f>(($E226)-SUM($G28:AD28))</f>
        <v/>
      </c>
      <c r="AE226" s="444">
        <f>(($E226)-SUM($G28:AE28))</f>
        <v/>
      </c>
      <c r="AF226" s="122">
        <f>(($E226)-SUM($G28:AF28))</f>
        <v/>
      </c>
      <c r="AG226" s="122">
        <f>(($E226)-SUM($G28:AG28))</f>
        <v/>
      </c>
      <c r="AH226" s="122">
        <f>(($E226)-SUM($G28:AH28))</f>
        <v/>
      </c>
      <c r="AI226" s="122">
        <f>(($E226)-SUM($G28:AI28))</f>
        <v/>
      </c>
      <c r="AJ226" s="122">
        <f>(($E226)-SUM($G28:AJ28))</f>
        <v/>
      </c>
      <c r="AK226" s="122">
        <f>(($E226)-SUM($G28:AK28))</f>
        <v/>
      </c>
      <c r="AL226" s="122">
        <f>(($E226)-SUM($G28:AL28))</f>
        <v/>
      </c>
      <c r="AM226" s="122">
        <f>(($E226)-SUM($G28:AM28))</f>
        <v/>
      </c>
      <c r="AN226" s="122">
        <f>(($E226)-SUM($G28:AN28))</f>
        <v/>
      </c>
      <c r="AO226" s="122">
        <f>(($E226)-SUM($G28:AO28))</f>
        <v/>
      </c>
      <c r="AP226" s="122">
        <f>(($E226)-SUM($G28:AP28))</f>
        <v/>
      </c>
      <c r="AQ226" s="444">
        <f>(($E226)-SUM($G28:AQ28))</f>
        <v/>
      </c>
      <c r="AR226" s="122">
        <f>(($E226)-SUM($G28:AR28))</f>
        <v/>
      </c>
      <c r="AS226" s="122">
        <f>(($E226)-SUM($G28:AS28))</f>
        <v/>
      </c>
      <c r="AT226" s="122">
        <f>(($E226)-SUM($G28:AT28))</f>
        <v/>
      </c>
      <c r="AU226" s="122">
        <f>(($E226)-SUM($G28:AU28))</f>
        <v/>
      </c>
      <c r="AV226" s="122">
        <f>(($E226)-SUM($G28:AV28))</f>
        <v/>
      </c>
      <c r="AW226" s="122">
        <f>(($E226)-SUM($G28:AW28))</f>
        <v/>
      </c>
      <c r="AX226" s="122">
        <f>(($E226)-SUM($G28:AX28))</f>
        <v/>
      </c>
      <c r="AY226" s="122">
        <f>(($E226)-SUM($G28:AY28))</f>
        <v/>
      </c>
      <c r="AZ226" s="122">
        <f>(($E226)-SUM($G28:AZ28))</f>
        <v/>
      </c>
      <c r="BA226" s="122">
        <f>(($E226)-SUM($G28:BA28))</f>
        <v/>
      </c>
      <c r="BB226" s="122">
        <f>(($E226)-SUM($G28:BB28))</f>
        <v/>
      </c>
      <c r="BC226" s="444">
        <f>(($E226)-SUM($G28:BC28))</f>
        <v/>
      </c>
      <c r="BD226" s="122">
        <f>(($E226)-SUM($G28:BD28))</f>
        <v/>
      </c>
      <c r="BE226" s="122">
        <f>(($E226)-SUM($G28:BE28))</f>
        <v/>
      </c>
      <c r="BF226" s="122">
        <f>(($E226)-SUM($G28:BF28))</f>
        <v/>
      </c>
      <c r="BG226" s="122">
        <f>(($E226)-SUM($G28:BG28))</f>
        <v/>
      </c>
      <c r="BH226" s="122">
        <f>(($E226)-SUM($G28:BH28))</f>
        <v/>
      </c>
      <c r="BI226" s="122">
        <f>(($E226)-SUM($G28:BI28))</f>
        <v/>
      </c>
      <c r="BJ226" s="122">
        <f>(($E226)-SUM($G28:BJ28))</f>
        <v/>
      </c>
      <c r="BK226" s="122">
        <f>(($E226)-SUM($G28:BK28))</f>
        <v/>
      </c>
      <c r="BL226" s="122">
        <f>(($E226)-SUM($G28:BL28))</f>
        <v/>
      </c>
      <c r="BM226" s="122">
        <f>(($E226)-SUM($G28:BM28))</f>
        <v/>
      </c>
      <c r="BN226" s="122">
        <f>(($E226)-SUM($G28:BN28))</f>
        <v/>
      </c>
      <c r="BO226" s="122" t="n"/>
      <c r="BP226" s="122" t="n"/>
      <c r="BQ226" s="122" t="n"/>
      <c r="BR226" s="122" t="n"/>
      <c r="BS226" s="122" t="n"/>
      <c r="BT226" s="122" t="n"/>
      <c r="BU226" s="122" t="n"/>
      <c r="BV226" s="122" t="n"/>
      <c r="BW226" s="122" t="n"/>
      <c r="BX226" s="122" t="n"/>
      <c r="BY226" s="122" t="n"/>
      <c r="BZ226" s="122" t="n"/>
      <c r="CA226" s="122" t="n"/>
      <c r="CB226" s="122" t="n"/>
      <c r="CC226" s="122" t="n"/>
      <c r="CD226" s="123">
        <f>(BN226)</f>
        <v/>
      </c>
      <c r="CE226" s="397">
        <f>(CE28)</f>
        <v/>
      </c>
      <c r="CF226" s="386">
        <f>IF(CD226=CE226,"Y","N")</f>
        <v/>
      </c>
    </row>
    <row r="227" ht="15" customHeight="1" s="1883">
      <c r="D227" s="149" t="inlineStr">
        <is>
          <t>Month 4</t>
        </is>
      </c>
      <c r="E227" s="123">
        <f>(E29)</f>
        <v/>
      </c>
      <c r="F227" s="116" t="n"/>
      <c r="G227" s="122" t="n"/>
      <c r="H227" s="122" t="n"/>
      <c r="I227" s="122" t="n"/>
      <c r="J227" s="443">
        <f>(($E227)-SUM($G29:J29))</f>
        <v/>
      </c>
      <c r="K227" s="443">
        <f>(($E227)-SUM($G29:K29))</f>
        <v/>
      </c>
      <c r="L227" s="122">
        <f>(($E227)-SUM($G29:L29))</f>
        <v/>
      </c>
      <c r="M227" s="122">
        <f>(($E227)-SUM($G29:M29))</f>
        <v/>
      </c>
      <c r="N227" s="122">
        <f>(($E227)-SUM($G29:N29))</f>
        <v/>
      </c>
      <c r="O227" s="122">
        <f>(($E227)-SUM($G29:O29))</f>
        <v/>
      </c>
      <c r="P227" s="122">
        <f>(($E227)-SUM($G29:P29))</f>
        <v/>
      </c>
      <c r="Q227" s="122">
        <f>(($E227)-SUM($G29:Q29))</f>
        <v/>
      </c>
      <c r="R227" s="122">
        <f>(($E227)-SUM($G29:R29))</f>
        <v/>
      </c>
      <c r="S227" s="444">
        <f>(($E227)-SUM($G29:S29))</f>
        <v/>
      </c>
      <c r="T227" s="122">
        <f>(($E227)-SUM($G29:T29))</f>
        <v/>
      </c>
      <c r="U227" s="122">
        <f>(($E227)-SUM($G29:U29))</f>
        <v/>
      </c>
      <c r="V227" s="122">
        <f>(($E227)-SUM($G29:V29))</f>
        <v/>
      </c>
      <c r="W227" s="122">
        <f>(($E227)-SUM($G29:W29))</f>
        <v/>
      </c>
      <c r="X227" s="122">
        <f>(($E227)-SUM($G29:X29))</f>
        <v/>
      </c>
      <c r="Y227" s="122">
        <f>(($E227)-SUM($G29:Y29))</f>
        <v/>
      </c>
      <c r="Z227" s="122">
        <f>(($E227)-SUM($G29:Z29))</f>
        <v/>
      </c>
      <c r="AA227" s="122">
        <f>(($E227)-SUM($G29:AA29))</f>
        <v/>
      </c>
      <c r="AB227" s="122">
        <f>(($E227)-SUM($G29:AB29))</f>
        <v/>
      </c>
      <c r="AC227" s="122">
        <f>(($E227)-SUM($G29:AC29))</f>
        <v/>
      </c>
      <c r="AD227" s="122">
        <f>(($E227)-SUM($G29:AD29))</f>
        <v/>
      </c>
      <c r="AE227" s="444">
        <f>(($E227)-SUM($G29:AE29))</f>
        <v/>
      </c>
      <c r="AF227" s="122">
        <f>(($E227)-SUM($G29:AF29))</f>
        <v/>
      </c>
      <c r="AG227" s="122">
        <f>(($E227)-SUM($G29:AG29))</f>
        <v/>
      </c>
      <c r="AH227" s="122">
        <f>(($E227)-SUM($G29:AH29))</f>
        <v/>
      </c>
      <c r="AI227" s="122">
        <f>(($E227)-SUM($G29:AI29))</f>
        <v/>
      </c>
      <c r="AJ227" s="122">
        <f>(($E227)-SUM($G29:AJ29))</f>
        <v/>
      </c>
      <c r="AK227" s="122">
        <f>(($E227)-SUM($G29:AK29))</f>
        <v/>
      </c>
      <c r="AL227" s="122">
        <f>(($E227)-SUM($G29:AL29))</f>
        <v/>
      </c>
      <c r="AM227" s="122">
        <f>(($E227)-SUM($G29:AM29))</f>
        <v/>
      </c>
      <c r="AN227" s="122">
        <f>(($E227)-SUM($G29:AN29))</f>
        <v/>
      </c>
      <c r="AO227" s="122">
        <f>(($E227)-SUM($G29:AO29))</f>
        <v/>
      </c>
      <c r="AP227" s="122">
        <f>(($E227)-SUM($G29:AP29))</f>
        <v/>
      </c>
      <c r="AQ227" s="444">
        <f>(($E227)-SUM($G29:AQ29))</f>
        <v/>
      </c>
      <c r="AR227" s="122">
        <f>(($E227)-SUM($G29:AR29))</f>
        <v/>
      </c>
      <c r="AS227" s="122">
        <f>(($E227)-SUM($G29:AS29))</f>
        <v/>
      </c>
      <c r="AT227" s="122">
        <f>(($E227)-SUM($G29:AT29))</f>
        <v/>
      </c>
      <c r="AU227" s="122">
        <f>(($E227)-SUM($G29:AU29))</f>
        <v/>
      </c>
      <c r="AV227" s="122">
        <f>(($E227)-SUM($G29:AV29))</f>
        <v/>
      </c>
      <c r="AW227" s="122">
        <f>(($E227)-SUM($G29:AW29))</f>
        <v/>
      </c>
      <c r="AX227" s="122">
        <f>(($E227)-SUM($G29:AX29))</f>
        <v/>
      </c>
      <c r="AY227" s="122">
        <f>(($E227)-SUM($G29:AY29))</f>
        <v/>
      </c>
      <c r="AZ227" s="122">
        <f>(($E227)-SUM($G29:AZ29))</f>
        <v/>
      </c>
      <c r="BA227" s="122">
        <f>(($E227)-SUM($G29:BA29))</f>
        <v/>
      </c>
      <c r="BB227" s="122">
        <f>(($E227)-SUM($G29:BB29))</f>
        <v/>
      </c>
      <c r="BC227" s="444">
        <f>(($E227)-SUM($G29:BC29))</f>
        <v/>
      </c>
      <c r="BD227" s="122">
        <f>(($E227)-SUM($G29:BD29))</f>
        <v/>
      </c>
      <c r="BE227" s="122">
        <f>(($E227)-SUM($G29:BE29))</f>
        <v/>
      </c>
      <c r="BF227" s="122">
        <f>(($E227)-SUM($G29:BF29))</f>
        <v/>
      </c>
      <c r="BG227" s="122">
        <f>(($E227)-SUM($G29:BG29))</f>
        <v/>
      </c>
      <c r="BH227" s="122">
        <f>(($E227)-SUM($G29:BH29))</f>
        <v/>
      </c>
      <c r="BI227" s="122">
        <f>(($E227)-SUM($G29:BI29))</f>
        <v/>
      </c>
      <c r="BJ227" s="122">
        <f>(($E227)-SUM($G29:BJ29))</f>
        <v/>
      </c>
      <c r="BK227" s="122">
        <f>(($E227)-SUM($G29:BK29))</f>
        <v/>
      </c>
      <c r="BL227" s="122">
        <f>(($E227)-SUM($G29:BL29))</f>
        <v/>
      </c>
      <c r="BM227" s="122">
        <f>(($E227)-SUM($G29:BM29))</f>
        <v/>
      </c>
      <c r="BN227" s="122">
        <f>(($E227)-SUM($G29:BN29))</f>
        <v/>
      </c>
      <c r="BO227" s="122" t="n"/>
      <c r="BP227" s="122" t="n"/>
      <c r="BQ227" s="122" t="n"/>
      <c r="BR227" s="122" t="n"/>
      <c r="BS227" s="122" t="n"/>
      <c r="BT227" s="122" t="n"/>
      <c r="BU227" s="122" t="n"/>
      <c r="BV227" s="122" t="n"/>
      <c r="BW227" s="122" t="n"/>
      <c r="BX227" s="122" t="n"/>
      <c r="BY227" s="122" t="n"/>
      <c r="BZ227" s="122" t="n"/>
      <c r="CA227" s="122" t="n"/>
      <c r="CB227" s="122" t="n"/>
      <c r="CC227" s="122" t="n"/>
      <c r="CD227" s="123">
        <f>(BN227)</f>
        <v/>
      </c>
      <c r="CE227" s="397">
        <f>(CE29)</f>
        <v/>
      </c>
      <c r="CF227" s="386">
        <f>IF(CD227=CE227,"Y","N")</f>
        <v/>
      </c>
    </row>
    <row r="228" ht="15" customHeight="1" s="1883">
      <c r="D228" s="149" t="inlineStr">
        <is>
          <t>Month 5</t>
        </is>
      </c>
      <c r="E228" s="123">
        <f>(E30)</f>
        <v/>
      </c>
      <c r="F228" s="116" t="n"/>
      <c r="G228" s="122" t="n"/>
      <c r="H228" s="122" t="n"/>
      <c r="I228" s="122" t="n"/>
      <c r="J228" s="122" t="n"/>
      <c r="K228" s="443">
        <f>(($E228)-SUM($G30:K30))</f>
        <v/>
      </c>
      <c r="L228" s="443">
        <f>(($E228)-SUM($G30:L30))</f>
        <v/>
      </c>
      <c r="M228" s="122">
        <f>(($E228)-SUM($G30:M30))</f>
        <v/>
      </c>
      <c r="N228" s="122">
        <f>(($E228)-SUM($G30:N30))</f>
        <v/>
      </c>
      <c r="O228" s="122">
        <f>(($E228)-SUM($G30:O30))</f>
        <v/>
      </c>
      <c r="P228" s="122">
        <f>(($E228)-SUM($G30:P30))</f>
        <v/>
      </c>
      <c r="Q228" s="122">
        <f>(($E228)-SUM($G30:Q30))</f>
        <v/>
      </c>
      <c r="R228" s="122">
        <f>(($E228)-SUM($G30:R30))</f>
        <v/>
      </c>
      <c r="S228" s="444">
        <f>(($E228)-SUM($G30:S30))</f>
        <v/>
      </c>
      <c r="T228" s="122">
        <f>(($E228)-SUM($G30:T30))</f>
        <v/>
      </c>
      <c r="U228" s="122">
        <f>(($E228)-SUM($G30:U30))</f>
        <v/>
      </c>
      <c r="V228" s="122">
        <f>(($E228)-SUM($G30:V30))</f>
        <v/>
      </c>
      <c r="W228" s="122">
        <f>(($E228)-SUM($G30:W30))</f>
        <v/>
      </c>
      <c r="X228" s="122">
        <f>(($E228)-SUM($G30:X30))</f>
        <v/>
      </c>
      <c r="Y228" s="122">
        <f>(($E228)-SUM($G30:Y30))</f>
        <v/>
      </c>
      <c r="Z228" s="122">
        <f>(($E228)-SUM($G30:Z30))</f>
        <v/>
      </c>
      <c r="AA228" s="122">
        <f>(($E228)-SUM($G30:AA30))</f>
        <v/>
      </c>
      <c r="AB228" s="122">
        <f>(($E228)-SUM($G30:AB30))</f>
        <v/>
      </c>
      <c r="AC228" s="122">
        <f>(($E228)-SUM($G30:AC30))</f>
        <v/>
      </c>
      <c r="AD228" s="122">
        <f>(($E228)-SUM($G30:AD30))</f>
        <v/>
      </c>
      <c r="AE228" s="444">
        <f>(($E228)-SUM($G30:AE30))</f>
        <v/>
      </c>
      <c r="AF228" s="122">
        <f>(($E228)-SUM($G30:AF30))</f>
        <v/>
      </c>
      <c r="AG228" s="122">
        <f>(($E228)-SUM($G30:AG30))</f>
        <v/>
      </c>
      <c r="AH228" s="122">
        <f>(($E228)-SUM($G30:AH30))</f>
        <v/>
      </c>
      <c r="AI228" s="122">
        <f>(($E228)-SUM($G30:AI30))</f>
        <v/>
      </c>
      <c r="AJ228" s="122">
        <f>(($E228)-SUM($G30:AJ30))</f>
        <v/>
      </c>
      <c r="AK228" s="122">
        <f>(($E228)-SUM($G30:AK30))</f>
        <v/>
      </c>
      <c r="AL228" s="122">
        <f>(($E228)-SUM($G30:AL30))</f>
        <v/>
      </c>
      <c r="AM228" s="122">
        <f>(($E228)-SUM($G30:AM30))</f>
        <v/>
      </c>
      <c r="AN228" s="122">
        <f>(($E228)-SUM($G30:AN30))</f>
        <v/>
      </c>
      <c r="AO228" s="122">
        <f>(($E228)-SUM($G30:AO30))</f>
        <v/>
      </c>
      <c r="AP228" s="122">
        <f>(($E228)-SUM($G30:AP30))</f>
        <v/>
      </c>
      <c r="AQ228" s="444">
        <f>(($E228)-SUM($G30:AQ30))</f>
        <v/>
      </c>
      <c r="AR228" s="122">
        <f>(($E228)-SUM($G30:AR30))</f>
        <v/>
      </c>
      <c r="AS228" s="122">
        <f>(($E228)-SUM($G30:AS30))</f>
        <v/>
      </c>
      <c r="AT228" s="122">
        <f>(($E228)-SUM($G30:AT30))</f>
        <v/>
      </c>
      <c r="AU228" s="122">
        <f>(($E228)-SUM($G30:AU30))</f>
        <v/>
      </c>
      <c r="AV228" s="122">
        <f>(($E228)-SUM($G30:AV30))</f>
        <v/>
      </c>
      <c r="AW228" s="122">
        <f>(($E228)-SUM($G30:AW30))</f>
        <v/>
      </c>
      <c r="AX228" s="122">
        <f>(($E228)-SUM($G30:AX30))</f>
        <v/>
      </c>
      <c r="AY228" s="122">
        <f>(($E228)-SUM($G30:AY30))</f>
        <v/>
      </c>
      <c r="AZ228" s="122">
        <f>(($E228)-SUM($G30:AZ30))</f>
        <v/>
      </c>
      <c r="BA228" s="122">
        <f>(($E228)-SUM($G30:BA30))</f>
        <v/>
      </c>
      <c r="BB228" s="122">
        <f>(($E228)-SUM($G30:BB30))</f>
        <v/>
      </c>
      <c r="BC228" s="444">
        <f>(($E228)-SUM($G30:BC30))</f>
        <v/>
      </c>
      <c r="BD228" s="122">
        <f>(($E228)-SUM($G30:BD30))</f>
        <v/>
      </c>
      <c r="BE228" s="122">
        <f>(($E228)-SUM($G30:BE30))</f>
        <v/>
      </c>
      <c r="BF228" s="122">
        <f>(($E228)-SUM($G30:BF30))</f>
        <v/>
      </c>
      <c r="BG228" s="122">
        <f>(($E228)-SUM($G30:BG30))</f>
        <v/>
      </c>
      <c r="BH228" s="122">
        <f>(($E228)-SUM($G30:BH30))</f>
        <v/>
      </c>
      <c r="BI228" s="122">
        <f>(($E228)-SUM($G30:BI30))</f>
        <v/>
      </c>
      <c r="BJ228" s="122">
        <f>(($E228)-SUM($G30:BJ30))</f>
        <v/>
      </c>
      <c r="BK228" s="122">
        <f>(($E228)-SUM($G30:BK30))</f>
        <v/>
      </c>
      <c r="BL228" s="122">
        <f>(($E228)-SUM($G30:BL30))</f>
        <v/>
      </c>
      <c r="BM228" s="122">
        <f>(($E228)-SUM($G30:BM30))</f>
        <v/>
      </c>
      <c r="BN228" s="122">
        <f>(($E228)-SUM($G30:BN30))</f>
        <v/>
      </c>
      <c r="BO228" s="122" t="n"/>
      <c r="BP228" s="122" t="n"/>
      <c r="BQ228" s="122" t="n"/>
      <c r="BR228" s="122" t="n"/>
      <c r="BS228" s="122" t="n"/>
      <c r="BT228" s="122" t="n"/>
      <c r="BU228" s="122" t="n"/>
      <c r="BV228" s="122" t="n"/>
      <c r="BW228" s="122" t="n"/>
      <c r="BX228" s="122" t="n"/>
      <c r="BY228" s="122" t="n"/>
      <c r="BZ228" s="122" t="n"/>
      <c r="CA228" s="122" t="n"/>
      <c r="CB228" s="122" t="n"/>
      <c r="CC228" s="122" t="n"/>
      <c r="CD228" s="123">
        <f>(BN228)</f>
        <v/>
      </c>
      <c r="CE228" s="397">
        <f>(CE30)</f>
        <v/>
      </c>
      <c r="CF228" s="386">
        <f>IF(CD228=CE228,"Y","N")</f>
        <v/>
      </c>
    </row>
    <row r="229" ht="15" customHeight="1" s="1883">
      <c r="D229" s="149" t="inlineStr">
        <is>
          <t>Month 6</t>
        </is>
      </c>
      <c r="E229" s="123">
        <f>(E31)</f>
        <v/>
      </c>
      <c r="F229" s="116" t="n"/>
      <c r="G229" s="122" t="n"/>
      <c r="H229" s="122" t="n"/>
      <c r="I229" s="122" t="n"/>
      <c r="J229" s="122" t="n"/>
      <c r="K229" s="122" t="n"/>
      <c r="L229" s="443">
        <f>(($E229)-SUM($G31:L31))</f>
        <v/>
      </c>
      <c r="M229" s="443">
        <f>(($E229)-SUM($G31:M31))</f>
        <v/>
      </c>
      <c r="N229" s="122">
        <f>(($E229)-SUM($G31:N31))</f>
        <v/>
      </c>
      <c r="O229" s="122">
        <f>(($E229)-SUM($G31:O31))</f>
        <v/>
      </c>
      <c r="P229" s="122">
        <f>(($E229)-SUM($G31:P31))</f>
        <v/>
      </c>
      <c r="Q229" s="122">
        <f>(($E229)-SUM($G31:Q31))</f>
        <v/>
      </c>
      <c r="R229" s="122">
        <f>(($E229)-SUM($G31:R31))</f>
        <v/>
      </c>
      <c r="S229" s="444">
        <f>(($E229)-SUM($G31:S31))</f>
        <v/>
      </c>
      <c r="T229" s="122">
        <f>(($E229)-SUM($G31:T31))</f>
        <v/>
      </c>
      <c r="U229" s="122">
        <f>(($E229)-SUM($G31:U31))</f>
        <v/>
      </c>
      <c r="V229" s="122">
        <f>(($E229)-SUM($G31:V31))</f>
        <v/>
      </c>
      <c r="W229" s="122">
        <f>(($E229)-SUM($G31:W31))</f>
        <v/>
      </c>
      <c r="X229" s="122">
        <f>(($E229)-SUM($G31:X31))</f>
        <v/>
      </c>
      <c r="Y229" s="122">
        <f>(($E229)-SUM($G31:Y31))</f>
        <v/>
      </c>
      <c r="Z229" s="122">
        <f>(($E229)-SUM($G31:Z31))</f>
        <v/>
      </c>
      <c r="AA229" s="122">
        <f>(($E229)-SUM($G31:AA31))</f>
        <v/>
      </c>
      <c r="AB229" s="122">
        <f>(($E229)-SUM($G31:AB31))</f>
        <v/>
      </c>
      <c r="AC229" s="122">
        <f>(($E229)-SUM($G31:AC31))</f>
        <v/>
      </c>
      <c r="AD229" s="122">
        <f>(($E229)-SUM($G31:AD31))</f>
        <v/>
      </c>
      <c r="AE229" s="444">
        <f>(($E229)-SUM($G31:AE31))</f>
        <v/>
      </c>
      <c r="AF229" s="122">
        <f>(($E229)-SUM($G31:AF31))</f>
        <v/>
      </c>
      <c r="AG229" s="122">
        <f>(($E229)-SUM($G31:AG31))</f>
        <v/>
      </c>
      <c r="AH229" s="122">
        <f>(($E229)-SUM($G31:AH31))</f>
        <v/>
      </c>
      <c r="AI229" s="122">
        <f>(($E229)-SUM($G31:AI31))</f>
        <v/>
      </c>
      <c r="AJ229" s="122">
        <f>(($E229)-SUM($G31:AJ31))</f>
        <v/>
      </c>
      <c r="AK229" s="122">
        <f>(($E229)-SUM($G31:AK31))</f>
        <v/>
      </c>
      <c r="AL229" s="122">
        <f>(($E229)-SUM($G31:AL31))</f>
        <v/>
      </c>
      <c r="AM229" s="122">
        <f>(($E229)-SUM($G31:AM31))</f>
        <v/>
      </c>
      <c r="AN229" s="122">
        <f>(($E229)-SUM($G31:AN31))</f>
        <v/>
      </c>
      <c r="AO229" s="122">
        <f>(($E229)-SUM($G31:AO31))</f>
        <v/>
      </c>
      <c r="AP229" s="122">
        <f>(($E229)-SUM($G31:AP31))</f>
        <v/>
      </c>
      <c r="AQ229" s="444">
        <f>(($E229)-SUM($G31:AQ31))</f>
        <v/>
      </c>
      <c r="AR229" s="122">
        <f>(($E229)-SUM($G31:AR31))</f>
        <v/>
      </c>
      <c r="AS229" s="122">
        <f>(($E229)-SUM($G31:AS31))</f>
        <v/>
      </c>
      <c r="AT229" s="122">
        <f>(($E229)-SUM($G31:AT31))</f>
        <v/>
      </c>
      <c r="AU229" s="122">
        <f>(($E229)-SUM($G31:AU31))</f>
        <v/>
      </c>
      <c r="AV229" s="122">
        <f>(($E229)-SUM($G31:AV31))</f>
        <v/>
      </c>
      <c r="AW229" s="122">
        <f>(($E229)-SUM($G31:AW31))</f>
        <v/>
      </c>
      <c r="AX229" s="122">
        <f>(($E229)-SUM($G31:AX31))</f>
        <v/>
      </c>
      <c r="AY229" s="122">
        <f>(($E229)-SUM($G31:AY31))</f>
        <v/>
      </c>
      <c r="AZ229" s="122">
        <f>(($E229)-SUM($G31:AZ31))</f>
        <v/>
      </c>
      <c r="BA229" s="122">
        <f>(($E229)-SUM($G31:BA31))</f>
        <v/>
      </c>
      <c r="BB229" s="122">
        <f>(($E229)-SUM($G31:BB31))</f>
        <v/>
      </c>
      <c r="BC229" s="444">
        <f>(($E229)-SUM($G31:BC31))</f>
        <v/>
      </c>
      <c r="BD229" s="122">
        <f>(($E229)-SUM($G31:BD31))</f>
        <v/>
      </c>
      <c r="BE229" s="122">
        <f>(($E229)-SUM($G31:BE31))</f>
        <v/>
      </c>
      <c r="BF229" s="122">
        <f>(($E229)-SUM($G31:BF31))</f>
        <v/>
      </c>
      <c r="BG229" s="122">
        <f>(($E229)-SUM($G31:BG31))</f>
        <v/>
      </c>
      <c r="BH229" s="122">
        <f>(($E229)-SUM($G31:BH31))</f>
        <v/>
      </c>
      <c r="BI229" s="122">
        <f>(($E229)-SUM($G31:BI31))</f>
        <v/>
      </c>
      <c r="BJ229" s="122">
        <f>(($E229)-SUM($G31:BJ31))</f>
        <v/>
      </c>
      <c r="BK229" s="122">
        <f>(($E229)-SUM($G31:BK31))</f>
        <v/>
      </c>
      <c r="BL229" s="122">
        <f>(($E229)-SUM($G31:BL31))</f>
        <v/>
      </c>
      <c r="BM229" s="122">
        <f>(($E229)-SUM($G31:BM31))</f>
        <v/>
      </c>
      <c r="BN229" s="122">
        <f>(($E229)-SUM($G31:BN31))</f>
        <v/>
      </c>
      <c r="BO229" s="122" t="n"/>
      <c r="BP229" s="122" t="n"/>
      <c r="BQ229" s="122" t="n"/>
      <c r="BR229" s="122" t="n"/>
      <c r="BS229" s="122" t="n"/>
      <c r="BT229" s="122" t="n"/>
      <c r="BU229" s="122" t="n"/>
      <c r="BV229" s="122" t="n"/>
      <c r="BW229" s="122" t="n"/>
      <c r="BX229" s="122" t="n"/>
      <c r="BY229" s="122" t="n"/>
      <c r="BZ229" s="122" t="n"/>
      <c r="CA229" s="122" t="n"/>
      <c r="CB229" s="122" t="n"/>
      <c r="CC229" s="122" t="n"/>
      <c r="CD229" s="123">
        <f>(BN229)</f>
        <v/>
      </c>
      <c r="CE229" s="397">
        <f>(CE31)</f>
        <v/>
      </c>
      <c r="CF229" s="386">
        <f>IF(CD229=CE229,"Y","N")</f>
        <v/>
      </c>
    </row>
    <row r="230" ht="15" customHeight="1" s="1883">
      <c r="D230" s="149" t="inlineStr">
        <is>
          <t>Month 7</t>
        </is>
      </c>
      <c r="E230" s="123">
        <f>(E32)</f>
        <v/>
      </c>
      <c r="F230" s="116" t="n"/>
      <c r="G230" s="122" t="n"/>
      <c r="H230" s="122" t="n"/>
      <c r="I230" s="122" t="n"/>
      <c r="J230" s="122" t="n"/>
      <c r="K230" s="122" t="n"/>
      <c r="L230" s="122" t="n"/>
      <c r="M230" s="443">
        <f>(($E230)-SUM($G32:M32))</f>
        <v/>
      </c>
      <c r="N230" s="443">
        <f>(($E230)-SUM($G32:N32))</f>
        <v/>
      </c>
      <c r="O230" s="122">
        <f>(($E230)-SUM($G32:O32))</f>
        <v/>
      </c>
      <c r="P230" s="122">
        <f>(($E230)-SUM($G32:P32))</f>
        <v/>
      </c>
      <c r="Q230" s="122">
        <f>(($E230)-SUM($G32:Q32))</f>
        <v/>
      </c>
      <c r="R230" s="122">
        <f>(($E230)-SUM($G32:R32))</f>
        <v/>
      </c>
      <c r="S230" s="444">
        <f>(($E230)-SUM($G32:S32))</f>
        <v/>
      </c>
      <c r="T230" s="122">
        <f>(($E230)-SUM($G32:T32))</f>
        <v/>
      </c>
      <c r="U230" s="122">
        <f>(($E230)-SUM($G32:U32))</f>
        <v/>
      </c>
      <c r="V230" s="122">
        <f>(($E230)-SUM($G32:V32))</f>
        <v/>
      </c>
      <c r="W230" s="122">
        <f>(($E230)-SUM($G32:W32))</f>
        <v/>
      </c>
      <c r="X230" s="122">
        <f>(($E230)-SUM($G32:X32))</f>
        <v/>
      </c>
      <c r="Y230" s="122">
        <f>(($E230)-SUM($G32:Y32))</f>
        <v/>
      </c>
      <c r="Z230" s="122">
        <f>(($E230)-SUM($G32:Z32))</f>
        <v/>
      </c>
      <c r="AA230" s="122">
        <f>(($E230)-SUM($G32:AA32))</f>
        <v/>
      </c>
      <c r="AB230" s="122">
        <f>(($E230)-SUM($G32:AB32))</f>
        <v/>
      </c>
      <c r="AC230" s="122">
        <f>(($E230)-SUM($G32:AC32))</f>
        <v/>
      </c>
      <c r="AD230" s="122">
        <f>(($E230)-SUM($G32:AD32))</f>
        <v/>
      </c>
      <c r="AE230" s="444">
        <f>(($E230)-SUM($G32:AE32))</f>
        <v/>
      </c>
      <c r="AF230" s="122">
        <f>(($E230)-SUM($G32:AF32))</f>
        <v/>
      </c>
      <c r="AG230" s="122">
        <f>(($E230)-SUM($G32:AG32))</f>
        <v/>
      </c>
      <c r="AH230" s="122">
        <f>(($E230)-SUM($G32:AH32))</f>
        <v/>
      </c>
      <c r="AI230" s="122">
        <f>(($E230)-SUM($G32:AI32))</f>
        <v/>
      </c>
      <c r="AJ230" s="122">
        <f>(($E230)-SUM($G32:AJ32))</f>
        <v/>
      </c>
      <c r="AK230" s="122">
        <f>(($E230)-SUM($G32:AK32))</f>
        <v/>
      </c>
      <c r="AL230" s="122">
        <f>(($E230)-SUM($G32:AL32))</f>
        <v/>
      </c>
      <c r="AM230" s="122">
        <f>(($E230)-SUM($G32:AM32))</f>
        <v/>
      </c>
      <c r="AN230" s="122">
        <f>(($E230)-SUM($G32:AN32))</f>
        <v/>
      </c>
      <c r="AO230" s="122">
        <f>(($E230)-SUM($G32:AO32))</f>
        <v/>
      </c>
      <c r="AP230" s="122">
        <f>(($E230)-SUM($G32:AP32))</f>
        <v/>
      </c>
      <c r="AQ230" s="444">
        <f>(($E230)-SUM($G32:AQ32))</f>
        <v/>
      </c>
      <c r="AR230" s="122">
        <f>(($E230)-SUM($G32:AR32))</f>
        <v/>
      </c>
      <c r="AS230" s="122">
        <f>(($E230)-SUM($G32:AS32))</f>
        <v/>
      </c>
      <c r="AT230" s="122">
        <f>(($E230)-SUM($G32:AT32))</f>
        <v/>
      </c>
      <c r="AU230" s="122">
        <f>(($E230)-SUM($G32:AU32))</f>
        <v/>
      </c>
      <c r="AV230" s="122">
        <f>(($E230)-SUM($G32:AV32))</f>
        <v/>
      </c>
      <c r="AW230" s="122">
        <f>(($E230)-SUM($G32:AW32))</f>
        <v/>
      </c>
      <c r="AX230" s="122">
        <f>(($E230)-SUM($G32:AX32))</f>
        <v/>
      </c>
      <c r="AY230" s="122">
        <f>(($E230)-SUM($G32:AY32))</f>
        <v/>
      </c>
      <c r="AZ230" s="122">
        <f>(($E230)-SUM($G32:AZ32))</f>
        <v/>
      </c>
      <c r="BA230" s="122">
        <f>(($E230)-SUM($G32:BA32))</f>
        <v/>
      </c>
      <c r="BB230" s="122">
        <f>(($E230)-SUM($G32:BB32))</f>
        <v/>
      </c>
      <c r="BC230" s="444">
        <f>(($E230)-SUM($G32:BC32))</f>
        <v/>
      </c>
      <c r="BD230" s="122">
        <f>(($E230)-SUM($G32:BD32))</f>
        <v/>
      </c>
      <c r="BE230" s="122">
        <f>(($E230)-SUM($G32:BE32))</f>
        <v/>
      </c>
      <c r="BF230" s="122">
        <f>(($E230)-SUM($G32:BF32))</f>
        <v/>
      </c>
      <c r="BG230" s="122">
        <f>(($E230)-SUM($G32:BG32))</f>
        <v/>
      </c>
      <c r="BH230" s="122">
        <f>(($E230)-SUM($G32:BH32))</f>
        <v/>
      </c>
      <c r="BI230" s="122">
        <f>(($E230)-SUM($G32:BI32))</f>
        <v/>
      </c>
      <c r="BJ230" s="122">
        <f>(($E230)-SUM($G32:BJ32))</f>
        <v/>
      </c>
      <c r="BK230" s="122">
        <f>(($E230)-SUM($G32:BK32))</f>
        <v/>
      </c>
      <c r="BL230" s="122">
        <f>(($E230)-SUM($G32:BL32))</f>
        <v/>
      </c>
      <c r="BM230" s="122">
        <f>(($E230)-SUM($G32:BM32))</f>
        <v/>
      </c>
      <c r="BN230" s="122">
        <f>(($E230)-SUM($G32:BN32))</f>
        <v/>
      </c>
      <c r="BO230" s="122" t="n"/>
      <c r="BP230" s="122" t="n"/>
      <c r="BQ230" s="122" t="n"/>
      <c r="BR230" s="122" t="n"/>
      <c r="BS230" s="122" t="n"/>
      <c r="BT230" s="122" t="n"/>
      <c r="BU230" s="122" t="n"/>
      <c r="BV230" s="122" t="n"/>
      <c r="BW230" s="122" t="n"/>
      <c r="BX230" s="122" t="n"/>
      <c r="BY230" s="122" t="n"/>
      <c r="BZ230" s="122" t="n"/>
      <c r="CA230" s="122" t="n"/>
      <c r="CB230" s="122" t="n"/>
      <c r="CC230" s="122" t="n"/>
      <c r="CD230" s="123">
        <f>(BN230)</f>
        <v/>
      </c>
      <c r="CE230" s="397">
        <f>(CE32)</f>
        <v/>
      </c>
      <c r="CF230" s="386">
        <f>IF(CD230=CE230,"Y","N")</f>
        <v/>
      </c>
    </row>
    <row r="231" ht="15" customHeight="1" s="1883">
      <c r="D231" s="149" t="inlineStr">
        <is>
          <t>Month 8</t>
        </is>
      </c>
      <c r="E231" s="123">
        <f>(E33)</f>
        <v/>
      </c>
      <c r="F231" s="116" t="n"/>
      <c r="G231" s="122" t="n"/>
      <c r="H231" s="122" t="n"/>
      <c r="I231" s="122" t="n"/>
      <c r="J231" s="122" t="n"/>
      <c r="K231" s="122" t="n"/>
      <c r="L231" s="122" t="n"/>
      <c r="M231" s="122" t="n"/>
      <c r="N231" s="443">
        <f>(($E231)-SUM($G33:N33))</f>
        <v/>
      </c>
      <c r="O231" s="443">
        <f>(($E231)-SUM($G33:O33))</f>
        <v/>
      </c>
      <c r="P231" s="122">
        <f>(($E231)-SUM($G33:P33))</f>
        <v/>
      </c>
      <c r="Q231" s="122">
        <f>(($E231)-SUM($G33:Q33))</f>
        <v/>
      </c>
      <c r="R231" s="122">
        <f>(($E231)-SUM($G33:R33))</f>
        <v/>
      </c>
      <c r="S231" s="444">
        <f>(($E231)-SUM($G33:S33))</f>
        <v/>
      </c>
      <c r="T231" s="122">
        <f>(($E231)-SUM($G33:T33))</f>
        <v/>
      </c>
      <c r="U231" s="122">
        <f>(($E231)-SUM($G33:U33))</f>
        <v/>
      </c>
      <c r="V231" s="122">
        <f>(($E231)-SUM($G33:V33))</f>
        <v/>
      </c>
      <c r="W231" s="122">
        <f>(($E231)-SUM($G33:W33))</f>
        <v/>
      </c>
      <c r="X231" s="122">
        <f>(($E231)-SUM($G33:X33))</f>
        <v/>
      </c>
      <c r="Y231" s="122">
        <f>(($E231)-SUM($G33:Y33))</f>
        <v/>
      </c>
      <c r="Z231" s="122">
        <f>(($E231)-SUM($G33:Z33))</f>
        <v/>
      </c>
      <c r="AA231" s="122">
        <f>(($E231)-SUM($G33:AA33))</f>
        <v/>
      </c>
      <c r="AB231" s="122">
        <f>(($E231)-SUM($G33:AB33))</f>
        <v/>
      </c>
      <c r="AC231" s="122">
        <f>(($E231)-SUM($G33:AC33))</f>
        <v/>
      </c>
      <c r="AD231" s="122">
        <f>(($E231)-SUM($G33:AD33))</f>
        <v/>
      </c>
      <c r="AE231" s="444">
        <f>(($E231)-SUM($G33:AE33))</f>
        <v/>
      </c>
      <c r="AF231" s="122">
        <f>(($E231)-SUM($G33:AF33))</f>
        <v/>
      </c>
      <c r="AG231" s="122">
        <f>(($E231)-SUM($G33:AG33))</f>
        <v/>
      </c>
      <c r="AH231" s="122">
        <f>(($E231)-SUM($G33:AH33))</f>
        <v/>
      </c>
      <c r="AI231" s="122">
        <f>(($E231)-SUM($G33:AI33))</f>
        <v/>
      </c>
      <c r="AJ231" s="122">
        <f>(($E231)-SUM($G33:AJ33))</f>
        <v/>
      </c>
      <c r="AK231" s="122">
        <f>(($E231)-SUM($G33:AK33))</f>
        <v/>
      </c>
      <c r="AL231" s="122">
        <f>(($E231)-SUM($G33:AL33))</f>
        <v/>
      </c>
      <c r="AM231" s="122">
        <f>(($E231)-SUM($G33:AM33))</f>
        <v/>
      </c>
      <c r="AN231" s="122">
        <f>(($E231)-SUM($G33:AN33))</f>
        <v/>
      </c>
      <c r="AO231" s="122">
        <f>(($E231)-SUM($G33:AO33))</f>
        <v/>
      </c>
      <c r="AP231" s="122">
        <f>(($E231)-SUM($G33:AP33))</f>
        <v/>
      </c>
      <c r="AQ231" s="444">
        <f>(($E231)-SUM($G33:AQ33))</f>
        <v/>
      </c>
      <c r="AR231" s="122">
        <f>(($E231)-SUM($G33:AR33))</f>
        <v/>
      </c>
      <c r="AS231" s="122">
        <f>(($E231)-SUM($G33:AS33))</f>
        <v/>
      </c>
      <c r="AT231" s="122">
        <f>(($E231)-SUM($G33:AT33))</f>
        <v/>
      </c>
      <c r="AU231" s="122">
        <f>(($E231)-SUM($G33:AU33))</f>
        <v/>
      </c>
      <c r="AV231" s="122">
        <f>(($E231)-SUM($G33:AV33))</f>
        <v/>
      </c>
      <c r="AW231" s="122">
        <f>(($E231)-SUM($G33:AW33))</f>
        <v/>
      </c>
      <c r="AX231" s="122">
        <f>(($E231)-SUM($G33:AX33))</f>
        <v/>
      </c>
      <c r="AY231" s="122">
        <f>(($E231)-SUM($G33:AY33))</f>
        <v/>
      </c>
      <c r="AZ231" s="122">
        <f>(($E231)-SUM($G33:AZ33))</f>
        <v/>
      </c>
      <c r="BA231" s="122">
        <f>(($E231)-SUM($G33:BA33))</f>
        <v/>
      </c>
      <c r="BB231" s="122">
        <f>(($E231)-SUM($G33:BB33))</f>
        <v/>
      </c>
      <c r="BC231" s="444">
        <f>(($E231)-SUM($G33:BC33))</f>
        <v/>
      </c>
      <c r="BD231" s="122">
        <f>(($E231)-SUM($G33:BD33))</f>
        <v/>
      </c>
      <c r="BE231" s="122">
        <f>(($E231)-SUM($G33:BE33))</f>
        <v/>
      </c>
      <c r="BF231" s="122">
        <f>(($E231)-SUM($G33:BF33))</f>
        <v/>
      </c>
      <c r="BG231" s="122">
        <f>(($E231)-SUM($G33:BG33))</f>
        <v/>
      </c>
      <c r="BH231" s="122">
        <f>(($E231)-SUM($G33:BH33))</f>
        <v/>
      </c>
      <c r="BI231" s="122">
        <f>(($E231)-SUM($G33:BI33))</f>
        <v/>
      </c>
      <c r="BJ231" s="122">
        <f>(($E231)-SUM($G33:BJ33))</f>
        <v/>
      </c>
      <c r="BK231" s="122">
        <f>(($E231)-SUM($G33:BK33))</f>
        <v/>
      </c>
      <c r="BL231" s="122">
        <f>(($E231)-SUM($G33:BL33))</f>
        <v/>
      </c>
      <c r="BM231" s="122">
        <f>(($E231)-SUM($G33:BM33))</f>
        <v/>
      </c>
      <c r="BN231" s="122">
        <f>(($E231)-SUM($G33:BN33))</f>
        <v/>
      </c>
      <c r="BO231" s="122" t="n"/>
      <c r="BP231" s="122" t="n"/>
      <c r="BQ231" s="122" t="n"/>
      <c r="BR231" s="122" t="n"/>
      <c r="BS231" s="122" t="n"/>
      <c r="BT231" s="122" t="n"/>
      <c r="BU231" s="122" t="n"/>
      <c r="BV231" s="122" t="n"/>
      <c r="BW231" s="122" t="n"/>
      <c r="BX231" s="122" t="n"/>
      <c r="BY231" s="122" t="n"/>
      <c r="BZ231" s="122" t="n"/>
      <c r="CA231" s="122" t="n"/>
      <c r="CB231" s="122" t="n"/>
      <c r="CC231" s="122" t="n"/>
      <c r="CD231" s="123">
        <f>(BN231)</f>
        <v/>
      </c>
      <c r="CE231" s="397">
        <f>(CE33)</f>
        <v/>
      </c>
      <c r="CF231" s="386">
        <f>IF(CD231=CE231,"Y","N")</f>
        <v/>
      </c>
    </row>
    <row r="232" ht="15" customHeight="1" s="1883">
      <c r="D232" s="149" t="inlineStr">
        <is>
          <t>Month 9</t>
        </is>
      </c>
      <c r="E232" s="123">
        <f>(E34)</f>
        <v/>
      </c>
      <c r="F232" s="116" t="n"/>
      <c r="G232" s="122" t="n"/>
      <c r="H232" s="122" t="n"/>
      <c r="I232" s="122" t="n"/>
      <c r="J232" s="122" t="n"/>
      <c r="K232" s="122" t="n"/>
      <c r="L232" s="122" t="n"/>
      <c r="M232" s="122" t="n"/>
      <c r="N232" s="122" t="n"/>
      <c r="O232" s="443">
        <f>(($E232)-SUM($G34:O34))</f>
        <v/>
      </c>
      <c r="P232" s="443">
        <f>(($E232)-SUM($G34:P34))</f>
        <v/>
      </c>
      <c r="Q232" s="122">
        <f>(($E232)-SUM($G34:Q34))</f>
        <v/>
      </c>
      <c r="R232" s="122">
        <f>(($E232)-SUM($G34:R34))</f>
        <v/>
      </c>
      <c r="S232" s="444">
        <f>(($E232)-SUM($G34:S34))</f>
        <v/>
      </c>
      <c r="T232" s="122">
        <f>(($E232)-SUM($G34:T34))</f>
        <v/>
      </c>
      <c r="U232" s="122">
        <f>(($E232)-SUM($G34:U34))</f>
        <v/>
      </c>
      <c r="V232" s="122">
        <f>(($E232)-SUM($G34:V34))</f>
        <v/>
      </c>
      <c r="W232" s="122">
        <f>(($E232)-SUM($G34:W34))</f>
        <v/>
      </c>
      <c r="X232" s="122">
        <f>(($E232)-SUM($G34:X34))</f>
        <v/>
      </c>
      <c r="Y232" s="122">
        <f>(($E232)-SUM($G34:Y34))</f>
        <v/>
      </c>
      <c r="Z232" s="122">
        <f>(($E232)-SUM($G34:Z34))</f>
        <v/>
      </c>
      <c r="AA232" s="122">
        <f>(($E232)-SUM($G34:AA34))</f>
        <v/>
      </c>
      <c r="AB232" s="122">
        <f>(($E232)-SUM($G34:AB34))</f>
        <v/>
      </c>
      <c r="AC232" s="122">
        <f>(($E232)-SUM($G34:AC34))</f>
        <v/>
      </c>
      <c r="AD232" s="122">
        <f>(($E232)-SUM($G34:AD34))</f>
        <v/>
      </c>
      <c r="AE232" s="444">
        <f>(($E232)-SUM($G34:AE34))</f>
        <v/>
      </c>
      <c r="AF232" s="122">
        <f>(($E232)-SUM($G34:AF34))</f>
        <v/>
      </c>
      <c r="AG232" s="122">
        <f>(($E232)-SUM($G34:AG34))</f>
        <v/>
      </c>
      <c r="AH232" s="122">
        <f>(($E232)-SUM($G34:AH34))</f>
        <v/>
      </c>
      <c r="AI232" s="122">
        <f>(($E232)-SUM($G34:AI34))</f>
        <v/>
      </c>
      <c r="AJ232" s="122">
        <f>(($E232)-SUM($G34:AJ34))</f>
        <v/>
      </c>
      <c r="AK232" s="122">
        <f>(($E232)-SUM($G34:AK34))</f>
        <v/>
      </c>
      <c r="AL232" s="122">
        <f>(($E232)-SUM($G34:AL34))</f>
        <v/>
      </c>
      <c r="AM232" s="122">
        <f>(($E232)-SUM($G34:AM34))</f>
        <v/>
      </c>
      <c r="AN232" s="122">
        <f>(($E232)-SUM($G34:AN34))</f>
        <v/>
      </c>
      <c r="AO232" s="122">
        <f>(($E232)-SUM($G34:AO34))</f>
        <v/>
      </c>
      <c r="AP232" s="122">
        <f>(($E232)-SUM($G34:AP34))</f>
        <v/>
      </c>
      <c r="AQ232" s="444">
        <f>(($E232)-SUM($G34:AQ34))</f>
        <v/>
      </c>
      <c r="AR232" s="122">
        <f>(($E232)-SUM($G34:AR34))</f>
        <v/>
      </c>
      <c r="AS232" s="122">
        <f>(($E232)-SUM($G34:AS34))</f>
        <v/>
      </c>
      <c r="AT232" s="122">
        <f>(($E232)-SUM($G34:AT34))</f>
        <v/>
      </c>
      <c r="AU232" s="122">
        <f>(($E232)-SUM($G34:AU34))</f>
        <v/>
      </c>
      <c r="AV232" s="122">
        <f>(($E232)-SUM($G34:AV34))</f>
        <v/>
      </c>
      <c r="AW232" s="122">
        <f>(($E232)-SUM($G34:AW34))</f>
        <v/>
      </c>
      <c r="AX232" s="122">
        <f>(($E232)-SUM($G34:AX34))</f>
        <v/>
      </c>
      <c r="AY232" s="122">
        <f>(($E232)-SUM($G34:AY34))</f>
        <v/>
      </c>
      <c r="AZ232" s="122">
        <f>(($E232)-SUM($G34:AZ34))</f>
        <v/>
      </c>
      <c r="BA232" s="122">
        <f>(($E232)-SUM($G34:BA34))</f>
        <v/>
      </c>
      <c r="BB232" s="122">
        <f>(($E232)-SUM($G34:BB34))</f>
        <v/>
      </c>
      <c r="BC232" s="444">
        <f>(($E232)-SUM($G34:BC34))</f>
        <v/>
      </c>
      <c r="BD232" s="122">
        <f>(($E232)-SUM($G34:BD34))</f>
        <v/>
      </c>
      <c r="BE232" s="122">
        <f>(($E232)-SUM($G34:BE34))</f>
        <v/>
      </c>
      <c r="BF232" s="122">
        <f>(($E232)-SUM($G34:BF34))</f>
        <v/>
      </c>
      <c r="BG232" s="122">
        <f>(($E232)-SUM($G34:BG34))</f>
        <v/>
      </c>
      <c r="BH232" s="122">
        <f>(($E232)-SUM($G34:BH34))</f>
        <v/>
      </c>
      <c r="BI232" s="122">
        <f>(($E232)-SUM($G34:BI34))</f>
        <v/>
      </c>
      <c r="BJ232" s="122">
        <f>(($E232)-SUM($G34:BJ34))</f>
        <v/>
      </c>
      <c r="BK232" s="122">
        <f>(($E232)-SUM($G34:BK34))</f>
        <v/>
      </c>
      <c r="BL232" s="122">
        <f>(($E232)-SUM($G34:BL34))</f>
        <v/>
      </c>
      <c r="BM232" s="122">
        <f>(($E232)-SUM($G34:BM34))</f>
        <v/>
      </c>
      <c r="BN232" s="122">
        <f>(($E232)-SUM($G34:BN34))</f>
        <v/>
      </c>
      <c r="BO232" s="122" t="n"/>
      <c r="BP232" s="122" t="n"/>
      <c r="BQ232" s="122" t="n"/>
      <c r="BR232" s="122" t="n"/>
      <c r="BS232" s="122" t="n"/>
      <c r="BT232" s="122" t="n"/>
      <c r="BU232" s="122" t="n"/>
      <c r="BV232" s="122" t="n"/>
      <c r="BW232" s="122" t="n"/>
      <c r="BX232" s="122" t="n"/>
      <c r="BY232" s="122" t="n"/>
      <c r="BZ232" s="122" t="n"/>
      <c r="CA232" s="122" t="n"/>
      <c r="CB232" s="122" t="n"/>
      <c r="CC232" s="122" t="n"/>
      <c r="CD232" s="123">
        <f>(BN232)</f>
        <v/>
      </c>
      <c r="CE232" s="397">
        <f>(CE34)</f>
        <v/>
      </c>
      <c r="CF232" s="386">
        <f>IF(CD232=CE232,"Y","N")</f>
        <v/>
      </c>
    </row>
    <row r="233" ht="15" customHeight="1" s="1883">
      <c r="D233" s="149" t="inlineStr">
        <is>
          <t>Month 10</t>
        </is>
      </c>
      <c r="E233" s="123">
        <f>(E35)</f>
        <v/>
      </c>
      <c r="F233" s="116" t="n"/>
      <c r="G233" s="122" t="n"/>
      <c r="H233" s="122" t="n"/>
      <c r="I233" s="122" t="n"/>
      <c r="J233" s="122" t="n"/>
      <c r="K233" s="122" t="n"/>
      <c r="L233" s="122" t="n"/>
      <c r="M233" s="122" t="n"/>
      <c r="N233" s="122" t="n"/>
      <c r="O233" s="122" t="n"/>
      <c r="P233" s="443">
        <f>(($E233)-SUM($G35:P35))</f>
        <v/>
      </c>
      <c r="Q233" s="443">
        <f>(($E233)-SUM($G35:Q35))</f>
        <v/>
      </c>
      <c r="R233" s="122">
        <f>(($E233)-SUM($G35:R35))</f>
        <v/>
      </c>
      <c r="S233" s="444">
        <f>(($E233)-SUM($G35:S35))</f>
        <v/>
      </c>
      <c r="T233" s="122">
        <f>(($E233)-SUM($G35:T35))</f>
        <v/>
      </c>
      <c r="U233" s="122">
        <f>(($E233)-SUM($G35:U35))</f>
        <v/>
      </c>
      <c r="V233" s="122">
        <f>(($E233)-SUM($G35:V35))</f>
        <v/>
      </c>
      <c r="W233" s="122">
        <f>(($E233)-SUM($G35:W35))</f>
        <v/>
      </c>
      <c r="X233" s="122">
        <f>(($E233)-SUM($G35:X35))</f>
        <v/>
      </c>
      <c r="Y233" s="122">
        <f>(($E233)-SUM($G35:Y35))</f>
        <v/>
      </c>
      <c r="Z233" s="122">
        <f>(($E233)-SUM($G35:Z35))</f>
        <v/>
      </c>
      <c r="AA233" s="122">
        <f>(($E233)-SUM($G35:AA35))</f>
        <v/>
      </c>
      <c r="AB233" s="122">
        <f>(($E233)-SUM($G35:AB35))</f>
        <v/>
      </c>
      <c r="AC233" s="122">
        <f>(($E233)-SUM($G35:AC35))</f>
        <v/>
      </c>
      <c r="AD233" s="122">
        <f>(($E233)-SUM($G35:AD35))</f>
        <v/>
      </c>
      <c r="AE233" s="444">
        <f>(($E233)-SUM($G35:AE35))</f>
        <v/>
      </c>
      <c r="AF233" s="122">
        <f>(($E233)-SUM($G35:AF35))</f>
        <v/>
      </c>
      <c r="AG233" s="122">
        <f>(($E233)-SUM($G35:AG35))</f>
        <v/>
      </c>
      <c r="AH233" s="122">
        <f>(($E233)-SUM($G35:AH35))</f>
        <v/>
      </c>
      <c r="AI233" s="122">
        <f>(($E233)-SUM($G35:AI35))</f>
        <v/>
      </c>
      <c r="AJ233" s="122">
        <f>(($E233)-SUM($G35:AJ35))</f>
        <v/>
      </c>
      <c r="AK233" s="122">
        <f>(($E233)-SUM($G35:AK35))</f>
        <v/>
      </c>
      <c r="AL233" s="122">
        <f>(($E233)-SUM($G35:AL35))</f>
        <v/>
      </c>
      <c r="AM233" s="122">
        <f>(($E233)-SUM($G35:AM35))</f>
        <v/>
      </c>
      <c r="AN233" s="122">
        <f>(($E233)-SUM($G35:AN35))</f>
        <v/>
      </c>
      <c r="AO233" s="122">
        <f>(($E233)-SUM($G35:AO35))</f>
        <v/>
      </c>
      <c r="AP233" s="122">
        <f>(($E233)-SUM($G35:AP35))</f>
        <v/>
      </c>
      <c r="AQ233" s="444">
        <f>(($E233)-SUM($G35:AQ35))</f>
        <v/>
      </c>
      <c r="AR233" s="122">
        <f>(($E233)-SUM($G35:AR35))</f>
        <v/>
      </c>
      <c r="AS233" s="122">
        <f>(($E233)-SUM($G35:AS35))</f>
        <v/>
      </c>
      <c r="AT233" s="122">
        <f>(($E233)-SUM($G35:AT35))</f>
        <v/>
      </c>
      <c r="AU233" s="122">
        <f>(($E233)-SUM($G35:AU35))</f>
        <v/>
      </c>
      <c r="AV233" s="122">
        <f>(($E233)-SUM($G35:AV35))</f>
        <v/>
      </c>
      <c r="AW233" s="122">
        <f>(($E233)-SUM($G35:AW35))</f>
        <v/>
      </c>
      <c r="AX233" s="122">
        <f>(($E233)-SUM($G35:AX35))</f>
        <v/>
      </c>
      <c r="AY233" s="122">
        <f>(($E233)-SUM($G35:AY35))</f>
        <v/>
      </c>
      <c r="AZ233" s="122">
        <f>(($E233)-SUM($G35:AZ35))</f>
        <v/>
      </c>
      <c r="BA233" s="122">
        <f>(($E233)-SUM($G35:BA35))</f>
        <v/>
      </c>
      <c r="BB233" s="122">
        <f>(($E233)-SUM($G35:BB35))</f>
        <v/>
      </c>
      <c r="BC233" s="444">
        <f>(($E233)-SUM($G35:BC35))</f>
        <v/>
      </c>
      <c r="BD233" s="122">
        <f>(($E233)-SUM($G35:BD35))</f>
        <v/>
      </c>
      <c r="BE233" s="122">
        <f>(($E233)-SUM($G35:BE35))</f>
        <v/>
      </c>
      <c r="BF233" s="122">
        <f>(($E233)-SUM($G35:BF35))</f>
        <v/>
      </c>
      <c r="BG233" s="122">
        <f>(($E233)-SUM($G35:BG35))</f>
        <v/>
      </c>
      <c r="BH233" s="122">
        <f>(($E233)-SUM($G35:BH35))</f>
        <v/>
      </c>
      <c r="BI233" s="122">
        <f>(($E233)-SUM($G35:BI35))</f>
        <v/>
      </c>
      <c r="BJ233" s="122">
        <f>(($E233)-SUM($G35:BJ35))</f>
        <v/>
      </c>
      <c r="BK233" s="122">
        <f>(($E233)-SUM($G35:BK35))</f>
        <v/>
      </c>
      <c r="BL233" s="122">
        <f>(($E233)-SUM($G35:BL35))</f>
        <v/>
      </c>
      <c r="BM233" s="122">
        <f>(($E233)-SUM($G35:BM35))</f>
        <v/>
      </c>
      <c r="BN233" s="122">
        <f>(($E233)-SUM($G35:BN35))</f>
        <v/>
      </c>
      <c r="BO233" s="122" t="n"/>
      <c r="BP233" s="122" t="n"/>
      <c r="BQ233" s="122" t="n"/>
      <c r="BR233" s="122" t="n"/>
      <c r="BS233" s="122" t="n"/>
      <c r="BT233" s="122" t="n"/>
      <c r="BU233" s="122" t="n"/>
      <c r="BV233" s="122" t="n"/>
      <c r="BW233" s="122" t="n"/>
      <c r="BX233" s="122" t="n"/>
      <c r="BY233" s="122" t="n"/>
      <c r="BZ233" s="122" t="n"/>
      <c r="CA233" s="122" t="n"/>
      <c r="CB233" s="122" t="n"/>
      <c r="CC233" s="122" t="n"/>
      <c r="CD233" s="123">
        <f>(BN233)</f>
        <v/>
      </c>
      <c r="CE233" s="397">
        <f>(CE35)</f>
        <v/>
      </c>
      <c r="CF233" s="386">
        <f>IF(CD233=CE233,"Y","N")</f>
        <v/>
      </c>
    </row>
    <row r="234" ht="15" customHeight="1" s="1883">
      <c r="D234" s="149" t="inlineStr">
        <is>
          <t>Month 11</t>
        </is>
      </c>
      <c r="E234" s="123">
        <f>(E36)</f>
        <v/>
      </c>
      <c r="F234" s="116" t="n"/>
      <c r="G234" s="122" t="n"/>
      <c r="H234" s="122" t="n"/>
      <c r="I234" s="122" t="n"/>
      <c r="J234" s="122" t="n"/>
      <c r="K234" s="122" t="n"/>
      <c r="L234" s="122" t="n"/>
      <c r="M234" s="122" t="n"/>
      <c r="N234" s="122" t="n"/>
      <c r="O234" s="122" t="n"/>
      <c r="P234" s="122" t="n"/>
      <c r="Q234" s="443">
        <f>(($E234)-SUM($G36:Q36))</f>
        <v/>
      </c>
      <c r="R234" s="443">
        <f>(($E234)-SUM($G36:R36))</f>
        <v/>
      </c>
      <c r="S234" s="444">
        <f>(($E234)-SUM($G36:S36))</f>
        <v/>
      </c>
      <c r="T234" s="122">
        <f>(($E234)-SUM($G36:T36))</f>
        <v/>
      </c>
      <c r="U234" s="122">
        <f>(($E234)-SUM($G36:U36))</f>
        <v/>
      </c>
      <c r="V234" s="122">
        <f>(($E234)-SUM($G36:V36))</f>
        <v/>
      </c>
      <c r="W234" s="122">
        <f>(($E234)-SUM($G36:W36))</f>
        <v/>
      </c>
      <c r="X234" s="122">
        <f>(($E234)-SUM($G36:X36))</f>
        <v/>
      </c>
      <c r="Y234" s="122">
        <f>(($E234)-SUM($G36:Y36))</f>
        <v/>
      </c>
      <c r="Z234" s="122">
        <f>(($E234)-SUM($G36:Z36))</f>
        <v/>
      </c>
      <c r="AA234" s="122">
        <f>(($E234)-SUM($G36:AA36))</f>
        <v/>
      </c>
      <c r="AB234" s="122">
        <f>(($E234)-SUM($G36:AB36))</f>
        <v/>
      </c>
      <c r="AC234" s="122">
        <f>(($E234)-SUM($G36:AC36))</f>
        <v/>
      </c>
      <c r="AD234" s="122">
        <f>(($E234)-SUM($G36:AD36))</f>
        <v/>
      </c>
      <c r="AE234" s="444">
        <f>(($E234)-SUM($G36:AE36))</f>
        <v/>
      </c>
      <c r="AF234" s="122">
        <f>(($E234)-SUM($G36:AF36))</f>
        <v/>
      </c>
      <c r="AG234" s="122">
        <f>(($E234)-SUM($G36:AG36))</f>
        <v/>
      </c>
      <c r="AH234" s="122">
        <f>(($E234)-SUM($G36:AH36))</f>
        <v/>
      </c>
      <c r="AI234" s="122">
        <f>(($E234)-SUM($G36:AI36))</f>
        <v/>
      </c>
      <c r="AJ234" s="122">
        <f>(($E234)-SUM($G36:AJ36))</f>
        <v/>
      </c>
      <c r="AK234" s="122">
        <f>(($E234)-SUM($G36:AK36))</f>
        <v/>
      </c>
      <c r="AL234" s="122">
        <f>(($E234)-SUM($G36:AL36))</f>
        <v/>
      </c>
      <c r="AM234" s="122">
        <f>(($E234)-SUM($G36:AM36))</f>
        <v/>
      </c>
      <c r="AN234" s="122">
        <f>(($E234)-SUM($G36:AN36))</f>
        <v/>
      </c>
      <c r="AO234" s="122">
        <f>(($E234)-SUM($G36:AO36))</f>
        <v/>
      </c>
      <c r="AP234" s="122">
        <f>(($E234)-SUM($G36:AP36))</f>
        <v/>
      </c>
      <c r="AQ234" s="444">
        <f>(($E234)-SUM($G36:AQ36))</f>
        <v/>
      </c>
      <c r="AR234" s="122">
        <f>(($E234)-SUM($G36:AR36))</f>
        <v/>
      </c>
      <c r="AS234" s="122">
        <f>(($E234)-SUM($G36:AS36))</f>
        <v/>
      </c>
      <c r="AT234" s="122">
        <f>(($E234)-SUM($G36:AT36))</f>
        <v/>
      </c>
      <c r="AU234" s="122">
        <f>(($E234)-SUM($G36:AU36))</f>
        <v/>
      </c>
      <c r="AV234" s="122">
        <f>(($E234)-SUM($G36:AV36))</f>
        <v/>
      </c>
      <c r="AW234" s="122">
        <f>(($E234)-SUM($G36:AW36))</f>
        <v/>
      </c>
      <c r="AX234" s="122">
        <f>(($E234)-SUM($G36:AX36))</f>
        <v/>
      </c>
      <c r="AY234" s="122">
        <f>(($E234)-SUM($G36:AY36))</f>
        <v/>
      </c>
      <c r="AZ234" s="122">
        <f>(($E234)-SUM($G36:AZ36))</f>
        <v/>
      </c>
      <c r="BA234" s="122">
        <f>(($E234)-SUM($G36:BA36))</f>
        <v/>
      </c>
      <c r="BB234" s="122">
        <f>(($E234)-SUM($G36:BB36))</f>
        <v/>
      </c>
      <c r="BC234" s="444">
        <f>(($E234)-SUM($G36:BC36))</f>
        <v/>
      </c>
      <c r="BD234" s="122">
        <f>(($E234)-SUM($G36:BD36))</f>
        <v/>
      </c>
      <c r="BE234" s="122">
        <f>(($E234)-SUM($G36:BE36))</f>
        <v/>
      </c>
      <c r="BF234" s="122">
        <f>(($E234)-SUM($G36:BF36))</f>
        <v/>
      </c>
      <c r="BG234" s="122">
        <f>(($E234)-SUM($G36:BG36))</f>
        <v/>
      </c>
      <c r="BH234" s="122">
        <f>(($E234)-SUM($G36:BH36))</f>
        <v/>
      </c>
      <c r="BI234" s="122">
        <f>(($E234)-SUM($G36:BI36))</f>
        <v/>
      </c>
      <c r="BJ234" s="122">
        <f>(($E234)-SUM($G36:BJ36))</f>
        <v/>
      </c>
      <c r="BK234" s="122">
        <f>(($E234)-SUM($G36:BK36))</f>
        <v/>
      </c>
      <c r="BL234" s="122">
        <f>(($E234)-SUM($G36:BL36))</f>
        <v/>
      </c>
      <c r="BM234" s="122">
        <f>(($E234)-SUM($G36:BM36))</f>
        <v/>
      </c>
      <c r="BN234" s="122">
        <f>(($E234)-SUM($G36:BN36))</f>
        <v/>
      </c>
      <c r="BO234" s="122" t="n"/>
      <c r="BP234" s="122" t="n"/>
      <c r="BQ234" s="122" t="n"/>
      <c r="BR234" s="122" t="n"/>
      <c r="BS234" s="122" t="n"/>
      <c r="BT234" s="122" t="n"/>
      <c r="BU234" s="122" t="n"/>
      <c r="BV234" s="122" t="n"/>
      <c r="BW234" s="122" t="n"/>
      <c r="BX234" s="122" t="n"/>
      <c r="BY234" s="122" t="n"/>
      <c r="BZ234" s="122" t="n"/>
      <c r="CA234" s="122" t="n"/>
      <c r="CB234" s="122" t="n"/>
      <c r="CC234" s="122" t="n"/>
      <c r="CD234" s="123">
        <f>(BN234)</f>
        <v/>
      </c>
      <c r="CE234" s="397">
        <f>(CE36)</f>
        <v/>
      </c>
      <c r="CF234" s="386">
        <f>IF(CD234=CE234,"Y","N")</f>
        <v/>
      </c>
    </row>
    <row r="235" ht="15" customHeight="1" s="1883">
      <c r="D235" s="149" t="inlineStr">
        <is>
          <t>Month 12</t>
        </is>
      </c>
      <c r="E235" s="123">
        <f>(E37)</f>
        <v/>
      </c>
      <c r="F235" s="116" t="n"/>
      <c r="G235" s="122" t="n"/>
      <c r="H235" s="122" t="n"/>
      <c r="I235" s="122" t="n"/>
      <c r="J235" s="122" t="n"/>
      <c r="K235" s="122" t="n"/>
      <c r="L235" s="122" t="n"/>
      <c r="M235" s="122" t="n"/>
      <c r="N235" s="122" t="n"/>
      <c r="O235" s="122" t="n"/>
      <c r="P235" s="122" t="n"/>
      <c r="Q235" s="122" t="n"/>
      <c r="R235" s="443">
        <f>(($E235)-SUM($G37:R37))</f>
        <v/>
      </c>
      <c r="S235" s="453">
        <f>(($E235)-SUM($G37:S37))</f>
        <v/>
      </c>
      <c r="T235" s="122">
        <f>(($E235)-SUM($G37:T37))</f>
        <v/>
      </c>
      <c r="U235" s="122">
        <f>(($E235)-SUM($G37:U37))</f>
        <v/>
      </c>
      <c r="V235" s="122">
        <f>(($E235)-SUM($G37:V37))</f>
        <v/>
      </c>
      <c r="W235" s="122">
        <f>(($E235)-SUM($G37:W37))</f>
        <v/>
      </c>
      <c r="X235" s="122">
        <f>(($E235)-SUM($G37:X37))</f>
        <v/>
      </c>
      <c r="Y235" s="122">
        <f>(($E235)-SUM($G37:Y37))</f>
        <v/>
      </c>
      <c r="Z235" s="122">
        <f>(($E235)-SUM($G37:Z37))</f>
        <v/>
      </c>
      <c r="AA235" s="122">
        <f>(($E235)-SUM($G37:AA37))</f>
        <v/>
      </c>
      <c r="AB235" s="122">
        <f>(($E235)-SUM($G37:AB37))</f>
        <v/>
      </c>
      <c r="AC235" s="122">
        <f>(($E235)-SUM($G37:AC37))</f>
        <v/>
      </c>
      <c r="AD235" s="122">
        <f>(($E235)-SUM($G37:AD37))</f>
        <v/>
      </c>
      <c r="AE235" s="444">
        <f>(($E235)-SUM($G37:AE37))</f>
        <v/>
      </c>
      <c r="AF235" s="122">
        <f>(($E235)-SUM($G37:AF37))</f>
        <v/>
      </c>
      <c r="AG235" s="122">
        <f>(($E235)-SUM($G37:AG37))</f>
        <v/>
      </c>
      <c r="AH235" s="122">
        <f>(($E235)-SUM($G37:AH37))</f>
        <v/>
      </c>
      <c r="AI235" s="122">
        <f>(($E235)-SUM($G37:AI37))</f>
        <v/>
      </c>
      <c r="AJ235" s="122">
        <f>(($E235)-SUM($G37:AJ37))</f>
        <v/>
      </c>
      <c r="AK235" s="122">
        <f>(($E235)-SUM($G37:AK37))</f>
        <v/>
      </c>
      <c r="AL235" s="122">
        <f>(($E235)-SUM($G37:AL37))</f>
        <v/>
      </c>
      <c r="AM235" s="122">
        <f>(($E235)-SUM($G37:AM37))</f>
        <v/>
      </c>
      <c r="AN235" s="122">
        <f>(($E235)-SUM($G37:AN37))</f>
        <v/>
      </c>
      <c r="AO235" s="122">
        <f>(($E235)-SUM($G37:AO37))</f>
        <v/>
      </c>
      <c r="AP235" s="122">
        <f>(($E235)-SUM($G37:AP37))</f>
        <v/>
      </c>
      <c r="AQ235" s="444">
        <f>(($E235)-SUM($G37:AQ37))</f>
        <v/>
      </c>
      <c r="AR235" s="122">
        <f>(($E235)-SUM($G37:AR37))</f>
        <v/>
      </c>
      <c r="AS235" s="122">
        <f>(($E235)-SUM($G37:AS37))</f>
        <v/>
      </c>
      <c r="AT235" s="122">
        <f>(($E235)-SUM($G37:AT37))</f>
        <v/>
      </c>
      <c r="AU235" s="122">
        <f>(($E235)-SUM($G37:AU37))</f>
        <v/>
      </c>
      <c r="AV235" s="122">
        <f>(($E235)-SUM($G37:AV37))</f>
        <v/>
      </c>
      <c r="AW235" s="122">
        <f>(($E235)-SUM($G37:AW37))</f>
        <v/>
      </c>
      <c r="AX235" s="122">
        <f>(($E235)-SUM($G37:AX37))</f>
        <v/>
      </c>
      <c r="AY235" s="122">
        <f>(($E235)-SUM($G37:AY37))</f>
        <v/>
      </c>
      <c r="AZ235" s="122">
        <f>(($E235)-SUM($G37:AZ37))</f>
        <v/>
      </c>
      <c r="BA235" s="122">
        <f>(($E235)-SUM($G37:BA37))</f>
        <v/>
      </c>
      <c r="BB235" s="122">
        <f>(($E235)-SUM($G37:BB37))</f>
        <v/>
      </c>
      <c r="BC235" s="444">
        <f>(($E235)-SUM($G37:BC37))</f>
        <v/>
      </c>
      <c r="BD235" s="122">
        <f>(($E235)-SUM($G37:BD37))</f>
        <v/>
      </c>
      <c r="BE235" s="122">
        <f>(($E235)-SUM($G37:BE37))</f>
        <v/>
      </c>
      <c r="BF235" s="122">
        <f>(($E235)-SUM($G37:BF37))</f>
        <v/>
      </c>
      <c r="BG235" s="122">
        <f>(($E235)-SUM($G37:BG37))</f>
        <v/>
      </c>
      <c r="BH235" s="122">
        <f>(($E235)-SUM($G37:BH37))</f>
        <v/>
      </c>
      <c r="BI235" s="122">
        <f>(($E235)-SUM($G37:BI37))</f>
        <v/>
      </c>
      <c r="BJ235" s="122">
        <f>(($E235)-SUM($G37:BJ37))</f>
        <v/>
      </c>
      <c r="BK235" s="122">
        <f>(($E235)-SUM($G37:BK37))</f>
        <v/>
      </c>
      <c r="BL235" s="122">
        <f>(($E235)-SUM($G37:BL37))</f>
        <v/>
      </c>
      <c r="BM235" s="122">
        <f>(($E235)-SUM($G37:BM37))</f>
        <v/>
      </c>
      <c r="BN235" s="122">
        <f>(($E235)-SUM($G37:BN37))</f>
        <v/>
      </c>
      <c r="BO235" s="122" t="n"/>
      <c r="BP235" s="122" t="n"/>
      <c r="BQ235" s="122" t="n"/>
      <c r="BR235" s="122" t="n"/>
      <c r="BS235" s="122" t="n"/>
      <c r="BT235" s="122" t="n"/>
      <c r="BU235" s="122" t="n"/>
      <c r="BV235" s="122" t="n"/>
      <c r="BW235" s="122" t="n"/>
      <c r="BX235" s="122" t="n"/>
      <c r="BY235" s="122" t="n"/>
      <c r="BZ235" s="122" t="n"/>
      <c r="CA235" s="122" t="n"/>
      <c r="CB235" s="122" t="n"/>
      <c r="CC235" s="122" t="n"/>
      <c r="CD235" s="123">
        <f>(BN235)</f>
        <v/>
      </c>
      <c r="CE235" s="397">
        <f>(CE37)</f>
        <v/>
      </c>
      <c r="CF235" s="386">
        <f>IF(CD235=CE235,"Y","N")</f>
        <v/>
      </c>
    </row>
    <row r="236" ht="15" customHeight="1" s="1883">
      <c r="D236" s="149" t="inlineStr">
        <is>
          <t>Month 13</t>
        </is>
      </c>
      <c r="E236" s="123">
        <f>(E38)</f>
        <v/>
      </c>
      <c r="F236" s="116" t="n"/>
      <c r="G236" s="122" t="n"/>
      <c r="H236" s="122" t="n"/>
      <c r="I236" s="122" t="n"/>
      <c r="J236" s="122" t="n"/>
      <c r="K236" s="122" t="n"/>
      <c r="L236" s="122" t="n"/>
      <c r="M236" s="122" t="n"/>
      <c r="N236" s="122" t="n"/>
      <c r="O236" s="122" t="n"/>
      <c r="P236" s="122" t="n"/>
      <c r="Q236" s="122" t="n"/>
      <c r="R236" s="122" t="n"/>
      <c r="S236" s="453">
        <f>(($E236)-SUM($G38:S38))</f>
        <v/>
      </c>
      <c r="T236" s="443">
        <f>(($E236)-SUM($G38:T38))</f>
        <v/>
      </c>
      <c r="U236" s="122">
        <f>(($E236)-SUM($G38:U38))</f>
        <v/>
      </c>
      <c r="V236" s="122">
        <f>(($E236)-SUM($G38:V38))</f>
        <v/>
      </c>
      <c r="W236" s="122">
        <f>(($E236)-SUM($G38:W38))</f>
        <v/>
      </c>
      <c r="X236" s="122">
        <f>(($E236)-SUM($G38:X38))</f>
        <v/>
      </c>
      <c r="Y236" s="122">
        <f>(($E236)-SUM($G38:Y38))</f>
        <v/>
      </c>
      <c r="Z236" s="122">
        <f>(($E236)-SUM($G38:Z38))</f>
        <v/>
      </c>
      <c r="AA236" s="122">
        <f>(($E236)-SUM($G38:AA38))</f>
        <v/>
      </c>
      <c r="AB236" s="122">
        <f>(($E236)-SUM($G38:AB38))</f>
        <v/>
      </c>
      <c r="AC236" s="122">
        <f>(($E236)-SUM($G38:AC38))</f>
        <v/>
      </c>
      <c r="AD236" s="122">
        <f>(($E236)-SUM($G38:AD38))</f>
        <v/>
      </c>
      <c r="AE236" s="444">
        <f>(($E236)-SUM($G38:AE38))</f>
        <v/>
      </c>
      <c r="AF236" s="122">
        <f>(($E236)-SUM($G38:AF38))</f>
        <v/>
      </c>
      <c r="AG236" s="122">
        <f>(($E236)-SUM($G38:AG38))</f>
        <v/>
      </c>
      <c r="AH236" s="122">
        <f>(($E236)-SUM($G38:AH38))</f>
        <v/>
      </c>
      <c r="AI236" s="122">
        <f>(($E236)-SUM($G38:AI38))</f>
        <v/>
      </c>
      <c r="AJ236" s="122">
        <f>(($E236)-SUM($G38:AJ38))</f>
        <v/>
      </c>
      <c r="AK236" s="122">
        <f>(($E236)-SUM($G38:AK38))</f>
        <v/>
      </c>
      <c r="AL236" s="122">
        <f>(($E236)-SUM($G38:AL38))</f>
        <v/>
      </c>
      <c r="AM236" s="122">
        <f>(($E236)-SUM($G38:AM38))</f>
        <v/>
      </c>
      <c r="AN236" s="122">
        <f>(($E236)-SUM($G38:AN38))</f>
        <v/>
      </c>
      <c r="AO236" s="122">
        <f>(($E236)-SUM($G38:AO38))</f>
        <v/>
      </c>
      <c r="AP236" s="122">
        <f>(($E236)-SUM($G38:AP38))</f>
        <v/>
      </c>
      <c r="AQ236" s="444">
        <f>(($E236)-SUM($G38:AQ38))</f>
        <v/>
      </c>
      <c r="AR236" s="122">
        <f>(($E236)-SUM($G38:AR38))</f>
        <v/>
      </c>
      <c r="AS236" s="122">
        <f>(($E236)-SUM($G38:AS38))</f>
        <v/>
      </c>
      <c r="AT236" s="122">
        <f>(($E236)-SUM($G38:AT38))</f>
        <v/>
      </c>
      <c r="AU236" s="122">
        <f>(($E236)-SUM($G38:AU38))</f>
        <v/>
      </c>
      <c r="AV236" s="122">
        <f>(($E236)-SUM($G38:AV38))</f>
        <v/>
      </c>
      <c r="AW236" s="122">
        <f>(($E236)-SUM($G38:AW38))</f>
        <v/>
      </c>
      <c r="AX236" s="122">
        <f>(($E236)-SUM($G38:AX38))</f>
        <v/>
      </c>
      <c r="AY236" s="122">
        <f>(($E236)-SUM($G38:AY38))</f>
        <v/>
      </c>
      <c r="AZ236" s="122">
        <f>(($E236)-SUM($G38:AZ38))</f>
        <v/>
      </c>
      <c r="BA236" s="122">
        <f>(($E236)-SUM($G38:BA38))</f>
        <v/>
      </c>
      <c r="BB236" s="122">
        <f>(($E236)-SUM($G38:BB38))</f>
        <v/>
      </c>
      <c r="BC236" s="444">
        <f>(($E236)-SUM($G38:BC38))</f>
        <v/>
      </c>
      <c r="BD236" s="122">
        <f>(($E236)-SUM($G38:BD38))</f>
        <v/>
      </c>
      <c r="BE236" s="122">
        <f>(($E236)-SUM($G38:BE38))</f>
        <v/>
      </c>
      <c r="BF236" s="122">
        <f>(($E236)-SUM($G38:BF38))</f>
        <v/>
      </c>
      <c r="BG236" s="122">
        <f>(($E236)-SUM($G38:BG38))</f>
        <v/>
      </c>
      <c r="BH236" s="122">
        <f>(($E236)-SUM($G38:BH38))</f>
        <v/>
      </c>
      <c r="BI236" s="122">
        <f>(($E236)-SUM($G38:BI38))</f>
        <v/>
      </c>
      <c r="BJ236" s="122">
        <f>(($E236)-SUM($G38:BJ38))</f>
        <v/>
      </c>
      <c r="BK236" s="122">
        <f>(($E236)-SUM($G38:BK38))</f>
        <v/>
      </c>
      <c r="BL236" s="122">
        <f>(($E236)-SUM($G38:BL38))</f>
        <v/>
      </c>
      <c r="BM236" s="122">
        <f>(($E236)-SUM($G38:BM38))</f>
        <v/>
      </c>
      <c r="BN236" s="122">
        <f>(($E236)-SUM($G38:BN38))</f>
        <v/>
      </c>
      <c r="BO236" s="122" t="n"/>
      <c r="BP236" s="122" t="n"/>
      <c r="BQ236" s="122" t="n"/>
      <c r="BR236" s="122" t="n"/>
      <c r="BS236" s="122" t="n"/>
      <c r="BT236" s="122" t="n"/>
      <c r="BU236" s="122" t="n"/>
      <c r="BV236" s="122" t="n"/>
      <c r="BW236" s="122" t="n"/>
      <c r="BX236" s="122" t="n"/>
      <c r="BY236" s="122" t="n"/>
      <c r="BZ236" s="122" t="n"/>
      <c r="CA236" s="122" t="n"/>
      <c r="CB236" s="122" t="n"/>
      <c r="CC236" s="122" t="n"/>
      <c r="CD236" s="123">
        <f>(BN236)</f>
        <v/>
      </c>
      <c r="CE236" s="397">
        <f>(CE38)</f>
        <v/>
      </c>
      <c r="CF236" s="386">
        <f>IF(CD236=CE236,"Y","N")</f>
        <v/>
      </c>
    </row>
    <row r="237" ht="15" customHeight="1" s="1883">
      <c r="D237" s="149" t="inlineStr">
        <is>
          <t>Month 14</t>
        </is>
      </c>
      <c r="E237" s="123">
        <f>(E39)</f>
        <v/>
      </c>
      <c r="G237" s="122" t="n"/>
      <c r="H237" s="122" t="n"/>
      <c r="I237" s="122" t="n"/>
      <c r="J237" s="122" t="n"/>
      <c r="K237" s="122" t="n"/>
      <c r="L237" s="122" t="n"/>
      <c r="M237" s="122" t="n"/>
      <c r="N237" s="122" t="n"/>
      <c r="O237" s="122" t="n"/>
      <c r="P237" s="122" t="n"/>
      <c r="Q237" s="122" t="n"/>
      <c r="R237" s="122" t="n"/>
      <c r="S237" s="444" t="n"/>
      <c r="T237" s="443">
        <f>(($E237)-SUM($G39:T39))</f>
        <v/>
      </c>
      <c r="U237" s="443">
        <f>(($E237)-SUM($G39:U39))</f>
        <v/>
      </c>
      <c r="V237" s="122">
        <f>(($E237)-SUM($G39:V39))</f>
        <v/>
      </c>
      <c r="W237" s="122">
        <f>(($E237)-SUM($G39:W39))</f>
        <v/>
      </c>
      <c r="X237" s="122">
        <f>(($E237)-SUM($G39:X39))</f>
        <v/>
      </c>
      <c r="Y237" s="122">
        <f>(($E237)-SUM($G39:Y39))</f>
        <v/>
      </c>
      <c r="Z237" s="122">
        <f>(($E237)-SUM($G39:Z39))</f>
        <v/>
      </c>
      <c r="AA237" s="122">
        <f>(($E237)-SUM($G39:AA39))</f>
        <v/>
      </c>
      <c r="AB237" s="122">
        <f>(($E237)-SUM($G39:AB39))</f>
        <v/>
      </c>
      <c r="AC237" s="122">
        <f>(($E237)-SUM($G39:AC39))</f>
        <v/>
      </c>
      <c r="AD237" s="122">
        <f>(($E237)-SUM($G39:AD39))</f>
        <v/>
      </c>
      <c r="AE237" s="444">
        <f>(($E237)-SUM($G39:AE39))</f>
        <v/>
      </c>
      <c r="AF237" s="122">
        <f>(($E237)-SUM($G39:AF39))</f>
        <v/>
      </c>
      <c r="AG237" s="122">
        <f>(($E237)-SUM($G39:AG39))</f>
        <v/>
      </c>
      <c r="AH237" s="122">
        <f>(($E237)-SUM($G39:AH39))</f>
        <v/>
      </c>
      <c r="AI237" s="122">
        <f>(($E237)-SUM($G39:AI39))</f>
        <v/>
      </c>
      <c r="AJ237" s="122">
        <f>(($E237)-SUM($G39:AJ39))</f>
        <v/>
      </c>
      <c r="AK237" s="122">
        <f>(($E237)-SUM($G39:AK39))</f>
        <v/>
      </c>
      <c r="AL237" s="122">
        <f>(($E237)-SUM($G39:AL39))</f>
        <v/>
      </c>
      <c r="AM237" s="122">
        <f>(($E237)-SUM($G39:AM39))</f>
        <v/>
      </c>
      <c r="AN237" s="122">
        <f>(($E237)-SUM($G39:AN39))</f>
        <v/>
      </c>
      <c r="AO237" s="122">
        <f>(($E237)-SUM($G39:AO39))</f>
        <v/>
      </c>
      <c r="AP237" s="122">
        <f>(($E237)-SUM($G39:AP39))</f>
        <v/>
      </c>
      <c r="AQ237" s="444">
        <f>(($E237)-SUM($G39:AQ39))</f>
        <v/>
      </c>
      <c r="AR237" s="122">
        <f>(($E237)-SUM($G39:AR39))</f>
        <v/>
      </c>
      <c r="AS237" s="122">
        <f>(($E237)-SUM($G39:AS39))</f>
        <v/>
      </c>
      <c r="AT237" s="122">
        <f>(($E237)-SUM($G39:AT39))</f>
        <v/>
      </c>
      <c r="AU237" s="122">
        <f>(($E237)-SUM($G39:AU39))</f>
        <v/>
      </c>
      <c r="AV237" s="122">
        <f>(($E237)-SUM($G39:AV39))</f>
        <v/>
      </c>
      <c r="AW237" s="122">
        <f>(($E237)-SUM($G39:AW39))</f>
        <v/>
      </c>
      <c r="AX237" s="122">
        <f>(($E237)-SUM($G39:AX39))</f>
        <v/>
      </c>
      <c r="AY237" s="122">
        <f>(($E237)-SUM($G39:AY39))</f>
        <v/>
      </c>
      <c r="AZ237" s="122">
        <f>(($E237)-SUM($G39:AZ39))</f>
        <v/>
      </c>
      <c r="BA237" s="122">
        <f>(($E237)-SUM($G39:BA39))</f>
        <v/>
      </c>
      <c r="BB237" s="122">
        <f>(($E237)-SUM($G39:BB39))</f>
        <v/>
      </c>
      <c r="BC237" s="444">
        <f>(($E237)-SUM($G39:BC39))</f>
        <v/>
      </c>
      <c r="BD237" s="122">
        <f>(($E237)-SUM($G39:BD39))</f>
        <v/>
      </c>
      <c r="BE237" s="122">
        <f>(($E237)-SUM($G39:BE39))</f>
        <v/>
      </c>
      <c r="BF237" s="122">
        <f>(($E237)-SUM($G39:BF39))</f>
        <v/>
      </c>
      <c r="BG237" s="122">
        <f>(($E237)-SUM($G39:BG39))</f>
        <v/>
      </c>
      <c r="BH237" s="122">
        <f>(($E237)-SUM($G39:BH39))</f>
        <v/>
      </c>
      <c r="BI237" s="122">
        <f>(($E237)-SUM($G39:BI39))</f>
        <v/>
      </c>
      <c r="BJ237" s="122">
        <f>(($E237)-SUM($G39:BJ39))</f>
        <v/>
      </c>
      <c r="BK237" s="122">
        <f>(($E237)-SUM($G39:BK39))</f>
        <v/>
      </c>
      <c r="BL237" s="122">
        <f>(($E237)-SUM($G39:BL39))</f>
        <v/>
      </c>
      <c r="BM237" s="122">
        <f>(($E237)-SUM($G39:BM39))</f>
        <v/>
      </c>
      <c r="BN237" s="122">
        <f>(($E237)-SUM($G39:BN39))</f>
        <v/>
      </c>
      <c r="BO237" s="122" t="n"/>
      <c r="BP237" s="122" t="n"/>
      <c r="BQ237" s="122" t="n"/>
      <c r="BR237" s="122" t="n"/>
      <c r="BS237" s="122" t="n"/>
      <c r="BT237" s="122" t="n"/>
      <c r="BU237" s="122" t="n"/>
      <c r="BV237" s="122" t="n"/>
      <c r="BW237" s="122" t="n"/>
      <c r="BX237" s="122" t="n"/>
      <c r="BY237" s="122" t="n"/>
      <c r="BZ237" s="122" t="n"/>
      <c r="CA237" s="504" t="n"/>
      <c r="CB237" s="504" t="n"/>
      <c r="CC237" s="504" t="n"/>
      <c r="CD237" s="123">
        <f>(BN237)</f>
        <v/>
      </c>
      <c r="CE237" s="397">
        <f>(CE39)</f>
        <v/>
      </c>
      <c r="CF237" s="386">
        <f>IF(CD237=CE237,"Y","N")</f>
        <v/>
      </c>
    </row>
    <row r="238" ht="15" customHeight="1" s="1883">
      <c r="D238" s="149" t="inlineStr">
        <is>
          <t>Month 15</t>
        </is>
      </c>
      <c r="E238" s="123">
        <f>(E40)</f>
        <v/>
      </c>
      <c r="G238" s="122" t="n"/>
      <c r="H238" s="122" t="n"/>
      <c r="I238" s="122" t="n"/>
      <c r="J238" s="122" t="n"/>
      <c r="K238" s="122" t="n"/>
      <c r="L238" s="122" t="n"/>
      <c r="M238" s="122" t="n"/>
      <c r="N238" s="122" t="n"/>
      <c r="O238" s="122" t="n"/>
      <c r="P238" s="122" t="n"/>
      <c r="Q238" s="122" t="n"/>
      <c r="R238" s="122" t="n"/>
      <c r="S238" s="444" t="n"/>
      <c r="T238" s="122" t="n"/>
      <c r="U238" s="443">
        <f>(($E238)-SUM($G40:U40))</f>
        <v/>
      </c>
      <c r="V238" s="443">
        <f>(($E238)-SUM($G40:V40))</f>
        <v/>
      </c>
      <c r="W238" s="122">
        <f>(($E238)-SUM($G40:W40))</f>
        <v/>
      </c>
      <c r="X238" s="122">
        <f>(($E238)-SUM($G40:X40))</f>
        <v/>
      </c>
      <c r="Y238" s="122">
        <f>(($E238)-SUM($G40:Y40))</f>
        <v/>
      </c>
      <c r="Z238" s="122">
        <f>(($E238)-SUM($G40:Z40))</f>
        <v/>
      </c>
      <c r="AA238" s="122">
        <f>(($E238)-SUM($G40:AA40))</f>
        <v/>
      </c>
      <c r="AB238" s="122">
        <f>(($E238)-SUM($G40:AB40))</f>
        <v/>
      </c>
      <c r="AC238" s="122">
        <f>(($E238)-SUM($G40:AC40))</f>
        <v/>
      </c>
      <c r="AD238" s="122">
        <f>(($E238)-SUM($G40:AD40))</f>
        <v/>
      </c>
      <c r="AE238" s="444">
        <f>(($E238)-SUM($G40:AE40))</f>
        <v/>
      </c>
      <c r="AF238" s="122">
        <f>(($E238)-SUM($G40:AF40))</f>
        <v/>
      </c>
      <c r="AG238" s="122">
        <f>(($E238)-SUM($G40:AG40))</f>
        <v/>
      </c>
      <c r="AH238" s="122">
        <f>(($E238)-SUM($G40:AH40))</f>
        <v/>
      </c>
      <c r="AI238" s="122">
        <f>(($E238)-SUM($G40:AI40))</f>
        <v/>
      </c>
      <c r="AJ238" s="122">
        <f>(($E238)-SUM($G40:AJ40))</f>
        <v/>
      </c>
      <c r="AK238" s="122">
        <f>(($E238)-SUM($G40:AK40))</f>
        <v/>
      </c>
      <c r="AL238" s="122">
        <f>(($E238)-SUM($G40:AL40))</f>
        <v/>
      </c>
      <c r="AM238" s="122">
        <f>(($E238)-SUM($G40:AM40))</f>
        <v/>
      </c>
      <c r="AN238" s="122">
        <f>(($E238)-SUM($G40:AN40))</f>
        <v/>
      </c>
      <c r="AO238" s="122">
        <f>(($E238)-SUM($G40:AO40))</f>
        <v/>
      </c>
      <c r="AP238" s="122">
        <f>(($E238)-SUM($G40:AP40))</f>
        <v/>
      </c>
      <c r="AQ238" s="444">
        <f>(($E238)-SUM($G40:AQ40))</f>
        <v/>
      </c>
      <c r="AR238" s="122">
        <f>(($E238)-SUM($G40:AR40))</f>
        <v/>
      </c>
      <c r="AS238" s="122">
        <f>(($E238)-SUM($G40:AS40))</f>
        <v/>
      </c>
      <c r="AT238" s="122">
        <f>(($E238)-SUM($G40:AT40))</f>
        <v/>
      </c>
      <c r="AU238" s="122">
        <f>(($E238)-SUM($G40:AU40))</f>
        <v/>
      </c>
      <c r="AV238" s="122">
        <f>(($E238)-SUM($G40:AV40))</f>
        <v/>
      </c>
      <c r="AW238" s="122">
        <f>(($E238)-SUM($G40:AW40))</f>
        <v/>
      </c>
      <c r="AX238" s="122">
        <f>(($E238)-SUM($G40:AX40))</f>
        <v/>
      </c>
      <c r="AY238" s="122">
        <f>(($E238)-SUM($G40:AY40))</f>
        <v/>
      </c>
      <c r="AZ238" s="122">
        <f>(($E238)-SUM($G40:AZ40))</f>
        <v/>
      </c>
      <c r="BA238" s="122">
        <f>(($E238)-SUM($G40:BA40))</f>
        <v/>
      </c>
      <c r="BB238" s="122">
        <f>(($E238)-SUM($G40:BB40))</f>
        <v/>
      </c>
      <c r="BC238" s="444">
        <f>(($E238)-SUM($G40:BC40))</f>
        <v/>
      </c>
      <c r="BD238" s="122">
        <f>(($E238)-SUM($G40:BD40))</f>
        <v/>
      </c>
      <c r="BE238" s="122">
        <f>(($E238)-SUM($G40:BE40))</f>
        <v/>
      </c>
      <c r="BF238" s="122">
        <f>(($E238)-SUM($G40:BF40))</f>
        <v/>
      </c>
      <c r="BG238" s="122">
        <f>(($E238)-SUM($G40:BG40))</f>
        <v/>
      </c>
      <c r="BH238" s="122">
        <f>(($E238)-SUM($G40:BH40))</f>
        <v/>
      </c>
      <c r="BI238" s="122">
        <f>(($E238)-SUM($G40:BI40))</f>
        <v/>
      </c>
      <c r="BJ238" s="122">
        <f>(($E238)-SUM($G40:BJ40))</f>
        <v/>
      </c>
      <c r="BK238" s="122">
        <f>(($E238)-SUM($G40:BK40))</f>
        <v/>
      </c>
      <c r="BL238" s="122">
        <f>(($E238)-SUM($G40:BL40))</f>
        <v/>
      </c>
      <c r="BM238" s="122">
        <f>(($E238)-SUM($G40:BM40))</f>
        <v/>
      </c>
      <c r="BN238" s="122">
        <f>(($E238)-SUM($G40:BN40))</f>
        <v/>
      </c>
      <c r="BO238" s="122" t="n"/>
      <c r="BP238" s="122" t="n"/>
      <c r="BQ238" s="122" t="n"/>
      <c r="BR238" s="122" t="n"/>
      <c r="BS238" s="122" t="n"/>
      <c r="BT238" s="122" t="n"/>
      <c r="BU238" s="122" t="n"/>
      <c r="BV238" s="122" t="n"/>
      <c r="BW238" s="122" t="n"/>
      <c r="BX238" s="122" t="n"/>
      <c r="BY238" s="122" t="n"/>
      <c r="BZ238" s="122" t="n"/>
      <c r="CA238" s="504" t="n"/>
      <c r="CB238" s="504" t="n"/>
      <c r="CC238" s="504" t="n"/>
      <c r="CD238" s="123">
        <f>(BN238)</f>
        <v/>
      </c>
      <c r="CE238" s="397">
        <f>(CE40)</f>
        <v/>
      </c>
      <c r="CF238" s="386">
        <f>IF(CD238=CE238,"Y","N")</f>
        <v/>
      </c>
    </row>
    <row r="239" ht="15" customHeight="1" s="1883">
      <c r="D239" s="149" t="inlineStr">
        <is>
          <t>Month 16</t>
        </is>
      </c>
      <c r="E239" s="123">
        <f>(E41)</f>
        <v/>
      </c>
      <c r="G239" s="122" t="n"/>
      <c r="H239" s="122" t="n"/>
      <c r="I239" s="122" t="n"/>
      <c r="J239" s="122" t="n"/>
      <c r="K239" s="122" t="n"/>
      <c r="L239" s="122" t="n"/>
      <c r="M239" s="122" t="n"/>
      <c r="N239" s="122" t="n"/>
      <c r="O239" s="122" t="n"/>
      <c r="P239" s="122" t="n"/>
      <c r="Q239" s="122" t="n"/>
      <c r="R239" s="122" t="n"/>
      <c r="S239" s="444" t="n"/>
      <c r="T239" s="122" t="n"/>
      <c r="U239" s="122" t="n"/>
      <c r="V239" s="443">
        <f>(($E239)-SUM($G41:V41))</f>
        <v/>
      </c>
      <c r="W239" s="443">
        <f>(($E239)-SUM($G41:W41))</f>
        <v/>
      </c>
      <c r="X239" s="122">
        <f>(($E239)-SUM($G41:X41))</f>
        <v/>
      </c>
      <c r="Y239" s="122">
        <f>(($E239)-SUM($G41:Y41))</f>
        <v/>
      </c>
      <c r="Z239" s="122">
        <f>(($E239)-SUM($G41:Z41))</f>
        <v/>
      </c>
      <c r="AA239" s="122">
        <f>(($E239)-SUM($G41:AA41))</f>
        <v/>
      </c>
      <c r="AB239" s="122">
        <f>(($E239)-SUM($G41:AB41))</f>
        <v/>
      </c>
      <c r="AC239" s="122">
        <f>(($E239)-SUM($G41:AC41))</f>
        <v/>
      </c>
      <c r="AD239" s="122">
        <f>(($E239)-SUM($G41:AD41))</f>
        <v/>
      </c>
      <c r="AE239" s="444">
        <f>(($E239)-SUM($G41:AE41))</f>
        <v/>
      </c>
      <c r="AF239" s="122">
        <f>(($E239)-SUM($G41:AF41))</f>
        <v/>
      </c>
      <c r="AG239" s="122">
        <f>(($E239)-SUM($G41:AG41))</f>
        <v/>
      </c>
      <c r="AH239" s="122">
        <f>(($E239)-SUM($G41:AH41))</f>
        <v/>
      </c>
      <c r="AI239" s="122">
        <f>(($E239)-SUM($G41:AI41))</f>
        <v/>
      </c>
      <c r="AJ239" s="122">
        <f>(($E239)-SUM($G41:AJ41))</f>
        <v/>
      </c>
      <c r="AK239" s="122">
        <f>(($E239)-SUM($G41:AK41))</f>
        <v/>
      </c>
      <c r="AL239" s="122">
        <f>(($E239)-SUM($G41:AL41))</f>
        <v/>
      </c>
      <c r="AM239" s="122">
        <f>(($E239)-SUM($G41:AM41))</f>
        <v/>
      </c>
      <c r="AN239" s="122">
        <f>(($E239)-SUM($G41:AN41))</f>
        <v/>
      </c>
      <c r="AO239" s="122">
        <f>(($E239)-SUM($G41:AO41))</f>
        <v/>
      </c>
      <c r="AP239" s="122">
        <f>(($E239)-SUM($G41:AP41))</f>
        <v/>
      </c>
      <c r="AQ239" s="444">
        <f>(($E239)-SUM($G41:AQ41))</f>
        <v/>
      </c>
      <c r="AR239" s="122">
        <f>(($E239)-SUM($G41:AR41))</f>
        <v/>
      </c>
      <c r="AS239" s="122">
        <f>(($E239)-SUM($G41:AS41))</f>
        <v/>
      </c>
      <c r="AT239" s="122">
        <f>(($E239)-SUM($G41:AT41))</f>
        <v/>
      </c>
      <c r="AU239" s="122">
        <f>(($E239)-SUM($G41:AU41))</f>
        <v/>
      </c>
      <c r="AV239" s="122">
        <f>(($E239)-SUM($G41:AV41))</f>
        <v/>
      </c>
      <c r="AW239" s="122">
        <f>(($E239)-SUM($G41:AW41))</f>
        <v/>
      </c>
      <c r="AX239" s="122">
        <f>(($E239)-SUM($G41:AX41))</f>
        <v/>
      </c>
      <c r="AY239" s="122">
        <f>(($E239)-SUM($G41:AY41))</f>
        <v/>
      </c>
      <c r="AZ239" s="122">
        <f>(($E239)-SUM($G41:AZ41))</f>
        <v/>
      </c>
      <c r="BA239" s="122">
        <f>(($E239)-SUM($G41:BA41))</f>
        <v/>
      </c>
      <c r="BB239" s="122">
        <f>(($E239)-SUM($G41:BB41))</f>
        <v/>
      </c>
      <c r="BC239" s="444">
        <f>(($E239)-SUM($G41:BC41))</f>
        <v/>
      </c>
      <c r="BD239" s="122">
        <f>(($E239)-SUM($G41:BD41))</f>
        <v/>
      </c>
      <c r="BE239" s="122">
        <f>(($E239)-SUM($G41:BE41))</f>
        <v/>
      </c>
      <c r="BF239" s="122">
        <f>(($E239)-SUM($G41:BF41))</f>
        <v/>
      </c>
      <c r="BG239" s="122">
        <f>(($E239)-SUM($G41:BG41))</f>
        <v/>
      </c>
      <c r="BH239" s="122">
        <f>(($E239)-SUM($G41:BH41))</f>
        <v/>
      </c>
      <c r="BI239" s="122">
        <f>(($E239)-SUM($G41:BI41))</f>
        <v/>
      </c>
      <c r="BJ239" s="122">
        <f>(($E239)-SUM($G41:BJ41))</f>
        <v/>
      </c>
      <c r="BK239" s="122">
        <f>(($E239)-SUM($G41:BK41))</f>
        <v/>
      </c>
      <c r="BL239" s="122">
        <f>(($E239)-SUM($G41:BL41))</f>
        <v/>
      </c>
      <c r="BM239" s="122">
        <f>(($E239)-SUM($G41:BM41))</f>
        <v/>
      </c>
      <c r="BN239" s="122">
        <f>(($E239)-SUM($G41:BN41))</f>
        <v/>
      </c>
      <c r="BO239" s="122" t="n"/>
      <c r="BP239" s="122" t="n"/>
      <c r="BQ239" s="122" t="n"/>
      <c r="BR239" s="122" t="n"/>
      <c r="BS239" s="122" t="n"/>
      <c r="BT239" s="122" t="n"/>
      <c r="BU239" s="122" t="n"/>
      <c r="BV239" s="122" t="n"/>
      <c r="BW239" s="122" t="n"/>
      <c r="BX239" s="122" t="n"/>
      <c r="BY239" s="122" t="n"/>
      <c r="BZ239" s="122" t="n"/>
      <c r="CA239" s="504" t="n"/>
      <c r="CB239" s="504" t="n"/>
      <c r="CC239" s="504" t="n"/>
      <c r="CD239" s="123">
        <f>(BN239)</f>
        <v/>
      </c>
      <c r="CE239" s="397">
        <f>(CE41)</f>
        <v/>
      </c>
      <c r="CF239" s="386">
        <f>IF(CD239=CE239,"Y","N")</f>
        <v/>
      </c>
    </row>
    <row r="240" ht="15" customHeight="1" s="1883">
      <c r="D240" s="149" t="inlineStr">
        <is>
          <t>Month 17</t>
        </is>
      </c>
      <c r="E240" s="123">
        <f>(E42)</f>
        <v/>
      </c>
      <c r="G240" s="122" t="n"/>
      <c r="H240" s="122" t="n"/>
      <c r="I240" s="122" t="n"/>
      <c r="J240" s="122" t="n"/>
      <c r="K240" s="122" t="n"/>
      <c r="L240" s="122" t="n"/>
      <c r="M240" s="122" t="n"/>
      <c r="N240" s="122" t="n"/>
      <c r="O240" s="122" t="n"/>
      <c r="P240" s="122" t="n"/>
      <c r="Q240" s="122" t="n"/>
      <c r="R240" s="122" t="n"/>
      <c r="S240" s="444" t="n"/>
      <c r="T240" s="122" t="n"/>
      <c r="U240" s="122" t="n"/>
      <c r="V240" s="122" t="n"/>
      <c r="W240" s="443">
        <f>(($E240)-SUM($G42:W42))</f>
        <v/>
      </c>
      <c r="X240" s="443">
        <f>(($E240)-SUM($G42:X42))</f>
        <v/>
      </c>
      <c r="Y240" s="122">
        <f>(($E240)-SUM($G42:Y42))</f>
        <v/>
      </c>
      <c r="Z240" s="122">
        <f>(($E240)-SUM($G42:Z42))</f>
        <v/>
      </c>
      <c r="AA240" s="122">
        <f>(($E240)-SUM($G42:AA42))</f>
        <v/>
      </c>
      <c r="AB240" s="122">
        <f>(($E240)-SUM($G42:AB42))</f>
        <v/>
      </c>
      <c r="AC240" s="122">
        <f>(($E240)-SUM($G42:AC42))</f>
        <v/>
      </c>
      <c r="AD240" s="122">
        <f>(($E240)-SUM($G42:AD42))</f>
        <v/>
      </c>
      <c r="AE240" s="444">
        <f>(($E240)-SUM($G42:AE42))</f>
        <v/>
      </c>
      <c r="AF240" s="122">
        <f>(($E240)-SUM($G42:AF42))</f>
        <v/>
      </c>
      <c r="AG240" s="122">
        <f>(($E240)-SUM($G42:AG42))</f>
        <v/>
      </c>
      <c r="AH240" s="122">
        <f>(($E240)-SUM($G42:AH42))</f>
        <v/>
      </c>
      <c r="AI240" s="122">
        <f>(($E240)-SUM($G42:AI42))</f>
        <v/>
      </c>
      <c r="AJ240" s="122">
        <f>(($E240)-SUM($G42:AJ42))</f>
        <v/>
      </c>
      <c r="AK240" s="122">
        <f>(($E240)-SUM($G42:AK42))</f>
        <v/>
      </c>
      <c r="AL240" s="122">
        <f>(($E240)-SUM($G42:AL42))</f>
        <v/>
      </c>
      <c r="AM240" s="122">
        <f>(($E240)-SUM($G42:AM42))</f>
        <v/>
      </c>
      <c r="AN240" s="122">
        <f>(($E240)-SUM($G42:AN42))</f>
        <v/>
      </c>
      <c r="AO240" s="122">
        <f>(($E240)-SUM($G42:AO42))</f>
        <v/>
      </c>
      <c r="AP240" s="122">
        <f>(($E240)-SUM($G42:AP42))</f>
        <v/>
      </c>
      <c r="AQ240" s="444">
        <f>(($E240)-SUM($G42:AQ42))</f>
        <v/>
      </c>
      <c r="AR240" s="122">
        <f>(($E240)-SUM($G42:AR42))</f>
        <v/>
      </c>
      <c r="AS240" s="122">
        <f>(($E240)-SUM($G42:AS42))</f>
        <v/>
      </c>
      <c r="AT240" s="122">
        <f>(($E240)-SUM($G42:AT42))</f>
        <v/>
      </c>
      <c r="AU240" s="122">
        <f>(($E240)-SUM($G42:AU42))</f>
        <v/>
      </c>
      <c r="AV240" s="122">
        <f>(($E240)-SUM($G42:AV42))</f>
        <v/>
      </c>
      <c r="AW240" s="122">
        <f>(($E240)-SUM($G42:AW42))</f>
        <v/>
      </c>
      <c r="AX240" s="122">
        <f>(($E240)-SUM($G42:AX42))</f>
        <v/>
      </c>
      <c r="AY240" s="122">
        <f>(($E240)-SUM($G42:AY42))</f>
        <v/>
      </c>
      <c r="AZ240" s="122">
        <f>(($E240)-SUM($G42:AZ42))</f>
        <v/>
      </c>
      <c r="BA240" s="122">
        <f>(($E240)-SUM($G42:BA42))</f>
        <v/>
      </c>
      <c r="BB240" s="122">
        <f>(($E240)-SUM($G42:BB42))</f>
        <v/>
      </c>
      <c r="BC240" s="444">
        <f>(($E240)-SUM($G42:BC42))</f>
        <v/>
      </c>
      <c r="BD240" s="122">
        <f>(($E240)-SUM($G42:BD42))</f>
        <v/>
      </c>
      <c r="BE240" s="122">
        <f>(($E240)-SUM($G42:BE42))</f>
        <v/>
      </c>
      <c r="BF240" s="122">
        <f>(($E240)-SUM($G42:BF42))</f>
        <v/>
      </c>
      <c r="BG240" s="122">
        <f>(($E240)-SUM($G42:BG42))</f>
        <v/>
      </c>
      <c r="BH240" s="122">
        <f>(($E240)-SUM($G42:BH42))</f>
        <v/>
      </c>
      <c r="BI240" s="122">
        <f>(($E240)-SUM($G42:BI42))</f>
        <v/>
      </c>
      <c r="BJ240" s="122">
        <f>(($E240)-SUM($G42:BJ42))</f>
        <v/>
      </c>
      <c r="BK240" s="122">
        <f>(($E240)-SUM($G42:BK42))</f>
        <v/>
      </c>
      <c r="BL240" s="122">
        <f>(($E240)-SUM($G42:BL42))</f>
        <v/>
      </c>
      <c r="BM240" s="122">
        <f>(($E240)-SUM($G42:BM42))</f>
        <v/>
      </c>
      <c r="BN240" s="122">
        <f>(($E240)-SUM($G42:BN42))</f>
        <v/>
      </c>
      <c r="BO240" s="122" t="n"/>
      <c r="BP240" s="122" t="n"/>
      <c r="BQ240" s="122" t="n"/>
      <c r="BR240" s="122" t="n"/>
      <c r="BS240" s="122" t="n"/>
      <c r="BT240" s="122" t="n"/>
      <c r="BU240" s="122" t="n"/>
      <c r="BV240" s="122" t="n"/>
      <c r="BW240" s="122" t="n"/>
      <c r="BX240" s="122" t="n"/>
      <c r="BY240" s="122" t="n"/>
      <c r="BZ240" s="122" t="n"/>
      <c r="CA240" s="504" t="n"/>
      <c r="CB240" s="504" t="n"/>
      <c r="CC240" s="504" t="n"/>
      <c r="CD240" s="123">
        <f>(BN240)</f>
        <v/>
      </c>
      <c r="CE240" s="397">
        <f>(CE42)</f>
        <v/>
      </c>
      <c r="CF240" s="386">
        <f>IF(CD240=CE240,"Y","N")</f>
        <v/>
      </c>
    </row>
    <row r="241" ht="15" customHeight="1" s="1883">
      <c r="D241" s="149" t="inlineStr">
        <is>
          <t>Month 18</t>
        </is>
      </c>
      <c r="E241" s="123">
        <f>(E43)</f>
        <v/>
      </c>
      <c r="G241" s="122" t="n"/>
      <c r="H241" s="122" t="n"/>
      <c r="I241" s="122" t="n"/>
      <c r="J241" s="122" t="n"/>
      <c r="K241" s="122" t="n"/>
      <c r="L241" s="122" t="n"/>
      <c r="M241" s="122" t="n"/>
      <c r="N241" s="122" t="n"/>
      <c r="O241" s="122" t="n"/>
      <c r="P241" s="122" t="n"/>
      <c r="Q241" s="122" t="n"/>
      <c r="R241" s="122" t="n"/>
      <c r="S241" s="444" t="n"/>
      <c r="T241" s="122" t="n"/>
      <c r="U241" s="122" t="n"/>
      <c r="V241" s="122" t="n"/>
      <c r="W241" s="122" t="n"/>
      <c r="X241" s="443">
        <f>(($E241)-SUM($G43:X43))</f>
        <v/>
      </c>
      <c r="Y241" s="443">
        <f>(($E241)-SUM($G43:Y43))</f>
        <v/>
      </c>
      <c r="Z241" s="122">
        <f>(($E241)-SUM($G43:Z43))</f>
        <v/>
      </c>
      <c r="AA241" s="122">
        <f>(($E241)-SUM($G43:AA43))</f>
        <v/>
      </c>
      <c r="AB241" s="122">
        <f>(($E241)-SUM($G43:AB43))</f>
        <v/>
      </c>
      <c r="AC241" s="122">
        <f>(($E241)-SUM($G43:AC43))</f>
        <v/>
      </c>
      <c r="AD241" s="122">
        <f>(($E241)-SUM($G43:AD43))</f>
        <v/>
      </c>
      <c r="AE241" s="444">
        <f>(($E241)-SUM($G43:AE43))</f>
        <v/>
      </c>
      <c r="AF241" s="122">
        <f>(($E241)-SUM($G43:AF43))</f>
        <v/>
      </c>
      <c r="AG241" s="122">
        <f>(($E241)-SUM($G43:AG43))</f>
        <v/>
      </c>
      <c r="AH241" s="122">
        <f>(($E241)-SUM($G43:AH43))</f>
        <v/>
      </c>
      <c r="AI241" s="122">
        <f>(($E241)-SUM($G43:AI43))</f>
        <v/>
      </c>
      <c r="AJ241" s="122">
        <f>(($E241)-SUM($G43:AJ43))</f>
        <v/>
      </c>
      <c r="AK241" s="122">
        <f>(($E241)-SUM($G43:AK43))</f>
        <v/>
      </c>
      <c r="AL241" s="122">
        <f>(($E241)-SUM($G43:AL43))</f>
        <v/>
      </c>
      <c r="AM241" s="122">
        <f>(($E241)-SUM($G43:AM43))</f>
        <v/>
      </c>
      <c r="AN241" s="122">
        <f>(($E241)-SUM($G43:AN43))</f>
        <v/>
      </c>
      <c r="AO241" s="122">
        <f>(($E241)-SUM($G43:AO43))</f>
        <v/>
      </c>
      <c r="AP241" s="122">
        <f>(($E241)-SUM($G43:AP43))</f>
        <v/>
      </c>
      <c r="AQ241" s="444">
        <f>(($E241)-SUM($G43:AQ43))</f>
        <v/>
      </c>
      <c r="AR241" s="122">
        <f>(($E241)-SUM($G43:AR43))</f>
        <v/>
      </c>
      <c r="AS241" s="122">
        <f>(($E241)-SUM($G43:AS43))</f>
        <v/>
      </c>
      <c r="AT241" s="122">
        <f>(($E241)-SUM($G43:AT43))</f>
        <v/>
      </c>
      <c r="AU241" s="122">
        <f>(($E241)-SUM($G43:AU43))</f>
        <v/>
      </c>
      <c r="AV241" s="122">
        <f>(($E241)-SUM($G43:AV43))</f>
        <v/>
      </c>
      <c r="AW241" s="122">
        <f>(($E241)-SUM($G43:AW43))</f>
        <v/>
      </c>
      <c r="AX241" s="122">
        <f>(($E241)-SUM($G43:AX43))</f>
        <v/>
      </c>
      <c r="AY241" s="122">
        <f>(($E241)-SUM($G43:AY43))</f>
        <v/>
      </c>
      <c r="AZ241" s="122">
        <f>(($E241)-SUM($G43:AZ43))</f>
        <v/>
      </c>
      <c r="BA241" s="122">
        <f>(($E241)-SUM($G43:BA43))</f>
        <v/>
      </c>
      <c r="BB241" s="122">
        <f>(($E241)-SUM($G43:BB43))</f>
        <v/>
      </c>
      <c r="BC241" s="444">
        <f>(($E241)-SUM($G43:BC43))</f>
        <v/>
      </c>
      <c r="BD241" s="122">
        <f>(($E241)-SUM($G43:BD43))</f>
        <v/>
      </c>
      <c r="BE241" s="122">
        <f>(($E241)-SUM($G43:BE43))</f>
        <v/>
      </c>
      <c r="BF241" s="122">
        <f>(($E241)-SUM($G43:BF43))</f>
        <v/>
      </c>
      <c r="BG241" s="122">
        <f>(($E241)-SUM($G43:BG43))</f>
        <v/>
      </c>
      <c r="BH241" s="122">
        <f>(($E241)-SUM($G43:BH43))</f>
        <v/>
      </c>
      <c r="BI241" s="122">
        <f>(($E241)-SUM($G43:BI43))</f>
        <v/>
      </c>
      <c r="BJ241" s="122">
        <f>(($E241)-SUM($G43:BJ43))</f>
        <v/>
      </c>
      <c r="BK241" s="122">
        <f>(($E241)-SUM($G43:BK43))</f>
        <v/>
      </c>
      <c r="BL241" s="122">
        <f>(($E241)-SUM($G43:BL43))</f>
        <v/>
      </c>
      <c r="BM241" s="122">
        <f>(($E241)-SUM($G43:BM43))</f>
        <v/>
      </c>
      <c r="BN241" s="122">
        <f>(($E241)-SUM($G43:BN43))</f>
        <v/>
      </c>
      <c r="BO241" s="122" t="n"/>
      <c r="BP241" s="122" t="n"/>
      <c r="BQ241" s="122" t="n"/>
      <c r="BR241" s="122" t="n"/>
      <c r="BS241" s="122" t="n"/>
      <c r="BT241" s="122" t="n"/>
      <c r="BU241" s="122" t="n"/>
      <c r="BV241" s="122" t="n"/>
      <c r="BW241" s="122" t="n"/>
      <c r="BX241" s="122" t="n"/>
      <c r="BY241" s="122" t="n"/>
      <c r="BZ241" s="122" t="n"/>
      <c r="CA241" s="504" t="n"/>
      <c r="CB241" s="504" t="n"/>
      <c r="CC241" s="504" t="n"/>
      <c r="CD241" s="123">
        <f>(BN241)</f>
        <v/>
      </c>
      <c r="CE241" s="397">
        <f>(CE43)</f>
        <v/>
      </c>
      <c r="CF241" s="386">
        <f>IF(CD241=CE241,"Y","N")</f>
        <v/>
      </c>
    </row>
    <row r="242" ht="15" customHeight="1" s="1883">
      <c r="D242" s="149" t="inlineStr">
        <is>
          <t>Month 19</t>
        </is>
      </c>
      <c r="E242" s="123">
        <f>(E44)</f>
        <v/>
      </c>
      <c r="G242" s="122" t="n"/>
      <c r="H242" s="122" t="n"/>
      <c r="I242" s="122" t="n"/>
      <c r="J242" s="122" t="n"/>
      <c r="K242" s="122" t="n"/>
      <c r="L242" s="122" t="n"/>
      <c r="M242" s="122" t="n"/>
      <c r="N242" s="122" t="n"/>
      <c r="O242" s="122" t="n"/>
      <c r="P242" s="122" t="n"/>
      <c r="Q242" s="122" t="n"/>
      <c r="R242" s="122" t="n"/>
      <c r="S242" s="444" t="n"/>
      <c r="T242" s="122" t="n"/>
      <c r="U242" s="122" t="n"/>
      <c r="V242" s="122" t="n"/>
      <c r="W242" s="122" t="n"/>
      <c r="X242" s="122" t="n"/>
      <c r="Y242" s="443">
        <f>(($E242)-SUM($G44:Y44))</f>
        <v/>
      </c>
      <c r="Z242" s="443">
        <f>(($E242)-SUM($G44:Z44))</f>
        <v/>
      </c>
      <c r="AA242" s="122">
        <f>(($E242)-SUM($G44:AA44))</f>
        <v/>
      </c>
      <c r="AB242" s="122">
        <f>(($E242)-SUM($G44:AB44))</f>
        <v/>
      </c>
      <c r="AC242" s="122">
        <f>(($E242)-SUM($G44:AC44))</f>
        <v/>
      </c>
      <c r="AD242" s="122">
        <f>(($E242)-SUM($G44:AD44))</f>
        <v/>
      </c>
      <c r="AE242" s="444">
        <f>(($E242)-SUM($G44:AE44))</f>
        <v/>
      </c>
      <c r="AF242" s="122">
        <f>(($E242)-SUM($G44:AF44))</f>
        <v/>
      </c>
      <c r="AG242" s="122">
        <f>(($E242)-SUM($G44:AG44))</f>
        <v/>
      </c>
      <c r="AH242" s="122">
        <f>(($E242)-SUM($G44:AH44))</f>
        <v/>
      </c>
      <c r="AI242" s="122">
        <f>(($E242)-SUM($G44:AI44))</f>
        <v/>
      </c>
      <c r="AJ242" s="122">
        <f>(($E242)-SUM($G44:AJ44))</f>
        <v/>
      </c>
      <c r="AK242" s="122">
        <f>(($E242)-SUM($G44:AK44))</f>
        <v/>
      </c>
      <c r="AL242" s="122">
        <f>(($E242)-SUM($G44:AL44))</f>
        <v/>
      </c>
      <c r="AM242" s="122">
        <f>(($E242)-SUM($G44:AM44))</f>
        <v/>
      </c>
      <c r="AN242" s="122">
        <f>(($E242)-SUM($G44:AN44))</f>
        <v/>
      </c>
      <c r="AO242" s="122">
        <f>(($E242)-SUM($G44:AO44))</f>
        <v/>
      </c>
      <c r="AP242" s="122">
        <f>(($E242)-SUM($G44:AP44))</f>
        <v/>
      </c>
      <c r="AQ242" s="444">
        <f>(($E242)-SUM($G44:AQ44))</f>
        <v/>
      </c>
      <c r="AR242" s="122">
        <f>(($E242)-SUM($G44:AR44))</f>
        <v/>
      </c>
      <c r="AS242" s="122">
        <f>(($E242)-SUM($G44:AS44))</f>
        <v/>
      </c>
      <c r="AT242" s="122">
        <f>(($E242)-SUM($G44:AT44))</f>
        <v/>
      </c>
      <c r="AU242" s="122">
        <f>(($E242)-SUM($G44:AU44))</f>
        <v/>
      </c>
      <c r="AV242" s="122">
        <f>(($E242)-SUM($G44:AV44))</f>
        <v/>
      </c>
      <c r="AW242" s="122">
        <f>(($E242)-SUM($G44:AW44))</f>
        <v/>
      </c>
      <c r="AX242" s="122">
        <f>(($E242)-SUM($G44:AX44))</f>
        <v/>
      </c>
      <c r="AY242" s="122">
        <f>(($E242)-SUM($G44:AY44))</f>
        <v/>
      </c>
      <c r="AZ242" s="122">
        <f>(($E242)-SUM($G44:AZ44))</f>
        <v/>
      </c>
      <c r="BA242" s="122">
        <f>(($E242)-SUM($G44:BA44))</f>
        <v/>
      </c>
      <c r="BB242" s="122">
        <f>(($E242)-SUM($G44:BB44))</f>
        <v/>
      </c>
      <c r="BC242" s="444">
        <f>(($E242)-SUM($G44:BC44))</f>
        <v/>
      </c>
      <c r="BD242" s="122">
        <f>(($E242)-SUM($G44:BD44))</f>
        <v/>
      </c>
      <c r="BE242" s="122">
        <f>(($E242)-SUM($G44:BE44))</f>
        <v/>
      </c>
      <c r="BF242" s="122">
        <f>(($E242)-SUM($G44:BF44))</f>
        <v/>
      </c>
      <c r="BG242" s="122">
        <f>(($E242)-SUM($G44:BG44))</f>
        <v/>
      </c>
      <c r="BH242" s="122">
        <f>(($E242)-SUM($G44:BH44))</f>
        <v/>
      </c>
      <c r="BI242" s="122">
        <f>(($E242)-SUM($G44:BI44))</f>
        <v/>
      </c>
      <c r="BJ242" s="122">
        <f>(($E242)-SUM($G44:BJ44))</f>
        <v/>
      </c>
      <c r="BK242" s="122">
        <f>(($E242)-SUM($G44:BK44))</f>
        <v/>
      </c>
      <c r="BL242" s="122">
        <f>(($E242)-SUM($G44:BL44))</f>
        <v/>
      </c>
      <c r="BM242" s="122">
        <f>(($E242)-SUM($G44:BM44))</f>
        <v/>
      </c>
      <c r="BN242" s="122">
        <f>(($E242)-SUM($G44:BN44))</f>
        <v/>
      </c>
      <c r="BO242" s="122" t="n"/>
      <c r="BP242" s="122" t="n"/>
      <c r="BQ242" s="122" t="n"/>
      <c r="BR242" s="122" t="n"/>
      <c r="BS242" s="122" t="n"/>
      <c r="BT242" s="122" t="n"/>
      <c r="BU242" s="122" t="n"/>
      <c r="BV242" s="122" t="n"/>
      <c r="BW242" s="122" t="n"/>
      <c r="BX242" s="122" t="n"/>
      <c r="BY242" s="122" t="n"/>
      <c r="BZ242" s="122" t="n"/>
      <c r="CA242" s="504" t="n"/>
      <c r="CB242" s="504" t="n"/>
      <c r="CC242" s="504" t="n"/>
      <c r="CD242" s="123">
        <f>(BN242)</f>
        <v/>
      </c>
      <c r="CE242" s="397">
        <f>(CE44)</f>
        <v/>
      </c>
      <c r="CF242" s="386">
        <f>IF(CD242=CE242,"Y","N")</f>
        <v/>
      </c>
    </row>
    <row r="243" ht="15" customHeight="1" s="1883">
      <c r="D243" s="149" t="inlineStr">
        <is>
          <t>Month 20</t>
        </is>
      </c>
      <c r="E243" s="123">
        <f>(E45)</f>
        <v/>
      </c>
      <c r="G243" s="122" t="n"/>
      <c r="H243" s="122" t="n"/>
      <c r="I243" s="122" t="n"/>
      <c r="J243" s="122" t="n"/>
      <c r="K243" s="122" t="n"/>
      <c r="L243" s="122" t="n"/>
      <c r="M243" s="122" t="n"/>
      <c r="N243" s="122" t="n"/>
      <c r="O243" s="122" t="n"/>
      <c r="P243" s="122" t="n"/>
      <c r="Q243" s="122" t="n"/>
      <c r="R243" s="122" t="n"/>
      <c r="S243" s="444" t="n"/>
      <c r="T243" s="122" t="n"/>
      <c r="U243" s="122" t="n"/>
      <c r="V243" s="122" t="n"/>
      <c r="W243" s="122" t="n"/>
      <c r="X243" s="122" t="n"/>
      <c r="Y243" s="122" t="n"/>
      <c r="Z243" s="443">
        <f>(($E243)-SUM($G45:Z45))</f>
        <v/>
      </c>
      <c r="AA243" s="443">
        <f>(($E243)-SUM($G45:AA45))</f>
        <v/>
      </c>
      <c r="AB243" s="122">
        <f>(($E243)-SUM($G45:AB45))</f>
        <v/>
      </c>
      <c r="AC243" s="122">
        <f>(($E243)-SUM($G45:AC45))</f>
        <v/>
      </c>
      <c r="AD243" s="122">
        <f>(($E243)-SUM($G45:AD45))</f>
        <v/>
      </c>
      <c r="AE243" s="444">
        <f>(($E243)-SUM($G45:AE45))</f>
        <v/>
      </c>
      <c r="AF243" s="122">
        <f>(($E243)-SUM($G45:AF45))</f>
        <v/>
      </c>
      <c r="AG243" s="122">
        <f>(($E243)-SUM($G45:AG45))</f>
        <v/>
      </c>
      <c r="AH243" s="122">
        <f>(($E243)-SUM($G45:AH45))</f>
        <v/>
      </c>
      <c r="AI243" s="122">
        <f>(($E243)-SUM($G45:AI45))</f>
        <v/>
      </c>
      <c r="AJ243" s="122">
        <f>(($E243)-SUM($G45:AJ45))</f>
        <v/>
      </c>
      <c r="AK243" s="122">
        <f>(($E243)-SUM($G45:AK45))</f>
        <v/>
      </c>
      <c r="AL243" s="122">
        <f>(($E243)-SUM($G45:AL45))</f>
        <v/>
      </c>
      <c r="AM243" s="122">
        <f>(($E243)-SUM($G45:AM45))</f>
        <v/>
      </c>
      <c r="AN243" s="122">
        <f>(($E243)-SUM($G45:AN45))</f>
        <v/>
      </c>
      <c r="AO243" s="122">
        <f>(($E243)-SUM($G45:AO45))</f>
        <v/>
      </c>
      <c r="AP243" s="122">
        <f>(($E243)-SUM($G45:AP45))</f>
        <v/>
      </c>
      <c r="AQ243" s="444">
        <f>(($E243)-SUM($G45:AQ45))</f>
        <v/>
      </c>
      <c r="AR243" s="122">
        <f>(($E243)-SUM($G45:AR45))</f>
        <v/>
      </c>
      <c r="AS243" s="122">
        <f>(($E243)-SUM($G45:AS45))</f>
        <v/>
      </c>
      <c r="AT243" s="122">
        <f>(($E243)-SUM($G45:AT45))</f>
        <v/>
      </c>
      <c r="AU243" s="122">
        <f>(($E243)-SUM($G45:AU45))</f>
        <v/>
      </c>
      <c r="AV243" s="122">
        <f>(($E243)-SUM($G45:AV45))</f>
        <v/>
      </c>
      <c r="AW243" s="122">
        <f>(($E243)-SUM($G45:AW45))</f>
        <v/>
      </c>
      <c r="AX243" s="122">
        <f>(($E243)-SUM($G45:AX45))</f>
        <v/>
      </c>
      <c r="AY243" s="122">
        <f>(($E243)-SUM($G45:AY45))</f>
        <v/>
      </c>
      <c r="AZ243" s="122">
        <f>(($E243)-SUM($G45:AZ45))</f>
        <v/>
      </c>
      <c r="BA243" s="122">
        <f>(($E243)-SUM($G45:BA45))</f>
        <v/>
      </c>
      <c r="BB243" s="122">
        <f>(($E243)-SUM($G45:BB45))</f>
        <v/>
      </c>
      <c r="BC243" s="444">
        <f>(($E243)-SUM($G45:BC45))</f>
        <v/>
      </c>
      <c r="BD243" s="122">
        <f>(($E243)-SUM($G45:BD45))</f>
        <v/>
      </c>
      <c r="BE243" s="122">
        <f>(($E243)-SUM($G45:BE45))</f>
        <v/>
      </c>
      <c r="BF243" s="122">
        <f>(($E243)-SUM($G45:BF45))</f>
        <v/>
      </c>
      <c r="BG243" s="122">
        <f>(($E243)-SUM($G45:BG45))</f>
        <v/>
      </c>
      <c r="BH243" s="122">
        <f>(($E243)-SUM($G45:BH45))</f>
        <v/>
      </c>
      <c r="BI243" s="122">
        <f>(($E243)-SUM($G45:BI45))</f>
        <v/>
      </c>
      <c r="BJ243" s="122">
        <f>(($E243)-SUM($G45:BJ45))</f>
        <v/>
      </c>
      <c r="BK243" s="122">
        <f>(($E243)-SUM($G45:BK45))</f>
        <v/>
      </c>
      <c r="BL243" s="122">
        <f>(($E243)-SUM($G45:BL45))</f>
        <v/>
      </c>
      <c r="BM243" s="122">
        <f>(($E243)-SUM($G45:BM45))</f>
        <v/>
      </c>
      <c r="BN243" s="122">
        <f>(($E243)-SUM($G45:BN45))</f>
        <v/>
      </c>
      <c r="BO243" s="122" t="n"/>
      <c r="BP243" s="122" t="n"/>
      <c r="BQ243" s="122" t="n"/>
      <c r="BR243" s="122" t="n"/>
      <c r="BS243" s="122" t="n"/>
      <c r="BT243" s="122" t="n"/>
      <c r="BU243" s="122" t="n"/>
      <c r="BV243" s="122" t="n"/>
      <c r="BW243" s="122" t="n"/>
      <c r="BX243" s="122" t="n"/>
      <c r="BY243" s="122" t="n"/>
      <c r="BZ243" s="122" t="n"/>
      <c r="CA243" s="504" t="n"/>
      <c r="CB243" s="504" t="n"/>
      <c r="CC243" s="504" t="n"/>
      <c r="CD243" s="123">
        <f>(BN243)</f>
        <v/>
      </c>
      <c r="CE243" s="397">
        <f>(CE45)</f>
        <v/>
      </c>
      <c r="CF243" s="386">
        <f>IF(CD243=CE243,"Y","N")</f>
        <v/>
      </c>
    </row>
    <row r="244" ht="15" customHeight="1" s="1883">
      <c r="D244" s="149" t="inlineStr">
        <is>
          <t>Month 21</t>
        </is>
      </c>
      <c r="E244" s="123">
        <f>(E46)</f>
        <v/>
      </c>
      <c r="G244" s="122" t="n"/>
      <c r="H244" s="122" t="n"/>
      <c r="I244" s="122" t="n"/>
      <c r="J244" s="122" t="n"/>
      <c r="K244" s="122" t="n"/>
      <c r="L244" s="122" t="n"/>
      <c r="M244" s="122" t="n"/>
      <c r="N244" s="122" t="n"/>
      <c r="O244" s="122" t="n"/>
      <c r="P244" s="122" t="n"/>
      <c r="Q244" s="122" t="n"/>
      <c r="R244" s="122" t="n"/>
      <c r="S244" s="444" t="n"/>
      <c r="T244" s="122" t="n"/>
      <c r="U244" s="122" t="n"/>
      <c r="V244" s="122" t="n"/>
      <c r="W244" s="122" t="n"/>
      <c r="X244" s="122" t="n"/>
      <c r="Y244" s="122" t="n"/>
      <c r="Z244" s="122" t="n"/>
      <c r="AA244" s="443">
        <f>(($E244)-SUM($G46:AA46))</f>
        <v/>
      </c>
      <c r="AB244" s="443">
        <f>(($E244)-SUM($G46:AB46))</f>
        <v/>
      </c>
      <c r="AC244" s="122">
        <f>(($E244)-SUM($G46:AC46))</f>
        <v/>
      </c>
      <c r="AD244" s="122">
        <f>(($E244)-SUM($G46:AD46))</f>
        <v/>
      </c>
      <c r="AE244" s="444">
        <f>(($E244)-SUM($G46:AE46))</f>
        <v/>
      </c>
      <c r="AF244" s="122">
        <f>(($E244)-SUM($G46:AF46))</f>
        <v/>
      </c>
      <c r="AG244" s="122">
        <f>(($E244)-SUM($G46:AG46))</f>
        <v/>
      </c>
      <c r="AH244" s="122">
        <f>(($E244)-SUM($G46:AH46))</f>
        <v/>
      </c>
      <c r="AI244" s="122">
        <f>(($E244)-SUM($G46:AI46))</f>
        <v/>
      </c>
      <c r="AJ244" s="122">
        <f>(($E244)-SUM($G46:AJ46))</f>
        <v/>
      </c>
      <c r="AK244" s="122">
        <f>(($E244)-SUM($G46:AK46))</f>
        <v/>
      </c>
      <c r="AL244" s="122">
        <f>(($E244)-SUM($G46:AL46))</f>
        <v/>
      </c>
      <c r="AM244" s="122">
        <f>(($E244)-SUM($G46:AM46))</f>
        <v/>
      </c>
      <c r="AN244" s="122">
        <f>(($E244)-SUM($G46:AN46))</f>
        <v/>
      </c>
      <c r="AO244" s="122">
        <f>(($E244)-SUM($G46:AO46))</f>
        <v/>
      </c>
      <c r="AP244" s="122">
        <f>(($E244)-SUM($G46:AP46))</f>
        <v/>
      </c>
      <c r="AQ244" s="444">
        <f>(($E244)-SUM($G46:AQ46))</f>
        <v/>
      </c>
      <c r="AR244" s="122">
        <f>(($E244)-SUM($G46:AR46))</f>
        <v/>
      </c>
      <c r="AS244" s="122">
        <f>(($E244)-SUM($G46:AS46))</f>
        <v/>
      </c>
      <c r="AT244" s="122">
        <f>(($E244)-SUM($G46:AT46))</f>
        <v/>
      </c>
      <c r="AU244" s="122">
        <f>(($E244)-SUM($G46:AU46))</f>
        <v/>
      </c>
      <c r="AV244" s="122">
        <f>(($E244)-SUM($G46:AV46))</f>
        <v/>
      </c>
      <c r="AW244" s="122">
        <f>(($E244)-SUM($G46:AW46))</f>
        <v/>
      </c>
      <c r="AX244" s="122">
        <f>(($E244)-SUM($G46:AX46))</f>
        <v/>
      </c>
      <c r="AY244" s="122">
        <f>(($E244)-SUM($G46:AY46))</f>
        <v/>
      </c>
      <c r="AZ244" s="122">
        <f>(($E244)-SUM($G46:AZ46))</f>
        <v/>
      </c>
      <c r="BA244" s="122">
        <f>(($E244)-SUM($G46:BA46))</f>
        <v/>
      </c>
      <c r="BB244" s="122">
        <f>(($E244)-SUM($G46:BB46))</f>
        <v/>
      </c>
      <c r="BC244" s="444">
        <f>(($E244)-SUM($G46:BC46))</f>
        <v/>
      </c>
      <c r="BD244" s="122">
        <f>(($E244)-SUM($G46:BD46))</f>
        <v/>
      </c>
      <c r="BE244" s="122">
        <f>(($E244)-SUM($G46:BE46))</f>
        <v/>
      </c>
      <c r="BF244" s="122">
        <f>(($E244)-SUM($G46:BF46))</f>
        <v/>
      </c>
      <c r="BG244" s="122">
        <f>(($E244)-SUM($G46:BG46))</f>
        <v/>
      </c>
      <c r="BH244" s="122">
        <f>(($E244)-SUM($G46:BH46))</f>
        <v/>
      </c>
      <c r="BI244" s="122">
        <f>(($E244)-SUM($G46:BI46))</f>
        <v/>
      </c>
      <c r="BJ244" s="122">
        <f>(($E244)-SUM($G46:BJ46))</f>
        <v/>
      </c>
      <c r="BK244" s="122">
        <f>(($E244)-SUM($G46:BK46))</f>
        <v/>
      </c>
      <c r="BL244" s="122">
        <f>(($E244)-SUM($G46:BL46))</f>
        <v/>
      </c>
      <c r="BM244" s="122">
        <f>(($E244)-SUM($G46:BM46))</f>
        <v/>
      </c>
      <c r="BN244" s="122">
        <f>(($E244)-SUM($G46:BN46))</f>
        <v/>
      </c>
      <c r="BO244" s="122" t="n"/>
      <c r="BP244" s="122" t="n"/>
      <c r="BQ244" s="122" t="n"/>
      <c r="BR244" s="122" t="n"/>
      <c r="BS244" s="122" t="n"/>
      <c r="BT244" s="122" t="n"/>
      <c r="BU244" s="122" t="n"/>
      <c r="BV244" s="122" t="n"/>
      <c r="BW244" s="122" t="n"/>
      <c r="BX244" s="122" t="n"/>
      <c r="BY244" s="122" t="n"/>
      <c r="BZ244" s="122" t="n"/>
      <c r="CA244" s="504" t="n"/>
      <c r="CB244" s="504" t="n"/>
      <c r="CC244" s="504" t="n"/>
      <c r="CD244" s="123">
        <f>(BN244)</f>
        <v/>
      </c>
      <c r="CE244" s="397">
        <f>(CE46)</f>
        <v/>
      </c>
      <c r="CF244" s="386">
        <f>IF(CD244=CE244,"Y","N")</f>
        <v/>
      </c>
    </row>
    <row r="245" ht="15" customHeight="1" s="1883">
      <c r="D245" s="149" t="inlineStr">
        <is>
          <t>Month 22</t>
        </is>
      </c>
      <c r="E245" s="123">
        <f>(E47)</f>
        <v/>
      </c>
      <c r="G245" s="122" t="n"/>
      <c r="H245" s="122" t="n"/>
      <c r="I245" s="122" t="n"/>
      <c r="J245" s="122" t="n"/>
      <c r="K245" s="122" t="n"/>
      <c r="L245" s="122" t="n"/>
      <c r="M245" s="122" t="n"/>
      <c r="N245" s="122" t="n"/>
      <c r="O245" s="122" t="n"/>
      <c r="P245" s="122" t="n"/>
      <c r="Q245" s="122" t="n"/>
      <c r="R245" s="122" t="n"/>
      <c r="S245" s="444" t="n"/>
      <c r="T245" s="122" t="n"/>
      <c r="U245" s="122" t="n"/>
      <c r="V245" s="122" t="n"/>
      <c r="W245" s="122" t="n"/>
      <c r="X245" s="122" t="n"/>
      <c r="Y245" s="122" t="n"/>
      <c r="Z245" s="122" t="n"/>
      <c r="AA245" s="122" t="n"/>
      <c r="AB245" s="443">
        <f>(($E245)-SUM($G47:AB47))</f>
        <v/>
      </c>
      <c r="AC245" s="443">
        <f>(($E245)-SUM($G47:AC47))</f>
        <v/>
      </c>
      <c r="AD245" s="122">
        <f>(($E245)-SUM($G47:AD47))</f>
        <v/>
      </c>
      <c r="AE245" s="444">
        <f>(($E245)-SUM($G47:AE47))</f>
        <v/>
      </c>
      <c r="AF245" s="122">
        <f>(($E245)-SUM($G47:AF47))</f>
        <v/>
      </c>
      <c r="AG245" s="122">
        <f>(($E245)-SUM($G47:AG47))</f>
        <v/>
      </c>
      <c r="AH245" s="122">
        <f>(($E245)-SUM($G47:AH47))</f>
        <v/>
      </c>
      <c r="AI245" s="122">
        <f>(($E245)-SUM($G47:AI47))</f>
        <v/>
      </c>
      <c r="AJ245" s="122">
        <f>(($E245)-SUM($G47:AJ47))</f>
        <v/>
      </c>
      <c r="AK245" s="122">
        <f>(($E245)-SUM($G47:AK47))</f>
        <v/>
      </c>
      <c r="AL245" s="122">
        <f>(($E245)-SUM($G47:AL47))</f>
        <v/>
      </c>
      <c r="AM245" s="122">
        <f>(($E245)-SUM($G47:AM47))</f>
        <v/>
      </c>
      <c r="AN245" s="122">
        <f>(($E245)-SUM($G47:AN47))</f>
        <v/>
      </c>
      <c r="AO245" s="122">
        <f>(($E245)-SUM($G47:AO47))</f>
        <v/>
      </c>
      <c r="AP245" s="122">
        <f>(($E245)-SUM($G47:AP47))</f>
        <v/>
      </c>
      <c r="AQ245" s="444">
        <f>(($E245)-SUM($G47:AQ47))</f>
        <v/>
      </c>
      <c r="AR245" s="122">
        <f>(($E245)-SUM($G47:AR47))</f>
        <v/>
      </c>
      <c r="AS245" s="122">
        <f>(($E245)-SUM($G47:AS47))</f>
        <v/>
      </c>
      <c r="AT245" s="122">
        <f>(($E245)-SUM($G47:AT47))</f>
        <v/>
      </c>
      <c r="AU245" s="122">
        <f>(($E245)-SUM($G47:AU47))</f>
        <v/>
      </c>
      <c r="AV245" s="122">
        <f>(($E245)-SUM($G47:AV47))</f>
        <v/>
      </c>
      <c r="AW245" s="122">
        <f>(($E245)-SUM($G47:AW47))</f>
        <v/>
      </c>
      <c r="AX245" s="122">
        <f>(($E245)-SUM($G47:AX47))</f>
        <v/>
      </c>
      <c r="AY245" s="122">
        <f>(($E245)-SUM($G47:AY47))</f>
        <v/>
      </c>
      <c r="AZ245" s="122">
        <f>(($E245)-SUM($G47:AZ47))</f>
        <v/>
      </c>
      <c r="BA245" s="122">
        <f>(($E245)-SUM($G47:BA47))</f>
        <v/>
      </c>
      <c r="BB245" s="122">
        <f>(($E245)-SUM($G47:BB47))</f>
        <v/>
      </c>
      <c r="BC245" s="444">
        <f>(($E245)-SUM($G47:BC47))</f>
        <v/>
      </c>
      <c r="BD245" s="122">
        <f>(($E245)-SUM($G47:BD47))</f>
        <v/>
      </c>
      <c r="BE245" s="122">
        <f>(($E245)-SUM($G47:BE47))</f>
        <v/>
      </c>
      <c r="BF245" s="122">
        <f>(($E245)-SUM($G47:BF47))</f>
        <v/>
      </c>
      <c r="BG245" s="122">
        <f>(($E245)-SUM($G47:BG47))</f>
        <v/>
      </c>
      <c r="BH245" s="122">
        <f>(($E245)-SUM($G47:BH47))</f>
        <v/>
      </c>
      <c r="BI245" s="122">
        <f>(($E245)-SUM($G47:BI47))</f>
        <v/>
      </c>
      <c r="BJ245" s="122">
        <f>(($E245)-SUM($G47:BJ47))</f>
        <v/>
      </c>
      <c r="BK245" s="122">
        <f>(($E245)-SUM($G47:BK47))</f>
        <v/>
      </c>
      <c r="BL245" s="122">
        <f>(($E245)-SUM($G47:BL47))</f>
        <v/>
      </c>
      <c r="BM245" s="122">
        <f>(($E245)-SUM($G47:BM47))</f>
        <v/>
      </c>
      <c r="BN245" s="122">
        <f>(($E245)-SUM($G47:BN47))</f>
        <v/>
      </c>
      <c r="BO245" s="122" t="n"/>
      <c r="BP245" s="122" t="n"/>
      <c r="BQ245" s="122" t="n"/>
      <c r="BR245" s="122" t="n"/>
      <c r="BS245" s="122" t="n"/>
      <c r="BT245" s="122" t="n"/>
      <c r="BU245" s="122" t="n"/>
      <c r="BV245" s="122" t="n"/>
      <c r="BW245" s="122" t="n"/>
      <c r="BX245" s="122" t="n"/>
      <c r="BY245" s="122" t="n"/>
      <c r="BZ245" s="122" t="n"/>
      <c r="CA245" s="504" t="n"/>
      <c r="CB245" s="504" t="n"/>
      <c r="CC245" s="504" t="n"/>
      <c r="CD245" s="123">
        <f>(BN245)</f>
        <v/>
      </c>
      <c r="CE245" s="397">
        <f>(CE47)</f>
        <v/>
      </c>
      <c r="CF245" s="386">
        <f>IF(CD245=CE245,"Y","N")</f>
        <v/>
      </c>
    </row>
    <row r="246" ht="15" customHeight="1" s="1883">
      <c r="D246" s="149" t="inlineStr">
        <is>
          <t>Month 23</t>
        </is>
      </c>
      <c r="E246" s="123">
        <f>(E48)</f>
        <v/>
      </c>
      <c r="G246" s="122" t="n"/>
      <c r="H246" s="122" t="n"/>
      <c r="I246" s="122" t="n"/>
      <c r="J246" s="122" t="n"/>
      <c r="K246" s="122" t="n"/>
      <c r="L246" s="122" t="n"/>
      <c r="M246" s="122" t="n"/>
      <c r="N246" s="122" t="n"/>
      <c r="O246" s="122" t="n"/>
      <c r="P246" s="122" t="n"/>
      <c r="Q246" s="122" t="n"/>
      <c r="R246" s="122" t="n"/>
      <c r="S246" s="444" t="n"/>
      <c r="T246" s="122" t="n"/>
      <c r="U246" s="122" t="n"/>
      <c r="V246" s="122" t="n"/>
      <c r="W246" s="122" t="n"/>
      <c r="X246" s="122" t="n"/>
      <c r="Y246" s="122" t="n"/>
      <c r="Z246" s="122" t="n"/>
      <c r="AA246" s="122" t="n"/>
      <c r="AB246" s="122" t="n"/>
      <c r="AC246" s="443">
        <f>(($E246)-SUM($G48:AC48))</f>
        <v/>
      </c>
      <c r="AD246" s="443">
        <f>(($E246)-SUM($G48:AD48))</f>
        <v/>
      </c>
      <c r="AE246" s="444">
        <f>(($E246)-SUM($G48:AE48))</f>
        <v/>
      </c>
      <c r="AF246" s="122">
        <f>(($E246)-SUM($G48:AF48))</f>
        <v/>
      </c>
      <c r="AG246" s="122">
        <f>(($E246)-SUM($G48:AG48))</f>
        <v/>
      </c>
      <c r="AH246" s="122">
        <f>(($E246)-SUM($G48:AH48))</f>
        <v/>
      </c>
      <c r="AI246" s="122">
        <f>(($E246)-SUM($G48:AI48))</f>
        <v/>
      </c>
      <c r="AJ246" s="122">
        <f>(($E246)-SUM($G48:AJ48))</f>
        <v/>
      </c>
      <c r="AK246" s="122">
        <f>(($E246)-SUM($G48:AK48))</f>
        <v/>
      </c>
      <c r="AL246" s="122">
        <f>(($E246)-SUM($G48:AL48))</f>
        <v/>
      </c>
      <c r="AM246" s="122">
        <f>(($E246)-SUM($G48:AM48))</f>
        <v/>
      </c>
      <c r="AN246" s="122">
        <f>(($E246)-SUM($G48:AN48))</f>
        <v/>
      </c>
      <c r="AO246" s="122">
        <f>(($E246)-SUM($G48:AO48))</f>
        <v/>
      </c>
      <c r="AP246" s="122">
        <f>(($E246)-SUM($G48:AP48))</f>
        <v/>
      </c>
      <c r="AQ246" s="444">
        <f>(($E246)-SUM($G48:AQ48))</f>
        <v/>
      </c>
      <c r="AR246" s="122">
        <f>(($E246)-SUM($G48:AR48))</f>
        <v/>
      </c>
      <c r="AS246" s="122">
        <f>(($E246)-SUM($G48:AS48))</f>
        <v/>
      </c>
      <c r="AT246" s="122">
        <f>(($E246)-SUM($G48:AT48))</f>
        <v/>
      </c>
      <c r="AU246" s="122">
        <f>(($E246)-SUM($G48:AU48))</f>
        <v/>
      </c>
      <c r="AV246" s="122">
        <f>(($E246)-SUM($G48:AV48))</f>
        <v/>
      </c>
      <c r="AW246" s="122">
        <f>(($E246)-SUM($G48:AW48))</f>
        <v/>
      </c>
      <c r="AX246" s="122">
        <f>(($E246)-SUM($G48:AX48))</f>
        <v/>
      </c>
      <c r="AY246" s="122">
        <f>(($E246)-SUM($G48:AY48))</f>
        <v/>
      </c>
      <c r="AZ246" s="122">
        <f>(($E246)-SUM($G48:AZ48))</f>
        <v/>
      </c>
      <c r="BA246" s="122">
        <f>(($E246)-SUM($G48:BA48))</f>
        <v/>
      </c>
      <c r="BB246" s="122">
        <f>(($E246)-SUM($G48:BB48))</f>
        <v/>
      </c>
      <c r="BC246" s="444">
        <f>(($E246)-SUM($G48:BC48))</f>
        <v/>
      </c>
      <c r="BD246" s="122">
        <f>(($E246)-SUM($G48:BD48))</f>
        <v/>
      </c>
      <c r="BE246" s="122">
        <f>(($E246)-SUM($G48:BE48))</f>
        <v/>
      </c>
      <c r="BF246" s="122">
        <f>(($E246)-SUM($G48:BF48))</f>
        <v/>
      </c>
      <c r="BG246" s="122">
        <f>(($E246)-SUM($G48:BG48))</f>
        <v/>
      </c>
      <c r="BH246" s="122">
        <f>(($E246)-SUM($G48:BH48))</f>
        <v/>
      </c>
      <c r="BI246" s="122">
        <f>(($E246)-SUM($G48:BI48))</f>
        <v/>
      </c>
      <c r="BJ246" s="122">
        <f>(($E246)-SUM($G48:BJ48))</f>
        <v/>
      </c>
      <c r="BK246" s="122">
        <f>(($E246)-SUM($G48:BK48))</f>
        <v/>
      </c>
      <c r="BL246" s="122">
        <f>(($E246)-SUM($G48:BL48))</f>
        <v/>
      </c>
      <c r="BM246" s="122">
        <f>(($E246)-SUM($G48:BM48))</f>
        <v/>
      </c>
      <c r="BN246" s="122">
        <f>(($E246)-SUM($G48:BN48))</f>
        <v/>
      </c>
      <c r="BO246" s="122" t="n"/>
      <c r="BP246" s="122" t="n"/>
      <c r="BQ246" s="122" t="n"/>
      <c r="BR246" s="122" t="n"/>
      <c r="BS246" s="122" t="n"/>
      <c r="BT246" s="122" t="n"/>
      <c r="BU246" s="122" t="n"/>
      <c r="BV246" s="122" t="n"/>
      <c r="BW246" s="122" t="n"/>
      <c r="BX246" s="122" t="n"/>
      <c r="BY246" s="122" t="n"/>
      <c r="BZ246" s="122" t="n"/>
      <c r="CA246" s="504" t="n"/>
      <c r="CB246" s="504" t="n"/>
      <c r="CC246" s="504" t="n"/>
      <c r="CD246" s="123">
        <f>(BN246)</f>
        <v/>
      </c>
      <c r="CE246" s="397">
        <f>(CE48)</f>
        <v/>
      </c>
      <c r="CF246" s="386">
        <f>IF(CD246=CE246,"Y","N")</f>
        <v/>
      </c>
    </row>
    <row r="247" ht="15" customHeight="1" s="1883">
      <c r="D247" s="149" t="inlineStr">
        <is>
          <t>Month 24</t>
        </is>
      </c>
      <c r="E247" s="123">
        <f>(E49)</f>
        <v/>
      </c>
      <c r="G247" s="122" t="n"/>
      <c r="H247" s="122" t="n"/>
      <c r="I247" s="122" t="n"/>
      <c r="J247" s="122" t="n"/>
      <c r="K247" s="122" t="n"/>
      <c r="L247" s="122" t="n"/>
      <c r="M247" s="122" t="n"/>
      <c r="N247" s="122" t="n"/>
      <c r="O247" s="122" t="n"/>
      <c r="P247" s="122" t="n"/>
      <c r="Q247" s="122" t="n"/>
      <c r="R247" s="122" t="n"/>
      <c r="S247" s="444" t="n"/>
      <c r="T247" s="122" t="n"/>
      <c r="U247" s="122" t="n"/>
      <c r="V247" s="122" t="n"/>
      <c r="W247" s="122" t="n"/>
      <c r="X247" s="122" t="n"/>
      <c r="Y247" s="122" t="n"/>
      <c r="Z247" s="122" t="n"/>
      <c r="AA247" s="122" t="n"/>
      <c r="AB247" s="122" t="n"/>
      <c r="AC247" s="122" t="n"/>
      <c r="AD247" s="443">
        <f>(($E247)-SUM($G49:AD49))</f>
        <v/>
      </c>
      <c r="AE247" s="453">
        <f>(($E247)-SUM($G49:AE49))</f>
        <v/>
      </c>
      <c r="AF247" s="122">
        <f>(($E247)-SUM($G49:AF49))</f>
        <v/>
      </c>
      <c r="AG247" s="122">
        <f>(($E247)-SUM($G49:AG49))</f>
        <v/>
      </c>
      <c r="AH247" s="122">
        <f>(($E247)-SUM($G49:AH49))</f>
        <v/>
      </c>
      <c r="AI247" s="122">
        <f>(($E247)-SUM($G49:AI49))</f>
        <v/>
      </c>
      <c r="AJ247" s="122">
        <f>(($E247)-SUM($G49:AJ49))</f>
        <v/>
      </c>
      <c r="AK247" s="122">
        <f>(($E247)-SUM($G49:AK49))</f>
        <v/>
      </c>
      <c r="AL247" s="122">
        <f>(($E247)-SUM($G49:AL49))</f>
        <v/>
      </c>
      <c r="AM247" s="122">
        <f>(($E247)-SUM($G49:AM49))</f>
        <v/>
      </c>
      <c r="AN247" s="122">
        <f>(($E247)-SUM($G49:AN49))</f>
        <v/>
      </c>
      <c r="AO247" s="122">
        <f>(($E247)-SUM($G49:AO49))</f>
        <v/>
      </c>
      <c r="AP247" s="122">
        <f>(($E247)-SUM($G49:AP49))</f>
        <v/>
      </c>
      <c r="AQ247" s="444">
        <f>(($E247)-SUM($G49:AQ49))</f>
        <v/>
      </c>
      <c r="AR247" s="122">
        <f>(($E247)-SUM($G49:AR49))</f>
        <v/>
      </c>
      <c r="AS247" s="122">
        <f>(($E247)-SUM($G49:AS49))</f>
        <v/>
      </c>
      <c r="AT247" s="122">
        <f>(($E247)-SUM($G49:AT49))</f>
        <v/>
      </c>
      <c r="AU247" s="122">
        <f>(($E247)-SUM($G49:AU49))</f>
        <v/>
      </c>
      <c r="AV247" s="122">
        <f>(($E247)-SUM($G49:AV49))</f>
        <v/>
      </c>
      <c r="AW247" s="122">
        <f>(($E247)-SUM($G49:AW49))</f>
        <v/>
      </c>
      <c r="AX247" s="122">
        <f>(($E247)-SUM($G49:AX49))</f>
        <v/>
      </c>
      <c r="AY247" s="122">
        <f>(($E247)-SUM($G49:AY49))</f>
        <v/>
      </c>
      <c r="AZ247" s="122">
        <f>(($E247)-SUM($G49:AZ49))</f>
        <v/>
      </c>
      <c r="BA247" s="122">
        <f>(($E247)-SUM($G49:BA49))</f>
        <v/>
      </c>
      <c r="BB247" s="122">
        <f>(($E247)-SUM($G49:BB49))</f>
        <v/>
      </c>
      <c r="BC247" s="444">
        <f>(($E247)-SUM($G49:BC49))</f>
        <v/>
      </c>
      <c r="BD247" s="122">
        <f>(($E247)-SUM($G49:BD49))</f>
        <v/>
      </c>
      <c r="BE247" s="122">
        <f>(($E247)-SUM($G49:BE49))</f>
        <v/>
      </c>
      <c r="BF247" s="122">
        <f>(($E247)-SUM($G49:BF49))</f>
        <v/>
      </c>
      <c r="BG247" s="122">
        <f>(($E247)-SUM($G49:BG49))</f>
        <v/>
      </c>
      <c r="BH247" s="122">
        <f>(($E247)-SUM($G49:BH49))</f>
        <v/>
      </c>
      <c r="BI247" s="122">
        <f>(($E247)-SUM($G49:BI49))</f>
        <v/>
      </c>
      <c r="BJ247" s="122">
        <f>(($E247)-SUM($G49:BJ49))</f>
        <v/>
      </c>
      <c r="BK247" s="122">
        <f>(($E247)-SUM($G49:BK49))</f>
        <v/>
      </c>
      <c r="BL247" s="122">
        <f>(($E247)-SUM($G49:BL49))</f>
        <v/>
      </c>
      <c r="BM247" s="122">
        <f>(($E247)-SUM($G49:BM49))</f>
        <v/>
      </c>
      <c r="BN247" s="122">
        <f>(($E247)-SUM($G49:BN49))</f>
        <v/>
      </c>
      <c r="BO247" s="122" t="n"/>
      <c r="BP247" s="122" t="n"/>
      <c r="BQ247" s="122" t="n"/>
      <c r="BR247" s="122" t="n"/>
      <c r="BS247" s="122" t="n"/>
      <c r="BT247" s="122" t="n"/>
      <c r="BU247" s="122" t="n"/>
      <c r="BV247" s="122" t="n"/>
      <c r="BW247" s="122" t="n"/>
      <c r="BX247" s="122" t="n"/>
      <c r="BY247" s="122" t="n"/>
      <c r="BZ247" s="122" t="n"/>
      <c r="CA247" s="504" t="n"/>
      <c r="CB247" s="504" t="n"/>
      <c r="CC247" s="504" t="n"/>
      <c r="CD247" s="123">
        <f>(BN247)</f>
        <v/>
      </c>
      <c r="CE247" s="397">
        <f>(CE49)</f>
        <v/>
      </c>
      <c r="CF247" s="386">
        <f>IF(CD247=CE247,"Y","N")</f>
        <v/>
      </c>
    </row>
    <row r="248" ht="15" customHeight="1" s="1883">
      <c r="D248" s="149" t="inlineStr">
        <is>
          <t>Month 25</t>
        </is>
      </c>
      <c r="E248" s="123">
        <f>(E50)</f>
        <v/>
      </c>
      <c r="G248" s="122" t="n"/>
      <c r="H248" s="122" t="n"/>
      <c r="I248" s="122" t="n"/>
      <c r="J248" s="122" t="n"/>
      <c r="K248" s="122" t="n"/>
      <c r="L248" s="122" t="n"/>
      <c r="M248" s="122" t="n"/>
      <c r="N248" s="122" t="n"/>
      <c r="O248" s="122" t="n"/>
      <c r="P248" s="122" t="n"/>
      <c r="Q248" s="122" t="n"/>
      <c r="R248" s="122" t="n"/>
      <c r="S248" s="444" t="n"/>
      <c r="T248" s="122" t="n"/>
      <c r="U248" s="122" t="n"/>
      <c r="V248" s="122" t="n"/>
      <c r="W248" s="122" t="n"/>
      <c r="X248" s="122" t="n"/>
      <c r="Y248" s="122" t="n"/>
      <c r="Z248" s="122" t="n"/>
      <c r="AA248" s="122" t="n"/>
      <c r="AB248" s="122" t="n"/>
      <c r="AC248" s="122" t="n"/>
      <c r="AD248" s="122" t="n"/>
      <c r="AE248" s="453">
        <f>(($E248)-SUM($G50:AE50))</f>
        <v/>
      </c>
      <c r="AF248" s="443">
        <f>(($E248)-SUM($G50:AF50))</f>
        <v/>
      </c>
      <c r="AG248" s="122">
        <f>(($E248)-SUM($G50:AG50))</f>
        <v/>
      </c>
      <c r="AH248" s="122">
        <f>(($E248)-SUM($G50:AH50))</f>
        <v/>
      </c>
      <c r="AI248" s="122">
        <f>(($E248)-SUM($G50:AI50))</f>
        <v/>
      </c>
      <c r="AJ248" s="122">
        <f>(($E248)-SUM($G50:AJ50))</f>
        <v/>
      </c>
      <c r="AK248" s="122">
        <f>(($E248)-SUM($G50:AK50))</f>
        <v/>
      </c>
      <c r="AL248" s="122">
        <f>(($E248)-SUM($G50:AL50))</f>
        <v/>
      </c>
      <c r="AM248" s="122">
        <f>(($E248)-SUM($G50:AM50))</f>
        <v/>
      </c>
      <c r="AN248" s="122">
        <f>(($E248)-SUM($G50:AN50))</f>
        <v/>
      </c>
      <c r="AO248" s="122">
        <f>(($E248)-SUM($G50:AO50))</f>
        <v/>
      </c>
      <c r="AP248" s="122">
        <f>(($E248)-SUM($G50:AP50))</f>
        <v/>
      </c>
      <c r="AQ248" s="444">
        <f>(($E248)-SUM($G50:AQ50))</f>
        <v/>
      </c>
      <c r="AR248" s="122">
        <f>(($E248)-SUM($G50:AR50))</f>
        <v/>
      </c>
      <c r="AS248" s="122">
        <f>(($E248)-SUM($G50:AS50))</f>
        <v/>
      </c>
      <c r="AT248" s="122">
        <f>(($E248)-SUM($G50:AT50))</f>
        <v/>
      </c>
      <c r="AU248" s="122">
        <f>(($E248)-SUM($G50:AU50))</f>
        <v/>
      </c>
      <c r="AV248" s="122">
        <f>(($E248)-SUM($G50:AV50))</f>
        <v/>
      </c>
      <c r="AW248" s="122">
        <f>(($E248)-SUM($G50:AW50))</f>
        <v/>
      </c>
      <c r="AX248" s="122">
        <f>(($E248)-SUM($G50:AX50))</f>
        <v/>
      </c>
      <c r="AY248" s="122">
        <f>(($E248)-SUM($G50:AY50))</f>
        <v/>
      </c>
      <c r="AZ248" s="122">
        <f>(($E248)-SUM($G50:AZ50))</f>
        <v/>
      </c>
      <c r="BA248" s="122">
        <f>(($E248)-SUM($G50:BA50))</f>
        <v/>
      </c>
      <c r="BB248" s="122">
        <f>(($E248)-SUM($G50:BB50))</f>
        <v/>
      </c>
      <c r="BC248" s="444">
        <f>(($E248)-SUM($G50:BC50))</f>
        <v/>
      </c>
      <c r="BD248" s="122">
        <f>(($E248)-SUM($G50:BD50))</f>
        <v/>
      </c>
      <c r="BE248" s="122">
        <f>(($E248)-SUM($G50:BE50))</f>
        <v/>
      </c>
      <c r="BF248" s="122">
        <f>(($E248)-SUM($G50:BF50))</f>
        <v/>
      </c>
      <c r="BG248" s="122">
        <f>(($E248)-SUM($G50:BG50))</f>
        <v/>
      </c>
      <c r="BH248" s="122">
        <f>(($E248)-SUM($G50:BH50))</f>
        <v/>
      </c>
      <c r="BI248" s="122">
        <f>(($E248)-SUM($G50:BI50))</f>
        <v/>
      </c>
      <c r="BJ248" s="122">
        <f>(($E248)-SUM($G50:BJ50))</f>
        <v/>
      </c>
      <c r="BK248" s="122">
        <f>(($E248)-SUM($G50:BK50))</f>
        <v/>
      </c>
      <c r="BL248" s="122">
        <f>(($E248)-SUM($G50:BL50))</f>
        <v/>
      </c>
      <c r="BM248" s="122">
        <f>(($E248)-SUM($G50:BM50))</f>
        <v/>
      </c>
      <c r="BN248" s="122">
        <f>(($E248)-SUM($G50:BN50))</f>
        <v/>
      </c>
      <c r="BO248" s="122" t="n"/>
      <c r="BP248" s="122" t="n"/>
      <c r="BQ248" s="122" t="n"/>
      <c r="BR248" s="122" t="n"/>
      <c r="BS248" s="122" t="n"/>
      <c r="BT248" s="122" t="n"/>
      <c r="BU248" s="122" t="n"/>
      <c r="BV248" s="122" t="n"/>
      <c r="BW248" s="122" t="n"/>
      <c r="BX248" s="122" t="n"/>
      <c r="BY248" s="122" t="n"/>
      <c r="BZ248" s="122" t="n"/>
      <c r="CA248" s="504" t="n"/>
      <c r="CB248" s="504" t="n"/>
      <c r="CC248" s="504" t="n"/>
      <c r="CD248" s="123">
        <f>(BN248)</f>
        <v/>
      </c>
      <c r="CE248" s="397">
        <f>(CE50)</f>
        <v/>
      </c>
      <c r="CF248" s="386">
        <f>IF(CD248=CE248,"Y","N")</f>
        <v/>
      </c>
    </row>
    <row r="249" ht="15" customHeight="1" s="1883">
      <c r="D249" s="149" t="inlineStr">
        <is>
          <t>Month 26</t>
        </is>
      </c>
      <c r="E249" s="123">
        <f>(E51)</f>
        <v/>
      </c>
      <c r="G249" s="122" t="n"/>
      <c r="H249" s="122" t="n"/>
      <c r="I249" s="122" t="n"/>
      <c r="J249" s="122" t="n"/>
      <c r="K249" s="122" t="n"/>
      <c r="L249" s="122" t="n"/>
      <c r="M249" s="122" t="n"/>
      <c r="N249" s="122" t="n"/>
      <c r="O249" s="122" t="n"/>
      <c r="P249" s="122" t="n"/>
      <c r="Q249" s="122" t="n"/>
      <c r="R249" s="122" t="n"/>
      <c r="S249" s="444" t="n"/>
      <c r="T249" s="122" t="n"/>
      <c r="U249" s="122" t="n"/>
      <c r="V249" s="122" t="n"/>
      <c r="W249" s="122" t="n"/>
      <c r="X249" s="122" t="n"/>
      <c r="Y249" s="122" t="n"/>
      <c r="Z249" s="122" t="n"/>
      <c r="AA249" s="122" t="n"/>
      <c r="AB249" s="122" t="n"/>
      <c r="AC249" s="122" t="n"/>
      <c r="AD249" s="122" t="n"/>
      <c r="AE249" s="444" t="n"/>
      <c r="AF249" s="443">
        <f>(($E249)-SUM($G51:AF51))</f>
        <v/>
      </c>
      <c r="AG249" s="443">
        <f>(($E249)-SUM($G51:AG51))</f>
        <v/>
      </c>
      <c r="AH249" s="122">
        <f>(($E249)-SUM($G51:AH51))</f>
        <v/>
      </c>
      <c r="AI249" s="122">
        <f>(($E249)-SUM($G51:AI51))</f>
        <v/>
      </c>
      <c r="AJ249" s="122">
        <f>(($E249)-SUM($G51:AJ51))</f>
        <v/>
      </c>
      <c r="AK249" s="122">
        <f>(($E249)-SUM($G51:AK51))</f>
        <v/>
      </c>
      <c r="AL249" s="122">
        <f>(($E249)-SUM($G51:AL51))</f>
        <v/>
      </c>
      <c r="AM249" s="122">
        <f>(($E249)-SUM($G51:AM51))</f>
        <v/>
      </c>
      <c r="AN249" s="122">
        <f>(($E249)-SUM($G51:AN51))</f>
        <v/>
      </c>
      <c r="AO249" s="122">
        <f>(($E249)-SUM($G51:AO51))</f>
        <v/>
      </c>
      <c r="AP249" s="122">
        <f>(($E249)-SUM($G51:AP51))</f>
        <v/>
      </c>
      <c r="AQ249" s="444">
        <f>(($E249)-SUM($G51:AQ51))</f>
        <v/>
      </c>
      <c r="AR249" s="122">
        <f>(($E249)-SUM($G51:AR51))</f>
        <v/>
      </c>
      <c r="AS249" s="122">
        <f>(($E249)-SUM($G51:AS51))</f>
        <v/>
      </c>
      <c r="AT249" s="122">
        <f>(($E249)-SUM($G51:AT51))</f>
        <v/>
      </c>
      <c r="AU249" s="122">
        <f>(($E249)-SUM($G51:AU51))</f>
        <v/>
      </c>
      <c r="AV249" s="122">
        <f>(($E249)-SUM($G51:AV51))</f>
        <v/>
      </c>
      <c r="AW249" s="122">
        <f>(($E249)-SUM($G51:AW51))</f>
        <v/>
      </c>
      <c r="AX249" s="122">
        <f>(($E249)-SUM($G51:AX51))</f>
        <v/>
      </c>
      <c r="AY249" s="122">
        <f>(($E249)-SUM($G51:AY51))</f>
        <v/>
      </c>
      <c r="AZ249" s="122">
        <f>(($E249)-SUM($G51:AZ51))</f>
        <v/>
      </c>
      <c r="BA249" s="122">
        <f>(($E249)-SUM($G51:BA51))</f>
        <v/>
      </c>
      <c r="BB249" s="122">
        <f>(($E249)-SUM($G51:BB51))</f>
        <v/>
      </c>
      <c r="BC249" s="444">
        <f>(($E249)-SUM($G51:BC51))</f>
        <v/>
      </c>
      <c r="BD249" s="122">
        <f>(($E249)-SUM($G51:BD51))</f>
        <v/>
      </c>
      <c r="BE249" s="122">
        <f>(($E249)-SUM($G51:BE51))</f>
        <v/>
      </c>
      <c r="BF249" s="122">
        <f>(($E249)-SUM($G51:BF51))</f>
        <v/>
      </c>
      <c r="BG249" s="122">
        <f>(($E249)-SUM($G51:BG51))</f>
        <v/>
      </c>
      <c r="BH249" s="122">
        <f>(($E249)-SUM($G51:BH51))</f>
        <v/>
      </c>
      <c r="BI249" s="122">
        <f>(($E249)-SUM($G51:BI51))</f>
        <v/>
      </c>
      <c r="BJ249" s="122">
        <f>(($E249)-SUM($G51:BJ51))</f>
        <v/>
      </c>
      <c r="BK249" s="122">
        <f>(($E249)-SUM($G51:BK51))</f>
        <v/>
      </c>
      <c r="BL249" s="122">
        <f>(($E249)-SUM($G51:BL51))</f>
        <v/>
      </c>
      <c r="BM249" s="122">
        <f>(($E249)-SUM($G51:BM51))</f>
        <v/>
      </c>
      <c r="BN249" s="122">
        <f>(($E249)-SUM($G51:BN51))</f>
        <v/>
      </c>
      <c r="BO249" s="122" t="n"/>
      <c r="BP249" s="122" t="n"/>
      <c r="BQ249" s="122" t="n"/>
      <c r="BR249" s="122" t="n"/>
      <c r="BS249" s="122" t="n"/>
      <c r="BT249" s="122" t="n"/>
      <c r="BU249" s="122" t="n"/>
      <c r="BV249" s="122" t="n"/>
      <c r="BW249" s="122" t="n"/>
      <c r="BX249" s="122" t="n"/>
      <c r="BY249" s="122" t="n"/>
      <c r="BZ249" s="122" t="n"/>
      <c r="CA249" s="504" t="n"/>
      <c r="CB249" s="504" t="n"/>
      <c r="CC249" s="504" t="n"/>
      <c r="CD249" s="123">
        <f>(BN249)</f>
        <v/>
      </c>
      <c r="CE249" s="397">
        <f>(CE51)</f>
        <v/>
      </c>
      <c r="CF249" s="386">
        <f>IF(CD249=CE249,"Y","N")</f>
        <v/>
      </c>
    </row>
    <row r="250" ht="15" customHeight="1" s="1883">
      <c r="D250" s="149" t="inlineStr">
        <is>
          <t>Month 27</t>
        </is>
      </c>
      <c r="E250" s="123">
        <f>(E52)</f>
        <v/>
      </c>
      <c r="G250" s="122" t="n"/>
      <c r="H250" s="122" t="n"/>
      <c r="I250" s="122" t="n"/>
      <c r="J250" s="122" t="n"/>
      <c r="K250" s="122" t="n"/>
      <c r="L250" s="122" t="n"/>
      <c r="M250" s="122" t="n"/>
      <c r="N250" s="122" t="n"/>
      <c r="O250" s="122" t="n"/>
      <c r="P250" s="122" t="n"/>
      <c r="Q250" s="122" t="n"/>
      <c r="R250" s="122" t="n"/>
      <c r="S250" s="444" t="n"/>
      <c r="T250" s="122" t="n"/>
      <c r="U250" s="122" t="n"/>
      <c r="V250" s="122" t="n"/>
      <c r="W250" s="122" t="n"/>
      <c r="X250" s="122" t="n"/>
      <c r="Y250" s="122" t="n"/>
      <c r="Z250" s="122" t="n"/>
      <c r="AA250" s="122" t="n"/>
      <c r="AB250" s="122" t="n"/>
      <c r="AC250" s="122" t="n"/>
      <c r="AD250" s="122" t="n"/>
      <c r="AE250" s="444" t="n"/>
      <c r="AF250" s="122" t="n"/>
      <c r="AG250" s="443">
        <f>(($E250)-SUM($G52:AG52))</f>
        <v/>
      </c>
      <c r="AH250" s="443">
        <f>(($E250)-SUM($G52:AH52))</f>
        <v/>
      </c>
      <c r="AI250" s="122">
        <f>(($E250)-SUM($G52:AI52))</f>
        <v/>
      </c>
      <c r="AJ250" s="122">
        <f>(($E250)-SUM($G52:AJ52))</f>
        <v/>
      </c>
      <c r="AK250" s="122">
        <f>(($E250)-SUM($G52:AK52))</f>
        <v/>
      </c>
      <c r="AL250" s="122">
        <f>(($E250)-SUM($G52:AL52))</f>
        <v/>
      </c>
      <c r="AM250" s="122">
        <f>(($E250)-SUM($G52:AM52))</f>
        <v/>
      </c>
      <c r="AN250" s="122">
        <f>(($E250)-SUM($G52:AN52))</f>
        <v/>
      </c>
      <c r="AO250" s="122">
        <f>(($E250)-SUM($G52:AO52))</f>
        <v/>
      </c>
      <c r="AP250" s="122">
        <f>(($E250)-SUM($G52:AP52))</f>
        <v/>
      </c>
      <c r="AQ250" s="444">
        <f>(($E250)-SUM($G52:AQ52))</f>
        <v/>
      </c>
      <c r="AR250" s="122">
        <f>(($E250)-SUM($G52:AR52))</f>
        <v/>
      </c>
      <c r="AS250" s="122">
        <f>(($E250)-SUM($G52:AS52))</f>
        <v/>
      </c>
      <c r="AT250" s="122">
        <f>(($E250)-SUM($G52:AT52))</f>
        <v/>
      </c>
      <c r="AU250" s="122">
        <f>(($E250)-SUM($G52:AU52))</f>
        <v/>
      </c>
      <c r="AV250" s="122">
        <f>(($E250)-SUM($G52:AV52))</f>
        <v/>
      </c>
      <c r="AW250" s="122">
        <f>(($E250)-SUM($G52:AW52))</f>
        <v/>
      </c>
      <c r="AX250" s="122">
        <f>(($E250)-SUM($G52:AX52))</f>
        <v/>
      </c>
      <c r="AY250" s="122">
        <f>(($E250)-SUM($G52:AY52))</f>
        <v/>
      </c>
      <c r="AZ250" s="122">
        <f>(($E250)-SUM($G52:AZ52))</f>
        <v/>
      </c>
      <c r="BA250" s="122">
        <f>(($E250)-SUM($G52:BA52))</f>
        <v/>
      </c>
      <c r="BB250" s="122">
        <f>(($E250)-SUM($G52:BB52))</f>
        <v/>
      </c>
      <c r="BC250" s="444">
        <f>(($E250)-SUM($G52:BC52))</f>
        <v/>
      </c>
      <c r="BD250" s="122">
        <f>(($E250)-SUM($G52:BD52))</f>
        <v/>
      </c>
      <c r="BE250" s="122">
        <f>(($E250)-SUM($G52:BE52))</f>
        <v/>
      </c>
      <c r="BF250" s="122">
        <f>(($E250)-SUM($G52:BF52))</f>
        <v/>
      </c>
      <c r="BG250" s="122">
        <f>(($E250)-SUM($G52:BG52))</f>
        <v/>
      </c>
      <c r="BH250" s="122">
        <f>(($E250)-SUM($G52:BH52))</f>
        <v/>
      </c>
      <c r="BI250" s="122">
        <f>(($E250)-SUM($G52:BI52))</f>
        <v/>
      </c>
      <c r="BJ250" s="122">
        <f>(($E250)-SUM($G52:BJ52))</f>
        <v/>
      </c>
      <c r="BK250" s="122">
        <f>(($E250)-SUM($G52:BK52))</f>
        <v/>
      </c>
      <c r="BL250" s="122">
        <f>(($E250)-SUM($G52:BL52))</f>
        <v/>
      </c>
      <c r="BM250" s="122">
        <f>(($E250)-SUM($G52:BM52))</f>
        <v/>
      </c>
      <c r="BN250" s="122">
        <f>(($E250)-SUM($G52:BN52))</f>
        <v/>
      </c>
      <c r="BO250" s="122" t="n"/>
      <c r="BP250" s="122" t="n"/>
      <c r="BQ250" s="122" t="n"/>
      <c r="BR250" s="122" t="n"/>
      <c r="BS250" s="122" t="n"/>
      <c r="BT250" s="122" t="n"/>
      <c r="BU250" s="122" t="n"/>
      <c r="BV250" s="122" t="n"/>
      <c r="BW250" s="122" t="n"/>
      <c r="BX250" s="122" t="n"/>
      <c r="BY250" s="122" t="n"/>
      <c r="BZ250" s="122" t="n"/>
      <c r="CA250" s="504" t="n"/>
      <c r="CB250" s="504" t="n"/>
      <c r="CC250" s="504" t="n"/>
      <c r="CD250" s="123">
        <f>(BN250)</f>
        <v/>
      </c>
      <c r="CE250" s="397">
        <f>(CE52)</f>
        <v/>
      </c>
      <c r="CF250" s="386">
        <f>IF(CD250=CE250,"Y","N")</f>
        <v/>
      </c>
    </row>
    <row r="251" ht="15" customHeight="1" s="1883">
      <c r="D251" s="149" t="inlineStr">
        <is>
          <t>Month 28</t>
        </is>
      </c>
      <c r="E251" s="123">
        <f>(E53)</f>
        <v/>
      </c>
      <c r="G251" s="122" t="n"/>
      <c r="H251" s="122" t="n"/>
      <c r="I251" s="122" t="n"/>
      <c r="J251" s="122" t="n"/>
      <c r="K251" s="122" t="n"/>
      <c r="L251" s="122" t="n"/>
      <c r="M251" s="122" t="n"/>
      <c r="N251" s="122" t="n"/>
      <c r="O251" s="122" t="n"/>
      <c r="P251" s="122" t="n"/>
      <c r="Q251" s="122" t="n"/>
      <c r="R251" s="122" t="n"/>
      <c r="S251" s="444" t="n"/>
      <c r="T251" s="122" t="n"/>
      <c r="U251" s="122" t="n"/>
      <c r="V251" s="122" t="n"/>
      <c r="W251" s="122" t="n"/>
      <c r="X251" s="122" t="n"/>
      <c r="Y251" s="122" t="n"/>
      <c r="Z251" s="122" t="n"/>
      <c r="AA251" s="122" t="n"/>
      <c r="AB251" s="122" t="n"/>
      <c r="AC251" s="122" t="n"/>
      <c r="AD251" s="122" t="n"/>
      <c r="AE251" s="444" t="n"/>
      <c r="AF251" s="122" t="n"/>
      <c r="AG251" s="122" t="n"/>
      <c r="AH251" s="443">
        <f>(($E251)-SUM($G53:AH53))</f>
        <v/>
      </c>
      <c r="AI251" s="443">
        <f>(($E251)-SUM($G53:AI53))</f>
        <v/>
      </c>
      <c r="AJ251" s="122">
        <f>(($E251)-SUM($G53:AJ53))</f>
        <v/>
      </c>
      <c r="AK251" s="122">
        <f>(($E251)-SUM($G53:AK53))</f>
        <v/>
      </c>
      <c r="AL251" s="122">
        <f>(($E251)-SUM($G53:AL53))</f>
        <v/>
      </c>
      <c r="AM251" s="122">
        <f>(($E251)-SUM($G53:AM53))</f>
        <v/>
      </c>
      <c r="AN251" s="122">
        <f>(($E251)-SUM($G53:AN53))</f>
        <v/>
      </c>
      <c r="AO251" s="122">
        <f>(($E251)-SUM($G53:AO53))</f>
        <v/>
      </c>
      <c r="AP251" s="122">
        <f>(($E251)-SUM($G53:AP53))</f>
        <v/>
      </c>
      <c r="AQ251" s="444">
        <f>(($E251)-SUM($G53:AQ53))</f>
        <v/>
      </c>
      <c r="AR251" s="122">
        <f>(($E251)-SUM($G53:AR53))</f>
        <v/>
      </c>
      <c r="AS251" s="122">
        <f>(($E251)-SUM($G53:AS53))</f>
        <v/>
      </c>
      <c r="AT251" s="122">
        <f>(($E251)-SUM($G53:AT53))</f>
        <v/>
      </c>
      <c r="AU251" s="122">
        <f>(($E251)-SUM($G53:AU53))</f>
        <v/>
      </c>
      <c r="AV251" s="122">
        <f>(($E251)-SUM($G53:AV53))</f>
        <v/>
      </c>
      <c r="AW251" s="122">
        <f>(($E251)-SUM($G53:AW53))</f>
        <v/>
      </c>
      <c r="AX251" s="122">
        <f>(($E251)-SUM($G53:AX53))</f>
        <v/>
      </c>
      <c r="AY251" s="122">
        <f>(($E251)-SUM($G53:AY53))</f>
        <v/>
      </c>
      <c r="AZ251" s="122">
        <f>(($E251)-SUM($G53:AZ53))</f>
        <v/>
      </c>
      <c r="BA251" s="122">
        <f>(($E251)-SUM($G53:BA53))</f>
        <v/>
      </c>
      <c r="BB251" s="122">
        <f>(($E251)-SUM($G53:BB53))</f>
        <v/>
      </c>
      <c r="BC251" s="444">
        <f>(($E251)-SUM($G53:BC53))</f>
        <v/>
      </c>
      <c r="BD251" s="122">
        <f>(($E251)-SUM($G53:BD53))</f>
        <v/>
      </c>
      <c r="BE251" s="122">
        <f>(($E251)-SUM($G53:BE53))</f>
        <v/>
      </c>
      <c r="BF251" s="122">
        <f>(($E251)-SUM($G53:BF53))</f>
        <v/>
      </c>
      <c r="BG251" s="122">
        <f>(($E251)-SUM($G53:BG53))</f>
        <v/>
      </c>
      <c r="BH251" s="122">
        <f>(($E251)-SUM($G53:BH53))</f>
        <v/>
      </c>
      <c r="BI251" s="122">
        <f>(($E251)-SUM($G53:BI53))</f>
        <v/>
      </c>
      <c r="BJ251" s="122">
        <f>(($E251)-SUM($G53:BJ53))</f>
        <v/>
      </c>
      <c r="BK251" s="122">
        <f>(($E251)-SUM($G53:BK53))</f>
        <v/>
      </c>
      <c r="BL251" s="122">
        <f>(($E251)-SUM($G53:BL53))</f>
        <v/>
      </c>
      <c r="BM251" s="122">
        <f>(($E251)-SUM($G53:BM53))</f>
        <v/>
      </c>
      <c r="BN251" s="122">
        <f>(($E251)-SUM($G53:BN53))</f>
        <v/>
      </c>
      <c r="BO251" s="122" t="n"/>
      <c r="BP251" s="122" t="n"/>
      <c r="BQ251" s="122" t="n"/>
      <c r="BR251" s="122" t="n"/>
      <c r="BS251" s="122" t="n"/>
      <c r="BT251" s="122" t="n"/>
      <c r="BU251" s="122" t="n"/>
      <c r="BV251" s="122" t="n"/>
      <c r="BW251" s="122" t="n"/>
      <c r="BX251" s="122" t="n"/>
      <c r="BY251" s="122" t="n"/>
      <c r="BZ251" s="122" t="n"/>
      <c r="CA251" s="504" t="n"/>
      <c r="CB251" s="504" t="n"/>
      <c r="CC251" s="504" t="n"/>
      <c r="CD251" s="123">
        <f>(BN251)</f>
        <v/>
      </c>
      <c r="CE251" s="397">
        <f>(CE53)</f>
        <v/>
      </c>
      <c r="CF251" s="386">
        <f>IF(CD251=CE251,"Y","N")</f>
        <v/>
      </c>
    </row>
    <row r="252" ht="15" customHeight="1" s="1883">
      <c r="D252" s="149" t="inlineStr">
        <is>
          <t>Month 29</t>
        </is>
      </c>
      <c r="E252" s="123">
        <f>(E54)</f>
        <v/>
      </c>
      <c r="G252" s="122" t="n"/>
      <c r="H252" s="122" t="n"/>
      <c r="I252" s="122" t="n"/>
      <c r="J252" s="122" t="n"/>
      <c r="K252" s="122" t="n"/>
      <c r="L252" s="122" t="n"/>
      <c r="M252" s="122" t="n"/>
      <c r="N252" s="122" t="n"/>
      <c r="O252" s="122" t="n"/>
      <c r="P252" s="122" t="n"/>
      <c r="Q252" s="122" t="n"/>
      <c r="R252" s="122" t="n"/>
      <c r="S252" s="444" t="n"/>
      <c r="T252" s="122" t="n"/>
      <c r="U252" s="122" t="n"/>
      <c r="V252" s="122" t="n"/>
      <c r="W252" s="122" t="n"/>
      <c r="X252" s="122" t="n"/>
      <c r="Y252" s="122" t="n"/>
      <c r="Z252" s="122" t="n"/>
      <c r="AA252" s="122" t="n"/>
      <c r="AB252" s="122" t="n"/>
      <c r="AC252" s="122" t="n"/>
      <c r="AD252" s="122" t="n"/>
      <c r="AE252" s="444" t="n"/>
      <c r="AF252" s="122" t="n"/>
      <c r="AG252" s="122" t="n"/>
      <c r="AH252" s="122" t="n"/>
      <c r="AI252" s="443">
        <f>(($E252)-SUM($G54:AI54))</f>
        <v/>
      </c>
      <c r="AJ252" s="443">
        <f>(($E252)-SUM($G54:AJ54))</f>
        <v/>
      </c>
      <c r="AK252" s="122">
        <f>(($E252)-SUM($G54:AK54))</f>
        <v/>
      </c>
      <c r="AL252" s="122">
        <f>(($E252)-SUM($G54:AL54))</f>
        <v/>
      </c>
      <c r="AM252" s="122">
        <f>(($E252)-SUM($G54:AM54))</f>
        <v/>
      </c>
      <c r="AN252" s="122">
        <f>(($E252)-SUM($G54:AN54))</f>
        <v/>
      </c>
      <c r="AO252" s="122">
        <f>(($E252)-SUM($G54:AO54))</f>
        <v/>
      </c>
      <c r="AP252" s="122">
        <f>(($E252)-SUM($G54:AP54))</f>
        <v/>
      </c>
      <c r="AQ252" s="444">
        <f>(($E252)-SUM($G54:AQ54))</f>
        <v/>
      </c>
      <c r="AR252" s="122">
        <f>(($E252)-SUM($G54:AR54))</f>
        <v/>
      </c>
      <c r="AS252" s="122">
        <f>(($E252)-SUM($G54:AS54))</f>
        <v/>
      </c>
      <c r="AT252" s="122">
        <f>(($E252)-SUM($G54:AT54))</f>
        <v/>
      </c>
      <c r="AU252" s="122">
        <f>(($E252)-SUM($G54:AU54))</f>
        <v/>
      </c>
      <c r="AV252" s="122">
        <f>(($E252)-SUM($G54:AV54))</f>
        <v/>
      </c>
      <c r="AW252" s="122">
        <f>(($E252)-SUM($G54:AW54))</f>
        <v/>
      </c>
      <c r="AX252" s="122">
        <f>(($E252)-SUM($G54:AX54))</f>
        <v/>
      </c>
      <c r="AY252" s="122">
        <f>(($E252)-SUM($G54:AY54))</f>
        <v/>
      </c>
      <c r="AZ252" s="122">
        <f>(($E252)-SUM($G54:AZ54))</f>
        <v/>
      </c>
      <c r="BA252" s="122">
        <f>(($E252)-SUM($G54:BA54))</f>
        <v/>
      </c>
      <c r="BB252" s="122">
        <f>(($E252)-SUM($G54:BB54))</f>
        <v/>
      </c>
      <c r="BC252" s="444">
        <f>(($E252)-SUM($G54:BC54))</f>
        <v/>
      </c>
      <c r="BD252" s="122">
        <f>(($E252)-SUM($G54:BD54))</f>
        <v/>
      </c>
      <c r="BE252" s="122">
        <f>(($E252)-SUM($G54:BE54))</f>
        <v/>
      </c>
      <c r="BF252" s="122">
        <f>(($E252)-SUM($G54:BF54))</f>
        <v/>
      </c>
      <c r="BG252" s="122">
        <f>(($E252)-SUM($G54:BG54))</f>
        <v/>
      </c>
      <c r="BH252" s="122">
        <f>(($E252)-SUM($G54:BH54))</f>
        <v/>
      </c>
      <c r="BI252" s="122">
        <f>(($E252)-SUM($G54:BI54))</f>
        <v/>
      </c>
      <c r="BJ252" s="122">
        <f>(($E252)-SUM($G54:BJ54))</f>
        <v/>
      </c>
      <c r="BK252" s="122">
        <f>(($E252)-SUM($G54:BK54))</f>
        <v/>
      </c>
      <c r="BL252" s="122">
        <f>(($E252)-SUM($G54:BL54))</f>
        <v/>
      </c>
      <c r="BM252" s="122">
        <f>(($E252)-SUM($G54:BM54))</f>
        <v/>
      </c>
      <c r="BN252" s="122">
        <f>(($E252)-SUM($G54:BN54))</f>
        <v/>
      </c>
      <c r="BO252" s="122" t="n"/>
      <c r="BP252" s="122" t="n"/>
      <c r="BQ252" s="122" t="n"/>
      <c r="BR252" s="122" t="n"/>
      <c r="BS252" s="122" t="n"/>
      <c r="BT252" s="122" t="n"/>
      <c r="BU252" s="122" t="n"/>
      <c r="BV252" s="122" t="n"/>
      <c r="BW252" s="122" t="n"/>
      <c r="BX252" s="122" t="n"/>
      <c r="BY252" s="122" t="n"/>
      <c r="BZ252" s="122" t="n"/>
      <c r="CA252" s="504" t="n"/>
      <c r="CB252" s="504" t="n"/>
      <c r="CC252" s="504" t="n"/>
      <c r="CD252" s="123">
        <f>(BN252)</f>
        <v/>
      </c>
      <c r="CE252" s="397">
        <f>(CE54)</f>
        <v/>
      </c>
      <c r="CF252" s="386">
        <f>IF(CD252=CE252,"Y","N")</f>
        <v/>
      </c>
    </row>
    <row r="253" ht="15" customHeight="1" s="1883">
      <c r="D253" s="149" t="inlineStr">
        <is>
          <t>Month 30</t>
        </is>
      </c>
      <c r="E253" s="123">
        <f>(E55)</f>
        <v/>
      </c>
      <c r="G253" s="122" t="n"/>
      <c r="H253" s="122" t="n"/>
      <c r="I253" s="122" t="n"/>
      <c r="J253" s="122" t="n"/>
      <c r="K253" s="122" t="n"/>
      <c r="L253" s="122" t="n"/>
      <c r="M253" s="122" t="n"/>
      <c r="N253" s="122" t="n"/>
      <c r="O253" s="122" t="n"/>
      <c r="P253" s="122" t="n"/>
      <c r="Q253" s="122" t="n"/>
      <c r="R253" s="122" t="n"/>
      <c r="S253" s="444" t="n"/>
      <c r="T253" s="122" t="n"/>
      <c r="U253" s="122" t="n"/>
      <c r="V253" s="122" t="n"/>
      <c r="W253" s="122" t="n"/>
      <c r="X253" s="122" t="n"/>
      <c r="Y253" s="122" t="n"/>
      <c r="Z253" s="122" t="n"/>
      <c r="AA253" s="122" t="n"/>
      <c r="AB253" s="122" t="n"/>
      <c r="AC253" s="122" t="n"/>
      <c r="AD253" s="122" t="n"/>
      <c r="AE253" s="444" t="n"/>
      <c r="AF253" s="122" t="n"/>
      <c r="AG253" s="122" t="n"/>
      <c r="AH253" s="122" t="n"/>
      <c r="AI253" s="122" t="n"/>
      <c r="AJ253" s="443">
        <f>(($E253)-SUM($G55:AJ55))</f>
        <v/>
      </c>
      <c r="AK253" s="443">
        <f>(($E253)-SUM($G55:AK55))</f>
        <v/>
      </c>
      <c r="AL253" s="122">
        <f>(($E253)-SUM($G55:AL55))</f>
        <v/>
      </c>
      <c r="AM253" s="122">
        <f>(($E253)-SUM($G55:AM55))</f>
        <v/>
      </c>
      <c r="AN253" s="122">
        <f>(($E253)-SUM($G55:AN55))</f>
        <v/>
      </c>
      <c r="AO253" s="122">
        <f>(($E253)-SUM($G55:AO55))</f>
        <v/>
      </c>
      <c r="AP253" s="122">
        <f>(($E253)-SUM($G55:AP55))</f>
        <v/>
      </c>
      <c r="AQ253" s="444">
        <f>(($E253)-SUM($G55:AQ55))</f>
        <v/>
      </c>
      <c r="AR253" s="122">
        <f>(($E253)-SUM($G55:AR55))</f>
        <v/>
      </c>
      <c r="AS253" s="122">
        <f>(($E253)-SUM($G55:AS55))</f>
        <v/>
      </c>
      <c r="AT253" s="122">
        <f>(($E253)-SUM($G55:AT55))</f>
        <v/>
      </c>
      <c r="AU253" s="122">
        <f>(($E253)-SUM($G55:AU55))</f>
        <v/>
      </c>
      <c r="AV253" s="122">
        <f>(($E253)-SUM($G55:AV55))</f>
        <v/>
      </c>
      <c r="AW253" s="122">
        <f>(($E253)-SUM($G55:AW55))</f>
        <v/>
      </c>
      <c r="AX253" s="122">
        <f>(($E253)-SUM($G55:AX55))</f>
        <v/>
      </c>
      <c r="AY253" s="122">
        <f>(($E253)-SUM($G55:AY55))</f>
        <v/>
      </c>
      <c r="AZ253" s="122">
        <f>(($E253)-SUM($G55:AZ55))</f>
        <v/>
      </c>
      <c r="BA253" s="122">
        <f>(($E253)-SUM($G55:BA55))</f>
        <v/>
      </c>
      <c r="BB253" s="122">
        <f>(($E253)-SUM($G55:BB55))</f>
        <v/>
      </c>
      <c r="BC253" s="444">
        <f>(($E253)-SUM($G55:BC55))</f>
        <v/>
      </c>
      <c r="BD253" s="122">
        <f>(($E253)-SUM($G55:BD55))</f>
        <v/>
      </c>
      <c r="BE253" s="122">
        <f>(($E253)-SUM($G55:BE55))</f>
        <v/>
      </c>
      <c r="BF253" s="122">
        <f>(($E253)-SUM($G55:BF55))</f>
        <v/>
      </c>
      <c r="BG253" s="122">
        <f>(($E253)-SUM($G55:BG55))</f>
        <v/>
      </c>
      <c r="BH253" s="122">
        <f>(($E253)-SUM($G55:BH55))</f>
        <v/>
      </c>
      <c r="BI253" s="122">
        <f>(($E253)-SUM($G55:BI55))</f>
        <v/>
      </c>
      <c r="BJ253" s="122">
        <f>(($E253)-SUM($G55:BJ55))</f>
        <v/>
      </c>
      <c r="BK253" s="122">
        <f>(($E253)-SUM($G55:BK55))</f>
        <v/>
      </c>
      <c r="BL253" s="122">
        <f>(($E253)-SUM($G55:BL55))</f>
        <v/>
      </c>
      <c r="BM253" s="122">
        <f>(($E253)-SUM($G55:BM55))</f>
        <v/>
      </c>
      <c r="BN253" s="122">
        <f>(($E253)-SUM($G55:BN55))</f>
        <v/>
      </c>
      <c r="BO253" s="122" t="n"/>
      <c r="BP253" s="122" t="n"/>
      <c r="BQ253" s="122" t="n"/>
      <c r="BR253" s="122" t="n"/>
      <c r="BS253" s="122" t="n"/>
      <c r="BT253" s="122" t="n"/>
      <c r="BU253" s="122" t="n"/>
      <c r="BV253" s="122" t="n"/>
      <c r="BW253" s="122" t="n"/>
      <c r="BX253" s="122" t="n"/>
      <c r="BY253" s="122" t="n"/>
      <c r="BZ253" s="122" t="n"/>
      <c r="CA253" s="504" t="n"/>
      <c r="CB253" s="504" t="n"/>
      <c r="CC253" s="504" t="n"/>
      <c r="CD253" s="123">
        <f>(BN253)</f>
        <v/>
      </c>
      <c r="CE253" s="397">
        <f>(CE55)</f>
        <v/>
      </c>
      <c r="CF253" s="386">
        <f>IF(CD253=CE253,"Y","N")</f>
        <v/>
      </c>
    </row>
    <row r="254" ht="15" customHeight="1" s="1883">
      <c r="D254" s="149" t="inlineStr">
        <is>
          <t>Month 31</t>
        </is>
      </c>
      <c r="E254" s="123">
        <f>(E56)</f>
        <v/>
      </c>
      <c r="G254" s="122" t="n"/>
      <c r="H254" s="122" t="n"/>
      <c r="I254" s="122" t="n"/>
      <c r="J254" s="122" t="n"/>
      <c r="K254" s="122" t="n"/>
      <c r="L254" s="122" t="n"/>
      <c r="M254" s="122" t="n"/>
      <c r="N254" s="122" t="n"/>
      <c r="O254" s="122" t="n"/>
      <c r="P254" s="122" t="n"/>
      <c r="Q254" s="122" t="n"/>
      <c r="R254" s="122" t="n"/>
      <c r="S254" s="444" t="n"/>
      <c r="T254" s="122" t="n"/>
      <c r="U254" s="122" t="n"/>
      <c r="V254" s="122" t="n"/>
      <c r="W254" s="122" t="n"/>
      <c r="X254" s="122" t="n"/>
      <c r="Y254" s="122" t="n"/>
      <c r="Z254" s="122" t="n"/>
      <c r="AA254" s="122" t="n"/>
      <c r="AB254" s="122" t="n"/>
      <c r="AC254" s="122" t="n"/>
      <c r="AD254" s="122" t="n"/>
      <c r="AE254" s="444" t="n"/>
      <c r="AF254" s="122" t="n"/>
      <c r="AG254" s="122" t="n"/>
      <c r="AH254" s="122" t="n"/>
      <c r="AI254" s="122" t="n"/>
      <c r="AJ254" s="122" t="n"/>
      <c r="AK254" s="443">
        <f>(($E254)-SUM($G56:AK56))</f>
        <v/>
      </c>
      <c r="AL254" s="443">
        <f>(($E254)-SUM($G56:AL56))</f>
        <v/>
      </c>
      <c r="AM254" s="122">
        <f>(($E254)-SUM($G56:AM56))</f>
        <v/>
      </c>
      <c r="AN254" s="122">
        <f>(($E254)-SUM($G56:AN56))</f>
        <v/>
      </c>
      <c r="AO254" s="122">
        <f>(($E254)-SUM($G56:AO56))</f>
        <v/>
      </c>
      <c r="AP254" s="122">
        <f>(($E254)-SUM($G56:AP56))</f>
        <v/>
      </c>
      <c r="AQ254" s="444">
        <f>(($E254)-SUM($G56:AQ56))</f>
        <v/>
      </c>
      <c r="AR254" s="122">
        <f>(($E254)-SUM($G56:AR56))</f>
        <v/>
      </c>
      <c r="AS254" s="122">
        <f>(($E254)-SUM($G56:AS56))</f>
        <v/>
      </c>
      <c r="AT254" s="122">
        <f>(($E254)-SUM($G56:AT56))</f>
        <v/>
      </c>
      <c r="AU254" s="122">
        <f>(($E254)-SUM($G56:AU56))</f>
        <v/>
      </c>
      <c r="AV254" s="122">
        <f>(($E254)-SUM($G56:AV56))</f>
        <v/>
      </c>
      <c r="AW254" s="122">
        <f>(($E254)-SUM($G56:AW56))</f>
        <v/>
      </c>
      <c r="AX254" s="122">
        <f>(($E254)-SUM($G56:AX56))</f>
        <v/>
      </c>
      <c r="AY254" s="122">
        <f>(($E254)-SUM($G56:AY56))</f>
        <v/>
      </c>
      <c r="AZ254" s="122">
        <f>(($E254)-SUM($G56:AZ56))</f>
        <v/>
      </c>
      <c r="BA254" s="122">
        <f>(($E254)-SUM($G56:BA56))</f>
        <v/>
      </c>
      <c r="BB254" s="122">
        <f>(($E254)-SUM($G56:BB56))</f>
        <v/>
      </c>
      <c r="BC254" s="444">
        <f>(($E254)-SUM($G56:BC56))</f>
        <v/>
      </c>
      <c r="BD254" s="122">
        <f>(($E254)-SUM($G56:BD56))</f>
        <v/>
      </c>
      <c r="BE254" s="122">
        <f>(($E254)-SUM($G56:BE56))</f>
        <v/>
      </c>
      <c r="BF254" s="122">
        <f>(($E254)-SUM($G56:BF56))</f>
        <v/>
      </c>
      <c r="BG254" s="122">
        <f>(($E254)-SUM($G56:BG56))</f>
        <v/>
      </c>
      <c r="BH254" s="122">
        <f>(($E254)-SUM($G56:BH56))</f>
        <v/>
      </c>
      <c r="BI254" s="122">
        <f>(($E254)-SUM($G56:BI56))</f>
        <v/>
      </c>
      <c r="BJ254" s="122">
        <f>(($E254)-SUM($G56:BJ56))</f>
        <v/>
      </c>
      <c r="BK254" s="122">
        <f>(($E254)-SUM($G56:BK56))</f>
        <v/>
      </c>
      <c r="BL254" s="122">
        <f>(($E254)-SUM($G56:BL56))</f>
        <v/>
      </c>
      <c r="BM254" s="122">
        <f>(($E254)-SUM($G56:BM56))</f>
        <v/>
      </c>
      <c r="BN254" s="122">
        <f>(($E254)-SUM($G56:BN56))</f>
        <v/>
      </c>
      <c r="BO254" s="122" t="n"/>
      <c r="BP254" s="122" t="n"/>
      <c r="BQ254" s="122" t="n"/>
      <c r="BR254" s="122" t="n"/>
      <c r="BS254" s="122" t="n"/>
      <c r="BT254" s="122" t="n"/>
      <c r="BU254" s="122" t="n"/>
      <c r="BV254" s="122" t="n"/>
      <c r="BW254" s="122" t="n"/>
      <c r="BX254" s="122" t="n"/>
      <c r="BY254" s="122" t="n"/>
      <c r="BZ254" s="122" t="n"/>
      <c r="CA254" s="504" t="n"/>
      <c r="CB254" s="504" t="n"/>
      <c r="CC254" s="504" t="n"/>
      <c r="CD254" s="123">
        <f>(BN254)</f>
        <v/>
      </c>
      <c r="CE254" s="397">
        <f>(CE56)</f>
        <v/>
      </c>
      <c r="CF254" s="386">
        <f>IF(CD254=CE254,"Y","N")</f>
        <v/>
      </c>
    </row>
    <row r="255" ht="15" customHeight="1" s="1883">
      <c r="D255" s="149" t="inlineStr">
        <is>
          <t>Month 32</t>
        </is>
      </c>
      <c r="E255" s="123">
        <f>(E57)</f>
        <v/>
      </c>
      <c r="G255" s="122" t="n"/>
      <c r="H255" s="122" t="n"/>
      <c r="I255" s="122" t="n"/>
      <c r="J255" s="122" t="n"/>
      <c r="K255" s="122" t="n"/>
      <c r="L255" s="122" t="n"/>
      <c r="M255" s="122" t="n"/>
      <c r="N255" s="122" t="n"/>
      <c r="O255" s="122" t="n"/>
      <c r="P255" s="122" t="n"/>
      <c r="Q255" s="122" t="n"/>
      <c r="R255" s="122" t="n"/>
      <c r="S255" s="444" t="n"/>
      <c r="T255" s="122" t="n"/>
      <c r="U255" s="122" t="n"/>
      <c r="V255" s="122" t="n"/>
      <c r="W255" s="122" t="n"/>
      <c r="X255" s="122" t="n"/>
      <c r="Y255" s="122" t="n"/>
      <c r="Z255" s="122" t="n"/>
      <c r="AA255" s="122" t="n"/>
      <c r="AB255" s="122" t="n"/>
      <c r="AC255" s="122" t="n"/>
      <c r="AD255" s="122" t="n"/>
      <c r="AE255" s="444" t="n"/>
      <c r="AF255" s="122" t="n"/>
      <c r="AG255" s="122" t="n"/>
      <c r="AH255" s="122" t="n"/>
      <c r="AI255" s="122" t="n"/>
      <c r="AJ255" s="122" t="n"/>
      <c r="AK255" s="122" t="n"/>
      <c r="AL255" s="443">
        <f>(($E255)-SUM($G57:AL57))</f>
        <v/>
      </c>
      <c r="AM255" s="443">
        <f>(($E255)-SUM($G57:AM57))</f>
        <v/>
      </c>
      <c r="AN255" s="122">
        <f>(($E255)-SUM($G57:AN57))</f>
        <v/>
      </c>
      <c r="AO255" s="122">
        <f>(($E255)-SUM($G57:AO57))</f>
        <v/>
      </c>
      <c r="AP255" s="122">
        <f>(($E255)-SUM($G57:AP57))</f>
        <v/>
      </c>
      <c r="AQ255" s="444">
        <f>(($E255)-SUM($G57:AQ57))</f>
        <v/>
      </c>
      <c r="AR255" s="122">
        <f>(($E255)-SUM($G57:AR57))</f>
        <v/>
      </c>
      <c r="AS255" s="122">
        <f>(($E255)-SUM($G57:AS57))</f>
        <v/>
      </c>
      <c r="AT255" s="122">
        <f>(($E255)-SUM($G57:AT57))</f>
        <v/>
      </c>
      <c r="AU255" s="122">
        <f>(($E255)-SUM($G57:AU57))</f>
        <v/>
      </c>
      <c r="AV255" s="122">
        <f>(($E255)-SUM($G57:AV57))</f>
        <v/>
      </c>
      <c r="AW255" s="122">
        <f>(($E255)-SUM($G57:AW57))</f>
        <v/>
      </c>
      <c r="AX255" s="122">
        <f>(($E255)-SUM($G57:AX57))</f>
        <v/>
      </c>
      <c r="AY255" s="122">
        <f>(($E255)-SUM($G57:AY57))</f>
        <v/>
      </c>
      <c r="AZ255" s="122">
        <f>(($E255)-SUM($G57:AZ57))</f>
        <v/>
      </c>
      <c r="BA255" s="122">
        <f>(($E255)-SUM($G57:BA57))</f>
        <v/>
      </c>
      <c r="BB255" s="122">
        <f>(($E255)-SUM($G57:BB57))</f>
        <v/>
      </c>
      <c r="BC255" s="444">
        <f>(($E255)-SUM($G57:BC57))</f>
        <v/>
      </c>
      <c r="BD255" s="122">
        <f>(($E255)-SUM($G57:BD57))</f>
        <v/>
      </c>
      <c r="BE255" s="122">
        <f>(($E255)-SUM($G57:BE57))</f>
        <v/>
      </c>
      <c r="BF255" s="122">
        <f>(($E255)-SUM($G57:BF57))</f>
        <v/>
      </c>
      <c r="BG255" s="122">
        <f>(($E255)-SUM($G57:BG57))</f>
        <v/>
      </c>
      <c r="BH255" s="122">
        <f>(($E255)-SUM($G57:BH57))</f>
        <v/>
      </c>
      <c r="BI255" s="122">
        <f>(($E255)-SUM($G57:BI57))</f>
        <v/>
      </c>
      <c r="BJ255" s="122">
        <f>(($E255)-SUM($G57:BJ57))</f>
        <v/>
      </c>
      <c r="BK255" s="122">
        <f>(($E255)-SUM($G57:BK57))</f>
        <v/>
      </c>
      <c r="BL255" s="122">
        <f>(($E255)-SUM($G57:BL57))</f>
        <v/>
      </c>
      <c r="BM255" s="122">
        <f>(($E255)-SUM($G57:BM57))</f>
        <v/>
      </c>
      <c r="BN255" s="122">
        <f>(($E255)-SUM($G57:BN57))</f>
        <v/>
      </c>
      <c r="BO255" s="122" t="n"/>
      <c r="BP255" s="122" t="n"/>
      <c r="BQ255" s="122" t="n"/>
      <c r="BR255" s="122" t="n"/>
      <c r="BS255" s="122" t="n"/>
      <c r="BT255" s="122" t="n"/>
      <c r="BU255" s="122" t="n"/>
      <c r="BV255" s="122" t="n"/>
      <c r="BW255" s="122" t="n"/>
      <c r="BX255" s="122" t="n"/>
      <c r="BY255" s="122" t="n"/>
      <c r="BZ255" s="122" t="n"/>
      <c r="CA255" s="504" t="n"/>
      <c r="CB255" s="504" t="n"/>
      <c r="CC255" s="504" t="n"/>
      <c r="CD255" s="123">
        <f>(BN255)</f>
        <v/>
      </c>
      <c r="CE255" s="397">
        <f>(CE57)</f>
        <v/>
      </c>
      <c r="CF255" s="386">
        <f>IF(CD255=CE255,"Y","N")</f>
        <v/>
      </c>
    </row>
    <row r="256" ht="15" customHeight="1" s="1883">
      <c r="D256" s="149" t="inlineStr">
        <is>
          <t>Month 33</t>
        </is>
      </c>
      <c r="E256" s="123">
        <f>(E58)</f>
        <v/>
      </c>
      <c r="G256" s="122" t="n"/>
      <c r="H256" s="122" t="n"/>
      <c r="I256" s="122" t="n"/>
      <c r="J256" s="122" t="n"/>
      <c r="K256" s="122" t="n"/>
      <c r="L256" s="122" t="n"/>
      <c r="M256" s="122" t="n"/>
      <c r="N256" s="122" t="n"/>
      <c r="O256" s="122" t="n"/>
      <c r="P256" s="122" t="n"/>
      <c r="Q256" s="122" t="n"/>
      <c r="R256" s="122" t="n"/>
      <c r="S256" s="444" t="n"/>
      <c r="T256" s="122" t="n"/>
      <c r="U256" s="122" t="n"/>
      <c r="V256" s="122" t="n"/>
      <c r="W256" s="122" t="n"/>
      <c r="X256" s="122" t="n"/>
      <c r="Y256" s="122" t="n"/>
      <c r="Z256" s="122" t="n"/>
      <c r="AA256" s="122" t="n"/>
      <c r="AB256" s="122" t="n"/>
      <c r="AC256" s="122" t="n"/>
      <c r="AD256" s="122" t="n"/>
      <c r="AE256" s="444" t="n"/>
      <c r="AF256" s="122" t="n"/>
      <c r="AG256" s="122" t="n"/>
      <c r="AH256" s="122" t="n"/>
      <c r="AI256" s="122" t="n"/>
      <c r="AJ256" s="122" t="n"/>
      <c r="AK256" s="122" t="n"/>
      <c r="AL256" s="122" t="n"/>
      <c r="AM256" s="443">
        <f>(($E256)-SUM($G58:AM58))</f>
        <v/>
      </c>
      <c r="AN256" s="443">
        <f>(($E256)-SUM($G58:AN58))</f>
        <v/>
      </c>
      <c r="AO256" s="122">
        <f>(($E256)-SUM($G58:AO58))</f>
        <v/>
      </c>
      <c r="AP256" s="122">
        <f>(($E256)-SUM($G58:AP58))</f>
        <v/>
      </c>
      <c r="AQ256" s="444">
        <f>(($E256)-SUM($G58:AQ58))</f>
        <v/>
      </c>
      <c r="AR256" s="122">
        <f>(($E256)-SUM($G58:AR58))</f>
        <v/>
      </c>
      <c r="AS256" s="122">
        <f>(($E256)-SUM($G58:AS58))</f>
        <v/>
      </c>
      <c r="AT256" s="122">
        <f>(($E256)-SUM($G58:AT58))</f>
        <v/>
      </c>
      <c r="AU256" s="122">
        <f>(($E256)-SUM($G58:AU58))</f>
        <v/>
      </c>
      <c r="AV256" s="122">
        <f>(($E256)-SUM($G58:AV58))</f>
        <v/>
      </c>
      <c r="AW256" s="122">
        <f>(($E256)-SUM($G58:AW58))</f>
        <v/>
      </c>
      <c r="AX256" s="122">
        <f>(($E256)-SUM($G58:AX58))</f>
        <v/>
      </c>
      <c r="AY256" s="122">
        <f>(($E256)-SUM($G58:AY58))</f>
        <v/>
      </c>
      <c r="AZ256" s="122">
        <f>(($E256)-SUM($G58:AZ58))</f>
        <v/>
      </c>
      <c r="BA256" s="122">
        <f>(($E256)-SUM($G58:BA58))</f>
        <v/>
      </c>
      <c r="BB256" s="122">
        <f>(($E256)-SUM($G58:BB58))</f>
        <v/>
      </c>
      <c r="BC256" s="444">
        <f>(($E256)-SUM($G58:BC58))</f>
        <v/>
      </c>
      <c r="BD256" s="122">
        <f>(($E256)-SUM($G58:BD58))</f>
        <v/>
      </c>
      <c r="BE256" s="122">
        <f>(($E256)-SUM($G58:BE58))</f>
        <v/>
      </c>
      <c r="BF256" s="122">
        <f>(($E256)-SUM($G58:BF58))</f>
        <v/>
      </c>
      <c r="BG256" s="122">
        <f>(($E256)-SUM($G58:BG58))</f>
        <v/>
      </c>
      <c r="BH256" s="122">
        <f>(($E256)-SUM($G58:BH58))</f>
        <v/>
      </c>
      <c r="BI256" s="122">
        <f>(($E256)-SUM($G58:BI58))</f>
        <v/>
      </c>
      <c r="BJ256" s="122">
        <f>(($E256)-SUM($G58:BJ58))</f>
        <v/>
      </c>
      <c r="BK256" s="122">
        <f>(($E256)-SUM($G58:BK58))</f>
        <v/>
      </c>
      <c r="BL256" s="122">
        <f>(($E256)-SUM($G58:BL58))</f>
        <v/>
      </c>
      <c r="BM256" s="122">
        <f>(($E256)-SUM($G58:BM58))</f>
        <v/>
      </c>
      <c r="BN256" s="122">
        <f>(($E256)-SUM($G58:BN58))</f>
        <v/>
      </c>
      <c r="BO256" s="122" t="n"/>
      <c r="BP256" s="122" t="n"/>
      <c r="BQ256" s="122" t="n"/>
      <c r="BR256" s="122" t="n"/>
      <c r="BS256" s="122" t="n"/>
      <c r="BT256" s="122" t="n"/>
      <c r="BU256" s="122" t="n"/>
      <c r="BV256" s="122" t="n"/>
      <c r="BW256" s="122" t="n"/>
      <c r="BX256" s="122" t="n"/>
      <c r="BY256" s="122" t="n"/>
      <c r="BZ256" s="122" t="n"/>
      <c r="CA256" s="504" t="n"/>
      <c r="CB256" s="504" t="n"/>
      <c r="CC256" s="504" t="n"/>
      <c r="CD256" s="123">
        <f>(BN256)</f>
        <v/>
      </c>
      <c r="CE256" s="397">
        <f>(CE58)</f>
        <v/>
      </c>
      <c r="CF256" s="386">
        <f>IF(CD256=CE256,"Y","N")</f>
        <v/>
      </c>
    </row>
    <row r="257" ht="15" customHeight="1" s="1883">
      <c r="D257" s="149" t="inlineStr">
        <is>
          <t>Month 34</t>
        </is>
      </c>
      <c r="E257" s="123">
        <f>(E59)</f>
        <v/>
      </c>
      <c r="G257" s="122" t="n"/>
      <c r="H257" s="122" t="n"/>
      <c r="I257" s="122" t="n"/>
      <c r="J257" s="122" t="n"/>
      <c r="K257" s="122" t="n"/>
      <c r="L257" s="122" t="n"/>
      <c r="M257" s="122" t="n"/>
      <c r="N257" s="122" t="n"/>
      <c r="O257" s="122" t="n"/>
      <c r="P257" s="122" t="n"/>
      <c r="Q257" s="122" t="n"/>
      <c r="R257" s="122" t="n"/>
      <c r="S257" s="444" t="n"/>
      <c r="T257" s="122" t="n"/>
      <c r="U257" s="122" t="n"/>
      <c r="V257" s="122" t="n"/>
      <c r="W257" s="122" t="n"/>
      <c r="X257" s="122" t="n"/>
      <c r="Y257" s="122" t="n"/>
      <c r="Z257" s="122" t="n"/>
      <c r="AA257" s="122" t="n"/>
      <c r="AB257" s="122" t="n"/>
      <c r="AC257" s="122" t="n"/>
      <c r="AD257" s="122" t="n"/>
      <c r="AE257" s="444" t="n"/>
      <c r="AF257" s="122" t="n"/>
      <c r="AG257" s="122" t="n"/>
      <c r="AH257" s="122" t="n"/>
      <c r="AI257" s="122" t="n"/>
      <c r="AJ257" s="122" t="n"/>
      <c r="AK257" s="122" t="n"/>
      <c r="AL257" s="122" t="n"/>
      <c r="AM257" s="122" t="n"/>
      <c r="AN257" s="443">
        <f>(($E257)-SUM($G59:AN59))</f>
        <v/>
      </c>
      <c r="AO257" s="443">
        <f>(($E257)-SUM($G59:AO59))</f>
        <v/>
      </c>
      <c r="AP257" s="122">
        <f>(($E257)-SUM($G59:AP59))</f>
        <v/>
      </c>
      <c r="AQ257" s="444">
        <f>(($E257)-SUM($G59:AQ59))</f>
        <v/>
      </c>
      <c r="AR257" s="122">
        <f>(($E257)-SUM($G59:AR59))</f>
        <v/>
      </c>
      <c r="AS257" s="122">
        <f>(($E257)-SUM($G59:AS59))</f>
        <v/>
      </c>
      <c r="AT257" s="122">
        <f>(($E257)-SUM($G59:AT59))</f>
        <v/>
      </c>
      <c r="AU257" s="122">
        <f>(($E257)-SUM($G59:AU59))</f>
        <v/>
      </c>
      <c r="AV257" s="122">
        <f>(($E257)-SUM($G59:AV59))</f>
        <v/>
      </c>
      <c r="AW257" s="122">
        <f>(($E257)-SUM($G59:AW59))</f>
        <v/>
      </c>
      <c r="AX257" s="122">
        <f>(($E257)-SUM($G59:AX59))</f>
        <v/>
      </c>
      <c r="AY257" s="122">
        <f>(($E257)-SUM($G59:AY59))</f>
        <v/>
      </c>
      <c r="AZ257" s="122">
        <f>(($E257)-SUM($G59:AZ59))</f>
        <v/>
      </c>
      <c r="BA257" s="122">
        <f>(($E257)-SUM($G59:BA59))</f>
        <v/>
      </c>
      <c r="BB257" s="122">
        <f>(($E257)-SUM($G59:BB59))</f>
        <v/>
      </c>
      <c r="BC257" s="444">
        <f>(($E257)-SUM($G59:BC59))</f>
        <v/>
      </c>
      <c r="BD257" s="122">
        <f>(($E257)-SUM($G59:BD59))</f>
        <v/>
      </c>
      <c r="BE257" s="122">
        <f>(($E257)-SUM($G59:BE59))</f>
        <v/>
      </c>
      <c r="BF257" s="122">
        <f>(($E257)-SUM($G59:BF59))</f>
        <v/>
      </c>
      <c r="BG257" s="122">
        <f>(($E257)-SUM($G59:BG59))</f>
        <v/>
      </c>
      <c r="BH257" s="122">
        <f>(($E257)-SUM($G59:BH59))</f>
        <v/>
      </c>
      <c r="BI257" s="122">
        <f>(($E257)-SUM($G59:BI59))</f>
        <v/>
      </c>
      <c r="BJ257" s="122">
        <f>(($E257)-SUM($G59:BJ59))</f>
        <v/>
      </c>
      <c r="BK257" s="122">
        <f>(($E257)-SUM($G59:BK59))</f>
        <v/>
      </c>
      <c r="BL257" s="122">
        <f>(($E257)-SUM($G59:BL59))</f>
        <v/>
      </c>
      <c r="BM257" s="122">
        <f>(($E257)-SUM($G59:BM59))</f>
        <v/>
      </c>
      <c r="BN257" s="122">
        <f>(($E257)-SUM($G59:BN59))</f>
        <v/>
      </c>
      <c r="BO257" s="122" t="n"/>
      <c r="BP257" s="122" t="n"/>
      <c r="BQ257" s="122" t="n"/>
      <c r="BR257" s="122" t="n"/>
      <c r="BS257" s="122" t="n"/>
      <c r="BT257" s="122" t="n"/>
      <c r="BU257" s="122" t="n"/>
      <c r="BV257" s="122" t="n"/>
      <c r="BW257" s="122" t="n"/>
      <c r="BX257" s="122" t="n"/>
      <c r="BY257" s="122" t="n"/>
      <c r="BZ257" s="122" t="n"/>
      <c r="CA257" s="504" t="n"/>
      <c r="CB257" s="504" t="n"/>
      <c r="CC257" s="504" t="n"/>
      <c r="CD257" s="123">
        <f>(BN257)</f>
        <v/>
      </c>
      <c r="CE257" s="397">
        <f>(CE59)</f>
        <v/>
      </c>
      <c r="CF257" s="386">
        <f>IF(CD257=CE257,"Y","N")</f>
        <v/>
      </c>
    </row>
    <row r="258" ht="15" customHeight="1" s="1883">
      <c r="D258" s="149" t="inlineStr">
        <is>
          <t>Month 35</t>
        </is>
      </c>
      <c r="E258" s="123">
        <f>(E60)</f>
        <v/>
      </c>
      <c r="G258" s="122" t="n"/>
      <c r="H258" s="122" t="n"/>
      <c r="I258" s="122" t="n"/>
      <c r="J258" s="122" t="n"/>
      <c r="K258" s="122" t="n"/>
      <c r="L258" s="122" t="n"/>
      <c r="M258" s="122" t="n"/>
      <c r="N258" s="122" t="n"/>
      <c r="O258" s="122" t="n"/>
      <c r="P258" s="122" t="n"/>
      <c r="Q258" s="122" t="n"/>
      <c r="R258" s="122" t="n"/>
      <c r="S258" s="444" t="n"/>
      <c r="T258" s="122" t="n"/>
      <c r="U258" s="122" t="n"/>
      <c r="V258" s="122" t="n"/>
      <c r="W258" s="122" t="n"/>
      <c r="X258" s="122" t="n"/>
      <c r="Y258" s="122" t="n"/>
      <c r="Z258" s="122" t="n"/>
      <c r="AA258" s="122" t="n"/>
      <c r="AB258" s="122" t="n"/>
      <c r="AC258" s="122" t="n"/>
      <c r="AD258" s="122" t="n"/>
      <c r="AE258" s="444" t="n"/>
      <c r="AF258" s="122" t="n"/>
      <c r="AG258" s="122" t="n"/>
      <c r="AH258" s="122" t="n"/>
      <c r="AI258" s="122" t="n"/>
      <c r="AJ258" s="122" t="n"/>
      <c r="AK258" s="122" t="n"/>
      <c r="AL258" s="122" t="n"/>
      <c r="AM258" s="122" t="n"/>
      <c r="AN258" s="122" t="n"/>
      <c r="AO258" s="443">
        <f>(($E258)-SUM($G60:AO60))</f>
        <v/>
      </c>
      <c r="AP258" s="443">
        <f>(($E258)-SUM($G60:AP60))</f>
        <v/>
      </c>
      <c r="AQ258" s="444">
        <f>(($E258)-SUM($G60:AQ60))</f>
        <v/>
      </c>
      <c r="AR258" s="122">
        <f>(($E258)-SUM($G60:AR60))</f>
        <v/>
      </c>
      <c r="AS258" s="122">
        <f>(($E258)-SUM($G60:AS60))</f>
        <v/>
      </c>
      <c r="AT258" s="122">
        <f>(($E258)-SUM($G60:AT60))</f>
        <v/>
      </c>
      <c r="AU258" s="122">
        <f>(($E258)-SUM($G60:AU60))</f>
        <v/>
      </c>
      <c r="AV258" s="122">
        <f>(($E258)-SUM($G60:AV60))</f>
        <v/>
      </c>
      <c r="AW258" s="122">
        <f>(($E258)-SUM($G60:AW60))</f>
        <v/>
      </c>
      <c r="AX258" s="122">
        <f>(($E258)-SUM($G60:AX60))</f>
        <v/>
      </c>
      <c r="AY258" s="122">
        <f>(($E258)-SUM($G60:AY60))</f>
        <v/>
      </c>
      <c r="AZ258" s="122">
        <f>(($E258)-SUM($G60:AZ60))</f>
        <v/>
      </c>
      <c r="BA258" s="122">
        <f>(($E258)-SUM($G60:BA60))</f>
        <v/>
      </c>
      <c r="BB258" s="122">
        <f>(($E258)-SUM($G60:BB60))</f>
        <v/>
      </c>
      <c r="BC258" s="444">
        <f>(($E258)-SUM($G60:BC60))</f>
        <v/>
      </c>
      <c r="BD258" s="122">
        <f>(($E258)-SUM($G60:BD60))</f>
        <v/>
      </c>
      <c r="BE258" s="122">
        <f>(($E258)-SUM($G60:BE60))</f>
        <v/>
      </c>
      <c r="BF258" s="122">
        <f>(($E258)-SUM($G60:BF60))</f>
        <v/>
      </c>
      <c r="BG258" s="122">
        <f>(($E258)-SUM($G60:BG60))</f>
        <v/>
      </c>
      <c r="BH258" s="122">
        <f>(($E258)-SUM($G60:BH60))</f>
        <v/>
      </c>
      <c r="BI258" s="122">
        <f>(($E258)-SUM($G60:BI60))</f>
        <v/>
      </c>
      <c r="BJ258" s="122">
        <f>(($E258)-SUM($G60:BJ60))</f>
        <v/>
      </c>
      <c r="BK258" s="122">
        <f>(($E258)-SUM($G60:BK60))</f>
        <v/>
      </c>
      <c r="BL258" s="122">
        <f>(($E258)-SUM($G60:BL60))</f>
        <v/>
      </c>
      <c r="BM258" s="122">
        <f>(($E258)-SUM($G60:BM60))</f>
        <v/>
      </c>
      <c r="BN258" s="122">
        <f>(($E258)-SUM($G60:BN60))</f>
        <v/>
      </c>
      <c r="BO258" s="122" t="n"/>
      <c r="BP258" s="122" t="n"/>
      <c r="BQ258" s="122" t="n"/>
      <c r="BR258" s="122" t="n"/>
      <c r="BS258" s="122" t="n"/>
      <c r="BT258" s="122" t="n"/>
      <c r="BU258" s="122" t="n"/>
      <c r="BV258" s="122" t="n"/>
      <c r="BW258" s="122" t="n"/>
      <c r="BX258" s="122" t="n"/>
      <c r="BY258" s="122" t="n"/>
      <c r="BZ258" s="122" t="n"/>
      <c r="CA258" s="504" t="n"/>
      <c r="CB258" s="504" t="n"/>
      <c r="CC258" s="504" t="n"/>
      <c r="CD258" s="123">
        <f>(BN258)</f>
        <v/>
      </c>
      <c r="CE258" s="397">
        <f>(CE60)</f>
        <v/>
      </c>
      <c r="CF258" s="386">
        <f>IF(CD258=CE258,"Y","N")</f>
        <v/>
      </c>
    </row>
    <row r="259" ht="15" customHeight="1" s="1883">
      <c r="D259" s="149" t="inlineStr">
        <is>
          <t>Month 36</t>
        </is>
      </c>
      <c r="E259" s="123">
        <f>(E61)</f>
        <v/>
      </c>
      <c r="G259" s="122" t="n"/>
      <c r="H259" s="122" t="n"/>
      <c r="I259" s="122" t="n"/>
      <c r="J259" s="122" t="n"/>
      <c r="K259" s="122" t="n"/>
      <c r="L259" s="122" t="n"/>
      <c r="M259" s="122" t="n"/>
      <c r="N259" s="122" t="n"/>
      <c r="O259" s="122" t="n"/>
      <c r="P259" s="122" t="n"/>
      <c r="Q259" s="122" t="n"/>
      <c r="R259" s="122" t="n"/>
      <c r="S259" s="444" t="n"/>
      <c r="T259" s="122" t="n"/>
      <c r="U259" s="122" t="n"/>
      <c r="V259" s="122" t="n"/>
      <c r="W259" s="122" t="n"/>
      <c r="X259" s="122" t="n"/>
      <c r="Y259" s="122" t="n"/>
      <c r="Z259" s="122" t="n"/>
      <c r="AA259" s="122" t="n"/>
      <c r="AB259" s="122" t="n"/>
      <c r="AC259" s="122" t="n"/>
      <c r="AD259" s="122" t="n"/>
      <c r="AE259" s="444" t="n"/>
      <c r="AF259" s="122" t="n"/>
      <c r="AG259" s="122" t="n"/>
      <c r="AH259" s="122" t="n"/>
      <c r="AI259" s="122" t="n"/>
      <c r="AJ259" s="122" t="n"/>
      <c r="AK259" s="122" t="n"/>
      <c r="AL259" s="122" t="n"/>
      <c r="AM259" s="122" t="n"/>
      <c r="AN259" s="122" t="n"/>
      <c r="AO259" s="122" t="n"/>
      <c r="AP259" s="443">
        <f>(($E259)-SUM($G61:AP61))</f>
        <v/>
      </c>
      <c r="AQ259" s="453">
        <f>(($E259)-SUM($G61:AQ61))</f>
        <v/>
      </c>
      <c r="AR259" s="122">
        <f>(($E259)-SUM($G61:AR61))</f>
        <v/>
      </c>
      <c r="AS259" s="122">
        <f>(($E259)-SUM($G61:AS61))</f>
        <v/>
      </c>
      <c r="AT259" s="122">
        <f>(($E259)-SUM($G61:AT61))</f>
        <v/>
      </c>
      <c r="AU259" s="122">
        <f>(($E259)-SUM($G61:AU61))</f>
        <v/>
      </c>
      <c r="AV259" s="122">
        <f>(($E259)-SUM($G61:AV61))</f>
        <v/>
      </c>
      <c r="AW259" s="122">
        <f>(($E259)-SUM($G61:AW61))</f>
        <v/>
      </c>
      <c r="AX259" s="122">
        <f>(($E259)-SUM($G61:AX61))</f>
        <v/>
      </c>
      <c r="AY259" s="122">
        <f>(($E259)-SUM($G61:AY61))</f>
        <v/>
      </c>
      <c r="AZ259" s="122">
        <f>(($E259)-SUM($G61:AZ61))</f>
        <v/>
      </c>
      <c r="BA259" s="122">
        <f>(($E259)-SUM($G61:BA61))</f>
        <v/>
      </c>
      <c r="BB259" s="122">
        <f>(($E259)-SUM($G61:BB61))</f>
        <v/>
      </c>
      <c r="BC259" s="444">
        <f>(($E259)-SUM($G61:BC61))</f>
        <v/>
      </c>
      <c r="BD259" s="122">
        <f>(($E259)-SUM($G61:BD61))</f>
        <v/>
      </c>
      <c r="BE259" s="122">
        <f>(($E259)-SUM($G61:BE61))</f>
        <v/>
      </c>
      <c r="BF259" s="122">
        <f>(($E259)-SUM($G61:BF61))</f>
        <v/>
      </c>
      <c r="BG259" s="122">
        <f>(($E259)-SUM($G61:BG61))</f>
        <v/>
      </c>
      <c r="BH259" s="122">
        <f>(($E259)-SUM($G61:BH61))</f>
        <v/>
      </c>
      <c r="BI259" s="122">
        <f>(($E259)-SUM($G61:BI61))</f>
        <v/>
      </c>
      <c r="BJ259" s="122">
        <f>(($E259)-SUM($G61:BJ61))</f>
        <v/>
      </c>
      <c r="BK259" s="122">
        <f>(($E259)-SUM($G61:BK61))</f>
        <v/>
      </c>
      <c r="BL259" s="122">
        <f>(($E259)-SUM($G61:BL61))</f>
        <v/>
      </c>
      <c r="BM259" s="122">
        <f>(($E259)-SUM($G61:BM61))</f>
        <v/>
      </c>
      <c r="BN259" s="122">
        <f>(($E259)-SUM($G61:BN61))</f>
        <v/>
      </c>
      <c r="BO259" s="122" t="n"/>
      <c r="BP259" s="122" t="n"/>
      <c r="BQ259" s="122" t="n"/>
      <c r="BR259" s="122" t="n"/>
      <c r="BS259" s="122" t="n"/>
      <c r="BT259" s="122" t="n"/>
      <c r="BU259" s="122" t="n"/>
      <c r="BV259" s="122" t="n"/>
      <c r="BW259" s="122" t="n"/>
      <c r="BX259" s="122" t="n"/>
      <c r="BY259" s="122" t="n"/>
      <c r="BZ259" s="122" t="n"/>
      <c r="CA259" s="504" t="n"/>
      <c r="CB259" s="504" t="n"/>
      <c r="CC259" s="504" t="n"/>
      <c r="CD259" s="123">
        <f>(BN259)</f>
        <v/>
      </c>
      <c r="CE259" s="397">
        <f>(CE61)</f>
        <v/>
      </c>
      <c r="CF259" s="386">
        <f>IF(CD259=CE259,"Y","N")</f>
        <v/>
      </c>
    </row>
    <row r="260" ht="15" customHeight="1" s="1883">
      <c r="D260" s="149" t="inlineStr">
        <is>
          <t>Month 37</t>
        </is>
      </c>
      <c r="E260" s="123">
        <f>(E62)</f>
        <v/>
      </c>
      <c r="G260" s="122" t="n"/>
      <c r="H260" s="122" t="n"/>
      <c r="I260" s="122" t="n"/>
      <c r="J260" s="122" t="n"/>
      <c r="K260" s="122" t="n"/>
      <c r="L260" s="122" t="n"/>
      <c r="M260" s="122" t="n"/>
      <c r="N260" s="122" t="n"/>
      <c r="O260" s="122" t="n"/>
      <c r="P260" s="122" t="n"/>
      <c r="Q260" s="122" t="n"/>
      <c r="R260" s="122" t="n"/>
      <c r="S260" s="444" t="n"/>
      <c r="T260" s="122" t="n"/>
      <c r="U260" s="122" t="n"/>
      <c r="V260" s="122" t="n"/>
      <c r="W260" s="122" t="n"/>
      <c r="X260" s="122" t="n"/>
      <c r="Y260" s="122" t="n"/>
      <c r="Z260" s="122" t="n"/>
      <c r="AA260" s="122" t="n"/>
      <c r="AB260" s="122" t="n"/>
      <c r="AC260" s="122" t="n"/>
      <c r="AD260" s="122" t="n"/>
      <c r="AE260" s="444" t="n"/>
      <c r="AF260" s="122" t="n"/>
      <c r="AG260" s="122" t="n"/>
      <c r="AH260" s="122" t="n"/>
      <c r="AI260" s="122" t="n"/>
      <c r="AJ260" s="122" t="n"/>
      <c r="AK260" s="122" t="n"/>
      <c r="AL260" s="122" t="n"/>
      <c r="AM260" s="122" t="n"/>
      <c r="AN260" s="122" t="n"/>
      <c r="AO260" s="122" t="n"/>
      <c r="AP260" s="122" t="n"/>
      <c r="AQ260" s="453">
        <f>(($E260)-SUM($G62:AQ62))</f>
        <v/>
      </c>
      <c r="AR260" s="443">
        <f>(($E260)-SUM($G62:AR62))</f>
        <v/>
      </c>
      <c r="AS260" s="122">
        <f>(($E260)-SUM($G62:AS62))</f>
        <v/>
      </c>
      <c r="AT260" s="122">
        <f>(($E260)-SUM($G62:AT62))</f>
        <v/>
      </c>
      <c r="AU260" s="122">
        <f>(($E260)-SUM($G62:AU62))</f>
        <v/>
      </c>
      <c r="AV260" s="122">
        <f>(($E260)-SUM($G62:AV62))</f>
        <v/>
      </c>
      <c r="AW260" s="122">
        <f>(($E260)-SUM($G62:AW62))</f>
        <v/>
      </c>
      <c r="AX260" s="122">
        <f>(($E260)-SUM($G62:AX62))</f>
        <v/>
      </c>
      <c r="AY260" s="122">
        <f>(($E260)-SUM($G62:AY62))</f>
        <v/>
      </c>
      <c r="AZ260" s="122">
        <f>(($E260)-SUM($G62:AZ62))</f>
        <v/>
      </c>
      <c r="BA260" s="122">
        <f>(($E260)-SUM($G62:BA62))</f>
        <v/>
      </c>
      <c r="BB260" s="122">
        <f>(($E260)-SUM($G62:BB62))</f>
        <v/>
      </c>
      <c r="BC260" s="444">
        <f>(($E260)-SUM($G62:BC62))</f>
        <v/>
      </c>
      <c r="BD260" s="122">
        <f>(($E260)-SUM($G62:BD62))</f>
        <v/>
      </c>
      <c r="BE260" s="122">
        <f>(($E260)-SUM($G62:BE62))</f>
        <v/>
      </c>
      <c r="BF260" s="122">
        <f>(($E260)-SUM($G62:BF62))</f>
        <v/>
      </c>
      <c r="BG260" s="122">
        <f>(($E260)-SUM($G62:BG62))</f>
        <v/>
      </c>
      <c r="BH260" s="122">
        <f>(($E260)-SUM($G62:BH62))</f>
        <v/>
      </c>
      <c r="BI260" s="122">
        <f>(($E260)-SUM($G62:BI62))</f>
        <v/>
      </c>
      <c r="BJ260" s="122">
        <f>(($E260)-SUM($G62:BJ62))</f>
        <v/>
      </c>
      <c r="BK260" s="122">
        <f>(($E260)-SUM($G62:BK62))</f>
        <v/>
      </c>
      <c r="BL260" s="122">
        <f>(($E260)-SUM($G62:BL62))</f>
        <v/>
      </c>
      <c r="BM260" s="122">
        <f>(($E260)-SUM($G62:BM62))</f>
        <v/>
      </c>
      <c r="BN260" s="122">
        <f>(($E260)-SUM($G62:BN62))</f>
        <v/>
      </c>
      <c r="BO260" s="122" t="n"/>
      <c r="BP260" s="122" t="n"/>
      <c r="BQ260" s="122" t="n"/>
      <c r="BR260" s="122" t="n"/>
      <c r="BS260" s="122" t="n"/>
      <c r="BT260" s="122" t="n"/>
      <c r="BU260" s="122" t="n"/>
      <c r="BV260" s="122" t="n"/>
      <c r="BW260" s="122" t="n"/>
      <c r="BX260" s="122" t="n"/>
      <c r="BY260" s="122" t="n"/>
      <c r="BZ260" s="122" t="n"/>
      <c r="CA260" s="504" t="n"/>
      <c r="CB260" s="504" t="n"/>
      <c r="CC260" s="504" t="n"/>
      <c r="CD260" s="123">
        <f>(BN260)</f>
        <v/>
      </c>
      <c r="CE260" s="397">
        <f>(CE62)</f>
        <v/>
      </c>
      <c r="CF260" s="386">
        <f>IF(CD260=CE260,"Y","N")</f>
        <v/>
      </c>
    </row>
    <row r="261" ht="15" customHeight="1" s="1883">
      <c r="D261" s="149" t="inlineStr">
        <is>
          <t>Month 38</t>
        </is>
      </c>
      <c r="E261" s="123">
        <f>(E63)</f>
        <v/>
      </c>
      <c r="G261" s="122" t="n"/>
      <c r="H261" s="122" t="n"/>
      <c r="I261" s="122" t="n"/>
      <c r="J261" s="122" t="n"/>
      <c r="K261" s="122" t="n"/>
      <c r="L261" s="122" t="n"/>
      <c r="M261" s="122" t="n"/>
      <c r="N261" s="122" t="n"/>
      <c r="O261" s="122" t="n"/>
      <c r="P261" s="122" t="n"/>
      <c r="Q261" s="122" t="n"/>
      <c r="R261" s="122" t="n"/>
      <c r="S261" s="444" t="n"/>
      <c r="T261" s="122" t="n"/>
      <c r="U261" s="122" t="n"/>
      <c r="V261" s="122" t="n"/>
      <c r="W261" s="122" t="n"/>
      <c r="X261" s="122" t="n"/>
      <c r="Y261" s="122" t="n"/>
      <c r="Z261" s="122" t="n"/>
      <c r="AA261" s="122" t="n"/>
      <c r="AB261" s="122" t="n"/>
      <c r="AC261" s="122" t="n"/>
      <c r="AD261" s="122" t="n"/>
      <c r="AE261" s="444" t="n"/>
      <c r="AF261" s="122" t="n"/>
      <c r="AG261" s="122" t="n"/>
      <c r="AH261" s="122" t="n"/>
      <c r="AI261" s="122" t="n"/>
      <c r="AJ261" s="122" t="n"/>
      <c r="AK261" s="122" t="n"/>
      <c r="AL261" s="122" t="n"/>
      <c r="AM261" s="122" t="n"/>
      <c r="AN261" s="122" t="n"/>
      <c r="AO261" s="122" t="n"/>
      <c r="AP261" s="122" t="n"/>
      <c r="AQ261" s="444" t="n"/>
      <c r="AR261" s="443">
        <f>(($E261)-SUM($G63:AR63))</f>
        <v/>
      </c>
      <c r="AS261" s="443">
        <f>(($E261)-SUM($G63:AS63))</f>
        <v/>
      </c>
      <c r="AT261" s="122">
        <f>(($E261)-SUM($G63:AT63))</f>
        <v/>
      </c>
      <c r="AU261" s="122">
        <f>(($E261)-SUM($G63:AU63))</f>
        <v/>
      </c>
      <c r="AV261" s="122">
        <f>(($E261)-SUM($G63:AV63))</f>
        <v/>
      </c>
      <c r="AW261" s="122">
        <f>(($E261)-SUM($G63:AW63))</f>
        <v/>
      </c>
      <c r="AX261" s="122">
        <f>(($E261)-SUM($G63:AX63))</f>
        <v/>
      </c>
      <c r="AY261" s="122">
        <f>(($E261)-SUM($G63:AY63))</f>
        <v/>
      </c>
      <c r="AZ261" s="122">
        <f>(($E261)-SUM($G63:AZ63))</f>
        <v/>
      </c>
      <c r="BA261" s="122">
        <f>(($E261)-SUM($G63:BA63))</f>
        <v/>
      </c>
      <c r="BB261" s="122">
        <f>(($E261)-SUM($G63:BB63))</f>
        <v/>
      </c>
      <c r="BC261" s="444">
        <f>(($E261)-SUM($G63:BC63))</f>
        <v/>
      </c>
      <c r="BD261" s="122">
        <f>(($E261)-SUM($G63:BD63))</f>
        <v/>
      </c>
      <c r="BE261" s="122">
        <f>(($E261)-SUM($G63:BE63))</f>
        <v/>
      </c>
      <c r="BF261" s="122">
        <f>(($E261)-SUM($G63:BF63))</f>
        <v/>
      </c>
      <c r="BG261" s="122">
        <f>(($E261)-SUM($G63:BG63))</f>
        <v/>
      </c>
      <c r="BH261" s="122">
        <f>(($E261)-SUM($G63:BH63))</f>
        <v/>
      </c>
      <c r="BI261" s="122">
        <f>(($E261)-SUM($G63:BI63))</f>
        <v/>
      </c>
      <c r="BJ261" s="122">
        <f>(($E261)-SUM($G63:BJ63))</f>
        <v/>
      </c>
      <c r="BK261" s="122">
        <f>(($E261)-SUM($G63:BK63))</f>
        <v/>
      </c>
      <c r="BL261" s="122">
        <f>(($E261)-SUM($G63:BL63))</f>
        <v/>
      </c>
      <c r="BM261" s="122">
        <f>(($E261)-SUM($G63:BM63))</f>
        <v/>
      </c>
      <c r="BN261" s="122">
        <f>(($E261)-SUM($G63:BN63))</f>
        <v/>
      </c>
      <c r="BO261" s="122" t="n"/>
      <c r="BP261" s="122" t="n"/>
      <c r="BQ261" s="122" t="n"/>
      <c r="BR261" s="122" t="n"/>
      <c r="BS261" s="122" t="n"/>
      <c r="BT261" s="122" t="n"/>
      <c r="BU261" s="122" t="n"/>
      <c r="BV261" s="122" t="n"/>
      <c r="BW261" s="122" t="n"/>
      <c r="BX261" s="122" t="n"/>
      <c r="BY261" s="122" t="n"/>
      <c r="BZ261" s="122" t="n"/>
      <c r="CA261" s="504" t="n"/>
      <c r="CB261" s="504" t="n"/>
      <c r="CC261" s="504" t="n"/>
      <c r="CD261" s="123">
        <f>(BN261)</f>
        <v/>
      </c>
      <c r="CE261" s="397">
        <f>(CE63)</f>
        <v/>
      </c>
      <c r="CF261" s="386">
        <f>IF(CD261=CE261,"Y","N")</f>
        <v/>
      </c>
    </row>
    <row r="262" ht="15" customHeight="1" s="1883">
      <c r="D262" s="149" t="inlineStr">
        <is>
          <t>Month 39</t>
        </is>
      </c>
      <c r="E262" s="123">
        <f>(E64)</f>
        <v/>
      </c>
      <c r="G262" s="122" t="n"/>
      <c r="H262" s="122" t="n"/>
      <c r="I262" s="122" t="n"/>
      <c r="J262" s="122" t="n"/>
      <c r="K262" s="122" t="n"/>
      <c r="L262" s="122" t="n"/>
      <c r="M262" s="122" t="n"/>
      <c r="N262" s="122" t="n"/>
      <c r="O262" s="122" t="n"/>
      <c r="P262" s="122" t="n"/>
      <c r="Q262" s="122" t="n"/>
      <c r="R262" s="122" t="n"/>
      <c r="S262" s="444" t="n"/>
      <c r="T262" s="122" t="n"/>
      <c r="U262" s="122" t="n"/>
      <c r="V262" s="122" t="n"/>
      <c r="W262" s="122" t="n"/>
      <c r="X262" s="122" t="n"/>
      <c r="Y262" s="122" t="n"/>
      <c r="Z262" s="122" t="n"/>
      <c r="AA262" s="122" t="n"/>
      <c r="AB262" s="122" t="n"/>
      <c r="AC262" s="122" t="n"/>
      <c r="AD262" s="122" t="n"/>
      <c r="AE262" s="444" t="n"/>
      <c r="AF262" s="122" t="n"/>
      <c r="AG262" s="122" t="n"/>
      <c r="AH262" s="122" t="n"/>
      <c r="AI262" s="122" t="n"/>
      <c r="AJ262" s="122" t="n"/>
      <c r="AK262" s="122" t="n"/>
      <c r="AL262" s="122" t="n"/>
      <c r="AM262" s="122" t="n"/>
      <c r="AN262" s="122" t="n"/>
      <c r="AO262" s="122" t="n"/>
      <c r="AP262" s="122" t="n"/>
      <c r="AQ262" s="444" t="n"/>
      <c r="AR262" s="122" t="n"/>
      <c r="AS262" s="443">
        <f>(($E262)-SUM($G64:AS64))</f>
        <v/>
      </c>
      <c r="AT262" s="443">
        <f>(($E262)-SUM($G64:AT64))</f>
        <v/>
      </c>
      <c r="AU262" s="122">
        <f>(($E262)-SUM($G64:AU64))</f>
        <v/>
      </c>
      <c r="AV262" s="122">
        <f>(($E262)-SUM($G64:AV64))</f>
        <v/>
      </c>
      <c r="AW262" s="122">
        <f>(($E262)-SUM($G64:AW64))</f>
        <v/>
      </c>
      <c r="AX262" s="122">
        <f>(($E262)-SUM($G64:AX64))</f>
        <v/>
      </c>
      <c r="AY262" s="122">
        <f>(($E262)-SUM($G64:AY64))</f>
        <v/>
      </c>
      <c r="AZ262" s="122">
        <f>(($E262)-SUM($G64:AZ64))</f>
        <v/>
      </c>
      <c r="BA262" s="122">
        <f>(($E262)-SUM($G64:BA64))</f>
        <v/>
      </c>
      <c r="BB262" s="122">
        <f>(($E262)-SUM($G64:BB64))</f>
        <v/>
      </c>
      <c r="BC262" s="444">
        <f>(($E262)-SUM($G64:BC64))</f>
        <v/>
      </c>
      <c r="BD262" s="122">
        <f>(($E262)-SUM($G64:BD64))</f>
        <v/>
      </c>
      <c r="BE262" s="122">
        <f>(($E262)-SUM($G64:BE64))</f>
        <v/>
      </c>
      <c r="BF262" s="122">
        <f>(($E262)-SUM($G64:BF64))</f>
        <v/>
      </c>
      <c r="BG262" s="122">
        <f>(($E262)-SUM($G64:BG64))</f>
        <v/>
      </c>
      <c r="BH262" s="122">
        <f>(($E262)-SUM($G64:BH64))</f>
        <v/>
      </c>
      <c r="BI262" s="122">
        <f>(($E262)-SUM($G64:BI64))</f>
        <v/>
      </c>
      <c r="BJ262" s="122">
        <f>(($E262)-SUM($G64:BJ64))</f>
        <v/>
      </c>
      <c r="BK262" s="122">
        <f>(($E262)-SUM($G64:BK64))</f>
        <v/>
      </c>
      <c r="BL262" s="122">
        <f>(($E262)-SUM($G64:BL64))</f>
        <v/>
      </c>
      <c r="BM262" s="122">
        <f>(($E262)-SUM($G64:BM64))</f>
        <v/>
      </c>
      <c r="BN262" s="122">
        <f>(($E262)-SUM($G64:BN64))</f>
        <v/>
      </c>
      <c r="BO262" s="122" t="n"/>
      <c r="BP262" s="122" t="n"/>
      <c r="BQ262" s="122" t="n"/>
      <c r="BR262" s="122" t="n"/>
      <c r="BS262" s="122" t="n"/>
      <c r="BT262" s="122" t="n"/>
      <c r="BU262" s="122" t="n"/>
      <c r="BV262" s="122" t="n"/>
      <c r="BW262" s="122" t="n"/>
      <c r="BX262" s="122" t="n"/>
      <c r="BY262" s="122" t="n"/>
      <c r="BZ262" s="122" t="n"/>
      <c r="CA262" s="504" t="n"/>
      <c r="CB262" s="504" t="n"/>
      <c r="CC262" s="504" t="n"/>
      <c r="CD262" s="123">
        <f>(BN262)</f>
        <v/>
      </c>
      <c r="CE262" s="397">
        <f>(CE64)</f>
        <v/>
      </c>
      <c r="CF262" s="386">
        <f>IF(CD262=CE262,"Y","N")</f>
        <v/>
      </c>
    </row>
    <row r="263" ht="15" customHeight="1" s="1883">
      <c r="D263" s="149" t="inlineStr">
        <is>
          <t>Month 40</t>
        </is>
      </c>
      <c r="E263" s="123">
        <f>(E65)</f>
        <v/>
      </c>
      <c r="G263" s="122" t="n"/>
      <c r="H263" s="122" t="n"/>
      <c r="I263" s="122" t="n"/>
      <c r="J263" s="122" t="n"/>
      <c r="K263" s="122" t="n"/>
      <c r="L263" s="122" t="n"/>
      <c r="M263" s="122" t="n"/>
      <c r="N263" s="122" t="n"/>
      <c r="O263" s="122" t="n"/>
      <c r="P263" s="122" t="n"/>
      <c r="Q263" s="122" t="n"/>
      <c r="R263" s="122" t="n"/>
      <c r="S263" s="444" t="n"/>
      <c r="T263" s="122" t="n"/>
      <c r="U263" s="122" t="n"/>
      <c r="V263" s="122" t="n"/>
      <c r="W263" s="122" t="n"/>
      <c r="X263" s="122" t="n"/>
      <c r="Y263" s="122" t="n"/>
      <c r="Z263" s="122" t="n"/>
      <c r="AA263" s="122" t="n"/>
      <c r="AB263" s="122" t="n"/>
      <c r="AC263" s="122" t="n"/>
      <c r="AD263" s="122" t="n"/>
      <c r="AE263" s="444" t="n"/>
      <c r="AF263" s="122" t="n"/>
      <c r="AG263" s="122" t="n"/>
      <c r="AH263" s="122" t="n"/>
      <c r="AI263" s="122" t="n"/>
      <c r="AJ263" s="122" t="n"/>
      <c r="AK263" s="122" t="n"/>
      <c r="AL263" s="122" t="n"/>
      <c r="AM263" s="122" t="n"/>
      <c r="AN263" s="122" t="n"/>
      <c r="AO263" s="122" t="n"/>
      <c r="AP263" s="122" t="n"/>
      <c r="AQ263" s="444" t="n"/>
      <c r="AR263" s="122" t="n"/>
      <c r="AS263" s="122" t="n"/>
      <c r="AT263" s="443">
        <f>(($E263)-SUM($G65:AT65))</f>
        <v/>
      </c>
      <c r="AU263" s="443">
        <f>(($E263)-SUM($G65:AU65))</f>
        <v/>
      </c>
      <c r="AV263" s="122">
        <f>(($E263)-SUM($G65:AV65))</f>
        <v/>
      </c>
      <c r="AW263" s="122">
        <f>(($E263)-SUM($G65:AW65))</f>
        <v/>
      </c>
      <c r="AX263" s="122">
        <f>(($E263)-SUM($G65:AX65))</f>
        <v/>
      </c>
      <c r="AY263" s="122">
        <f>(($E263)-SUM($G65:AY65))</f>
        <v/>
      </c>
      <c r="AZ263" s="122">
        <f>(($E263)-SUM($G65:AZ65))</f>
        <v/>
      </c>
      <c r="BA263" s="122">
        <f>(($E263)-SUM($G65:BA65))</f>
        <v/>
      </c>
      <c r="BB263" s="122">
        <f>(($E263)-SUM($G65:BB65))</f>
        <v/>
      </c>
      <c r="BC263" s="444">
        <f>(($E263)-SUM($G65:BC65))</f>
        <v/>
      </c>
      <c r="BD263" s="122">
        <f>(($E263)-SUM($G65:BD65))</f>
        <v/>
      </c>
      <c r="BE263" s="122">
        <f>(($E263)-SUM($G65:BE65))</f>
        <v/>
      </c>
      <c r="BF263" s="122">
        <f>(($E263)-SUM($G65:BF65))</f>
        <v/>
      </c>
      <c r="BG263" s="122">
        <f>(($E263)-SUM($G65:BG65))</f>
        <v/>
      </c>
      <c r="BH263" s="122">
        <f>(($E263)-SUM($G65:BH65))</f>
        <v/>
      </c>
      <c r="BI263" s="122">
        <f>(($E263)-SUM($G65:BI65))</f>
        <v/>
      </c>
      <c r="BJ263" s="122">
        <f>(($E263)-SUM($G65:BJ65))</f>
        <v/>
      </c>
      <c r="BK263" s="122">
        <f>(($E263)-SUM($G65:BK65))</f>
        <v/>
      </c>
      <c r="BL263" s="122">
        <f>(($E263)-SUM($G65:BL65))</f>
        <v/>
      </c>
      <c r="BM263" s="122">
        <f>(($E263)-SUM($G65:BM65))</f>
        <v/>
      </c>
      <c r="BN263" s="122">
        <f>(($E263)-SUM($G65:BN65))</f>
        <v/>
      </c>
      <c r="BO263" s="122" t="n"/>
      <c r="BP263" s="122" t="n"/>
      <c r="BQ263" s="122" t="n"/>
      <c r="BR263" s="122" t="n"/>
      <c r="BS263" s="122" t="n"/>
      <c r="BT263" s="122" t="n"/>
      <c r="BU263" s="122" t="n"/>
      <c r="BV263" s="122" t="n"/>
      <c r="BW263" s="122" t="n"/>
      <c r="BX263" s="122" t="n"/>
      <c r="BY263" s="122" t="n"/>
      <c r="BZ263" s="122" t="n"/>
      <c r="CA263" s="504" t="n"/>
      <c r="CB263" s="504" t="n"/>
      <c r="CC263" s="504" t="n"/>
      <c r="CD263" s="123">
        <f>(BN263)</f>
        <v/>
      </c>
      <c r="CE263" s="397">
        <f>(CE65)</f>
        <v/>
      </c>
      <c r="CF263" s="386">
        <f>IF(CD263=CE263,"Y","N")</f>
        <v/>
      </c>
    </row>
    <row r="264" ht="15" customHeight="1" s="1883">
      <c r="D264" s="149" t="inlineStr">
        <is>
          <t>Month 41</t>
        </is>
      </c>
      <c r="E264" s="123">
        <f>(E66)</f>
        <v/>
      </c>
      <c r="G264" s="122" t="n"/>
      <c r="H264" s="122" t="n"/>
      <c r="I264" s="122" t="n"/>
      <c r="J264" s="122" t="n"/>
      <c r="K264" s="122" t="n"/>
      <c r="L264" s="122" t="n"/>
      <c r="M264" s="122" t="n"/>
      <c r="N264" s="122" t="n"/>
      <c r="O264" s="122" t="n"/>
      <c r="P264" s="122" t="n"/>
      <c r="Q264" s="122" t="n"/>
      <c r="R264" s="122" t="n"/>
      <c r="S264" s="444" t="n"/>
      <c r="T264" s="122" t="n"/>
      <c r="U264" s="122" t="n"/>
      <c r="V264" s="122" t="n"/>
      <c r="W264" s="122" t="n"/>
      <c r="X264" s="122" t="n"/>
      <c r="Y264" s="122" t="n"/>
      <c r="Z264" s="122" t="n"/>
      <c r="AA264" s="122" t="n"/>
      <c r="AB264" s="122" t="n"/>
      <c r="AC264" s="122" t="n"/>
      <c r="AD264" s="122" t="n"/>
      <c r="AE264" s="444" t="n"/>
      <c r="AF264" s="122" t="n"/>
      <c r="AG264" s="122" t="n"/>
      <c r="AH264" s="122" t="n"/>
      <c r="AI264" s="122" t="n"/>
      <c r="AJ264" s="122" t="n"/>
      <c r="AK264" s="122" t="n"/>
      <c r="AL264" s="122" t="n"/>
      <c r="AM264" s="122" t="n"/>
      <c r="AN264" s="122" t="n"/>
      <c r="AO264" s="122" t="n"/>
      <c r="AP264" s="122" t="n"/>
      <c r="AQ264" s="444" t="n"/>
      <c r="AR264" s="122" t="n"/>
      <c r="AS264" s="122" t="n"/>
      <c r="AT264" s="122" t="n"/>
      <c r="AU264" s="443">
        <f>(($E264)-SUM($G66:AU66))</f>
        <v/>
      </c>
      <c r="AV264" s="443">
        <f>(($E264)-SUM($G66:AV66))</f>
        <v/>
      </c>
      <c r="AW264" s="122">
        <f>(($E264)-SUM($G66:AW66))</f>
        <v/>
      </c>
      <c r="AX264" s="122">
        <f>(($E264)-SUM($G66:AX66))</f>
        <v/>
      </c>
      <c r="AY264" s="122">
        <f>(($E264)-SUM($G66:AY66))</f>
        <v/>
      </c>
      <c r="AZ264" s="122">
        <f>(($E264)-SUM($G66:AZ66))</f>
        <v/>
      </c>
      <c r="BA264" s="122">
        <f>(($E264)-SUM($G66:BA66))</f>
        <v/>
      </c>
      <c r="BB264" s="122">
        <f>(($E264)-SUM($G66:BB66))</f>
        <v/>
      </c>
      <c r="BC264" s="444">
        <f>(($E264)-SUM($G66:BC66))</f>
        <v/>
      </c>
      <c r="BD264" s="122">
        <f>(($E264)-SUM($G66:BD66))</f>
        <v/>
      </c>
      <c r="BE264" s="122">
        <f>(($E264)-SUM($G66:BE66))</f>
        <v/>
      </c>
      <c r="BF264" s="122">
        <f>(($E264)-SUM($G66:BF66))</f>
        <v/>
      </c>
      <c r="BG264" s="122">
        <f>(($E264)-SUM($G66:BG66))</f>
        <v/>
      </c>
      <c r="BH264" s="122">
        <f>(($E264)-SUM($G66:BH66))</f>
        <v/>
      </c>
      <c r="BI264" s="122">
        <f>(($E264)-SUM($G66:BI66))</f>
        <v/>
      </c>
      <c r="BJ264" s="122">
        <f>(($E264)-SUM($G66:BJ66))</f>
        <v/>
      </c>
      <c r="BK264" s="122">
        <f>(($E264)-SUM($G66:BK66))</f>
        <v/>
      </c>
      <c r="BL264" s="122">
        <f>(($E264)-SUM($G66:BL66))</f>
        <v/>
      </c>
      <c r="BM264" s="122">
        <f>(($E264)-SUM($G66:BM66))</f>
        <v/>
      </c>
      <c r="BN264" s="122">
        <f>(($E264)-SUM($G66:BN66))</f>
        <v/>
      </c>
      <c r="BO264" s="122" t="n"/>
      <c r="BP264" s="122" t="n"/>
      <c r="BQ264" s="122" t="n"/>
      <c r="BR264" s="122" t="n"/>
      <c r="BS264" s="122" t="n"/>
      <c r="BT264" s="122" t="n"/>
      <c r="BU264" s="122" t="n"/>
      <c r="BV264" s="122" t="n"/>
      <c r="BW264" s="122" t="n"/>
      <c r="BX264" s="122" t="n"/>
      <c r="BY264" s="122" t="n"/>
      <c r="BZ264" s="122" t="n"/>
      <c r="CA264" s="504" t="n"/>
      <c r="CB264" s="504" t="n"/>
      <c r="CC264" s="504" t="n"/>
      <c r="CD264" s="123">
        <f>(BN264)</f>
        <v/>
      </c>
      <c r="CE264" s="397">
        <f>(CE66)</f>
        <v/>
      </c>
      <c r="CF264" s="386">
        <f>IF(CD264=CE264,"Y","N")</f>
        <v/>
      </c>
    </row>
    <row r="265" ht="15" customHeight="1" s="1883">
      <c r="D265" s="149" t="inlineStr">
        <is>
          <t>Month 42</t>
        </is>
      </c>
      <c r="E265" s="123">
        <f>(E67)</f>
        <v/>
      </c>
      <c r="G265" s="122" t="n"/>
      <c r="H265" s="122" t="n"/>
      <c r="I265" s="122" t="n"/>
      <c r="J265" s="122" t="n"/>
      <c r="K265" s="122" t="n"/>
      <c r="L265" s="122" t="n"/>
      <c r="M265" s="122" t="n"/>
      <c r="N265" s="122" t="n"/>
      <c r="O265" s="122" t="n"/>
      <c r="P265" s="122" t="n"/>
      <c r="Q265" s="122" t="n"/>
      <c r="R265" s="122" t="n"/>
      <c r="S265" s="444" t="n"/>
      <c r="T265" s="122" t="n"/>
      <c r="U265" s="122" t="n"/>
      <c r="V265" s="122" t="n"/>
      <c r="W265" s="122" t="n"/>
      <c r="X265" s="122" t="n"/>
      <c r="Y265" s="122" t="n"/>
      <c r="Z265" s="122" t="n"/>
      <c r="AA265" s="122" t="n"/>
      <c r="AB265" s="122" t="n"/>
      <c r="AC265" s="122" t="n"/>
      <c r="AD265" s="122" t="n"/>
      <c r="AE265" s="444" t="n"/>
      <c r="AF265" s="122" t="n"/>
      <c r="AG265" s="122" t="n"/>
      <c r="AH265" s="122" t="n"/>
      <c r="AI265" s="122" t="n"/>
      <c r="AJ265" s="122" t="n"/>
      <c r="AK265" s="122" t="n"/>
      <c r="AL265" s="122" t="n"/>
      <c r="AM265" s="122" t="n"/>
      <c r="AN265" s="122" t="n"/>
      <c r="AO265" s="122" t="n"/>
      <c r="AP265" s="122" t="n"/>
      <c r="AQ265" s="444" t="n"/>
      <c r="AR265" s="122" t="n"/>
      <c r="AS265" s="122" t="n"/>
      <c r="AT265" s="122" t="n"/>
      <c r="AU265" s="122" t="n"/>
      <c r="AV265" s="443">
        <f>(($E265)-SUM($G67:AV67))</f>
        <v/>
      </c>
      <c r="AW265" s="443">
        <f>(($E265)-SUM($G67:AW67))</f>
        <v/>
      </c>
      <c r="AX265" s="122">
        <f>(($E265)-SUM($G67:AX67))</f>
        <v/>
      </c>
      <c r="AY265" s="122">
        <f>(($E265)-SUM($G67:AY67))</f>
        <v/>
      </c>
      <c r="AZ265" s="122">
        <f>(($E265)-SUM($G67:AZ67))</f>
        <v/>
      </c>
      <c r="BA265" s="122">
        <f>(($E265)-SUM($G67:BA67))</f>
        <v/>
      </c>
      <c r="BB265" s="122">
        <f>(($E265)-SUM($G67:BB67))</f>
        <v/>
      </c>
      <c r="BC265" s="444">
        <f>(($E265)-SUM($G67:BC67))</f>
        <v/>
      </c>
      <c r="BD265" s="122">
        <f>(($E265)-SUM($G67:BD67))</f>
        <v/>
      </c>
      <c r="BE265" s="122">
        <f>(($E265)-SUM($G67:BE67))</f>
        <v/>
      </c>
      <c r="BF265" s="122">
        <f>(($E265)-SUM($G67:BF67))</f>
        <v/>
      </c>
      <c r="BG265" s="122">
        <f>(($E265)-SUM($G67:BG67))</f>
        <v/>
      </c>
      <c r="BH265" s="122">
        <f>(($E265)-SUM($G67:BH67))</f>
        <v/>
      </c>
      <c r="BI265" s="122">
        <f>(($E265)-SUM($G67:BI67))</f>
        <v/>
      </c>
      <c r="BJ265" s="122">
        <f>(($E265)-SUM($G67:BJ67))</f>
        <v/>
      </c>
      <c r="BK265" s="122">
        <f>(($E265)-SUM($G67:BK67))</f>
        <v/>
      </c>
      <c r="BL265" s="122">
        <f>(($E265)-SUM($G67:BL67))</f>
        <v/>
      </c>
      <c r="BM265" s="122">
        <f>(($E265)-SUM($G67:BM67))</f>
        <v/>
      </c>
      <c r="BN265" s="122">
        <f>(($E265)-SUM($G67:BN67))</f>
        <v/>
      </c>
      <c r="BO265" s="122" t="n"/>
      <c r="BP265" s="122" t="n"/>
      <c r="BQ265" s="122" t="n"/>
      <c r="BR265" s="122" t="n"/>
      <c r="BS265" s="122" t="n"/>
      <c r="BT265" s="122" t="n"/>
      <c r="BU265" s="122" t="n"/>
      <c r="BV265" s="122" t="n"/>
      <c r="BW265" s="122" t="n"/>
      <c r="BX265" s="122" t="n"/>
      <c r="BY265" s="122" t="n"/>
      <c r="BZ265" s="122" t="n"/>
      <c r="CA265" s="504" t="n"/>
      <c r="CB265" s="504" t="n"/>
      <c r="CC265" s="504" t="n"/>
      <c r="CD265" s="123">
        <f>(BN265)</f>
        <v/>
      </c>
      <c r="CE265" s="397">
        <f>(CE67)</f>
        <v/>
      </c>
      <c r="CF265" s="386">
        <f>IF(CD265=CE265,"Y","N")</f>
        <v/>
      </c>
    </row>
    <row r="266" ht="15" customHeight="1" s="1883">
      <c r="D266" s="149" t="inlineStr">
        <is>
          <t>Month 43</t>
        </is>
      </c>
      <c r="E266" s="123">
        <f>(E68)</f>
        <v/>
      </c>
      <c r="G266" s="122" t="n"/>
      <c r="H266" s="122" t="n"/>
      <c r="I266" s="122" t="n"/>
      <c r="J266" s="122" t="n"/>
      <c r="K266" s="122" t="n"/>
      <c r="L266" s="122" t="n"/>
      <c r="M266" s="122" t="n"/>
      <c r="N266" s="122" t="n"/>
      <c r="O266" s="122" t="n"/>
      <c r="P266" s="122" t="n"/>
      <c r="Q266" s="122" t="n"/>
      <c r="R266" s="122" t="n"/>
      <c r="S266" s="444" t="n"/>
      <c r="T266" s="122" t="n"/>
      <c r="U266" s="122" t="n"/>
      <c r="V266" s="122" t="n"/>
      <c r="W266" s="122" t="n"/>
      <c r="X266" s="122" t="n"/>
      <c r="Y266" s="122" t="n"/>
      <c r="Z266" s="122" t="n"/>
      <c r="AA266" s="122" t="n"/>
      <c r="AB266" s="122" t="n"/>
      <c r="AC266" s="122" t="n"/>
      <c r="AD266" s="122" t="n"/>
      <c r="AE266" s="444" t="n"/>
      <c r="AF266" s="122" t="n"/>
      <c r="AG266" s="122" t="n"/>
      <c r="AH266" s="122" t="n"/>
      <c r="AI266" s="122" t="n"/>
      <c r="AJ266" s="122" t="n"/>
      <c r="AK266" s="122" t="n"/>
      <c r="AL266" s="122" t="n"/>
      <c r="AM266" s="122" t="n"/>
      <c r="AN266" s="122" t="n"/>
      <c r="AO266" s="122" t="n"/>
      <c r="AP266" s="122" t="n"/>
      <c r="AQ266" s="444" t="n"/>
      <c r="AR266" s="122" t="n"/>
      <c r="AS266" s="122" t="n"/>
      <c r="AT266" s="122" t="n"/>
      <c r="AU266" s="122" t="n"/>
      <c r="AV266" s="122" t="n"/>
      <c r="AW266" s="443">
        <f>(($E266)-SUM($G68:AW68))</f>
        <v/>
      </c>
      <c r="AX266" s="443">
        <f>(($E266)-SUM($G68:AX68))</f>
        <v/>
      </c>
      <c r="AY266" s="122">
        <f>(($E266)-SUM($G68:AY68))</f>
        <v/>
      </c>
      <c r="AZ266" s="122">
        <f>(($E266)-SUM($G68:AZ68))</f>
        <v/>
      </c>
      <c r="BA266" s="122">
        <f>(($E266)-SUM($G68:BA68))</f>
        <v/>
      </c>
      <c r="BB266" s="122">
        <f>(($E266)-SUM($G68:BB68))</f>
        <v/>
      </c>
      <c r="BC266" s="444">
        <f>(($E266)-SUM($G68:BC68))</f>
        <v/>
      </c>
      <c r="BD266" s="122">
        <f>(($E266)-SUM($G68:BD68))</f>
        <v/>
      </c>
      <c r="BE266" s="122">
        <f>(($E266)-SUM($G68:BE68))</f>
        <v/>
      </c>
      <c r="BF266" s="122">
        <f>(($E266)-SUM($G68:BF68))</f>
        <v/>
      </c>
      <c r="BG266" s="122">
        <f>(($E266)-SUM($G68:BG68))</f>
        <v/>
      </c>
      <c r="BH266" s="122">
        <f>(($E266)-SUM($G68:BH68))</f>
        <v/>
      </c>
      <c r="BI266" s="122">
        <f>(($E266)-SUM($G68:BI68))</f>
        <v/>
      </c>
      <c r="BJ266" s="122">
        <f>(($E266)-SUM($G68:BJ68))</f>
        <v/>
      </c>
      <c r="BK266" s="122">
        <f>(($E266)-SUM($G68:BK68))</f>
        <v/>
      </c>
      <c r="BL266" s="122">
        <f>(($E266)-SUM($G68:BL68))</f>
        <v/>
      </c>
      <c r="BM266" s="122">
        <f>(($E266)-SUM($G68:BM68))</f>
        <v/>
      </c>
      <c r="BN266" s="122">
        <f>(($E266)-SUM($G68:BN68))</f>
        <v/>
      </c>
      <c r="BO266" s="122" t="n"/>
      <c r="BP266" s="122" t="n"/>
      <c r="BQ266" s="122" t="n"/>
      <c r="BR266" s="122" t="n"/>
      <c r="BS266" s="122" t="n"/>
      <c r="BT266" s="122" t="n"/>
      <c r="BU266" s="122" t="n"/>
      <c r="BV266" s="122" t="n"/>
      <c r="BW266" s="122" t="n"/>
      <c r="BX266" s="122" t="n"/>
      <c r="BY266" s="122" t="n"/>
      <c r="BZ266" s="122" t="n"/>
      <c r="CA266" s="504" t="n"/>
      <c r="CB266" s="504" t="n"/>
      <c r="CC266" s="504" t="n"/>
      <c r="CD266" s="123">
        <f>(BN266)</f>
        <v/>
      </c>
      <c r="CE266" s="397">
        <f>(CE68)</f>
        <v/>
      </c>
      <c r="CF266" s="386">
        <f>IF(CD266=CE266,"Y","N")</f>
        <v/>
      </c>
    </row>
    <row r="267" ht="15" customHeight="1" s="1883">
      <c r="D267" s="149" t="inlineStr">
        <is>
          <t>Month 44</t>
        </is>
      </c>
      <c r="E267" s="123">
        <f>(E69)</f>
        <v/>
      </c>
      <c r="G267" s="122" t="n"/>
      <c r="H267" s="122" t="n"/>
      <c r="I267" s="122" t="n"/>
      <c r="J267" s="122" t="n"/>
      <c r="K267" s="122" t="n"/>
      <c r="L267" s="122" t="n"/>
      <c r="M267" s="122" t="n"/>
      <c r="N267" s="122" t="n"/>
      <c r="O267" s="122" t="n"/>
      <c r="P267" s="122" t="n"/>
      <c r="Q267" s="122" t="n"/>
      <c r="R267" s="122" t="n"/>
      <c r="S267" s="444" t="n"/>
      <c r="T267" s="122" t="n"/>
      <c r="U267" s="122" t="n"/>
      <c r="V267" s="122" t="n"/>
      <c r="W267" s="122" t="n"/>
      <c r="X267" s="122" t="n"/>
      <c r="Y267" s="122" t="n"/>
      <c r="Z267" s="122" t="n"/>
      <c r="AA267" s="122" t="n"/>
      <c r="AB267" s="122" t="n"/>
      <c r="AC267" s="122" t="n"/>
      <c r="AD267" s="122" t="n"/>
      <c r="AE267" s="444" t="n"/>
      <c r="AF267" s="122" t="n"/>
      <c r="AG267" s="122" t="n"/>
      <c r="AH267" s="122" t="n"/>
      <c r="AI267" s="122" t="n"/>
      <c r="AJ267" s="122" t="n"/>
      <c r="AK267" s="122" t="n"/>
      <c r="AL267" s="122" t="n"/>
      <c r="AM267" s="122" t="n"/>
      <c r="AN267" s="122" t="n"/>
      <c r="AO267" s="122" t="n"/>
      <c r="AP267" s="122" t="n"/>
      <c r="AQ267" s="444" t="n"/>
      <c r="AR267" s="122" t="n"/>
      <c r="AS267" s="122" t="n"/>
      <c r="AT267" s="122" t="n"/>
      <c r="AU267" s="122" t="n"/>
      <c r="AV267" s="122" t="n"/>
      <c r="AW267" s="122" t="n"/>
      <c r="AX267" s="443">
        <f>(($E267)-SUM($G69:AX69))</f>
        <v/>
      </c>
      <c r="AY267" s="443">
        <f>(($E267)-SUM($G69:AY69))</f>
        <v/>
      </c>
      <c r="AZ267" s="122">
        <f>(($E267)-SUM($G69:AZ69))</f>
        <v/>
      </c>
      <c r="BA267" s="122">
        <f>(($E267)-SUM($G69:BA69))</f>
        <v/>
      </c>
      <c r="BB267" s="122">
        <f>(($E267)-SUM($G69:BB69))</f>
        <v/>
      </c>
      <c r="BC267" s="444">
        <f>(($E267)-SUM($G69:BC69))</f>
        <v/>
      </c>
      <c r="BD267" s="122">
        <f>(($E267)-SUM($G69:BD69))</f>
        <v/>
      </c>
      <c r="BE267" s="122">
        <f>(($E267)-SUM($G69:BE69))</f>
        <v/>
      </c>
      <c r="BF267" s="122">
        <f>(($E267)-SUM($G69:BF69))</f>
        <v/>
      </c>
      <c r="BG267" s="122">
        <f>(($E267)-SUM($G69:BG69))</f>
        <v/>
      </c>
      <c r="BH267" s="122">
        <f>(($E267)-SUM($G69:BH69))</f>
        <v/>
      </c>
      <c r="BI267" s="122">
        <f>(($E267)-SUM($G69:BI69))</f>
        <v/>
      </c>
      <c r="BJ267" s="122">
        <f>(($E267)-SUM($G69:BJ69))</f>
        <v/>
      </c>
      <c r="BK267" s="122">
        <f>(($E267)-SUM($G69:BK69))</f>
        <v/>
      </c>
      <c r="BL267" s="122">
        <f>(($E267)-SUM($G69:BL69))</f>
        <v/>
      </c>
      <c r="BM267" s="122">
        <f>(($E267)-SUM($G69:BM69))</f>
        <v/>
      </c>
      <c r="BN267" s="122">
        <f>(($E267)-SUM($G69:BN69))</f>
        <v/>
      </c>
      <c r="BO267" s="122" t="n"/>
      <c r="BP267" s="122" t="n"/>
      <c r="BQ267" s="122" t="n"/>
      <c r="BR267" s="122" t="n"/>
      <c r="BS267" s="122" t="n"/>
      <c r="BT267" s="122" t="n"/>
      <c r="BU267" s="122" t="n"/>
      <c r="BV267" s="122" t="n"/>
      <c r="BW267" s="122" t="n"/>
      <c r="BX267" s="122" t="n"/>
      <c r="BY267" s="122" t="n"/>
      <c r="BZ267" s="122" t="n"/>
      <c r="CA267" s="504" t="n"/>
      <c r="CB267" s="504" t="n"/>
      <c r="CC267" s="504" t="n"/>
      <c r="CD267" s="123">
        <f>(BN267)</f>
        <v/>
      </c>
      <c r="CE267" s="397">
        <f>(CE69)</f>
        <v/>
      </c>
      <c r="CF267" s="386">
        <f>IF(CD267=CE267,"Y","N")</f>
        <v/>
      </c>
    </row>
    <row r="268" ht="15" customHeight="1" s="1883">
      <c r="D268" s="149" t="inlineStr">
        <is>
          <t>Month 45</t>
        </is>
      </c>
      <c r="E268" s="123">
        <f>(E70)</f>
        <v/>
      </c>
      <c r="G268" s="122" t="n"/>
      <c r="H268" s="122" t="n"/>
      <c r="I268" s="122" t="n"/>
      <c r="J268" s="122" t="n"/>
      <c r="K268" s="122" t="n"/>
      <c r="L268" s="122" t="n"/>
      <c r="M268" s="122" t="n"/>
      <c r="N268" s="122" t="n"/>
      <c r="O268" s="122" t="n"/>
      <c r="P268" s="122" t="n"/>
      <c r="Q268" s="122" t="n"/>
      <c r="R268" s="122" t="n"/>
      <c r="S268" s="444" t="n"/>
      <c r="T268" s="122" t="n"/>
      <c r="U268" s="122" t="n"/>
      <c r="V268" s="122" t="n"/>
      <c r="W268" s="122" t="n"/>
      <c r="X268" s="122" t="n"/>
      <c r="Y268" s="122" t="n"/>
      <c r="Z268" s="122" t="n"/>
      <c r="AA268" s="122" t="n"/>
      <c r="AB268" s="122" t="n"/>
      <c r="AC268" s="122" t="n"/>
      <c r="AD268" s="122" t="n"/>
      <c r="AE268" s="444" t="n"/>
      <c r="AF268" s="122" t="n"/>
      <c r="AG268" s="122" t="n"/>
      <c r="AH268" s="122" t="n"/>
      <c r="AI268" s="122" t="n"/>
      <c r="AJ268" s="122" t="n"/>
      <c r="AK268" s="122" t="n"/>
      <c r="AL268" s="122" t="n"/>
      <c r="AM268" s="122" t="n"/>
      <c r="AN268" s="122" t="n"/>
      <c r="AO268" s="122" t="n"/>
      <c r="AP268" s="122" t="n"/>
      <c r="AQ268" s="444" t="n"/>
      <c r="AR268" s="122" t="n"/>
      <c r="AS268" s="122" t="n"/>
      <c r="AT268" s="122" t="n"/>
      <c r="AU268" s="122" t="n"/>
      <c r="AV268" s="122" t="n"/>
      <c r="AW268" s="122" t="n"/>
      <c r="AX268" s="122" t="n"/>
      <c r="AY268" s="443">
        <f>(($E268)-SUM($G70:AY70))</f>
        <v/>
      </c>
      <c r="AZ268" s="443">
        <f>(($E268)-SUM($G70:AZ70))</f>
        <v/>
      </c>
      <c r="BA268" s="122">
        <f>(($E268)-SUM($G70:BA70))</f>
        <v/>
      </c>
      <c r="BB268" s="122">
        <f>(($E268)-SUM($G70:BB70))</f>
        <v/>
      </c>
      <c r="BC268" s="444">
        <f>(($E268)-SUM($G70:BC70))</f>
        <v/>
      </c>
      <c r="BD268" s="122">
        <f>(($E268)-SUM($G70:BD70))</f>
        <v/>
      </c>
      <c r="BE268" s="122">
        <f>(($E268)-SUM($G70:BE70))</f>
        <v/>
      </c>
      <c r="BF268" s="122">
        <f>(($E268)-SUM($G70:BF70))</f>
        <v/>
      </c>
      <c r="BG268" s="122">
        <f>(($E268)-SUM($G70:BG70))</f>
        <v/>
      </c>
      <c r="BH268" s="122">
        <f>(($E268)-SUM($G70:BH70))</f>
        <v/>
      </c>
      <c r="BI268" s="122">
        <f>(($E268)-SUM($G70:BI70))</f>
        <v/>
      </c>
      <c r="BJ268" s="122">
        <f>(($E268)-SUM($G70:BJ70))</f>
        <v/>
      </c>
      <c r="BK268" s="122">
        <f>(($E268)-SUM($G70:BK70))</f>
        <v/>
      </c>
      <c r="BL268" s="122">
        <f>(($E268)-SUM($G70:BL70))</f>
        <v/>
      </c>
      <c r="BM268" s="122">
        <f>(($E268)-SUM($G70:BM70))</f>
        <v/>
      </c>
      <c r="BN268" s="122">
        <f>(($E268)-SUM($G70:BN70))</f>
        <v/>
      </c>
      <c r="BO268" s="122" t="n"/>
      <c r="BP268" s="122" t="n"/>
      <c r="BQ268" s="122" t="n"/>
      <c r="BR268" s="122" t="n"/>
      <c r="BS268" s="122" t="n"/>
      <c r="BT268" s="122" t="n"/>
      <c r="BU268" s="122" t="n"/>
      <c r="BV268" s="122" t="n"/>
      <c r="BW268" s="122" t="n"/>
      <c r="BX268" s="122" t="n"/>
      <c r="BY268" s="122" t="n"/>
      <c r="BZ268" s="122" t="n"/>
      <c r="CA268" s="504" t="n"/>
      <c r="CB268" s="504" t="n"/>
      <c r="CC268" s="504" t="n"/>
      <c r="CD268" s="123">
        <f>(BN268)</f>
        <v/>
      </c>
      <c r="CE268" s="397">
        <f>(CE70)</f>
        <v/>
      </c>
      <c r="CF268" s="386">
        <f>IF(CD268=CE268,"Y","N")</f>
        <v/>
      </c>
    </row>
    <row r="269" ht="15" customHeight="1" s="1883">
      <c r="D269" s="149" t="inlineStr">
        <is>
          <t>Month 46</t>
        </is>
      </c>
      <c r="E269" s="123">
        <f>(E71)</f>
        <v/>
      </c>
      <c r="G269" s="122" t="n"/>
      <c r="H269" s="122" t="n"/>
      <c r="I269" s="122" t="n"/>
      <c r="J269" s="122" t="n"/>
      <c r="K269" s="122" t="n"/>
      <c r="L269" s="122" t="n"/>
      <c r="M269" s="122" t="n"/>
      <c r="N269" s="122" t="n"/>
      <c r="O269" s="122" t="n"/>
      <c r="P269" s="122" t="n"/>
      <c r="Q269" s="122" t="n"/>
      <c r="R269" s="122" t="n"/>
      <c r="S269" s="444" t="n"/>
      <c r="T269" s="122" t="n"/>
      <c r="U269" s="122" t="n"/>
      <c r="V269" s="122" t="n"/>
      <c r="W269" s="122" t="n"/>
      <c r="X269" s="122" t="n"/>
      <c r="Y269" s="122" t="n"/>
      <c r="Z269" s="122" t="n"/>
      <c r="AA269" s="122" t="n"/>
      <c r="AB269" s="122" t="n"/>
      <c r="AC269" s="122" t="n"/>
      <c r="AD269" s="122" t="n"/>
      <c r="AE269" s="444" t="n"/>
      <c r="AF269" s="122" t="n"/>
      <c r="AG269" s="122" t="n"/>
      <c r="AH269" s="122" t="n"/>
      <c r="AI269" s="122" t="n"/>
      <c r="AJ269" s="122" t="n"/>
      <c r="AK269" s="122" t="n"/>
      <c r="AL269" s="122" t="n"/>
      <c r="AM269" s="122" t="n"/>
      <c r="AN269" s="122" t="n"/>
      <c r="AO269" s="122" t="n"/>
      <c r="AP269" s="122" t="n"/>
      <c r="AQ269" s="444" t="n"/>
      <c r="AR269" s="122" t="n"/>
      <c r="AS269" s="122" t="n"/>
      <c r="AT269" s="122" t="n"/>
      <c r="AU269" s="122" t="n"/>
      <c r="AV269" s="122" t="n"/>
      <c r="AW269" s="122" t="n"/>
      <c r="AX269" s="122" t="n"/>
      <c r="AY269" s="122" t="n"/>
      <c r="AZ269" s="443">
        <f>(($E269)-SUM($G71:AZ71))</f>
        <v/>
      </c>
      <c r="BA269" s="443">
        <f>(($E269)-SUM($G71:BA71))</f>
        <v/>
      </c>
      <c r="BB269" s="122">
        <f>(($E269)-SUM($G71:BB71))</f>
        <v/>
      </c>
      <c r="BC269" s="444">
        <f>(($E269)-SUM($G71:BC71))</f>
        <v/>
      </c>
      <c r="BD269" s="122">
        <f>(($E269)-SUM($G71:BD71))</f>
        <v/>
      </c>
      <c r="BE269" s="122">
        <f>(($E269)-SUM($G71:BE71))</f>
        <v/>
      </c>
      <c r="BF269" s="122">
        <f>(($E269)-SUM($G71:BF71))</f>
        <v/>
      </c>
      <c r="BG269" s="122">
        <f>(($E269)-SUM($G71:BG71))</f>
        <v/>
      </c>
      <c r="BH269" s="122">
        <f>(($E269)-SUM($G71:BH71))</f>
        <v/>
      </c>
      <c r="BI269" s="122">
        <f>(($E269)-SUM($G71:BI71))</f>
        <v/>
      </c>
      <c r="BJ269" s="122">
        <f>(($E269)-SUM($G71:BJ71))</f>
        <v/>
      </c>
      <c r="BK269" s="122">
        <f>(($E269)-SUM($G71:BK71))</f>
        <v/>
      </c>
      <c r="BL269" s="122">
        <f>(($E269)-SUM($G71:BL71))</f>
        <v/>
      </c>
      <c r="BM269" s="122">
        <f>(($E269)-SUM($G71:BM71))</f>
        <v/>
      </c>
      <c r="BN269" s="122">
        <f>(($E269)-SUM($G71:BN71))</f>
        <v/>
      </c>
      <c r="BO269" s="122" t="n"/>
      <c r="BP269" s="122" t="n"/>
      <c r="BQ269" s="122" t="n"/>
      <c r="BR269" s="122" t="n"/>
      <c r="BS269" s="122" t="n"/>
      <c r="BT269" s="122" t="n"/>
      <c r="BU269" s="122" t="n"/>
      <c r="BV269" s="122" t="n"/>
      <c r="BW269" s="122" t="n"/>
      <c r="BX269" s="122" t="n"/>
      <c r="BY269" s="122" t="n"/>
      <c r="BZ269" s="122" t="n"/>
      <c r="CA269" s="504" t="n"/>
      <c r="CB269" s="504" t="n"/>
      <c r="CC269" s="504" t="n"/>
      <c r="CD269" s="123">
        <f>(BN269)</f>
        <v/>
      </c>
      <c r="CE269" s="397">
        <f>(CE71)</f>
        <v/>
      </c>
      <c r="CF269" s="386">
        <f>IF(CD269=CE269,"Y","N")</f>
        <v/>
      </c>
    </row>
    <row r="270" ht="15" customHeight="1" s="1883">
      <c r="D270" s="149" t="inlineStr">
        <is>
          <t>Month 47</t>
        </is>
      </c>
      <c r="E270" s="123">
        <f>(E72)</f>
        <v/>
      </c>
      <c r="G270" s="122" t="n"/>
      <c r="H270" s="122" t="n"/>
      <c r="I270" s="122" t="n"/>
      <c r="J270" s="122" t="n"/>
      <c r="K270" s="122" t="n"/>
      <c r="L270" s="122" t="n"/>
      <c r="M270" s="122" t="n"/>
      <c r="N270" s="122" t="n"/>
      <c r="O270" s="122" t="n"/>
      <c r="P270" s="122" t="n"/>
      <c r="Q270" s="122" t="n"/>
      <c r="R270" s="122" t="n"/>
      <c r="S270" s="444" t="n"/>
      <c r="T270" s="122" t="n"/>
      <c r="U270" s="122" t="n"/>
      <c r="V270" s="122" t="n"/>
      <c r="W270" s="122" t="n"/>
      <c r="X270" s="122" t="n"/>
      <c r="Y270" s="122" t="n"/>
      <c r="Z270" s="122" t="n"/>
      <c r="AA270" s="122" t="n"/>
      <c r="AB270" s="122" t="n"/>
      <c r="AC270" s="122" t="n"/>
      <c r="AD270" s="122" t="n"/>
      <c r="AE270" s="444" t="n"/>
      <c r="AF270" s="122" t="n"/>
      <c r="AG270" s="122" t="n"/>
      <c r="AH270" s="122" t="n"/>
      <c r="AI270" s="122" t="n"/>
      <c r="AJ270" s="122" t="n"/>
      <c r="AK270" s="122" t="n"/>
      <c r="AL270" s="122" t="n"/>
      <c r="AM270" s="122" t="n"/>
      <c r="AN270" s="122" t="n"/>
      <c r="AO270" s="122" t="n"/>
      <c r="AP270" s="122" t="n"/>
      <c r="AQ270" s="444" t="n"/>
      <c r="AR270" s="122" t="n"/>
      <c r="AS270" s="122" t="n"/>
      <c r="AT270" s="122" t="n"/>
      <c r="AU270" s="122" t="n"/>
      <c r="AV270" s="122" t="n"/>
      <c r="AW270" s="122" t="n"/>
      <c r="AX270" s="122" t="n"/>
      <c r="AY270" s="122" t="n"/>
      <c r="AZ270" s="122" t="n"/>
      <c r="BA270" s="443">
        <f>(($E270)-SUM($G72:BA72))</f>
        <v/>
      </c>
      <c r="BB270" s="443">
        <f>(($E270)-SUM($G72:BB72))</f>
        <v/>
      </c>
      <c r="BC270" s="444">
        <f>(($E270)-SUM($G72:BC72))</f>
        <v/>
      </c>
      <c r="BD270" s="122">
        <f>(($E270)-SUM($G72:BD72))</f>
        <v/>
      </c>
      <c r="BE270" s="122">
        <f>(($E270)-SUM($G72:BE72))</f>
        <v/>
      </c>
      <c r="BF270" s="122">
        <f>(($E270)-SUM($G72:BF72))</f>
        <v/>
      </c>
      <c r="BG270" s="122">
        <f>(($E270)-SUM($G72:BG72))</f>
        <v/>
      </c>
      <c r="BH270" s="122">
        <f>(($E270)-SUM($G72:BH72))</f>
        <v/>
      </c>
      <c r="BI270" s="122">
        <f>(($E270)-SUM($G72:BI72))</f>
        <v/>
      </c>
      <c r="BJ270" s="122">
        <f>(($E270)-SUM($G72:BJ72))</f>
        <v/>
      </c>
      <c r="BK270" s="122">
        <f>(($E270)-SUM($G72:BK72))</f>
        <v/>
      </c>
      <c r="BL270" s="122">
        <f>(($E270)-SUM($G72:BL72))</f>
        <v/>
      </c>
      <c r="BM270" s="122">
        <f>(($E270)-SUM($G72:BM72))</f>
        <v/>
      </c>
      <c r="BN270" s="122">
        <f>(($E270)-SUM($G72:BN72))</f>
        <v/>
      </c>
      <c r="BO270" s="122" t="n"/>
      <c r="BP270" s="122" t="n"/>
      <c r="BQ270" s="122" t="n"/>
      <c r="BR270" s="122" t="n"/>
      <c r="BS270" s="122" t="n"/>
      <c r="BT270" s="122" t="n"/>
      <c r="BU270" s="122" t="n"/>
      <c r="BV270" s="122" t="n"/>
      <c r="BW270" s="122" t="n"/>
      <c r="BX270" s="122" t="n"/>
      <c r="BY270" s="122" t="n"/>
      <c r="BZ270" s="122" t="n"/>
      <c r="CA270" s="504" t="n"/>
      <c r="CB270" s="504" t="n"/>
      <c r="CC270" s="504" t="n"/>
      <c r="CD270" s="123">
        <f>(BN270)</f>
        <v/>
      </c>
      <c r="CE270" s="397">
        <f>(CE72)</f>
        <v/>
      </c>
      <c r="CF270" s="386">
        <f>IF(CD270=CE270,"Y","N")</f>
        <v/>
      </c>
    </row>
    <row r="271" ht="15" customHeight="1" s="1883">
      <c r="D271" s="149" t="inlineStr">
        <is>
          <t>Month 48</t>
        </is>
      </c>
      <c r="E271" s="123">
        <f>(E73)</f>
        <v/>
      </c>
      <c r="G271" s="122" t="n"/>
      <c r="H271" s="122" t="n"/>
      <c r="I271" s="122" t="n"/>
      <c r="J271" s="122" t="n"/>
      <c r="K271" s="122" t="n"/>
      <c r="L271" s="122" t="n"/>
      <c r="M271" s="122" t="n"/>
      <c r="N271" s="122" t="n"/>
      <c r="O271" s="122" t="n"/>
      <c r="P271" s="122" t="n"/>
      <c r="Q271" s="122" t="n"/>
      <c r="R271" s="122" t="n"/>
      <c r="S271" s="444" t="n"/>
      <c r="T271" s="122" t="n"/>
      <c r="U271" s="122" t="n"/>
      <c r="V271" s="122" t="n"/>
      <c r="W271" s="122" t="n"/>
      <c r="X271" s="122" t="n"/>
      <c r="Y271" s="122" t="n"/>
      <c r="Z271" s="122" t="n"/>
      <c r="AA271" s="122" t="n"/>
      <c r="AB271" s="122" t="n"/>
      <c r="AC271" s="122" t="n"/>
      <c r="AD271" s="122" t="n"/>
      <c r="AE271" s="444" t="n"/>
      <c r="AF271" s="122" t="n"/>
      <c r="AG271" s="122" t="n"/>
      <c r="AH271" s="122" t="n"/>
      <c r="AI271" s="122" t="n"/>
      <c r="AJ271" s="122" t="n"/>
      <c r="AK271" s="122" t="n"/>
      <c r="AL271" s="122" t="n"/>
      <c r="AM271" s="122" t="n"/>
      <c r="AN271" s="122" t="n"/>
      <c r="AO271" s="122" t="n"/>
      <c r="AP271" s="122" t="n"/>
      <c r="AQ271" s="444" t="n"/>
      <c r="AR271" s="122" t="n"/>
      <c r="AS271" s="122" t="n"/>
      <c r="AT271" s="122" t="n"/>
      <c r="AU271" s="122" t="n"/>
      <c r="AV271" s="122" t="n"/>
      <c r="AW271" s="122" t="n"/>
      <c r="AX271" s="122" t="n"/>
      <c r="AY271" s="122" t="n"/>
      <c r="AZ271" s="122" t="n"/>
      <c r="BA271" s="122" t="n"/>
      <c r="BB271" s="443">
        <f>(($E271)-SUM($G73:BB73))</f>
        <v/>
      </c>
      <c r="BC271" s="453">
        <f>(($E271)-SUM($G73:BC73))</f>
        <v/>
      </c>
      <c r="BD271" s="122">
        <f>(($E271)-SUM($G73:BD73))</f>
        <v/>
      </c>
      <c r="BE271" s="122">
        <f>(($E271)-SUM($G73:BE73))</f>
        <v/>
      </c>
      <c r="BF271" s="122">
        <f>(($E271)-SUM($G73:BF73))</f>
        <v/>
      </c>
      <c r="BG271" s="122">
        <f>(($E271)-SUM($G73:BG73))</f>
        <v/>
      </c>
      <c r="BH271" s="122">
        <f>(($E271)-SUM($G73:BH73))</f>
        <v/>
      </c>
      <c r="BI271" s="122">
        <f>(($E271)-SUM($G73:BI73))</f>
        <v/>
      </c>
      <c r="BJ271" s="122">
        <f>(($E271)-SUM($G73:BJ73))</f>
        <v/>
      </c>
      <c r="BK271" s="122">
        <f>(($E271)-SUM($G73:BK73))</f>
        <v/>
      </c>
      <c r="BL271" s="122">
        <f>(($E271)-SUM($G73:BL73))</f>
        <v/>
      </c>
      <c r="BM271" s="122">
        <f>(($E271)-SUM($G73:BM73))</f>
        <v/>
      </c>
      <c r="BN271" s="122">
        <f>(($E271)-SUM($G73:BN73))</f>
        <v/>
      </c>
      <c r="BO271" s="122" t="n"/>
      <c r="BP271" s="122" t="n"/>
      <c r="BQ271" s="122" t="n"/>
      <c r="BR271" s="122" t="n"/>
      <c r="BS271" s="122" t="n"/>
      <c r="BT271" s="122" t="n"/>
      <c r="BU271" s="122" t="n"/>
      <c r="BV271" s="122" t="n"/>
      <c r="BW271" s="122" t="n"/>
      <c r="BX271" s="122" t="n"/>
      <c r="BY271" s="122" t="n"/>
      <c r="BZ271" s="122" t="n"/>
      <c r="CA271" s="504" t="n"/>
      <c r="CB271" s="504" t="n"/>
      <c r="CC271" s="504" t="n"/>
      <c r="CD271" s="123">
        <f>(BN271)</f>
        <v/>
      </c>
      <c r="CE271" s="397">
        <f>(CE73)</f>
        <v/>
      </c>
      <c r="CF271" s="386">
        <f>IF(CD271=CE271,"Y","N")</f>
        <v/>
      </c>
    </row>
    <row r="272" ht="15" customHeight="1" s="1883">
      <c r="D272" s="149" t="inlineStr">
        <is>
          <t>Month 49</t>
        </is>
      </c>
      <c r="E272" s="123">
        <f>(E74)</f>
        <v/>
      </c>
      <c r="G272" s="122" t="n"/>
      <c r="H272" s="122" t="n"/>
      <c r="I272" s="122" t="n"/>
      <c r="J272" s="122" t="n"/>
      <c r="K272" s="122" t="n"/>
      <c r="L272" s="122" t="n"/>
      <c r="M272" s="122" t="n"/>
      <c r="N272" s="122" t="n"/>
      <c r="O272" s="122" t="n"/>
      <c r="P272" s="122" t="n"/>
      <c r="Q272" s="122" t="n"/>
      <c r="R272" s="122" t="n"/>
      <c r="S272" s="444" t="n"/>
      <c r="T272" s="122" t="n"/>
      <c r="U272" s="122" t="n"/>
      <c r="V272" s="122" t="n"/>
      <c r="W272" s="122" t="n"/>
      <c r="X272" s="122" t="n"/>
      <c r="Y272" s="122" t="n"/>
      <c r="Z272" s="122" t="n"/>
      <c r="AA272" s="122" t="n"/>
      <c r="AB272" s="122" t="n"/>
      <c r="AC272" s="122" t="n"/>
      <c r="AD272" s="122" t="n"/>
      <c r="AE272" s="444" t="n"/>
      <c r="AF272" s="122" t="n"/>
      <c r="AG272" s="122" t="n"/>
      <c r="AH272" s="122" t="n"/>
      <c r="AI272" s="122" t="n"/>
      <c r="AJ272" s="122" t="n"/>
      <c r="AK272" s="122" t="n"/>
      <c r="AL272" s="122" t="n"/>
      <c r="AM272" s="122" t="n"/>
      <c r="AN272" s="122" t="n"/>
      <c r="AO272" s="122" t="n"/>
      <c r="AP272" s="122" t="n"/>
      <c r="AQ272" s="444" t="n"/>
      <c r="AR272" s="122" t="n"/>
      <c r="AS272" s="122" t="n"/>
      <c r="AT272" s="122" t="n"/>
      <c r="AU272" s="122" t="n"/>
      <c r="AV272" s="122" t="n"/>
      <c r="AW272" s="122" t="n"/>
      <c r="AX272" s="122" t="n"/>
      <c r="AY272" s="122" t="n"/>
      <c r="AZ272" s="122" t="n"/>
      <c r="BA272" s="122" t="n"/>
      <c r="BB272" s="122" t="n"/>
      <c r="BC272" s="453">
        <f>(($E272)-SUM($G74:BC74))</f>
        <v/>
      </c>
      <c r="BD272" s="443">
        <f>(($E272)-SUM($G74:BD74))</f>
        <v/>
      </c>
      <c r="BE272" s="122">
        <f>(($E272)-SUM($G74:BE74))</f>
        <v/>
      </c>
      <c r="BF272" s="122">
        <f>(($E272)-SUM($G74:BF74))</f>
        <v/>
      </c>
      <c r="BG272" s="122">
        <f>(($E272)-SUM($G74:BG74))</f>
        <v/>
      </c>
      <c r="BH272" s="122">
        <f>(($E272)-SUM($G74:BH74))</f>
        <v/>
      </c>
      <c r="BI272" s="122">
        <f>(($E272)-SUM($G74:BI74))</f>
        <v/>
      </c>
      <c r="BJ272" s="122">
        <f>(($E272)-SUM($G74:BJ74))</f>
        <v/>
      </c>
      <c r="BK272" s="122">
        <f>(($E272)-SUM($G74:BK74))</f>
        <v/>
      </c>
      <c r="BL272" s="122">
        <f>(($E272)-SUM($G74:BL74))</f>
        <v/>
      </c>
      <c r="BM272" s="122">
        <f>(($E272)-SUM($G74:BM74))</f>
        <v/>
      </c>
      <c r="BN272" s="122">
        <f>(($E272)-SUM($G74:BN74))</f>
        <v/>
      </c>
      <c r="BO272" s="122" t="n"/>
      <c r="BP272" s="122" t="n"/>
      <c r="BQ272" s="122" t="n"/>
      <c r="BR272" s="122" t="n"/>
      <c r="BS272" s="122" t="n"/>
      <c r="BT272" s="122" t="n"/>
      <c r="BU272" s="122" t="n"/>
      <c r="BV272" s="122" t="n"/>
      <c r="BW272" s="122" t="n"/>
      <c r="BX272" s="122" t="n"/>
      <c r="BY272" s="122" t="n"/>
      <c r="BZ272" s="122" t="n"/>
      <c r="CA272" s="504" t="n"/>
      <c r="CB272" s="504" t="n"/>
      <c r="CC272" s="504" t="n"/>
      <c r="CD272" s="123">
        <f>(BN272)</f>
        <v/>
      </c>
      <c r="CE272" s="397">
        <f>(CE74)</f>
        <v/>
      </c>
      <c r="CF272" s="386">
        <f>IF(CD272=CE272,"Y","N")</f>
        <v/>
      </c>
    </row>
    <row r="273" ht="15" customHeight="1" s="1883">
      <c r="D273" s="149" t="inlineStr">
        <is>
          <t>Month 50</t>
        </is>
      </c>
      <c r="E273" s="123">
        <f>(E75)</f>
        <v/>
      </c>
      <c r="G273" s="122" t="n"/>
      <c r="H273" s="122" t="n"/>
      <c r="I273" s="122" t="n"/>
      <c r="J273" s="122" t="n"/>
      <c r="K273" s="122" t="n"/>
      <c r="L273" s="122" t="n"/>
      <c r="M273" s="122" t="n"/>
      <c r="N273" s="122" t="n"/>
      <c r="O273" s="122" t="n"/>
      <c r="P273" s="122" t="n"/>
      <c r="Q273" s="122" t="n"/>
      <c r="R273" s="122" t="n"/>
      <c r="S273" s="444" t="n"/>
      <c r="T273" s="122" t="n"/>
      <c r="U273" s="122" t="n"/>
      <c r="V273" s="122" t="n"/>
      <c r="W273" s="122" t="n"/>
      <c r="X273" s="122" t="n"/>
      <c r="Y273" s="122" t="n"/>
      <c r="Z273" s="122" t="n"/>
      <c r="AA273" s="122" t="n"/>
      <c r="AB273" s="122" t="n"/>
      <c r="AC273" s="122" t="n"/>
      <c r="AD273" s="122" t="n"/>
      <c r="AE273" s="444" t="n"/>
      <c r="AF273" s="122" t="n"/>
      <c r="AG273" s="122" t="n"/>
      <c r="AH273" s="122" t="n"/>
      <c r="AI273" s="122" t="n"/>
      <c r="AJ273" s="122" t="n"/>
      <c r="AK273" s="122" t="n"/>
      <c r="AL273" s="122" t="n"/>
      <c r="AM273" s="122" t="n"/>
      <c r="AN273" s="122" t="n"/>
      <c r="AO273" s="122" t="n"/>
      <c r="AP273" s="122" t="n"/>
      <c r="AQ273" s="444" t="n"/>
      <c r="AR273" s="122" t="n"/>
      <c r="AS273" s="122" t="n"/>
      <c r="AT273" s="122" t="n"/>
      <c r="AU273" s="122" t="n"/>
      <c r="AV273" s="122" t="n"/>
      <c r="AW273" s="122" t="n"/>
      <c r="AX273" s="122" t="n"/>
      <c r="AY273" s="122" t="n"/>
      <c r="AZ273" s="122" t="n"/>
      <c r="BA273" s="122" t="n"/>
      <c r="BB273" s="122" t="n"/>
      <c r="BC273" s="444" t="n"/>
      <c r="BD273" s="443">
        <f>(($E273)-SUM($G75:BD75))</f>
        <v/>
      </c>
      <c r="BE273" s="443">
        <f>(($E273)-SUM($G75:BE75))</f>
        <v/>
      </c>
      <c r="BF273" s="122">
        <f>(($E273)-SUM($G75:BF75))</f>
        <v/>
      </c>
      <c r="BG273" s="122">
        <f>(($E273)-SUM($G75:BG75))</f>
        <v/>
      </c>
      <c r="BH273" s="122">
        <f>(($E273)-SUM($G75:BH75))</f>
        <v/>
      </c>
      <c r="BI273" s="122">
        <f>(($E273)-SUM($G75:BI75))</f>
        <v/>
      </c>
      <c r="BJ273" s="122">
        <f>(($E273)-SUM($G75:BJ75))</f>
        <v/>
      </c>
      <c r="BK273" s="122">
        <f>(($E273)-SUM($G75:BK75))</f>
        <v/>
      </c>
      <c r="BL273" s="122">
        <f>(($E273)-SUM($G75:BL75))</f>
        <v/>
      </c>
      <c r="BM273" s="122">
        <f>(($E273)-SUM($G75:BM75))</f>
        <v/>
      </c>
      <c r="BN273" s="122">
        <f>(($E273)-SUM($G75:BN75))</f>
        <v/>
      </c>
      <c r="BO273" s="122" t="n"/>
      <c r="BP273" s="122" t="n"/>
      <c r="BQ273" s="122" t="n"/>
      <c r="BR273" s="122" t="n"/>
      <c r="BS273" s="122" t="n"/>
      <c r="BT273" s="122" t="n"/>
      <c r="BU273" s="122" t="n"/>
      <c r="BV273" s="122" t="n"/>
      <c r="BW273" s="122" t="n"/>
      <c r="BX273" s="122" t="n"/>
      <c r="BY273" s="122" t="n"/>
      <c r="BZ273" s="122" t="n"/>
      <c r="CA273" s="504" t="n"/>
      <c r="CB273" s="504" t="n"/>
      <c r="CC273" s="504" t="n"/>
      <c r="CD273" s="123">
        <f>(BN273)</f>
        <v/>
      </c>
      <c r="CE273" s="397">
        <f>(CE75)</f>
        <v/>
      </c>
      <c r="CF273" s="386">
        <f>IF(CD273=CE273,"Y","N")</f>
        <v/>
      </c>
    </row>
    <row r="274" ht="15" customHeight="1" s="1883">
      <c r="D274" s="149" t="inlineStr">
        <is>
          <t>Month 51</t>
        </is>
      </c>
      <c r="E274" s="123">
        <f>(E76)</f>
        <v/>
      </c>
      <c r="G274" s="122" t="n"/>
      <c r="H274" s="122" t="n"/>
      <c r="I274" s="122" t="n"/>
      <c r="J274" s="122" t="n"/>
      <c r="K274" s="122" t="n"/>
      <c r="L274" s="122" t="n"/>
      <c r="M274" s="122" t="n"/>
      <c r="N274" s="122" t="n"/>
      <c r="O274" s="122" t="n"/>
      <c r="P274" s="122" t="n"/>
      <c r="Q274" s="122" t="n"/>
      <c r="R274" s="122" t="n"/>
      <c r="S274" s="444" t="n"/>
      <c r="T274" s="122" t="n"/>
      <c r="U274" s="122" t="n"/>
      <c r="V274" s="122" t="n"/>
      <c r="W274" s="122" t="n"/>
      <c r="X274" s="122" t="n"/>
      <c r="Y274" s="122" t="n"/>
      <c r="Z274" s="122" t="n"/>
      <c r="AA274" s="122" t="n"/>
      <c r="AB274" s="122" t="n"/>
      <c r="AC274" s="122" t="n"/>
      <c r="AD274" s="122" t="n"/>
      <c r="AE274" s="444" t="n"/>
      <c r="AF274" s="122" t="n"/>
      <c r="AG274" s="122" t="n"/>
      <c r="AH274" s="122" t="n"/>
      <c r="AI274" s="122" t="n"/>
      <c r="AJ274" s="122" t="n"/>
      <c r="AK274" s="122" t="n"/>
      <c r="AL274" s="122" t="n"/>
      <c r="AM274" s="122" t="n"/>
      <c r="AN274" s="122" t="n"/>
      <c r="AO274" s="122" t="n"/>
      <c r="AP274" s="122" t="n"/>
      <c r="AQ274" s="444" t="n"/>
      <c r="AR274" s="122" t="n"/>
      <c r="AS274" s="122" t="n"/>
      <c r="AT274" s="122" t="n"/>
      <c r="AU274" s="122" t="n"/>
      <c r="AV274" s="122" t="n"/>
      <c r="AW274" s="122" t="n"/>
      <c r="AX274" s="122" t="n"/>
      <c r="AY274" s="122" t="n"/>
      <c r="AZ274" s="122" t="n"/>
      <c r="BA274" s="122" t="n"/>
      <c r="BB274" s="122" t="n"/>
      <c r="BC274" s="444" t="n"/>
      <c r="BD274" s="122" t="n"/>
      <c r="BE274" s="443">
        <f>(($E274)-SUM($G76:BE76))</f>
        <v/>
      </c>
      <c r="BF274" s="443">
        <f>(($E274)-SUM($G76:BF76))</f>
        <v/>
      </c>
      <c r="BG274" s="122">
        <f>(($E274)-SUM($G76:BG76))</f>
        <v/>
      </c>
      <c r="BH274" s="122">
        <f>(($E274)-SUM($G76:BH76))</f>
        <v/>
      </c>
      <c r="BI274" s="122">
        <f>(($E274)-SUM($G76:BI76))</f>
        <v/>
      </c>
      <c r="BJ274" s="122">
        <f>(($E274)-SUM($G76:BJ76))</f>
        <v/>
      </c>
      <c r="BK274" s="122">
        <f>(($E274)-SUM($G76:BK76))</f>
        <v/>
      </c>
      <c r="BL274" s="122">
        <f>(($E274)-SUM($G76:BL76))</f>
        <v/>
      </c>
      <c r="BM274" s="122">
        <f>(($E274)-SUM($G76:BM76))</f>
        <v/>
      </c>
      <c r="BN274" s="122">
        <f>(($E274)-SUM($G76:BN76))</f>
        <v/>
      </c>
      <c r="BO274" s="122" t="n"/>
      <c r="BP274" s="122" t="n"/>
      <c r="BQ274" s="122" t="n"/>
      <c r="BR274" s="122" t="n"/>
      <c r="BS274" s="122" t="n"/>
      <c r="BT274" s="122" t="n"/>
      <c r="BU274" s="122" t="n"/>
      <c r="BV274" s="122" t="n"/>
      <c r="BW274" s="122" t="n"/>
      <c r="BX274" s="122" t="n"/>
      <c r="BY274" s="122" t="n"/>
      <c r="BZ274" s="122" t="n"/>
      <c r="CA274" s="504" t="n"/>
      <c r="CB274" s="504" t="n"/>
      <c r="CC274" s="504" t="n"/>
      <c r="CD274" s="123">
        <f>(BN274)</f>
        <v/>
      </c>
      <c r="CE274" s="397">
        <f>(CE76)</f>
        <v/>
      </c>
      <c r="CF274" s="386">
        <f>IF(CD274=CE274,"Y","N")</f>
        <v/>
      </c>
    </row>
    <row r="275" ht="15" customHeight="1" s="1883">
      <c r="D275" s="149" t="inlineStr">
        <is>
          <t>Month 52</t>
        </is>
      </c>
      <c r="E275" s="123">
        <f>(E77)</f>
        <v/>
      </c>
      <c r="G275" s="122" t="n"/>
      <c r="H275" s="122" t="n"/>
      <c r="I275" s="122" t="n"/>
      <c r="J275" s="122" t="n"/>
      <c r="K275" s="122" t="n"/>
      <c r="L275" s="122" t="n"/>
      <c r="M275" s="122" t="n"/>
      <c r="N275" s="122" t="n"/>
      <c r="O275" s="122" t="n"/>
      <c r="P275" s="122" t="n"/>
      <c r="Q275" s="122" t="n"/>
      <c r="R275" s="122" t="n"/>
      <c r="S275" s="444" t="n"/>
      <c r="T275" s="122" t="n"/>
      <c r="U275" s="122" t="n"/>
      <c r="V275" s="122" t="n"/>
      <c r="W275" s="122" t="n"/>
      <c r="X275" s="122" t="n"/>
      <c r="Y275" s="122" t="n"/>
      <c r="Z275" s="122" t="n"/>
      <c r="AA275" s="122" t="n"/>
      <c r="AB275" s="122" t="n"/>
      <c r="AC275" s="122" t="n"/>
      <c r="AD275" s="122" t="n"/>
      <c r="AE275" s="444" t="n"/>
      <c r="AF275" s="122" t="n"/>
      <c r="AG275" s="122" t="n"/>
      <c r="AH275" s="122" t="n"/>
      <c r="AI275" s="122" t="n"/>
      <c r="AJ275" s="122" t="n"/>
      <c r="AK275" s="122" t="n"/>
      <c r="AL275" s="122" t="n"/>
      <c r="AM275" s="122" t="n"/>
      <c r="AN275" s="122" t="n"/>
      <c r="AO275" s="122" t="n"/>
      <c r="AP275" s="122" t="n"/>
      <c r="AQ275" s="444" t="n"/>
      <c r="AR275" s="122" t="n"/>
      <c r="AS275" s="122" t="n"/>
      <c r="AT275" s="122" t="n"/>
      <c r="AU275" s="122" t="n"/>
      <c r="AV275" s="122" t="n"/>
      <c r="AW275" s="122" t="n"/>
      <c r="AX275" s="122" t="n"/>
      <c r="AY275" s="122" t="n"/>
      <c r="AZ275" s="122" t="n"/>
      <c r="BA275" s="122" t="n"/>
      <c r="BB275" s="122" t="n"/>
      <c r="BC275" s="444" t="n"/>
      <c r="BD275" s="122" t="n"/>
      <c r="BE275" s="122" t="n"/>
      <c r="BF275" s="443">
        <f>(($E275)-SUM($G77:BF77))</f>
        <v/>
      </c>
      <c r="BG275" s="443">
        <f>(($E275)-SUM($G77:BG77))</f>
        <v/>
      </c>
      <c r="BH275" s="122">
        <f>(($E275)-SUM($G77:BH77))</f>
        <v/>
      </c>
      <c r="BI275" s="122">
        <f>(($E275)-SUM($G77:BI77))</f>
        <v/>
      </c>
      <c r="BJ275" s="122">
        <f>(($E275)-SUM($G77:BJ77))</f>
        <v/>
      </c>
      <c r="BK275" s="122">
        <f>(($E275)-SUM($G77:BK77))</f>
        <v/>
      </c>
      <c r="BL275" s="122">
        <f>(($E275)-SUM($G77:BL77))</f>
        <v/>
      </c>
      <c r="BM275" s="122">
        <f>(($E275)-SUM($G77:BM77))</f>
        <v/>
      </c>
      <c r="BN275" s="122">
        <f>(($E275)-SUM($G77:BN77))</f>
        <v/>
      </c>
      <c r="BO275" s="122" t="n"/>
      <c r="BP275" s="122" t="n"/>
      <c r="BQ275" s="122" t="n"/>
      <c r="BR275" s="122" t="n"/>
      <c r="BS275" s="122" t="n"/>
      <c r="BT275" s="122" t="n"/>
      <c r="BU275" s="122" t="n"/>
      <c r="BV275" s="122" t="n"/>
      <c r="BW275" s="122" t="n"/>
      <c r="BX275" s="122" t="n"/>
      <c r="BY275" s="122" t="n"/>
      <c r="BZ275" s="122" t="n"/>
      <c r="CA275" s="504" t="n"/>
      <c r="CB275" s="504" t="n"/>
      <c r="CC275" s="504" t="n"/>
      <c r="CD275" s="123">
        <f>(BN275)</f>
        <v/>
      </c>
      <c r="CE275" s="397">
        <f>(CE77)</f>
        <v/>
      </c>
      <c r="CF275" s="386">
        <f>IF(CD275=CE275,"Y","N")</f>
        <v/>
      </c>
    </row>
    <row r="276" ht="15" customHeight="1" s="1883">
      <c r="D276" s="149" t="inlineStr">
        <is>
          <t>Month 53</t>
        </is>
      </c>
      <c r="E276" s="123">
        <f>(E78)</f>
        <v/>
      </c>
      <c r="G276" s="122" t="n"/>
      <c r="H276" s="122" t="n"/>
      <c r="I276" s="122" t="n"/>
      <c r="J276" s="122" t="n"/>
      <c r="K276" s="122" t="n"/>
      <c r="L276" s="122" t="n"/>
      <c r="M276" s="122" t="n"/>
      <c r="N276" s="122" t="n"/>
      <c r="O276" s="122" t="n"/>
      <c r="P276" s="122" t="n"/>
      <c r="Q276" s="122" t="n"/>
      <c r="R276" s="122" t="n"/>
      <c r="S276" s="444" t="n"/>
      <c r="T276" s="122" t="n"/>
      <c r="U276" s="122" t="n"/>
      <c r="V276" s="122" t="n"/>
      <c r="W276" s="122" t="n"/>
      <c r="X276" s="122" t="n"/>
      <c r="Y276" s="122" t="n"/>
      <c r="Z276" s="122" t="n"/>
      <c r="AA276" s="122" t="n"/>
      <c r="AB276" s="122" t="n"/>
      <c r="AC276" s="122" t="n"/>
      <c r="AD276" s="122" t="n"/>
      <c r="AE276" s="444" t="n"/>
      <c r="AF276" s="122" t="n"/>
      <c r="AG276" s="122" t="n"/>
      <c r="AH276" s="122" t="n"/>
      <c r="AI276" s="122" t="n"/>
      <c r="AJ276" s="122" t="n"/>
      <c r="AK276" s="122" t="n"/>
      <c r="AL276" s="122" t="n"/>
      <c r="AM276" s="122" t="n"/>
      <c r="AN276" s="122" t="n"/>
      <c r="AO276" s="122" t="n"/>
      <c r="AP276" s="122" t="n"/>
      <c r="AQ276" s="444" t="n"/>
      <c r="AR276" s="122" t="n"/>
      <c r="AS276" s="122" t="n"/>
      <c r="AT276" s="122" t="n"/>
      <c r="AU276" s="122" t="n"/>
      <c r="AV276" s="122" t="n"/>
      <c r="AW276" s="122" t="n"/>
      <c r="AX276" s="122" t="n"/>
      <c r="AY276" s="122" t="n"/>
      <c r="AZ276" s="122" t="n"/>
      <c r="BA276" s="122" t="n"/>
      <c r="BB276" s="122" t="n"/>
      <c r="BC276" s="444" t="n"/>
      <c r="BD276" s="122" t="n"/>
      <c r="BE276" s="122" t="n"/>
      <c r="BF276" s="122" t="n"/>
      <c r="BG276" s="443">
        <f>(($E276)-SUM($G78:BG78))</f>
        <v/>
      </c>
      <c r="BH276" s="443">
        <f>(($E276)-SUM($G78:BH78))</f>
        <v/>
      </c>
      <c r="BI276" s="122">
        <f>(($E276)-SUM($G78:BI78))</f>
        <v/>
      </c>
      <c r="BJ276" s="122">
        <f>(($E276)-SUM($G78:BJ78))</f>
        <v/>
      </c>
      <c r="BK276" s="122">
        <f>(($E276)-SUM($G78:BK78))</f>
        <v/>
      </c>
      <c r="BL276" s="122">
        <f>(($E276)-SUM($G78:BL78))</f>
        <v/>
      </c>
      <c r="BM276" s="122">
        <f>(($E276)-SUM($G78:BM78))</f>
        <v/>
      </c>
      <c r="BN276" s="122">
        <f>(($E276)-SUM($G78:BN78))</f>
        <v/>
      </c>
      <c r="BO276" s="122" t="n"/>
      <c r="BP276" s="122" t="n"/>
      <c r="BQ276" s="122" t="n"/>
      <c r="BR276" s="122" t="n"/>
      <c r="BS276" s="122" t="n"/>
      <c r="BT276" s="122" t="n"/>
      <c r="BU276" s="122" t="n"/>
      <c r="BV276" s="122" t="n"/>
      <c r="BW276" s="122" t="n"/>
      <c r="BX276" s="122" t="n"/>
      <c r="BY276" s="122" t="n"/>
      <c r="BZ276" s="122" t="n"/>
      <c r="CA276" s="504" t="n"/>
      <c r="CB276" s="504" t="n"/>
      <c r="CC276" s="504" t="n"/>
      <c r="CD276" s="123">
        <f>(BN276)</f>
        <v/>
      </c>
      <c r="CE276" s="397">
        <f>(CE78)</f>
        <v/>
      </c>
      <c r="CF276" s="386">
        <f>IF(CD276=CE276,"Y","N")</f>
        <v/>
      </c>
    </row>
    <row r="277" ht="15" customHeight="1" s="1883">
      <c r="D277" s="149" t="inlineStr">
        <is>
          <t>Month 54</t>
        </is>
      </c>
      <c r="E277" s="123">
        <f>(E79)</f>
        <v/>
      </c>
      <c r="G277" s="122" t="n"/>
      <c r="H277" s="122" t="n"/>
      <c r="I277" s="122" t="n"/>
      <c r="J277" s="122" t="n"/>
      <c r="K277" s="122" t="n"/>
      <c r="L277" s="122" t="n"/>
      <c r="M277" s="122" t="n"/>
      <c r="N277" s="122" t="n"/>
      <c r="O277" s="122" t="n"/>
      <c r="P277" s="122" t="n"/>
      <c r="Q277" s="122" t="n"/>
      <c r="R277" s="122" t="n"/>
      <c r="S277" s="444" t="n"/>
      <c r="T277" s="122" t="n"/>
      <c r="U277" s="122" t="n"/>
      <c r="V277" s="122" t="n"/>
      <c r="W277" s="122" t="n"/>
      <c r="X277" s="122" t="n"/>
      <c r="Y277" s="122" t="n"/>
      <c r="Z277" s="122" t="n"/>
      <c r="AA277" s="122" t="n"/>
      <c r="AB277" s="122" t="n"/>
      <c r="AC277" s="122" t="n"/>
      <c r="AD277" s="122" t="n"/>
      <c r="AE277" s="444" t="n"/>
      <c r="AF277" s="122" t="n"/>
      <c r="AG277" s="122" t="n"/>
      <c r="AH277" s="122" t="n"/>
      <c r="AI277" s="122" t="n"/>
      <c r="AJ277" s="122" t="n"/>
      <c r="AK277" s="122" t="n"/>
      <c r="AL277" s="122" t="n"/>
      <c r="AM277" s="122" t="n"/>
      <c r="AN277" s="122" t="n"/>
      <c r="AO277" s="122" t="n"/>
      <c r="AP277" s="122" t="n"/>
      <c r="AQ277" s="444" t="n"/>
      <c r="AR277" s="122" t="n"/>
      <c r="AS277" s="122" t="n"/>
      <c r="AT277" s="122" t="n"/>
      <c r="AU277" s="122" t="n"/>
      <c r="AV277" s="122" t="n"/>
      <c r="AW277" s="122" t="n"/>
      <c r="AX277" s="122" t="n"/>
      <c r="AY277" s="122" t="n"/>
      <c r="AZ277" s="122" t="n"/>
      <c r="BA277" s="122" t="n"/>
      <c r="BB277" s="122" t="n"/>
      <c r="BC277" s="444" t="n"/>
      <c r="BD277" s="122" t="n"/>
      <c r="BE277" s="122" t="n"/>
      <c r="BF277" s="122" t="n"/>
      <c r="BG277" s="122" t="n"/>
      <c r="BH277" s="443">
        <f>(($E277)-SUM($G79:BH79))</f>
        <v/>
      </c>
      <c r="BI277" s="443">
        <f>(($E277)-SUM($G79:BI79))</f>
        <v/>
      </c>
      <c r="BJ277" s="122">
        <f>(($E277)-SUM($G79:BJ79))</f>
        <v/>
      </c>
      <c r="BK277" s="122">
        <f>(($E277)-SUM($G79:BK79))</f>
        <v/>
      </c>
      <c r="BL277" s="122">
        <f>(($E277)-SUM($G79:BL79))</f>
        <v/>
      </c>
      <c r="BM277" s="122">
        <f>(($E277)-SUM($G79:BM79))</f>
        <v/>
      </c>
      <c r="BN277" s="122">
        <f>(($E277)-SUM($G79:BN79))</f>
        <v/>
      </c>
      <c r="BO277" s="122" t="n"/>
      <c r="BP277" s="122" t="n"/>
      <c r="BQ277" s="122" t="n"/>
      <c r="BR277" s="122" t="n"/>
      <c r="BS277" s="122" t="n"/>
      <c r="BT277" s="122" t="n"/>
      <c r="BU277" s="122" t="n"/>
      <c r="BV277" s="122" t="n"/>
      <c r="BW277" s="122" t="n"/>
      <c r="BX277" s="122" t="n"/>
      <c r="BY277" s="122" t="n"/>
      <c r="BZ277" s="122" t="n"/>
      <c r="CA277" s="504" t="n"/>
      <c r="CB277" s="504" t="n"/>
      <c r="CC277" s="504" t="n"/>
      <c r="CD277" s="123">
        <f>(BN277)</f>
        <v/>
      </c>
      <c r="CE277" s="397">
        <f>(CE79)</f>
        <v/>
      </c>
      <c r="CF277" s="386">
        <f>IF(CD277=CE277,"Y","N")</f>
        <v/>
      </c>
    </row>
    <row r="278" ht="15" customHeight="1" s="1883">
      <c r="D278" s="149" t="inlineStr">
        <is>
          <t>Month 55</t>
        </is>
      </c>
      <c r="E278" s="123">
        <f>(E80)</f>
        <v/>
      </c>
      <c r="G278" s="122" t="n"/>
      <c r="H278" s="122" t="n"/>
      <c r="I278" s="122" t="n"/>
      <c r="J278" s="122" t="n"/>
      <c r="K278" s="122" t="n"/>
      <c r="L278" s="122" t="n"/>
      <c r="M278" s="122" t="n"/>
      <c r="N278" s="122" t="n"/>
      <c r="O278" s="122" t="n"/>
      <c r="P278" s="122" t="n"/>
      <c r="Q278" s="122" t="n"/>
      <c r="R278" s="122" t="n"/>
      <c r="S278" s="444" t="n"/>
      <c r="T278" s="122" t="n"/>
      <c r="U278" s="122" t="n"/>
      <c r="V278" s="122" t="n"/>
      <c r="W278" s="122" t="n"/>
      <c r="X278" s="122" t="n"/>
      <c r="Y278" s="122" t="n"/>
      <c r="Z278" s="122" t="n"/>
      <c r="AA278" s="122" t="n"/>
      <c r="AB278" s="122" t="n"/>
      <c r="AC278" s="122" t="n"/>
      <c r="AD278" s="122" t="n"/>
      <c r="AE278" s="444" t="n"/>
      <c r="AF278" s="122" t="n"/>
      <c r="AG278" s="122" t="n"/>
      <c r="AH278" s="122" t="n"/>
      <c r="AI278" s="122" t="n"/>
      <c r="AJ278" s="122" t="n"/>
      <c r="AK278" s="122" t="n"/>
      <c r="AL278" s="122" t="n"/>
      <c r="AM278" s="122" t="n"/>
      <c r="AN278" s="122" t="n"/>
      <c r="AO278" s="122" t="n"/>
      <c r="AP278" s="122" t="n"/>
      <c r="AQ278" s="444" t="n"/>
      <c r="AR278" s="122" t="n"/>
      <c r="AS278" s="122" t="n"/>
      <c r="AT278" s="122" t="n"/>
      <c r="AU278" s="122" t="n"/>
      <c r="AV278" s="122" t="n"/>
      <c r="AW278" s="122" t="n"/>
      <c r="AX278" s="122" t="n"/>
      <c r="AY278" s="122" t="n"/>
      <c r="AZ278" s="122" t="n"/>
      <c r="BA278" s="122" t="n"/>
      <c r="BB278" s="122" t="n"/>
      <c r="BC278" s="444" t="n"/>
      <c r="BD278" s="122" t="n"/>
      <c r="BE278" s="122" t="n"/>
      <c r="BF278" s="122" t="n"/>
      <c r="BG278" s="122" t="n"/>
      <c r="BH278" s="122" t="n"/>
      <c r="BI278" s="443">
        <f>(($E278)-SUM($G80:BI80))</f>
        <v/>
      </c>
      <c r="BJ278" s="443">
        <f>(($E278)-SUM($G80:BJ80))</f>
        <v/>
      </c>
      <c r="BK278" s="122">
        <f>(($E278)-SUM($G80:BK80))</f>
        <v/>
      </c>
      <c r="BL278" s="122">
        <f>(($E278)-SUM($G80:BL80))</f>
        <v/>
      </c>
      <c r="BM278" s="122">
        <f>(($E278)-SUM($G80:BM80))</f>
        <v/>
      </c>
      <c r="BN278" s="122">
        <f>(($E278)-SUM($G80:BN80))</f>
        <v/>
      </c>
      <c r="BO278" s="122" t="n"/>
      <c r="BP278" s="122" t="n"/>
      <c r="BQ278" s="122" t="n"/>
      <c r="BR278" s="122" t="n"/>
      <c r="BS278" s="122" t="n"/>
      <c r="BT278" s="122" t="n"/>
      <c r="BU278" s="122" t="n"/>
      <c r="BV278" s="122" t="n"/>
      <c r="BW278" s="122" t="n"/>
      <c r="BX278" s="122" t="n"/>
      <c r="BY278" s="122" t="n"/>
      <c r="BZ278" s="122" t="n"/>
      <c r="CA278" s="504" t="n"/>
      <c r="CB278" s="504" t="n"/>
      <c r="CC278" s="504" t="n"/>
      <c r="CD278" s="123">
        <f>(BN278)</f>
        <v/>
      </c>
      <c r="CE278" s="397">
        <f>(CE80)</f>
        <v/>
      </c>
      <c r="CF278" s="386">
        <f>IF(CD278=CE278,"Y","N")</f>
        <v/>
      </c>
    </row>
    <row r="279" ht="15" customHeight="1" s="1883">
      <c r="D279" s="149" t="inlineStr">
        <is>
          <t>Month 56</t>
        </is>
      </c>
      <c r="E279" s="123">
        <f>(E81)</f>
        <v/>
      </c>
      <c r="G279" s="122" t="n"/>
      <c r="H279" s="122" t="n"/>
      <c r="I279" s="122" t="n"/>
      <c r="J279" s="122" t="n"/>
      <c r="K279" s="122" t="n"/>
      <c r="L279" s="122" t="n"/>
      <c r="M279" s="122" t="n"/>
      <c r="N279" s="122" t="n"/>
      <c r="O279" s="122" t="n"/>
      <c r="P279" s="122" t="n"/>
      <c r="Q279" s="122" t="n"/>
      <c r="R279" s="122" t="n"/>
      <c r="S279" s="444" t="n"/>
      <c r="T279" s="122" t="n"/>
      <c r="U279" s="122" t="n"/>
      <c r="V279" s="122" t="n"/>
      <c r="W279" s="122" t="n"/>
      <c r="X279" s="122" t="n"/>
      <c r="Y279" s="122" t="n"/>
      <c r="Z279" s="122" t="n"/>
      <c r="AA279" s="122" t="n"/>
      <c r="AB279" s="122" t="n"/>
      <c r="AC279" s="122" t="n"/>
      <c r="AD279" s="122" t="n"/>
      <c r="AE279" s="444" t="n"/>
      <c r="AF279" s="122" t="n"/>
      <c r="AG279" s="122" t="n"/>
      <c r="AH279" s="122" t="n"/>
      <c r="AI279" s="122" t="n"/>
      <c r="AJ279" s="122" t="n"/>
      <c r="AK279" s="122" t="n"/>
      <c r="AL279" s="122" t="n"/>
      <c r="AM279" s="122" t="n"/>
      <c r="AN279" s="122" t="n"/>
      <c r="AO279" s="122" t="n"/>
      <c r="AP279" s="122" t="n"/>
      <c r="AQ279" s="444" t="n"/>
      <c r="AR279" s="122" t="n"/>
      <c r="AS279" s="122" t="n"/>
      <c r="AT279" s="122" t="n"/>
      <c r="AU279" s="122" t="n"/>
      <c r="AV279" s="122" t="n"/>
      <c r="AW279" s="122" t="n"/>
      <c r="AX279" s="122" t="n"/>
      <c r="AY279" s="122" t="n"/>
      <c r="AZ279" s="122" t="n"/>
      <c r="BA279" s="122" t="n"/>
      <c r="BB279" s="122" t="n"/>
      <c r="BC279" s="444" t="n"/>
      <c r="BD279" s="122" t="n"/>
      <c r="BE279" s="122" t="n"/>
      <c r="BF279" s="122" t="n"/>
      <c r="BG279" s="122" t="n"/>
      <c r="BH279" s="122" t="n"/>
      <c r="BI279" s="122" t="n"/>
      <c r="BJ279" s="443">
        <f>(($E279)-SUM($G81:BJ81))</f>
        <v/>
      </c>
      <c r="BK279" s="443">
        <f>(($E279)-SUM($G81:BK81))</f>
        <v/>
      </c>
      <c r="BL279" s="122">
        <f>(($E279)-SUM($G81:BL81))</f>
        <v/>
      </c>
      <c r="BM279" s="122">
        <f>(($E279)-SUM($G81:BM81))</f>
        <v/>
      </c>
      <c r="BN279" s="122">
        <f>(($E279)-SUM($G81:BN81))</f>
        <v/>
      </c>
      <c r="BO279" s="122" t="n"/>
      <c r="BP279" s="122" t="n"/>
      <c r="BQ279" s="122" t="n"/>
      <c r="BR279" s="122" t="n"/>
      <c r="BS279" s="122" t="n"/>
      <c r="BT279" s="122" t="n"/>
      <c r="BU279" s="122" t="n"/>
      <c r="BV279" s="122" t="n"/>
      <c r="BW279" s="122" t="n"/>
      <c r="BX279" s="122" t="n"/>
      <c r="BY279" s="122" t="n"/>
      <c r="BZ279" s="122" t="n"/>
      <c r="CA279" s="504" t="n"/>
      <c r="CB279" s="504" t="n"/>
      <c r="CC279" s="504" t="n"/>
      <c r="CD279" s="123">
        <f>(BN279)</f>
        <v/>
      </c>
      <c r="CE279" s="397">
        <f>(CE81)</f>
        <v/>
      </c>
      <c r="CF279" s="386">
        <f>IF(CD279=CE279,"Y","N")</f>
        <v/>
      </c>
    </row>
    <row r="280" ht="15" customHeight="1" s="1883">
      <c r="D280" s="149" t="inlineStr">
        <is>
          <t>Month 57</t>
        </is>
      </c>
      <c r="E280" s="123">
        <f>(E82)</f>
        <v/>
      </c>
      <c r="G280" s="122" t="n"/>
      <c r="H280" s="122" t="n"/>
      <c r="I280" s="122" t="n"/>
      <c r="J280" s="122" t="n"/>
      <c r="K280" s="122" t="n"/>
      <c r="L280" s="122" t="n"/>
      <c r="M280" s="122" t="n"/>
      <c r="N280" s="122" t="n"/>
      <c r="O280" s="122" t="n"/>
      <c r="P280" s="122" t="n"/>
      <c r="Q280" s="122" t="n"/>
      <c r="R280" s="122" t="n"/>
      <c r="S280" s="444" t="n"/>
      <c r="T280" s="122" t="n"/>
      <c r="U280" s="122" t="n"/>
      <c r="V280" s="122" t="n"/>
      <c r="W280" s="122" t="n"/>
      <c r="X280" s="122" t="n"/>
      <c r="Y280" s="122" t="n"/>
      <c r="Z280" s="122" t="n"/>
      <c r="AA280" s="122" t="n"/>
      <c r="AB280" s="122" t="n"/>
      <c r="AC280" s="122" t="n"/>
      <c r="AD280" s="122" t="n"/>
      <c r="AE280" s="444" t="n"/>
      <c r="AF280" s="122" t="n"/>
      <c r="AG280" s="122" t="n"/>
      <c r="AH280" s="122" t="n"/>
      <c r="AI280" s="122" t="n"/>
      <c r="AJ280" s="122" t="n"/>
      <c r="AK280" s="122" t="n"/>
      <c r="AL280" s="122" t="n"/>
      <c r="AM280" s="122" t="n"/>
      <c r="AN280" s="122" t="n"/>
      <c r="AO280" s="122" t="n"/>
      <c r="AP280" s="122" t="n"/>
      <c r="AQ280" s="444" t="n"/>
      <c r="AR280" s="122" t="n"/>
      <c r="AS280" s="122" t="n"/>
      <c r="AT280" s="122" t="n"/>
      <c r="AU280" s="122" t="n"/>
      <c r="AV280" s="122" t="n"/>
      <c r="AW280" s="122" t="n"/>
      <c r="AX280" s="122" t="n"/>
      <c r="AY280" s="122" t="n"/>
      <c r="AZ280" s="122" t="n"/>
      <c r="BA280" s="122" t="n"/>
      <c r="BB280" s="122" t="n"/>
      <c r="BC280" s="444" t="n"/>
      <c r="BD280" s="122" t="n"/>
      <c r="BE280" s="122" t="n"/>
      <c r="BF280" s="122" t="n"/>
      <c r="BG280" s="122" t="n"/>
      <c r="BH280" s="122" t="n"/>
      <c r="BI280" s="122" t="n"/>
      <c r="BJ280" s="122" t="n"/>
      <c r="BK280" s="443">
        <f>(($E280)-SUM($G82:BK82))</f>
        <v/>
      </c>
      <c r="BL280" s="443">
        <f>(($E280)-SUM($G82:BL82))</f>
        <v/>
      </c>
      <c r="BM280" s="122">
        <f>(($E280)-SUM($G82:BM82))</f>
        <v/>
      </c>
      <c r="BN280" s="122">
        <f>(($E280)-SUM($G82:BN82))</f>
        <v/>
      </c>
      <c r="BO280" s="122" t="n"/>
      <c r="BP280" s="122" t="n"/>
      <c r="BQ280" s="122" t="n"/>
      <c r="BR280" s="122" t="n"/>
      <c r="BS280" s="122" t="n"/>
      <c r="BT280" s="122" t="n"/>
      <c r="BU280" s="122" t="n"/>
      <c r="BV280" s="122" t="n"/>
      <c r="BW280" s="122" t="n"/>
      <c r="BX280" s="122" t="n"/>
      <c r="BY280" s="122" t="n"/>
      <c r="BZ280" s="122" t="n"/>
      <c r="CA280" s="504" t="n"/>
      <c r="CB280" s="504" t="n"/>
      <c r="CC280" s="504" t="n"/>
      <c r="CD280" s="123">
        <f>(BN280)</f>
        <v/>
      </c>
      <c r="CE280" s="397">
        <f>(CE82)</f>
        <v/>
      </c>
      <c r="CF280" s="386">
        <f>IF(CD280=CE280,"Y","N")</f>
        <v/>
      </c>
    </row>
    <row r="281" ht="15" customHeight="1" s="1883">
      <c r="D281" s="149" t="inlineStr">
        <is>
          <t>Month 58</t>
        </is>
      </c>
      <c r="E281" s="123">
        <f>(E83)</f>
        <v/>
      </c>
      <c r="G281" s="122" t="n"/>
      <c r="H281" s="122" t="n"/>
      <c r="I281" s="122" t="n"/>
      <c r="J281" s="122" t="n"/>
      <c r="K281" s="122" t="n"/>
      <c r="L281" s="122" t="n"/>
      <c r="M281" s="122" t="n"/>
      <c r="N281" s="122" t="n"/>
      <c r="O281" s="122" t="n"/>
      <c r="P281" s="122" t="n"/>
      <c r="Q281" s="122" t="n"/>
      <c r="R281" s="122" t="n"/>
      <c r="S281" s="444" t="n"/>
      <c r="T281" s="122" t="n"/>
      <c r="U281" s="122" t="n"/>
      <c r="V281" s="122" t="n"/>
      <c r="W281" s="122" t="n"/>
      <c r="X281" s="122" t="n"/>
      <c r="Y281" s="122" t="n"/>
      <c r="Z281" s="122" t="n"/>
      <c r="AA281" s="122" t="n"/>
      <c r="AB281" s="122" t="n"/>
      <c r="AC281" s="122" t="n"/>
      <c r="AD281" s="122" t="n"/>
      <c r="AE281" s="444" t="n"/>
      <c r="AF281" s="122" t="n"/>
      <c r="AG281" s="122" t="n"/>
      <c r="AH281" s="122" t="n"/>
      <c r="AI281" s="122" t="n"/>
      <c r="AJ281" s="122" t="n"/>
      <c r="AK281" s="122" t="n"/>
      <c r="AL281" s="122" t="n"/>
      <c r="AM281" s="122" t="n"/>
      <c r="AN281" s="122" t="n"/>
      <c r="AO281" s="122" t="n"/>
      <c r="AP281" s="122" t="n"/>
      <c r="AQ281" s="444" t="n"/>
      <c r="AR281" s="122" t="n"/>
      <c r="AS281" s="122" t="n"/>
      <c r="AT281" s="122" t="n"/>
      <c r="AU281" s="122" t="n"/>
      <c r="AV281" s="122" t="n"/>
      <c r="AW281" s="122" t="n"/>
      <c r="AX281" s="122" t="n"/>
      <c r="AY281" s="122" t="n"/>
      <c r="AZ281" s="122" t="n"/>
      <c r="BA281" s="122" t="n"/>
      <c r="BB281" s="122" t="n"/>
      <c r="BC281" s="444" t="n"/>
      <c r="BD281" s="122" t="n"/>
      <c r="BE281" s="122" t="n"/>
      <c r="BF281" s="122" t="n"/>
      <c r="BG281" s="122" t="n"/>
      <c r="BH281" s="122" t="n"/>
      <c r="BI281" s="122" t="n"/>
      <c r="BJ281" s="122" t="n"/>
      <c r="BK281" s="122" t="n"/>
      <c r="BL281" s="443">
        <f>(($E281)-SUM($G83:BL83))</f>
        <v/>
      </c>
      <c r="BM281" s="443">
        <f>(($E281)-SUM($G83:BM83))</f>
        <v/>
      </c>
      <c r="BN281" s="122">
        <f>(($E281)-SUM($G83:BN83))</f>
        <v/>
      </c>
      <c r="BO281" s="122" t="n"/>
      <c r="BP281" s="122" t="n"/>
      <c r="BQ281" s="122" t="n"/>
      <c r="BR281" s="122" t="n"/>
      <c r="BS281" s="122" t="n"/>
      <c r="BT281" s="122" t="n"/>
      <c r="BU281" s="122" t="n"/>
      <c r="BV281" s="122" t="n"/>
      <c r="BW281" s="122" t="n"/>
      <c r="BX281" s="122" t="n"/>
      <c r="BY281" s="122" t="n"/>
      <c r="BZ281" s="122" t="n"/>
      <c r="CA281" s="504" t="n"/>
      <c r="CB281" s="504" t="n"/>
      <c r="CC281" s="504" t="n"/>
      <c r="CD281" s="123">
        <f>(BN281)</f>
        <v/>
      </c>
      <c r="CE281" s="397">
        <f>(CE83)</f>
        <v/>
      </c>
      <c r="CF281" s="386">
        <f>IF(CD281=CE281,"Y","N")</f>
        <v/>
      </c>
    </row>
    <row r="282" ht="15" customHeight="1" s="1883">
      <c r="D282" s="149" t="inlineStr">
        <is>
          <t>Month 59</t>
        </is>
      </c>
      <c r="E282" s="123">
        <f>(E84)</f>
        <v/>
      </c>
      <c r="G282" s="122" t="n"/>
      <c r="H282" s="122" t="n"/>
      <c r="I282" s="122" t="n"/>
      <c r="J282" s="122" t="n"/>
      <c r="K282" s="122" t="n"/>
      <c r="L282" s="122" t="n"/>
      <c r="M282" s="122" t="n"/>
      <c r="N282" s="122" t="n"/>
      <c r="O282" s="122" t="n"/>
      <c r="P282" s="122" t="n"/>
      <c r="Q282" s="122" t="n"/>
      <c r="R282" s="122" t="n"/>
      <c r="S282" s="444" t="n"/>
      <c r="T282" s="122" t="n"/>
      <c r="U282" s="122" t="n"/>
      <c r="V282" s="122" t="n"/>
      <c r="W282" s="122" t="n"/>
      <c r="X282" s="122" t="n"/>
      <c r="Y282" s="122" t="n"/>
      <c r="Z282" s="122" t="n"/>
      <c r="AA282" s="122" t="n"/>
      <c r="AB282" s="122" t="n"/>
      <c r="AC282" s="122" t="n"/>
      <c r="AD282" s="122" t="n"/>
      <c r="AE282" s="444" t="n"/>
      <c r="AF282" s="122" t="n"/>
      <c r="AG282" s="122" t="n"/>
      <c r="AH282" s="122" t="n"/>
      <c r="AI282" s="122" t="n"/>
      <c r="AJ282" s="122" t="n"/>
      <c r="AK282" s="122" t="n"/>
      <c r="AL282" s="122" t="n"/>
      <c r="AM282" s="122" t="n"/>
      <c r="AN282" s="122" t="n"/>
      <c r="AO282" s="122" t="n"/>
      <c r="AP282" s="122" t="n"/>
      <c r="AQ282" s="444" t="n"/>
      <c r="AR282" s="122" t="n"/>
      <c r="AS282" s="122" t="n"/>
      <c r="AT282" s="122" t="n"/>
      <c r="AU282" s="122" t="n"/>
      <c r="AV282" s="122" t="n"/>
      <c r="AW282" s="122" t="n"/>
      <c r="AX282" s="122" t="n"/>
      <c r="AY282" s="122" t="n"/>
      <c r="AZ282" s="122" t="n"/>
      <c r="BA282" s="122" t="n"/>
      <c r="BB282" s="122" t="n"/>
      <c r="BC282" s="444" t="n"/>
      <c r="BD282" s="122" t="n"/>
      <c r="BE282" s="122" t="n"/>
      <c r="BF282" s="122" t="n"/>
      <c r="BG282" s="122" t="n"/>
      <c r="BH282" s="122" t="n"/>
      <c r="BI282" s="122" t="n"/>
      <c r="BJ282" s="122" t="n"/>
      <c r="BK282" s="122" t="n"/>
      <c r="BL282" s="122" t="n"/>
      <c r="BM282" s="443">
        <f>(($E282)-SUM($G84:BM84))</f>
        <v/>
      </c>
      <c r="BN282" s="443">
        <f>(($E282)-SUM($G84:BN84))</f>
        <v/>
      </c>
      <c r="BO282" s="443" t="n"/>
      <c r="BP282" s="443" t="n"/>
      <c r="BQ282" s="443" t="n"/>
      <c r="BR282" s="443" t="n"/>
      <c r="BS282" s="443" t="n"/>
      <c r="BT282" s="443" t="n"/>
      <c r="BU282" s="443" t="n"/>
      <c r="BV282" s="443" t="n"/>
      <c r="BW282" s="443" t="n"/>
      <c r="BX282" s="443" t="n"/>
      <c r="BY282" s="443" t="n"/>
      <c r="BZ282" s="443" t="n"/>
      <c r="CA282" s="504" t="n"/>
      <c r="CB282" s="504" t="n"/>
      <c r="CC282" s="504" t="n"/>
      <c r="CD282" s="123">
        <f>(BN282)</f>
        <v/>
      </c>
      <c r="CE282" s="397">
        <f>(CE84)</f>
        <v/>
      </c>
      <c r="CF282" s="386">
        <f>IF(CD282=CE282,"Y","N")</f>
        <v/>
      </c>
    </row>
    <row r="283" ht="15" customHeight="1" s="1883">
      <c r="D283" s="149" t="inlineStr">
        <is>
          <t>Month 60</t>
        </is>
      </c>
      <c r="E283" s="123">
        <f>(E85)</f>
        <v/>
      </c>
      <c r="G283" s="122" t="n"/>
      <c r="H283" s="122" t="n"/>
      <c r="I283" s="122" t="n"/>
      <c r="J283" s="122" t="n"/>
      <c r="K283" s="122" t="n"/>
      <c r="L283" s="122" t="n"/>
      <c r="M283" s="122" t="n"/>
      <c r="N283" s="122" t="n"/>
      <c r="O283" s="122" t="n"/>
      <c r="P283" s="122" t="n"/>
      <c r="Q283" s="122" t="n"/>
      <c r="R283" s="122" t="n"/>
      <c r="S283" s="444" t="n"/>
      <c r="T283" s="122" t="n"/>
      <c r="U283" s="122" t="n"/>
      <c r="V283" s="122" t="n"/>
      <c r="W283" s="122" t="n"/>
      <c r="X283" s="122" t="n"/>
      <c r="Y283" s="122" t="n"/>
      <c r="Z283" s="122" t="n"/>
      <c r="AA283" s="122" t="n"/>
      <c r="AB283" s="122" t="n"/>
      <c r="AC283" s="122" t="n"/>
      <c r="AD283" s="122" t="n"/>
      <c r="AE283" s="444" t="n"/>
      <c r="AF283" s="122" t="n"/>
      <c r="AG283" s="122" t="n"/>
      <c r="AH283" s="122" t="n"/>
      <c r="AI283" s="122" t="n"/>
      <c r="AJ283" s="122" t="n"/>
      <c r="AK283" s="122" t="n"/>
      <c r="AL283" s="122" t="n"/>
      <c r="AM283" s="122" t="n"/>
      <c r="AN283" s="122" t="n"/>
      <c r="AO283" s="122" t="n"/>
      <c r="AP283" s="122" t="n"/>
      <c r="AQ283" s="444" t="n"/>
      <c r="AR283" s="122" t="n"/>
      <c r="AS283" s="122" t="n"/>
      <c r="AT283" s="122" t="n"/>
      <c r="AU283" s="122" t="n"/>
      <c r="AV283" s="122" t="n"/>
      <c r="AW283" s="122" t="n"/>
      <c r="AX283" s="122" t="n"/>
      <c r="AY283" s="122" t="n"/>
      <c r="AZ283" s="122" t="n"/>
      <c r="BA283" s="122" t="n"/>
      <c r="BB283" s="122" t="n"/>
      <c r="BC283" s="444" t="n"/>
      <c r="BD283" s="122" t="n"/>
      <c r="BE283" s="122" t="n"/>
      <c r="BF283" s="122" t="n"/>
      <c r="BG283" s="122" t="n"/>
      <c r="BH283" s="122" t="n"/>
      <c r="BI283" s="122" t="n"/>
      <c r="BJ283" s="122" t="n"/>
      <c r="BK283" s="122" t="n"/>
      <c r="BL283" s="122" t="n"/>
      <c r="BM283" s="122" t="n"/>
      <c r="BN283" s="443">
        <f>(($E283)-SUM($G85:BN85))</f>
        <v/>
      </c>
      <c r="BO283" s="443" t="n"/>
      <c r="BP283" s="443" t="n"/>
      <c r="BQ283" s="443" t="n"/>
      <c r="BR283" s="443" t="n"/>
      <c r="BS283" s="443" t="n"/>
      <c r="BT283" s="443" t="n"/>
      <c r="BU283" s="443" t="n"/>
      <c r="BV283" s="443" t="n"/>
      <c r="BW283" s="443" t="n"/>
      <c r="BX283" s="443" t="n"/>
      <c r="BY283" s="443" t="n"/>
      <c r="BZ283" s="443" t="n"/>
      <c r="CA283" s="504" t="n"/>
      <c r="CB283" s="504" t="n"/>
      <c r="CC283" s="504" t="n"/>
      <c r="CD283" s="123">
        <f>(BN283)</f>
        <v/>
      </c>
      <c r="CE283" s="397">
        <f>(CE85)</f>
        <v/>
      </c>
      <c r="CF283" s="386">
        <f>IF(CD283=CE283,"Y","N")</f>
        <v/>
      </c>
    </row>
    <row r="284" ht="3" customHeight="1" s="1883">
      <c r="D284" s="116" t="n"/>
      <c r="E284" s="450" t="n"/>
      <c r="F284" s="116" t="n"/>
      <c r="G284" s="449" t="n"/>
      <c r="H284" s="449" t="n"/>
      <c r="I284" s="449" t="n"/>
      <c r="J284" s="449" t="n"/>
      <c r="K284" s="449" t="n"/>
      <c r="L284" s="449" t="n"/>
      <c r="M284" s="449" t="n"/>
      <c r="N284" s="449" t="n"/>
      <c r="O284" s="449" t="n"/>
      <c r="P284" s="449" t="n"/>
      <c r="Q284" s="449" t="n"/>
      <c r="R284" s="449" t="n"/>
      <c r="S284" s="451" t="n"/>
      <c r="T284" s="449" t="n"/>
      <c r="U284" s="449" t="n"/>
      <c r="V284" s="449" t="n"/>
      <c r="W284" s="449" t="n"/>
      <c r="X284" s="449" t="n"/>
      <c r="Y284" s="449" t="n"/>
      <c r="Z284" s="449" t="n"/>
      <c r="AA284" s="449" t="n"/>
      <c r="AB284" s="449" t="n"/>
      <c r="AC284" s="449" t="n"/>
      <c r="AD284" s="449" t="n"/>
      <c r="AE284" s="451" t="n"/>
      <c r="AF284" s="449" t="n"/>
      <c r="AG284" s="449" t="n"/>
      <c r="AH284" s="449" t="n"/>
      <c r="AI284" s="449" t="n"/>
      <c r="AJ284" s="449" t="n"/>
      <c r="AK284" s="449" t="n"/>
      <c r="AL284" s="449" t="n"/>
      <c r="AM284" s="449" t="n"/>
      <c r="AN284" s="449" t="n"/>
      <c r="AO284" s="449" t="n"/>
      <c r="AP284" s="449" t="n"/>
      <c r="AQ284" s="451" t="n"/>
      <c r="AR284" s="449" t="n"/>
      <c r="AS284" s="449" t="n"/>
      <c r="AT284" s="449" t="n"/>
      <c r="AU284" s="449" t="n"/>
      <c r="AV284" s="449" t="n"/>
      <c r="AW284" s="449" t="n"/>
      <c r="AX284" s="449" t="n"/>
      <c r="AY284" s="449" t="n"/>
      <c r="AZ284" s="449" t="n"/>
      <c r="BA284" s="449" t="n"/>
      <c r="BB284" s="449" t="n"/>
      <c r="BC284" s="451" t="n"/>
      <c r="BD284" s="449" t="n"/>
      <c r="BE284" s="449" t="n"/>
      <c r="BF284" s="449" t="n"/>
      <c r="BG284" s="449" t="n"/>
      <c r="BH284" s="449" t="n"/>
      <c r="BI284" s="449" t="n"/>
      <c r="BJ284" s="449" t="n"/>
      <c r="BK284" s="449" t="n"/>
      <c r="BL284" s="449" t="n"/>
      <c r="BM284" s="449" t="n"/>
      <c r="BN284" s="449" t="n"/>
      <c r="BO284" s="445" t="n"/>
      <c r="BP284" s="445" t="n"/>
      <c r="BQ284" s="445" t="n"/>
      <c r="BR284" s="445" t="n"/>
      <c r="BS284" s="445" t="n"/>
      <c r="BT284" s="445" t="n"/>
      <c r="BU284" s="445" t="n"/>
      <c r="BV284" s="445" t="n"/>
      <c r="BW284" s="445" t="n"/>
      <c r="BX284" s="445" t="n"/>
      <c r="BY284" s="445" t="n"/>
      <c r="BZ284" s="445" t="n"/>
      <c r="CA284" s="122" t="n"/>
      <c r="CB284" s="449" t="n"/>
      <c r="CC284" s="122" t="n"/>
      <c r="CD284" s="122" t="n"/>
      <c r="CE284" s="391" t="n"/>
      <c r="CF284" s="122" t="n"/>
    </row>
    <row r="285" ht="3" customHeight="1" s="1883">
      <c r="D285" s="116" t="n"/>
      <c r="E285" s="116" t="n"/>
      <c r="F285" s="116" t="n"/>
      <c r="G285" s="122" t="n"/>
      <c r="H285" s="122" t="n"/>
      <c r="I285" s="122" t="n"/>
      <c r="J285" s="122" t="n"/>
      <c r="K285" s="122" t="n"/>
      <c r="L285" s="122" t="n"/>
      <c r="M285" s="122" t="n"/>
      <c r="N285" s="122" t="n"/>
      <c r="O285" s="122" t="n"/>
      <c r="P285" s="122" t="n"/>
      <c r="Q285" s="122" t="n"/>
      <c r="R285" s="445" t="n"/>
      <c r="S285" s="444" t="n"/>
      <c r="T285" s="122" t="n"/>
      <c r="U285" s="122" t="n"/>
      <c r="V285" s="122" t="n"/>
      <c r="W285" s="122" t="n"/>
      <c r="X285" s="122" t="n"/>
      <c r="Y285" s="122" t="n"/>
      <c r="Z285" s="122" t="n"/>
      <c r="AA285" s="122" t="n"/>
      <c r="AB285" s="122" t="n"/>
      <c r="AC285" s="122" t="n"/>
      <c r="AD285" s="445" t="n"/>
      <c r="AE285" s="444" t="n"/>
      <c r="AF285" s="122" t="n"/>
      <c r="AG285" s="122" t="n"/>
      <c r="AH285" s="122" t="n"/>
      <c r="AI285" s="122" t="n"/>
      <c r="AJ285" s="122" t="n"/>
      <c r="AK285" s="122" t="n"/>
      <c r="AL285" s="122" t="n"/>
      <c r="AM285" s="122" t="n"/>
      <c r="AN285" s="122" t="n"/>
      <c r="AO285" s="122" t="n"/>
      <c r="AP285" s="445" t="n"/>
      <c r="AQ285" s="444" t="n"/>
      <c r="AR285" s="122" t="n"/>
      <c r="AS285" s="122" t="n"/>
      <c r="AT285" s="122" t="n"/>
      <c r="AU285" s="122" t="n"/>
      <c r="AV285" s="122" t="n"/>
      <c r="AW285" s="122" t="n"/>
      <c r="AX285" s="122" t="n"/>
      <c r="AY285" s="122" t="n"/>
      <c r="AZ285" s="122" t="n"/>
      <c r="BA285" s="122" t="n"/>
      <c r="BB285" s="445" t="n"/>
      <c r="BC285" s="444" t="n"/>
      <c r="BD285" s="122" t="n"/>
      <c r="BE285" s="122" t="n"/>
      <c r="BF285" s="122" t="n"/>
      <c r="BG285" s="122" t="n"/>
      <c r="BH285" s="122" t="n"/>
      <c r="BI285" s="122" t="n"/>
      <c r="BJ285" s="122" t="n"/>
      <c r="BK285" s="122" t="n"/>
      <c r="BL285" s="122" t="n"/>
      <c r="BM285" s="122" t="n"/>
      <c r="BN285" s="122" t="n"/>
      <c r="BO285" s="122" t="n"/>
      <c r="BP285" s="122" t="n"/>
      <c r="BQ285" s="122" t="n"/>
      <c r="BR285" s="122" t="n"/>
      <c r="BS285" s="122" t="n"/>
      <c r="BT285" s="122" t="n"/>
      <c r="BU285" s="122" t="n"/>
      <c r="BV285" s="122" t="n"/>
      <c r="BW285" s="122" t="n"/>
      <c r="BX285" s="122" t="n"/>
      <c r="BY285" s="122" t="n"/>
      <c r="BZ285" s="122" t="n"/>
      <c r="CA285" s="122" t="n"/>
      <c r="CB285" s="122" t="n"/>
      <c r="CC285" s="122" t="n"/>
      <c r="CD285" s="122" t="n"/>
      <c r="CE285" s="391" t="n"/>
      <c r="CF285" s="122" t="n"/>
    </row>
    <row r="286" ht="15" customHeight="1" s="1883">
      <c r="D286" s="419" t="inlineStr">
        <is>
          <t>Total</t>
        </is>
      </c>
      <c r="E286" s="138">
        <f>SUM(E224:E283)</f>
        <v/>
      </c>
      <c r="F286" s="626" t="n"/>
      <c r="G286" s="136" t="n">
        <v>0</v>
      </c>
      <c r="H286" s="136" t="n">
        <v>0</v>
      </c>
      <c r="I286" s="136">
        <f>(I224)</f>
        <v/>
      </c>
      <c r="J286" s="136">
        <f>SUM(J224:J225)</f>
        <v/>
      </c>
      <c r="K286" s="136">
        <f>SUM(K224:K226)</f>
        <v/>
      </c>
      <c r="L286" s="136">
        <f>SUM(L224:L227)</f>
        <v/>
      </c>
      <c r="M286" s="136">
        <f>SUM(M224:M228)</f>
        <v/>
      </c>
      <c r="N286" s="136">
        <f>SUM(N224:N229)</f>
        <v/>
      </c>
      <c r="O286" s="136">
        <f>SUM(O224:O230)</f>
        <v/>
      </c>
      <c r="P286" s="136">
        <f>SUM(P224:P231)</f>
        <v/>
      </c>
      <c r="Q286" s="136">
        <f>SUM(Q224:Q232)</f>
        <v/>
      </c>
      <c r="R286" s="414">
        <f>SUM(R224:R233)</f>
        <v/>
      </c>
      <c r="S286" s="416">
        <f>SUM(S224:S234)</f>
        <v/>
      </c>
      <c r="T286" s="136">
        <f>SUM(T224:T235)</f>
        <v/>
      </c>
      <c r="U286" s="136">
        <f>SUM(U224:U236)</f>
        <v/>
      </c>
      <c r="V286" s="136">
        <f>SUM(V224:V237)</f>
        <v/>
      </c>
      <c r="W286" s="136">
        <f>SUM(W224:W238)</f>
        <v/>
      </c>
      <c r="X286" s="136">
        <f>SUM(X224:X239)</f>
        <v/>
      </c>
      <c r="Y286" s="136">
        <f>SUM(Y224:Y240)</f>
        <v/>
      </c>
      <c r="Z286" s="136">
        <f>SUM(Z224:Z241)</f>
        <v/>
      </c>
      <c r="AA286" s="136">
        <f>SUM(AA224:AA242)</f>
        <v/>
      </c>
      <c r="AB286" s="136">
        <f>SUM(AB224:AB243)</f>
        <v/>
      </c>
      <c r="AC286" s="136">
        <f>SUM(AC224:AC244)</f>
        <v/>
      </c>
      <c r="AD286" s="414">
        <f>SUM(AD224:AD245)</f>
        <v/>
      </c>
      <c r="AE286" s="416">
        <f>SUM(AE224:AE246)</f>
        <v/>
      </c>
      <c r="AF286" s="136">
        <f>SUM(AF224:AF247)</f>
        <v/>
      </c>
      <c r="AG286" s="136">
        <f>SUM(AG224:AG248)</f>
        <v/>
      </c>
      <c r="AH286" s="136">
        <f>SUM(AH224:AH249)</f>
        <v/>
      </c>
      <c r="AI286" s="136">
        <f>SUM(AI224:AI250)</f>
        <v/>
      </c>
      <c r="AJ286" s="136">
        <f>SUM(AJ224:AJ251)</f>
        <v/>
      </c>
      <c r="AK286" s="136">
        <f>SUM(AK224:AK252)</f>
        <v/>
      </c>
      <c r="AL286" s="136">
        <f>SUM(AL224:AL253)</f>
        <v/>
      </c>
      <c r="AM286" s="136">
        <f>SUM(AM224:AM254)</f>
        <v/>
      </c>
      <c r="AN286" s="136">
        <f>SUM(AN224:AN255)</f>
        <v/>
      </c>
      <c r="AO286" s="136">
        <f>SUM(AO224:AO256)</f>
        <v/>
      </c>
      <c r="AP286" s="414">
        <f>SUM(AP224:AP257)</f>
        <v/>
      </c>
      <c r="AQ286" s="416">
        <f>SUM(AQ224:AQ258)</f>
        <v/>
      </c>
      <c r="AR286" s="136">
        <f>SUM(AR224:AR259)</f>
        <v/>
      </c>
      <c r="AS286" s="136">
        <f>SUM(AS224:AS260)</f>
        <v/>
      </c>
      <c r="AT286" s="136">
        <f>SUM(AT224:AT261)</f>
        <v/>
      </c>
      <c r="AU286" s="136">
        <f>SUM(AU224:AU262)</f>
        <v/>
      </c>
      <c r="AV286" s="136">
        <f>SUM(AV224:AV263)</f>
        <v/>
      </c>
      <c r="AW286" s="136">
        <f>SUM(AW224:AW264)</f>
        <v/>
      </c>
      <c r="AX286" s="136">
        <f>SUM(AX224:AX265)</f>
        <v/>
      </c>
      <c r="AY286" s="136">
        <f>SUM(AY224:AY266)</f>
        <v/>
      </c>
      <c r="AZ286" s="136">
        <f>SUM(AZ224:AZ267)</f>
        <v/>
      </c>
      <c r="BA286" s="136">
        <f>SUM(BA224:BA268)</f>
        <v/>
      </c>
      <c r="BB286" s="414">
        <f>SUM(BB224:BB269)</f>
        <v/>
      </c>
      <c r="BC286" s="416">
        <f>SUM(BC224:BC270)</f>
        <v/>
      </c>
      <c r="BD286" s="136">
        <f>SUM(BD224:BD271)</f>
        <v/>
      </c>
      <c r="BE286" s="136">
        <f>SUM(BE224:BE272)</f>
        <v/>
      </c>
      <c r="BF286" s="136">
        <f>SUM(BF224:BF273)</f>
        <v/>
      </c>
      <c r="BG286" s="136">
        <f>SUM(BG224:BG274)</f>
        <v/>
      </c>
      <c r="BH286" s="136">
        <f>SUM(BH224:BH275)</f>
        <v/>
      </c>
      <c r="BI286" s="136">
        <f>SUM(BI224:BI276)</f>
        <v/>
      </c>
      <c r="BJ286" s="136">
        <f>SUM(BJ224:BJ277)</f>
        <v/>
      </c>
      <c r="BK286" s="136">
        <f>SUM(BK224:BK278)</f>
        <v/>
      </c>
      <c r="BL286" s="136">
        <f>SUM(BL224:BL279)</f>
        <v/>
      </c>
      <c r="BM286" s="136">
        <f>SUM(BM224:BM280)</f>
        <v/>
      </c>
      <c r="BN286" s="136">
        <f>SUM(BN224:BN281)</f>
        <v/>
      </c>
      <c r="BO286" s="136" t="n"/>
      <c r="BP286" s="136" t="n"/>
      <c r="BQ286" s="136" t="n"/>
      <c r="BR286" s="136" t="n"/>
      <c r="BS286" s="136" t="n"/>
      <c r="BT286" s="136" t="n"/>
      <c r="BU286" s="136" t="n"/>
      <c r="BV286" s="136" t="n"/>
      <c r="BW286" s="136" t="n"/>
      <c r="BX286" s="136" t="n"/>
      <c r="BY286" s="136" t="n"/>
      <c r="BZ286" s="136" t="n"/>
      <c r="CA286" s="122" t="n"/>
      <c r="CB286" s="136">
        <f>SUM(CB224:CB283)</f>
        <v/>
      </c>
      <c r="CC286" s="122" t="n"/>
      <c r="CD286" s="122" t="n"/>
      <c r="CE286" s="391" t="n"/>
      <c r="CF286" s="122" t="n"/>
    </row>
    <row r="289" ht="15" customHeight="1" s="1883">
      <c r="B289" s="116" t="n"/>
      <c r="C289" s="116" t="n"/>
      <c r="D289" s="116" t="n"/>
      <c r="E289" s="116" t="n"/>
      <c r="F289" s="116" t="n"/>
      <c r="G289" s="1882" t="inlineStr">
        <is>
          <t>Month 1</t>
        </is>
      </c>
      <c r="H289" s="1882" t="inlineStr">
        <is>
          <t>Month 2</t>
        </is>
      </c>
      <c r="I289" s="1882" t="inlineStr">
        <is>
          <t>Month 3</t>
        </is>
      </c>
      <c r="J289" s="1882" t="inlineStr">
        <is>
          <t>Month 4</t>
        </is>
      </c>
      <c r="K289" s="1882" t="inlineStr">
        <is>
          <t>Month 5</t>
        </is>
      </c>
      <c r="L289" s="1882" t="inlineStr">
        <is>
          <t>Month 6</t>
        </is>
      </c>
      <c r="M289" s="1882" t="inlineStr">
        <is>
          <t>Month 7</t>
        </is>
      </c>
      <c r="N289" s="1882" t="inlineStr">
        <is>
          <t>Month 8</t>
        </is>
      </c>
      <c r="O289" s="1882" t="inlineStr">
        <is>
          <t>Month 9</t>
        </is>
      </c>
      <c r="P289" s="1882" t="inlineStr">
        <is>
          <t>Month 10</t>
        </is>
      </c>
      <c r="Q289" s="1882" t="inlineStr">
        <is>
          <t>Month 11</t>
        </is>
      </c>
      <c r="R289" s="1882" t="inlineStr">
        <is>
          <t>Month 12</t>
        </is>
      </c>
      <c r="S289" s="433" t="inlineStr">
        <is>
          <t>Month 13</t>
        </is>
      </c>
      <c r="T289" s="1882" t="inlineStr">
        <is>
          <t>Month 14</t>
        </is>
      </c>
      <c r="U289" s="1882" t="inlineStr">
        <is>
          <t>Month 15</t>
        </is>
      </c>
      <c r="V289" s="1882" t="inlineStr">
        <is>
          <t>Month 16</t>
        </is>
      </c>
      <c r="W289" s="1882" t="inlineStr">
        <is>
          <t>Month 17</t>
        </is>
      </c>
      <c r="X289" s="1882" t="inlineStr">
        <is>
          <t>Month 18</t>
        </is>
      </c>
      <c r="Y289" s="1882" t="inlineStr">
        <is>
          <t>Month 19</t>
        </is>
      </c>
      <c r="Z289" s="1882" t="inlineStr">
        <is>
          <t>Month 20</t>
        </is>
      </c>
      <c r="AA289" s="1882" t="inlineStr">
        <is>
          <t>Month 21</t>
        </is>
      </c>
      <c r="AB289" s="1882" t="inlineStr">
        <is>
          <t>Month 22</t>
        </is>
      </c>
      <c r="AC289" s="1882" t="inlineStr">
        <is>
          <t>Month 23</t>
        </is>
      </c>
      <c r="AD289" s="1882" t="inlineStr">
        <is>
          <t>Month 24</t>
        </is>
      </c>
      <c r="AE289" s="433" t="inlineStr">
        <is>
          <t>Month 25</t>
        </is>
      </c>
      <c r="AF289" s="1882" t="inlineStr">
        <is>
          <t>Month 26</t>
        </is>
      </c>
      <c r="AG289" s="1882" t="inlineStr">
        <is>
          <t>Month 27</t>
        </is>
      </c>
      <c r="AH289" s="1882" t="inlineStr">
        <is>
          <t>Month 28</t>
        </is>
      </c>
      <c r="AI289" s="1882" t="inlineStr">
        <is>
          <t>Month 29</t>
        </is>
      </c>
      <c r="AJ289" s="1882" t="inlineStr">
        <is>
          <t>Month 30</t>
        </is>
      </c>
      <c r="AK289" s="1882" t="inlineStr">
        <is>
          <t>Month 31</t>
        </is>
      </c>
      <c r="AL289" s="1882" t="inlineStr">
        <is>
          <t>Month 32</t>
        </is>
      </c>
      <c r="AM289" s="1882" t="inlineStr">
        <is>
          <t>Month 33</t>
        </is>
      </c>
      <c r="AN289" s="1882" t="inlineStr">
        <is>
          <t>Month 34</t>
        </is>
      </c>
      <c r="AO289" s="1882" t="inlineStr">
        <is>
          <t>Month 35</t>
        </is>
      </c>
      <c r="AP289" s="1882" t="inlineStr">
        <is>
          <t>Month 36</t>
        </is>
      </c>
      <c r="AQ289" s="433" t="inlineStr">
        <is>
          <t>Month 37</t>
        </is>
      </c>
      <c r="AR289" s="1882" t="inlineStr">
        <is>
          <t>Month 38</t>
        </is>
      </c>
      <c r="AS289" s="1882" t="inlineStr">
        <is>
          <t>Month 39</t>
        </is>
      </c>
      <c r="AT289" s="1882" t="inlineStr">
        <is>
          <t>Month 40</t>
        </is>
      </c>
      <c r="AU289" s="1882" t="inlineStr">
        <is>
          <t>Month 41</t>
        </is>
      </c>
      <c r="AV289" s="1882" t="inlineStr">
        <is>
          <t>Month 42</t>
        </is>
      </c>
      <c r="AW289" s="1882" t="inlineStr">
        <is>
          <t>Month 43</t>
        </is>
      </c>
      <c r="AX289" s="1882" t="inlineStr">
        <is>
          <t>Month 44</t>
        </is>
      </c>
      <c r="AY289" s="1882" t="inlineStr">
        <is>
          <t>Month 45</t>
        </is>
      </c>
      <c r="AZ289" s="1882" t="inlineStr">
        <is>
          <t>Month 46</t>
        </is>
      </c>
      <c r="BA289" s="1882" t="inlineStr">
        <is>
          <t>Month 47</t>
        </is>
      </c>
      <c r="BB289" s="1882" t="inlineStr">
        <is>
          <t>Month 48</t>
        </is>
      </c>
      <c r="BC289" s="433" t="inlineStr">
        <is>
          <t>Month 49</t>
        </is>
      </c>
      <c r="BD289" s="1882" t="inlineStr">
        <is>
          <t>Month 50</t>
        </is>
      </c>
      <c r="BE289" s="1882" t="inlineStr">
        <is>
          <t>Month 51</t>
        </is>
      </c>
      <c r="BF289" s="1882" t="inlineStr">
        <is>
          <t>Month 52</t>
        </is>
      </c>
      <c r="BG289" s="1882" t="inlineStr">
        <is>
          <t>Month 53</t>
        </is>
      </c>
      <c r="BH289" s="1882" t="inlineStr">
        <is>
          <t>Month 54</t>
        </is>
      </c>
      <c r="BI289" s="1882" t="inlineStr">
        <is>
          <t>Month 55</t>
        </is>
      </c>
      <c r="BJ289" s="1882" t="inlineStr">
        <is>
          <t>Month 56</t>
        </is>
      </c>
      <c r="BK289" s="1882" t="inlineStr">
        <is>
          <t>Month 57</t>
        </is>
      </c>
      <c r="BL289" s="1882" t="inlineStr">
        <is>
          <t>Month 58</t>
        </is>
      </c>
      <c r="BM289" s="1882" t="inlineStr">
        <is>
          <t>Month 59</t>
        </is>
      </c>
      <c r="BN289" s="1882" t="inlineStr">
        <is>
          <t>Month 60</t>
        </is>
      </c>
      <c r="BO289" s="1882" t="n"/>
      <c r="BP289" s="1882" t="n"/>
      <c r="BQ289" s="1882" t="n"/>
      <c r="BR289" s="1882" t="n"/>
      <c r="BS289" s="1882" t="n"/>
      <c r="BT289" s="1882" t="n"/>
      <c r="BU289" s="1882" t="n"/>
      <c r="BV289" s="1882" t="n"/>
      <c r="BW289" s="1882" t="n"/>
      <c r="BX289" s="1882" t="n"/>
      <c r="BY289" s="1882" t="n"/>
      <c r="BZ289" s="1882" t="n"/>
      <c r="CA289" s="122" t="n"/>
      <c r="CB289" s="122" t="n"/>
    </row>
    <row r="290" ht="3" customHeight="1" s="1883">
      <c r="B290" s="116" t="n"/>
      <c r="C290" s="116" t="n"/>
      <c r="D290" s="116" t="n"/>
      <c r="E290" s="116" t="n"/>
      <c r="F290" s="116" t="n"/>
      <c r="G290" s="438" t="n"/>
      <c r="H290" s="438" t="n"/>
      <c r="I290" s="438" t="n"/>
      <c r="J290" s="438" t="n"/>
      <c r="K290" s="438" t="n"/>
      <c r="L290" s="438" t="n"/>
      <c r="M290" s="438" t="n"/>
      <c r="N290" s="438" t="n"/>
      <c r="O290" s="438" t="n"/>
      <c r="P290" s="438" t="n"/>
      <c r="Q290" s="438" t="n"/>
      <c r="R290" s="438" t="n"/>
      <c r="S290" s="440" t="n"/>
      <c r="T290" s="438" t="n"/>
      <c r="U290" s="438" t="n"/>
      <c r="V290" s="438" t="n"/>
      <c r="W290" s="438" t="n"/>
      <c r="X290" s="438" t="n"/>
      <c r="Y290" s="438" t="n"/>
      <c r="Z290" s="438" t="n"/>
      <c r="AA290" s="438" t="n"/>
      <c r="AB290" s="438" t="n"/>
      <c r="AC290" s="438" t="n"/>
      <c r="AD290" s="438" t="n"/>
      <c r="AE290" s="440" t="n"/>
      <c r="AF290" s="438" t="n"/>
      <c r="AG290" s="438" t="n"/>
      <c r="AH290" s="438" t="n"/>
      <c r="AI290" s="438" t="n"/>
      <c r="AJ290" s="438" t="n"/>
      <c r="AK290" s="438" t="n"/>
      <c r="AL290" s="438" t="n"/>
      <c r="AM290" s="438" t="n"/>
      <c r="AN290" s="438" t="n"/>
      <c r="AO290" s="438" t="n"/>
      <c r="AP290" s="438" t="n"/>
      <c r="AQ290" s="440" t="n"/>
      <c r="AR290" s="438" t="n"/>
      <c r="AS290" s="438" t="n"/>
      <c r="AT290" s="438" t="n"/>
      <c r="AU290" s="438" t="n"/>
      <c r="AV290" s="438" t="n"/>
      <c r="AW290" s="438" t="n"/>
      <c r="AX290" s="438" t="n"/>
      <c r="AY290" s="438" t="n"/>
      <c r="AZ290" s="438" t="n"/>
      <c r="BA290" s="438" t="n"/>
      <c r="BB290" s="438" t="n"/>
      <c r="BC290" s="440" t="n"/>
      <c r="BD290" s="438" t="n"/>
      <c r="BE290" s="438" t="n"/>
      <c r="BF290" s="438" t="n"/>
      <c r="BG290" s="438" t="n"/>
      <c r="BH290" s="438" t="n"/>
      <c r="BI290" s="438" t="n"/>
      <c r="BJ290" s="438" t="n"/>
      <c r="BK290" s="438" t="n"/>
      <c r="BL290" s="438" t="n"/>
      <c r="BM290" s="438" t="n"/>
      <c r="BN290" s="438" t="n"/>
      <c r="BO290" s="435" t="n"/>
      <c r="BP290" s="435" t="n"/>
      <c r="BQ290" s="435" t="n"/>
      <c r="BR290" s="435" t="n"/>
      <c r="BS290" s="435" t="n"/>
      <c r="BT290" s="435" t="n"/>
      <c r="BU290" s="435" t="n"/>
      <c r="BV290" s="435" t="n"/>
      <c r="BW290" s="435" t="n"/>
      <c r="BX290" s="435" t="n"/>
      <c r="BY290" s="435" t="n"/>
      <c r="BZ290" s="435" t="n"/>
      <c r="CA290" s="122" t="n"/>
      <c r="CB290" s="122" t="n"/>
    </row>
    <row r="291" ht="3" customHeight="1" s="1883">
      <c r="B291" s="116" t="n"/>
      <c r="C291" s="116" t="n"/>
      <c r="D291" s="116" t="n"/>
      <c r="E291" s="116" t="n"/>
      <c r="F291" s="116" t="n"/>
      <c r="G291" s="407" t="n"/>
      <c r="H291" s="407" t="n"/>
      <c r="I291" s="407" t="n"/>
      <c r="J291" s="407" t="n"/>
      <c r="K291" s="407" t="n"/>
      <c r="L291" s="407" t="n"/>
      <c r="M291" s="407" t="n"/>
      <c r="N291" s="407" t="n"/>
      <c r="O291" s="407" t="n"/>
      <c r="P291" s="407" t="n"/>
      <c r="Q291" s="407" t="n"/>
      <c r="R291" s="435" t="n"/>
      <c r="S291" s="436" t="n"/>
      <c r="T291" s="407" t="n"/>
      <c r="U291" s="407" t="n"/>
      <c r="V291" s="407" t="n"/>
      <c r="W291" s="407" t="n"/>
      <c r="X291" s="407" t="n"/>
      <c r="Y291" s="407" t="n"/>
      <c r="Z291" s="407" t="n"/>
      <c r="AA291" s="407" t="n"/>
      <c r="AB291" s="407" t="n"/>
      <c r="AC291" s="407" t="n"/>
      <c r="AD291" s="435" t="n"/>
      <c r="AE291" s="436" t="n"/>
      <c r="AF291" s="407" t="n"/>
      <c r="AG291" s="407" t="n"/>
      <c r="AH291" s="407" t="n"/>
      <c r="AI291" s="407" t="n"/>
      <c r="AJ291" s="407" t="n"/>
      <c r="AK291" s="407" t="n"/>
      <c r="AL291" s="407" t="n"/>
      <c r="AM291" s="407" t="n"/>
      <c r="AN291" s="407" t="n"/>
      <c r="AO291" s="407" t="n"/>
      <c r="AP291" s="435" t="n"/>
      <c r="AQ291" s="436" t="n"/>
      <c r="AR291" s="407" t="n"/>
      <c r="AS291" s="407" t="n"/>
      <c r="AT291" s="407" t="n"/>
      <c r="AU291" s="407" t="n"/>
      <c r="AV291" s="407" t="n"/>
      <c r="AW291" s="407" t="n"/>
      <c r="AX291" s="407" t="n"/>
      <c r="AY291" s="407" t="n"/>
      <c r="AZ291" s="407" t="n"/>
      <c r="BA291" s="407" t="n"/>
      <c r="BB291" s="435" t="n"/>
      <c r="BC291" s="436" t="n"/>
      <c r="BD291" s="407" t="n"/>
      <c r="BE291" s="407" t="n"/>
      <c r="BF291" s="407" t="n"/>
      <c r="BG291" s="407" t="n"/>
      <c r="BH291" s="407" t="n"/>
      <c r="BI291" s="407" t="n"/>
      <c r="BJ291" s="407" t="n"/>
      <c r="BK291" s="407" t="n"/>
      <c r="BL291" s="407" t="n"/>
      <c r="BM291" s="407" t="n"/>
      <c r="BN291" s="407" t="n"/>
      <c r="BO291" s="407" t="n"/>
      <c r="BP291" s="407" t="n"/>
      <c r="BQ291" s="407" t="n"/>
      <c r="BR291" s="407" t="n"/>
      <c r="BS291" s="407" t="n"/>
      <c r="BT291" s="407" t="n"/>
      <c r="BU291" s="407" t="n"/>
      <c r="BV291" s="407" t="n"/>
      <c r="BW291" s="407" t="n"/>
      <c r="BX291" s="407" t="n"/>
      <c r="BY291" s="407" t="n"/>
      <c r="BZ291" s="407" t="n"/>
      <c r="CA291" s="122" t="n"/>
      <c r="CB291" s="122" t="n"/>
    </row>
    <row r="292" ht="15" customHeight="1" s="1883">
      <c r="B292" s="383" t="n"/>
      <c r="C292" s="383" t="n"/>
      <c r="D292" s="383" t="n"/>
      <c r="E292" s="383" t="n"/>
      <c r="F292" s="383" t="n"/>
      <c r="G292" s="407" t="n"/>
      <c r="H292" s="407" t="n"/>
      <c r="I292" s="407" t="n"/>
      <c r="J292" s="407" t="n"/>
      <c r="K292" s="407" t="n"/>
      <c r="L292" s="407" t="n"/>
      <c r="M292" s="407" t="n"/>
      <c r="N292" s="407" t="n"/>
      <c r="O292" s="407" t="n"/>
      <c r="P292" s="407" t="n"/>
      <c r="Q292" s="407" t="n"/>
      <c r="R292" s="435" t="n"/>
      <c r="S292" s="436" t="n"/>
      <c r="T292" s="407" t="n"/>
      <c r="U292" s="407" t="n"/>
      <c r="V292" s="407" t="n"/>
      <c r="W292" s="407" t="n"/>
      <c r="X292" s="407" t="n"/>
      <c r="Y292" s="407" t="n"/>
      <c r="Z292" s="407" t="n"/>
      <c r="AA292" s="407" t="n"/>
      <c r="AB292" s="407" t="n"/>
      <c r="AC292" s="407" t="n"/>
      <c r="AD292" s="435" t="n"/>
      <c r="AE292" s="436" t="n"/>
      <c r="AF292" s="407" t="n"/>
      <c r="AG292" s="407" t="n"/>
      <c r="AH292" s="407" t="n"/>
      <c r="AI292" s="407" t="n"/>
      <c r="AJ292" s="407" t="n"/>
      <c r="AK292" s="407" t="n"/>
      <c r="AL292" s="407" t="n"/>
      <c r="AM292" s="407" t="n"/>
      <c r="AN292" s="407" t="n"/>
      <c r="AO292" s="407" t="n"/>
      <c r="AP292" s="435" t="n"/>
      <c r="AQ292" s="436" t="n"/>
      <c r="AR292" s="407" t="n"/>
      <c r="AS292" s="407" t="n"/>
      <c r="AT292" s="407" t="n"/>
      <c r="AU292" s="407" t="n"/>
      <c r="AV292" s="407" t="n"/>
      <c r="AW292" s="407" t="n"/>
      <c r="AX292" s="407" t="n"/>
      <c r="AY292" s="407" t="n"/>
      <c r="AZ292" s="407" t="n"/>
      <c r="BA292" s="407" t="n"/>
      <c r="BB292" s="435" t="n"/>
      <c r="BC292" s="436" t="n"/>
      <c r="BD292" s="407" t="n"/>
      <c r="BE292" s="407" t="n"/>
      <c r="BF292" s="407" t="n"/>
      <c r="BG292" s="407" t="n"/>
      <c r="BH292" s="407" t="n"/>
      <c r="BI292" s="407" t="n"/>
      <c r="BJ292" s="407" t="n"/>
      <c r="BK292" s="407" t="n"/>
      <c r="BL292" s="407" t="n"/>
      <c r="BM292" s="407" t="n"/>
      <c r="BN292" s="407" t="n"/>
      <c r="BO292" s="407" t="n"/>
      <c r="BP292" s="407" t="n"/>
      <c r="BQ292" s="407" t="n"/>
      <c r="BR292" s="407" t="n"/>
      <c r="BS292" s="407" t="n"/>
      <c r="BT292" s="407" t="n"/>
      <c r="BU292" s="407" t="n"/>
      <c r="BV292" s="407" t="n"/>
      <c r="BW292" s="407" t="n"/>
      <c r="BX292" s="407" t="n"/>
      <c r="BY292" s="407" t="n"/>
      <c r="BZ292" s="407" t="n"/>
      <c r="CA292" s="391" t="n"/>
      <c r="CB292" s="391" t="n"/>
    </row>
    <row r="293" ht="15" customHeight="1" s="1883">
      <c r="B293" s="383" t="n"/>
      <c r="C293" s="383" t="n"/>
      <c r="D293" s="383" t="n"/>
      <c r="E293" s="383" t="n"/>
      <c r="F293" s="383" t="n"/>
      <c r="G293" s="407" t="n"/>
      <c r="H293" s="407" t="n"/>
      <c r="I293" s="407" t="n"/>
      <c r="J293" s="407" t="n"/>
      <c r="K293" s="407" t="n"/>
      <c r="L293" s="407" t="n"/>
      <c r="M293" s="407" t="n"/>
      <c r="N293" s="407" t="n"/>
      <c r="O293" s="407" t="n"/>
      <c r="P293" s="407" t="n"/>
      <c r="Q293" s="407" t="n"/>
      <c r="R293" s="435" t="n"/>
      <c r="S293" s="435" t="n"/>
      <c r="T293" s="407" t="n"/>
      <c r="U293" s="407" t="n"/>
      <c r="V293" s="407" t="n"/>
      <c r="W293" s="407" t="n"/>
      <c r="X293" s="407" t="n"/>
      <c r="Y293" s="407" t="n"/>
      <c r="Z293" s="407" t="n"/>
      <c r="AA293" s="407" t="n"/>
      <c r="AB293" s="407" t="n"/>
      <c r="AC293" s="407" t="n"/>
      <c r="AD293" s="435" t="n"/>
      <c r="AE293" s="435" t="n"/>
      <c r="AF293" s="407" t="n"/>
      <c r="AG293" s="407" t="n"/>
      <c r="AH293" s="407" t="n"/>
      <c r="AI293" s="407" t="n"/>
      <c r="AJ293" s="407" t="n"/>
      <c r="AK293" s="407" t="n"/>
      <c r="AL293" s="407" t="n"/>
      <c r="AM293" s="407" t="n"/>
      <c r="AN293" s="407" t="n"/>
      <c r="AO293" s="407" t="n"/>
      <c r="AP293" s="435" t="n"/>
      <c r="AQ293" s="435" t="n"/>
      <c r="AR293" s="407" t="n"/>
      <c r="AS293" s="407" t="n"/>
      <c r="AT293" s="407" t="n"/>
      <c r="AU293" s="407" t="n"/>
      <c r="AV293" s="407" t="n"/>
      <c r="AW293" s="407" t="n"/>
      <c r="AX293" s="407" t="n"/>
      <c r="AY293" s="407" t="n"/>
      <c r="AZ293" s="407" t="n"/>
      <c r="BA293" s="407" t="n"/>
      <c r="BB293" s="435" t="n"/>
      <c r="BC293" s="435" t="n"/>
      <c r="BD293" s="407" t="n"/>
      <c r="BE293" s="407" t="n"/>
      <c r="BF293" s="407" t="n"/>
      <c r="BG293" s="407" t="n"/>
      <c r="BH293" s="407" t="n"/>
      <c r="BI293" s="407" t="n"/>
      <c r="BJ293" s="407" t="n"/>
      <c r="BK293" s="407" t="n"/>
      <c r="BL293" s="407" t="n"/>
      <c r="BM293" s="407" t="n"/>
      <c r="BN293" s="407" t="n"/>
      <c r="BO293" s="407" t="n"/>
      <c r="BP293" s="407" t="n"/>
      <c r="BQ293" s="407" t="n"/>
      <c r="BR293" s="407" t="n"/>
      <c r="BS293" s="407" t="n"/>
      <c r="BT293" s="407" t="n"/>
      <c r="BU293" s="407" t="n"/>
      <c r="BV293" s="407" t="n"/>
      <c r="BW293" s="407" t="n"/>
      <c r="BX293" s="407" t="n"/>
      <c r="BY293" s="407" t="n"/>
      <c r="BZ293" s="407" t="n"/>
      <c r="CA293" s="391" t="n"/>
      <c r="CB293" s="391" t="n"/>
    </row>
    <row r="294" ht="15" customHeight="1" s="1883">
      <c r="B294" s="383" t="n"/>
      <c r="C294" s="383" t="n"/>
      <c r="D294" s="383" t="n"/>
      <c r="E294" s="383" t="n"/>
      <c r="F294" s="383" t="n"/>
      <c r="G294" s="407" t="n"/>
      <c r="H294" s="407" t="n"/>
      <c r="I294" s="407" t="n"/>
      <c r="J294" s="407" t="n"/>
      <c r="K294" s="407" t="n"/>
      <c r="L294" s="407" t="n"/>
      <c r="M294" s="407" t="n"/>
      <c r="N294" s="407" t="n"/>
      <c r="O294" s="407" t="n"/>
      <c r="P294" s="407" t="n"/>
      <c r="Q294" s="407" t="n"/>
      <c r="R294" s="435" t="n"/>
      <c r="S294" s="435" t="n"/>
      <c r="T294" s="407" t="n"/>
      <c r="U294" s="407" t="n"/>
      <c r="V294" s="407" t="n"/>
      <c r="W294" s="407" t="n"/>
      <c r="X294" s="407" t="n"/>
      <c r="Y294" s="407" t="n"/>
      <c r="Z294" s="407" t="n"/>
      <c r="AA294" s="407" t="n"/>
      <c r="AB294" s="407" t="n"/>
      <c r="AC294" s="407" t="n"/>
      <c r="AD294" s="435" t="n"/>
      <c r="AE294" s="435" t="n"/>
      <c r="AF294" s="407" t="n"/>
      <c r="AG294" s="407" t="n"/>
      <c r="AH294" s="407" t="n"/>
      <c r="AI294" s="407" t="n"/>
      <c r="AJ294" s="407" t="n"/>
      <c r="AK294" s="407" t="n"/>
      <c r="AL294" s="407" t="n"/>
      <c r="AM294" s="407" t="n"/>
      <c r="AN294" s="407" t="n"/>
      <c r="AO294" s="407" t="n"/>
      <c r="AP294" s="435" t="n"/>
      <c r="AQ294" s="435" t="n"/>
      <c r="AR294" s="407" t="n"/>
      <c r="AS294" s="407" t="n"/>
      <c r="AT294" s="407" t="n"/>
      <c r="AU294" s="407" t="n"/>
      <c r="AV294" s="407" t="n"/>
      <c r="AW294" s="407" t="n"/>
      <c r="AX294" s="407" t="n"/>
      <c r="AY294" s="407" t="n"/>
      <c r="AZ294" s="407" t="n"/>
      <c r="BA294" s="407" t="n"/>
      <c r="BB294" s="435" t="n"/>
      <c r="BC294" s="435" t="n"/>
      <c r="BD294" s="407" t="n"/>
      <c r="BE294" s="407" t="n"/>
      <c r="BF294" s="407" t="n"/>
      <c r="BG294" s="407" t="n"/>
      <c r="BH294" s="407" t="n"/>
      <c r="BI294" s="407" t="n"/>
      <c r="BJ294" s="407" t="n"/>
      <c r="BK294" s="407" t="n"/>
      <c r="BL294" s="407" t="n"/>
      <c r="BM294" s="407" t="n"/>
      <c r="BN294" s="407" t="n"/>
      <c r="BO294" s="407" t="n"/>
      <c r="BP294" s="407" t="n"/>
      <c r="BQ294" s="407" t="n"/>
      <c r="BR294" s="407" t="n"/>
      <c r="BS294" s="407" t="n"/>
      <c r="BT294" s="407" t="n"/>
      <c r="BU294" s="407" t="n"/>
      <c r="BV294" s="407" t="n"/>
      <c r="BW294" s="407" t="n"/>
      <c r="BX294" s="407" t="n"/>
      <c r="BY294" s="407" t="n"/>
      <c r="BZ294" s="407" t="n"/>
      <c r="CA294" s="391" t="n"/>
      <c r="CB294" s="391" t="n"/>
    </row>
    <row r="295" ht="15" customHeight="1" s="1883">
      <c r="B295" s="383" t="n"/>
      <c r="C295" s="383" t="n"/>
      <c r="D295" s="383" t="n"/>
      <c r="E295" s="383" t="n"/>
      <c r="F295" s="383" t="n"/>
      <c r="G295" s="407" t="n"/>
      <c r="H295" s="407" t="n"/>
      <c r="I295" s="407" t="n"/>
      <c r="J295" s="407" t="n"/>
      <c r="K295" s="407" t="n"/>
      <c r="L295" s="407" t="n"/>
      <c r="M295" s="407" t="n"/>
      <c r="N295" s="407" t="n"/>
      <c r="O295" s="407" t="n"/>
      <c r="P295" s="407" t="n"/>
      <c r="Q295" s="407" t="n"/>
      <c r="R295" s="435" t="n"/>
      <c r="S295" s="435" t="n"/>
      <c r="T295" s="407" t="n"/>
      <c r="U295" s="407" t="n"/>
      <c r="V295" s="407" t="n"/>
      <c r="W295" s="407" t="n"/>
      <c r="X295" s="407" t="n"/>
      <c r="Y295" s="407" t="n"/>
      <c r="Z295" s="407" t="n"/>
      <c r="AA295" s="407" t="n"/>
      <c r="AB295" s="407" t="n"/>
      <c r="AC295" s="407" t="n"/>
      <c r="AD295" s="435" t="n"/>
      <c r="AE295" s="435" t="n"/>
      <c r="AF295" s="407" t="n"/>
      <c r="AG295" s="407" t="n"/>
      <c r="AH295" s="407" t="n"/>
      <c r="AI295" s="407" t="n"/>
      <c r="AJ295" s="407" t="n"/>
      <c r="AK295" s="407" t="n"/>
      <c r="AL295" s="407" t="n"/>
      <c r="AM295" s="407" t="n"/>
      <c r="AN295" s="407" t="n"/>
      <c r="AO295" s="407" t="n"/>
      <c r="AP295" s="435" t="n"/>
      <c r="AQ295" s="435" t="n"/>
      <c r="AR295" s="407" t="n"/>
      <c r="AS295" s="407" t="n"/>
      <c r="AT295" s="407" t="n"/>
      <c r="AU295" s="407" t="n"/>
      <c r="AV295" s="407" t="n"/>
      <c r="AW295" s="407" t="n"/>
      <c r="AX295" s="407" t="n"/>
      <c r="AY295" s="407" t="n"/>
      <c r="AZ295" s="407" t="n"/>
      <c r="BA295" s="407" t="n"/>
      <c r="BB295" s="435" t="n"/>
      <c r="BC295" s="435" t="n"/>
      <c r="BD295" s="407" t="n"/>
      <c r="BE295" s="407" t="n"/>
      <c r="BF295" s="407" t="n"/>
      <c r="BG295" s="407" t="n"/>
      <c r="BH295" s="407" t="n"/>
      <c r="BI295" s="407" t="n"/>
      <c r="BJ295" s="407" t="n"/>
      <c r="BK295" s="407" t="n"/>
      <c r="BL295" s="407" t="n"/>
      <c r="BM295" s="407" t="n"/>
      <c r="BN295" s="407" t="n"/>
      <c r="BO295" s="407" t="n"/>
      <c r="BP295" s="407" t="n"/>
      <c r="BQ295" s="407" t="n"/>
      <c r="BR295" s="407" t="n"/>
      <c r="BS295" s="407" t="n"/>
      <c r="BT295" s="407" t="n"/>
      <c r="BU295" s="407" t="n"/>
      <c r="BV295" s="407" t="n"/>
      <c r="BW295" s="407" t="n"/>
      <c r="BX295" s="407" t="n"/>
      <c r="BY295" s="407" t="n"/>
      <c r="BZ295" s="407" t="n"/>
      <c r="CA295" s="391" t="n"/>
      <c r="CB295" s="391" t="n"/>
    </row>
    <row r="296" ht="15" customHeight="1" s="1883">
      <c r="B296" s="535" t="inlineStr">
        <is>
          <t>IV.</t>
        </is>
      </c>
      <c r="C296" s="383" t="n"/>
      <c r="D296" s="385" t="inlineStr">
        <is>
          <t>Telephone Renewals, Cost Per Month, Months 1 - 60</t>
        </is>
      </c>
      <c r="E296" s="383" t="n"/>
      <c r="F296" s="383" t="n"/>
      <c r="G296" s="407" t="n"/>
      <c r="H296" s="407" t="n"/>
      <c r="I296" s="407" t="n"/>
      <c r="J296" s="407" t="n"/>
      <c r="K296" s="407" t="n"/>
      <c r="L296" s="407" t="n"/>
      <c r="M296" s="407" t="n"/>
      <c r="N296" s="407" t="n"/>
      <c r="O296" s="407" t="n"/>
      <c r="P296" s="407" t="n"/>
      <c r="Q296" s="407" t="n"/>
      <c r="R296" s="435" t="n"/>
      <c r="S296" s="435" t="n"/>
      <c r="T296" s="407" t="n"/>
      <c r="U296" s="407" t="n"/>
      <c r="V296" s="407" t="n"/>
      <c r="W296" s="407" t="n"/>
      <c r="X296" s="407" t="n"/>
      <c r="Y296" s="407" t="n"/>
      <c r="Z296" s="407" t="n"/>
      <c r="AA296" s="407" t="n"/>
      <c r="AB296" s="407" t="n"/>
      <c r="AC296" s="407" t="n"/>
      <c r="AD296" s="435" t="n"/>
      <c r="AE296" s="435" t="n"/>
      <c r="AF296" s="407" t="n"/>
      <c r="AG296" s="407" t="n"/>
      <c r="AH296" s="407" t="n"/>
      <c r="AI296" s="407" t="n"/>
      <c r="AJ296" s="407" t="n"/>
      <c r="AK296" s="407" t="n"/>
      <c r="AL296" s="407" t="n"/>
      <c r="AM296" s="407" t="n"/>
      <c r="AN296" s="407" t="n"/>
      <c r="AO296" s="407" t="n"/>
      <c r="AP296" s="435" t="n"/>
      <c r="AQ296" s="435" t="n"/>
      <c r="AR296" s="407" t="n"/>
      <c r="AS296" s="407" t="n"/>
      <c r="AT296" s="407" t="n"/>
      <c r="AU296" s="407" t="n"/>
      <c r="AV296" s="407" t="n"/>
      <c r="AW296" s="407" t="n"/>
      <c r="AX296" s="407" t="n"/>
      <c r="AY296" s="407" t="n"/>
      <c r="AZ296" s="407" t="n"/>
      <c r="BA296" s="407" t="n"/>
      <c r="BB296" s="435" t="n"/>
      <c r="BC296" s="435" t="n"/>
      <c r="BD296" s="407" t="n"/>
      <c r="BE296" s="407" t="n"/>
      <c r="BF296" s="407" t="n"/>
      <c r="BG296" s="407" t="n"/>
      <c r="BH296" s="407" t="n"/>
      <c r="BI296" s="407" t="n"/>
      <c r="BJ296" s="407" t="n"/>
      <c r="BK296" s="407" t="n"/>
      <c r="BL296" s="407" t="n"/>
      <c r="BM296" s="407" t="n"/>
      <c r="BN296" s="407" t="n"/>
      <c r="BO296" s="407" t="n"/>
      <c r="BP296" s="407" t="n"/>
      <c r="BQ296" s="407" t="n"/>
      <c r="BR296" s="407" t="n"/>
      <c r="BS296" s="407" t="n"/>
      <c r="BT296" s="407" t="n"/>
      <c r="BU296" s="407" t="n"/>
      <c r="BV296" s="407" t="n"/>
      <c r="BW296" s="407" t="n"/>
      <c r="BX296" s="407" t="n"/>
      <c r="BY296" s="407" t="n"/>
      <c r="BZ296" s="407" t="n"/>
      <c r="CA296" s="391" t="n"/>
      <c r="CB296" s="391" t="n"/>
    </row>
    <row r="297" ht="3" customHeight="1" s="1883">
      <c r="B297" s="383" t="n"/>
      <c r="C297" s="383" t="n"/>
      <c r="D297" s="387" t="n"/>
      <c r="E297" s="387" t="n"/>
      <c r="F297" s="387" t="n"/>
      <c r="G297" s="438" t="n"/>
      <c r="H297" s="407" t="n"/>
      <c r="I297" s="407" t="n"/>
      <c r="J297" s="407" t="n"/>
      <c r="K297" s="407" t="n"/>
      <c r="L297" s="407" t="n"/>
      <c r="M297" s="407" t="n"/>
      <c r="N297" s="407" t="n"/>
      <c r="O297" s="407" t="n"/>
      <c r="P297" s="407" t="n"/>
      <c r="Q297" s="407" t="n"/>
      <c r="R297" s="435" t="n"/>
      <c r="S297" s="435" t="n"/>
      <c r="T297" s="407" t="n"/>
      <c r="U297" s="407" t="n"/>
      <c r="V297" s="407" t="n"/>
      <c r="W297" s="407" t="n"/>
      <c r="X297" s="407" t="n"/>
      <c r="Y297" s="407" t="n"/>
      <c r="Z297" s="407" t="n"/>
      <c r="AA297" s="407" t="n"/>
      <c r="AB297" s="407" t="n"/>
      <c r="AC297" s="407" t="n"/>
      <c r="AD297" s="435" t="n"/>
      <c r="AE297" s="435" t="n"/>
      <c r="AF297" s="407" t="n"/>
      <c r="AG297" s="407" t="n"/>
      <c r="AH297" s="407" t="n"/>
      <c r="AI297" s="407" t="n"/>
      <c r="AJ297" s="407" t="n"/>
      <c r="AK297" s="407" t="n"/>
      <c r="AL297" s="407" t="n"/>
      <c r="AM297" s="407" t="n"/>
      <c r="AN297" s="407" t="n"/>
      <c r="AO297" s="407" t="n"/>
      <c r="AP297" s="435" t="n"/>
      <c r="AQ297" s="435" t="n"/>
      <c r="AR297" s="407" t="n"/>
      <c r="AS297" s="407" t="n"/>
      <c r="AT297" s="407" t="n"/>
      <c r="AU297" s="407" t="n"/>
      <c r="AV297" s="407" t="n"/>
      <c r="AW297" s="407" t="n"/>
      <c r="AX297" s="407" t="n"/>
      <c r="AY297" s="407" t="n"/>
      <c r="AZ297" s="407" t="n"/>
      <c r="BA297" s="407" t="n"/>
      <c r="BB297" s="435" t="n"/>
      <c r="BC297" s="435" t="n"/>
      <c r="BD297" s="407" t="n"/>
      <c r="BE297" s="407" t="n"/>
      <c r="BF297" s="407" t="n"/>
      <c r="BG297" s="407" t="n"/>
      <c r="BH297" s="407" t="n"/>
      <c r="BI297" s="407" t="n"/>
      <c r="BJ297" s="407" t="n"/>
      <c r="BK297" s="407" t="n"/>
      <c r="BL297" s="407" t="n"/>
      <c r="BM297" s="407" t="n"/>
      <c r="BN297" s="407" t="n"/>
      <c r="BO297" s="407" t="n"/>
      <c r="BP297" s="407" t="n"/>
      <c r="BQ297" s="407" t="n"/>
      <c r="BR297" s="407" t="n"/>
      <c r="BS297" s="407" t="n"/>
      <c r="BT297" s="407" t="n"/>
      <c r="BU297" s="407" t="n"/>
      <c r="BV297" s="407" t="n"/>
      <c r="BW297" s="407" t="n"/>
      <c r="BX297" s="407" t="n"/>
      <c r="BY297" s="407" t="n"/>
      <c r="BZ297" s="407" t="n"/>
      <c r="CA297" s="391" t="n"/>
      <c r="CB297" s="391" t="n"/>
    </row>
    <row r="298" ht="3" customHeight="1" s="1883">
      <c r="B298" s="383" t="n"/>
      <c r="C298" s="383" t="n"/>
      <c r="D298" s="383" t="n"/>
      <c r="E298" s="383" t="n"/>
      <c r="F298" s="383" t="n"/>
      <c r="G298" s="407" t="n"/>
      <c r="H298" s="407" t="n"/>
      <c r="I298" s="407" t="n"/>
      <c r="J298" s="407" t="n"/>
      <c r="K298" s="407" t="n"/>
      <c r="L298" s="407" t="n"/>
      <c r="M298" s="407" t="n"/>
      <c r="N298" s="407" t="n"/>
      <c r="O298" s="407" t="n"/>
      <c r="P298" s="407" t="n"/>
      <c r="Q298" s="407" t="n"/>
      <c r="R298" s="435" t="n"/>
      <c r="S298" s="435" t="n"/>
      <c r="T298" s="407" t="n"/>
      <c r="U298" s="407" t="n"/>
      <c r="V298" s="407" t="n"/>
      <c r="W298" s="407" t="n"/>
      <c r="X298" s="407" t="n"/>
      <c r="Y298" s="407" t="n"/>
      <c r="Z298" s="407" t="n"/>
      <c r="AA298" s="407" t="n"/>
      <c r="AB298" s="407" t="n"/>
      <c r="AC298" s="407" t="n"/>
      <c r="AD298" s="435" t="n"/>
      <c r="AE298" s="435" t="n"/>
      <c r="AF298" s="407" t="n"/>
      <c r="AG298" s="407" t="n"/>
      <c r="AH298" s="407" t="n"/>
      <c r="AI298" s="407" t="n"/>
      <c r="AJ298" s="407" t="n"/>
      <c r="AK298" s="407" t="n"/>
      <c r="AL298" s="407" t="n"/>
      <c r="AM298" s="407" t="n"/>
      <c r="AN298" s="407" t="n"/>
      <c r="AO298" s="407" t="n"/>
      <c r="AP298" s="435" t="n"/>
      <c r="AQ298" s="435" t="n"/>
      <c r="AR298" s="407" t="n"/>
      <c r="AS298" s="407" t="n"/>
      <c r="AT298" s="407" t="n"/>
      <c r="AU298" s="407" t="n"/>
      <c r="AV298" s="407" t="n"/>
      <c r="AW298" s="407" t="n"/>
      <c r="AX298" s="407" t="n"/>
      <c r="AY298" s="407" t="n"/>
      <c r="AZ298" s="407" t="n"/>
      <c r="BA298" s="407" t="n"/>
      <c r="BB298" s="435" t="n"/>
      <c r="BC298" s="435" t="n"/>
      <c r="BD298" s="407" t="n"/>
      <c r="BE298" s="407" t="n"/>
      <c r="BF298" s="407" t="n"/>
      <c r="BG298" s="407" t="n"/>
      <c r="BH298" s="407" t="n"/>
      <c r="BI298" s="407" t="n"/>
      <c r="BJ298" s="407" t="n"/>
      <c r="BK298" s="407" t="n"/>
      <c r="BL298" s="407" t="n"/>
      <c r="BM298" s="407" t="n"/>
      <c r="BN298" s="407" t="n"/>
      <c r="BO298" s="407" t="n"/>
      <c r="BP298" s="407" t="n"/>
      <c r="BQ298" s="407" t="n"/>
      <c r="BR298" s="407" t="n"/>
      <c r="BS298" s="407" t="n"/>
      <c r="BT298" s="407" t="n"/>
      <c r="BU298" s="407" t="n"/>
      <c r="BV298" s="407" t="n"/>
      <c r="BW298" s="407" t="n"/>
      <c r="BX298" s="407" t="n"/>
      <c r="BY298" s="407" t="n"/>
      <c r="BZ298" s="407" t="n"/>
      <c r="CA298" s="391" t="n"/>
      <c r="CB298" s="391" t="n"/>
    </row>
    <row r="299" ht="15" customHeight="1" s="1883">
      <c r="B299" s="383" t="n"/>
      <c r="C299" s="383" t="n"/>
      <c r="D299" s="383" t="n"/>
      <c r="E299" s="383" t="n"/>
      <c r="F299" s="383" t="n"/>
      <c r="G299" s="391" t="n"/>
      <c r="H299" s="391" t="n"/>
      <c r="I299" s="391" t="n"/>
      <c r="J299" s="391" t="n"/>
      <c r="K299" s="391" t="n"/>
      <c r="L299" s="391" t="n"/>
      <c r="M299" s="391" t="n"/>
      <c r="N299" s="391" t="n"/>
      <c r="O299" s="391" t="n"/>
      <c r="P299" s="391" t="n"/>
      <c r="Q299" s="391" t="n"/>
      <c r="R299" s="391" t="n"/>
      <c r="S299" s="391" t="n"/>
      <c r="T299" s="391" t="n"/>
      <c r="U299" s="391" t="n"/>
      <c r="V299" s="391" t="n"/>
      <c r="W299" s="391" t="n"/>
      <c r="X299" s="391" t="n"/>
      <c r="Y299" s="391" t="n"/>
      <c r="Z299" s="391" t="n"/>
      <c r="AA299" s="391" t="n"/>
      <c r="AB299" s="391" t="n"/>
      <c r="AC299" s="391" t="n"/>
      <c r="AD299" s="391" t="n"/>
      <c r="AE299" s="391" t="n"/>
      <c r="AF299" s="391" t="n"/>
      <c r="AG299" s="391" t="n"/>
      <c r="AH299" s="391" t="n"/>
      <c r="AI299" s="391" t="n"/>
      <c r="AJ299" s="391" t="n"/>
      <c r="AK299" s="391" t="n"/>
      <c r="AL299" s="391" t="n"/>
      <c r="AM299" s="391" t="n"/>
      <c r="AN299" s="391" t="n"/>
      <c r="AO299" s="391" t="n"/>
      <c r="AP299" s="391" t="n"/>
      <c r="AQ299" s="391" t="n"/>
      <c r="AR299" s="391" t="n"/>
      <c r="AS299" s="391" t="n"/>
      <c r="AT299" s="391" t="n"/>
      <c r="AU299" s="391" t="n"/>
      <c r="AV299" s="391" t="n"/>
      <c r="AW299" s="391" t="n"/>
      <c r="AX299" s="391" t="n"/>
      <c r="AY299" s="391" t="n"/>
      <c r="AZ299" s="391" t="n"/>
      <c r="BA299" s="391" t="n"/>
      <c r="BB299" s="391" t="n"/>
      <c r="BC299" s="391" t="n"/>
      <c r="BD299" s="391" t="n"/>
      <c r="BE299" s="391" t="n"/>
      <c r="BF299" s="391" t="n"/>
      <c r="BG299" s="391" t="n"/>
      <c r="BH299" s="391" t="n"/>
      <c r="BI299" s="391" t="n"/>
      <c r="BJ299" s="391" t="n"/>
      <c r="BK299" s="391" t="n"/>
      <c r="BL299" s="391" t="n"/>
      <c r="BM299" s="391" t="n"/>
      <c r="BN299" s="391" t="n"/>
      <c r="BO299" s="391" t="n"/>
      <c r="BP299" s="391" t="n"/>
      <c r="BQ299" s="391" t="n"/>
      <c r="BR299" s="391" t="n"/>
      <c r="BS299" s="391" t="n"/>
      <c r="BT299" s="391" t="n"/>
      <c r="BU299" s="391" t="n"/>
      <c r="BV299" s="391" t="n"/>
      <c r="BW299" s="391" t="n"/>
      <c r="BX299" s="391" t="n"/>
      <c r="BY299" s="391" t="n"/>
      <c r="BZ299" s="391" t="n"/>
      <c r="CA299" s="391" t="n"/>
      <c r="CB299" s="391" t="n"/>
    </row>
    <row r="300" ht="15" customHeight="1" s="1883">
      <c r="B300" s="383" t="n"/>
      <c r="C300" s="383" t="n"/>
      <c r="D300" s="383" t="n"/>
      <c r="E300" s="383" t="n"/>
      <c r="F300" s="383" t="n"/>
      <c r="G300" s="1915" t="inlineStr">
        <is>
          <t>User Rewards By Month, Months 1 - 60</t>
        </is>
      </c>
    </row>
    <row r="301" ht="3" customHeight="1" s="1883">
      <c r="B301" s="383" t="n"/>
      <c r="C301" s="383" t="n"/>
      <c r="D301" s="383" t="n"/>
      <c r="E301" s="383" t="n"/>
      <c r="F301" s="383" t="n"/>
      <c r="G301" s="926" t="n"/>
      <c r="H301" s="926" t="n"/>
      <c r="I301" s="926" t="n"/>
      <c r="J301" s="926" t="n"/>
      <c r="K301" s="926" t="n"/>
      <c r="L301" s="926" t="n"/>
      <c r="M301" s="926" t="n"/>
      <c r="N301" s="926" t="n"/>
      <c r="O301" s="926" t="n"/>
      <c r="P301" s="926" t="n"/>
      <c r="Q301" s="926" t="n"/>
      <c r="R301" s="926" t="n"/>
      <c r="S301" s="926" t="n"/>
      <c r="T301" s="926" t="n"/>
      <c r="U301" s="926" t="n"/>
      <c r="V301" s="926" t="n"/>
      <c r="W301" s="926" t="n"/>
      <c r="X301" s="926" t="n"/>
      <c r="Y301" s="926" t="n"/>
      <c r="Z301" s="926" t="n"/>
      <c r="AA301" s="926" t="n"/>
      <c r="AB301" s="926" t="n"/>
      <c r="AC301" s="926" t="n"/>
      <c r="AD301" s="926" t="n"/>
      <c r="AE301" s="926" t="n"/>
      <c r="AF301" s="926" t="n"/>
      <c r="AG301" s="926" t="n"/>
      <c r="AH301" s="926" t="n"/>
      <c r="AI301" s="926" t="n"/>
      <c r="AJ301" s="926" t="n"/>
      <c r="AK301" s="926" t="n"/>
      <c r="AL301" s="926" t="n"/>
      <c r="AM301" s="926" t="n"/>
      <c r="AN301" s="926" t="n"/>
      <c r="AO301" s="926" t="n"/>
      <c r="AP301" s="926" t="n"/>
      <c r="AQ301" s="926" t="n"/>
      <c r="AR301" s="926" t="n"/>
      <c r="AS301" s="926" t="n"/>
      <c r="AT301" s="926" t="n"/>
      <c r="AU301" s="926" t="n"/>
      <c r="AV301" s="926" t="n"/>
      <c r="AW301" s="926" t="n"/>
      <c r="AX301" s="926" t="n"/>
      <c r="AY301" s="926" t="n"/>
      <c r="AZ301" s="926" t="n"/>
      <c r="BA301" s="926" t="n"/>
      <c r="BB301" s="926" t="n"/>
      <c r="BC301" s="926" t="n"/>
      <c r="BD301" s="926" t="n"/>
      <c r="BE301" s="926" t="n"/>
      <c r="BF301" s="926" t="n"/>
      <c r="BG301" s="926" t="n"/>
      <c r="BH301" s="926" t="n"/>
      <c r="BI301" s="926" t="n"/>
      <c r="BJ301" s="926" t="n"/>
      <c r="BK301" s="926" t="n"/>
      <c r="BL301" s="926" t="n"/>
      <c r="BM301" s="926" t="n"/>
      <c r="BN301" s="926" t="n"/>
      <c r="BO301" s="1968" t="n"/>
      <c r="BP301" s="1968" t="n"/>
      <c r="BQ301" s="1968" t="n"/>
      <c r="BR301" s="1968" t="n"/>
      <c r="BS301" s="1968" t="n"/>
      <c r="BT301" s="1968" t="n"/>
      <c r="BU301" s="1968" t="n"/>
      <c r="BV301" s="1968" t="n"/>
      <c r="BW301" s="1968" t="n"/>
      <c r="BX301" s="1968" t="n"/>
      <c r="BY301" s="1968" t="n"/>
      <c r="BZ301" s="1968" t="n"/>
      <c r="CA301" s="965" t="n"/>
      <c r="CB301" s="926" t="n"/>
    </row>
    <row r="302" ht="3" customHeight="1" s="1883">
      <c r="B302" s="383" t="n"/>
      <c r="C302" s="383" t="n"/>
      <c r="D302" s="383" t="n"/>
      <c r="E302" s="383" t="n"/>
      <c r="F302" s="383" t="n"/>
      <c r="G302" s="626" t="n"/>
      <c r="H302" s="626" t="n"/>
      <c r="I302" s="626" t="n"/>
      <c r="J302" s="626" t="n"/>
      <c r="K302" s="626" t="n"/>
      <c r="L302" s="626" t="n"/>
      <c r="M302" s="626" t="n"/>
      <c r="N302" s="626" t="n"/>
      <c r="O302" s="626" t="n"/>
      <c r="P302" s="626" t="n"/>
      <c r="Q302" s="626" t="n"/>
      <c r="R302" s="626" t="n"/>
      <c r="S302" s="626" t="n"/>
      <c r="T302" s="626" t="n"/>
      <c r="U302" s="626" t="n"/>
      <c r="V302" s="626" t="n"/>
      <c r="W302" s="626" t="n"/>
      <c r="X302" s="626" t="n"/>
      <c r="Y302" s="626" t="n"/>
      <c r="Z302" s="626" t="n"/>
      <c r="AA302" s="626" t="n"/>
      <c r="AB302" s="626" t="n"/>
      <c r="AC302" s="626" t="n"/>
      <c r="AD302" s="626" t="n"/>
      <c r="AE302" s="626" t="n"/>
      <c r="AF302" s="626" t="n"/>
      <c r="AG302" s="626" t="n"/>
      <c r="AH302" s="626" t="n"/>
      <c r="AI302" s="626" t="n"/>
      <c r="AJ302" s="626" t="n"/>
      <c r="AK302" s="626" t="n"/>
      <c r="AL302" s="626" t="n"/>
      <c r="AM302" s="626" t="n"/>
      <c r="AN302" s="626" t="n"/>
      <c r="AO302" s="626" t="n"/>
      <c r="AP302" s="626" t="n"/>
      <c r="AQ302" s="626" t="n"/>
      <c r="AR302" s="626" t="n"/>
      <c r="AS302" s="626" t="n"/>
      <c r="AT302" s="626" t="n"/>
      <c r="AU302" s="626" t="n"/>
      <c r="AV302" s="626" t="n"/>
      <c r="AW302" s="626" t="n"/>
      <c r="AX302" s="626" t="n"/>
      <c r="AY302" s="626" t="n"/>
      <c r="AZ302" s="626" t="n"/>
      <c r="BA302" s="626" t="n"/>
      <c r="BB302" s="626" t="n"/>
      <c r="BC302" s="626" t="n"/>
      <c r="BD302" s="626" t="n"/>
      <c r="BE302" s="626" t="n"/>
      <c r="BF302" s="626" t="n"/>
      <c r="BG302" s="626" t="n"/>
      <c r="BH302" s="626" t="n"/>
      <c r="BI302" s="626" t="n"/>
      <c r="BJ302" s="626" t="n"/>
      <c r="BK302" s="626" t="n"/>
      <c r="BL302" s="626" t="n"/>
      <c r="BM302" s="626" t="n"/>
      <c r="BN302" s="626" t="n"/>
      <c r="BO302" s="626" t="n"/>
      <c r="BP302" s="626" t="n"/>
      <c r="BQ302" s="626" t="n"/>
      <c r="BR302" s="626" t="n"/>
      <c r="BS302" s="626" t="n"/>
      <c r="BT302" s="626" t="n"/>
      <c r="BU302" s="626" t="n"/>
      <c r="BV302" s="626" t="n"/>
      <c r="BW302" s="626" t="n"/>
      <c r="BX302" s="626" t="n"/>
      <c r="BY302" s="626" t="n"/>
      <c r="BZ302" s="626" t="n"/>
      <c r="CA302" s="626" t="n"/>
      <c r="CB302" s="626" t="n"/>
    </row>
    <row r="303" ht="15" customHeight="1" s="1883">
      <c r="B303" s="383" t="n"/>
      <c r="C303" s="383" t="n"/>
      <c r="D303" s="383" t="n"/>
      <c r="E303" s="383" t="n"/>
      <c r="F303" s="383" t="n"/>
      <c r="G303" s="626" t="n"/>
      <c r="H303" s="626" t="n"/>
      <c r="I303" s="626" t="n"/>
      <c r="J303" s="626" t="n"/>
      <c r="K303" s="626" t="n"/>
      <c r="L303" s="626" t="n"/>
      <c r="M303" s="626" t="n"/>
      <c r="N303" s="626" t="n"/>
      <c r="O303" s="626" t="n"/>
      <c r="P303" s="626" t="n"/>
      <c r="Q303" s="626" t="n"/>
      <c r="R303" s="626" t="n"/>
      <c r="S303" s="626" t="n"/>
      <c r="T303" s="626" t="n"/>
      <c r="U303" s="626" t="n"/>
      <c r="V303" s="626" t="n"/>
      <c r="W303" s="626" t="n"/>
      <c r="X303" s="626" t="n"/>
      <c r="Y303" s="626" t="n"/>
      <c r="Z303" s="626" t="n"/>
      <c r="AA303" s="626" t="n"/>
      <c r="AB303" s="626" t="n"/>
      <c r="AC303" s="626" t="n"/>
      <c r="AD303" s="626" t="n"/>
      <c r="AE303" s="626" t="n"/>
      <c r="AF303" s="626" t="n"/>
      <c r="AG303" s="626" t="n"/>
      <c r="AH303" s="626" t="n"/>
      <c r="AI303" s="626" t="n"/>
      <c r="AJ303" s="626" t="n"/>
      <c r="AK303" s="626" t="n"/>
      <c r="AL303" s="626" t="n"/>
      <c r="AM303" s="626" t="n"/>
      <c r="AN303" s="626" t="n"/>
      <c r="AO303" s="626" t="n"/>
      <c r="AP303" s="626" t="n"/>
      <c r="AQ303" s="626" t="n"/>
      <c r="AR303" s="626" t="n"/>
      <c r="AS303" s="626" t="n"/>
      <c r="AT303" s="626" t="n"/>
      <c r="AU303" s="626" t="n"/>
      <c r="AV303" s="626" t="n"/>
      <c r="AW303" s="626" t="n"/>
      <c r="AX303" s="626" t="n"/>
      <c r="AY303" s="626" t="n"/>
      <c r="AZ303" s="626" t="n"/>
      <c r="BA303" s="626" t="n"/>
      <c r="BB303" s="626" t="n"/>
      <c r="BC303" s="626" t="n"/>
      <c r="BD303" s="626" t="n"/>
      <c r="BE303" s="626" t="n"/>
      <c r="BF303" s="626" t="n"/>
      <c r="BG303" s="626" t="n"/>
      <c r="BH303" s="626" t="n"/>
      <c r="BI303" s="626" t="n"/>
      <c r="BJ303" s="626" t="n"/>
      <c r="BK303" s="626" t="n"/>
      <c r="BL303" s="626" t="n"/>
      <c r="BM303" s="626" t="n"/>
      <c r="BN303" s="626" t="n"/>
      <c r="BO303" s="626" t="n"/>
      <c r="BP303" s="626" t="n"/>
      <c r="BQ303" s="626" t="n"/>
      <c r="BR303" s="626" t="n"/>
      <c r="BS303" s="626" t="n"/>
      <c r="BT303" s="626" t="n"/>
      <c r="BU303" s="626" t="n"/>
      <c r="BV303" s="626" t="n"/>
      <c r="BW303" s="626" t="n"/>
      <c r="BX303" s="626" t="n"/>
      <c r="BY303" s="626" t="n"/>
      <c r="BZ303" s="626" t="n"/>
      <c r="CA303" s="626" t="n"/>
      <c r="CB303" s="626" t="n"/>
    </row>
    <row r="304" ht="15" customHeight="1" s="1883">
      <c r="B304" s="383" t="n"/>
      <c r="C304" s="383" t="n"/>
      <c r="D304" s="463" t="inlineStr">
        <is>
          <t>Telephone - cost/unit</t>
        </is>
      </c>
      <c r="E304" s="464" t="n"/>
      <c r="F304" s="383" t="n"/>
      <c r="G304" s="391" t="n"/>
      <c r="H304" s="391" t="n"/>
      <c r="I304" s="391" t="n"/>
      <c r="J304" s="391" t="n"/>
      <c r="K304" s="391" t="n"/>
      <c r="L304" s="391" t="n"/>
      <c r="M304" s="391" t="n"/>
      <c r="N304" s="391" t="n"/>
      <c r="O304" s="391" t="n"/>
      <c r="P304" s="391" t="n"/>
      <c r="Q304" s="391" t="n"/>
      <c r="R304" s="391" t="n"/>
      <c r="S304" s="391" t="n"/>
      <c r="T304" s="391" t="n"/>
      <c r="U304" s="391" t="n"/>
      <c r="V304" s="391" t="n"/>
      <c r="W304" s="391" t="n"/>
      <c r="X304" s="391" t="n"/>
      <c r="Y304" s="391" t="n"/>
      <c r="Z304" s="391" t="n"/>
      <c r="AA304" s="391" t="n"/>
      <c r="AB304" s="391" t="n"/>
      <c r="AC304" s="391" t="n"/>
      <c r="AD304" s="391" t="n"/>
      <c r="AE304" s="391" t="n"/>
      <c r="AF304" s="391" t="n"/>
      <c r="AG304" s="391" t="n"/>
      <c r="AH304" s="391" t="n"/>
      <c r="AI304" s="391" t="n"/>
      <c r="AJ304" s="391" t="n"/>
      <c r="AK304" s="391" t="n"/>
      <c r="AL304" s="391" t="n"/>
      <c r="AM304" s="391" t="n"/>
      <c r="AN304" s="391" t="n"/>
      <c r="AO304" s="391" t="n"/>
      <c r="AP304" s="391" t="n"/>
      <c r="AQ304" s="391" t="n"/>
      <c r="AR304" s="391" t="n"/>
      <c r="AS304" s="391" t="n"/>
      <c r="AT304" s="391" t="n"/>
      <c r="AU304" s="391" t="n"/>
      <c r="AV304" s="391" t="n"/>
      <c r="AW304" s="391" t="n"/>
      <c r="AX304" s="391" t="n"/>
      <c r="AY304" s="391" t="n"/>
      <c r="AZ304" s="391" t="n"/>
      <c r="BA304" s="391" t="n"/>
      <c r="BB304" s="391" t="n"/>
      <c r="BC304" s="391" t="n"/>
      <c r="BD304" s="391" t="n"/>
      <c r="BE304" s="391" t="n"/>
      <c r="BF304" s="391" t="n"/>
      <c r="BG304" s="391" t="n"/>
      <c r="BH304" s="391" t="n"/>
      <c r="BI304" s="391" t="n"/>
      <c r="BJ304" s="391" t="n"/>
      <c r="BK304" s="391" t="n"/>
      <c r="BL304" s="391" t="n"/>
      <c r="BM304" s="391" t="n"/>
      <c r="BN304" s="391" t="n"/>
      <c r="BO304" s="391" t="n"/>
      <c r="BP304" s="391" t="n"/>
      <c r="BQ304" s="391" t="n"/>
      <c r="BR304" s="391" t="n"/>
      <c r="BS304" s="391" t="n"/>
      <c r="BT304" s="391" t="n"/>
      <c r="BU304" s="391" t="n"/>
      <c r="BV304" s="391" t="n"/>
      <c r="BW304" s="391" t="n"/>
      <c r="BX304" s="391" t="n"/>
      <c r="BY304" s="391" t="n"/>
      <c r="BZ304" s="391" t="n"/>
      <c r="CA304" s="391" t="n"/>
      <c r="CB304" s="391" t="n"/>
    </row>
    <row r="308" ht="15" customHeight="1" s="1883">
      <c r="D308" s="463" t="inlineStr">
        <is>
          <t>Vintage</t>
        </is>
      </c>
      <c r="E308" s="431" t="inlineStr">
        <is>
          <t>Cost/Unit</t>
        </is>
      </c>
    </row>
    <row r="309" ht="3" customHeight="1" s="1883">
      <c r="D309" s="521" t="n"/>
      <c r="E309" s="521" t="n"/>
    </row>
    <row r="310" ht="3" customHeight="1" s="1883">
      <c r="D310" s="464" t="n"/>
      <c r="E310" s="464" t="n"/>
    </row>
    <row r="311" ht="15" customHeight="1" s="1883">
      <c r="D311" s="522">
        <f>'3B. Tel. - Rev. Detail x Month'!#REF!</f>
        <v/>
      </c>
      <c r="E311" s="523">
        <f>'3B. Tel. - Rev. Detail x Month'!J28</f>
        <v/>
      </c>
    </row>
    <row r="312" ht="15" customHeight="1" s="1883">
      <c r="D312" s="522">
        <f>'3B. Tel. - Rev. Detail x Month'!#REF!</f>
        <v/>
      </c>
      <c r="E312" s="524">
        <f>'3B. Tel. - Rev. Detail x Month'!J29</f>
        <v/>
      </c>
    </row>
    <row r="313" ht="15" customHeight="1" s="1883">
      <c r="D313" s="522">
        <f>'3B. Tel. - Rev. Detail x Month'!#REF!</f>
        <v/>
      </c>
      <c r="E313" s="524">
        <f>'3B. Tel. - Rev. Detail x Month'!J30</f>
        <v/>
      </c>
    </row>
    <row r="314" ht="15" customHeight="1" s="1883">
      <c r="D314" s="522">
        <f>'3B. Tel. - Rev. Detail x Month'!#REF!</f>
        <v/>
      </c>
      <c r="E314" s="524">
        <f>'3B. Tel. - Rev. Detail x Month'!J31</f>
        <v/>
      </c>
    </row>
    <row r="315" ht="15" customHeight="1" s="1883">
      <c r="D315" s="522">
        <f>'3B. Tel. - Rev. Detail x Month'!#REF!</f>
        <v/>
      </c>
      <c r="E315" s="524">
        <f>'3B. Tel. - Rev. Detail x Month'!J32</f>
        <v/>
      </c>
    </row>
    <row r="316" ht="15" customHeight="1" s="1883">
      <c r="D316" s="464" t="n"/>
      <c r="E316" s="464" t="n"/>
    </row>
    <row r="317" ht="15" customHeight="1" s="1883">
      <c r="D317" s="464" t="n"/>
      <c r="E317" s="464" t="n"/>
    </row>
    <row r="318" ht="15" customHeight="1" s="1883">
      <c r="D318" s="464" t="n"/>
      <c r="E318" s="431" t="inlineStr">
        <is>
          <t>Rewards/Unit</t>
        </is>
      </c>
    </row>
    <row r="319" ht="15" customHeight="1" s="1883">
      <c r="D319" s="463" t="inlineStr">
        <is>
          <t>Vintage</t>
        </is>
      </c>
      <c r="E319" s="525" t="inlineStr">
        <is>
          <t>By Month</t>
        </is>
      </c>
    </row>
    <row r="322" ht="15" customHeight="1" s="1883">
      <c r="D322" s="464">
        <f>(D311)</f>
        <v/>
      </c>
      <c r="E322" s="523">
        <f>((E311)/(12))</f>
        <v/>
      </c>
      <c r="F322" s="383" t="n"/>
      <c r="G322" s="391" t="n"/>
      <c r="H322" s="391" t="n"/>
      <c r="I322" s="391" t="n"/>
      <c r="J322" s="391" t="n"/>
      <c r="K322" s="391" t="n"/>
      <c r="L322" s="391" t="n"/>
      <c r="M322" s="391" t="n"/>
      <c r="N322" s="391" t="n"/>
      <c r="O322" s="391" t="n"/>
      <c r="P322" s="391" t="n"/>
      <c r="Q322" s="391" t="n"/>
      <c r="R322" s="391" t="n"/>
      <c r="S322" s="391" t="n"/>
      <c r="T322" s="391" t="n"/>
      <c r="U322" s="391" t="n"/>
      <c r="V322" s="391" t="n"/>
      <c r="W322" s="391" t="n"/>
      <c r="X322" s="391" t="n"/>
      <c r="Y322" s="391" t="n"/>
      <c r="Z322" s="391" t="n"/>
      <c r="AA322" s="391" t="n"/>
      <c r="AB322" s="391" t="n"/>
      <c r="AC322" s="391" t="n"/>
      <c r="AD322" s="391" t="n"/>
      <c r="AE322" s="391" t="n"/>
      <c r="AF322" s="391" t="n"/>
      <c r="AG322" s="391" t="n"/>
      <c r="AH322" s="391" t="n"/>
      <c r="AI322" s="391" t="n"/>
      <c r="AJ322" s="391" t="n"/>
      <c r="AK322" s="391" t="n"/>
      <c r="AL322" s="391" t="n"/>
      <c r="AM322" s="391" t="n"/>
      <c r="AN322" s="391" t="n"/>
      <c r="AO322" s="391" t="n"/>
      <c r="AP322" s="391" t="n"/>
      <c r="AQ322" s="391" t="n"/>
      <c r="AR322" s="391" t="n"/>
      <c r="AS322" s="391" t="n"/>
      <c r="AT322" s="391" t="n"/>
      <c r="AU322" s="391" t="n"/>
      <c r="AV322" s="391" t="n"/>
      <c r="AW322" s="391" t="n"/>
      <c r="AX322" s="391" t="n"/>
      <c r="AY322" s="391" t="n"/>
      <c r="AZ322" s="391" t="n"/>
      <c r="BA322" s="391" t="n"/>
      <c r="BB322" s="391" t="n"/>
      <c r="BC322" s="391" t="n"/>
      <c r="BD322" s="391" t="n"/>
      <c r="BE322" s="391" t="n"/>
      <c r="BF322" s="391" t="n"/>
      <c r="BG322" s="391" t="n"/>
      <c r="BH322" s="391" t="n"/>
      <c r="BI322" s="391" t="n"/>
      <c r="BJ322" s="391" t="n"/>
      <c r="BK322" s="391" t="n"/>
      <c r="BL322" s="391" t="n"/>
      <c r="BM322" s="391" t="n"/>
      <c r="BN322" s="391" t="n"/>
    </row>
    <row r="323" ht="15" customHeight="1" s="1883">
      <c r="D323" s="464">
        <f>(D312)</f>
        <v/>
      </c>
      <c r="E323" s="524">
        <f>((E312)/(12))</f>
        <v/>
      </c>
      <c r="F323" s="383" t="n"/>
      <c r="G323" s="391" t="n"/>
      <c r="H323" s="391" t="n"/>
      <c r="I323" s="391" t="n"/>
      <c r="J323" s="391" t="n"/>
      <c r="K323" s="391" t="n"/>
      <c r="L323" s="391" t="n"/>
      <c r="M323" s="391" t="n"/>
      <c r="N323" s="391" t="n"/>
      <c r="O323" s="391" t="n"/>
      <c r="P323" s="391" t="n"/>
      <c r="Q323" s="391" t="n"/>
      <c r="R323" s="391" t="n"/>
      <c r="S323" s="391" t="n"/>
      <c r="T323" s="391" t="n"/>
      <c r="U323" s="391" t="n"/>
      <c r="V323" s="391" t="n"/>
      <c r="W323" s="391" t="n"/>
      <c r="X323" s="391" t="n"/>
      <c r="Y323" s="391" t="n"/>
      <c r="Z323" s="391" t="n"/>
      <c r="AA323" s="391" t="n"/>
      <c r="AB323" s="391" t="n"/>
      <c r="AC323" s="391" t="n"/>
      <c r="AD323" s="391" t="n"/>
      <c r="AE323" s="391" t="n"/>
      <c r="AF323" s="391" t="n"/>
      <c r="AG323" s="391" t="n"/>
      <c r="AH323" s="391" t="n"/>
      <c r="AI323" s="391" t="n"/>
      <c r="AJ323" s="391" t="n"/>
      <c r="AK323" s="391" t="n"/>
      <c r="AL323" s="391" t="n"/>
      <c r="AM323" s="391" t="n"/>
      <c r="AN323" s="391" t="n"/>
      <c r="AO323" s="391" t="n"/>
      <c r="AP323" s="391" t="n"/>
      <c r="AQ323" s="391" t="n"/>
      <c r="AR323" s="391" t="n"/>
      <c r="AS323" s="391" t="n"/>
      <c r="AT323" s="391" t="n"/>
      <c r="AU323" s="391" t="n"/>
      <c r="AV323" s="391" t="n"/>
      <c r="AW323" s="391" t="n"/>
      <c r="AX323" s="391" t="n"/>
      <c r="AY323" s="391" t="n"/>
      <c r="AZ323" s="391" t="n"/>
      <c r="BA323" s="391" t="n"/>
      <c r="BB323" s="391" t="n"/>
      <c r="BC323" s="391" t="n"/>
      <c r="BD323" s="391" t="n"/>
      <c r="BE323" s="391" t="n"/>
      <c r="BF323" s="391" t="n"/>
      <c r="BG323" s="391" t="n"/>
      <c r="BH323" s="391" t="n"/>
      <c r="BI323" s="391" t="n"/>
      <c r="BJ323" s="391" t="n"/>
      <c r="BK323" s="391" t="n"/>
      <c r="BL323" s="391" t="n"/>
      <c r="BM323" s="391" t="n"/>
      <c r="BN323" s="391" t="n"/>
    </row>
    <row r="324" ht="15" customHeight="1" s="1883">
      <c r="D324" s="464">
        <f>(D313)</f>
        <v/>
      </c>
      <c r="E324" s="524">
        <f>((E313)/(12))</f>
        <v/>
      </c>
      <c r="F324" s="383" t="n"/>
      <c r="G324" s="391" t="n"/>
      <c r="H324" s="391" t="n"/>
      <c r="I324" s="391" t="n"/>
      <c r="J324" s="391" t="n"/>
      <c r="K324" s="391" t="n"/>
      <c r="L324" s="391" t="n"/>
      <c r="M324" s="391" t="n"/>
      <c r="N324" s="391" t="n"/>
      <c r="O324" s="391" t="n"/>
      <c r="P324" s="391" t="n"/>
      <c r="Q324" s="391" t="n"/>
      <c r="R324" s="391" t="n"/>
      <c r="S324" s="391" t="n"/>
      <c r="T324" s="391" t="n"/>
      <c r="U324" s="391" t="n"/>
      <c r="V324" s="391" t="n"/>
      <c r="W324" s="391" t="n"/>
      <c r="X324" s="391" t="n"/>
      <c r="Y324" s="391" t="n"/>
      <c r="Z324" s="391" t="n"/>
      <c r="AA324" s="391" t="n"/>
      <c r="AB324" s="391" t="n"/>
      <c r="AC324" s="391" t="n"/>
      <c r="AD324" s="391" t="n"/>
      <c r="AE324" s="391" t="n"/>
      <c r="AF324" s="391" t="n"/>
      <c r="AG324" s="391" t="n"/>
      <c r="AH324" s="391" t="n"/>
      <c r="AI324" s="391" t="n"/>
      <c r="AJ324" s="391" t="n"/>
      <c r="AK324" s="391" t="n"/>
      <c r="AL324" s="391" t="n"/>
      <c r="AM324" s="391" t="n"/>
      <c r="AN324" s="391" t="n"/>
      <c r="AO324" s="391" t="n"/>
      <c r="AP324" s="391" t="n"/>
      <c r="AQ324" s="391" t="n"/>
      <c r="AR324" s="391" t="n"/>
      <c r="AS324" s="391" t="n"/>
      <c r="AT324" s="391" t="n"/>
      <c r="AU324" s="391" t="n"/>
      <c r="AV324" s="391" t="n"/>
      <c r="AW324" s="391" t="n"/>
      <c r="AX324" s="391" t="n"/>
      <c r="AY324" s="391" t="n"/>
      <c r="AZ324" s="391" t="n"/>
      <c r="BA324" s="391" t="n"/>
      <c r="BB324" s="391" t="n"/>
      <c r="BC324" s="391" t="n"/>
      <c r="BD324" s="391" t="n"/>
      <c r="BE324" s="391" t="n"/>
      <c r="BF324" s="391" t="n"/>
      <c r="BG324" s="391" t="n"/>
      <c r="BH324" s="391" t="n"/>
      <c r="BI324" s="391" t="n"/>
      <c r="BJ324" s="391" t="n"/>
      <c r="BK324" s="391" t="n"/>
      <c r="BL324" s="391" t="n"/>
      <c r="BM324" s="391" t="n"/>
      <c r="BN324" s="391" t="n"/>
    </row>
    <row r="325" ht="15" customHeight="1" s="1883">
      <c r="D325" s="464">
        <f>(D314)</f>
        <v/>
      </c>
      <c r="E325" s="524">
        <f>((E314)/(12))</f>
        <v/>
      </c>
      <c r="F325" s="383" t="n"/>
      <c r="G325" s="391" t="n"/>
      <c r="H325" s="391" t="n"/>
      <c r="I325" s="391" t="n"/>
      <c r="J325" s="391" t="n"/>
      <c r="K325" s="391" t="n"/>
      <c r="L325" s="391" t="n"/>
      <c r="M325" s="391" t="n"/>
      <c r="N325" s="391" t="n"/>
      <c r="O325" s="391" t="n"/>
      <c r="P325" s="391" t="n"/>
      <c r="Q325" s="391" t="n"/>
      <c r="R325" s="391" t="n"/>
      <c r="S325" s="391" t="n"/>
      <c r="T325" s="391" t="n"/>
      <c r="U325" s="391" t="n"/>
      <c r="V325" s="391" t="n"/>
      <c r="W325" s="391" t="n"/>
      <c r="X325" s="391" t="n"/>
      <c r="Y325" s="391" t="n"/>
      <c r="Z325" s="391" t="n"/>
      <c r="AA325" s="391" t="n"/>
      <c r="AB325" s="391" t="n"/>
      <c r="AC325" s="391" t="n"/>
      <c r="AD325" s="391" t="n"/>
      <c r="AE325" s="391" t="n"/>
      <c r="AF325" s="391" t="n"/>
      <c r="AG325" s="391" t="n"/>
      <c r="AH325" s="391" t="n"/>
      <c r="AI325" s="391" t="n"/>
      <c r="AJ325" s="391" t="n"/>
      <c r="AK325" s="391" t="n"/>
      <c r="AL325" s="391" t="n"/>
      <c r="AM325" s="391" t="n"/>
      <c r="AN325" s="391" t="n"/>
      <c r="AO325" s="391" t="n"/>
      <c r="AP325" s="391" t="n"/>
      <c r="AQ325" s="391" t="n"/>
      <c r="AR325" s="391" t="n"/>
      <c r="AS325" s="391" t="n"/>
      <c r="AT325" s="391" t="n"/>
      <c r="AU325" s="391" t="n"/>
      <c r="AV325" s="391" t="n"/>
      <c r="AW325" s="391" t="n"/>
      <c r="AX325" s="391" t="n"/>
      <c r="AY325" s="391" t="n"/>
      <c r="AZ325" s="391" t="n"/>
      <c r="BA325" s="391" t="n"/>
      <c r="BB325" s="391" t="n"/>
      <c r="BC325" s="391" t="n"/>
      <c r="BD325" s="391" t="n"/>
      <c r="BE325" s="391" t="n"/>
      <c r="BF325" s="391" t="n"/>
      <c r="BG325" s="391" t="n"/>
      <c r="BH325" s="391" t="n"/>
      <c r="BI325" s="391" t="n"/>
      <c r="BJ325" s="391" t="n"/>
      <c r="BK325" s="391" t="n"/>
      <c r="BL325" s="391" t="n"/>
      <c r="BM325" s="391" t="n"/>
      <c r="BN325" s="391" t="n"/>
    </row>
    <row r="326" ht="15" customHeight="1" s="1883">
      <c r="D326" s="464">
        <f>(D315)</f>
        <v/>
      </c>
      <c r="E326" s="524">
        <f>((E315)/(12))</f>
        <v/>
      </c>
      <c r="F326" s="383" t="n"/>
      <c r="G326" s="391" t="n"/>
      <c r="H326" s="391" t="n"/>
      <c r="I326" s="391" t="n"/>
      <c r="J326" s="391" t="n"/>
      <c r="K326" s="391" t="n"/>
      <c r="L326" s="391" t="n"/>
      <c r="M326" s="391" t="n"/>
      <c r="N326" s="391" t="n"/>
      <c r="O326" s="391" t="n"/>
      <c r="P326" s="391" t="n"/>
      <c r="Q326" s="391" t="n"/>
      <c r="R326" s="391" t="n"/>
      <c r="S326" s="391" t="n"/>
      <c r="T326" s="391" t="n"/>
      <c r="U326" s="391" t="n"/>
      <c r="V326" s="391" t="n"/>
      <c r="W326" s="391" t="n"/>
      <c r="X326" s="391" t="n"/>
      <c r="Y326" s="391" t="n"/>
      <c r="Z326" s="391" t="n"/>
      <c r="AA326" s="391" t="n"/>
      <c r="AB326" s="391" t="n"/>
      <c r="AC326" s="391" t="n"/>
      <c r="AD326" s="391" t="n"/>
      <c r="AE326" s="391" t="n"/>
      <c r="AF326" s="391" t="n"/>
      <c r="AG326" s="391" t="n"/>
      <c r="AH326" s="391" t="n"/>
      <c r="AI326" s="391" t="n"/>
      <c r="AJ326" s="391" t="n"/>
      <c r="AK326" s="391" t="n"/>
      <c r="AL326" s="391" t="n"/>
      <c r="AM326" s="391" t="n"/>
      <c r="AN326" s="391" t="n"/>
      <c r="AO326" s="391" t="n"/>
      <c r="AP326" s="391" t="n"/>
      <c r="AQ326" s="391" t="n"/>
      <c r="AR326" s="391" t="n"/>
      <c r="AS326" s="391" t="n"/>
      <c r="AT326" s="391" t="n"/>
      <c r="AU326" s="391" t="n"/>
      <c r="AV326" s="391" t="n"/>
      <c r="AW326" s="391" t="n"/>
      <c r="AX326" s="391" t="n"/>
      <c r="AY326" s="391" t="n"/>
      <c r="AZ326" s="391" t="n"/>
      <c r="BA326" s="391" t="n"/>
      <c r="BB326" s="391" t="n"/>
      <c r="BC326" s="391" t="n"/>
      <c r="BD326" s="391" t="n"/>
      <c r="BE326" s="391" t="n"/>
      <c r="BF326" s="391" t="n"/>
      <c r="BG326" s="391" t="n"/>
      <c r="BH326" s="391" t="n"/>
      <c r="BI326" s="391" t="n"/>
      <c r="BJ326" s="391" t="n"/>
      <c r="BK326" s="391" t="n"/>
      <c r="BL326" s="391" t="n"/>
      <c r="BM326" s="391" t="n"/>
      <c r="BN326" s="391" t="n"/>
    </row>
    <row r="327" ht="15" customHeight="1" s="1883">
      <c r="D327" s="383" t="n"/>
      <c r="E327" s="462" t="n"/>
      <c r="F327" s="383" t="n"/>
      <c r="G327" s="391" t="n"/>
      <c r="H327" s="391" t="n"/>
      <c r="I327" s="391" t="n"/>
      <c r="J327" s="391" t="n"/>
      <c r="K327" s="391" t="n"/>
      <c r="L327" s="391" t="n"/>
      <c r="M327" s="391" t="n"/>
      <c r="N327" s="391" t="n"/>
      <c r="O327" s="391" t="n"/>
      <c r="P327" s="391" t="n"/>
      <c r="Q327" s="391" t="n"/>
      <c r="R327" s="391" t="n"/>
      <c r="S327" s="391" t="n"/>
      <c r="T327" s="391" t="n"/>
      <c r="U327" s="391" t="n"/>
      <c r="V327" s="391" t="n"/>
      <c r="W327" s="391" t="n"/>
      <c r="X327" s="391" t="n"/>
      <c r="Y327" s="391" t="n"/>
      <c r="Z327" s="391" t="n"/>
      <c r="AA327" s="391" t="n"/>
      <c r="AB327" s="391" t="n"/>
      <c r="AC327" s="391" t="n"/>
      <c r="AD327" s="391" t="n"/>
      <c r="AE327" s="391" t="n"/>
      <c r="AF327" s="391" t="n"/>
      <c r="AG327" s="391" t="n"/>
      <c r="AH327" s="391" t="n"/>
      <c r="AI327" s="391" t="n"/>
      <c r="AJ327" s="391" t="n"/>
      <c r="AK327" s="391" t="n"/>
      <c r="AL327" s="391" t="n"/>
      <c r="AM327" s="391" t="n"/>
      <c r="AN327" s="391" t="n"/>
      <c r="AO327" s="391" t="n"/>
      <c r="AP327" s="391" t="n"/>
      <c r="AQ327" s="391" t="n"/>
      <c r="AR327" s="391" t="n"/>
      <c r="AS327" s="391" t="n"/>
      <c r="AT327" s="391" t="n"/>
      <c r="AU327" s="391" t="n"/>
      <c r="AV327" s="391" t="n"/>
      <c r="AW327" s="391" t="n"/>
      <c r="AX327" s="391" t="n"/>
      <c r="AY327" s="391" t="n"/>
      <c r="AZ327" s="391" t="n"/>
      <c r="BA327" s="391" t="n"/>
      <c r="BB327" s="391" t="n"/>
      <c r="BC327" s="391" t="n"/>
      <c r="BD327" s="391" t="n"/>
      <c r="BE327" s="391" t="n"/>
      <c r="BF327" s="391" t="n"/>
      <c r="BG327" s="391" t="n"/>
      <c r="BH327" s="391" t="n"/>
      <c r="BI327" s="391" t="n"/>
      <c r="BJ327" s="391" t="n"/>
      <c r="BK327" s="391" t="n"/>
      <c r="BL327" s="391" t="n"/>
      <c r="BM327" s="391" t="n"/>
      <c r="BN327" s="391" t="n"/>
    </row>
    <row r="328" ht="15" customHeight="1" s="1883">
      <c r="D328" s="419" t="n"/>
      <c r="E328" s="383" t="n"/>
      <c r="F328" s="383" t="n"/>
      <c r="G328" s="391" t="n"/>
      <c r="H328" s="391" t="n"/>
      <c r="I328" s="391" t="n"/>
      <c r="J328" s="391" t="n"/>
      <c r="K328" s="391" t="n"/>
      <c r="L328" s="391" t="n"/>
      <c r="M328" s="391" t="n"/>
      <c r="N328" s="391" t="n"/>
      <c r="O328" s="391" t="n"/>
      <c r="P328" s="391" t="n"/>
      <c r="Q328" s="391" t="n"/>
      <c r="R328" s="391" t="n"/>
      <c r="S328" s="391" t="n"/>
      <c r="T328" s="391" t="n"/>
      <c r="U328" s="391" t="n"/>
      <c r="V328" s="391" t="n"/>
      <c r="W328" s="391" t="n"/>
      <c r="X328" s="391" t="n"/>
      <c r="Y328" s="391" t="n"/>
      <c r="Z328" s="391" t="n"/>
      <c r="AA328" s="391" t="n"/>
      <c r="AB328" s="391" t="n"/>
      <c r="AC328" s="391" t="n"/>
      <c r="AD328" s="391" t="n"/>
      <c r="AE328" s="391" t="n"/>
      <c r="AF328" s="391" t="n"/>
      <c r="AG328" s="391" t="n"/>
      <c r="AH328" s="391" t="n"/>
      <c r="AI328" s="391" t="n"/>
      <c r="AJ328" s="391" t="n"/>
      <c r="AK328" s="391" t="n"/>
      <c r="AL328" s="391" t="n"/>
      <c r="AM328" s="391" t="n"/>
      <c r="AN328" s="391" t="n"/>
      <c r="AO328" s="391" t="n"/>
      <c r="AP328" s="391" t="n"/>
      <c r="AQ328" s="391" t="n"/>
      <c r="AR328" s="391" t="n"/>
      <c r="AS328" s="391" t="n"/>
      <c r="AT328" s="391" t="n"/>
      <c r="AU328" s="391" t="n"/>
      <c r="AV328" s="391" t="n"/>
      <c r="AW328" s="391" t="n"/>
      <c r="AX328" s="391" t="n"/>
      <c r="AY328" s="391" t="n"/>
      <c r="AZ328" s="391" t="n"/>
      <c r="BA328" s="391" t="n"/>
      <c r="BB328" s="391" t="n"/>
      <c r="BC328" s="391" t="n"/>
      <c r="BD328" s="391" t="n"/>
      <c r="BE328" s="391" t="n"/>
      <c r="BF328" s="391" t="n"/>
      <c r="BG328" s="391" t="n"/>
      <c r="BH328" s="391" t="n"/>
      <c r="BI328" s="391" t="n"/>
      <c r="BJ328" s="391" t="n"/>
      <c r="BK328" s="391" t="n"/>
      <c r="BL328" s="391" t="n"/>
      <c r="BM328" s="391" t="n"/>
      <c r="BN328" s="391" t="n"/>
    </row>
    <row r="329" ht="15" customHeight="1" s="1883">
      <c r="D329" s="419" t="inlineStr">
        <is>
          <t>Activation</t>
        </is>
      </c>
      <c r="E329" s="383" t="n"/>
      <c r="F329" s="383" t="n"/>
      <c r="G329" s="391" t="n"/>
      <c r="H329" s="391" t="n"/>
      <c r="I329" s="391" t="n"/>
      <c r="J329" s="391" t="n"/>
      <c r="K329" s="391" t="n"/>
      <c r="L329" s="391" t="n"/>
      <c r="M329" s="391" t="n"/>
      <c r="N329" s="391" t="n"/>
      <c r="O329" s="391" t="n"/>
      <c r="P329" s="391" t="n"/>
      <c r="Q329" s="391" t="n"/>
      <c r="R329" s="391" t="n"/>
      <c r="S329" s="391" t="n"/>
      <c r="T329" s="391" t="n"/>
      <c r="U329" s="391" t="n"/>
      <c r="V329" s="391" t="n"/>
      <c r="W329" s="391" t="n"/>
      <c r="X329" s="391" t="n"/>
      <c r="Y329" s="391" t="n"/>
      <c r="Z329" s="391" t="n"/>
      <c r="AA329" s="391" t="n"/>
      <c r="AB329" s="391" t="n"/>
      <c r="AC329" s="391" t="n"/>
      <c r="AD329" s="391" t="n"/>
      <c r="AE329" s="391" t="n"/>
      <c r="AF329" s="391" t="n"/>
      <c r="AG329" s="391" t="n"/>
      <c r="AH329" s="391" t="n"/>
      <c r="AI329" s="391" t="n"/>
      <c r="AJ329" s="391" t="n"/>
      <c r="AK329" s="391" t="n"/>
      <c r="AL329" s="391" t="n"/>
      <c r="AM329" s="391" t="n"/>
      <c r="AN329" s="391" t="n"/>
      <c r="AO329" s="391" t="n"/>
      <c r="AP329" s="391" t="n"/>
      <c r="AQ329" s="391" t="n"/>
      <c r="AR329" s="391" t="n"/>
      <c r="AS329" s="391" t="n"/>
      <c r="AT329" s="391" t="n"/>
      <c r="AU329" s="391" t="n"/>
      <c r="AV329" s="391" t="n"/>
      <c r="AW329" s="391" t="n"/>
      <c r="AX329" s="391" t="n"/>
      <c r="AY329" s="391" t="n"/>
      <c r="AZ329" s="391" t="n"/>
      <c r="BA329" s="391" t="n"/>
      <c r="BB329" s="391" t="n"/>
      <c r="BC329" s="391" t="n"/>
      <c r="BD329" s="391" t="n"/>
      <c r="BE329" s="391" t="n"/>
      <c r="BF329" s="391" t="n"/>
      <c r="BG329" s="391" t="n"/>
      <c r="BH329" s="391" t="n"/>
      <c r="BI329" s="391" t="n"/>
      <c r="BJ329" s="391" t="n"/>
      <c r="BK329" s="391" t="n"/>
      <c r="BL329" s="391" t="n"/>
      <c r="BM329" s="391" t="n"/>
      <c r="BN329" s="391" t="n"/>
    </row>
    <row r="330" ht="15" customHeight="1" s="1883">
      <c r="D330" s="117" t="inlineStr">
        <is>
          <t>Vintage</t>
        </is>
      </c>
      <c r="E330" s="383" t="n"/>
      <c r="F330" s="383" t="n"/>
      <c r="G330" s="1882" t="inlineStr">
        <is>
          <t>Month 1</t>
        </is>
      </c>
      <c r="H330" s="1882" t="inlineStr">
        <is>
          <t>Month 2</t>
        </is>
      </c>
      <c r="I330" s="1882" t="inlineStr">
        <is>
          <t>Month 3</t>
        </is>
      </c>
      <c r="J330" s="1882" t="inlineStr">
        <is>
          <t>Month 4</t>
        </is>
      </c>
      <c r="K330" s="1882" t="inlineStr">
        <is>
          <t>Month 5</t>
        </is>
      </c>
      <c r="L330" s="1882" t="inlineStr">
        <is>
          <t>Month 6</t>
        </is>
      </c>
      <c r="M330" s="1882" t="inlineStr">
        <is>
          <t>Month 7</t>
        </is>
      </c>
      <c r="N330" s="1882" t="inlineStr">
        <is>
          <t>Month 8</t>
        </is>
      </c>
      <c r="O330" s="1882" t="inlineStr">
        <is>
          <t>Month 9</t>
        </is>
      </c>
      <c r="P330" s="1882" t="inlineStr">
        <is>
          <t>Month 10</t>
        </is>
      </c>
      <c r="Q330" s="1882" t="inlineStr">
        <is>
          <t>Month 11</t>
        </is>
      </c>
      <c r="R330" s="1882" t="inlineStr">
        <is>
          <t>Month 12</t>
        </is>
      </c>
      <c r="S330" s="433" t="inlineStr">
        <is>
          <t>Month 13</t>
        </is>
      </c>
      <c r="T330" s="1882" t="inlineStr">
        <is>
          <t>Month 14</t>
        </is>
      </c>
      <c r="U330" s="1882" t="inlineStr">
        <is>
          <t>Month 15</t>
        </is>
      </c>
      <c r="V330" s="1882" t="inlineStr">
        <is>
          <t>Month 16</t>
        </is>
      </c>
      <c r="W330" s="1882" t="inlineStr">
        <is>
          <t>Month 17</t>
        </is>
      </c>
      <c r="X330" s="1882" t="inlineStr">
        <is>
          <t>Month 18</t>
        </is>
      </c>
      <c r="Y330" s="1882" t="inlineStr">
        <is>
          <t>Month 19</t>
        </is>
      </c>
      <c r="Z330" s="1882" t="inlineStr">
        <is>
          <t>Month 20</t>
        </is>
      </c>
      <c r="AA330" s="1882" t="inlineStr">
        <is>
          <t>Month 21</t>
        </is>
      </c>
      <c r="AB330" s="1882" t="inlineStr">
        <is>
          <t>Month 22</t>
        </is>
      </c>
      <c r="AC330" s="1882" t="inlineStr">
        <is>
          <t>Month 23</t>
        </is>
      </c>
      <c r="AD330" s="1882" t="inlineStr">
        <is>
          <t>Month 24</t>
        </is>
      </c>
      <c r="AE330" s="433" t="inlineStr">
        <is>
          <t>Month 25</t>
        </is>
      </c>
      <c r="AF330" s="1882" t="inlineStr">
        <is>
          <t>Month 26</t>
        </is>
      </c>
      <c r="AG330" s="1882" t="inlineStr">
        <is>
          <t>Month 27</t>
        </is>
      </c>
      <c r="AH330" s="1882" t="inlineStr">
        <is>
          <t>Month 28</t>
        </is>
      </c>
      <c r="AI330" s="1882" t="inlineStr">
        <is>
          <t>Month 29</t>
        </is>
      </c>
      <c r="AJ330" s="1882" t="inlineStr">
        <is>
          <t>Month 30</t>
        </is>
      </c>
      <c r="AK330" s="1882" t="inlineStr">
        <is>
          <t>Month 31</t>
        </is>
      </c>
      <c r="AL330" s="1882" t="inlineStr">
        <is>
          <t>Month 32</t>
        </is>
      </c>
      <c r="AM330" s="1882" t="inlineStr">
        <is>
          <t>Month 33</t>
        </is>
      </c>
      <c r="AN330" s="1882" t="inlineStr">
        <is>
          <t>Month 34</t>
        </is>
      </c>
      <c r="AO330" s="1882" t="inlineStr">
        <is>
          <t>Month 35</t>
        </is>
      </c>
      <c r="AP330" s="1882" t="inlineStr">
        <is>
          <t>Month 36</t>
        </is>
      </c>
      <c r="AQ330" s="433" t="inlineStr">
        <is>
          <t>Month 37</t>
        </is>
      </c>
      <c r="AR330" s="1882" t="inlineStr">
        <is>
          <t>Month 38</t>
        </is>
      </c>
      <c r="AS330" s="1882" t="inlineStr">
        <is>
          <t>Month 39</t>
        </is>
      </c>
      <c r="AT330" s="1882" t="inlineStr">
        <is>
          <t>Month 40</t>
        </is>
      </c>
      <c r="AU330" s="1882" t="inlineStr">
        <is>
          <t>Month 41</t>
        </is>
      </c>
      <c r="AV330" s="1882" t="inlineStr">
        <is>
          <t>Month 42</t>
        </is>
      </c>
      <c r="AW330" s="1882" t="inlineStr">
        <is>
          <t>Month 43</t>
        </is>
      </c>
      <c r="AX330" s="1882" t="inlineStr">
        <is>
          <t>Month 44</t>
        </is>
      </c>
      <c r="AY330" s="1882" t="inlineStr">
        <is>
          <t>Month 45</t>
        </is>
      </c>
      <c r="AZ330" s="1882" t="inlineStr">
        <is>
          <t>Month 46</t>
        </is>
      </c>
      <c r="BA330" s="1882" t="inlineStr">
        <is>
          <t>Month 47</t>
        </is>
      </c>
      <c r="BB330" s="1882" t="inlineStr">
        <is>
          <t>Month 48</t>
        </is>
      </c>
      <c r="BC330" s="433" t="inlineStr">
        <is>
          <t>Month 49</t>
        </is>
      </c>
      <c r="BD330" s="1882" t="inlineStr">
        <is>
          <t>Month 50</t>
        </is>
      </c>
      <c r="BE330" s="1882" t="inlineStr">
        <is>
          <t>Month 51</t>
        </is>
      </c>
      <c r="BF330" s="1882" t="inlineStr">
        <is>
          <t>Month 52</t>
        </is>
      </c>
      <c r="BG330" s="1882" t="inlineStr">
        <is>
          <t>Month 53</t>
        </is>
      </c>
      <c r="BH330" s="1882" t="inlineStr">
        <is>
          <t>Month 54</t>
        </is>
      </c>
      <c r="BI330" s="1882" t="inlineStr">
        <is>
          <t>Month 55</t>
        </is>
      </c>
      <c r="BJ330" s="1882" t="inlineStr">
        <is>
          <t>Month 56</t>
        </is>
      </c>
      <c r="BK330" s="1882" t="inlineStr">
        <is>
          <t>Month 57</t>
        </is>
      </c>
      <c r="BL330" s="1882" t="inlineStr">
        <is>
          <t>Month 58</t>
        </is>
      </c>
      <c r="BM330" s="1882" t="inlineStr">
        <is>
          <t>Month 59</t>
        </is>
      </c>
      <c r="BN330" s="1882" t="inlineStr">
        <is>
          <t>Month 60</t>
        </is>
      </c>
    </row>
    <row r="331" ht="3" customHeight="1" s="1883">
      <c r="D331" s="926" t="n"/>
      <c r="E331" s="383" t="n"/>
      <c r="F331" s="383" t="n"/>
      <c r="G331" s="438" t="n"/>
      <c r="H331" s="438" t="n"/>
      <c r="I331" s="438" t="n"/>
      <c r="J331" s="438" t="n"/>
      <c r="K331" s="438" t="n"/>
      <c r="L331" s="438" t="n"/>
      <c r="M331" s="438" t="n"/>
      <c r="N331" s="438" t="n"/>
      <c r="O331" s="438" t="n"/>
      <c r="P331" s="438" t="n"/>
      <c r="Q331" s="438" t="n"/>
      <c r="R331" s="438" t="n"/>
      <c r="S331" s="440" t="n"/>
      <c r="T331" s="438" t="n"/>
      <c r="U331" s="438" t="n"/>
      <c r="V331" s="438" t="n"/>
      <c r="W331" s="438" t="n"/>
      <c r="X331" s="438" t="n"/>
      <c r="Y331" s="438" t="n"/>
      <c r="Z331" s="438" t="n"/>
      <c r="AA331" s="438" t="n"/>
      <c r="AB331" s="438" t="n"/>
      <c r="AC331" s="438" t="n"/>
      <c r="AD331" s="438" t="n"/>
      <c r="AE331" s="440" t="n"/>
      <c r="AF331" s="438" t="n"/>
      <c r="AG331" s="438" t="n"/>
      <c r="AH331" s="438" t="n"/>
      <c r="AI331" s="438" t="n"/>
      <c r="AJ331" s="438" t="n"/>
      <c r="AK331" s="438" t="n"/>
      <c r="AL331" s="438" t="n"/>
      <c r="AM331" s="438" t="n"/>
      <c r="AN331" s="438" t="n"/>
      <c r="AO331" s="438" t="n"/>
      <c r="AP331" s="438" t="n"/>
      <c r="AQ331" s="440" t="n"/>
      <c r="AR331" s="438" t="n"/>
      <c r="AS331" s="438" t="n"/>
      <c r="AT331" s="438" t="n"/>
      <c r="AU331" s="438" t="n"/>
      <c r="AV331" s="438" t="n"/>
      <c r="AW331" s="438" t="n"/>
      <c r="AX331" s="438" t="n"/>
      <c r="AY331" s="438" t="n"/>
      <c r="AZ331" s="438" t="n"/>
      <c r="BA331" s="438" t="n"/>
      <c r="BB331" s="438" t="n"/>
      <c r="BC331" s="440" t="n"/>
      <c r="BD331" s="438" t="n"/>
      <c r="BE331" s="438" t="n"/>
      <c r="BF331" s="438" t="n"/>
      <c r="BG331" s="438" t="n"/>
      <c r="BH331" s="438" t="n"/>
      <c r="BI331" s="438" t="n"/>
      <c r="BJ331" s="438" t="n"/>
      <c r="BK331" s="438" t="n"/>
      <c r="BL331" s="438" t="n"/>
      <c r="BM331" s="438" t="n"/>
      <c r="BN331" s="438" t="n"/>
    </row>
    <row r="332" ht="3" customHeight="1" s="1883">
      <c r="D332" s="626" t="n"/>
      <c r="E332" s="383" t="n"/>
      <c r="F332" s="383" t="n"/>
      <c r="G332" s="407" t="n"/>
      <c r="H332" s="407" t="n"/>
      <c r="I332" s="407" t="n"/>
      <c r="J332" s="407" t="n"/>
      <c r="K332" s="407" t="n"/>
      <c r="L332" s="407" t="n"/>
      <c r="M332" s="407" t="n"/>
      <c r="N332" s="407" t="n"/>
      <c r="O332" s="407" t="n"/>
      <c r="P332" s="407" t="n"/>
      <c r="Q332" s="407" t="n"/>
      <c r="R332" s="435" t="n"/>
      <c r="S332" s="436" t="n"/>
      <c r="T332" s="407" t="n"/>
      <c r="U332" s="407" t="n"/>
      <c r="V332" s="407" t="n"/>
      <c r="W332" s="407" t="n"/>
      <c r="X332" s="407" t="n"/>
      <c r="Y332" s="407" t="n"/>
      <c r="Z332" s="407" t="n"/>
      <c r="AA332" s="407" t="n"/>
      <c r="AB332" s="407" t="n"/>
      <c r="AC332" s="407" t="n"/>
      <c r="AD332" s="435" t="n"/>
      <c r="AE332" s="436" t="n"/>
      <c r="AF332" s="407" t="n"/>
      <c r="AG332" s="407" t="n"/>
      <c r="AH332" s="407" t="n"/>
      <c r="AI332" s="407" t="n"/>
      <c r="AJ332" s="407" t="n"/>
      <c r="AK332" s="407" t="n"/>
      <c r="AL332" s="407" t="n"/>
      <c r="AM332" s="407" t="n"/>
      <c r="AN332" s="407" t="n"/>
      <c r="AO332" s="407" t="n"/>
      <c r="AP332" s="435" t="n"/>
      <c r="AQ332" s="436" t="n"/>
      <c r="AR332" s="407" t="n"/>
      <c r="AS332" s="407" t="n"/>
      <c r="AT332" s="407" t="n"/>
      <c r="AU332" s="407" t="n"/>
      <c r="AV332" s="407" t="n"/>
      <c r="AW332" s="407" t="n"/>
      <c r="AX332" s="407" t="n"/>
      <c r="AY332" s="407" t="n"/>
      <c r="AZ332" s="407" t="n"/>
      <c r="BA332" s="407" t="n"/>
      <c r="BB332" s="435" t="n"/>
      <c r="BC332" s="436" t="n"/>
      <c r="BD332" s="407" t="n"/>
      <c r="BE332" s="407" t="n"/>
      <c r="BF332" s="407" t="n"/>
      <c r="BG332" s="407" t="n"/>
      <c r="BH332" s="407" t="n"/>
      <c r="BI332" s="407" t="n"/>
      <c r="BJ332" s="407" t="n"/>
      <c r="BK332" s="407" t="n"/>
      <c r="BL332" s="407" t="n"/>
      <c r="BM332" s="407" t="n"/>
      <c r="BN332" s="407" t="n"/>
    </row>
    <row r="333" ht="15" customHeight="1" s="1883">
      <c r="D333" s="149" t="inlineStr">
        <is>
          <t>Month 1</t>
        </is>
      </c>
      <c r="E333" s="383" t="n"/>
      <c r="F333" s="383" t="n"/>
      <c r="G333" s="614" t="n">
        <v>0</v>
      </c>
      <c r="H333" s="614" t="n">
        <v>0</v>
      </c>
      <c r="I333" s="615">
        <f>((I224)*($E$322))</f>
        <v/>
      </c>
      <c r="J333" s="615">
        <f>((J224)*($E$322))</f>
        <v/>
      </c>
      <c r="K333" s="615">
        <f>((K224)*($E$322))</f>
        <v/>
      </c>
      <c r="L333" s="615">
        <f>((L224)*($E$322))</f>
        <v/>
      </c>
      <c r="M333" s="615">
        <f>((M224)*($E$322))</f>
        <v/>
      </c>
      <c r="N333" s="615">
        <f>((N224)*($E$322))</f>
        <v/>
      </c>
      <c r="O333" s="615">
        <f>((O224)*($E$322))</f>
        <v/>
      </c>
      <c r="P333" s="615">
        <f>((P224)*($E$322))</f>
        <v/>
      </c>
      <c r="Q333" s="615">
        <f>((Q224)*($E$322))</f>
        <v/>
      </c>
      <c r="R333" s="615">
        <f>((R224)*($E$322))</f>
        <v/>
      </c>
      <c r="S333" s="616">
        <f>((S224)*($E$323))</f>
        <v/>
      </c>
      <c r="T333" s="617">
        <f>((T224)*($E$323))</f>
        <v/>
      </c>
      <c r="U333" s="617">
        <f>((U224)*($E$323))</f>
        <v/>
      </c>
      <c r="V333" s="617">
        <f>((V224)*($E$323))</f>
        <v/>
      </c>
      <c r="W333" s="617">
        <f>((W224)*($E$323))</f>
        <v/>
      </c>
      <c r="X333" s="617">
        <f>((X224)*($E$323))</f>
        <v/>
      </c>
      <c r="Y333" s="617">
        <f>((Y224)*($E$323))</f>
        <v/>
      </c>
      <c r="Z333" s="617">
        <f>((Z224)*($E$323))</f>
        <v/>
      </c>
      <c r="AA333" s="617">
        <f>((AA224)*($E$323))</f>
        <v/>
      </c>
      <c r="AB333" s="617">
        <f>((AB224)*($E$323))</f>
        <v/>
      </c>
      <c r="AC333" s="617">
        <f>((AC224)*($E$323))</f>
        <v/>
      </c>
      <c r="AD333" s="617">
        <f>((AD224)*($E$323))</f>
        <v/>
      </c>
      <c r="AE333" s="616">
        <f>((AE224)*($E$324))</f>
        <v/>
      </c>
      <c r="AF333" s="617">
        <f>((AF224)*($E$324))</f>
        <v/>
      </c>
      <c r="AG333" s="617">
        <f>((AG224)*($E$324))</f>
        <v/>
      </c>
      <c r="AH333" s="617">
        <f>((AH224)*($E$324))</f>
        <v/>
      </c>
      <c r="AI333" s="617">
        <f>((AI224)*($E$324))</f>
        <v/>
      </c>
      <c r="AJ333" s="617">
        <f>((AJ224)*($E$324))</f>
        <v/>
      </c>
      <c r="AK333" s="617">
        <f>((AK224)*($E$324))</f>
        <v/>
      </c>
      <c r="AL333" s="617">
        <f>((AL224)*($E$324))</f>
        <v/>
      </c>
      <c r="AM333" s="617">
        <f>((AM224)*($E$324))</f>
        <v/>
      </c>
      <c r="AN333" s="617">
        <f>((AN224)*($E$324))</f>
        <v/>
      </c>
      <c r="AO333" s="617">
        <f>((AO224)*($E$324))</f>
        <v/>
      </c>
      <c r="AP333" s="617">
        <f>((AP224)*($E$324))</f>
        <v/>
      </c>
      <c r="AQ333" s="616">
        <f>((AQ224)*($E$325))</f>
        <v/>
      </c>
      <c r="AR333" s="617">
        <f>((AR224)*($E$325))</f>
        <v/>
      </c>
      <c r="AS333" s="617">
        <f>((AS224)*($E$325))</f>
        <v/>
      </c>
      <c r="AT333" s="617">
        <f>((AT224)*($E$325))</f>
        <v/>
      </c>
      <c r="AU333" s="617">
        <f>((AU224)*($E$325))</f>
        <v/>
      </c>
      <c r="AV333" s="617">
        <f>((AV224)*($E$325))</f>
        <v/>
      </c>
      <c r="AW333" s="617">
        <f>((AW224)*($E$325))</f>
        <v/>
      </c>
      <c r="AX333" s="617">
        <f>((AX224)*($E$325))</f>
        <v/>
      </c>
      <c r="AY333" s="617">
        <f>((AY224)*($E$325))</f>
        <v/>
      </c>
      <c r="AZ333" s="617">
        <f>((AZ224)*($E$325))</f>
        <v/>
      </c>
      <c r="BA333" s="617">
        <f>((BA224)*($E$325))</f>
        <v/>
      </c>
      <c r="BB333" s="617">
        <f>((BB224)*($E$325))</f>
        <v/>
      </c>
      <c r="BC333" s="616">
        <f>((BC224)*($E$326))</f>
        <v/>
      </c>
      <c r="BD333" s="617">
        <f>((BD224)*($E$326))</f>
        <v/>
      </c>
      <c r="BE333" s="617">
        <f>((BE224)*($E$326))</f>
        <v/>
      </c>
      <c r="BF333" s="617">
        <f>((BF224)*($E$326))</f>
        <v/>
      </c>
      <c r="BG333" s="617">
        <f>((BG224)*($E$326))</f>
        <v/>
      </c>
      <c r="BH333" s="617">
        <f>((BH224)*($E$326))</f>
        <v/>
      </c>
      <c r="BI333" s="617">
        <f>((BI224)*($E$326))</f>
        <v/>
      </c>
      <c r="BJ333" s="617">
        <f>((BJ224)*($E$326))</f>
        <v/>
      </c>
      <c r="BK333" s="617">
        <f>((BK224)*($E$326))</f>
        <v/>
      </c>
      <c r="BL333" s="617">
        <f>((BL224)*($E$326))</f>
        <v/>
      </c>
      <c r="BM333" s="617">
        <f>((BM224)*($E$326))</f>
        <v/>
      </c>
      <c r="BN333" s="617">
        <f>((BN224)*($E$326))</f>
        <v/>
      </c>
    </row>
    <row r="334" ht="15" customHeight="1" s="1883">
      <c r="D334" s="149" t="inlineStr">
        <is>
          <t>Month 2</t>
        </is>
      </c>
      <c r="E334" s="383" t="n"/>
      <c r="F334" s="383" t="n"/>
      <c r="G334" s="609" t="n"/>
      <c r="H334" s="609" t="n"/>
      <c r="I334" s="609" t="n"/>
      <c r="J334" s="481">
        <f>((J225)*($E$322))</f>
        <v/>
      </c>
      <c r="K334" s="481">
        <f>((K225)*($E$322))</f>
        <v/>
      </c>
      <c r="L334" s="481">
        <f>((L225)*($E$322))</f>
        <v/>
      </c>
      <c r="M334" s="481">
        <f>((M225)*($E$322))</f>
        <v/>
      </c>
      <c r="N334" s="481">
        <f>((N225)*($E$322))</f>
        <v/>
      </c>
      <c r="O334" s="481">
        <f>((O225)*($E$322))</f>
        <v/>
      </c>
      <c r="P334" s="481">
        <f>((P225)*($E$322))</f>
        <v/>
      </c>
      <c r="Q334" s="481">
        <f>((Q225)*($E$322))</f>
        <v/>
      </c>
      <c r="R334" s="481">
        <f>((R225)*($E$322))</f>
        <v/>
      </c>
      <c r="S334" s="506">
        <f>((S225)*($E$323))</f>
        <v/>
      </c>
      <c r="T334" s="505">
        <f>((T225)*($E$323))</f>
        <v/>
      </c>
      <c r="U334" s="505">
        <f>((U225)*($E$323))</f>
        <v/>
      </c>
      <c r="V334" s="505">
        <f>((V225)*($E$323))</f>
        <v/>
      </c>
      <c r="W334" s="505">
        <f>((W225)*($E$323))</f>
        <v/>
      </c>
      <c r="X334" s="505">
        <f>((X225)*($E$323))</f>
        <v/>
      </c>
      <c r="Y334" s="505">
        <f>((Y225)*($E$323))</f>
        <v/>
      </c>
      <c r="Z334" s="505">
        <f>((Z225)*($E$323))</f>
        <v/>
      </c>
      <c r="AA334" s="505">
        <f>((AA225)*($E$323))</f>
        <v/>
      </c>
      <c r="AB334" s="505">
        <f>((AB225)*($E$323))</f>
        <v/>
      </c>
      <c r="AC334" s="505">
        <f>((AC225)*($E$323))</f>
        <v/>
      </c>
      <c r="AD334" s="505">
        <f>((AD225)*($E$323))</f>
        <v/>
      </c>
      <c r="AE334" s="506">
        <f>((AE225)*($E$324))</f>
        <v/>
      </c>
      <c r="AF334" s="505">
        <f>((AF225)*($E$324))</f>
        <v/>
      </c>
      <c r="AG334" s="505">
        <f>((AG225)*($E$324))</f>
        <v/>
      </c>
      <c r="AH334" s="505">
        <f>((AH225)*($E$324))</f>
        <v/>
      </c>
      <c r="AI334" s="505">
        <f>((AI225)*($E$324))</f>
        <v/>
      </c>
      <c r="AJ334" s="505">
        <f>((AJ225)*($E$324))</f>
        <v/>
      </c>
      <c r="AK334" s="505">
        <f>((AK225)*($E$324))</f>
        <v/>
      </c>
      <c r="AL334" s="505">
        <f>((AL225)*($E$324))</f>
        <v/>
      </c>
      <c r="AM334" s="505">
        <f>((AM225)*($E$324))</f>
        <v/>
      </c>
      <c r="AN334" s="505">
        <f>((AN225)*($E$324))</f>
        <v/>
      </c>
      <c r="AO334" s="505">
        <f>((AO225)*($E$324))</f>
        <v/>
      </c>
      <c r="AP334" s="505">
        <f>((AP225)*($E$324))</f>
        <v/>
      </c>
      <c r="AQ334" s="506">
        <f>((AQ225)*($E$325))</f>
        <v/>
      </c>
      <c r="AR334" s="505">
        <f>((AR225)*($E$325))</f>
        <v/>
      </c>
      <c r="AS334" s="505">
        <f>((AS225)*($E$325))</f>
        <v/>
      </c>
      <c r="AT334" s="505">
        <f>((AT225)*($E$325))</f>
        <v/>
      </c>
      <c r="AU334" s="505">
        <f>((AU225)*($E$325))</f>
        <v/>
      </c>
      <c r="AV334" s="505">
        <f>((AV225)*($E$325))</f>
        <v/>
      </c>
      <c r="AW334" s="505">
        <f>((AW225)*($E$325))</f>
        <v/>
      </c>
      <c r="AX334" s="505">
        <f>((AX225)*($E$325))</f>
        <v/>
      </c>
      <c r="AY334" s="505">
        <f>((AY225)*($E$325))</f>
        <v/>
      </c>
      <c r="AZ334" s="505">
        <f>((AZ225)*($E$325))</f>
        <v/>
      </c>
      <c r="BA334" s="505">
        <f>((BA225)*($E$325))</f>
        <v/>
      </c>
      <c r="BB334" s="505">
        <f>((BB225)*($E$325))</f>
        <v/>
      </c>
      <c r="BC334" s="506">
        <f>((BC225)*($E$326))</f>
        <v/>
      </c>
      <c r="BD334" s="505">
        <f>((BD225)*($E$326))</f>
        <v/>
      </c>
      <c r="BE334" s="505">
        <f>((BE225)*($E$326))</f>
        <v/>
      </c>
      <c r="BF334" s="505">
        <f>((BF225)*($E$326))</f>
        <v/>
      </c>
      <c r="BG334" s="505">
        <f>((BG225)*($E$326))</f>
        <v/>
      </c>
      <c r="BH334" s="505">
        <f>((BH225)*($E$326))</f>
        <v/>
      </c>
      <c r="BI334" s="505">
        <f>((BI225)*($E$326))</f>
        <v/>
      </c>
      <c r="BJ334" s="505">
        <f>((BJ225)*($E$326))</f>
        <v/>
      </c>
      <c r="BK334" s="505">
        <f>((BK225)*($E$326))</f>
        <v/>
      </c>
      <c r="BL334" s="505">
        <f>((BL225)*($E$326))</f>
        <v/>
      </c>
      <c r="BM334" s="505">
        <f>((BM225)*($E$326))</f>
        <v/>
      </c>
      <c r="BN334" s="505">
        <f>((BN225)*($E$326))</f>
        <v/>
      </c>
    </row>
    <row r="335" ht="15" customHeight="1" s="1883">
      <c r="D335" s="149" t="inlineStr">
        <is>
          <t>Month 3</t>
        </is>
      </c>
      <c r="E335" s="383" t="n"/>
      <c r="F335" s="383" t="n"/>
      <c r="G335" s="609" t="n"/>
      <c r="H335" s="609" t="n"/>
      <c r="I335" s="609" t="n"/>
      <c r="J335" s="609" t="n"/>
      <c r="K335" s="481">
        <f>((K226)*($E$322))</f>
        <v/>
      </c>
      <c r="L335" s="481">
        <f>((L226)*($E$322))</f>
        <v/>
      </c>
      <c r="M335" s="481">
        <f>((M226)*($E$322))</f>
        <v/>
      </c>
      <c r="N335" s="481">
        <f>((N226)*($E$322))</f>
        <v/>
      </c>
      <c r="O335" s="481">
        <f>((O226)*($E$322))</f>
        <v/>
      </c>
      <c r="P335" s="481">
        <f>((P226)*($E$322))</f>
        <v/>
      </c>
      <c r="Q335" s="481">
        <f>((Q226)*($E$322))</f>
        <v/>
      </c>
      <c r="R335" s="481">
        <f>((R226)*($E$322))</f>
        <v/>
      </c>
      <c r="S335" s="506">
        <f>((S226)*($E$323))</f>
        <v/>
      </c>
      <c r="T335" s="505">
        <f>((T226)*($E$323))</f>
        <v/>
      </c>
      <c r="U335" s="505">
        <f>((U226)*($E$323))</f>
        <v/>
      </c>
      <c r="V335" s="505">
        <f>((V226)*($E$323))</f>
        <v/>
      </c>
      <c r="W335" s="505">
        <f>((W226)*($E$323))</f>
        <v/>
      </c>
      <c r="X335" s="505">
        <f>((X226)*($E$323))</f>
        <v/>
      </c>
      <c r="Y335" s="505">
        <f>((Y226)*($E$323))</f>
        <v/>
      </c>
      <c r="Z335" s="505">
        <f>((Z226)*($E$323))</f>
        <v/>
      </c>
      <c r="AA335" s="505">
        <f>((AA226)*($E$323))</f>
        <v/>
      </c>
      <c r="AB335" s="505">
        <f>((AB226)*($E$323))</f>
        <v/>
      </c>
      <c r="AC335" s="505">
        <f>((AC226)*($E$323))</f>
        <v/>
      </c>
      <c r="AD335" s="505">
        <f>((AD226)*($E$323))</f>
        <v/>
      </c>
      <c r="AE335" s="506">
        <f>((AE226)*($E$324))</f>
        <v/>
      </c>
      <c r="AF335" s="505">
        <f>((AF226)*($E$324))</f>
        <v/>
      </c>
      <c r="AG335" s="505">
        <f>((AG226)*($E$324))</f>
        <v/>
      </c>
      <c r="AH335" s="505">
        <f>((AH226)*($E$324))</f>
        <v/>
      </c>
      <c r="AI335" s="505">
        <f>((AI226)*($E$324))</f>
        <v/>
      </c>
      <c r="AJ335" s="505">
        <f>((AJ226)*($E$324))</f>
        <v/>
      </c>
      <c r="AK335" s="505">
        <f>((AK226)*($E$324))</f>
        <v/>
      </c>
      <c r="AL335" s="505">
        <f>((AL226)*($E$324))</f>
        <v/>
      </c>
      <c r="AM335" s="505">
        <f>((AM226)*($E$324))</f>
        <v/>
      </c>
      <c r="AN335" s="505">
        <f>((AN226)*($E$324))</f>
        <v/>
      </c>
      <c r="AO335" s="505">
        <f>((AO226)*($E$324))</f>
        <v/>
      </c>
      <c r="AP335" s="505">
        <f>((AP226)*($E$324))</f>
        <v/>
      </c>
      <c r="AQ335" s="506">
        <f>((AQ226)*($E$325))</f>
        <v/>
      </c>
      <c r="AR335" s="505">
        <f>((AR226)*($E$325))</f>
        <v/>
      </c>
      <c r="AS335" s="505">
        <f>((AS226)*($E$325))</f>
        <v/>
      </c>
      <c r="AT335" s="505">
        <f>((AT226)*($E$325))</f>
        <v/>
      </c>
      <c r="AU335" s="505">
        <f>((AU226)*($E$325))</f>
        <v/>
      </c>
      <c r="AV335" s="505">
        <f>((AV226)*($E$325))</f>
        <v/>
      </c>
      <c r="AW335" s="505">
        <f>((AW226)*($E$325))</f>
        <v/>
      </c>
      <c r="AX335" s="505">
        <f>((AX226)*($E$325))</f>
        <v/>
      </c>
      <c r="AY335" s="505">
        <f>((AY226)*($E$325))</f>
        <v/>
      </c>
      <c r="AZ335" s="505">
        <f>((AZ226)*($E$325))</f>
        <v/>
      </c>
      <c r="BA335" s="505">
        <f>((BA226)*($E$325))</f>
        <v/>
      </c>
      <c r="BB335" s="505">
        <f>((BB226)*($E$325))</f>
        <v/>
      </c>
      <c r="BC335" s="506">
        <f>((BC226)*($E$326))</f>
        <v/>
      </c>
      <c r="BD335" s="505">
        <f>((BD226)*($E$326))</f>
        <v/>
      </c>
      <c r="BE335" s="505">
        <f>((BE226)*($E$326))</f>
        <v/>
      </c>
      <c r="BF335" s="505">
        <f>((BF226)*($E$326))</f>
        <v/>
      </c>
      <c r="BG335" s="505">
        <f>((BG226)*($E$326))</f>
        <v/>
      </c>
      <c r="BH335" s="505">
        <f>((BH226)*($E$326))</f>
        <v/>
      </c>
      <c r="BI335" s="505">
        <f>((BI226)*($E$326))</f>
        <v/>
      </c>
      <c r="BJ335" s="505">
        <f>((BJ226)*($E$326))</f>
        <v/>
      </c>
      <c r="BK335" s="505">
        <f>((BK226)*($E$326))</f>
        <v/>
      </c>
      <c r="BL335" s="505">
        <f>((BL226)*($E$326))</f>
        <v/>
      </c>
      <c r="BM335" s="505">
        <f>((BM226)*($E$326))</f>
        <v/>
      </c>
      <c r="BN335" s="505">
        <f>((BN226)*($E$326))</f>
        <v/>
      </c>
    </row>
    <row r="336" ht="15" customHeight="1" s="1883">
      <c r="D336" s="149" t="inlineStr">
        <is>
          <t>Month 4</t>
        </is>
      </c>
      <c r="E336" s="383" t="n"/>
      <c r="F336" s="383" t="n"/>
      <c r="G336" s="609" t="n"/>
      <c r="H336" s="609" t="n"/>
      <c r="I336" s="609" t="n"/>
      <c r="J336" s="609" t="n"/>
      <c r="K336" s="609" t="n"/>
      <c r="L336" s="481">
        <f>((L227)*($E$322))</f>
        <v/>
      </c>
      <c r="M336" s="481">
        <f>((M227)*($E$322))</f>
        <v/>
      </c>
      <c r="N336" s="481">
        <f>((N227)*($E$322))</f>
        <v/>
      </c>
      <c r="O336" s="481">
        <f>((O227)*($E$322))</f>
        <v/>
      </c>
      <c r="P336" s="481">
        <f>((P227)*($E$322))</f>
        <v/>
      </c>
      <c r="Q336" s="481">
        <f>((Q227)*($E$322))</f>
        <v/>
      </c>
      <c r="R336" s="481">
        <f>((R227)*($E$322))</f>
        <v/>
      </c>
      <c r="S336" s="506">
        <f>((S227)*($E$323))</f>
        <v/>
      </c>
      <c r="T336" s="505">
        <f>((T227)*($E$323))</f>
        <v/>
      </c>
      <c r="U336" s="505">
        <f>((U227)*($E$323))</f>
        <v/>
      </c>
      <c r="V336" s="505">
        <f>((V227)*($E$323))</f>
        <v/>
      </c>
      <c r="W336" s="505">
        <f>((W227)*($E$323))</f>
        <v/>
      </c>
      <c r="X336" s="505">
        <f>((X227)*($E$323))</f>
        <v/>
      </c>
      <c r="Y336" s="505">
        <f>((Y227)*($E$323))</f>
        <v/>
      </c>
      <c r="Z336" s="505">
        <f>((Z227)*($E$323))</f>
        <v/>
      </c>
      <c r="AA336" s="505">
        <f>((AA227)*($E$323))</f>
        <v/>
      </c>
      <c r="AB336" s="505">
        <f>((AB227)*($E$323))</f>
        <v/>
      </c>
      <c r="AC336" s="505">
        <f>((AC227)*($E$323))</f>
        <v/>
      </c>
      <c r="AD336" s="505">
        <f>((AD227)*($E$323))</f>
        <v/>
      </c>
      <c r="AE336" s="506">
        <f>((AE227)*($E$324))</f>
        <v/>
      </c>
      <c r="AF336" s="505">
        <f>((AF227)*($E$324))</f>
        <v/>
      </c>
      <c r="AG336" s="505">
        <f>((AG227)*($E$324))</f>
        <v/>
      </c>
      <c r="AH336" s="505">
        <f>((AH227)*($E$324))</f>
        <v/>
      </c>
      <c r="AI336" s="505">
        <f>((AI227)*($E$324))</f>
        <v/>
      </c>
      <c r="AJ336" s="505">
        <f>((AJ227)*($E$324))</f>
        <v/>
      </c>
      <c r="AK336" s="505">
        <f>((AK227)*($E$324))</f>
        <v/>
      </c>
      <c r="AL336" s="505">
        <f>((AL227)*($E$324))</f>
        <v/>
      </c>
      <c r="AM336" s="505">
        <f>((AM227)*($E$324))</f>
        <v/>
      </c>
      <c r="AN336" s="505">
        <f>((AN227)*($E$324))</f>
        <v/>
      </c>
      <c r="AO336" s="505">
        <f>((AO227)*($E$324))</f>
        <v/>
      </c>
      <c r="AP336" s="505">
        <f>((AP227)*($E$324))</f>
        <v/>
      </c>
      <c r="AQ336" s="506">
        <f>((AQ227)*($E$325))</f>
        <v/>
      </c>
      <c r="AR336" s="505">
        <f>((AR227)*($E$325))</f>
        <v/>
      </c>
      <c r="AS336" s="505">
        <f>((AS227)*($E$325))</f>
        <v/>
      </c>
      <c r="AT336" s="505">
        <f>((AT227)*($E$325))</f>
        <v/>
      </c>
      <c r="AU336" s="505">
        <f>((AU227)*($E$325))</f>
        <v/>
      </c>
      <c r="AV336" s="505">
        <f>((AV227)*($E$325))</f>
        <v/>
      </c>
      <c r="AW336" s="505">
        <f>((AW227)*($E$325))</f>
        <v/>
      </c>
      <c r="AX336" s="505">
        <f>((AX227)*($E$325))</f>
        <v/>
      </c>
      <c r="AY336" s="505">
        <f>((AY227)*($E$325))</f>
        <v/>
      </c>
      <c r="AZ336" s="505">
        <f>((AZ227)*($E$325))</f>
        <v/>
      </c>
      <c r="BA336" s="505">
        <f>((BA227)*($E$325))</f>
        <v/>
      </c>
      <c r="BB336" s="505">
        <f>((BB227)*($E$325))</f>
        <v/>
      </c>
      <c r="BC336" s="506">
        <f>((BC227)*($E$326))</f>
        <v/>
      </c>
      <c r="BD336" s="505">
        <f>((BD227)*($E$326))</f>
        <v/>
      </c>
      <c r="BE336" s="505">
        <f>((BE227)*($E$326))</f>
        <v/>
      </c>
      <c r="BF336" s="505">
        <f>((BF227)*($E$326))</f>
        <v/>
      </c>
      <c r="BG336" s="505">
        <f>((BG227)*($E$326))</f>
        <v/>
      </c>
      <c r="BH336" s="505">
        <f>((BH227)*($E$326))</f>
        <v/>
      </c>
      <c r="BI336" s="505">
        <f>((BI227)*($E$326))</f>
        <v/>
      </c>
      <c r="BJ336" s="505">
        <f>((BJ227)*($E$326))</f>
        <v/>
      </c>
      <c r="BK336" s="505">
        <f>((BK227)*($E$326))</f>
        <v/>
      </c>
      <c r="BL336" s="505">
        <f>((BL227)*($E$326))</f>
        <v/>
      </c>
      <c r="BM336" s="505">
        <f>((BM227)*($E$326))</f>
        <v/>
      </c>
      <c r="BN336" s="505">
        <f>((BN227)*($E$326))</f>
        <v/>
      </c>
    </row>
    <row r="337" ht="15" customHeight="1" s="1883">
      <c r="D337" s="149" t="inlineStr">
        <is>
          <t>Month 5</t>
        </is>
      </c>
      <c r="E337" s="383" t="n"/>
      <c r="F337" s="383" t="n"/>
      <c r="G337" s="609" t="n"/>
      <c r="H337" s="609" t="n"/>
      <c r="I337" s="609" t="n"/>
      <c r="J337" s="609" t="n"/>
      <c r="K337" s="609" t="n"/>
      <c r="L337" s="609" t="n"/>
      <c r="M337" s="481">
        <f>((M228)*($E$322))</f>
        <v/>
      </c>
      <c r="N337" s="481">
        <f>((N228)*($E$322))</f>
        <v/>
      </c>
      <c r="O337" s="481">
        <f>((O228)*($E$322))</f>
        <v/>
      </c>
      <c r="P337" s="481">
        <f>((P228)*($E$322))</f>
        <v/>
      </c>
      <c r="Q337" s="481">
        <f>((Q228)*($E$322))</f>
        <v/>
      </c>
      <c r="R337" s="481">
        <f>((R228)*($E$322))</f>
        <v/>
      </c>
      <c r="S337" s="506">
        <f>((S228)*($E$323))</f>
        <v/>
      </c>
      <c r="T337" s="505">
        <f>((T228)*($E$323))</f>
        <v/>
      </c>
      <c r="U337" s="505">
        <f>((U228)*($E$323))</f>
        <v/>
      </c>
      <c r="V337" s="505">
        <f>((V228)*($E$323))</f>
        <v/>
      </c>
      <c r="W337" s="505">
        <f>((W228)*($E$323))</f>
        <v/>
      </c>
      <c r="X337" s="505">
        <f>((X228)*($E$323))</f>
        <v/>
      </c>
      <c r="Y337" s="505">
        <f>((Y228)*($E$323))</f>
        <v/>
      </c>
      <c r="Z337" s="505">
        <f>((Z228)*($E$323))</f>
        <v/>
      </c>
      <c r="AA337" s="505">
        <f>((AA228)*($E$323))</f>
        <v/>
      </c>
      <c r="AB337" s="505">
        <f>((AB228)*($E$323))</f>
        <v/>
      </c>
      <c r="AC337" s="505">
        <f>((AC228)*($E$323))</f>
        <v/>
      </c>
      <c r="AD337" s="505">
        <f>((AD228)*($E$323))</f>
        <v/>
      </c>
      <c r="AE337" s="506">
        <f>((AE228)*($E$324))</f>
        <v/>
      </c>
      <c r="AF337" s="505">
        <f>((AF228)*($E$324))</f>
        <v/>
      </c>
      <c r="AG337" s="505">
        <f>((AG228)*($E$324))</f>
        <v/>
      </c>
      <c r="AH337" s="505">
        <f>((AH228)*($E$324))</f>
        <v/>
      </c>
      <c r="AI337" s="505">
        <f>((AI228)*($E$324))</f>
        <v/>
      </c>
      <c r="AJ337" s="505">
        <f>((AJ228)*($E$324))</f>
        <v/>
      </c>
      <c r="AK337" s="505">
        <f>((AK228)*($E$324))</f>
        <v/>
      </c>
      <c r="AL337" s="505">
        <f>((AL228)*($E$324))</f>
        <v/>
      </c>
      <c r="AM337" s="505">
        <f>((AM228)*($E$324))</f>
        <v/>
      </c>
      <c r="AN337" s="505">
        <f>((AN228)*($E$324))</f>
        <v/>
      </c>
      <c r="AO337" s="505">
        <f>((AO228)*($E$324))</f>
        <v/>
      </c>
      <c r="AP337" s="505">
        <f>((AP228)*($E$324))</f>
        <v/>
      </c>
      <c r="AQ337" s="506">
        <f>((AQ228)*($E$325))</f>
        <v/>
      </c>
      <c r="AR337" s="505">
        <f>((AR228)*($E$325))</f>
        <v/>
      </c>
      <c r="AS337" s="505">
        <f>((AS228)*($E$325))</f>
        <v/>
      </c>
      <c r="AT337" s="505">
        <f>((AT228)*($E$325))</f>
        <v/>
      </c>
      <c r="AU337" s="505">
        <f>((AU228)*($E$325))</f>
        <v/>
      </c>
      <c r="AV337" s="505">
        <f>((AV228)*($E$325))</f>
        <v/>
      </c>
      <c r="AW337" s="505">
        <f>((AW228)*($E$325))</f>
        <v/>
      </c>
      <c r="AX337" s="505">
        <f>((AX228)*($E$325))</f>
        <v/>
      </c>
      <c r="AY337" s="505">
        <f>((AY228)*($E$325))</f>
        <v/>
      </c>
      <c r="AZ337" s="505">
        <f>((AZ228)*($E$325))</f>
        <v/>
      </c>
      <c r="BA337" s="505">
        <f>((BA228)*($E$325))</f>
        <v/>
      </c>
      <c r="BB337" s="505">
        <f>((BB228)*($E$325))</f>
        <v/>
      </c>
      <c r="BC337" s="506">
        <f>((BC228)*($E$326))</f>
        <v/>
      </c>
      <c r="BD337" s="505">
        <f>((BD228)*($E$326))</f>
        <v/>
      </c>
      <c r="BE337" s="505">
        <f>((BE228)*($E$326))</f>
        <v/>
      </c>
      <c r="BF337" s="505">
        <f>((BF228)*($E$326))</f>
        <v/>
      </c>
      <c r="BG337" s="505">
        <f>((BG228)*($E$326))</f>
        <v/>
      </c>
      <c r="BH337" s="505">
        <f>((BH228)*($E$326))</f>
        <v/>
      </c>
      <c r="BI337" s="505">
        <f>((BI228)*($E$326))</f>
        <v/>
      </c>
      <c r="BJ337" s="505">
        <f>((BJ228)*($E$326))</f>
        <v/>
      </c>
      <c r="BK337" s="505">
        <f>((BK228)*($E$326))</f>
        <v/>
      </c>
      <c r="BL337" s="505">
        <f>((BL228)*($E$326))</f>
        <v/>
      </c>
      <c r="BM337" s="505">
        <f>((BM228)*($E$326))</f>
        <v/>
      </c>
      <c r="BN337" s="505">
        <f>((BN228)*($E$326))</f>
        <v/>
      </c>
    </row>
    <row r="338" ht="15" customHeight="1" s="1883">
      <c r="D338" s="149" t="inlineStr">
        <is>
          <t>Month 6</t>
        </is>
      </c>
      <c r="E338" s="383" t="n"/>
      <c r="F338" s="383" t="n"/>
      <c r="G338" s="609" t="n"/>
      <c r="H338" s="609" t="n"/>
      <c r="I338" s="609" t="n"/>
      <c r="J338" s="609" t="n"/>
      <c r="K338" s="609" t="n"/>
      <c r="L338" s="609" t="n"/>
      <c r="M338" s="609" t="n"/>
      <c r="N338" s="481">
        <f>((N229)*($E$322))</f>
        <v/>
      </c>
      <c r="O338" s="481">
        <f>((O229)*($E$322))</f>
        <v/>
      </c>
      <c r="P338" s="481">
        <f>((P229)*($E$322))</f>
        <v/>
      </c>
      <c r="Q338" s="481">
        <f>((Q229)*($E$322))</f>
        <v/>
      </c>
      <c r="R338" s="481">
        <f>((R229)*($E$322))</f>
        <v/>
      </c>
      <c r="S338" s="506">
        <f>((S229)*($E$323))</f>
        <v/>
      </c>
      <c r="T338" s="505">
        <f>((T229)*($E$323))</f>
        <v/>
      </c>
      <c r="U338" s="505">
        <f>((U229)*($E$323))</f>
        <v/>
      </c>
      <c r="V338" s="505">
        <f>((V229)*($E$323))</f>
        <v/>
      </c>
      <c r="W338" s="505">
        <f>((W229)*($E$323))</f>
        <v/>
      </c>
      <c r="X338" s="505">
        <f>((X229)*($E$323))</f>
        <v/>
      </c>
      <c r="Y338" s="505">
        <f>((Y229)*($E$323))</f>
        <v/>
      </c>
      <c r="Z338" s="505">
        <f>((Z229)*($E$323))</f>
        <v/>
      </c>
      <c r="AA338" s="505">
        <f>((AA229)*($E$323))</f>
        <v/>
      </c>
      <c r="AB338" s="505">
        <f>((AB229)*($E$323))</f>
        <v/>
      </c>
      <c r="AC338" s="505">
        <f>((AC229)*($E$323))</f>
        <v/>
      </c>
      <c r="AD338" s="505">
        <f>((AD229)*($E$323))</f>
        <v/>
      </c>
      <c r="AE338" s="506">
        <f>((AE229)*($E$324))</f>
        <v/>
      </c>
      <c r="AF338" s="505">
        <f>((AF229)*($E$324))</f>
        <v/>
      </c>
      <c r="AG338" s="505">
        <f>((AG229)*($E$324))</f>
        <v/>
      </c>
      <c r="AH338" s="505">
        <f>((AH229)*($E$324))</f>
        <v/>
      </c>
      <c r="AI338" s="505">
        <f>((AI229)*($E$324))</f>
        <v/>
      </c>
      <c r="AJ338" s="505">
        <f>((AJ229)*($E$324))</f>
        <v/>
      </c>
      <c r="AK338" s="505">
        <f>((AK229)*($E$324))</f>
        <v/>
      </c>
      <c r="AL338" s="505">
        <f>((AL229)*($E$324))</f>
        <v/>
      </c>
      <c r="AM338" s="505">
        <f>((AM229)*($E$324))</f>
        <v/>
      </c>
      <c r="AN338" s="505">
        <f>((AN229)*($E$324))</f>
        <v/>
      </c>
      <c r="AO338" s="505">
        <f>((AO229)*($E$324))</f>
        <v/>
      </c>
      <c r="AP338" s="505">
        <f>((AP229)*($E$324))</f>
        <v/>
      </c>
      <c r="AQ338" s="506">
        <f>((AQ229)*($E$325))</f>
        <v/>
      </c>
      <c r="AR338" s="505">
        <f>((AR229)*($E$325))</f>
        <v/>
      </c>
      <c r="AS338" s="505">
        <f>((AS229)*($E$325))</f>
        <v/>
      </c>
      <c r="AT338" s="505">
        <f>((AT229)*($E$325))</f>
        <v/>
      </c>
      <c r="AU338" s="505">
        <f>((AU229)*($E$325))</f>
        <v/>
      </c>
      <c r="AV338" s="505">
        <f>((AV229)*($E$325))</f>
        <v/>
      </c>
      <c r="AW338" s="505">
        <f>((AW229)*($E$325))</f>
        <v/>
      </c>
      <c r="AX338" s="505">
        <f>((AX229)*($E$325))</f>
        <v/>
      </c>
      <c r="AY338" s="505">
        <f>((AY229)*($E$325))</f>
        <v/>
      </c>
      <c r="AZ338" s="505">
        <f>((AZ229)*($E$325))</f>
        <v/>
      </c>
      <c r="BA338" s="505">
        <f>((BA229)*($E$325))</f>
        <v/>
      </c>
      <c r="BB338" s="505">
        <f>((BB229)*($E$325))</f>
        <v/>
      </c>
      <c r="BC338" s="506">
        <f>((BC229)*($E$326))</f>
        <v/>
      </c>
      <c r="BD338" s="505">
        <f>((BD229)*($E$326))</f>
        <v/>
      </c>
      <c r="BE338" s="505">
        <f>((BE229)*($E$326))</f>
        <v/>
      </c>
      <c r="BF338" s="505">
        <f>((BF229)*($E$326))</f>
        <v/>
      </c>
      <c r="BG338" s="505">
        <f>((BG229)*($E$326))</f>
        <v/>
      </c>
      <c r="BH338" s="505">
        <f>((BH229)*($E$326))</f>
        <v/>
      </c>
      <c r="BI338" s="505">
        <f>((BI229)*($E$326))</f>
        <v/>
      </c>
      <c r="BJ338" s="505">
        <f>((BJ229)*($E$326))</f>
        <v/>
      </c>
      <c r="BK338" s="505">
        <f>((BK229)*($E$326))</f>
        <v/>
      </c>
      <c r="BL338" s="505">
        <f>((BL229)*($E$326))</f>
        <v/>
      </c>
      <c r="BM338" s="505">
        <f>((BM229)*($E$326))</f>
        <v/>
      </c>
      <c r="BN338" s="505">
        <f>((BN229)*($E$326))</f>
        <v/>
      </c>
    </row>
    <row r="339" ht="15" customHeight="1" s="1883">
      <c r="D339" s="149" t="inlineStr">
        <is>
          <t>Month 7</t>
        </is>
      </c>
      <c r="E339" s="383" t="n"/>
      <c r="F339" s="383" t="n"/>
      <c r="G339" s="609" t="n"/>
      <c r="H339" s="609" t="n"/>
      <c r="I339" s="609" t="n"/>
      <c r="J339" s="609" t="n"/>
      <c r="K339" s="609" t="n"/>
      <c r="L339" s="609" t="n"/>
      <c r="M339" s="609" t="n"/>
      <c r="N339" s="609" t="n"/>
      <c r="O339" s="481">
        <f>((O230)*($E$322))</f>
        <v/>
      </c>
      <c r="P339" s="481">
        <f>((P230)*($E$322))</f>
        <v/>
      </c>
      <c r="Q339" s="481">
        <f>((Q230)*($E$322))</f>
        <v/>
      </c>
      <c r="R339" s="481">
        <f>((R230)*($E$322))</f>
        <v/>
      </c>
      <c r="S339" s="506">
        <f>((S230)*($E$323))</f>
        <v/>
      </c>
      <c r="T339" s="505">
        <f>((T230)*($E$323))</f>
        <v/>
      </c>
      <c r="U339" s="505">
        <f>((U230)*($E$323))</f>
        <v/>
      </c>
      <c r="V339" s="505">
        <f>((V230)*($E$323))</f>
        <v/>
      </c>
      <c r="W339" s="505">
        <f>((W230)*($E$323))</f>
        <v/>
      </c>
      <c r="X339" s="505">
        <f>((X230)*($E$323))</f>
        <v/>
      </c>
      <c r="Y339" s="505">
        <f>((Y230)*($E$323))</f>
        <v/>
      </c>
      <c r="Z339" s="505">
        <f>((Z230)*($E$323))</f>
        <v/>
      </c>
      <c r="AA339" s="505">
        <f>((AA230)*($E$323))</f>
        <v/>
      </c>
      <c r="AB339" s="505">
        <f>((AB230)*($E$323))</f>
        <v/>
      </c>
      <c r="AC339" s="505">
        <f>((AC230)*($E$323))</f>
        <v/>
      </c>
      <c r="AD339" s="505">
        <f>((AD230)*($E$323))</f>
        <v/>
      </c>
      <c r="AE339" s="506">
        <f>((AE230)*($E$324))</f>
        <v/>
      </c>
      <c r="AF339" s="505">
        <f>((AF230)*($E$324))</f>
        <v/>
      </c>
      <c r="AG339" s="505">
        <f>((AG230)*($E$324))</f>
        <v/>
      </c>
      <c r="AH339" s="505">
        <f>((AH230)*($E$324))</f>
        <v/>
      </c>
      <c r="AI339" s="505">
        <f>((AI230)*($E$324))</f>
        <v/>
      </c>
      <c r="AJ339" s="505">
        <f>((AJ230)*($E$324))</f>
        <v/>
      </c>
      <c r="AK339" s="505">
        <f>((AK230)*($E$324))</f>
        <v/>
      </c>
      <c r="AL339" s="505">
        <f>((AL230)*($E$324))</f>
        <v/>
      </c>
      <c r="AM339" s="505">
        <f>((AM230)*($E$324))</f>
        <v/>
      </c>
      <c r="AN339" s="505">
        <f>((AN230)*($E$324))</f>
        <v/>
      </c>
      <c r="AO339" s="505">
        <f>((AO230)*($E$324))</f>
        <v/>
      </c>
      <c r="AP339" s="505">
        <f>((AP230)*($E$324))</f>
        <v/>
      </c>
      <c r="AQ339" s="506">
        <f>((AQ230)*($E$325))</f>
        <v/>
      </c>
      <c r="AR339" s="505">
        <f>((AR230)*($E$325))</f>
        <v/>
      </c>
      <c r="AS339" s="505">
        <f>((AS230)*($E$325))</f>
        <v/>
      </c>
      <c r="AT339" s="505">
        <f>((AT230)*($E$325))</f>
        <v/>
      </c>
      <c r="AU339" s="505">
        <f>((AU230)*($E$325))</f>
        <v/>
      </c>
      <c r="AV339" s="505">
        <f>((AV230)*($E$325))</f>
        <v/>
      </c>
      <c r="AW339" s="505">
        <f>((AW230)*($E$325))</f>
        <v/>
      </c>
      <c r="AX339" s="505">
        <f>((AX230)*($E$325))</f>
        <v/>
      </c>
      <c r="AY339" s="505">
        <f>((AY230)*($E$325))</f>
        <v/>
      </c>
      <c r="AZ339" s="505">
        <f>((AZ230)*($E$325))</f>
        <v/>
      </c>
      <c r="BA339" s="505">
        <f>((BA230)*($E$325))</f>
        <v/>
      </c>
      <c r="BB339" s="505">
        <f>((BB230)*($E$325))</f>
        <v/>
      </c>
      <c r="BC339" s="506">
        <f>((BC230)*($E$326))</f>
        <v/>
      </c>
      <c r="BD339" s="505">
        <f>((BD230)*($E$326))</f>
        <v/>
      </c>
      <c r="BE339" s="505">
        <f>((BE230)*($E$326))</f>
        <v/>
      </c>
      <c r="BF339" s="505">
        <f>((BF230)*($E$326))</f>
        <v/>
      </c>
      <c r="BG339" s="505">
        <f>((BG230)*($E$326))</f>
        <v/>
      </c>
      <c r="BH339" s="505">
        <f>((BH230)*($E$326))</f>
        <v/>
      </c>
      <c r="BI339" s="505">
        <f>((BI230)*($E$326))</f>
        <v/>
      </c>
      <c r="BJ339" s="505">
        <f>((BJ230)*($E$326))</f>
        <v/>
      </c>
      <c r="BK339" s="505">
        <f>((BK230)*($E$326))</f>
        <v/>
      </c>
      <c r="BL339" s="505">
        <f>((BL230)*($E$326))</f>
        <v/>
      </c>
      <c r="BM339" s="505">
        <f>((BM230)*($E$326))</f>
        <v/>
      </c>
      <c r="BN339" s="505">
        <f>((BN230)*($E$326))</f>
        <v/>
      </c>
    </row>
    <row r="340" ht="15" customHeight="1" s="1883">
      <c r="D340" s="149" t="inlineStr">
        <is>
          <t>Month 8</t>
        </is>
      </c>
      <c r="E340" s="383" t="n"/>
      <c r="F340" s="383" t="n"/>
      <c r="G340" s="609" t="n"/>
      <c r="H340" s="609" t="n"/>
      <c r="I340" s="609" t="n"/>
      <c r="J340" s="609" t="n"/>
      <c r="K340" s="609" t="n"/>
      <c r="L340" s="609" t="n"/>
      <c r="M340" s="609" t="n"/>
      <c r="N340" s="609" t="n"/>
      <c r="O340" s="609" t="n"/>
      <c r="P340" s="481">
        <f>((P231)*($E$322))</f>
        <v/>
      </c>
      <c r="Q340" s="481">
        <f>((Q231)*($E$322))</f>
        <v/>
      </c>
      <c r="R340" s="481">
        <f>((R231)*($E$322))</f>
        <v/>
      </c>
      <c r="S340" s="506">
        <f>((S231)*($E$323))</f>
        <v/>
      </c>
      <c r="T340" s="505">
        <f>((T231)*($E$323))</f>
        <v/>
      </c>
      <c r="U340" s="505">
        <f>((U231)*($E$323))</f>
        <v/>
      </c>
      <c r="V340" s="505">
        <f>((V231)*($E$323))</f>
        <v/>
      </c>
      <c r="W340" s="505">
        <f>((W231)*($E$323))</f>
        <v/>
      </c>
      <c r="X340" s="505">
        <f>((X231)*($E$323))</f>
        <v/>
      </c>
      <c r="Y340" s="505">
        <f>((Y231)*($E$323))</f>
        <v/>
      </c>
      <c r="Z340" s="505">
        <f>((Z231)*($E$323))</f>
        <v/>
      </c>
      <c r="AA340" s="505">
        <f>((AA231)*($E$323))</f>
        <v/>
      </c>
      <c r="AB340" s="505">
        <f>((AB231)*($E$323))</f>
        <v/>
      </c>
      <c r="AC340" s="505">
        <f>((AC231)*($E$323))</f>
        <v/>
      </c>
      <c r="AD340" s="505">
        <f>((AD231)*($E$323))</f>
        <v/>
      </c>
      <c r="AE340" s="506">
        <f>((AE231)*($E$324))</f>
        <v/>
      </c>
      <c r="AF340" s="505">
        <f>((AF231)*($E$324))</f>
        <v/>
      </c>
      <c r="AG340" s="505">
        <f>((AG231)*($E$324))</f>
        <v/>
      </c>
      <c r="AH340" s="505">
        <f>((AH231)*($E$324))</f>
        <v/>
      </c>
      <c r="AI340" s="505">
        <f>((AI231)*($E$324))</f>
        <v/>
      </c>
      <c r="AJ340" s="505">
        <f>((AJ231)*($E$324))</f>
        <v/>
      </c>
      <c r="AK340" s="505">
        <f>((AK231)*($E$324))</f>
        <v/>
      </c>
      <c r="AL340" s="505">
        <f>((AL231)*($E$324))</f>
        <v/>
      </c>
      <c r="AM340" s="505">
        <f>((AM231)*($E$324))</f>
        <v/>
      </c>
      <c r="AN340" s="505">
        <f>((AN231)*($E$324))</f>
        <v/>
      </c>
      <c r="AO340" s="505">
        <f>((AO231)*($E$324))</f>
        <v/>
      </c>
      <c r="AP340" s="505">
        <f>((AP231)*($E$324))</f>
        <v/>
      </c>
      <c r="AQ340" s="506">
        <f>((AQ231)*($E$325))</f>
        <v/>
      </c>
      <c r="AR340" s="505">
        <f>((AR231)*($E$325))</f>
        <v/>
      </c>
      <c r="AS340" s="505">
        <f>((AS231)*($E$325))</f>
        <v/>
      </c>
      <c r="AT340" s="505">
        <f>((AT231)*($E$325))</f>
        <v/>
      </c>
      <c r="AU340" s="505">
        <f>((AU231)*($E$325))</f>
        <v/>
      </c>
      <c r="AV340" s="505">
        <f>((AV231)*($E$325))</f>
        <v/>
      </c>
      <c r="AW340" s="505">
        <f>((AW231)*($E$325))</f>
        <v/>
      </c>
      <c r="AX340" s="505">
        <f>((AX231)*($E$325))</f>
        <v/>
      </c>
      <c r="AY340" s="505">
        <f>((AY231)*($E$325))</f>
        <v/>
      </c>
      <c r="AZ340" s="505">
        <f>((AZ231)*($E$325))</f>
        <v/>
      </c>
      <c r="BA340" s="505">
        <f>((BA231)*($E$325))</f>
        <v/>
      </c>
      <c r="BB340" s="505">
        <f>((BB231)*($E$325))</f>
        <v/>
      </c>
      <c r="BC340" s="506">
        <f>((BC231)*($E$326))</f>
        <v/>
      </c>
      <c r="BD340" s="505">
        <f>((BD231)*($E$326))</f>
        <v/>
      </c>
      <c r="BE340" s="505">
        <f>((BE231)*($E$326))</f>
        <v/>
      </c>
      <c r="BF340" s="505">
        <f>((BF231)*($E$326))</f>
        <v/>
      </c>
      <c r="BG340" s="505">
        <f>((BG231)*($E$326))</f>
        <v/>
      </c>
      <c r="BH340" s="505">
        <f>((BH231)*($E$326))</f>
        <v/>
      </c>
      <c r="BI340" s="505">
        <f>((BI231)*($E$326))</f>
        <v/>
      </c>
      <c r="BJ340" s="505">
        <f>((BJ231)*($E$326))</f>
        <v/>
      </c>
      <c r="BK340" s="505">
        <f>((BK231)*($E$326))</f>
        <v/>
      </c>
      <c r="BL340" s="505">
        <f>((BL231)*($E$326))</f>
        <v/>
      </c>
      <c r="BM340" s="505">
        <f>((BM231)*($E$326))</f>
        <v/>
      </c>
      <c r="BN340" s="505">
        <f>((BN231)*($E$326))</f>
        <v/>
      </c>
    </row>
    <row r="341" ht="15" customHeight="1" s="1883">
      <c r="D341" s="149" t="inlineStr">
        <is>
          <t>Month 9</t>
        </is>
      </c>
      <c r="E341" s="383" t="n"/>
      <c r="F341" s="383" t="n"/>
      <c r="G341" s="609" t="n"/>
      <c r="H341" s="609" t="n"/>
      <c r="I341" s="609" t="n"/>
      <c r="J341" s="609" t="n"/>
      <c r="K341" s="609" t="n"/>
      <c r="L341" s="609" t="n"/>
      <c r="M341" s="609" t="n"/>
      <c r="N341" s="609" t="n"/>
      <c r="O341" s="609" t="n"/>
      <c r="P341" s="609" t="n"/>
      <c r="Q341" s="481">
        <f>((Q232)*($E$322))</f>
        <v/>
      </c>
      <c r="R341" s="481">
        <f>((R232)*($E$322))</f>
        <v/>
      </c>
      <c r="S341" s="506">
        <f>((S232)*($E$323))</f>
        <v/>
      </c>
      <c r="T341" s="505">
        <f>((T232)*($E$323))</f>
        <v/>
      </c>
      <c r="U341" s="505">
        <f>((U232)*($E$323))</f>
        <v/>
      </c>
      <c r="V341" s="505">
        <f>((V232)*($E$323))</f>
        <v/>
      </c>
      <c r="W341" s="505">
        <f>((W232)*($E$323))</f>
        <v/>
      </c>
      <c r="X341" s="505">
        <f>((X232)*($E$323))</f>
        <v/>
      </c>
      <c r="Y341" s="505">
        <f>((Y232)*($E$323))</f>
        <v/>
      </c>
      <c r="Z341" s="505">
        <f>((Z232)*($E$323))</f>
        <v/>
      </c>
      <c r="AA341" s="505">
        <f>((AA232)*($E$323))</f>
        <v/>
      </c>
      <c r="AB341" s="505">
        <f>((AB232)*($E$323))</f>
        <v/>
      </c>
      <c r="AC341" s="505">
        <f>((AC232)*($E$323))</f>
        <v/>
      </c>
      <c r="AD341" s="505">
        <f>((AD232)*($E$323))</f>
        <v/>
      </c>
      <c r="AE341" s="506">
        <f>((AE232)*($E$324))</f>
        <v/>
      </c>
      <c r="AF341" s="505">
        <f>((AF232)*($E$324))</f>
        <v/>
      </c>
      <c r="AG341" s="505">
        <f>((AG232)*($E$324))</f>
        <v/>
      </c>
      <c r="AH341" s="505">
        <f>((AH232)*($E$324))</f>
        <v/>
      </c>
      <c r="AI341" s="505">
        <f>((AI232)*($E$324))</f>
        <v/>
      </c>
      <c r="AJ341" s="505">
        <f>((AJ232)*($E$324))</f>
        <v/>
      </c>
      <c r="AK341" s="505">
        <f>((AK232)*($E$324))</f>
        <v/>
      </c>
      <c r="AL341" s="505">
        <f>((AL232)*($E$324))</f>
        <v/>
      </c>
      <c r="AM341" s="505">
        <f>((AM232)*($E$324))</f>
        <v/>
      </c>
      <c r="AN341" s="505">
        <f>((AN232)*($E$324))</f>
        <v/>
      </c>
      <c r="AO341" s="505">
        <f>((AO232)*($E$324))</f>
        <v/>
      </c>
      <c r="AP341" s="505">
        <f>((AP232)*($E$324))</f>
        <v/>
      </c>
      <c r="AQ341" s="506">
        <f>((AQ232)*($E$325))</f>
        <v/>
      </c>
      <c r="AR341" s="505">
        <f>((AR232)*($E$325))</f>
        <v/>
      </c>
      <c r="AS341" s="505">
        <f>((AS232)*($E$325))</f>
        <v/>
      </c>
      <c r="AT341" s="505">
        <f>((AT232)*($E$325))</f>
        <v/>
      </c>
      <c r="AU341" s="505">
        <f>((AU232)*($E$325))</f>
        <v/>
      </c>
      <c r="AV341" s="505">
        <f>((AV232)*($E$325))</f>
        <v/>
      </c>
      <c r="AW341" s="505">
        <f>((AW232)*($E$325))</f>
        <v/>
      </c>
      <c r="AX341" s="505">
        <f>((AX232)*($E$325))</f>
        <v/>
      </c>
      <c r="AY341" s="505">
        <f>((AY232)*($E$325))</f>
        <v/>
      </c>
      <c r="AZ341" s="505">
        <f>((AZ232)*($E$325))</f>
        <v/>
      </c>
      <c r="BA341" s="505">
        <f>((BA232)*($E$325))</f>
        <v/>
      </c>
      <c r="BB341" s="505">
        <f>((BB232)*($E$325))</f>
        <v/>
      </c>
      <c r="BC341" s="506">
        <f>((BC232)*($E$326))</f>
        <v/>
      </c>
      <c r="BD341" s="505">
        <f>((BD232)*($E$326))</f>
        <v/>
      </c>
      <c r="BE341" s="505">
        <f>((BE232)*($E$326))</f>
        <v/>
      </c>
      <c r="BF341" s="505">
        <f>((BF232)*($E$326))</f>
        <v/>
      </c>
      <c r="BG341" s="505">
        <f>((BG232)*($E$326))</f>
        <v/>
      </c>
      <c r="BH341" s="505">
        <f>((BH232)*($E$326))</f>
        <v/>
      </c>
      <c r="BI341" s="505">
        <f>((BI232)*($E$326))</f>
        <v/>
      </c>
      <c r="BJ341" s="505">
        <f>((BJ232)*($E$326))</f>
        <v/>
      </c>
      <c r="BK341" s="505">
        <f>((BK232)*($E$326))</f>
        <v/>
      </c>
      <c r="BL341" s="505">
        <f>((BL232)*($E$326))</f>
        <v/>
      </c>
      <c r="BM341" s="505">
        <f>((BM232)*($E$326))</f>
        <v/>
      </c>
      <c r="BN341" s="505">
        <f>((BN232)*($E$326))</f>
        <v/>
      </c>
    </row>
    <row r="342" ht="15" customHeight="1" s="1883">
      <c r="D342" s="149" t="inlineStr">
        <is>
          <t>Month 10</t>
        </is>
      </c>
      <c r="E342" s="383" t="n"/>
      <c r="F342" s="383" t="n"/>
      <c r="G342" s="609" t="n"/>
      <c r="H342" s="609" t="n"/>
      <c r="I342" s="609" t="n"/>
      <c r="J342" s="609" t="n"/>
      <c r="K342" s="609" t="n"/>
      <c r="L342" s="609" t="n"/>
      <c r="M342" s="609" t="n"/>
      <c r="N342" s="609" t="n"/>
      <c r="O342" s="609" t="n"/>
      <c r="P342" s="609" t="n"/>
      <c r="Q342" s="609" t="n"/>
      <c r="R342" s="481">
        <f>((R233)*($E$322))</f>
        <v/>
      </c>
      <c r="S342" s="506">
        <f>((S233)*($E$323))</f>
        <v/>
      </c>
      <c r="T342" s="505">
        <f>((T233)*($E$323))</f>
        <v/>
      </c>
      <c r="U342" s="505">
        <f>((U233)*($E$323))</f>
        <v/>
      </c>
      <c r="V342" s="505">
        <f>((V233)*($E$323))</f>
        <v/>
      </c>
      <c r="W342" s="505">
        <f>((W233)*($E$323))</f>
        <v/>
      </c>
      <c r="X342" s="505">
        <f>((X233)*($E$323))</f>
        <v/>
      </c>
      <c r="Y342" s="505">
        <f>((Y233)*($E$323))</f>
        <v/>
      </c>
      <c r="Z342" s="505">
        <f>((Z233)*($E$323))</f>
        <v/>
      </c>
      <c r="AA342" s="505">
        <f>((AA233)*($E$323))</f>
        <v/>
      </c>
      <c r="AB342" s="505">
        <f>((AB233)*($E$323))</f>
        <v/>
      </c>
      <c r="AC342" s="505">
        <f>((AC233)*($E$323))</f>
        <v/>
      </c>
      <c r="AD342" s="505">
        <f>((AD233)*($E$323))</f>
        <v/>
      </c>
      <c r="AE342" s="506">
        <f>((AE233)*($E$324))</f>
        <v/>
      </c>
      <c r="AF342" s="505">
        <f>((AF233)*($E$324))</f>
        <v/>
      </c>
      <c r="AG342" s="505">
        <f>((AG233)*($E$324))</f>
        <v/>
      </c>
      <c r="AH342" s="505">
        <f>((AH233)*($E$324))</f>
        <v/>
      </c>
      <c r="AI342" s="505">
        <f>((AI233)*($E$324))</f>
        <v/>
      </c>
      <c r="AJ342" s="505">
        <f>((AJ233)*($E$324))</f>
        <v/>
      </c>
      <c r="AK342" s="505">
        <f>((AK233)*($E$324))</f>
        <v/>
      </c>
      <c r="AL342" s="505">
        <f>((AL233)*($E$324))</f>
        <v/>
      </c>
      <c r="AM342" s="505">
        <f>((AM233)*($E$324))</f>
        <v/>
      </c>
      <c r="AN342" s="505">
        <f>((AN233)*($E$324))</f>
        <v/>
      </c>
      <c r="AO342" s="505">
        <f>((AO233)*($E$324))</f>
        <v/>
      </c>
      <c r="AP342" s="505">
        <f>((AP233)*($E$324))</f>
        <v/>
      </c>
      <c r="AQ342" s="506">
        <f>((AQ233)*($E$325))</f>
        <v/>
      </c>
      <c r="AR342" s="505">
        <f>((AR233)*($E$325))</f>
        <v/>
      </c>
      <c r="AS342" s="505">
        <f>((AS233)*($E$325))</f>
        <v/>
      </c>
      <c r="AT342" s="505">
        <f>((AT233)*($E$325))</f>
        <v/>
      </c>
      <c r="AU342" s="505">
        <f>((AU233)*($E$325))</f>
        <v/>
      </c>
      <c r="AV342" s="505">
        <f>((AV233)*($E$325))</f>
        <v/>
      </c>
      <c r="AW342" s="505">
        <f>((AW233)*($E$325))</f>
        <v/>
      </c>
      <c r="AX342" s="505">
        <f>((AX233)*($E$325))</f>
        <v/>
      </c>
      <c r="AY342" s="505">
        <f>((AY233)*($E$325))</f>
        <v/>
      </c>
      <c r="AZ342" s="505">
        <f>((AZ233)*($E$325))</f>
        <v/>
      </c>
      <c r="BA342" s="505">
        <f>((BA233)*($E$325))</f>
        <v/>
      </c>
      <c r="BB342" s="505">
        <f>((BB233)*($E$325))</f>
        <v/>
      </c>
      <c r="BC342" s="506">
        <f>((BC233)*($E$326))</f>
        <v/>
      </c>
      <c r="BD342" s="505">
        <f>((BD233)*($E$326))</f>
        <v/>
      </c>
      <c r="BE342" s="505">
        <f>((BE233)*($E$326))</f>
        <v/>
      </c>
      <c r="BF342" s="505">
        <f>((BF233)*($E$326))</f>
        <v/>
      </c>
      <c r="BG342" s="505">
        <f>((BG233)*($E$326))</f>
        <v/>
      </c>
      <c r="BH342" s="505">
        <f>((BH233)*($E$326))</f>
        <v/>
      </c>
      <c r="BI342" s="505">
        <f>((BI233)*($E$326))</f>
        <v/>
      </c>
      <c r="BJ342" s="505">
        <f>((BJ233)*($E$326))</f>
        <v/>
      </c>
      <c r="BK342" s="505">
        <f>((BK233)*($E$326))</f>
        <v/>
      </c>
      <c r="BL342" s="505">
        <f>((BL233)*($E$326))</f>
        <v/>
      </c>
      <c r="BM342" s="505">
        <f>((BM233)*($E$326))</f>
        <v/>
      </c>
      <c r="BN342" s="505">
        <f>((BN233)*($E$326))</f>
        <v/>
      </c>
    </row>
    <row r="343" ht="15" customHeight="1" s="1883">
      <c r="D343" s="149" t="inlineStr">
        <is>
          <t>Month 11</t>
        </is>
      </c>
      <c r="E343" s="383" t="n"/>
      <c r="F343" s="383" t="n"/>
      <c r="G343" s="609" t="n"/>
      <c r="H343" s="609" t="n"/>
      <c r="I343" s="609" t="n"/>
      <c r="J343" s="609" t="n"/>
      <c r="K343" s="609" t="n"/>
      <c r="L343" s="609" t="n"/>
      <c r="M343" s="609" t="n"/>
      <c r="N343" s="609" t="n"/>
      <c r="O343" s="609" t="n"/>
      <c r="P343" s="609" t="n"/>
      <c r="Q343" s="609" t="n"/>
      <c r="R343" s="609" t="n"/>
      <c r="S343" s="506">
        <f>((S234)*($E$323))</f>
        <v/>
      </c>
      <c r="T343" s="505">
        <f>((T234)*($E$323))</f>
        <v/>
      </c>
      <c r="U343" s="505">
        <f>((U234)*($E$323))</f>
        <v/>
      </c>
      <c r="V343" s="505">
        <f>((V234)*($E$323))</f>
        <v/>
      </c>
      <c r="W343" s="505">
        <f>((W234)*($E$323))</f>
        <v/>
      </c>
      <c r="X343" s="505">
        <f>((X234)*($E$323))</f>
        <v/>
      </c>
      <c r="Y343" s="505">
        <f>((Y234)*($E$323))</f>
        <v/>
      </c>
      <c r="Z343" s="505">
        <f>((Z234)*($E$323))</f>
        <v/>
      </c>
      <c r="AA343" s="505">
        <f>((AA234)*($E$323))</f>
        <v/>
      </c>
      <c r="AB343" s="505">
        <f>((AB234)*($E$323))</f>
        <v/>
      </c>
      <c r="AC343" s="505">
        <f>((AC234)*($E$323))</f>
        <v/>
      </c>
      <c r="AD343" s="505">
        <f>((AD234)*($E$323))</f>
        <v/>
      </c>
      <c r="AE343" s="506">
        <f>((AE234)*($E$324))</f>
        <v/>
      </c>
      <c r="AF343" s="505">
        <f>((AF234)*($E$324))</f>
        <v/>
      </c>
      <c r="AG343" s="505">
        <f>((AG234)*($E$324))</f>
        <v/>
      </c>
      <c r="AH343" s="505">
        <f>((AH234)*($E$324))</f>
        <v/>
      </c>
      <c r="AI343" s="505">
        <f>((AI234)*($E$324))</f>
        <v/>
      </c>
      <c r="AJ343" s="505">
        <f>((AJ234)*($E$324))</f>
        <v/>
      </c>
      <c r="AK343" s="505">
        <f>((AK234)*($E$324))</f>
        <v/>
      </c>
      <c r="AL343" s="505">
        <f>((AL234)*($E$324))</f>
        <v/>
      </c>
      <c r="AM343" s="505">
        <f>((AM234)*($E$324))</f>
        <v/>
      </c>
      <c r="AN343" s="505">
        <f>((AN234)*($E$324))</f>
        <v/>
      </c>
      <c r="AO343" s="505">
        <f>((AO234)*($E$324))</f>
        <v/>
      </c>
      <c r="AP343" s="505">
        <f>((AP234)*($E$324))</f>
        <v/>
      </c>
      <c r="AQ343" s="506">
        <f>((AQ234)*($E$325))</f>
        <v/>
      </c>
      <c r="AR343" s="505">
        <f>((AR234)*($E$325))</f>
        <v/>
      </c>
      <c r="AS343" s="505">
        <f>((AS234)*($E$325))</f>
        <v/>
      </c>
      <c r="AT343" s="505">
        <f>((AT234)*($E$325))</f>
        <v/>
      </c>
      <c r="AU343" s="505">
        <f>((AU234)*($E$325))</f>
        <v/>
      </c>
      <c r="AV343" s="505">
        <f>((AV234)*($E$325))</f>
        <v/>
      </c>
      <c r="AW343" s="505">
        <f>((AW234)*($E$325))</f>
        <v/>
      </c>
      <c r="AX343" s="505">
        <f>((AX234)*($E$325))</f>
        <v/>
      </c>
      <c r="AY343" s="505">
        <f>((AY234)*($E$325))</f>
        <v/>
      </c>
      <c r="AZ343" s="505">
        <f>((AZ234)*($E$325))</f>
        <v/>
      </c>
      <c r="BA343" s="505">
        <f>((BA234)*($E$325))</f>
        <v/>
      </c>
      <c r="BB343" s="505">
        <f>((BB234)*($E$325))</f>
        <v/>
      </c>
      <c r="BC343" s="506">
        <f>((BC234)*($E$326))</f>
        <v/>
      </c>
      <c r="BD343" s="505">
        <f>((BD234)*($E$326))</f>
        <v/>
      </c>
      <c r="BE343" s="505">
        <f>((BE234)*($E$326))</f>
        <v/>
      </c>
      <c r="BF343" s="505">
        <f>((BF234)*($E$326))</f>
        <v/>
      </c>
      <c r="BG343" s="505">
        <f>((BG234)*($E$326))</f>
        <v/>
      </c>
      <c r="BH343" s="505">
        <f>((BH234)*($E$326))</f>
        <v/>
      </c>
      <c r="BI343" s="505">
        <f>((BI234)*($E$326))</f>
        <v/>
      </c>
      <c r="BJ343" s="505">
        <f>((BJ234)*($E$326))</f>
        <v/>
      </c>
      <c r="BK343" s="505">
        <f>((BK234)*($E$326))</f>
        <v/>
      </c>
      <c r="BL343" s="505">
        <f>((BL234)*($E$326))</f>
        <v/>
      </c>
      <c r="BM343" s="505">
        <f>((BM234)*($E$326))</f>
        <v/>
      </c>
      <c r="BN343" s="505">
        <f>((BN234)*($E$326))</f>
        <v/>
      </c>
    </row>
    <row r="344" ht="15" customHeight="1" s="1883">
      <c r="D344" s="149" t="inlineStr">
        <is>
          <t>Month 12</t>
        </is>
      </c>
      <c r="E344" s="383" t="n"/>
      <c r="F344" s="383" t="n"/>
      <c r="G344" s="609" t="n"/>
      <c r="H344" s="609" t="n"/>
      <c r="I344" s="609" t="n"/>
      <c r="J344" s="609" t="n"/>
      <c r="K344" s="609" t="n"/>
      <c r="L344" s="609" t="n"/>
      <c r="M344" s="609" t="n"/>
      <c r="N344" s="609" t="n"/>
      <c r="O344" s="609" t="n"/>
      <c r="P344" s="609" t="n"/>
      <c r="Q344" s="609" t="n"/>
      <c r="R344" s="609" t="n"/>
      <c r="S344" s="610" t="n"/>
      <c r="T344" s="505">
        <f>((T235)*($E$323))</f>
        <v/>
      </c>
      <c r="U344" s="505">
        <f>((U235)*($E$323))</f>
        <v/>
      </c>
      <c r="V344" s="505">
        <f>((V235)*($E$323))</f>
        <v/>
      </c>
      <c r="W344" s="505">
        <f>((W235)*($E$323))</f>
        <v/>
      </c>
      <c r="X344" s="505">
        <f>((X235)*($E$323))</f>
        <v/>
      </c>
      <c r="Y344" s="505">
        <f>((Y235)*($E$323))</f>
        <v/>
      </c>
      <c r="Z344" s="505">
        <f>((Z235)*($E$323))</f>
        <v/>
      </c>
      <c r="AA344" s="505">
        <f>((AA235)*($E$323))</f>
        <v/>
      </c>
      <c r="AB344" s="505">
        <f>((AB235)*($E$323))</f>
        <v/>
      </c>
      <c r="AC344" s="505">
        <f>((AC235)*($E$323))</f>
        <v/>
      </c>
      <c r="AD344" s="505">
        <f>((AD235)*($E$323))</f>
        <v/>
      </c>
      <c r="AE344" s="506">
        <f>((AE235)*($E$324))</f>
        <v/>
      </c>
      <c r="AF344" s="505">
        <f>((AF235)*($E$324))</f>
        <v/>
      </c>
      <c r="AG344" s="505">
        <f>((AG235)*($E$324))</f>
        <v/>
      </c>
      <c r="AH344" s="505">
        <f>((AH235)*($E$324))</f>
        <v/>
      </c>
      <c r="AI344" s="505">
        <f>((AI235)*($E$324))</f>
        <v/>
      </c>
      <c r="AJ344" s="505">
        <f>((AJ235)*($E$324))</f>
        <v/>
      </c>
      <c r="AK344" s="505">
        <f>((AK235)*($E$324))</f>
        <v/>
      </c>
      <c r="AL344" s="505">
        <f>((AL235)*($E$324))</f>
        <v/>
      </c>
      <c r="AM344" s="505">
        <f>((AM235)*($E$324))</f>
        <v/>
      </c>
      <c r="AN344" s="505">
        <f>((AN235)*($E$324))</f>
        <v/>
      </c>
      <c r="AO344" s="505">
        <f>((AO235)*($E$324))</f>
        <v/>
      </c>
      <c r="AP344" s="505">
        <f>((AP235)*($E$324))</f>
        <v/>
      </c>
      <c r="AQ344" s="506">
        <f>((AQ235)*($E$325))</f>
        <v/>
      </c>
      <c r="AR344" s="505">
        <f>((AR235)*($E$325))</f>
        <v/>
      </c>
      <c r="AS344" s="505">
        <f>((AS235)*($E$325))</f>
        <v/>
      </c>
      <c r="AT344" s="505">
        <f>((AT235)*($E$325))</f>
        <v/>
      </c>
      <c r="AU344" s="505">
        <f>((AU235)*($E$325))</f>
        <v/>
      </c>
      <c r="AV344" s="505">
        <f>((AV235)*($E$325))</f>
        <v/>
      </c>
      <c r="AW344" s="505">
        <f>((AW235)*($E$325))</f>
        <v/>
      </c>
      <c r="AX344" s="505">
        <f>((AX235)*($E$325))</f>
        <v/>
      </c>
      <c r="AY344" s="505">
        <f>((AY235)*($E$325))</f>
        <v/>
      </c>
      <c r="AZ344" s="505">
        <f>((AZ235)*($E$325))</f>
        <v/>
      </c>
      <c r="BA344" s="505">
        <f>((BA235)*($E$325))</f>
        <v/>
      </c>
      <c r="BB344" s="505">
        <f>((BB235)*($E$325))</f>
        <v/>
      </c>
      <c r="BC344" s="506">
        <f>((BC235)*($E$326))</f>
        <v/>
      </c>
      <c r="BD344" s="505">
        <f>((BD235)*($E$326))</f>
        <v/>
      </c>
      <c r="BE344" s="505">
        <f>((BE235)*($E$326))</f>
        <v/>
      </c>
      <c r="BF344" s="505">
        <f>((BF235)*($E$326))</f>
        <v/>
      </c>
      <c r="BG344" s="505">
        <f>((BG235)*($E$326))</f>
        <v/>
      </c>
      <c r="BH344" s="505">
        <f>((BH235)*($E$326))</f>
        <v/>
      </c>
      <c r="BI344" s="505">
        <f>((BI235)*($E$326))</f>
        <v/>
      </c>
      <c r="BJ344" s="505">
        <f>((BJ235)*($E$326))</f>
        <v/>
      </c>
      <c r="BK344" s="505">
        <f>((BK235)*($E$326))</f>
        <v/>
      </c>
      <c r="BL344" s="505">
        <f>((BL235)*($E$326))</f>
        <v/>
      </c>
      <c r="BM344" s="505">
        <f>((BM235)*($E$326))</f>
        <v/>
      </c>
      <c r="BN344" s="505">
        <f>((BN235)*($E$326))</f>
        <v/>
      </c>
    </row>
    <row r="345" ht="15" customHeight="1" s="1883">
      <c r="D345" s="149" t="inlineStr">
        <is>
          <t>Month 13</t>
        </is>
      </c>
      <c r="E345" s="383" t="n"/>
      <c r="F345" s="383" t="n"/>
      <c r="G345" s="609" t="n"/>
      <c r="H345" s="609" t="n"/>
      <c r="I345" s="609" t="n"/>
      <c r="J345" s="609" t="n"/>
      <c r="K345" s="609" t="n"/>
      <c r="L345" s="609" t="n"/>
      <c r="M345" s="609" t="n"/>
      <c r="N345" s="609" t="n"/>
      <c r="O345" s="609" t="n"/>
      <c r="P345" s="609" t="n"/>
      <c r="Q345" s="609" t="n"/>
      <c r="R345" s="609" t="n"/>
      <c r="S345" s="610" t="n"/>
      <c r="T345" s="609" t="n"/>
      <c r="U345" s="505">
        <f>((U236)*($E$323))</f>
        <v/>
      </c>
      <c r="V345" s="505">
        <f>((V236)*($E$323))</f>
        <v/>
      </c>
      <c r="W345" s="505">
        <f>((W236)*($E$323))</f>
        <v/>
      </c>
      <c r="X345" s="505">
        <f>((X236)*($E$323))</f>
        <v/>
      </c>
      <c r="Y345" s="505">
        <f>((Y236)*($E$323))</f>
        <v/>
      </c>
      <c r="Z345" s="505">
        <f>((Z236)*($E$323))</f>
        <v/>
      </c>
      <c r="AA345" s="505">
        <f>((AA236)*($E$323))</f>
        <v/>
      </c>
      <c r="AB345" s="505">
        <f>((AB236)*($E$323))</f>
        <v/>
      </c>
      <c r="AC345" s="505">
        <f>((AC236)*($E$323))</f>
        <v/>
      </c>
      <c r="AD345" s="505">
        <f>((AD236)*($E$323))</f>
        <v/>
      </c>
      <c r="AE345" s="506">
        <f>((AE236)*($E$324))</f>
        <v/>
      </c>
      <c r="AF345" s="505">
        <f>((AF236)*($E$324))</f>
        <v/>
      </c>
      <c r="AG345" s="505">
        <f>((AG236)*($E$324))</f>
        <v/>
      </c>
      <c r="AH345" s="505">
        <f>((AH236)*($E$324))</f>
        <v/>
      </c>
      <c r="AI345" s="505">
        <f>((AI236)*($E$324))</f>
        <v/>
      </c>
      <c r="AJ345" s="505">
        <f>((AJ236)*($E$324))</f>
        <v/>
      </c>
      <c r="AK345" s="505">
        <f>((AK236)*($E$324))</f>
        <v/>
      </c>
      <c r="AL345" s="505">
        <f>((AL236)*($E$324))</f>
        <v/>
      </c>
      <c r="AM345" s="505">
        <f>((AM236)*($E$324))</f>
        <v/>
      </c>
      <c r="AN345" s="505">
        <f>((AN236)*($E$324))</f>
        <v/>
      </c>
      <c r="AO345" s="505">
        <f>((AO236)*($E$324))</f>
        <v/>
      </c>
      <c r="AP345" s="505">
        <f>((AP236)*($E$324))</f>
        <v/>
      </c>
      <c r="AQ345" s="506">
        <f>((AQ236)*($E$325))</f>
        <v/>
      </c>
      <c r="AR345" s="505">
        <f>((AR236)*($E$325))</f>
        <v/>
      </c>
      <c r="AS345" s="505">
        <f>((AS236)*($E$325))</f>
        <v/>
      </c>
      <c r="AT345" s="505">
        <f>((AT236)*($E$325))</f>
        <v/>
      </c>
      <c r="AU345" s="505">
        <f>((AU236)*($E$325))</f>
        <v/>
      </c>
      <c r="AV345" s="505">
        <f>((AV236)*($E$325))</f>
        <v/>
      </c>
      <c r="AW345" s="505">
        <f>((AW236)*($E$325))</f>
        <v/>
      </c>
      <c r="AX345" s="505">
        <f>((AX236)*($E$325))</f>
        <v/>
      </c>
      <c r="AY345" s="505">
        <f>((AY236)*($E$325))</f>
        <v/>
      </c>
      <c r="AZ345" s="505">
        <f>((AZ236)*($E$325))</f>
        <v/>
      </c>
      <c r="BA345" s="505">
        <f>((BA236)*($E$325))</f>
        <v/>
      </c>
      <c r="BB345" s="505">
        <f>((BB236)*($E$325))</f>
        <v/>
      </c>
      <c r="BC345" s="506">
        <f>((BC236)*($E$326))</f>
        <v/>
      </c>
      <c r="BD345" s="505">
        <f>((BD236)*($E$326))</f>
        <v/>
      </c>
      <c r="BE345" s="505">
        <f>((BE236)*($E$326))</f>
        <v/>
      </c>
      <c r="BF345" s="505">
        <f>((BF236)*($E$326))</f>
        <v/>
      </c>
      <c r="BG345" s="505">
        <f>((BG236)*($E$326))</f>
        <v/>
      </c>
      <c r="BH345" s="505">
        <f>((BH236)*($E$326))</f>
        <v/>
      </c>
      <c r="BI345" s="505">
        <f>((BI236)*($E$326))</f>
        <v/>
      </c>
      <c r="BJ345" s="505">
        <f>((BJ236)*($E$326))</f>
        <v/>
      </c>
      <c r="BK345" s="505">
        <f>((BK236)*($E$326))</f>
        <v/>
      </c>
      <c r="BL345" s="505">
        <f>((BL236)*($E$326))</f>
        <v/>
      </c>
      <c r="BM345" s="505">
        <f>((BM236)*($E$326))</f>
        <v/>
      </c>
      <c r="BN345" s="505">
        <f>((BN236)*($E$326))</f>
        <v/>
      </c>
    </row>
    <row r="346" ht="15" customHeight="1" s="1883">
      <c r="D346" s="149" t="inlineStr">
        <is>
          <t>Month 14</t>
        </is>
      </c>
      <c r="E346" s="383" t="n"/>
      <c r="F346" s="383" t="n"/>
      <c r="G346" s="609" t="n"/>
      <c r="H346" s="609" t="n"/>
      <c r="I346" s="609" t="n"/>
      <c r="J346" s="609" t="n"/>
      <c r="K346" s="609" t="n"/>
      <c r="L346" s="609" t="n"/>
      <c r="M346" s="609" t="n"/>
      <c r="N346" s="609" t="n"/>
      <c r="O346" s="609" t="n"/>
      <c r="P346" s="609" t="n"/>
      <c r="Q346" s="609" t="n"/>
      <c r="R346" s="609" t="n"/>
      <c r="S346" s="610" t="n"/>
      <c r="T346" s="609" t="n"/>
      <c r="U346" s="609" t="n"/>
      <c r="V346" s="505">
        <f>((V237)*($E$323))</f>
        <v/>
      </c>
      <c r="W346" s="505">
        <f>((W237)*($E$323))</f>
        <v/>
      </c>
      <c r="X346" s="505">
        <f>((X237)*($E$323))</f>
        <v/>
      </c>
      <c r="Y346" s="505">
        <f>((Y237)*($E$323))</f>
        <v/>
      </c>
      <c r="Z346" s="505">
        <f>((Z237)*($E$323))</f>
        <v/>
      </c>
      <c r="AA346" s="505">
        <f>((AA237)*($E$323))</f>
        <v/>
      </c>
      <c r="AB346" s="505">
        <f>((AB237)*($E$323))</f>
        <v/>
      </c>
      <c r="AC346" s="505">
        <f>((AC237)*($E$323))</f>
        <v/>
      </c>
      <c r="AD346" s="505">
        <f>((AD237)*($E$323))</f>
        <v/>
      </c>
      <c r="AE346" s="506">
        <f>((AE237)*($E$324))</f>
        <v/>
      </c>
      <c r="AF346" s="505">
        <f>((AF237)*($E$324))</f>
        <v/>
      </c>
      <c r="AG346" s="505">
        <f>((AG237)*($E$324))</f>
        <v/>
      </c>
      <c r="AH346" s="505">
        <f>((AH237)*($E$324))</f>
        <v/>
      </c>
      <c r="AI346" s="505">
        <f>((AI237)*($E$324))</f>
        <v/>
      </c>
      <c r="AJ346" s="505">
        <f>((AJ237)*($E$324))</f>
        <v/>
      </c>
      <c r="AK346" s="505">
        <f>((AK237)*($E$324))</f>
        <v/>
      </c>
      <c r="AL346" s="505">
        <f>((AL237)*($E$324))</f>
        <v/>
      </c>
      <c r="AM346" s="505">
        <f>((AM237)*($E$324))</f>
        <v/>
      </c>
      <c r="AN346" s="505">
        <f>((AN237)*($E$324))</f>
        <v/>
      </c>
      <c r="AO346" s="505">
        <f>((AO237)*($E$324))</f>
        <v/>
      </c>
      <c r="AP346" s="505">
        <f>((AP237)*($E$324))</f>
        <v/>
      </c>
      <c r="AQ346" s="506">
        <f>((AQ237)*($E$325))</f>
        <v/>
      </c>
      <c r="AR346" s="505">
        <f>((AR237)*($E$325))</f>
        <v/>
      </c>
      <c r="AS346" s="505">
        <f>((AS237)*($E$325))</f>
        <v/>
      </c>
      <c r="AT346" s="505">
        <f>((AT237)*($E$325))</f>
        <v/>
      </c>
      <c r="AU346" s="505">
        <f>((AU237)*($E$325))</f>
        <v/>
      </c>
      <c r="AV346" s="505">
        <f>((AV237)*($E$325))</f>
        <v/>
      </c>
      <c r="AW346" s="505">
        <f>((AW237)*($E$325))</f>
        <v/>
      </c>
      <c r="AX346" s="505">
        <f>((AX237)*($E$325))</f>
        <v/>
      </c>
      <c r="AY346" s="505">
        <f>((AY237)*($E$325))</f>
        <v/>
      </c>
      <c r="AZ346" s="505">
        <f>((AZ237)*($E$325))</f>
        <v/>
      </c>
      <c r="BA346" s="505">
        <f>((BA237)*($E$325))</f>
        <v/>
      </c>
      <c r="BB346" s="505">
        <f>((BB237)*($E$325))</f>
        <v/>
      </c>
      <c r="BC346" s="506">
        <f>((BC237)*($E$326))</f>
        <v/>
      </c>
      <c r="BD346" s="505">
        <f>((BD237)*($E$326))</f>
        <v/>
      </c>
      <c r="BE346" s="505">
        <f>((BE237)*($E$326))</f>
        <v/>
      </c>
      <c r="BF346" s="505">
        <f>((BF237)*($E$326))</f>
        <v/>
      </c>
      <c r="BG346" s="505">
        <f>((BG237)*($E$326))</f>
        <v/>
      </c>
      <c r="BH346" s="505">
        <f>((BH237)*($E$326))</f>
        <v/>
      </c>
      <c r="BI346" s="505">
        <f>((BI237)*($E$326))</f>
        <v/>
      </c>
      <c r="BJ346" s="505">
        <f>((BJ237)*($E$326))</f>
        <v/>
      </c>
      <c r="BK346" s="505">
        <f>((BK237)*($E$326))</f>
        <v/>
      </c>
      <c r="BL346" s="505">
        <f>((BL237)*($E$326))</f>
        <v/>
      </c>
      <c r="BM346" s="505">
        <f>((BM237)*($E$326))</f>
        <v/>
      </c>
      <c r="BN346" s="505">
        <f>((BN237)*($E$326))</f>
        <v/>
      </c>
    </row>
    <row r="347" ht="15" customHeight="1" s="1883">
      <c r="D347" s="149" t="inlineStr">
        <is>
          <t>Month 15</t>
        </is>
      </c>
      <c r="E347" s="383" t="n"/>
      <c r="F347" s="383" t="n"/>
      <c r="G347" s="609" t="n"/>
      <c r="H347" s="609" t="n"/>
      <c r="I347" s="609" t="n"/>
      <c r="J347" s="609" t="n"/>
      <c r="K347" s="609" t="n"/>
      <c r="L347" s="609" t="n"/>
      <c r="M347" s="609" t="n"/>
      <c r="N347" s="609" t="n"/>
      <c r="O347" s="609" t="n"/>
      <c r="P347" s="609" t="n"/>
      <c r="Q347" s="609" t="n"/>
      <c r="R347" s="609" t="n"/>
      <c r="S347" s="610" t="n"/>
      <c r="T347" s="609" t="n"/>
      <c r="U347" s="609" t="n"/>
      <c r="V347" s="609" t="n"/>
      <c r="W347" s="505">
        <f>((W238)*($E$323))</f>
        <v/>
      </c>
      <c r="X347" s="505">
        <f>((X238)*($E$323))</f>
        <v/>
      </c>
      <c r="Y347" s="505">
        <f>((Y238)*($E$323))</f>
        <v/>
      </c>
      <c r="Z347" s="505">
        <f>((Z238)*($E$323))</f>
        <v/>
      </c>
      <c r="AA347" s="505">
        <f>((AA238)*($E$323))</f>
        <v/>
      </c>
      <c r="AB347" s="505">
        <f>((AB238)*($E$323))</f>
        <v/>
      </c>
      <c r="AC347" s="505">
        <f>((AC238)*($E$323))</f>
        <v/>
      </c>
      <c r="AD347" s="505">
        <f>((AD238)*($E$323))</f>
        <v/>
      </c>
      <c r="AE347" s="506">
        <f>((AE238)*($E$324))</f>
        <v/>
      </c>
      <c r="AF347" s="505">
        <f>((AF238)*($E$324))</f>
        <v/>
      </c>
      <c r="AG347" s="505">
        <f>((AG238)*($E$324))</f>
        <v/>
      </c>
      <c r="AH347" s="505">
        <f>((AH238)*($E$324))</f>
        <v/>
      </c>
      <c r="AI347" s="505">
        <f>((AI238)*($E$324))</f>
        <v/>
      </c>
      <c r="AJ347" s="505">
        <f>((AJ238)*($E$324))</f>
        <v/>
      </c>
      <c r="AK347" s="505">
        <f>((AK238)*($E$324))</f>
        <v/>
      </c>
      <c r="AL347" s="505">
        <f>((AL238)*($E$324))</f>
        <v/>
      </c>
      <c r="AM347" s="505">
        <f>((AM238)*($E$324))</f>
        <v/>
      </c>
      <c r="AN347" s="505">
        <f>((AN238)*($E$324))</f>
        <v/>
      </c>
      <c r="AO347" s="505">
        <f>((AO238)*($E$324))</f>
        <v/>
      </c>
      <c r="AP347" s="505">
        <f>((AP238)*($E$324))</f>
        <v/>
      </c>
      <c r="AQ347" s="506">
        <f>((AQ238)*($E$325))</f>
        <v/>
      </c>
      <c r="AR347" s="505">
        <f>((AR238)*($E$325))</f>
        <v/>
      </c>
      <c r="AS347" s="505">
        <f>((AS238)*($E$325))</f>
        <v/>
      </c>
      <c r="AT347" s="505">
        <f>((AT238)*($E$325))</f>
        <v/>
      </c>
      <c r="AU347" s="505">
        <f>((AU238)*($E$325))</f>
        <v/>
      </c>
      <c r="AV347" s="505">
        <f>((AV238)*($E$325))</f>
        <v/>
      </c>
      <c r="AW347" s="505">
        <f>((AW238)*($E$325))</f>
        <v/>
      </c>
      <c r="AX347" s="505">
        <f>((AX238)*($E$325))</f>
        <v/>
      </c>
      <c r="AY347" s="505">
        <f>((AY238)*($E$325))</f>
        <v/>
      </c>
      <c r="AZ347" s="505">
        <f>((AZ238)*($E$325))</f>
        <v/>
      </c>
      <c r="BA347" s="505">
        <f>((BA238)*($E$325))</f>
        <v/>
      </c>
      <c r="BB347" s="505">
        <f>((BB238)*($E$325))</f>
        <v/>
      </c>
      <c r="BC347" s="506">
        <f>((BC238)*($E$326))</f>
        <v/>
      </c>
      <c r="BD347" s="505">
        <f>((BD238)*($E$326))</f>
        <v/>
      </c>
      <c r="BE347" s="505">
        <f>((BE238)*($E$326))</f>
        <v/>
      </c>
      <c r="BF347" s="505">
        <f>((BF238)*($E$326))</f>
        <v/>
      </c>
      <c r="BG347" s="505">
        <f>((BG238)*($E$326))</f>
        <v/>
      </c>
      <c r="BH347" s="505">
        <f>((BH238)*($E$326))</f>
        <v/>
      </c>
      <c r="BI347" s="505">
        <f>((BI238)*($E$326))</f>
        <v/>
      </c>
      <c r="BJ347" s="505">
        <f>((BJ238)*($E$326))</f>
        <v/>
      </c>
      <c r="BK347" s="505">
        <f>((BK238)*($E$326))</f>
        <v/>
      </c>
      <c r="BL347" s="505">
        <f>((BL238)*($E$326))</f>
        <v/>
      </c>
      <c r="BM347" s="505">
        <f>((BM238)*($E$326))</f>
        <v/>
      </c>
      <c r="BN347" s="505">
        <f>((BN238)*($E$326))</f>
        <v/>
      </c>
    </row>
    <row r="348" ht="15" customHeight="1" s="1883">
      <c r="D348" s="149" t="inlineStr">
        <is>
          <t>Month 16</t>
        </is>
      </c>
      <c r="E348" s="383" t="n"/>
      <c r="F348" s="383" t="n"/>
      <c r="G348" s="609" t="n"/>
      <c r="H348" s="609" t="n"/>
      <c r="I348" s="609" t="n"/>
      <c r="J348" s="609" t="n"/>
      <c r="K348" s="609" t="n"/>
      <c r="L348" s="609" t="n"/>
      <c r="M348" s="609" t="n"/>
      <c r="N348" s="609" t="n"/>
      <c r="O348" s="609" t="n"/>
      <c r="P348" s="609" t="n"/>
      <c r="Q348" s="609" t="n"/>
      <c r="R348" s="609" t="n"/>
      <c r="S348" s="610" t="n"/>
      <c r="T348" s="609" t="n"/>
      <c r="U348" s="609" t="n"/>
      <c r="V348" s="609" t="n"/>
      <c r="W348" s="609" t="n"/>
      <c r="X348" s="505">
        <f>((X239)*($E$323))</f>
        <v/>
      </c>
      <c r="Y348" s="505">
        <f>((Y239)*($E$323))</f>
        <v/>
      </c>
      <c r="Z348" s="505">
        <f>((Z239)*($E$323))</f>
        <v/>
      </c>
      <c r="AA348" s="505">
        <f>((AA239)*($E$323))</f>
        <v/>
      </c>
      <c r="AB348" s="505">
        <f>((AB239)*($E$323))</f>
        <v/>
      </c>
      <c r="AC348" s="505">
        <f>((AC239)*($E$323))</f>
        <v/>
      </c>
      <c r="AD348" s="505">
        <f>((AD239)*($E$323))</f>
        <v/>
      </c>
      <c r="AE348" s="506">
        <f>((AE239)*($E$324))</f>
        <v/>
      </c>
      <c r="AF348" s="505">
        <f>((AF239)*($E$324))</f>
        <v/>
      </c>
      <c r="AG348" s="505">
        <f>((AG239)*($E$324))</f>
        <v/>
      </c>
      <c r="AH348" s="505">
        <f>((AH239)*($E$324))</f>
        <v/>
      </c>
      <c r="AI348" s="505">
        <f>((AI239)*($E$324))</f>
        <v/>
      </c>
      <c r="AJ348" s="505">
        <f>((AJ239)*($E$324))</f>
        <v/>
      </c>
      <c r="AK348" s="505">
        <f>((AK239)*($E$324))</f>
        <v/>
      </c>
      <c r="AL348" s="505">
        <f>((AL239)*($E$324))</f>
        <v/>
      </c>
      <c r="AM348" s="505">
        <f>((AM239)*($E$324))</f>
        <v/>
      </c>
      <c r="AN348" s="505">
        <f>((AN239)*($E$324))</f>
        <v/>
      </c>
      <c r="AO348" s="505">
        <f>((AO239)*($E$324))</f>
        <v/>
      </c>
      <c r="AP348" s="505">
        <f>((AP239)*($E$324))</f>
        <v/>
      </c>
      <c r="AQ348" s="506">
        <f>((AQ239)*($E$325))</f>
        <v/>
      </c>
      <c r="AR348" s="505">
        <f>((AR239)*($E$325))</f>
        <v/>
      </c>
      <c r="AS348" s="505">
        <f>((AS239)*($E$325))</f>
        <v/>
      </c>
      <c r="AT348" s="505">
        <f>((AT239)*($E$325))</f>
        <v/>
      </c>
      <c r="AU348" s="505">
        <f>((AU239)*($E$325))</f>
        <v/>
      </c>
      <c r="AV348" s="505">
        <f>((AV239)*($E$325))</f>
        <v/>
      </c>
      <c r="AW348" s="505">
        <f>((AW239)*($E$325))</f>
        <v/>
      </c>
      <c r="AX348" s="505">
        <f>((AX239)*($E$325))</f>
        <v/>
      </c>
      <c r="AY348" s="505">
        <f>((AY239)*($E$325))</f>
        <v/>
      </c>
      <c r="AZ348" s="505">
        <f>((AZ239)*($E$325))</f>
        <v/>
      </c>
      <c r="BA348" s="505">
        <f>((BA239)*($E$325))</f>
        <v/>
      </c>
      <c r="BB348" s="505">
        <f>((BB239)*($E$325))</f>
        <v/>
      </c>
      <c r="BC348" s="506">
        <f>((BC239)*($E$326))</f>
        <v/>
      </c>
      <c r="BD348" s="505">
        <f>((BD239)*($E$326))</f>
        <v/>
      </c>
      <c r="BE348" s="505">
        <f>((BE239)*($E$326))</f>
        <v/>
      </c>
      <c r="BF348" s="505">
        <f>((BF239)*($E$326))</f>
        <v/>
      </c>
      <c r="BG348" s="505">
        <f>((BG239)*($E$326))</f>
        <v/>
      </c>
      <c r="BH348" s="505">
        <f>((BH239)*($E$326))</f>
        <v/>
      </c>
      <c r="BI348" s="505">
        <f>((BI239)*($E$326))</f>
        <v/>
      </c>
      <c r="BJ348" s="505">
        <f>((BJ239)*($E$326))</f>
        <v/>
      </c>
      <c r="BK348" s="505">
        <f>((BK239)*($E$326))</f>
        <v/>
      </c>
      <c r="BL348" s="505">
        <f>((BL239)*($E$326))</f>
        <v/>
      </c>
      <c r="BM348" s="505">
        <f>((BM239)*($E$326))</f>
        <v/>
      </c>
      <c r="BN348" s="505">
        <f>((BN239)*($E$326))</f>
        <v/>
      </c>
    </row>
    <row r="349" ht="15" customHeight="1" s="1883">
      <c r="D349" s="149" t="inlineStr">
        <is>
          <t>Month 17</t>
        </is>
      </c>
      <c r="E349" s="383" t="n"/>
      <c r="F349" s="383" t="n"/>
      <c r="G349" s="609" t="n"/>
      <c r="H349" s="609" t="n"/>
      <c r="I349" s="609" t="n"/>
      <c r="J349" s="609" t="n"/>
      <c r="K349" s="609" t="n"/>
      <c r="L349" s="609" t="n"/>
      <c r="M349" s="609" t="n"/>
      <c r="N349" s="609" t="n"/>
      <c r="O349" s="609" t="n"/>
      <c r="P349" s="609" t="n"/>
      <c r="Q349" s="609" t="n"/>
      <c r="R349" s="609" t="n"/>
      <c r="S349" s="610" t="n"/>
      <c r="T349" s="609" t="n"/>
      <c r="U349" s="609" t="n"/>
      <c r="V349" s="609" t="n"/>
      <c r="W349" s="609" t="n"/>
      <c r="X349" s="609" t="n"/>
      <c r="Y349" s="505">
        <f>((Y240)*($E$323))</f>
        <v/>
      </c>
      <c r="Z349" s="505">
        <f>((Z240)*($E$323))</f>
        <v/>
      </c>
      <c r="AA349" s="505">
        <f>((AA240)*($E$323))</f>
        <v/>
      </c>
      <c r="AB349" s="505">
        <f>((AB240)*($E$323))</f>
        <v/>
      </c>
      <c r="AC349" s="505">
        <f>((AC240)*($E$323))</f>
        <v/>
      </c>
      <c r="AD349" s="505">
        <f>((AD240)*($E$323))</f>
        <v/>
      </c>
      <c r="AE349" s="506">
        <f>((AE240)*($E$324))</f>
        <v/>
      </c>
      <c r="AF349" s="505">
        <f>((AF240)*($E$324))</f>
        <v/>
      </c>
      <c r="AG349" s="505">
        <f>((AG240)*($E$324))</f>
        <v/>
      </c>
      <c r="AH349" s="505">
        <f>((AH240)*($E$324))</f>
        <v/>
      </c>
      <c r="AI349" s="505">
        <f>((AI240)*($E$324))</f>
        <v/>
      </c>
      <c r="AJ349" s="505">
        <f>((AJ240)*($E$324))</f>
        <v/>
      </c>
      <c r="AK349" s="505">
        <f>((AK240)*($E$324))</f>
        <v/>
      </c>
      <c r="AL349" s="505">
        <f>((AL240)*($E$324))</f>
        <v/>
      </c>
      <c r="AM349" s="505">
        <f>((AM240)*($E$324))</f>
        <v/>
      </c>
      <c r="AN349" s="505">
        <f>((AN240)*($E$324))</f>
        <v/>
      </c>
      <c r="AO349" s="505">
        <f>((AO240)*($E$324))</f>
        <v/>
      </c>
      <c r="AP349" s="505">
        <f>((AP240)*($E$324))</f>
        <v/>
      </c>
      <c r="AQ349" s="506">
        <f>((AQ240)*($E$325))</f>
        <v/>
      </c>
      <c r="AR349" s="505">
        <f>((AR240)*($E$325))</f>
        <v/>
      </c>
      <c r="AS349" s="505">
        <f>((AS240)*($E$325))</f>
        <v/>
      </c>
      <c r="AT349" s="505">
        <f>((AT240)*($E$325))</f>
        <v/>
      </c>
      <c r="AU349" s="505">
        <f>((AU240)*($E$325))</f>
        <v/>
      </c>
      <c r="AV349" s="505">
        <f>((AV240)*($E$325))</f>
        <v/>
      </c>
      <c r="AW349" s="505">
        <f>((AW240)*($E$325))</f>
        <v/>
      </c>
      <c r="AX349" s="505">
        <f>((AX240)*($E$325))</f>
        <v/>
      </c>
      <c r="AY349" s="505">
        <f>((AY240)*($E$325))</f>
        <v/>
      </c>
      <c r="AZ349" s="505">
        <f>((AZ240)*($E$325))</f>
        <v/>
      </c>
      <c r="BA349" s="505">
        <f>((BA240)*($E$325))</f>
        <v/>
      </c>
      <c r="BB349" s="505">
        <f>((BB240)*($E$325))</f>
        <v/>
      </c>
      <c r="BC349" s="506">
        <f>((BC240)*($E$326))</f>
        <v/>
      </c>
      <c r="BD349" s="505">
        <f>((BD240)*($E$326))</f>
        <v/>
      </c>
      <c r="BE349" s="505">
        <f>((BE240)*($E$326))</f>
        <v/>
      </c>
      <c r="BF349" s="505">
        <f>((BF240)*($E$326))</f>
        <v/>
      </c>
      <c r="BG349" s="505">
        <f>((BG240)*($E$326))</f>
        <v/>
      </c>
      <c r="BH349" s="505">
        <f>((BH240)*($E$326))</f>
        <v/>
      </c>
      <c r="BI349" s="505">
        <f>((BI240)*($E$326))</f>
        <v/>
      </c>
      <c r="BJ349" s="505">
        <f>((BJ240)*($E$326))</f>
        <v/>
      </c>
      <c r="BK349" s="505">
        <f>((BK240)*($E$326))</f>
        <v/>
      </c>
      <c r="BL349" s="505">
        <f>((BL240)*($E$326))</f>
        <v/>
      </c>
      <c r="BM349" s="505">
        <f>((BM240)*($E$326))</f>
        <v/>
      </c>
      <c r="BN349" s="505">
        <f>((BN240)*($E$326))</f>
        <v/>
      </c>
    </row>
    <row r="350" ht="15" customHeight="1" s="1883">
      <c r="D350" s="149" t="inlineStr">
        <is>
          <t>Month 18</t>
        </is>
      </c>
      <c r="E350" s="383" t="n"/>
      <c r="F350" s="383" t="n"/>
      <c r="G350" s="609" t="n"/>
      <c r="H350" s="609" t="n"/>
      <c r="I350" s="609" t="n"/>
      <c r="J350" s="609" t="n"/>
      <c r="K350" s="609" t="n"/>
      <c r="L350" s="609" t="n"/>
      <c r="M350" s="609" t="n"/>
      <c r="N350" s="609" t="n"/>
      <c r="O350" s="609" t="n"/>
      <c r="P350" s="609" t="n"/>
      <c r="Q350" s="609" t="n"/>
      <c r="R350" s="609" t="n"/>
      <c r="S350" s="610" t="n"/>
      <c r="T350" s="609" t="n"/>
      <c r="U350" s="609" t="n"/>
      <c r="V350" s="609" t="n"/>
      <c r="W350" s="609" t="n"/>
      <c r="X350" s="609" t="n"/>
      <c r="Y350" s="609" t="n"/>
      <c r="Z350" s="505">
        <f>((Z241)*($E$323))</f>
        <v/>
      </c>
      <c r="AA350" s="505">
        <f>((AA241)*($E$323))</f>
        <v/>
      </c>
      <c r="AB350" s="505">
        <f>((AB241)*($E$323))</f>
        <v/>
      </c>
      <c r="AC350" s="505">
        <f>((AC241)*($E$323))</f>
        <v/>
      </c>
      <c r="AD350" s="505">
        <f>((AD241)*($E$323))</f>
        <v/>
      </c>
      <c r="AE350" s="506">
        <f>((AE241)*($E$324))</f>
        <v/>
      </c>
      <c r="AF350" s="505">
        <f>((AF241)*($E$324))</f>
        <v/>
      </c>
      <c r="AG350" s="505">
        <f>((AG241)*($E$324))</f>
        <v/>
      </c>
      <c r="AH350" s="505">
        <f>((AH241)*($E$324))</f>
        <v/>
      </c>
      <c r="AI350" s="505">
        <f>((AI241)*($E$324))</f>
        <v/>
      </c>
      <c r="AJ350" s="505">
        <f>((AJ241)*($E$324))</f>
        <v/>
      </c>
      <c r="AK350" s="505">
        <f>((AK241)*($E$324))</f>
        <v/>
      </c>
      <c r="AL350" s="505">
        <f>((AL241)*($E$324))</f>
        <v/>
      </c>
      <c r="AM350" s="505">
        <f>((AM241)*($E$324))</f>
        <v/>
      </c>
      <c r="AN350" s="505">
        <f>((AN241)*($E$324))</f>
        <v/>
      </c>
      <c r="AO350" s="505">
        <f>((AO241)*($E$324))</f>
        <v/>
      </c>
      <c r="AP350" s="505">
        <f>((AP241)*($E$324))</f>
        <v/>
      </c>
      <c r="AQ350" s="506">
        <f>((AQ241)*($E$325))</f>
        <v/>
      </c>
      <c r="AR350" s="505">
        <f>((AR241)*($E$325))</f>
        <v/>
      </c>
      <c r="AS350" s="505">
        <f>((AS241)*($E$325))</f>
        <v/>
      </c>
      <c r="AT350" s="505">
        <f>((AT241)*($E$325))</f>
        <v/>
      </c>
      <c r="AU350" s="505">
        <f>((AU241)*($E$325))</f>
        <v/>
      </c>
      <c r="AV350" s="505">
        <f>((AV241)*($E$325))</f>
        <v/>
      </c>
      <c r="AW350" s="505">
        <f>((AW241)*($E$325))</f>
        <v/>
      </c>
      <c r="AX350" s="505">
        <f>((AX241)*($E$325))</f>
        <v/>
      </c>
      <c r="AY350" s="505">
        <f>((AY241)*($E$325))</f>
        <v/>
      </c>
      <c r="AZ350" s="505">
        <f>((AZ241)*($E$325))</f>
        <v/>
      </c>
      <c r="BA350" s="505">
        <f>((BA241)*($E$325))</f>
        <v/>
      </c>
      <c r="BB350" s="505">
        <f>((BB241)*($E$325))</f>
        <v/>
      </c>
      <c r="BC350" s="506">
        <f>((BC241)*($E$326))</f>
        <v/>
      </c>
      <c r="BD350" s="505">
        <f>((BD241)*($E$326))</f>
        <v/>
      </c>
      <c r="BE350" s="505">
        <f>((BE241)*($E$326))</f>
        <v/>
      </c>
      <c r="BF350" s="505">
        <f>((BF241)*($E$326))</f>
        <v/>
      </c>
      <c r="BG350" s="505">
        <f>((BG241)*($E$326))</f>
        <v/>
      </c>
      <c r="BH350" s="505">
        <f>((BH241)*($E$326))</f>
        <v/>
      </c>
      <c r="BI350" s="505">
        <f>((BI241)*($E$326))</f>
        <v/>
      </c>
      <c r="BJ350" s="505">
        <f>((BJ241)*($E$326))</f>
        <v/>
      </c>
      <c r="BK350" s="505">
        <f>((BK241)*($E$326))</f>
        <v/>
      </c>
      <c r="BL350" s="505">
        <f>((BL241)*($E$326))</f>
        <v/>
      </c>
      <c r="BM350" s="505">
        <f>((BM241)*($E$326))</f>
        <v/>
      </c>
      <c r="BN350" s="505">
        <f>((BN241)*($E$326))</f>
        <v/>
      </c>
    </row>
    <row r="351" ht="15" customHeight="1" s="1883">
      <c r="D351" s="149" t="inlineStr">
        <is>
          <t>Month 19</t>
        </is>
      </c>
      <c r="E351" s="383" t="n"/>
      <c r="F351" s="383" t="n"/>
      <c r="G351" s="609" t="n"/>
      <c r="H351" s="609" t="n"/>
      <c r="I351" s="609" t="n"/>
      <c r="J351" s="609" t="n"/>
      <c r="K351" s="609" t="n"/>
      <c r="L351" s="609" t="n"/>
      <c r="M351" s="609" t="n"/>
      <c r="N351" s="609" t="n"/>
      <c r="O351" s="609" t="n"/>
      <c r="P351" s="609" t="n"/>
      <c r="Q351" s="609" t="n"/>
      <c r="R351" s="609" t="n"/>
      <c r="S351" s="610" t="n"/>
      <c r="T351" s="609" t="n"/>
      <c r="U351" s="609" t="n"/>
      <c r="V351" s="609" t="n"/>
      <c r="W351" s="609" t="n"/>
      <c r="X351" s="609" t="n"/>
      <c r="Y351" s="609" t="n"/>
      <c r="Z351" s="609" t="n"/>
      <c r="AA351" s="505">
        <f>((AA242)*($E$323))</f>
        <v/>
      </c>
      <c r="AB351" s="505">
        <f>((AB242)*($E$323))</f>
        <v/>
      </c>
      <c r="AC351" s="505">
        <f>((AC242)*($E$323))</f>
        <v/>
      </c>
      <c r="AD351" s="505">
        <f>((AD242)*($E$323))</f>
        <v/>
      </c>
      <c r="AE351" s="506">
        <f>((AE242)*($E$324))</f>
        <v/>
      </c>
      <c r="AF351" s="505">
        <f>((AF242)*($E$324))</f>
        <v/>
      </c>
      <c r="AG351" s="505">
        <f>((AG242)*($E$324))</f>
        <v/>
      </c>
      <c r="AH351" s="505">
        <f>((AH242)*($E$324))</f>
        <v/>
      </c>
      <c r="AI351" s="505">
        <f>((AI242)*($E$324))</f>
        <v/>
      </c>
      <c r="AJ351" s="505">
        <f>((AJ242)*($E$324))</f>
        <v/>
      </c>
      <c r="AK351" s="505">
        <f>((AK242)*($E$324))</f>
        <v/>
      </c>
      <c r="AL351" s="505">
        <f>((AL242)*($E$324))</f>
        <v/>
      </c>
      <c r="AM351" s="505">
        <f>((AM242)*($E$324))</f>
        <v/>
      </c>
      <c r="AN351" s="505">
        <f>((AN242)*($E$324))</f>
        <v/>
      </c>
      <c r="AO351" s="505">
        <f>((AO242)*($E$324))</f>
        <v/>
      </c>
      <c r="AP351" s="505">
        <f>((AP242)*($E$324))</f>
        <v/>
      </c>
      <c r="AQ351" s="506">
        <f>((AQ242)*($E$325))</f>
        <v/>
      </c>
      <c r="AR351" s="505">
        <f>((AR242)*($E$325))</f>
        <v/>
      </c>
      <c r="AS351" s="505">
        <f>((AS242)*($E$325))</f>
        <v/>
      </c>
      <c r="AT351" s="505">
        <f>((AT242)*($E$325))</f>
        <v/>
      </c>
      <c r="AU351" s="505">
        <f>((AU242)*($E$325))</f>
        <v/>
      </c>
      <c r="AV351" s="505">
        <f>((AV242)*($E$325))</f>
        <v/>
      </c>
      <c r="AW351" s="505">
        <f>((AW242)*($E$325))</f>
        <v/>
      </c>
      <c r="AX351" s="505">
        <f>((AX242)*($E$325))</f>
        <v/>
      </c>
      <c r="AY351" s="505">
        <f>((AY242)*($E$325))</f>
        <v/>
      </c>
      <c r="AZ351" s="505">
        <f>((AZ242)*($E$325))</f>
        <v/>
      </c>
      <c r="BA351" s="505">
        <f>((BA242)*($E$325))</f>
        <v/>
      </c>
      <c r="BB351" s="505">
        <f>((BB242)*($E$325))</f>
        <v/>
      </c>
      <c r="BC351" s="506">
        <f>((BC242)*($E$326))</f>
        <v/>
      </c>
      <c r="BD351" s="505">
        <f>((BD242)*($E$326))</f>
        <v/>
      </c>
      <c r="BE351" s="505">
        <f>((BE242)*($E$326))</f>
        <v/>
      </c>
      <c r="BF351" s="505">
        <f>((BF242)*($E$326))</f>
        <v/>
      </c>
      <c r="BG351" s="505">
        <f>((BG242)*($E$326))</f>
        <v/>
      </c>
      <c r="BH351" s="505">
        <f>((BH242)*($E$326))</f>
        <v/>
      </c>
      <c r="BI351" s="505">
        <f>((BI242)*($E$326))</f>
        <v/>
      </c>
      <c r="BJ351" s="505">
        <f>((BJ242)*($E$326))</f>
        <v/>
      </c>
      <c r="BK351" s="505">
        <f>((BK242)*($E$326))</f>
        <v/>
      </c>
      <c r="BL351" s="505">
        <f>((BL242)*($E$326))</f>
        <v/>
      </c>
      <c r="BM351" s="505">
        <f>((BM242)*($E$326))</f>
        <v/>
      </c>
      <c r="BN351" s="505">
        <f>((BN242)*($E$326))</f>
        <v/>
      </c>
    </row>
    <row r="352" ht="15" customHeight="1" s="1883">
      <c r="D352" s="149" t="inlineStr">
        <is>
          <t>Month 20</t>
        </is>
      </c>
      <c r="E352" s="383" t="n"/>
      <c r="F352" s="383" t="n"/>
      <c r="G352" s="609" t="n"/>
      <c r="H352" s="609" t="n"/>
      <c r="I352" s="609" t="n"/>
      <c r="J352" s="609" t="n"/>
      <c r="K352" s="609" t="n"/>
      <c r="L352" s="609" t="n"/>
      <c r="M352" s="609" t="n"/>
      <c r="N352" s="609" t="n"/>
      <c r="O352" s="609" t="n"/>
      <c r="P352" s="609" t="n"/>
      <c r="Q352" s="609" t="n"/>
      <c r="R352" s="609" t="n"/>
      <c r="S352" s="610" t="n"/>
      <c r="T352" s="609" t="n"/>
      <c r="U352" s="609" t="n"/>
      <c r="V352" s="609" t="n"/>
      <c r="W352" s="609" t="n"/>
      <c r="X352" s="609" t="n"/>
      <c r="Y352" s="609" t="n"/>
      <c r="Z352" s="609" t="n"/>
      <c r="AA352" s="609" t="n"/>
      <c r="AB352" s="505">
        <f>((AB243)*($E$323))</f>
        <v/>
      </c>
      <c r="AC352" s="505">
        <f>((AC243)*($E$323))</f>
        <v/>
      </c>
      <c r="AD352" s="505">
        <f>((AD243)*($E$323))</f>
        <v/>
      </c>
      <c r="AE352" s="506">
        <f>((AE243)*($E$324))</f>
        <v/>
      </c>
      <c r="AF352" s="505">
        <f>((AF243)*($E$324))</f>
        <v/>
      </c>
      <c r="AG352" s="505">
        <f>((AG243)*($E$324))</f>
        <v/>
      </c>
      <c r="AH352" s="505">
        <f>((AH243)*($E$324))</f>
        <v/>
      </c>
      <c r="AI352" s="505">
        <f>((AI243)*($E$324))</f>
        <v/>
      </c>
      <c r="AJ352" s="505">
        <f>((AJ243)*($E$324))</f>
        <v/>
      </c>
      <c r="AK352" s="505">
        <f>((AK243)*($E$324))</f>
        <v/>
      </c>
      <c r="AL352" s="505">
        <f>((AL243)*($E$324))</f>
        <v/>
      </c>
      <c r="AM352" s="505">
        <f>((AM243)*($E$324))</f>
        <v/>
      </c>
      <c r="AN352" s="505">
        <f>((AN243)*($E$324))</f>
        <v/>
      </c>
      <c r="AO352" s="505">
        <f>((AO243)*($E$324))</f>
        <v/>
      </c>
      <c r="AP352" s="505">
        <f>((AP243)*($E$324))</f>
        <v/>
      </c>
      <c r="AQ352" s="506">
        <f>((AQ243)*($E$325))</f>
        <v/>
      </c>
      <c r="AR352" s="505">
        <f>((AR243)*($E$325))</f>
        <v/>
      </c>
      <c r="AS352" s="505">
        <f>((AS243)*($E$325))</f>
        <v/>
      </c>
      <c r="AT352" s="505">
        <f>((AT243)*($E$325))</f>
        <v/>
      </c>
      <c r="AU352" s="505">
        <f>((AU243)*($E$325))</f>
        <v/>
      </c>
      <c r="AV352" s="505">
        <f>((AV243)*($E$325))</f>
        <v/>
      </c>
      <c r="AW352" s="505">
        <f>((AW243)*($E$325))</f>
        <v/>
      </c>
      <c r="AX352" s="505">
        <f>((AX243)*($E$325))</f>
        <v/>
      </c>
      <c r="AY352" s="505">
        <f>((AY243)*($E$325))</f>
        <v/>
      </c>
      <c r="AZ352" s="505">
        <f>((AZ243)*($E$325))</f>
        <v/>
      </c>
      <c r="BA352" s="505">
        <f>((BA243)*($E$325))</f>
        <v/>
      </c>
      <c r="BB352" s="505">
        <f>((BB243)*($E$325))</f>
        <v/>
      </c>
      <c r="BC352" s="506">
        <f>((BC243)*($E$326))</f>
        <v/>
      </c>
      <c r="BD352" s="505">
        <f>((BD243)*($E$326))</f>
        <v/>
      </c>
      <c r="BE352" s="505">
        <f>((BE243)*($E$326))</f>
        <v/>
      </c>
      <c r="BF352" s="505">
        <f>((BF243)*($E$326))</f>
        <v/>
      </c>
      <c r="BG352" s="505">
        <f>((BG243)*($E$326))</f>
        <v/>
      </c>
      <c r="BH352" s="505">
        <f>((BH243)*($E$326))</f>
        <v/>
      </c>
      <c r="BI352" s="505">
        <f>((BI243)*($E$326))</f>
        <v/>
      </c>
      <c r="BJ352" s="505">
        <f>((BJ243)*($E$326))</f>
        <v/>
      </c>
      <c r="BK352" s="505">
        <f>((BK243)*($E$326))</f>
        <v/>
      </c>
      <c r="BL352" s="505">
        <f>((BL243)*($E$326))</f>
        <v/>
      </c>
      <c r="BM352" s="505">
        <f>((BM243)*($E$326))</f>
        <v/>
      </c>
      <c r="BN352" s="505">
        <f>((BN243)*($E$326))</f>
        <v/>
      </c>
    </row>
    <row r="353" ht="15" customHeight="1" s="1883">
      <c r="D353" s="149" t="inlineStr">
        <is>
          <t>Month 21</t>
        </is>
      </c>
      <c r="E353" s="383" t="n"/>
      <c r="F353" s="383" t="n"/>
      <c r="G353" s="609" t="n"/>
      <c r="H353" s="609" t="n"/>
      <c r="I353" s="609" t="n"/>
      <c r="J353" s="609" t="n"/>
      <c r="K353" s="609" t="n"/>
      <c r="L353" s="609" t="n"/>
      <c r="M353" s="609" t="n"/>
      <c r="N353" s="609" t="n"/>
      <c r="O353" s="609" t="n"/>
      <c r="P353" s="609" t="n"/>
      <c r="Q353" s="609" t="n"/>
      <c r="R353" s="609" t="n"/>
      <c r="S353" s="610" t="n"/>
      <c r="T353" s="609" t="n"/>
      <c r="U353" s="609" t="n"/>
      <c r="V353" s="609" t="n"/>
      <c r="W353" s="609" t="n"/>
      <c r="X353" s="609" t="n"/>
      <c r="Y353" s="609" t="n"/>
      <c r="Z353" s="609" t="n"/>
      <c r="AA353" s="609" t="n"/>
      <c r="AB353" s="609" t="n"/>
      <c r="AC353" s="505">
        <f>((AC244)*($E$323))</f>
        <v/>
      </c>
      <c r="AD353" s="505">
        <f>((AD244)*($E$323))</f>
        <v/>
      </c>
      <c r="AE353" s="506">
        <f>((AE244)*($E$324))</f>
        <v/>
      </c>
      <c r="AF353" s="505">
        <f>((AF244)*($E$324))</f>
        <v/>
      </c>
      <c r="AG353" s="505">
        <f>((AG244)*($E$324))</f>
        <v/>
      </c>
      <c r="AH353" s="505">
        <f>((AH244)*($E$324))</f>
        <v/>
      </c>
      <c r="AI353" s="505">
        <f>((AI244)*($E$324))</f>
        <v/>
      </c>
      <c r="AJ353" s="505">
        <f>((AJ244)*($E$324))</f>
        <v/>
      </c>
      <c r="AK353" s="505">
        <f>((AK244)*($E$324))</f>
        <v/>
      </c>
      <c r="AL353" s="505">
        <f>((AL244)*($E$324))</f>
        <v/>
      </c>
      <c r="AM353" s="505">
        <f>((AM244)*($E$324))</f>
        <v/>
      </c>
      <c r="AN353" s="505">
        <f>((AN244)*($E$324))</f>
        <v/>
      </c>
      <c r="AO353" s="505">
        <f>((AO244)*($E$324))</f>
        <v/>
      </c>
      <c r="AP353" s="505">
        <f>((AP244)*($E$324))</f>
        <v/>
      </c>
      <c r="AQ353" s="506">
        <f>((AQ244)*($E$325))</f>
        <v/>
      </c>
      <c r="AR353" s="505">
        <f>((AR244)*($E$325))</f>
        <v/>
      </c>
      <c r="AS353" s="505">
        <f>((AS244)*($E$325))</f>
        <v/>
      </c>
      <c r="AT353" s="505">
        <f>((AT244)*($E$325))</f>
        <v/>
      </c>
      <c r="AU353" s="505">
        <f>((AU244)*($E$325))</f>
        <v/>
      </c>
      <c r="AV353" s="505">
        <f>((AV244)*($E$325))</f>
        <v/>
      </c>
      <c r="AW353" s="505">
        <f>((AW244)*($E$325))</f>
        <v/>
      </c>
      <c r="AX353" s="505">
        <f>((AX244)*($E$325))</f>
        <v/>
      </c>
      <c r="AY353" s="505">
        <f>((AY244)*($E$325))</f>
        <v/>
      </c>
      <c r="AZ353" s="505">
        <f>((AZ244)*($E$325))</f>
        <v/>
      </c>
      <c r="BA353" s="505">
        <f>((BA244)*($E$325))</f>
        <v/>
      </c>
      <c r="BB353" s="505">
        <f>((BB244)*($E$325))</f>
        <v/>
      </c>
      <c r="BC353" s="506">
        <f>((BC244)*($E$326))</f>
        <v/>
      </c>
      <c r="BD353" s="505">
        <f>((BD244)*($E$326))</f>
        <v/>
      </c>
      <c r="BE353" s="505">
        <f>((BE244)*($E$326))</f>
        <v/>
      </c>
      <c r="BF353" s="505">
        <f>((BF244)*($E$326))</f>
        <v/>
      </c>
      <c r="BG353" s="505">
        <f>((BG244)*($E$326))</f>
        <v/>
      </c>
      <c r="BH353" s="505">
        <f>((BH244)*($E$326))</f>
        <v/>
      </c>
      <c r="BI353" s="505">
        <f>((BI244)*($E$326))</f>
        <v/>
      </c>
      <c r="BJ353" s="505">
        <f>((BJ244)*($E$326))</f>
        <v/>
      </c>
      <c r="BK353" s="505">
        <f>((BK244)*($E$326))</f>
        <v/>
      </c>
      <c r="BL353" s="505">
        <f>((BL244)*($E$326))</f>
        <v/>
      </c>
      <c r="BM353" s="505">
        <f>((BM244)*($E$326))</f>
        <v/>
      </c>
      <c r="BN353" s="505">
        <f>((BN244)*($E$326))</f>
        <v/>
      </c>
    </row>
    <row r="354" ht="15" customHeight="1" s="1883">
      <c r="D354" s="149" t="inlineStr">
        <is>
          <t>Month 22</t>
        </is>
      </c>
      <c r="E354" s="383" t="n"/>
      <c r="F354" s="383" t="n"/>
      <c r="G354" s="609" t="n"/>
      <c r="H354" s="609" t="n"/>
      <c r="I354" s="609" t="n"/>
      <c r="J354" s="609" t="n"/>
      <c r="K354" s="609" t="n"/>
      <c r="L354" s="609" t="n"/>
      <c r="M354" s="609" t="n"/>
      <c r="N354" s="609" t="n"/>
      <c r="O354" s="609" t="n"/>
      <c r="P354" s="609" t="n"/>
      <c r="Q354" s="609" t="n"/>
      <c r="R354" s="609" t="n"/>
      <c r="S354" s="610" t="n"/>
      <c r="T354" s="609" t="n"/>
      <c r="U354" s="609" t="n"/>
      <c r="V354" s="609" t="n"/>
      <c r="W354" s="609" t="n"/>
      <c r="X354" s="609" t="n"/>
      <c r="Y354" s="609" t="n"/>
      <c r="Z354" s="609" t="n"/>
      <c r="AA354" s="609" t="n"/>
      <c r="AB354" s="609" t="n"/>
      <c r="AC354" s="609" t="n"/>
      <c r="AD354" s="505">
        <f>((AD245)*($E$323))</f>
        <v/>
      </c>
      <c r="AE354" s="506">
        <f>((AE245)*($E$324))</f>
        <v/>
      </c>
      <c r="AF354" s="505">
        <f>((AF245)*($E$324))</f>
        <v/>
      </c>
      <c r="AG354" s="505">
        <f>((AG245)*($E$324))</f>
        <v/>
      </c>
      <c r="AH354" s="505">
        <f>((AH245)*($E$324))</f>
        <v/>
      </c>
      <c r="AI354" s="505">
        <f>((AI245)*($E$324))</f>
        <v/>
      </c>
      <c r="AJ354" s="505">
        <f>((AJ245)*($E$324))</f>
        <v/>
      </c>
      <c r="AK354" s="505">
        <f>((AK245)*($E$324))</f>
        <v/>
      </c>
      <c r="AL354" s="505">
        <f>((AL245)*($E$324))</f>
        <v/>
      </c>
      <c r="AM354" s="505">
        <f>((AM245)*($E$324))</f>
        <v/>
      </c>
      <c r="AN354" s="505">
        <f>((AN245)*($E$324))</f>
        <v/>
      </c>
      <c r="AO354" s="505">
        <f>((AO245)*($E$324))</f>
        <v/>
      </c>
      <c r="AP354" s="505">
        <f>((AP245)*($E$324))</f>
        <v/>
      </c>
      <c r="AQ354" s="506">
        <f>((AQ245)*($E$325))</f>
        <v/>
      </c>
      <c r="AR354" s="505">
        <f>((AR245)*($E$325))</f>
        <v/>
      </c>
      <c r="AS354" s="505">
        <f>((AS245)*($E$325))</f>
        <v/>
      </c>
      <c r="AT354" s="505">
        <f>((AT245)*($E$325))</f>
        <v/>
      </c>
      <c r="AU354" s="505">
        <f>((AU245)*($E$325))</f>
        <v/>
      </c>
      <c r="AV354" s="505">
        <f>((AV245)*($E$325))</f>
        <v/>
      </c>
      <c r="AW354" s="505">
        <f>((AW245)*($E$325))</f>
        <v/>
      </c>
      <c r="AX354" s="505">
        <f>((AX245)*($E$325))</f>
        <v/>
      </c>
      <c r="AY354" s="505">
        <f>((AY245)*($E$325))</f>
        <v/>
      </c>
      <c r="AZ354" s="505">
        <f>((AZ245)*($E$325))</f>
        <v/>
      </c>
      <c r="BA354" s="505">
        <f>((BA245)*($E$325))</f>
        <v/>
      </c>
      <c r="BB354" s="505">
        <f>((BB245)*($E$325))</f>
        <v/>
      </c>
      <c r="BC354" s="506">
        <f>((BC245)*($E$326))</f>
        <v/>
      </c>
      <c r="BD354" s="505">
        <f>((BD245)*($E$326))</f>
        <v/>
      </c>
      <c r="BE354" s="505">
        <f>((BE245)*($E$326))</f>
        <v/>
      </c>
      <c r="BF354" s="505">
        <f>((BF245)*($E$326))</f>
        <v/>
      </c>
      <c r="BG354" s="505">
        <f>((BG245)*($E$326))</f>
        <v/>
      </c>
      <c r="BH354" s="505">
        <f>((BH245)*($E$326))</f>
        <v/>
      </c>
      <c r="BI354" s="505">
        <f>((BI245)*($E$326))</f>
        <v/>
      </c>
      <c r="BJ354" s="505">
        <f>((BJ245)*($E$326))</f>
        <v/>
      </c>
      <c r="BK354" s="505">
        <f>((BK245)*($E$326))</f>
        <v/>
      </c>
      <c r="BL354" s="505">
        <f>((BL245)*($E$326))</f>
        <v/>
      </c>
      <c r="BM354" s="505">
        <f>((BM245)*($E$326))</f>
        <v/>
      </c>
      <c r="BN354" s="505">
        <f>((BN245)*($E$326))</f>
        <v/>
      </c>
    </row>
    <row r="355" ht="15" customHeight="1" s="1883">
      <c r="D355" s="149" t="inlineStr">
        <is>
          <t>Month 23</t>
        </is>
      </c>
      <c r="E355" s="383" t="n"/>
      <c r="F355" s="383" t="n"/>
      <c r="G355" s="609" t="n"/>
      <c r="H355" s="609" t="n"/>
      <c r="I355" s="609" t="n"/>
      <c r="J355" s="609" t="n"/>
      <c r="K355" s="609" t="n"/>
      <c r="L355" s="609" t="n"/>
      <c r="M355" s="609" t="n"/>
      <c r="N355" s="609" t="n"/>
      <c r="O355" s="609" t="n"/>
      <c r="P355" s="609" t="n"/>
      <c r="Q355" s="609" t="n"/>
      <c r="R355" s="609" t="n"/>
      <c r="S355" s="610" t="n"/>
      <c r="T355" s="609" t="n"/>
      <c r="U355" s="609" t="n"/>
      <c r="V355" s="609" t="n"/>
      <c r="W355" s="609" t="n"/>
      <c r="X355" s="609" t="n"/>
      <c r="Y355" s="609" t="n"/>
      <c r="Z355" s="609" t="n"/>
      <c r="AA355" s="609" t="n"/>
      <c r="AB355" s="609" t="n"/>
      <c r="AC355" s="609" t="n"/>
      <c r="AD355" s="609" t="n"/>
      <c r="AE355" s="506">
        <f>((AE246)*($E$324))</f>
        <v/>
      </c>
      <c r="AF355" s="505">
        <f>((AF246)*($E$324))</f>
        <v/>
      </c>
      <c r="AG355" s="505">
        <f>((AG246)*($E$324))</f>
        <v/>
      </c>
      <c r="AH355" s="505">
        <f>((AH246)*($E$324))</f>
        <v/>
      </c>
      <c r="AI355" s="505">
        <f>((AI246)*($E$324))</f>
        <v/>
      </c>
      <c r="AJ355" s="505">
        <f>((AJ246)*($E$324))</f>
        <v/>
      </c>
      <c r="AK355" s="505">
        <f>((AK246)*($E$324))</f>
        <v/>
      </c>
      <c r="AL355" s="505">
        <f>((AL246)*($E$324))</f>
        <v/>
      </c>
      <c r="AM355" s="505">
        <f>((AM246)*($E$324))</f>
        <v/>
      </c>
      <c r="AN355" s="505">
        <f>((AN246)*($E$324))</f>
        <v/>
      </c>
      <c r="AO355" s="505">
        <f>((AO246)*($E$324))</f>
        <v/>
      </c>
      <c r="AP355" s="505">
        <f>((AP246)*($E$324))</f>
        <v/>
      </c>
      <c r="AQ355" s="506">
        <f>((AQ246)*($E$325))</f>
        <v/>
      </c>
      <c r="AR355" s="505">
        <f>((AR246)*($E$325))</f>
        <v/>
      </c>
      <c r="AS355" s="505">
        <f>((AS246)*($E$325))</f>
        <v/>
      </c>
      <c r="AT355" s="505">
        <f>((AT246)*($E$325))</f>
        <v/>
      </c>
      <c r="AU355" s="505">
        <f>((AU246)*($E$325))</f>
        <v/>
      </c>
      <c r="AV355" s="505">
        <f>((AV246)*($E$325))</f>
        <v/>
      </c>
      <c r="AW355" s="505">
        <f>((AW246)*($E$325))</f>
        <v/>
      </c>
      <c r="AX355" s="505">
        <f>((AX246)*($E$325))</f>
        <v/>
      </c>
      <c r="AY355" s="505">
        <f>((AY246)*($E$325))</f>
        <v/>
      </c>
      <c r="AZ355" s="505">
        <f>((AZ246)*($E$325))</f>
        <v/>
      </c>
      <c r="BA355" s="505">
        <f>((BA246)*($E$325))</f>
        <v/>
      </c>
      <c r="BB355" s="505">
        <f>((BB246)*($E$325))</f>
        <v/>
      </c>
      <c r="BC355" s="506">
        <f>((BC246)*($E$326))</f>
        <v/>
      </c>
      <c r="BD355" s="505">
        <f>((BD246)*($E$326))</f>
        <v/>
      </c>
      <c r="BE355" s="505">
        <f>((BE246)*($E$326))</f>
        <v/>
      </c>
      <c r="BF355" s="505">
        <f>((BF246)*($E$326))</f>
        <v/>
      </c>
      <c r="BG355" s="505">
        <f>((BG246)*($E$326))</f>
        <v/>
      </c>
      <c r="BH355" s="505">
        <f>((BH246)*($E$326))</f>
        <v/>
      </c>
      <c r="BI355" s="505">
        <f>((BI246)*($E$326))</f>
        <v/>
      </c>
      <c r="BJ355" s="505">
        <f>((BJ246)*($E$326))</f>
        <v/>
      </c>
      <c r="BK355" s="505">
        <f>((BK246)*($E$326))</f>
        <v/>
      </c>
      <c r="BL355" s="505">
        <f>((BL246)*($E$326))</f>
        <v/>
      </c>
      <c r="BM355" s="505">
        <f>((BM246)*($E$326))</f>
        <v/>
      </c>
      <c r="BN355" s="505">
        <f>((BN246)*($E$326))</f>
        <v/>
      </c>
    </row>
    <row r="356" ht="15" customHeight="1" s="1883">
      <c r="D356" s="149" t="inlineStr">
        <is>
          <t>Month 24</t>
        </is>
      </c>
      <c r="E356" s="383" t="n"/>
      <c r="F356" s="383" t="n"/>
      <c r="G356" s="609" t="n"/>
      <c r="H356" s="609" t="n"/>
      <c r="I356" s="609" t="n"/>
      <c r="J356" s="609" t="n"/>
      <c r="K356" s="609" t="n"/>
      <c r="L356" s="609" t="n"/>
      <c r="M356" s="609" t="n"/>
      <c r="N356" s="609" t="n"/>
      <c r="O356" s="609" t="n"/>
      <c r="P356" s="609" t="n"/>
      <c r="Q356" s="609" t="n"/>
      <c r="R356" s="609" t="n"/>
      <c r="S356" s="610" t="n"/>
      <c r="T356" s="609" t="n"/>
      <c r="U356" s="609" t="n"/>
      <c r="V356" s="609" t="n"/>
      <c r="W356" s="609" t="n"/>
      <c r="X356" s="609" t="n"/>
      <c r="Y356" s="609" t="n"/>
      <c r="Z356" s="609" t="n"/>
      <c r="AA356" s="609" t="n"/>
      <c r="AB356" s="609" t="n"/>
      <c r="AC356" s="609" t="n"/>
      <c r="AD356" s="609" t="n"/>
      <c r="AE356" s="610" t="n"/>
      <c r="AF356" s="505">
        <f>((AF247)*($E$324))</f>
        <v/>
      </c>
      <c r="AG356" s="505">
        <f>((AG247)*($E$324))</f>
        <v/>
      </c>
      <c r="AH356" s="505">
        <f>((AH247)*($E$324))</f>
        <v/>
      </c>
      <c r="AI356" s="505">
        <f>((AI247)*($E$324))</f>
        <v/>
      </c>
      <c r="AJ356" s="505">
        <f>((AJ247)*($E$324))</f>
        <v/>
      </c>
      <c r="AK356" s="505">
        <f>((AK247)*($E$324))</f>
        <v/>
      </c>
      <c r="AL356" s="505">
        <f>((AL247)*($E$324))</f>
        <v/>
      </c>
      <c r="AM356" s="505">
        <f>((AM247)*($E$324))</f>
        <v/>
      </c>
      <c r="AN356" s="505">
        <f>((AN247)*($E$324))</f>
        <v/>
      </c>
      <c r="AO356" s="505">
        <f>((AO247)*($E$324))</f>
        <v/>
      </c>
      <c r="AP356" s="505">
        <f>((AP247)*($E$324))</f>
        <v/>
      </c>
      <c r="AQ356" s="506">
        <f>((AQ247)*($E$325))</f>
        <v/>
      </c>
      <c r="AR356" s="505">
        <f>((AR247)*($E$325))</f>
        <v/>
      </c>
      <c r="AS356" s="505">
        <f>((AS247)*($E$325))</f>
        <v/>
      </c>
      <c r="AT356" s="505">
        <f>((AT247)*($E$325))</f>
        <v/>
      </c>
      <c r="AU356" s="505">
        <f>((AU247)*($E$325))</f>
        <v/>
      </c>
      <c r="AV356" s="505">
        <f>((AV247)*($E$325))</f>
        <v/>
      </c>
      <c r="AW356" s="505">
        <f>((AW247)*($E$325))</f>
        <v/>
      </c>
      <c r="AX356" s="505">
        <f>((AX247)*($E$325))</f>
        <v/>
      </c>
      <c r="AY356" s="505">
        <f>((AY247)*($E$325))</f>
        <v/>
      </c>
      <c r="AZ356" s="505">
        <f>((AZ247)*($E$325))</f>
        <v/>
      </c>
      <c r="BA356" s="505">
        <f>((BA247)*($E$325))</f>
        <v/>
      </c>
      <c r="BB356" s="505">
        <f>((BB247)*($E$325))</f>
        <v/>
      </c>
      <c r="BC356" s="506">
        <f>((BC247)*($E$326))</f>
        <v/>
      </c>
      <c r="BD356" s="505">
        <f>((BD247)*($E$326))</f>
        <v/>
      </c>
      <c r="BE356" s="505">
        <f>((BE247)*($E$326))</f>
        <v/>
      </c>
      <c r="BF356" s="505">
        <f>((BF247)*($E$326))</f>
        <v/>
      </c>
      <c r="BG356" s="505">
        <f>((BG247)*($E$326))</f>
        <v/>
      </c>
      <c r="BH356" s="505">
        <f>((BH247)*($E$326))</f>
        <v/>
      </c>
      <c r="BI356" s="505">
        <f>((BI247)*($E$326))</f>
        <v/>
      </c>
      <c r="BJ356" s="505">
        <f>((BJ247)*($E$326))</f>
        <v/>
      </c>
      <c r="BK356" s="505">
        <f>((BK247)*($E$326))</f>
        <v/>
      </c>
      <c r="BL356" s="505">
        <f>((BL247)*($E$326))</f>
        <v/>
      </c>
      <c r="BM356" s="505">
        <f>((BM247)*($E$326))</f>
        <v/>
      </c>
      <c r="BN356" s="505">
        <f>((BN247)*($E$326))</f>
        <v/>
      </c>
    </row>
    <row r="357" ht="15" customHeight="1" s="1883">
      <c r="D357" s="149" t="inlineStr">
        <is>
          <t>Month 25</t>
        </is>
      </c>
      <c r="E357" s="383" t="n"/>
      <c r="F357" s="383" t="n"/>
      <c r="G357" s="609" t="n"/>
      <c r="H357" s="609" t="n"/>
      <c r="I357" s="609" t="n"/>
      <c r="J357" s="609" t="n"/>
      <c r="K357" s="609" t="n"/>
      <c r="L357" s="609" t="n"/>
      <c r="M357" s="609" t="n"/>
      <c r="N357" s="609" t="n"/>
      <c r="O357" s="609" t="n"/>
      <c r="P357" s="609" t="n"/>
      <c r="Q357" s="609" t="n"/>
      <c r="R357" s="609" t="n"/>
      <c r="S357" s="610" t="n"/>
      <c r="T357" s="609" t="n"/>
      <c r="U357" s="609" t="n"/>
      <c r="V357" s="609" t="n"/>
      <c r="W357" s="609" t="n"/>
      <c r="X357" s="609" t="n"/>
      <c r="Y357" s="609" t="n"/>
      <c r="Z357" s="609" t="n"/>
      <c r="AA357" s="609" t="n"/>
      <c r="AB357" s="609" t="n"/>
      <c r="AC357" s="609" t="n"/>
      <c r="AD357" s="609" t="n"/>
      <c r="AE357" s="610" t="n"/>
      <c r="AF357" s="612" t="n"/>
      <c r="AG357" s="505">
        <f>((AG248)*($E$324))</f>
        <v/>
      </c>
      <c r="AH357" s="505">
        <f>((AH248)*($E$324))</f>
        <v/>
      </c>
      <c r="AI357" s="505">
        <f>((AI248)*($E$324))</f>
        <v/>
      </c>
      <c r="AJ357" s="505">
        <f>((AJ248)*($E$324))</f>
        <v/>
      </c>
      <c r="AK357" s="505">
        <f>((AK248)*($E$324))</f>
        <v/>
      </c>
      <c r="AL357" s="505">
        <f>((AL248)*($E$324))</f>
        <v/>
      </c>
      <c r="AM357" s="505">
        <f>((AM248)*($E$324))</f>
        <v/>
      </c>
      <c r="AN357" s="505">
        <f>((AN248)*($E$324))</f>
        <v/>
      </c>
      <c r="AO357" s="505">
        <f>((AO248)*($E$324))</f>
        <v/>
      </c>
      <c r="AP357" s="505">
        <f>((AP248)*($E$324))</f>
        <v/>
      </c>
      <c r="AQ357" s="506">
        <f>((AQ248)*($E$325))</f>
        <v/>
      </c>
      <c r="AR357" s="505">
        <f>((AR248)*($E$325))</f>
        <v/>
      </c>
      <c r="AS357" s="505">
        <f>((AS248)*($E$325))</f>
        <v/>
      </c>
      <c r="AT357" s="505">
        <f>((AT248)*($E$325))</f>
        <v/>
      </c>
      <c r="AU357" s="505">
        <f>((AU248)*($E$325))</f>
        <v/>
      </c>
      <c r="AV357" s="505">
        <f>((AV248)*($E$325))</f>
        <v/>
      </c>
      <c r="AW357" s="505">
        <f>((AW248)*($E$325))</f>
        <v/>
      </c>
      <c r="AX357" s="505">
        <f>((AX248)*($E$325))</f>
        <v/>
      </c>
      <c r="AY357" s="505">
        <f>((AY248)*($E$325))</f>
        <v/>
      </c>
      <c r="AZ357" s="505">
        <f>((AZ248)*($E$325))</f>
        <v/>
      </c>
      <c r="BA357" s="505">
        <f>((BA248)*($E$325))</f>
        <v/>
      </c>
      <c r="BB357" s="505">
        <f>((BB248)*($E$325))</f>
        <v/>
      </c>
      <c r="BC357" s="506">
        <f>((BC248)*($E$326))</f>
        <v/>
      </c>
      <c r="BD357" s="505">
        <f>((BD248)*($E$326))</f>
        <v/>
      </c>
      <c r="BE357" s="505">
        <f>((BE248)*($E$326))</f>
        <v/>
      </c>
      <c r="BF357" s="505">
        <f>((BF248)*($E$326))</f>
        <v/>
      </c>
      <c r="BG357" s="505">
        <f>((BG248)*($E$326))</f>
        <v/>
      </c>
      <c r="BH357" s="505">
        <f>((BH248)*($E$326))</f>
        <v/>
      </c>
      <c r="BI357" s="505">
        <f>((BI248)*($E$326))</f>
        <v/>
      </c>
      <c r="BJ357" s="505">
        <f>((BJ248)*($E$326))</f>
        <v/>
      </c>
      <c r="BK357" s="505">
        <f>((BK248)*($E$326))</f>
        <v/>
      </c>
      <c r="BL357" s="505">
        <f>((BL248)*($E$326))</f>
        <v/>
      </c>
      <c r="BM357" s="505">
        <f>((BM248)*($E$326))</f>
        <v/>
      </c>
      <c r="BN357" s="505">
        <f>((BN248)*($E$326))</f>
        <v/>
      </c>
    </row>
    <row r="358" ht="15" customHeight="1" s="1883">
      <c r="D358" s="149" t="inlineStr">
        <is>
          <t>Month 26</t>
        </is>
      </c>
      <c r="E358" s="383" t="n"/>
      <c r="F358" s="383" t="n"/>
      <c r="G358" s="609" t="n"/>
      <c r="H358" s="609" t="n"/>
      <c r="I358" s="609" t="n"/>
      <c r="J358" s="609" t="n"/>
      <c r="K358" s="609" t="n"/>
      <c r="L358" s="609" t="n"/>
      <c r="M358" s="609" t="n"/>
      <c r="N358" s="609" t="n"/>
      <c r="O358" s="609" t="n"/>
      <c r="P358" s="609" t="n"/>
      <c r="Q358" s="609" t="n"/>
      <c r="R358" s="609" t="n"/>
      <c r="S358" s="610" t="n"/>
      <c r="T358" s="609" t="n"/>
      <c r="U358" s="609" t="n"/>
      <c r="V358" s="609" t="n"/>
      <c r="W358" s="609" t="n"/>
      <c r="X358" s="609" t="n"/>
      <c r="Y358" s="609" t="n"/>
      <c r="Z358" s="609" t="n"/>
      <c r="AA358" s="609" t="n"/>
      <c r="AB358" s="609" t="n"/>
      <c r="AC358" s="609" t="n"/>
      <c r="AD358" s="609" t="n"/>
      <c r="AE358" s="610" t="n"/>
      <c r="AF358" s="612" t="n"/>
      <c r="AG358" s="609" t="n"/>
      <c r="AH358" s="505">
        <f>((AH249)*($E$324))</f>
        <v/>
      </c>
      <c r="AI358" s="505">
        <f>((AI249)*($E$324))</f>
        <v/>
      </c>
      <c r="AJ358" s="505">
        <f>((AJ249)*($E$324))</f>
        <v/>
      </c>
      <c r="AK358" s="505">
        <f>((AK249)*($E$324))</f>
        <v/>
      </c>
      <c r="AL358" s="505">
        <f>((AL249)*($E$324))</f>
        <v/>
      </c>
      <c r="AM358" s="505">
        <f>((AM249)*($E$324))</f>
        <v/>
      </c>
      <c r="AN358" s="505">
        <f>((AN249)*($E$324))</f>
        <v/>
      </c>
      <c r="AO358" s="505">
        <f>((AO249)*($E$324))</f>
        <v/>
      </c>
      <c r="AP358" s="505">
        <f>((AP249)*($E$324))</f>
        <v/>
      </c>
      <c r="AQ358" s="506">
        <f>((AQ249)*($E$325))</f>
        <v/>
      </c>
      <c r="AR358" s="505">
        <f>((AR249)*($E$325))</f>
        <v/>
      </c>
      <c r="AS358" s="505">
        <f>((AS249)*($E$325))</f>
        <v/>
      </c>
      <c r="AT358" s="505">
        <f>((AT249)*($E$325))</f>
        <v/>
      </c>
      <c r="AU358" s="505">
        <f>((AU249)*($E$325))</f>
        <v/>
      </c>
      <c r="AV358" s="505">
        <f>((AV249)*($E$325))</f>
        <v/>
      </c>
      <c r="AW358" s="505">
        <f>((AW249)*($E$325))</f>
        <v/>
      </c>
      <c r="AX358" s="505">
        <f>((AX249)*($E$325))</f>
        <v/>
      </c>
      <c r="AY358" s="505">
        <f>((AY249)*($E$325))</f>
        <v/>
      </c>
      <c r="AZ358" s="505">
        <f>((AZ249)*($E$325))</f>
        <v/>
      </c>
      <c r="BA358" s="505">
        <f>((BA249)*($E$325))</f>
        <v/>
      </c>
      <c r="BB358" s="505">
        <f>((BB249)*($E$325))</f>
        <v/>
      </c>
      <c r="BC358" s="506">
        <f>((BC249)*($E$326))</f>
        <v/>
      </c>
      <c r="BD358" s="505">
        <f>((BD249)*($E$326))</f>
        <v/>
      </c>
      <c r="BE358" s="505">
        <f>((BE249)*($E$326))</f>
        <v/>
      </c>
      <c r="BF358" s="505">
        <f>((BF249)*($E$326))</f>
        <v/>
      </c>
      <c r="BG358" s="505">
        <f>((BG249)*($E$326))</f>
        <v/>
      </c>
      <c r="BH358" s="505">
        <f>((BH249)*($E$326))</f>
        <v/>
      </c>
      <c r="BI358" s="505">
        <f>((BI249)*($E$326))</f>
        <v/>
      </c>
      <c r="BJ358" s="505">
        <f>((BJ249)*($E$326))</f>
        <v/>
      </c>
      <c r="BK358" s="505">
        <f>((BK249)*($E$326))</f>
        <v/>
      </c>
      <c r="BL358" s="505">
        <f>((BL249)*($E$326))</f>
        <v/>
      </c>
      <c r="BM358" s="505">
        <f>((BM249)*($E$326))</f>
        <v/>
      </c>
      <c r="BN358" s="505">
        <f>((BN249)*($E$326))</f>
        <v/>
      </c>
    </row>
    <row r="359" ht="15" customHeight="1" s="1883">
      <c r="D359" s="149" t="inlineStr">
        <is>
          <t>Month 27</t>
        </is>
      </c>
      <c r="E359" s="383" t="n"/>
      <c r="F359" s="383" t="n"/>
      <c r="G359" s="609" t="n"/>
      <c r="H359" s="609" t="n"/>
      <c r="I359" s="609" t="n"/>
      <c r="J359" s="609" t="n"/>
      <c r="K359" s="609" t="n"/>
      <c r="L359" s="609" t="n"/>
      <c r="M359" s="609" t="n"/>
      <c r="N359" s="609" t="n"/>
      <c r="O359" s="609" t="n"/>
      <c r="P359" s="609" t="n"/>
      <c r="Q359" s="609" t="n"/>
      <c r="R359" s="609" t="n"/>
      <c r="S359" s="610" t="n"/>
      <c r="T359" s="609" t="n"/>
      <c r="U359" s="609" t="n"/>
      <c r="V359" s="609" t="n"/>
      <c r="W359" s="609" t="n"/>
      <c r="X359" s="609" t="n"/>
      <c r="Y359" s="609" t="n"/>
      <c r="Z359" s="609" t="n"/>
      <c r="AA359" s="609" t="n"/>
      <c r="AB359" s="609" t="n"/>
      <c r="AC359" s="609" t="n"/>
      <c r="AD359" s="609" t="n"/>
      <c r="AE359" s="610" t="n"/>
      <c r="AF359" s="612" t="n"/>
      <c r="AG359" s="609" t="n"/>
      <c r="AH359" s="609" t="n"/>
      <c r="AI359" s="505">
        <f>((AI250)*($E$324))</f>
        <v/>
      </c>
      <c r="AJ359" s="505">
        <f>((AJ250)*($E$324))</f>
        <v/>
      </c>
      <c r="AK359" s="505">
        <f>((AK250)*($E$324))</f>
        <v/>
      </c>
      <c r="AL359" s="505">
        <f>((AL250)*($E$324))</f>
        <v/>
      </c>
      <c r="AM359" s="505">
        <f>((AM250)*($E$324))</f>
        <v/>
      </c>
      <c r="AN359" s="505">
        <f>((AN250)*($E$324))</f>
        <v/>
      </c>
      <c r="AO359" s="505">
        <f>((AO250)*($E$324))</f>
        <v/>
      </c>
      <c r="AP359" s="505">
        <f>((AP250)*($E$324))</f>
        <v/>
      </c>
      <c r="AQ359" s="506">
        <f>((AQ250)*($E$325))</f>
        <v/>
      </c>
      <c r="AR359" s="505">
        <f>((AR250)*($E$325))</f>
        <v/>
      </c>
      <c r="AS359" s="505">
        <f>((AS250)*($E$325))</f>
        <v/>
      </c>
      <c r="AT359" s="505">
        <f>((AT250)*($E$325))</f>
        <v/>
      </c>
      <c r="AU359" s="505">
        <f>((AU250)*($E$325))</f>
        <v/>
      </c>
      <c r="AV359" s="505">
        <f>((AV250)*($E$325))</f>
        <v/>
      </c>
      <c r="AW359" s="505">
        <f>((AW250)*($E$325))</f>
        <v/>
      </c>
      <c r="AX359" s="505">
        <f>((AX250)*($E$325))</f>
        <v/>
      </c>
      <c r="AY359" s="505">
        <f>((AY250)*($E$325))</f>
        <v/>
      </c>
      <c r="AZ359" s="505">
        <f>((AZ250)*($E$325))</f>
        <v/>
      </c>
      <c r="BA359" s="505">
        <f>((BA250)*($E$325))</f>
        <v/>
      </c>
      <c r="BB359" s="505">
        <f>((BB250)*($E$325))</f>
        <v/>
      </c>
      <c r="BC359" s="506">
        <f>((BC250)*($E$326))</f>
        <v/>
      </c>
      <c r="BD359" s="505">
        <f>((BD250)*($E$326))</f>
        <v/>
      </c>
      <c r="BE359" s="505">
        <f>((BE250)*($E$326))</f>
        <v/>
      </c>
      <c r="BF359" s="505">
        <f>((BF250)*($E$326))</f>
        <v/>
      </c>
      <c r="BG359" s="505">
        <f>((BG250)*($E$326))</f>
        <v/>
      </c>
      <c r="BH359" s="505">
        <f>((BH250)*($E$326))</f>
        <v/>
      </c>
      <c r="BI359" s="505">
        <f>((BI250)*($E$326))</f>
        <v/>
      </c>
      <c r="BJ359" s="505">
        <f>((BJ250)*($E$326))</f>
        <v/>
      </c>
      <c r="BK359" s="505">
        <f>((BK250)*($E$326))</f>
        <v/>
      </c>
      <c r="BL359" s="505">
        <f>((BL250)*($E$326))</f>
        <v/>
      </c>
      <c r="BM359" s="505">
        <f>((BM250)*($E$326))</f>
        <v/>
      </c>
      <c r="BN359" s="505">
        <f>((BN250)*($E$326))</f>
        <v/>
      </c>
    </row>
    <row r="360" ht="15" customHeight="1" s="1883">
      <c r="D360" s="149" t="inlineStr">
        <is>
          <t>Month 28</t>
        </is>
      </c>
      <c r="E360" s="383" t="n"/>
      <c r="F360" s="383" t="n"/>
      <c r="G360" s="609" t="n"/>
      <c r="H360" s="609" t="n"/>
      <c r="I360" s="609" t="n"/>
      <c r="J360" s="609" t="n"/>
      <c r="K360" s="609" t="n"/>
      <c r="L360" s="609" t="n"/>
      <c r="M360" s="609" t="n"/>
      <c r="N360" s="609" t="n"/>
      <c r="O360" s="609" t="n"/>
      <c r="P360" s="609" t="n"/>
      <c r="Q360" s="609" t="n"/>
      <c r="R360" s="609" t="n"/>
      <c r="S360" s="610" t="n"/>
      <c r="T360" s="609" t="n"/>
      <c r="U360" s="609" t="n"/>
      <c r="V360" s="609" t="n"/>
      <c r="W360" s="609" t="n"/>
      <c r="X360" s="609" t="n"/>
      <c r="Y360" s="609" t="n"/>
      <c r="Z360" s="609" t="n"/>
      <c r="AA360" s="609" t="n"/>
      <c r="AB360" s="609" t="n"/>
      <c r="AC360" s="609" t="n"/>
      <c r="AD360" s="609" t="n"/>
      <c r="AE360" s="610" t="n"/>
      <c r="AF360" s="612" t="n"/>
      <c r="AG360" s="609" t="n"/>
      <c r="AH360" s="609" t="n"/>
      <c r="AI360" s="609" t="n"/>
      <c r="AJ360" s="505">
        <f>((AJ251)*($E$324))</f>
        <v/>
      </c>
      <c r="AK360" s="505">
        <f>((AK251)*($E$324))</f>
        <v/>
      </c>
      <c r="AL360" s="505">
        <f>((AL251)*($E$324))</f>
        <v/>
      </c>
      <c r="AM360" s="505">
        <f>((AM251)*($E$324))</f>
        <v/>
      </c>
      <c r="AN360" s="505">
        <f>((AN251)*($E$324))</f>
        <v/>
      </c>
      <c r="AO360" s="505">
        <f>((AO251)*($E$324))</f>
        <v/>
      </c>
      <c r="AP360" s="505">
        <f>((AP251)*($E$324))</f>
        <v/>
      </c>
      <c r="AQ360" s="506">
        <f>((AQ251)*($E$325))</f>
        <v/>
      </c>
      <c r="AR360" s="505">
        <f>((AR251)*($E$325))</f>
        <v/>
      </c>
      <c r="AS360" s="505">
        <f>((AS251)*($E$325))</f>
        <v/>
      </c>
      <c r="AT360" s="505">
        <f>((AT251)*($E$325))</f>
        <v/>
      </c>
      <c r="AU360" s="505">
        <f>((AU251)*($E$325))</f>
        <v/>
      </c>
      <c r="AV360" s="505">
        <f>((AV251)*($E$325))</f>
        <v/>
      </c>
      <c r="AW360" s="505">
        <f>((AW251)*($E$325))</f>
        <v/>
      </c>
      <c r="AX360" s="505">
        <f>((AX251)*($E$325))</f>
        <v/>
      </c>
      <c r="AY360" s="505">
        <f>((AY251)*($E$325))</f>
        <v/>
      </c>
      <c r="AZ360" s="505">
        <f>((AZ251)*($E$325))</f>
        <v/>
      </c>
      <c r="BA360" s="505">
        <f>((BA251)*($E$325))</f>
        <v/>
      </c>
      <c r="BB360" s="505">
        <f>((BB251)*($E$325))</f>
        <v/>
      </c>
      <c r="BC360" s="506">
        <f>((BC251)*($E$326))</f>
        <v/>
      </c>
      <c r="BD360" s="505">
        <f>((BD251)*($E$326))</f>
        <v/>
      </c>
      <c r="BE360" s="505">
        <f>((BE251)*($E$326))</f>
        <v/>
      </c>
      <c r="BF360" s="505">
        <f>((BF251)*($E$326))</f>
        <v/>
      </c>
      <c r="BG360" s="505">
        <f>((BG251)*($E$326))</f>
        <v/>
      </c>
      <c r="BH360" s="505">
        <f>((BH251)*($E$326))</f>
        <v/>
      </c>
      <c r="BI360" s="505">
        <f>((BI251)*($E$326))</f>
        <v/>
      </c>
      <c r="BJ360" s="505">
        <f>((BJ251)*($E$326))</f>
        <v/>
      </c>
      <c r="BK360" s="505">
        <f>((BK251)*($E$326))</f>
        <v/>
      </c>
      <c r="BL360" s="505">
        <f>((BL251)*($E$326))</f>
        <v/>
      </c>
      <c r="BM360" s="505">
        <f>((BM251)*($E$326))</f>
        <v/>
      </c>
      <c r="BN360" s="505">
        <f>((BN251)*($E$326))</f>
        <v/>
      </c>
    </row>
    <row r="361" ht="15" customHeight="1" s="1883">
      <c r="D361" s="149" t="inlineStr">
        <is>
          <t>Month 29</t>
        </is>
      </c>
      <c r="E361" s="383" t="n"/>
      <c r="F361" s="383" t="n"/>
      <c r="G361" s="609" t="n"/>
      <c r="H361" s="609" t="n"/>
      <c r="I361" s="609" t="n"/>
      <c r="J361" s="609" t="n"/>
      <c r="K361" s="609" t="n"/>
      <c r="L361" s="609" t="n"/>
      <c r="M361" s="609" t="n"/>
      <c r="N361" s="609" t="n"/>
      <c r="O361" s="609" t="n"/>
      <c r="P361" s="609" t="n"/>
      <c r="Q361" s="609" t="n"/>
      <c r="R361" s="609" t="n"/>
      <c r="S361" s="610" t="n"/>
      <c r="T361" s="609" t="n"/>
      <c r="U361" s="609" t="n"/>
      <c r="V361" s="609" t="n"/>
      <c r="W361" s="609" t="n"/>
      <c r="X361" s="609" t="n"/>
      <c r="Y361" s="609" t="n"/>
      <c r="Z361" s="609" t="n"/>
      <c r="AA361" s="609" t="n"/>
      <c r="AB361" s="609" t="n"/>
      <c r="AC361" s="609" t="n"/>
      <c r="AD361" s="609" t="n"/>
      <c r="AE361" s="610" t="n"/>
      <c r="AF361" s="612" t="n"/>
      <c r="AG361" s="609" t="n"/>
      <c r="AH361" s="609" t="n"/>
      <c r="AI361" s="609" t="n"/>
      <c r="AJ361" s="609" t="n"/>
      <c r="AK361" s="505">
        <f>((AK252)*($E$324))</f>
        <v/>
      </c>
      <c r="AL361" s="505">
        <f>((AL252)*($E$324))</f>
        <v/>
      </c>
      <c r="AM361" s="505">
        <f>((AM252)*($E$324))</f>
        <v/>
      </c>
      <c r="AN361" s="505">
        <f>((AN252)*($E$324))</f>
        <v/>
      </c>
      <c r="AO361" s="505">
        <f>((AO252)*($E$324))</f>
        <v/>
      </c>
      <c r="AP361" s="505">
        <f>((AP252)*($E$324))</f>
        <v/>
      </c>
      <c r="AQ361" s="506">
        <f>((AQ252)*($E$325))</f>
        <v/>
      </c>
      <c r="AR361" s="505">
        <f>((AR252)*($E$325))</f>
        <v/>
      </c>
      <c r="AS361" s="505">
        <f>((AS252)*($E$325))</f>
        <v/>
      </c>
      <c r="AT361" s="505">
        <f>((AT252)*($E$325))</f>
        <v/>
      </c>
      <c r="AU361" s="505">
        <f>((AU252)*($E$325))</f>
        <v/>
      </c>
      <c r="AV361" s="505">
        <f>((AV252)*($E$325))</f>
        <v/>
      </c>
      <c r="AW361" s="505">
        <f>((AW252)*($E$325))</f>
        <v/>
      </c>
      <c r="AX361" s="505">
        <f>((AX252)*($E$325))</f>
        <v/>
      </c>
      <c r="AY361" s="505">
        <f>((AY252)*($E$325))</f>
        <v/>
      </c>
      <c r="AZ361" s="505">
        <f>((AZ252)*($E$325))</f>
        <v/>
      </c>
      <c r="BA361" s="505">
        <f>((BA252)*($E$325))</f>
        <v/>
      </c>
      <c r="BB361" s="505">
        <f>((BB252)*($E$325))</f>
        <v/>
      </c>
      <c r="BC361" s="506">
        <f>((BC252)*($E$326))</f>
        <v/>
      </c>
      <c r="BD361" s="505">
        <f>((BD252)*($E$326))</f>
        <v/>
      </c>
      <c r="BE361" s="505">
        <f>((BE252)*($E$326))</f>
        <v/>
      </c>
      <c r="BF361" s="505">
        <f>((BF252)*($E$326))</f>
        <v/>
      </c>
      <c r="BG361" s="505">
        <f>((BG252)*($E$326))</f>
        <v/>
      </c>
      <c r="BH361" s="505">
        <f>((BH252)*($E$326))</f>
        <v/>
      </c>
      <c r="BI361" s="505">
        <f>((BI252)*($E$326))</f>
        <v/>
      </c>
      <c r="BJ361" s="505">
        <f>((BJ252)*($E$326))</f>
        <v/>
      </c>
      <c r="BK361" s="505">
        <f>((BK252)*($E$326))</f>
        <v/>
      </c>
      <c r="BL361" s="505">
        <f>((BL252)*($E$326))</f>
        <v/>
      </c>
      <c r="BM361" s="505">
        <f>((BM252)*($E$326))</f>
        <v/>
      </c>
      <c r="BN361" s="505">
        <f>((BN252)*($E$326))</f>
        <v/>
      </c>
    </row>
    <row r="362" ht="15" customHeight="1" s="1883">
      <c r="D362" s="149" t="inlineStr">
        <is>
          <t>Month 30</t>
        </is>
      </c>
      <c r="E362" s="383" t="n"/>
      <c r="F362" s="383" t="n"/>
      <c r="G362" s="609" t="n"/>
      <c r="H362" s="609" t="n"/>
      <c r="I362" s="609" t="n"/>
      <c r="J362" s="609" t="n"/>
      <c r="K362" s="609" t="n"/>
      <c r="L362" s="609" t="n"/>
      <c r="M362" s="609" t="n"/>
      <c r="N362" s="609" t="n"/>
      <c r="O362" s="609" t="n"/>
      <c r="P362" s="609" t="n"/>
      <c r="Q362" s="609" t="n"/>
      <c r="R362" s="609" t="n"/>
      <c r="S362" s="610" t="n"/>
      <c r="T362" s="609" t="n"/>
      <c r="U362" s="609" t="n"/>
      <c r="V362" s="609" t="n"/>
      <c r="W362" s="609" t="n"/>
      <c r="X362" s="609" t="n"/>
      <c r="Y362" s="609" t="n"/>
      <c r="Z362" s="609" t="n"/>
      <c r="AA362" s="609" t="n"/>
      <c r="AB362" s="609" t="n"/>
      <c r="AC362" s="609" t="n"/>
      <c r="AD362" s="609" t="n"/>
      <c r="AE362" s="610" t="n"/>
      <c r="AF362" s="612" t="n"/>
      <c r="AG362" s="609" t="n"/>
      <c r="AH362" s="609" t="n"/>
      <c r="AI362" s="609" t="n"/>
      <c r="AJ362" s="609" t="n"/>
      <c r="AK362" s="609" t="n"/>
      <c r="AL362" s="505">
        <f>((AL253)*($E$324))</f>
        <v/>
      </c>
      <c r="AM362" s="505">
        <f>((AM253)*($E$324))</f>
        <v/>
      </c>
      <c r="AN362" s="505">
        <f>((AN253)*($E$324))</f>
        <v/>
      </c>
      <c r="AO362" s="505">
        <f>((AO253)*($E$324))</f>
        <v/>
      </c>
      <c r="AP362" s="505">
        <f>((AP253)*($E$324))</f>
        <v/>
      </c>
      <c r="AQ362" s="506">
        <f>((AQ253)*($E$325))</f>
        <v/>
      </c>
      <c r="AR362" s="505">
        <f>((AR253)*($E$325))</f>
        <v/>
      </c>
      <c r="AS362" s="505">
        <f>((AS253)*($E$325))</f>
        <v/>
      </c>
      <c r="AT362" s="505">
        <f>((AT253)*($E$325))</f>
        <v/>
      </c>
      <c r="AU362" s="505">
        <f>((AU253)*($E$325))</f>
        <v/>
      </c>
      <c r="AV362" s="505">
        <f>((AV253)*($E$325))</f>
        <v/>
      </c>
      <c r="AW362" s="505">
        <f>((AW253)*($E$325))</f>
        <v/>
      </c>
      <c r="AX362" s="505">
        <f>((AX253)*($E$325))</f>
        <v/>
      </c>
      <c r="AY362" s="505">
        <f>((AY253)*($E$325))</f>
        <v/>
      </c>
      <c r="AZ362" s="505">
        <f>((AZ253)*($E$325))</f>
        <v/>
      </c>
      <c r="BA362" s="505">
        <f>((BA253)*($E$325))</f>
        <v/>
      </c>
      <c r="BB362" s="505">
        <f>((BB253)*($E$325))</f>
        <v/>
      </c>
      <c r="BC362" s="506">
        <f>((BC253)*($E$326))</f>
        <v/>
      </c>
      <c r="BD362" s="505">
        <f>((BD253)*($E$326))</f>
        <v/>
      </c>
      <c r="BE362" s="505">
        <f>((BE253)*($E$326))</f>
        <v/>
      </c>
      <c r="BF362" s="505">
        <f>((BF253)*($E$326))</f>
        <v/>
      </c>
      <c r="BG362" s="505">
        <f>((BG253)*($E$326))</f>
        <v/>
      </c>
      <c r="BH362" s="505">
        <f>((BH253)*($E$326))</f>
        <v/>
      </c>
      <c r="BI362" s="505">
        <f>((BI253)*($E$326))</f>
        <v/>
      </c>
      <c r="BJ362" s="505">
        <f>((BJ253)*($E$326))</f>
        <v/>
      </c>
      <c r="BK362" s="505">
        <f>((BK253)*($E$326))</f>
        <v/>
      </c>
      <c r="BL362" s="505">
        <f>((BL253)*($E$326))</f>
        <v/>
      </c>
      <c r="BM362" s="505">
        <f>((BM253)*($E$326))</f>
        <v/>
      </c>
      <c r="BN362" s="505">
        <f>((BN253)*($E$326))</f>
        <v/>
      </c>
    </row>
    <row r="363" ht="15" customHeight="1" s="1883">
      <c r="D363" s="149" t="inlineStr">
        <is>
          <t>Month 31</t>
        </is>
      </c>
      <c r="E363" s="383" t="n"/>
      <c r="F363" s="383" t="n"/>
      <c r="G363" s="609" t="n"/>
      <c r="H363" s="609" t="n"/>
      <c r="I363" s="609" t="n"/>
      <c r="J363" s="609" t="n"/>
      <c r="K363" s="609" t="n"/>
      <c r="L363" s="609" t="n"/>
      <c r="M363" s="609" t="n"/>
      <c r="N363" s="609" t="n"/>
      <c r="O363" s="609" t="n"/>
      <c r="P363" s="609" t="n"/>
      <c r="Q363" s="609" t="n"/>
      <c r="R363" s="609" t="n"/>
      <c r="S363" s="610" t="n"/>
      <c r="T363" s="609" t="n"/>
      <c r="U363" s="609" t="n"/>
      <c r="V363" s="609" t="n"/>
      <c r="W363" s="609" t="n"/>
      <c r="X363" s="609" t="n"/>
      <c r="Y363" s="609" t="n"/>
      <c r="Z363" s="609" t="n"/>
      <c r="AA363" s="609" t="n"/>
      <c r="AB363" s="609" t="n"/>
      <c r="AC363" s="609" t="n"/>
      <c r="AD363" s="609" t="n"/>
      <c r="AE363" s="610" t="n"/>
      <c r="AF363" s="612" t="n"/>
      <c r="AG363" s="609" t="n"/>
      <c r="AH363" s="609" t="n"/>
      <c r="AI363" s="609" t="n"/>
      <c r="AJ363" s="609" t="n"/>
      <c r="AK363" s="609" t="n"/>
      <c r="AL363" s="609" t="n"/>
      <c r="AM363" s="505">
        <f>((AM254)*($E$324))</f>
        <v/>
      </c>
      <c r="AN363" s="505">
        <f>((AN254)*($E$324))</f>
        <v/>
      </c>
      <c r="AO363" s="505">
        <f>((AO254)*($E$324))</f>
        <v/>
      </c>
      <c r="AP363" s="505">
        <f>((AP254)*($E$324))</f>
        <v/>
      </c>
      <c r="AQ363" s="506">
        <f>((AQ254)*($E$325))</f>
        <v/>
      </c>
      <c r="AR363" s="505">
        <f>((AR254)*($E$325))</f>
        <v/>
      </c>
      <c r="AS363" s="505">
        <f>((AS254)*($E$325))</f>
        <v/>
      </c>
      <c r="AT363" s="505">
        <f>((AT254)*($E$325))</f>
        <v/>
      </c>
      <c r="AU363" s="505">
        <f>((AU254)*($E$325))</f>
        <v/>
      </c>
      <c r="AV363" s="505">
        <f>((AV254)*($E$325))</f>
        <v/>
      </c>
      <c r="AW363" s="505">
        <f>((AW254)*($E$325))</f>
        <v/>
      </c>
      <c r="AX363" s="505">
        <f>((AX254)*($E$325))</f>
        <v/>
      </c>
      <c r="AY363" s="505">
        <f>((AY254)*($E$325))</f>
        <v/>
      </c>
      <c r="AZ363" s="505">
        <f>((AZ254)*($E$325))</f>
        <v/>
      </c>
      <c r="BA363" s="505">
        <f>((BA254)*($E$325))</f>
        <v/>
      </c>
      <c r="BB363" s="505">
        <f>((BB254)*($E$325))</f>
        <v/>
      </c>
      <c r="BC363" s="506">
        <f>((BC254)*($E$326))</f>
        <v/>
      </c>
      <c r="BD363" s="505">
        <f>((BD254)*($E$326))</f>
        <v/>
      </c>
      <c r="BE363" s="505">
        <f>((BE254)*($E$326))</f>
        <v/>
      </c>
      <c r="BF363" s="505">
        <f>((BF254)*($E$326))</f>
        <v/>
      </c>
      <c r="BG363" s="505">
        <f>((BG254)*($E$326))</f>
        <v/>
      </c>
      <c r="BH363" s="505">
        <f>((BH254)*($E$326))</f>
        <v/>
      </c>
      <c r="BI363" s="505">
        <f>((BI254)*($E$326))</f>
        <v/>
      </c>
      <c r="BJ363" s="505">
        <f>((BJ254)*($E$326))</f>
        <v/>
      </c>
      <c r="BK363" s="505">
        <f>((BK254)*($E$326))</f>
        <v/>
      </c>
      <c r="BL363" s="505">
        <f>((BL254)*($E$326))</f>
        <v/>
      </c>
      <c r="BM363" s="505">
        <f>((BM254)*($E$326))</f>
        <v/>
      </c>
      <c r="BN363" s="505">
        <f>((BN254)*($E$326))</f>
        <v/>
      </c>
    </row>
    <row r="364" ht="15" customHeight="1" s="1883">
      <c r="D364" s="149" t="inlineStr">
        <is>
          <t>Month 32</t>
        </is>
      </c>
      <c r="E364" s="383" t="n"/>
      <c r="F364" s="383" t="n"/>
      <c r="G364" s="609" t="n"/>
      <c r="H364" s="609" t="n"/>
      <c r="I364" s="609" t="n"/>
      <c r="J364" s="609" t="n"/>
      <c r="K364" s="609" t="n"/>
      <c r="L364" s="609" t="n"/>
      <c r="M364" s="609" t="n"/>
      <c r="N364" s="609" t="n"/>
      <c r="O364" s="609" t="n"/>
      <c r="P364" s="609" t="n"/>
      <c r="Q364" s="609" t="n"/>
      <c r="R364" s="609" t="n"/>
      <c r="S364" s="610" t="n"/>
      <c r="T364" s="609" t="n"/>
      <c r="U364" s="609" t="n"/>
      <c r="V364" s="609" t="n"/>
      <c r="W364" s="609" t="n"/>
      <c r="X364" s="609" t="n"/>
      <c r="Y364" s="609" t="n"/>
      <c r="Z364" s="609" t="n"/>
      <c r="AA364" s="609" t="n"/>
      <c r="AB364" s="609" t="n"/>
      <c r="AC364" s="609" t="n"/>
      <c r="AD364" s="609" t="n"/>
      <c r="AE364" s="610" t="n"/>
      <c r="AF364" s="609" t="n"/>
      <c r="AG364" s="609" t="n"/>
      <c r="AH364" s="609" t="n"/>
      <c r="AI364" s="609" t="n"/>
      <c r="AJ364" s="609" t="n"/>
      <c r="AK364" s="609" t="n"/>
      <c r="AL364" s="609" t="n"/>
      <c r="AM364" s="609" t="n"/>
      <c r="AN364" s="505">
        <f>((AN255)*($E$324))</f>
        <v/>
      </c>
      <c r="AO364" s="505">
        <f>((AO255)*($E$324))</f>
        <v/>
      </c>
      <c r="AP364" s="505">
        <f>((AP255)*($E$324))</f>
        <v/>
      </c>
      <c r="AQ364" s="506">
        <f>((AQ255)*($E$325))</f>
        <v/>
      </c>
      <c r="AR364" s="505">
        <f>((AR255)*($E$325))</f>
        <v/>
      </c>
      <c r="AS364" s="505">
        <f>((AS255)*($E$325))</f>
        <v/>
      </c>
      <c r="AT364" s="505">
        <f>((AT255)*($E$325))</f>
        <v/>
      </c>
      <c r="AU364" s="505">
        <f>((AU255)*($E$325))</f>
        <v/>
      </c>
      <c r="AV364" s="505">
        <f>((AV255)*($E$325))</f>
        <v/>
      </c>
      <c r="AW364" s="505">
        <f>((AW255)*($E$325))</f>
        <v/>
      </c>
      <c r="AX364" s="505">
        <f>((AX255)*($E$325))</f>
        <v/>
      </c>
      <c r="AY364" s="505">
        <f>((AY255)*($E$325))</f>
        <v/>
      </c>
      <c r="AZ364" s="505">
        <f>((AZ255)*($E$325))</f>
        <v/>
      </c>
      <c r="BA364" s="505">
        <f>((BA255)*($E$325))</f>
        <v/>
      </c>
      <c r="BB364" s="505">
        <f>((BB255)*($E$325))</f>
        <v/>
      </c>
      <c r="BC364" s="506">
        <f>((BC255)*($E$326))</f>
        <v/>
      </c>
      <c r="BD364" s="505">
        <f>((BD255)*($E$326))</f>
        <v/>
      </c>
      <c r="BE364" s="505">
        <f>((BE255)*($E$326))</f>
        <v/>
      </c>
      <c r="BF364" s="505">
        <f>((BF255)*($E$326))</f>
        <v/>
      </c>
      <c r="BG364" s="505">
        <f>((BG255)*($E$326))</f>
        <v/>
      </c>
      <c r="BH364" s="505">
        <f>((BH255)*($E$326))</f>
        <v/>
      </c>
      <c r="BI364" s="505">
        <f>((BI255)*($E$326))</f>
        <v/>
      </c>
      <c r="BJ364" s="505">
        <f>((BJ255)*($E$326))</f>
        <v/>
      </c>
      <c r="BK364" s="505">
        <f>((BK255)*($E$326))</f>
        <v/>
      </c>
      <c r="BL364" s="505">
        <f>((BL255)*($E$326))</f>
        <v/>
      </c>
      <c r="BM364" s="505">
        <f>((BM255)*($E$326))</f>
        <v/>
      </c>
      <c r="BN364" s="505">
        <f>((BN255)*($E$326))</f>
        <v/>
      </c>
    </row>
    <row r="365" ht="15" customHeight="1" s="1883">
      <c r="D365" s="149" t="inlineStr">
        <is>
          <t>Month 33</t>
        </is>
      </c>
      <c r="E365" s="383" t="n"/>
      <c r="F365" s="383" t="n"/>
      <c r="G365" s="609" t="n"/>
      <c r="H365" s="609" t="n"/>
      <c r="I365" s="609" t="n"/>
      <c r="J365" s="609" t="n"/>
      <c r="K365" s="609" t="n"/>
      <c r="L365" s="609" t="n"/>
      <c r="M365" s="609" t="n"/>
      <c r="N365" s="609" t="n"/>
      <c r="O365" s="609" t="n"/>
      <c r="P365" s="609" t="n"/>
      <c r="Q365" s="609" t="n"/>
      <c r="R365" s="609" t="n"/>
      <c r="S365" s="610" t="n"/>
      <c r="T365" s="609" t="n"/>
      <c r="U365" s="609" t="n"/>
      <c r="V365" s="609" t="n"/>
      <c r="W365" s="609" t="n"/>
      <c r="X365" s="609" t="n"/>
      <c r="Y365" s="609" t="n"/>
      <c r="Z365" s="609" t="n"/>
      <c r="AA365" s="609" t="n"/>
      <c r="AB365" s="609" t="n"/>
      <c r="AC365" s="609" t="n"/>
      <c r="AD365" s="609" t="n"/>
      <c r="AE365" s="610" t="n"/>
      <c r="AF365" s="609" t="n"/>
      <c r="AG365" s="609" t="n"/>
      <c r="AH365" s="609" t="n"/>
      <c r="AI365" s="609" t="n"/>
      <c r="AJ365" s="609" t="n"/>
      <c r="AK365" s="609" t="n"/>
      <c r="AL365" s="609" t="n"/>
      <c r="AM365" s="609" t="n"/>
      <c r="AN365" s="609" t="n"/>
      <c r="AO365" s="505">
        <f>((AO256)*($E$324))</f>
        <v/>
      </c>
      <c r="AP365" s="505">
        <f>((AP256)*($E$324))</f>
        <v/>
      </c>
      <c r="AQ365" s="506">
        <f>((AQ256)*($E$325))</f>
        <v/>
      </c>
      <c r="AR365" s="505">
        <f>((AR256)*($E$325))</f>
        <v/>
      </c>
      <c r="AS365" s="505">
        <f>((AS256)*($E$325))</f>
        <v/>
      </c>
      <c r="AT365" s="505">
        <f>((AT256)*($E$325))</f>
        <v/>
      </c>
      <c r="AU365" s="505">
        <f>((AU256)*($E$325))</f>
        <v/>
      </c>
      <c r="AV365" s="505">
        <f>((AV256)*($E$325))</f>
        <v/>
      </c>
      <c r="AW365" s="505">
        <f>((AW256)*($E$325))</f>
        <v/>
      </c>
      <c r="AX365" s="505">
        <f>((AX256)*($E$325))</f>
        <v/>
      </c>
      <c r="AY365" s="505">
        <f>((AY256)*($E$325))</f>
        <v/>
      </c>
      <c r="AZ365" s="505">
        <f>((AZ256)*($E$325))</f>
        <v/>
      </c>
      <c r="BA365" s="505">
        <f>((BA256)*($E$325))</f>
        <v/>
      </c>
      <c r="BB365" s="505">
        <f>((BB256)*($E$325))</f>
        <v/>
      </c>
      <c r="BC365" s="506">
        <f>((BC256)*($E$326))</f>
        <v/>
      </c>
      <c r="BD365" s="505">
        <f>((BD256)*($E$326))</f>
        <v/>
      </c>
      <c r="BE365" s="505">
        <f>((BE256)*($E$326))</f>
        <v/>
      </c>
      <c r="BF365" s="505">
        <f>((BF256)*($E$326))</f>
        <v/>
      </c>
      <c r="BG365" s="505">
        <f>((BG256)*($E$326))</f>
        <v/>
      </c>
      <c r="BH365" s="505">
        <f>((BH256)*($E$326))</f>
        <v/>
      </c>
      <c r="BI365" s="505">
        <f>((BI256)*($E$326))</f>
        <v/>
      </c>
      <c r="BJ365" s="505">
        <f>((BJ256)*($E$326))</f>
        <v/>
      </c>
      <c r="BK365" s="505">
        <f>((BK256)*($E$326))</f>
        <v/>
      </c>
      <c r="BL365" s="505">
        <f>((BL256)*($E$326))</f>
        <v/>
      </c>
      <c r="BM365" s="505">
        <f>((BM256)*($E$326))</f>
        <v/>
      </c>
      <c r="BN365" s="505">
        <f>((BN256)*($E$326))</f>
        <v/>
      </c>
    </row>
    <row r="366" ht="15" customHeight="1" s="1883">
      <c r="D366" s="149" t="inlineStr">
        <is>
          <t>Month 34</t>
        </is>
      </c>
      <c r="E366" s="383" t="n"/>
      <c r="F366" s="383" t="n"/>
      <c r="G366" s="609" t="n"/>
      <c r="H366" s="609" t="n"/>
      <c r="I366" s="609" t="n"/>
      <c r="J366" s="609" t="n"/>
      <c r="K366" s="609" t="n"/>
      <c r="L366" s="609" t="n"/>
      <c r="M366" s="609" t="n"/>
      <c r="N366" s="609" t="n"/>
      <c r="O366" s="609" t="n"/>
      <c r="P366" s="609" t="n"/>
      <c r="Q366" s="609" t="n"/>
      <c r="R366" s="609" t="n"/>
      <c r="S366" s="610" t="n"/>
      <c r="T366" s="609" t="n"/>
      <c r="U366" s="609" t="n"/>
      <c r="V366" s="609" t="n"/>
      <c r="W366" s="609" t="n"/>
      <c r="X366" s="609" t="n"/>
      <c r="Y366" s="609" t="n"/>
      <c r="Z366" s="609" t="n"/>
      <c r="AA366" s="609" t="n"/>
      <c r="AB366" s="609" t="n"/>
      <c r="AC366" s="609" t="n"/>
      <c r="AD366" s="609" t="n"/>
      <c r="AE366" s="610" t="n"/>
      <c r="AF366" s="609" t="n"/>
      <c r="AG366" s="609" t="n"/>
      <c r="AH366" s="609" t="n"/>
      <c r="AI366" s="609" t="n"/>
      <c r="AJ366" s="609" t="n"/>
      <c r="AK366" s="609" t="n"/>
      <c r="AL366" s="609" t="n"/>
      <c r="AM366" s="609" t="n"/>
      <c r="AN366" s="609" t="n"/>
      <c r="AO366" s="609" t="n"/>
      <c r="AP366" s="505">
        <f>((AP257)*($E$324))</f>
        <v/>
      </c>
      <c r="AQ366" s="506">
        <f>((AQ257)*($E$325))</f>
        <v/>
      </c>
      <c r="AR366" s="505">
        <f>((AR257)*($E$325))</f>
        <v/>
      </c>
      <c r="AS366" s="505">
        <f>((AS257)*($E$325))</f>
        <v/>
      </c>
      <c r="AT366" s="505">
        <f>((AT257)*($E$325))</f>
        <v/>
      </c>
      <c r="AU366" s="505">
        <f>((AU257)*($E$325))</f>
        <v/>
      </c>
      <c r="AV366" s="505">
        <f>((AV257)*($E$325))</f>
        <v/>
      </c>
      <c r="AW366" s="505">
        <f>((AW257)*($E$325))</f>
        <v/>
      </c>
      <c r="AX366" s="505">
        <f>((AX257)*($E$325))</f>
        <v/>
      </c>
      <c r="AY366" s="505">
        <f>((AY257)*($E$325))</f>
        <v/>
      </c>
      <c r="AZ366" s="505">
        <f>((AZ257)*($E$325))</f>
        <v/>
      </c>
      <c r="BA366" s="505">
        <f>((BA257)*($E$325))</f>
        <v/>
      </c>
      <c r="BB366" s="505">
        <f>((BB257)*($E$325))</f>
        <v/>
      </c>
      <c r="BC366" s="506">
        <f>((BC257)*($E$326))</f>
        <v/>
      </c>
      <c r="BD366" s="505">
        <f>((BD257)*($E$326))</f>
        <v/>
      </c>
      <c r="BE366" s="505">
        <f>((BE257)*($E$326))</f>
        <v/>
      </c>
      <c r="BF366" s="505">
        <f>((BF257)*($E$326))</f>
        <v/>
      </c>
      <c r="BG366" s="505">
        <f>((BG257)*($E$326))</f>
        <v/>
      </c>
      <c r="BH366" s="505">
        <f>((BH257)*($E$326))</f>
        <v/>
      </c>
      <c r="BI366" s="505">
        <f>((BI257)*($E$326))</f>
        <v/>
      </c>
      <c r="BJ366" s="505">
        <f>((BJ257)*($E$326))</f>
        <v/>
      </c>
      <c r="BK366" s="505">
        <f>((BK257)*($E$326))</f>
        <v/>
      </c>
      <c r="BL366" s="505">
        <f>((BL257)*($E$326))</f>
        <v/>
      </c>
      <c r="BM366" s="505">
        <f>((BM257)*($E$326))</f>
        <v/>
      </c>
      <c r="BN366" s="505">
        <f>((BN257)*($E$326))</f>
        <v/>
      </c>
    </row>
    <row r="367" ht="15" customHeight="1" s="1883">
      <c r="D367" s="149" t="inlineStr">
        <is>
          <t>Month 35</t>
        </is>
      </c>
      <c r="E367" s="383" t="n"/>
      <c r="F367" s="383" t="n"/>
      <c r="G367" s="609" t="n"/>
      <c r="H367" s="609" t="n"/>
      <c r="I367" s="609" t="n"/>
      <c r="J367" s="609" t="n"/>
      <c r="K367" s="609" t="n"/>
      <c r="L367" s="609" t="n"/>
      <c r="M367" s="609" t="n"/>
      <c r="N367" s="609" t="n"/>
      <c r="O367" s="609" t="n"/>
      <c r="P367" s="609" t="n"/>
      <c r="Q367" s="609" t="n"/>
      <c r="R367" s="609" t="n"/>
      <c r="S367" s="610" t="n"/>
      <c r="T367" s="609" t="n"/>
      <c r="U367" s="609" t="n"/>
      <c r="V367" s="609" t="n"/>
      <c r="W367" s="609" t="n"/>
      <c r="X367" s="609" t="n"/>
      <c r="Y367" s="609" t="n"/>
      <c r="Z367" s="609" t="n"/>
      <c r="AA367" s="609" t="n"/>
      <c r="AB367" s="609" t="n"/>
      <c r="AC367" s="609" t="n"/>
      <c r="AD367" s="609" t="n"/>
      <c r="AE367" s="610" t="n"/>
      <c r="AF367" s="609" t="n"/>
      <c r="AG367" s="609" t="n"/>
      <c r="AH367" s="609" t="n"/>
      <c r="AI367" s="609" t="n"/>
      <c r="AJ367" s="609" t="n"/>
      <c r="AK367" s="609" t="n"/>
      <c r="AL367" s="609" t="n"/>
      <c r="AM367" s="609" t="n"/>
      <c r="AN367" s="609" t="n"/>
      <c r="AO367" s="609" t="n"/>
      <c r="AP367" s="609" t="n"/>
      <c r="AQ367" s="506">
        <f>((AQ258)*($E$325))</f>
        <v/>
      </c>
      <c r="AR367" s="505">
        <f>((AR258)*($E$325))</f>
        <v/>
      </c>
      <c r="AS367" s="505">
        <f>((AS258)*($E$325))</f>
        <v/>
      </c>
      <c r="AT367" s="505">
        <f>((AT258)*($E$325))</f>
        <v/>
      </c>
      <c r="AU367" s="505">
        <f>((AU258)*($E$325))</f>
        <v/>
      </c>
      <c r="AV367" s="505">
        <f>((AV258)*($E$325))</f>
        <v/>
      </c>
      <c r="AW367" s="505">
        <f>((AW258)*($E$325))</f>
        <v/>
      </c>
      <c r="AX367" s="505">
        <f>((AX258)*($E$325))</f>
        <v/>
      </c>
      <c r="AY367" s="505">
        <f>((AY258)*($E$325))</f>
        <v/>
      </c>
      <c r="AZ367" s="505">
        <f>((AZ258)*($E$325))</f>
        <v/>
      </c>
      <c r="BA367" s="505">
        <f>((BA258)*($E$325))</f>
        <v/>
      </c>
      <c r="BB367" s="505">
        <f>((BB258)*($E$325))</f>
        <v/>
      </c>
      <c r="BC367" s="506">
        <f>((BC258)*($E$326))</f>
        <v/>
      </c>
      <c r="BD367" s="505">
        <f>((BD258)*($E$326))</f>
        <v/>
      </c>
      <c r="BE367" s="505">
        <f>((BE258)*($E$326))</f>
        <v/>
      </c>
      <c r="BF367" s="505">
        <f>((BF258)*($E$326))</f>
        <v/>
      </c>
      <c r="BG367" s="505">
        <f>((BG258)*($E$326))</f>
        <v/>
      </c>
      <c r="BH367" s="505">
        <f>((BH258)*($E$326))</f>
        <v/>
      </c>
      <c r="BI367" s="505">
        <f>((BI258)*($E$326))</f>
        <v/>
      </c>
      <c r="BJ367" s="505">
        <f>((BJ258)*($E$326))</f>
        <v/>
      </c>
      <c r="BK367" s="505">
        <f>((BK258)*($E$326))</f>
        <v/>
      </c>
      <c r="BL367" s="505">
        <f>((BL258)*($E$326))</f>
        <v/>
      </c>
      <c r="BM367" s="505">
        <f>((BM258)*($E$326))</f>
        <v/>
      </c>
      <c r="BN367" s="505">
        <f>((BN258)*($E$326))</f>
        <v/>
      </c>
    </row>
    <row r="368" ht="15" customHeight="1" s="1883">
      <c r="D368" s="149" t="inlineStr">
        <is>
          <t>Month 36</t>
        </is>
      </c>
      <c r="E368" s="383" t="n"/>
      <c r="F368" s="383" t="n"/>
      <c r="G368" s="609" t="n"/>
      <c r="H368" s="609" t="n"/>
      <c r="I368" s="609" t="n"/>
      <c r="J368" s="609" t="n"/>
      <c r="K368" s="609" t="n"/>
      <c r="L368" s="609" t="n"/>
      <c r="M368" s="609" t="n"/>
      <c r="N368" s="609" t="n"/>
      <c r="O368" s="609" t="n"/>
      <c r="P368" s="609" t="n"/>
      <c r="Q368" s="609" t="n"/>
      <c r="R368" s="609" t="n"/>
      <c r="S368" s="610" t="n"/>
      <c r="T368" s="609" t="n"/>
      <c r="U368" s="609" t="n"/>
      <c r="V368" s="609" t="n"/>
      <c r="W368" s="609" t="n"/>
      <c r="X368" s="609" t="n"/>
      <c r="Y368" s="609" t="n"/>
      <c r="Z368" s="609" t="n"/>
      <c r="AA368" s="609" t="n"/>
      <c r="AB368" s="609" t="n"/>
      <c r="AC368" s="609" t="n"/>
      <c r="AD368" s="609" t="n"/>
      <c r="AE368" s="610" t="n"/>
      <c r="AF368" s="609" t="n"/>
      <c r="AG368" s="609" t="n"/>
      <c r="AH368" s="609" t="n"/>
      <c r="AI368" s="609" t="n"/>
      <c r="AJ368" s="609" t="n"/>
      <c r="AK368" s="609" t="n"/>
      <c r="AL368" s="609" t="n"/>
      <c r="AM368" s="609" t="n"/>
      <c r="AN368" s="609" t="n"/>
      <c r="AO368" s="609" t="n"/>
      <c r="AP368" s="609" t="n"/>
      <c r="AQ368" s="610" t="n"/>
      <c r="AR368" s="505">
        <f>((AR259)*($E$325))</f>
        <v/>
      </c>
      <c r="AS368" s="505">
        <f>((AS259)*($E$325))</f>
        <v/>
      </c>
      <c r="AT368" s="505">
        <f>((AT259)*($E$325))</f>
        <v/>
      </c>
      <c r="AU368" s="505">
        <f>((AU259)*($E$325))</f>
        <v/>
      </c>
      <c r="AV368" s="505">
        <f>((AV259)*($E$325))</f>
        <v/>
      </c>
      <c r="AW368" s="505">
        <f>((AW259)*($E$325))</f>
        <v/>
      </c>
      <c r="AX368" s="505">
        <f>((AX259)*($E$325))</f>
        <v/>
      </c>
      <c r="AY368" s="505">
        <f>((AY259)*($E$325))</f>
        <v/>
      </c>
      <c r="AZ368" s="505">
        <f>((AZ259)*($E$325))</f>
        <v/>
      </c>
      <c r="BA368" s="505">
        <f>((BA259)*($E$325))</f>
        <v/>
      </c>
      <c r="BB368" s="505">
        <f>((BB259)*($E$325))</f>
        <v/>
      </c>
      <c r="BC368" s="506">
        <f>((BC259)*($E$326))</f>
        <v/>
      </c>
      <c r="BD368" s="505">
        <f>((BD259)*($E$326))</f>
        <v/>
      </c>
      <c r="BE368" s="505">
        <f>((BE259)*($E$326))</f>
        <v/>
      </c>
      <c r="BF368" s="505">
        <f>((BF259)*($E$326))</f>
        <v/>
      </c>
      <c r="BG368" s="505">
        <f>((BG259)*($E$326))</f>
        <v/>
      </c>
      <c r="BH368" s="505">
        <f>((BH259)*($E$326))</f>
        <v/>
      </c>
      <c r="BI368" s="505">
        <f>((BI259)*($E$326))</f>
        <v/>
      </c>
      <c r="BJ368" s="505">
        <f>((BJ259)*($E$326))</f>
        <v/>
      </c>
      <c r="BK368" s="505">
        <f>((BK259)*($E$326))</f>
        <v/>
      </c>
      <c r="BL368" s="505">
        <f>((BL259)*($E$326))</f>
        <v/>
      </c>
      <c r="BM368" s="505">
        <f>((BM259)*($E$326))</f>
        <v/>
      </c>
      <c r="BN368" s="505">
        <f>((BN259)*($E$326))</f>
        <v/>
      </c>
    </row>
    <row r="369" ht="15" customHeight="1" s="1883">
      <c r="D369" s="149" t="inlineStr">
        <is>
          <t>Month 37</t>
        </is>
      </c>
      <c r="E369" s="383" t="n"/>
      <c r="F369" s="383" t="n"/>
      <c r="G369" s="609" t="n"/>
      <c r="H369" s="609" t="n"/>
      <c r="I369" s="609" t="n"/>
      <c r="J369" s="609" t="n"/>
      <c r="K369" s="609" t="n"/>
      <c r="L369" s="609" t="n"/>
      <c r="M369" s="609" t="n"/>
      <c r="N369" s="609" t="n"/>
      <c r="O369" s="609" t="n"/>
      <c r="P369" s="609" t="n"/>
      <c r="Q369" s="609" t="n"/>
      <c r="R369" s="609" t="n"/>
      <c r="S369" s="610" t="n"/>
      <c r="T369" s="609" t="n"/>
      <c r="U369" s="609" t="n"/>
      <c r="V369" s="609" t="n"/>
      <c r="W369" s="609" t="n"/>
      <c r="X369" s="609" t="n"/>
      <c r="Y369" s="609" t="n"/>
      <c r="Z369" s="609" t="n"/>
      <c r="AA369" s="609" t="n"/>
      <c r="AB369" s="609" t="n"/>
      <c r="AC369" s="609" t="n"/>
      <c r="AD369" s="609" t="n"/>
      <c r="AE369" s="610" t="n"/>
      <c r="AF369" s="609" t="n"/>
      <c r="AG369" s="609" t="n"/>
      <c r="AH369" s="609" t="n"/>
      <c r="AI369" s="609" t="n"/>
      <c r="AJ369" s="609" t="n"/>
      <c r="AK369" s="609" t="n"/>
      <c r="AL369" s="609" t="n"/>
      <c r="AM369" s="609" t="n"/>
      <c r="AN369" s="609" t="n"/>
      <c r="AO369" s="609" t="n"/>
      <c r="AP369" s="609" t="n"/>
      <c r="AQ369" s="610" t="n"/>
      <c r="AR369" s="609" t="n"/>
      <c r="AS369" s="505">
        <f>((AS260)*($E$325))</f>
        <v/>
      </c>
      <c r="AT369" s="505">
        <f>((AT260)*($E$325))</f>
        <v/>
      </c>
      <c r="AU369" s="505">
        <f>((AU260)*($E$325))</f>
        <v/>
      </c>
      <c r="AV369" s="505">
        <f>((AV260)*($E$325))</f>
        <v/>
      </c>
      <c r="AW369" s="505">
        <f>((AW260)*($E$325))</f>
        <v/>
      </c>
      <c r="AX369" s="505">
        <f>((AX260)*($E$325))</f>
        <v/>
      </c>
      <c r="AY369" s="505">
        <f>((AY260)*($E$325))</f>
        <v/>
      </c>
      <c r="AZ369" s="505">
        <f>((AZ260)*($E$325))</f>
        <v/>
      </c>
      <c r="BA369" s="505">
        <f>((BA260)*($E$325))</f>
        <v/>
      </c>
      <c r="BB369" s="505">
        <f>((BB260)*($E$325))</f>
        <v/>
      </c>
      <c r="BC369" s="506">
        <f>((BC260)*($E$326))</f>
        <v/>
      </c>
      <c r="BD369" s="505">
        <f>((BD260)*($E$326))</f>
        <v/>
      </c>
      <c r="BE369" s="505">
        <f>((BE260)*($E$326))</f>
        <v/>
      </c>
      <c r="BF369" s="505">
        <f>((BF260)*($E$326))</f>
        <v/>
      </c>
      <c r="BG369" s="505">
        <f>((BG260)*($E$326))</f>
        <v/>
      </c>
      <c r="BH369" s="505">
        <f>((BH260)*($E$326))</f>
        <v/>
      </c>
      <c r="BI369" s="505">
        <f>((BI260)*($E$326))</f>
        <v/>
      </c>
      <c r="BJ369" s="505">
        <f>((BJ260)*($E$326))</f>
        <v/>
      </c>
      <c r="BK369" s="505">
        <f>((BK260)*($E$326))</f>
        <v/>
      </c>
      <c r="BL369" s="505">
        <f>((BL260)*($E$326))</f>
        <v/>
      </c>
      <c r="BM369" s="505">
        <f>((BM260)*($E$326))</f>
        <v/>
      </c>
      <c r="BN369" s="505">
        <f>((BN260)*($E$326))</f>
        <v/>
      </c>
    </row>
    <row r="370" ht="15" customHeight="1" s="1883">
      <c r="D370" s="149" t="inlineStr">
        <is>
          <t>Month 38</t>
        </is>
      </c>
      <c r="E370" s="383" t="n"/>
      <c r="F370" s="383" t="n"/>
      <c r="G370" s="609" t="n"/>
      <c r="H370" s="609" t="n"/>
      <c r="I370" s="609" t="n"/>
      <c r="J370" s="609" t="n"/>
      <c r="K370" s="609" t="n"/>
      <c r="L370" s="609" t="n"/>
      <c r="M370" s="609" t="n"/>
      <c r="N370" s="609" t="n"/>
      <c r="O370" s="609" t="n"/>
      <c r="P370" s="609" t="n"/>
      <c r="Q370" s="609" t="n"/>
      <c r="R370" s="609" t="n"/>
      <c r="S370" s="610" t="n"/>
      <c r="T370" s="609" t="n"/>
      <c r="U370" s="609" t="n"/>
      <c r="V370" s="609" t="n"/>
      <c r="W370" s="609" t="n"/>
      <c r="X370" s="609" t="n"/>
      <c r="Y370" s="609" t="n"/>
      <c r="Z370" s="609" t="n"/>
      <c r="AA370" s="609" t="n"/>
      <c r="AB370" s="609" t="n"/>
      <c r="AC370" s="609" t="n"/>
      <c r="AD370" s="609" t="n"/>
      <c r="AE370" s="610" t="n"/>
      <c r="AF370" s="609" t="n"/>
      <c r="AG370" s="609" t="n"/>
      <c r="AH370" s="609" t="n"/>
      <c r="AI370" s="609" t="n"/>
      <c r="AJ370" s="609" t="n"/>
      <c r="AK370" s="609" t="n"/>
      <c r="AL370" s="609" t="n"/>
      <c r="AM370" s="609" t="n"/>
      <c r="AN370" s="609" t="n"/>
      <c r="AO370" s="609" t="n"/>
      <c r="AP370" s="609" t="n"/>
      <c r="AQ370" s="610" t="n"/>
      <c r="AR370" s="609" t="n"/>
      <c r="AS370" s="609" t="n"/>
      <c r="AT370" s="505">
        <f>((AT261)*($E$325))</f>
        <v/>
      </c>
      <c r="AU370" s="505">
        <f>((AU261)*($E$325))</f>
        <v/>
      </c>
      <c r="AV370" s="505">
        <f>((AV261)*($E$325))</f>
        <v/>
      </c>
      <c r="AW370" s="505">
        <f>((AW261)*($E$325))</f>
        <v/>
      </c>
      <c r="AX370" s="505">
        <f>((AX261)*($E$325))</f>
        <v/>
      </c>
      <c r="AY370" s="505">
        <f>((AY261)*($E$325))</f>
        <v/>
      </c>
      <c r="AZ370" s="505">
        <f>((AZ261)*($E$325))</f>
        <v/>
      </c>
      <c r="BA370" s="505">
        <f>((BA261)*($E$325))</f>
        <v/>
      </c>
      <c r="BB370" s="505">
        <f>((BB261)*($E$325))</f>
        <v/>
      </c>
      <c r="BC370" s="506">
        <f>((BC261)*($E$326))</f>
        <v/>
      </c>
      <c r="BD370" s="505">
        <f>((BD261)*($E$326))</f>
        <v/>
      </c>
      <c r="BE370" s="505">
        <f>((BE261)*($E$326))</f>
        <v/>
      </c>
      <c r="BF370" s="505">
        <f>((BF261)*($E$326))</f>
        <v/>
      </c>
      <c r="BG370" s="505">
        <f>((BG261)*($E$326))</f>
        <v/>
      </c>
      <c r="BH370" s="505">
        <f>((BH261)*($E$326))</f>
        <v/>
      </c>
      <c r="BI370" s="505">
        <f>((BI261)*($E$326))</f>
        <v/>
      </c>
      <c r="BJ370" s="505">
        <f>((BJ261)*($E$326))</f>
        <v/>
      </c>
      <c r="BK370" s="505">
        <f>((BK261)*($E$326))</f>
        <v/>
      </c>
      <c r="BL370" s="505">
        <f>((BL261)*($E$326))</f>
        <v/>
      </c>
      <c r="BM370" s="505">
        <f>((BM261)*($E$326))</f>
        <v/>
      </c>
      <c r="BN370" s="505">
        <f>((BN261)*($E$326))</f>
        <v/>
      </c>
    </row>
    <row r="371" ht="15" customHeight="1" s="1883">
      <c r="D371" s="149" t="inlineStr">
        <is>
          <t>Month 39</t>
        </is>
      </c>
      <c r="E371" s="383" t="n"/>
      <c r="F371" s="383" t="n"/>
      <c r="G371" s="609" t="n"/>
      <c r="H371" s="609" t="n"/>
      <c r="I371" s="609" t="n"/>
      <c r="J371" s="609" t="n"/>
      <c r="K371" s="609" t="n"/>
      <c r="L371" s="609" t="n"/>
      <c r="M371" s="609" t="n"/>
      <c r="N371" s="609" t="n"/>
      <c r="O371" s="609" t="n"/>
      <c r="P371" s="609" t="n"/>
      <c r="Q371" s="609" t="n"/>
      <c r="R371" s="609" t="n"/>
      <c r="S371" s="610" t="n"/>
      <c r="T371" s="609" t="n"/>
      <c r="U371" s="609" t="n"/>
      <c r="V371" s="609" t="n"/>
      <c r="W371" s="609" t="n"/>
      <c r="X371" s="609" t="n"/>
      <c r="Y371" s="609" t="n"/>
      <c r="Z371" s="609" t="n"/>
      <c r="AA371" s="609" t="n"/>
      <c r="AB371" s="609" t="n"/>
      <c r="AC371" s="609" t="n"/>
      <c r="AD371" s="609" t="n"/>
      <c r="AE371" s="610" t="n"/>
      <c r="AF371" s="609" t="n"/>
      <c r="AG371" s="609" t="n"/>
      <c r="AH371" s="609" t="n"/>
      <c r="AI371" s="609" t="n"/>
      <c r="AJ371" s="609" t="n"/>
      <c r="AK371" s="609" t="n"/>
      <c r="AL371" s="609" t="n"/>
      <c r="AM371" s="609" t="n"/>
      <c r="AN371" s="609" t="n"/>
      <c r="AO371" s="609" t="n"/>
      <c r="AP371" s="609" t="n"/>
      <c r="AQ371" s="610" t="n"/>
      <c r="AR371" s="609" t="n"/>
      <c r="AS371" s="609" t="n"/>
      <c r="AT371" s="609" t="n"/>
      <c r="AU371" s="505">
        <f>((AU262)*($E$325))</f>
        <v/>
      </c>
      <c r="AV371" s="505">
        <f>((AV262)*($E$325))</f>
        <v/>
      </c>
      <c r="AW371" s="505">
        <f>((AW262)*($E$325))</f>
        <v/>
      </c>
      <c r="AX371" s="505">
        <f>((AX262)*($E$325))</f>
        <v/>
      </c>
      <c r="AY371" s="505">
        <f>((AY262)*($E$325))</f>
        <v/>
      </c>
      <c r="AZ371" s="505">
        <f>((AZ262)*($E$325))</f>
        <v/>
      </c>
      <c r="BA371" s="505">
        <f>((BA262)*($E$325))</f>
        <v/>
      </c>
      <c r="BB371" s="505">
        <f>((BB262)*($E$325))</f>
        <v/>
      </c>
      <c r="BC371" s="506">
        <f>((BC262)*($E$326))</f>
        <v/>
      </c>
      <c r="BD371" s="505">
        <f>((BD262)*($E$326))</f>
        <v/>
      </c>
      <c r="BE371" s="505">
        <f>((BE262)*($E$326))</f>
        <v/>
      </c>
      <c r="BF371" s="505">
        <f>((BF262)*($E$326))</f>
        <v/>
      </c>
      <c r="BG371" s="505">
        <f>((BG262)*($E$326))</f>
        <v/>
      </c>
      <c r="BH371" s="505">
        <f>((BH262)*($E$326))</f>
        <v/>
      </c>
      <c r="BI371" s="505">
        <f>((BI262)*($E$326))</f>
        <v/>
      </c>
      <c r="BJ371" s="505">
        <f>((BJ262)*($E$326))</f>
        <v/>
      </c>
      <c r="BK371" s="505">
        <f>((BK262)*($E$326))</f>
        <v/>
      </c>
      <c r="BL371" s="505">
        <f>((BL262)*($E$326))</f>
        <v/>
      </c>
      <c r="BM371" s="505">
        <f>((BM262)*($E$326))</f>
        <v/>
      </c>
      <c r="BN371" s="505">
        <f>((BN262)*($E$326))</f>
        <v/>
      </c>
    </row>
    <row r="372" ht="15" customHeight="1" s="1883">
      <c r="D372" s="149" t="inlineStr">
        <is>
          <t>Month 40</t>
        </is>
      </c>
      <c r="E372" s="383" t="n"/>
      <c r="F372" s="383" t="n"/>
      <c r="G372" s="609" t="n"/>
      <c r="H372" s="609" t="n"/>
      <c r="I372" s="609" t="n"/>
      <c r="J372" s="609" t="n"/>
      <c r="K372" s="609" t="n"/>
      <c r="L372" s="609" t="n"/>
      <c r="M372" s="609" t="n"/>
      <c r="N372" s="609" t="n"/>
      <c r="O372" s="609" t="n"/>
      <c r="P372" s="609" t="n"/>
      <c r="Q372" s="609" t="n"/>
      <c r="R372" s="609" t="n"/>
      <c r="S372" s="610" t="n"/>
      <c r="T372" s="609" t="n"/>
      <c r="U372" s="609" t="n"/>
      <c r="V372" s="609" t="n"/>
      <c r="W372" s="609" t="n"/>
      <c r="X372" s="609" t="n"/>
      <c r="Y372" s="609" t="n"/>
      <c r="Z372" s="609" t="n"/>
      <c r="AA372" s="609" t="n"/>
      <c r="AB372" s="609" t="n"/>
      <c r="AC372" s="609" t="n"/>
      <c r="AD372" s="609" t="n"/>
      <c r="AE372" s="610" t="n"/>
      <c r="AF372" s="609" t="n"/>
      <c r="AG372" s="609" t="n"/>
      <c r="AH372" s="609" t="n"/>
      <c r="AI372" s="609" t="n"/>
      <c r="AJ372" s="609" t="n"/>
      <c r="AK372" s="609" t="n"/>
      <c r="AL372" s="609" t="n"/>
      <c r="AM372" s="609" t="n"/>
      <c r="AN372" s="609" t="n"/>
      <c r="AO372" s="609" t="n"/>
      <c r="AP372" s="609" t="n"/>
      <c r="AQ372" s="610" t="n"/>
      <c r="AR372" s="609" t="n"/>
      <c r="AS372" s="609" t="n"/>
      <c r="AT372" s="609" t="n"/>
      <c r="AU372" s="609" t="n"/>
      <c r="AV372" s="505">
        <f>((AV263)*($E$325))</f>
        <v/>
      </c>
      <c r="AW372" s="505">
        <f>((AW263)*($E$325))</f>
        <v/>
      </c>
      <c r="AX372" s="505">
        <f>((AX263)*($E$325))</f>
        <v/>
      </c>
      <c r="AY372" s="505">
        <f>((AY263)*($E$325))</f>
        <v/>
      </c>
      <c r="AZ372" s="505">
        <f>((AZ263)*($E$325))</f>
        <v/>
      </c>
      <c r="BA372" s="505">
        <f>((BA263)*($E$325))</f>
        <v/>
      </c>
      <c r="BB372" s="505">
        <f>((BB263)*($E$325))</f>
        <v/>
      </c>
      <c r="BC372" s="506">
        <f>((BC263)*($E$326))</f>
        <v/>
      </c>
      <c r="BD372" s="505">
        <f>((BD263)*($E$326))</f>
        <v/>
      </c>
      <c r="BE372" s="505">
        <f>((BE263)*($E$326))</f>
        <v/>
      </c>
      <c r="BF372" s="505">
        <f>((BF263)*($E$326))</f>
        <v/>
      </c>
      <c r="BG372" s="505">
        <f>((BG263)*($E$326))</f>
        <v/>
      </c>
      <c r="BH372" s="505">
        <f>((BH263)*($E$326))</f>
        <v/>
      </c>
      <c r="BI372" s="505">
        <f>((BI263)*($E$326))</f>
        <v/>
      </c>
      <c r="BJ372" s="505">
        <f>((BJ263)*($E$326))</f>
        <v/>
      </c>
      <c r="BK372" s="505">
        <f>((BK263)*($E$326))</f>
        <v/>
      </c>
      <c r="BL372" s="505">
        <f>((BL263)*($E$326))</f>
        <v/>
      </c>
      <c r="BM372" s="505">
        <f>((BM263)*($E$326))</f>
        <v/>
      </c>
      <c r="BN372" s="505">
        <f>((BN263)*($E$326))</f>
        <v/>
      </c>
    </row>
    <row r="373" ht="15" customHeight="1" s="1883">
      <c r="D373" s="149" t="inlineStr">
        <is>
          <t>Month 41</t>
        </is>
      </c>
      <c r="E373" s="383" t="n"/>
      <c r="F373" s="383" t="n"/>
      <c r="G373" s="609" t="n"/>
      <c r="H373" s="609" t="n"/>
      <c r="I373" s="609" t="n"/>
      <c r="J373" s="609" t="n"/>
      <c r="K373" s="609" t="n"/>
      <c r="L373" s="609" t="n"/>
      <c r="M373" s="609" t="n"/>
      <c r="N373" s="609" t="n"/>
      <c r="O373" s="609" t="n"/>
      <c r="P373" s="609" t="n"/>
      <c r="Q373" s="609" t="n"/>
      <c r="R373" s="609" t="n"/>
      <c r="S373" s="610" t="n"/>
      <c r="T373" s="609" t="n"/>
      <c r="U373" s="609" t="n"/>
      <c r="V373" s="609" t="n"/>
      <c r="W373" s="609" t="n"/>
      <c r="X373" s="609" t="n"/>
      <c r="Y373" s="609" t="n"/>
      <c r="Z373" s="609" t="n"/>
      <c r="AA373" s="609" t="n"/>
      <c r="AB373" s="609" t="n"/>
      <c r="AC373" s="609" t="n"/>
      <c r="AD373" s="609" t="n"/>
      <c r="AE373" s="610" t="n"/>
      <c r="AF373" s="609" t="n"/>
      <c r="AG373" s="609" t="n"/>
      <c r="AH373" s="609" t="n"/>
      <c r="AI373" s="609" t="n"/>
      <c r="AJ373" s="609" t="n"/>
      <c r="AK373" s="609" t="n"/>
      <c r="AL373" s="609" t="n"/>
      <c r="AM373" s="609" t="n"/>
      <c r="AN373" s="609" t="n"/>
      <c r="AO373" s="609" t="n"/>
      <c r="AP373" s="609" t="n"/>
      <c r="AQ373" s="610" t="n"/>
      <c r="AR373" s="609" t="n"/>
      <c r="AS373" s="609" t="n"/>
      <c r="AT373" s="609" t="n"/>
      <c r="AU373" s="609" t="n"/>
      <c r="AV373" s="609" t="n"/>
      <c r="AW373" s="505">
        <f>((AW264)*($E$325))</f>
        <v/>
      </c>
      <c r="AX373" s="505">
        <f>((AX264)*($E$325))</f>
        <v/>
      </c>
      <c r="AY373" s="505">
        <f>((AY264)*($E$325))</f>
        <v/>
      </c>
      <c r="AZ373" s="505">
        <f>((AZ264)*($E$325))</f>
        <v/>
      </c>
      <c r="BA373" s="505">
        <f>((BA264)*($E$325))</f>
        <v/>
      </c>
      <c r="BB373" s="505">
        <f>((BB264)*($E$325))</f>
        <v/>
      </c>
      <c r="BC373" s="506">
        <f>((BC264)*($E$326))</f>
        <v/>
      </c>
      <c r="BD373" s="505">
        <f>((BD264)*($E$326))</f>
        <v/>
      </c>
      <c r="BE373" s="505">
        <f>((BE264)*($E$326))</f>
        <v/>
      </c>
      <c r="BF373" s="505">
        <f>((BF264)*($E$326))</f>
        <v/>
      </c>
      <c r="BG373" s="505">
        <f>((BG264)*($E$326))</f>
        <v/>
      </c>
      <c r="BH373" s="505">
        <f>((BH264)*($E$326))</f>
        <v/>
      </c>
      <c r="BI373" s="505">
        <f>((BI264)*($E$326))</f>
        <v/>
      </c>
      <c r="BJ373" s="505">
        <f>((BJ264)*($E$326))</f>
        <v/>
      </c>
      <c r="BK373" s="505">
        <f>((BK264)*($E$326))</f>
        <v/>
      </c>
      <c r="BL373" s="505">
        <f>((BL264)*($E$326))</f>
        <v/>
      </c>
      <c r="BM373" s="505">
        <f>((BM264)*($E$326))</f>
        <v/>
      </c>
      <c r="BN373" s="505">
        <f>((BN264)*($E$326))</f>
        <v/>
      </c>
    </row>
    <row r="374" ht="15" customHeight="1" s="1883">
      <c r="D374" s="149" t="inlineStr">
        <is>
          <t>Month 42</t>
        </is>
      </c>
      <c r="E374" s="383" t="n"/>
      <c r="F374" s="383" t="n"/>
      <c r="G374" s="609" t="n"/>
      <c r="H374" s="609" t="n"/>
      <c r="I374" s="609" t="n"/>
      <c r="J374" s="609" t="n"/>
      <c r="K374" s="609" t="n"/>
      <c r="L374" s="609" t="n"/>
      <c r="M374" s="609" t="n"/>
      <c r="N374" s="609" t="n"/>
      <c r="O374" s="609" t="n"/>
      <c r="P374" s="609" t="n"/>
      <c r="Q374" s="609" t="n"/>
      <c r="R374" s="609" t="n"/>
      <c r="S374" s="610" t="n"/>
      <c r="T374" s="609" t="n"/>
      <c r="U374" s="609" t="n"/>
      <c r="V374" s="609" t="n"/>
      <c r="W374" s="609" t="n"/>
      <c r="X374" s="609" t="n"/>
      <c r="Y374" s="609" t="n"/>
      <c r="Z374" s="609" t="n"/>
      <c r="AA374" s="609" t="n"/>
      <c r="AB374" s="609" t="n"/>
      <c r="AC374" s="609" t="n"/>
      <c r="AD374" s="609" t="n"/>
      <c r="AE374" s="610" t="n"/>
      <c r="AF374" s="609" t="n"/>
      <c r="AG374" s="609" t="n"/>
      <c r="AH374" s="609" t="n"/>
      <c r="AI374" s="609" t="n"/>
      <c r="AJ374" s="609" t="n"/>
      <c r="AK374" s="609" t="n"/>
      <c r="AL374" s="609" t="n"/>
      <c r="AM374" s="609" t="n"/>
      <c r="AN374" s="609" t="n"/>
      <c r="AO374" s="609" t="n"/>
      <c r="AP374" s="609" t="n"/>
      <c r="AQ374" s="610" t="n"/>
      <c r="AR374" s="609" t="n"/>
      <c r="AS374" s="609" t="n"/>
      <c r="AT374" s="609" t="n"/>
      <c r="AU374" s="609" t="n"/>
      <c r="AV374" s="609" t="n"/>
      <c r="AW374" s="609" t="n"/>
      <c r="AX374" s="611">
        <f>((AX265)*($E$325))</f>
        <v/>
      </c>
      <c r="AY374" s="505">
        <f>((AY265)*($E$325))</f>
        <v/>
      </c>
      <c r="AZ374" s="505">
        <f>((AZ265)*($E$325))</f>
        <v/>
      </c>
      <c r="BA374" s="505">
        <f>((BA265)*($E$325))</f>
        <v/>
      </c>
      <c r="BB374" s="505">
        <f>((BB265)*($E$325))</f>
        <v/>
      </c>
      <c r="BC374" s="506">
        <f>((BC265)*($E$326))</f>
        <v/>
      </c>
      <c r="BD374" s="505">
        <f>((BD265)*($E$326))</f>
        <v/>
      </c>
      <c r="BE374" s="505">
        <f>((BE265)*($E$326))</f>
        <v/>
      </c>
      <c r="BF374" s="505">
        <f>((BF265)*($E$326))</f>
        <v/>
      </c>
      <c r="BG374" s="505">
        <f>((BG265)*($E$326))</f>
        <v/>
      </c>
      <c r="BH374" s="505">
        <f>((BH265)*($E$326))</f>
        <v/>
      </c>
      <c r="BI374" s="505">
        <f>((BI265)*($E$326))</f>
        <v/>
      </c>
      <c r="BJ374" s="505">
        <f>((BJ265)*($E$326))</f>
        <v/>
      </c>
      <c r="BK374" s="505">
        <f>((BK265)*($E$326))</f>
        <v/>
      </c>
      <c r="BL374" s="505">
        <f>((BL265)*($E$326))</f>
        <v/>
      </c>
      <c r="BM374" s="505">
        <f>((BM265)*($E$326))</f>
        <v/>
      </c>
      <c r="BN374" s="505">
        <f>((BN265)*($E$326))</f>
        <v/>
      </c>
    </row>
    <row r="375" ht="15" customHeight="1" s="1883">
      <c r="D375" s="149" t="inlineStr">
        <is>
          <t>Month 43</t>
        </is>
      </c>
      <c r="E375" s="383" t="n"/>
      <c r="F375" s="383" t="n"/>
      <c r="G375" s="609" t="n"/>
      <c r="H375" s="609" t="n"/>
      <c r="I375" s="609" t="n"/>
      <c r="J375" s="609" t="n"/>
      <c r="K375" s="609" t="n"/>
      <c r="L375" s="609" t="n"/>
      <c r="M375" s="609" t="n"/>
      <c r="N375" s="609" t="n"/>
      <c r="O375" s="609" t="n"/>
      <c r="P375" s="609" t="n"/>
      <c r="Q375" s="609" t="n"/>
      <c r="R375" s="609" t="n"/>
      <c r="S375" s="610" t="n"/>
      <c r="T375" s="609" t="n"/>
      <c r="U375" s="609" t="n"/>
      <c r="V375" s="609" t="n"/>
      <c r="W375" s="609" t="n"/>
      <c r="X375" s="609" t="n"/>
      <c r="Y375" s="609" t="n"/>
      <c r="Z375" s="609" t="n"/>
      <c r="AA375" s="609" t="n"/>
      <c r="AB375" s="609" t="n"/>
      <c r="AC375" s="609" t="n"/>
      <c r="AD375" s="609" t="n"/>
      <c r="AE375" s="610" t="n"/>
      <c r="AF375" s="609" t="n"/>
      <c r="AG375" s="609" t="n"/>
      <c r="AH375" s="609" t="n"/>
      <c r="AI375" s="609" t="n"/>
      <c r="AJ375" s="609" t="n"/>
      <c r="AK375" s="609" t="n"/>
      <c r="AL375" s="609" t="n"/>
      <c r="AM375" s="609" t="n"/>
      <c r="AN375" s="609" t="n"/>
      <c r="AO375" s="609" t="n"/>
      <c r="AP375" s="609" t="n"/>
      <c r="AQ375" s="610" t="n"/>
      <c r="AR375" s="609" t="n"/>
      <c r="AS375" s="609" t="n"/>
      <c r="AT375" s="609" t="n"/>
      <c r="AU375" s="609" t="n"/>
      <c r="AV375" s="609" t="n"/>
      <c r="AW375" s="609" t="n"/>
      <c r="AX375" s="609" t="n"/>
      <c r="AY375" s="505">
        <f>((AY266)*($E$325))</f>
        <v/>
      </c>
      <c r="AZ375" s="505">
        <f>((AZ266)*($E$325))</f>
        <v/>
      </c>
      <c r="BA375" s="505">
        <f>((BA266)*($E$325))</f>
        <v/>
      </c>
      <c r="BB375" s="505">
        <f>((BB266)*($E$325))</f>
        <v/>
      </c>
      <c r="BC375" s="506">
        <f>((BC266)*($E$326))</f>
        <v/>
      </c>
      <c r="BD375" s="505">
        <f>((BD266)*($E$326))</f>
        <v/>
      </c>
      <c r="BE375" s="505">
        <f>((BE266)*($E$326))</f>
        <v/>
      </c>
      <c r="BF375" s="505">
        <f>((BF266)*($E$326))</f>
        <v/>
      </c>
      <c r="BG375" s="505">
        <f>((BG266)*($E$326))</f>
        <v/>
      </c>
      <c r="BH375" s="505">
        <f>((BH266)*($E$326))</f>
        <v/>
      </c>
      <c r="BI375" s="505">
        <f>((BI266)*($E$326))</f>
        <v/>
      </c>
      <c r="BJ375" s="505">
        <f>((BJ266)*($E$326))</f>
        <v/>
      </c>
      <c r="BK375" s="505">
        <f>((BK266)*($E$326))</f>
        <v/>
      </c>
      <c r="BL375" s="505">
        <f>((BL266)*($E$326))</f>
        <v/>
      </c>
      <c r="BM375" s="505">
        <f>((BM266)*($E$326))</f>
        <v/>
      </c>
      <c r="BN375" s="505">
        <f>((BN266)*($E$326))</f>
        <v/>
      </c>
    </row>
    <row r="376" ht="15" customHeight="1" s="1883">
      <c r="D376" s="149" t="inlineStr">
        <is>
          <t>Month 44</t>
        </is>
      </c>
      <c r="E376" s="383" t="n"/>
      <c r="F376" s="383" t="n"/>
      <c r="G376" s="609" t="n"/>
      <c r="H376" s="609" t="n"/>
      <c r="I376" s="609" t="n"/>
      <c r="J376" s="609" t="n"/>
      <c r="K376" s="609" t="n"/>
      <c r="L376" s="609" t="n"/>
      <c r="M376" s="609" t="n"/>
      <c r="N376" s="609" t="n"/>
      <c r="O376" s="609" t="n"/>
      <c r="P376" s="609" t="n"/>
      <c r="Q376" s="609" t="n"/>
      <c r="R376" s="609" t="n"/>
      <c r="S376" s="610" t="n"/>
      <c r="T376" s="609" t="n"/>
      <c r="U376" s="609" t="n"/>
      <c r="V376" s="609" t="n"/>
      <c r="W376" s="609" t="n"/>
      <c r="X376" s="609" t="n"/>
      <c r="Y376" s="609" t="n"/>
      <c r="Z376" s="609" t="n"/>
      <c r="AA376" s="609" t="n"/>
      <c r="AB376" s="609" t="n"/>
      <c r="AC376" s="609" t="n"/>
      <c r="AD376" s="609" t="n"/>
      <c r="AE376" s="610" t="n"/>
      <c r="AF376" s="609" t="n"/>
      <c r="AG376" s="609" t="n"/>
      <c r="AH376" s="609" t="n"/>
      <c r="AI376" s="609" t="n"/>
      <c r="AJ376" s="609" t="n"/>
      <c r="AK376" s="609" t="n"/>
      <c r="AL376" s="609" t="n"/>
      <c r="AM376" s="609" t="n"/>
      <c r="AN376" s="609" t="n"/>
      <c r="AO376" s="609" t="n"/>
      <c r="AP376" s="609" t="n"/>
      <c r="AQ376" s="610" t="n"/>
      <c r="AR376" s="609" t="n"/>
      <c r="AS376" s="609" t="n"/>
      <c r="AT376" s="609" t="n"/>
      <c r="AU376" s="609" t="n"/>
      <c r="AV376" s="609" t="n"/>
      <c r="AW376" s="609" t="n"/>
      <c r="AX376" s="609" t="n"/>
      <c r="AY376" s="609" t="n"/>
      <c r="AZ376" s="505">
        <f>((AZ267)*($E$325))</f>
        <v/>
      </c>
      <c r="BA376" s="505">
        <f>((BA267)*($E$325))</f>
        <v/>
      </c>
      <c r="BB376" s="505">
        <f>((BB267)*($E$325))</f>
        <v/>
      </c>
      <c r="BC376" s="506">
        <f>((BC267)*($E$326))</f>
        <v/>
      </c>
      <c r="BD376" s="505">
        <f>((BD267)*($E$326))</f>
        <v/>
      </c>
      <c r="BE376" s="505">
        <f>((BE267)*($E$326))</f>
        <v/>
      </c>
      <c r="BF376" s="505">
        <f>((BF267)*($E$326))</f>
        <v/>
      </c>
      <c r="BG376" s="505">
        <f>((BG267)*($E$326))</f>
        <v/>
      </c>
      <c r="BH376" s="505">
        <f>((BH267)*($E$326))</f>
        <v/>
      </c>
      <c r="BI376" s="505">
        <f>((BI267)*($E$326))</f>
        <v/>
      </c>
      <c r="BJ376" s="505">
        <f>((BJ267)*($E$326))</f>
        <v/>
      </c>
      <c r="BK376" s="505">
        <f>((BK267)*($E$326))</f>
        <v/>
      </c>
      <c r="BL376" s="505">
        <f>((BL267)*($E$326))</f>
        <v/>
      </c>
      <c r="BM376" s="505">
        <f>((BM267)*($E$326))</f>
        <v/>
      </c>
      <c r="BN376" s="505">
        <f>((BN267)*($E$326))</f>
        <v/>
      </c>
    </row>
    <row r="377" ht="15" customHeight="1" s="1883">
      <c r="D377" s="149" t="inlineStr">
        <is>
          <t>Month 45</t>
        </is>
      </c>
      <c r="E377" s="383" t="n"/>
      <c r="F377" s="383" t="n"/>
      <c r="G377" s="609" t="n"/>
      <c r="H377" s="609" t="n"/>
      <c r="I377" s="609" t="n"/>
      <c r="J377" s="609" t="n"/>
      <c r="K377" s="609" t="n"/>
      <c r="L377" s="609" t="n"/>
      <c r="M377" s="609" t="n"/>
      <c r="N377" s="609" t="n"/>
      <c r="O377" s="609" t="n"/>
      <c r="P377" s="609" t="n"/>
      <c r="Q377" s="609" t="n"/>
      <c r="R377" s="609" t="n"/>
      <c r="S377" s="610" t="n"/>
      <c r="T377" s="609" t="n"/>
      <c r="U377" s="609" t="n"/>
      <c r="V377" s="609" t="n"/>
      <c r="W377" s="609" t="n"/>
      <c r="X377" s="609" t="n"/>
      <c r="Y377" s="609" t="n"/>
      <c r="Z377" s="609" t="n"/>
      <c r="AA377" s="609" t="n"/>
      <c r="AB377" s="609" t="n"/>
      <c r="AC377" s="609" t="n"/>
      <c r="AD377" s="609" t="n"/>
      <c r="AE377" s="610" t="n"/>
      <c r="AF377" s="609" t="n"/>
      <c r="AG377" s="609" t="n"/>
      <c r="AH377" s="609" t="n"/>
      <c r="AI377" s="609" t="n"/>
      <c r="AJ377" s="609" t="n"/>
      <c r="AK377" s="609" t="n"/>
      <c r="AL377" s="609" t="n"/>
      <c r="AM377" s="609" t="n"/>
      <c r="AN377" s="609" t="n"/>
      <c r="AO377" s="609" t="n"/>
      <c r="AP377" s="609" t="n"/>
      <c r="AQ377" s="610" t="n"/>
      <c r="AR377" s="609" t="n"/>
      <c r="AS377" s="609" t="n"/>
      <c r="AT377" s="609" t="n"/>
      <c r="AU377" s="609" t="n"/>
      <c r="AV377" s="609" t="n"/>
      <c r="AW377" s="609" t="n"/>
      <c r="AX377" s="609" t="n"/>
      <c r="AY377" s="609" t="n"/>
      <c r="AZ377" s="609" t="n"/>
      <c r="BA377" s="505">
        <f>((BA268)*($E$325))</f>
        <v/>
      </c>
      <c r="BB377" s="505">
        <f>((BB268)*($E$325))</f>
        <v/>
      </c>
      <c r="BC377" s="506">
        <f>((BC268)*($E$326))</f>
        <v/>
      </c>
      <c r="BD377" s="505">
        <f>((BD268)*($E$326))</f>
        <v/>
      </c>
      <c r="BE377" s="505">
        <f>((BE268)*($E$326))</f>
        <v/>
      </c>
      <c r="BF377" s="505">
        <f>((BF268)*($E$326))</f>
        <v/>
      </c>
      <c r="BG377" s="505">
        <f>((BG268)*($E$326))</f>
        <v/>
      </c>
      <c r="BH377" s="505">
        <f>((BH268)*($E$326))</f>
        <v/>
      </c>
      <c r="BI377" s="505">
        <f>((BI268)*($E$326))</f>
        <v/>
      </c>
      <c r="BJ377" s="505">
        <f>((BJ268)*($E$326))</f>
        <v/>
      </c>
      <c r="BK377" s="505">
        <f>((BK268)*($E$326))</f>
        <v/>
      </c>
      <c r="BL377" s="505">
        <f>((BL268)*($E$326))</f>
        <v/>
      </c>
      <c r="BM377" s="505">
        <f>((BM268)*($E$326))</f>
        <v/>
      </c>
      <c r="BN377" s="505">
        <f>((BN268)*($E$326))</f>
        <v/>
      </c>
    </row>
    <row r="378" ht="15" customHeight="1" s="1883">
      <c r="D378" s="149" t="inlineStr">
        <is>
          <t>Month 46</t>
        </is>
      </c>
      <c r="E378" s="383" t="n"/>
      <c r="F378" s="383" t="n"/>
      <c r="G378" s="609" t="n"/>
      <c r="H378" s="609" t="n"/>
      <c r="I378" s="609" t="n"/>
      <c r="J378" s="609" t="n"/>
      <c r="K378" s="609" t="n"/>
      <c r="L378" s="609" t="n"/>
      <c r="M378" s="609" t="n"/>
      <c r="N378" s="609" t="n"/>
      <c r="O378" s="609" t="n"/>
      <c r="P378" s="609" t="n"/>
      <c r="Q378" s="609" t="n"/>
      <c r="R378" s="609" t="n"/>
      <c r="S378" s="610" t="n"/>
      <c r="T378" s="609" t="n"/>
      <c r="U378" s="609" t="n"/>
      <c r="V378" s="609" t="n"/>
      <c r="W378" s="609" t="n"/>
      <c r="X378" s="609" t="n"/>
      <c r="Y378" s="609" t="n"/>
      <c r="Z378" s="609" t="n"/>
      <c r="AA378" s="609" t="n"/>
      <c r="AB378" s="609" t="n"/>
      <c r="AC378" s="609" t="n"/>
      <c r="AD378" s="609" t="n"/>
      <c r="AE378" s="610" t="n"/>
      <c r="AF378" s="609" t="n"/>
      <c r="AG378" s="609" t="n"/>
      <c r="AH378" s="609" t="n"/>
      <c r="AI378" s="609" t="n"/>
      <c r="AJ378" s="609" t="n"/>
      <c r="AK378" s="609" t="n"/>
      <c r="AL378" s="609" t="n"/>
      <c r="AM378" s="609" t="n"/>
      <c r="AN378" s="609" t="n"/>
      <c r="AO378" s="609" t="n"/>
      <c r="AP378" s="609" t="n"/>
      <c r="AQ378" s="610" t="n"/>
      <c r="AR378" s="609" t="n"/>
      <c r="AS378" s="609" t="n"/>
      <c r="AT378" s="609" t="n"/>
      <c r="AU378" s="609" t="n"/>
      <c r="AV378" s="609" t="n"/>
      <c r="AW378" s="609" t="n"/>
      <c r="AX378" s="609" t="n"/>
      <c r="AY378" s="609" t="n"/>
      <c r="AZ378" s="609" t="n"/>
      <c r="BA378" s="609" t="n"/>
      <c r="BB378" s="505">
        <f>((BB269)*($E$325))</f>
        <v/>
      </c>
      <c r="BC378" s="506">
        <f>((BC269)*($E$326))</f>
        <v/>
      </c>
      <c r="BD378" s="505">
        <f>((BD269)*($E$326))</f>
        <v/>
      </c>
      <c r="BE378" s="505">
        <f>((BE269)*($E$326))</f>
        <v/>
      </c>
      <c r="BF378" s="505">
        <f>((BF269)*($E$326))</f>
        <v/>
      </c>
      <c r="BG378" s="505">
        <f>((BG269)*($E$326))</f>
        <v/>
      </c>
      <c r="BH378" s="505">
        <f>((BH269)*($E$326))</f>
        <v/>
      </c>
      <c r="BI378" s="505">
        <f>((BI269)*($E$326))</f>
        <v/>
      </c>
      <c r="BJ378" s="505">
        <f>((BJ269)*($E$326))</f>
        <v/>
      </c>
      <c r="BK378" s="505">
        <f>((BK269)*($E$326))</f>
        <v/>
      </c>
      <c r="BL378" s="505">
        <f>((BL269)*($E$326))</f>
        <v/>
      </c>
      <c r="BM378" s="505">
        <f>((BM269)*($E$326))</f>
        <v/>
      </c>
      <c r="BN378" s="505">
        <f>((BN269)*($E$326))</f>
        <v/>
      </c>
    </row>
    <row r="379" ht="15" customHeight="1" s="1883">
      <c r="D379" s="149" t="inlineStr">
        <is>
          <t>Month 47</t>
        </is>
      </c>
      <c r="E379" s="383" t="n"/>
      <c r="F379" s="383" t="n"/>
      <c r="G379" s="609" t="n"/>
      <c r="H379" s="609" t="n"/>
      <c r="I379" s="609" t="n"/>
      <c r="J379" s="609" t="n"/>
      <c r="K379" s="609" t="n"/>
      <c r="L379" s="609" t="n"/>
      <c r="M379" s="609" t="n"/>
      <c r="N379" s="609" t="n"/>
      <c r="O379" s="609" t="n"/>
      <c r="P379" s="609" t="n"/>
      <c r="Q379" s="609" t="n"/>
      <c r="R379" s="609" t="n"/>
      <c r="S379" s="610" t="n"/>
      <c r="T379" s="609" t="n"/>
      <c r="U379" s="609" t="n"/>
      <c r="V379" s="609" t="n"/>
      <c r="W379" s="609" t="n"/>
      <c r="X379" s="609" t="n"/>
      <c r="Y379" s="609" t="n"/>
      <c r="Z379" s="609" t="n"/>
      <c r="AA379" s="609" t="n"/>
      <c r="AB379" s="609" t="n"/>
      <c r="AC379" s="609" t="n"/>
      <c r="AD379" s="609" t="n"/>
      <c r="AE379" s="610" t="n"/>
      <c r="AF379" s="609" t="n"/>
      <c r="AG379" s="609" t="n"/>
      <c r="AH379" s="609" t="n"/>
      <c r="AI379" s="609" t="n"/>
      <c r="AJ379" s="609" t="n"/>
      <c r="AK379" s="609" t="n"/>
      <c r="AL379" s="609" t="n"/>
      <c r="AM379" s="609" t="n"/>
      <c r="AN379" s="609" t="n"/>
      <c r="AO379" s="609" t="n"/>
      <c r="AP379" s="609" t="n"/>
      <c r="AQ379" s="610" t="n"/>
      <c r="AR379" s="609" t="n"/>
      <c r="AS379" s="609" t="n"/>
      <c r="AT379" s="609" t="n"/>
      <c r="AU379" s="609" t="n"/>
      <c r="AV379" s="609" t="n"/>
      <c r="AW379" s="609" t="n"/>
      <c r="AX379" s="609" t="n"/>
      <c r="AY379" s="609" t="n"/>
      <c r="AZ379" s="609" t="n"/>
      <c r="BA379" s="609" t="n"/>
      <c r="BB379" s="609" t="n"/>
      <c r="BC379" s="506">
        <f>((BC270)*($E$326))</f>
        <v/>
      </c>
      <c r="BD379" s="505">
        <f>((BD270)*($E$326))</f>
        <v/>
      </c>
      <c r="BE379" s="505">
        <f>((BE270)*($E$326))</f>
        <v/>
      </c>
      <c r="BF379" s="505">
        <f>((BF270)*($E$326))</f>
        <v/>
      </c>
      <c r="BG379" s="505">
        <f>((BG270)*($E$326))</f>
        <v/>
      </c>
      <c r="BH379" s="505">
        <f>((BH270)*($E$326))</f>
        <v/>
      </c>
      <c r="BI379" s="505">
        <f>((BI270)*($E$326))</f>
        <v/>
      </c>
      <c r="BJ379" s="505">
        <f>((BJ270)*($E$326))</f>
        <v/>
      </c>
      <c r="BK379" s="505">
        <f>((BK270)*($E$326))</f>
        <v/>
      </c>
      <c r="BL379" s="505">
        <f>((BL270)*($E$326))</f>
        <v/>
      </c>
      <c r="BM379" s="505">
        <f>((BM270)*($E$326))</f>
        <v/>
      </c>
      <c r="BN379" s="505">
        <f>((BN270)*($E$326))</f>
        <v/>
      </c>
    </row>
    <row r="380" ht="15" customHeight="1" s="1883">
      <c r="D380" s="149" t="inlineStr">
        <is>
          <t>Month 48</t>
        </is>
      </c>
      <c r="E380" s="383" t="n"/>
      <c r="F380" s="383" t="n"/>
      <c r="G380" s="609" t="n"/>
      <c r="H380" s="609" t="n"/>
      <c r="I380" s="609" t="n"/>
      <c r="J380" s="609" t="n"/>
      <c r="K380" s="609" t="n"/>
      <c r="L380" s="609" t="n"/>
      <c r="M380" s="609" t="n"/>
      <c r="N380" s="609" t="n"/>
      <c r="O380" s="609" t="n"/>
      <c r="P380" s="609" t="n"/>
      <c r="Q380" s="609" t="n"/>
      <c r="R380" s="609" t="n"/>
      <c r="S380" s="610" t="n"/>
      <c r="T380" s="609" t="n"/>
      <c r="U380" s="609" t="n"/>
      <c r="V380" s="609" t="n"/>
      <c r="W380" s="609" t="n"/>
      <c r="X380" s="609" t="n"/>
      <c r="Y380" s="609" t="n"/>
      <c r="Z380" s="609" t="n"/>
      <c r="AA380" s="609" t="n"/>
      <c r="AB380" s="609" t="n"/>
      <c r="AC380" s="609" t="n"/>
      <c r="AD380" s="609" t="n"/>
      <c r="AE380" s="610" t="n"/>
      <c r="AF380" s="609" t="n"/>
      <c r="AG380" s="609" t="n"/>
      <c r="AH380" s="609" t="n"/>
      <c r="AI380" s="609" t="n"/>
      <c r="AJ380" s="609" t="n"/>
      <c r="AK380" s="609" t="n"/>
      <c r="AL380" s="609" t="n"/>
      <c r="AM380" s="609" t="n"/>
      <c r="AN380" s="609" t="n"/>
      <c r="AO380" s="609" t="n"/>
      <c r="AP380" s="609" t="n"/>
      <c r="AQ380" s="610" t="n"/>
      <c r="AR380" s="609" t="n"/>
      <c r="AS380" s="609" t="n"/>
      <c r="AT380" s="609" t="n"/>
      <c r="AU380" s="609" t="n"/>
      <c r="AV380" s="609" t="n"/>
      <c r="AW380" s="609" t="n"/>
      <c r="AX380" s="609" t="n"/>
      <c r="AY380" s="609" t="n"/>
      <c r="AZ380" s="609" t="n"/>
      <c r="BA380" s="609" t="n"/>
      <c r="BB380" s="609" t="n"/>
      <c r="BC380" s="610" t="n"/>
      <c r="BD380" s="505">
        <f>((BD271)*($E$326))</f>
        <v/>
      </c>
      <c r="BE380" s="505">
        <f>((BE271)*($E$326))</f>
        <v/>
      </c>
      <c r="BF380" s="505">
        <f>((BF271)*($E$326))</f>
        <v/>
      </c>
      <c r="BG380" s="505">
        <f>((BG271)*($E$326))</f>
        <v/>
      </c>
      <c r="BH380" s="505">
        <f>((BH271)*($E$326))</f>
        <v/>
      </c>
      <c r="BI380" s="505">
        <f>((BI271)*($E$326))</f>
        <v/>
      </c>
      <c r="BJ380" s="505">
        <f>((BJ271)*($E$326))</f>
        <v/>
      </c>
      <c r="BK380" s="505">
        <f>((BK271)*($E$326))</f>
        <v/>
      </c>
      <c r="BL380" s="505">
        <f>((BL271)*($E$326))</f>
        <v/>
      </c>
      <c r="BM380" s="505">
        <f>((BM271)*($E$326))</f>
        <v/>
      </c>
      <c r="BN380" s="505">
        <f>((BN271)*($E$326))</f>
        <v/>
      </c>
    </row>
    <row r="381" ht="15" customHeight="1" s="1883">
      <c r="D381" s="149" t="inlineStr">
        <is>
          <t>Month 49</t>
        </is>
      </c>
      <c r="E381" s="383" t="n"/>
      <c r="F381" s="383" t="n"/>
      <c r="G381" s="609" t="n"/>
      <c r="H381" s="609" t="n"/>
      <c r="I381" s="609" t="n"/>
      <c r="J381" s="609" t="n"/>
      <c r="K381" s="609" t="n"/>
      <c r="L381" s="609" t="n"/>
      <c r="M381" s="609" t="n"/>
      <c r="N381" s="609" t="n"/>
      <c r="O381" s="609" t="n"/>
      <c r="P381" s="609" t="n"/>
      <c r="Q381" s="609" t="n"/>
      <c r="R381" s="609" t="n"/>
      <c r="S381" s="610" t="n"/>
      <c r="T381" s="609" t="n"/>
      <c r="U381" s="609" t="n"/>
      <c r="V381" s="609" t="n"/>
      <c r="W381" s="609" t="n"/>
      <c r="X381" s="609" t="n"/>
      <c r="Y381" s="609" t="n"/>
      <c r="Z381" s="609" t="n"/>
      <c r="AA381" s="609" t="n"/>
      <c r="AB381" s="609" t="n"/>
      <c r="AC381" s="609" t="n"/>
      <c r="AD381" s="609" t="n"/>
      <c r="AE381" s="610" t="n"/>
      <c r="AF381" s="609" t="n"/>
      <c r="AG381" s="609" t="n"/>
      <c r="AH381" s="609" t="n"/>
      <c r="AI381" s="609" t="n"/>
      <c r="AJ381" s="609" t="n"/>
      <c r="AK381" s="609" t="n"/>
      <c r="AL381" s="609" t="n"/>
      <c r="AM381" s="609" t="n"/>
      <c r="AN381" s="609" t="n"/>
      <c r="AO381" s="609" t="n"/>
      <c r="AP381" s="609" t="n"/>
      <c r="AQ381" s="610" t="n"/>
      <c r="AR381" s="609" t="n"/>
      <c r="AS381" s="609" t="n"/>
      <c r="AT381" s="609" t="n"/>
      <c r="AU381" s="609" t="n"/>
      <c r="AV381" s="609" t="n"/>
      <c r="AW381" s="609" t="n"/>
      <c r="AX381" s="609" t="n"/>
      <c r="AY381" s="609" t="n"/>
      <c r="AZ381" s="609" t="n"/>
      <c r="BA381" s="609" t="n"/>
      <c r="BB381" s="609" t="n"/>
      <c r="BC381" s="610" t="n"/>
      <c r="BD381" s="609" t="n"/>
      <c r="BE381" s="505">
        <f>((BE272)*($E$326))</f>
        <v/>
      </c>
      <c r="BF381" s="505">
        <f>((BF272)*($E$326))</f>
        <v/>
      </c>
      <c r="BG381" s="505">
        <f>((BG272)*($E$326))</f>
        <v/>
      </c>
      <c r="BH381" s="505">
        <f>((BH272)*($E$326))</f>
        <v/>
      </c>
      <c r="BI381" s="505">
        <f>((BI272)*($E$326))</f>
        <v/>
      </c>
      <c r="BJ381" s="505">
        <f>((BJ272)*($E$326))</f>
        <v/>
      </c>
      <c r="BK381" s="505">
        <f>((BK272)*($E$326))</f>
        <v/>
      </c>
      <c r="BL381" s="505">
        <f>((BL272)*($E$326))</f>
        <v/>
      </c>
      <c r="BM381" s="505">
        <f>((BM272)*($E$326))</f>
        <v/>
      </c>
      <c r="BN381" s="505">
        <f>((BN272)*($E$326))</f>
        <v/>
      </c>
    </row>
    <row r="382" ht="15" customHeight="1" s="1883">
      <c r="D382" s="149" t="inlineStr">
        <is>
          <t>Month 50</t>
        </is>
      </c>
      <c r="E382" s="383" t="n"/>
      <c r="F382" s="383" t="n"/>
      <c r="G382" s="609" t="n"/>
      <c r="H382" s="609" t="n"/>
      <c r="I382" s="609" t="n"/>
      <c r="J382" s="609" t="n"/>
      <c r="K382" s="609" t="n"/>
      <c r="L382" s="609" t="n"/>
      <c r="M382" s="609" t="n"/>
      <c r="N382" s="609" t="n"/>
      <c r="O382" s="609" t="n"/>
      <c r="P382" s="609" t="n"/>
      <c r="Q382" s="609" t="n"/>
      <c r="R382" s="609" t="n"/>
      <c r="S382" s="610" t="n"/>
      <c r="T382" s="609" t="n"/>
      <c r="U382" s="609" t="n"/>
      <c r="V382" s="609" t="n"/>
      <c r="W382" s="609" t="n"/>
      <c r="X382" s="609" t="n"/>
      <c r="Y382" s="609" t="n"/>
      <c r="Z382" s="609" t="n"/>
      <c r="AA382" s="609" t="n"/>
      <c r="AB382" s="609" t="n"/>
      <c r="AC382" s="609" t="n"/>
      <c r="AD382" s="609" t="n"/>
      <c r="AE382" s="610" t="n"/>
      <c r="AF382" s="609" t="n"/>
      <c r="AG382" s="609" t="n"/>
      <c r="AH382" s="609" t="n"/>
      <c r="AI382" s="609" t="n"/>
      <c r="AJ382" s="609" t="n"/>
      <c r="AK382" s="609" t="n"/>
      <c r="AL382" s="609" t="n"/>
      <c r="AM382" s="609" t="n"/>
      <c r="AN382" s="609" t="n"/>
      <c r="AO382" s="609" t="n"/>
      <c r="AP382" s="609" t="n"/>
      <c r="AQ382" s="610" t="n"/>
      <c r="AR382" s="609" t="n"/>
      <c r="AS382" s="609" t="n"/>
      <c r="AT382" s="609" t="n"/>
      <c r="AU382" s="609" t="n"/>
      <c r="AV382" s="609" t="n"/>
      <c r="AW382" s="609" t="n"/>
      <c r="AX382" s="609" t="n"/>
      <c r="AY382" s="609" t="n"/>
      <c r="AZ382" s="609" t="n"/>
      <c r="BA382" s="609" t="n"/>
      <c r="BB382" s="609" t="n"/>
      <c r="BC382" s="610" t="n"/>
      <c r="BD382" s="609" t="n"/>
      <c r="BE382" s="609" t="n"/>
      <c r="BF382" s="505">
        <f>((BF273)*($E$326))</f>
        <v/>
      </c>
      <c r="BG382" s="505">
        <f>((BG273)*($E$326))</f>
        <v/>
      </c>
      <c r="BH382" s="505">
        <f>((BH273)*($E$326))</f>
        <v/>
      </c>
      <c r="BI382" s="505">
        <f>((BI273)*($E$326))</f>
        <v/>
      </c>
      <c r="BJ382" s="505">
        <f>((BJ273)*($E$326))</f>
        <v/>
      </c>
      <c r="BK382" s="505">
        <f>((BK273)*($E$326))</f>
        <v/>
      </c>
      <c r="BL382" s="505">
        <f>((BL273)*($E$326))</f>
        <v/>
      </c>
      <c r="BM382" s="505">
        <f>((BM273)*($E$326))</f>
        <v/>
      </c>
      <c r="BN382" s="505">
        <f>((BN273)*($E$326))</f>
        <v/>
      </c>
    </row>
    <row r="383" ht="15" customHeight="1" s="1883">
      <c r="D383" s="149" t="inlineStr">
        <is>
          <t>Month 51</t>
        </is>
      </c>
      <c r="E383" s="383" t="n"/>
      <c r="F383" s="383" t="n"/>
      <c r="G383" s="609" t="n"/>
      <c r="H383" s="609" t="n"/>
      <c r="I383" s="609" t="n"/>
      <c r="J383" s="609" t="n"/>
      <c r="K383" s="609" t="n"/>
      <c r="L383" s="609" t="n"/>
      <c r="M383" s="609" t="n"/>
      <c r="N383" s="609" t="n"/>
      <c r="O383" s="609" t="n"/>
      <c r="P383" s="609" t="n"/>
      <c r="Q383" s="609" t="n"/>
      <c r="R383" s="609" t="n"/>
      <c r="S383" s="610" t="n"/>
      <c r="T383" s="609" t="n"/>
      <c r="U383" s="609" t="n"/>
      <c r="V383" s="609" t="n"/>
      <c r="W383" s="609" t="n"/>
      <c r="X383" s="609" t="n"/>
      <c r="Y383" s="609" t="n"/>
      <c r="Z383" s="609" t="n"/>
      <c r="AA383" s="609" t="n"/>
      <c r="AB383" s="609" t="n"/>
      <c r="AC383" s="609" t="n"/>
      <c r="AD383" s="609" t="n"/>
      <c r="AE383" s="610" t="n"/>
      <c r="AF383" s="609" t="n"/>
      <c r="AG383" s="609" t="n"/>
      <c r="AH383" s="609" t="n"/>
      <c r="AI383" s="609" t="n"/>
      <c r="AJ383" s="609" t="n"/>
      <c r="AK383" s="609" t="n"/>
      <c r="AL383" s="609" t="n"/>
      <c r="AM383" s="609" t="n"/>
      <c r="AN383" s="609" t="n"/>
      <c r="AO383" s="609" t="n"/>
      <c r="AP383" s="609" t="n"/>
      <c r="AQ383" s="610" t="n"/>
      <c r="AR383" s="609" t="n"/>
      <c r="AS383" s="609" t="n"/>
      <c r="AT383" s="609" t="n"/>
      <c r="AU383" s="609" t="n"/>
      <c r="AV383" s="609" t="n"/>
      <c r="AW383" s="609" t="n"/>
      <c r="AX383" s="609" t="n"/>
      <c r="AY383" s="609" t="n"/>
      <c r="AZ383" s="609" t="n"/>
      <c r="BA383" s="609" t="n"/>
      <c r="BB383" s="609" t="n"/>
      <c r="BC383" s="610" t="n"/>
      <c r="BD383" s="609" t="n"/>
      <c r="BE383" s="609" t="n"/>
      <c r="BF383" s="609" t="n"/>
      <c r="BG383" s="505">
        <f>((BG274)*($E$326))</f>
        <v/>
      </c>
      <c r="BH383" s="505">
        <f>((BH274)*($E$326))</f>
        <v/>
      </c>
      <c r="BI383" s="505">
        <f>((BI274)*($E$326))</f>
        <v/>
      </c>
      <c r="BJ383" s="505">
        <f>((BJ274)*($E$326))</f>
        <v/>
      </c>
      <c r="BK383" s="505">
        <f>((BK274)*($E$326))</f>
        <v/>
      </c>
      <c r="BL383" s="505">
        <f>((BL274)*($E$326))</f>
        <v/>
      </c>
      <c r="BM383" s="505">
        <f>((BM274)*($E$326))</f>
        <v/>
      </c>
      <c r="BN383" s="505">
        <f>((BN274)*($E$326))</f>
        <v/>
      </c>
    </row>
    <row r="384" ht="15" customHeight="1" s="1883">
      <c r="D384" s="149" t="inlineStr">
        <is>
          <t>Month 52</t>
        </is>
      </c>
      <c r="E384" s="383" t="n"/>
      <c r="F384" s="383" t="n"/>
      <c r="G384" s="609" t="n"/>
      <c r="H384" s="609" t="n"/>
      <c r="I384" s="609" t="n"/>
      <c r="J384" s="609" t="n"/>
      <c r="K384" s="609" t="n"/>
      <c r="L384" s="609" t="n"/>
      <c r="M384" s="609" t="n"/>
      <c r="N384" s="609" t="n"/>
      <c r="O384" s="609" t="n"/>
      <c r="P384" s="609" t="n"/>
      <c r="Q384" s="609" t="n"/>
      <c r="R384" s="609" t="n"/>
      <c r="S384" s="610" t="n"/>
      <c r="T384" s="609" t="n"/>
      <c r="U384" s="609" t="n"/>
      <c r="V384" s="609" t="n"/>
      <c r="W384" s="609" t="n"/>
      <c r="X384" s="609" t="n"/>
      <c r="Y384" s="609" t="n"/>
      <c r="Z384" s="609" t="n"/>
      <c r="AA384" s="609" t="n"/>
      <c r="AB384" s="609" t="n"/>
      <c r="AC384" s="609" t="n"/>
      <c r="AD384" s="609" t="n"/>
      <c r="AE384" s="610" t="n"/>
      <c r="AF384" s="609" t="n"/>
      <c r="AG384" s="609" t="n"/>
      <c r="AH384" s="609" t="n"/>
      <c r="AI384" s="609" t="n"/>
      <c r="AJ384" s="609" t="n"/>
      <c r="AK384" s="609" t="n"/>
      <c r="AL384" s="609" t="n"/>
      <c r="AM384" s="609" t="n"/>
      <c r="AN384" s="609" t="n"/>
      <c r="AO384" s="609" t="n"/>
      <c r="AP384" s="609" t="n"/>
      <c r="AQ384" s="610" t="n"/>
      <c r="AR384" s="609" t="n"/>
      <c r="AS384" s="609" t="n"/>
      <c r="AT384" s="609" t="n"/>
      <c r="AU384" s="609" t="n"/>
      <c r="AV384" s="609" t="n"/>
      <c r="AW384" s="609" t="n"/>
      <c r="AX384" s="609" t="n"/>
      <c r="AY384" s="609" t="n"/>
      <c r="AZ384" s="609" t="n"/>
      <c r="BA384" s="609" t="n"/>
      <c r="BB384" s="609" t="n"/>
      <c r="BC384" s="610" t="n"/>
      <c r="BD384" s="609" t="n"/>
      <c r="BE384" s="609" t="n"/>
      <c r="BF384" s="609" t="n"/>
      <c r="BG384" s="609" t="n"/>
      <c r="BH384" s="505">
        <f>((BH275)*($E$326))</f>
        <v/>
      </c>
      <c r="BI384" s="505">
        <f>((BI275)*($E$326))</f>
        <v/>
      </c>
      <c r="BJ384" s="505">
        <f>((BJ275)*($E$326))</f>
        <v/>
      </c>
      <c r="BK384" s="505">
        <f>((BK275)*($E$326))</f>
        <v/>
      </c>
      <c r="BL384" s="505">
        <f>((BL275)*($E$326))</f>
        <v/>
      </c>
      <c r="BM384" s="505">
        <f>((BM275)*($E$326))</f>
        <v/>
      </c>
      <c r="BN384" s="505">
        <f>((BN275)*($E$326))</f>
        <v/>
      </c>
    </row>
    <row r="385" ht="15" customHeight="1" s="1883">
      <c r="D385" s="149" t="inlineStr">
        <is>
          <t>Month 53</t>
        </is>
      </c>
      <c r="E385" s="383" t="n"/>
      <c r="F385" s="383" t="n"/>
      <c r="G385" s="609" t="n"/>
      <c r="H385" s="609" t="n"/>
      <c r="I385" s="609" t="n"/>
      <c r="J385" s="609" t="n"/>
      <c r="K385" s="609" t="n"/>
      <c r="L385" s="609" t="n"/>
      <c r="M385" s="609" t="n"/>
      <c r="N385" s="609" t="n"/>
      <c r="O385" s="609" t="n"/>
      <c r="P385" s="609" t="n"/>
      <c r="Q385" s="609" t="n"/>
      <c r="R385" s="609" t="n"/>
      <c r="S385" s="610" t="n"/>
      <c r="T385" s="609" t="n"/>
      <c r="U385" s="609" t="n"/>
      <c r="V385" s="609" t="n"/>
      <c r="W385" s="609" t="n"/>
      <c r="X385" s="609" t="n"/>
      <c r="Y385" s="609" t="n"/>
      <c r="Z385" s="609" t="n"/>
      <c r="AA385" s="609" t="n"/>
      <c r="AB385" s="609" t="n"/>
      <c r="AC385" s="609" t="n"/>
      <c r="AD385" s="609" t="n"/>
      <c r="AE385" s="610" t="n"/>
      <c r="AF385" s="609" t="n"/>
      <c r="AG385" s="609" t="n"/>
      <c r="AH385" s="609" t="n"/>
      <c r="AI385" s="609" t="n"/>
      <c r="AJ385" s="609" t="n"/>
      <c r="AK385" s="609" t="n"/>
      <c r="AL385" s="609" t="n"/>
      <c r="AM385" s="609" t="n"/>
      <c r="AN385" s="609" t="n"/>
      <c r="AO385" s="609" t="n"/>
      <c r="AP385" s="609" t="n"/>
      <c r="AQ385" s="610" t="n"/>
      <c r="AR385" s="609" t="n"/>
      <c r="AS385" s="609" t="n"/>
      <c r="AT385" s="609" t="n"/>
      <c r="AU385" s="609" t="n"/>
      <c r="AV385" s="609" t="n"/>
      <c r="AW385" s="609" t="n"/>
      <c r="AX385" s="609" t="n"/>
      <c r="AY385" s="609" t="n"/>
      <c r="AZ385" s="609" t="n"/>
      <c r="BA385" s="609" t="n"/>
      <c r="BB385" s="609" t="n"/>
      <c r="BC385" s="610" t="n"/>
      <c r="BD385" s="609" t="n"/>
      <c r="BE385" s="609" t="n"/>
      <c r="BF385" s="609" t="n"/>
      <c r="BG385" s="609" t="n"/>
      <c r="BH385" s="609" t="n"/>
      <c r="BI385" s="505">
        <f>((BI276)*($E$326))</f>
        <v/>
      </c>
      <c r="BJ385" s="505">
        <f>((BJ276)*($E$326))</f>
        <v/>
      </c>
      <c r="BK385" s="505">
        <f>((BK276)*($E$326))</f>
        <v/>
      </c>
      <c r="BL385" s="505">
        <f>((BL276)*($E$326))</f>
        <v/>
      </c>
      <c r="BM385" s="505">
        <f>((BM276)*($E$326))</f>
        <v/>
      </c>
      <c r="BN385" s="505">
        <f>((BN276)*($E$326))</f>
        <v/>
      </c>
    </row>
    <row r="386" ht="15" customHeight="1" s="1883">
      <c r="D386" s="149" t="inlineStr">
        <is>
          <t>Month 54</t>
        </is>
      </c>
      <c r="E386" s="383" t="n"/>
      <c r="F386" s="383" t="n"/>
      <c r="G386" s="609" t="n"/>
      <c r="H386" s="609" t="n"/>
      <c r="I386" s="609" t="n"/>
      <c r="J386" s="609" t="n"/>
      <c r="K386" s="609" t="n"/>
      <c r="L386" s="609" t="n"/>
      <c r="M386" s="609" t="n"/>
      <c r="N386" s="609" t="n"/>
      <c r="O386" s="609" t="n"/>
      <c r="P386" s="609" t="n"/>
      <c r="Q386" s="609" t="n"/>
      <c r="R386" s="609" t="n"/>
      <c r="S386" s="610" t="n"/>
      <c r="T386" s="609" t="n"/>
      <c r="U386" s="609" t="n"/>
      <c r="V386" s="609" t="n"/>
      <c r="W386" s="609" t="n"/>
      <c r="X386" s="609" t="n"/>
      <c r="Y386" s="609" t="n"/>
      <c r="Z386" s="609" t="n"/>
      <c r="AA386" s="609" t="n"/>
      <c r="AB386" s="609" t="n"/>
      <c r="AC386" s="609" t="n"/>
      <c r="AD386" s="609" t="n"/>
      <c r="AE386" s="610" t="n"/>
      <c r="AF386" s="609" t="n"/>
      <c r="AG386" s="609" t="n"/>
      <c r="AH386" s="609" t="n"/>
      <c r="AI386" s="609" t="n"/>
      <c r="AJ386" s="609" t="n"/>
      <c r="AK386" s="609" t="n"/>
      <c r="AL386" s="609" t="n"/>
      <c r="AM386" s="609" t="n"/>
      <c r="AN386" s="609" t="n"/>
      <c r="AO386" s="609" t="n"/>
      <c r="AP386" s="609" t="n"/>
      <c r="AQ386" s="610" t="n"/>
      <c r="AR386" s="609" t="n"/>
      <c r="AS386" s="609" t="n"/>
      <c r="AT386" s="609" t="n"/>
      <c r="AU386" s="609" t="n"/>
      <c r="AV386" s="609" t="n"/>
      <c r="AW386" s="609" t="n"/>
      <c r="AX386" s="609" t="n"/>
      <c r="AY386" s="609" t="n"/>
      <c r="AZ386" s="609" t="n"/>
      <c r="BA386" s="609" t="n"/>
      <c r="BB386" s="609" t="n"/>
      <c r="BC386" s="610" t="n"/>
      <c r="BD386" s="609" t="n"/>
      <c r="BE386" s="609" t="n"/>
      <c r="BF386" s="609" t="n"/>
      <c r="BG386" s="609" t="n"/>
      <c r="BH386" s="609" t="n"/>
      <c r="BI386" s="609" t="n"/>
      <c r="BJ386" s="505">
        <f>((BJ277)*($E$326))</f>
        <v/>
      </c>
      <c r="BK386" s="505">
        <f>((BK277)*($E$326))</f>
        <v/>
      </c>
      <c r="BL386" s="505">
        <f>((BL277)*($E$326))</f>
        <v/>
      </c>
      <c r="BM386" s="505">
        <f>((BM277)*($E$326))</f>
        <v/>
      </c>
      <c r="BN386" s="505">
        <f>((BN277)*($E$326))</f>
        <v/>
      </c>
    </row>
    <row r="387" ht="15" customHeight="1" s="1883">
      <c r="D387" s="149" t="inlineStr">
        <is>
          <t>Month 55</t>
        </is>
      </c>
      <c r="E387" s="383" t="n"/>
      <c r="F387" s="383" t="n"/>
      <c r="G387" s="609" t="n"/>
      <c r="H387" s="609" t="n"/>
      <c r="I387" s="609" t="n"/>
      <c r="J387" s="609" t="n"/>
      <c r="K387" s="609" t="n"/>
      <c r="L387" s="609" t="n"/>
      <c r="M387" s="609" t="n"/>
      <c r="N387" s="609" t="n"/>
      <c r="O387" s="609" t="n"/>
      <c r="P387" s="609" t="n"/>
      <c r="Q387" s="609" t="n"/>
      <c r="R387" s="609" t="n"/>
      <c r="S387" s="610" t="n"/>
      <c r="T387" s="609" t="n"/>
      <c r="U387" s="609" t="n"/>
      <c r="V387" s="609" t="n"/>
      <c r="W387" s="609" t="n"/>
      <c r="X387" s="609" t="n"/>
      <c r="Y387" s="609" t="n"/>
      <c r="Z387" s="609" t="n"/>
      <c r="AA387" s="609" t="n"/>
      <c r="AB387" s="609" t="n"/>
      <c r="AC387" s="609" t="n"/>
      <c r="AD387" s="609" t="n"/>
      <c r="AE387" s="610" t="n"/>
      <c r="AF387" s="609" t="n"/>
      <c r="AG387" s="609" t="n"/>
      <c r="AH387" s="609" t="n"/>
      <c r="AI387" s="609" t="n"/>
      <c r="AJ387" s="609" t="n"/>
      <c r="AK387" s="609" t="n"/>
      <c r="AL387" s="609" t="n"/>
      <c r="AM387" s="609" t="n"/>
      <c r="AN387" s="609" t="n"/>
      <c r="AO387" s="609" t="n"/>
      <c r="AP387" s="609" t="n"/>
      <c r="AQ387" s="610" t="n"/>
      <c r="AR387" s="609" t="n"/>
      <c r="AS387" s="609" t="n"/>
      <c r="AT387" s="609" t="n"/>
      <c r="AU387" s="609" t="n"/>
      <c r="AV387" s="609" t="n"/>
      <c r="AW387" s="609" t="n"/>
      <c r="AX387" s="609" t="n"/>
      <c r="AY387" s="609" t="n"/>
      <c r="AZ387" s="609" t="n"/>
      <c r="BA387" s="609" t="n"/>
      <c r="BB387" s="609" t="n"/>
      <c r="BC387" s="610" t="n"/>
      <c r="BD387" s="609" t="n"/>
      <c r="BE387" s="609" t="n"/>
      <c r="BF387" s="609" t="n"/>
      <c r="BG387" s="609" t="n"/>
      <c r="BH387" s="609" t="n"/>
      <c r="BI387" s="609" t="n"/>
      <c r="BJ387" s="609" t="n"/>
      <c r="BK387" s="505">
        <f>((BK278)*($E$326))</f>
        <v/>
      </c>
      <c r="BL387" s="505">
        <f>((BL278)*($E$326))</f>
        <v/>
      </c>
      <c r="BM387" s="505">
        <f>((BM278)*($E$326))</f>
        <v/>
      </c>
      <c r="BN387" s="505">
        <f>((BN278)*($E$326))</f>
        <v/>
      </c>
    </row>
    <row r="388" ht="15" customHeight="1" s="1883">
      <c r="D388" s="149" t="inlineStr">
        <is>
          <t>Month 56</t>
        </is>
      </c>
      <c r="E388" s="383" t="n"/>
      <c r="F388" s="383" t="n"/>
      <c r="G388" s="609" t="n"/>
      <c r="H388" s="609" t="n"/>
      <c r="I388" s="609" t="n"/>
      <c r="J388" s="609" t="n"/>
      <c r="K388" s="609" t="n"/>
      <c r="L388" s="609" t="n"/>
      <c r="M388" s="609" t="n"/>
      <c r="N388" s="609" t="n"/>
      <c r="O388" s="609" t="n"/>
      <c r="P388" s="609" t="n"/>
      <c r="Q388" s="609" t="n"/>
      <c r="R388" s="609" t="n"/>
      <c r="S388" s="610" t="n"/>
      <c r="T388" s="609" t="n"/>
      <c r="U388" s="609" t="n"/>
      <c r="V388" s="609" t="n"/>
      <c r="W388" s="609" t="n"/>
      <c r="X388" s="609" t="n"/>
      <c r="Y388" s="609" t="n"/>
      <c r="Z388" s="609" t="n"/>
      <c r="AA388" s="609" t="n"/>
      <c r="AB388" s="609" t="n"/>
      <c r="AC388" s="609" t="n"/>
      <c r="AD388" s="609" t="n"/>
      <c r="AE388" s="610" t="n"/>
      <c r="AF388" s="609" t="n"/>
      <c r="AG388" s="609" t="n"/>
      <c r="AH388" s="609" t="n"/>
      <c r="AI388" s="609" t="n"/>
      <c r="AJ388" s="609" t="n"/>
      <c r="AK388" s="609" t="n"/>
      <c r="AL388" s="609" t="n"/>
      <c r="AM388" s="609" t="n"/>
      <c r="AN388" s="609" t="n"/>
      <c r="AO388" s="609" t="n"/>
      <c r="AP388" s="609" t="n"/>
      <c r="AQ388" s="610" t="n"/>
      <c r="AR388" s="609" t="n"/>
      <c r="AS388" s="609" t="n"/>
      <c r="AT388" s="609" t="n"/>
      <c r="AU388" s="609" t="n"/>
      <c r="AV388" s="609" t="n"/>
      <c r="AW388" s="609" t="n"/>
      <c r="AX388" s="609" t="n"/>
      <c r="AY388" s="609" t="n"/>
      <c r="AZ388" s="609" t="n"/>
      <c r="BA388" s="609" t="n"/>
      <c r="BB388" s="609" t="n"/>
      <c r="BC388" s="610" t="n"/>
      <c r="BD388" s="609" t="n"/>
      <c r="BE388" s="609" t="n"/>
      <c r="BF388" s="609" t="n"/>
      <c r="BG388" s="609" t="n"/>
      <c r="BH388" s="609" t="n"/>
      <c r="BI388" s="609" t="n"/>
      <c r="BJ388" s="609" t="n"/>
      <c r="BK388" s="609" t="n"/>
      <c r="BL388" s="505">
        <f>((BL279)*($E$326))</f>
        <v/>
      </c>
      <c r="BM388" s="505">
        <f>((BM279)*($E$326))</f>
        <v/>
      </c>
      <c r="BN388" s="505">
        <f>((BN279)*($E$326))</f>
        <v/>
      </c>
    </row>
    <row r="389" ht="15" customHeight="1" s="1883">
      <c r="D389" s="149" t="inlineStr">
        <is>
          <t>Month 57</t>
        </is>
      </c>
      <c r="E389" s="383" t="n"/>
      <c r="F389" s="383" t="n"/>
      <c r="G389" s="609" t="n"/>
      <c r="H389" s="609" t="n"/>
      <c r="I389" s="609" t="n"/>
      <c r="J389" s="609" t="n"/>
      <c r="K389" s="609" t="n"/>
      <c r="L389" s="609" t="n"/>
      <c r="M389" s="609" t="n"/>
      <c r="N389" s="609" t="n"/>
      <c r="O389" s="609" t="n"/>
      <c r="P389" s="609" t="n"/>
      <c r="Q389" s="609" t="n"/>
      <c r="R389" s="609" t="n"/>
      <c r="S389" s="610" t="n"/>
      <c r="T389" s="609" t="n"/>
      <c r="U389" s="609" t="n"/>
      <c r="V389" s="609" t="n"/>
      <c r="W389" s="609" t="n"/>
      <c r="X389" s="609" t="n"/>
      <c r="Y389" s="609" t="n"/>
      <c r="Z389" s="609" t="n"/>
      <c r="AA389" s="609" t="n"/>
      <c r="AB389" s="609" t="n"/>
      <c r="AC389" s="609" t="n"/>
      <c r="AD389" s="609" t="n"/>
      <c r="AE389" s="610" t="n"/>
      <c r="AF389" s="609" t="n"/>
      <c r="AG389" s="609" t="n"/>
      <c r="AH389" s="609" t="n"/>
      <c r="AI389" s="609" t="n"/>
      <c r="AJ389" s="609" t="n"/>
      <c r="AK389" s="609" t="n"/>
      <c r="AL389" s="609" t="n"/>
      <c r="AM389" s="609" t="n"/>
      <c r="AN389" s="609" t="n"/>
      <c r="AO389" s="609" t="n"/>
      <c r="AP389" s="609" t="n"/>
      <c r="AQ389" s="610" t="n"/>
      <c r="AR389" s="609" t="n"/>
      <c r="AS389" s="609" t="n"/>
      <c r="AT389" s="609" t="n"/>
      <c r="AU389" s="609" t="n"/>
      <c r="AV389" s="609" t="n"/>
      <c r="AW389" s="609" t="n"/>
      <c r="AX389" s="609" t="n"/>
      <c r="AY389" s="609" t="n"/>
      <c r="AZ389" s="609" t="n"/>
      <c r="BA389" s="609" t="n"/>
      <c r="BB389" s="609" t="n"/>
      <c r="BC389" s="610" t="n"/>
      <c r="BD389" s="609" t="n"/>
      <c r="BE389" s="609" t="n"/>
      <c r="BF389" s="609" t="n"/>
      <c r="BG389" s="609" t="n"/>
      <c r="BH389" s="609" t="n"/>
      <c r="BI389" s="609" t="n"/>
      <c r="BJ389" s="609" t="n"/>
      <c r="BK389" s="609" t="n"/>
      <c r="BL389" s="609" t="n"/>
      <c r="BM389" s="505">
        <f>((BM280)*($E$326))</f>
        <v/>
      </c>
      <c r="BN389" s="505">
        <f>((BN280)*($E$326))</f>
        <v/>
      </c>
    </row>
    <row r="390" ht="15" customHeight="1" s="1883">
      <c r="D390" s="149" t="inlineStr">
        <is>
          <t>Month 58</t>
        </is>
      </c>
      <c r="E390" s="383" t="n"/>
      <c r="F390" s="383" t="n"/>
      <c r="G390" s="609" t="n"/>
      <c r="H390" s="609" t="n"/>
      <c r="I390" s="609" t="n"/>
      <c r="J390" s="609" t="n"/>
      <c r="K390" s="609" t="n"/>
      <c r="L390" s="609" t="n"/>
      <c r="M390" s="609" t="n"/>
      <c r="N390" s="609" t="n"/>
      <c r="O390" s="609" t="n"/>
      <c r="P390" s="609" t="n"/>
      <c r="Q390" s="609" t="n"/>
      <c r="R390" s="609" t="n"/>
      <c r="S390" s="610" t="n"/>
      <c r="T390" s="609" t="n"/>
      <c r="U390" s="609" t="n"/>
      <c r="V390" s="609" t="n"/>
      <c r="W390" s="609" t="n"/>
      <c r="X390" s="609" t="n"/>
      <c r="Y390" s="609" t="n"/>
      <c r="Z390" s="609" t="n"/>
      <c r="AA390" s="609" t="n"/>
      <c r="AB390" s="609" t="n"/>
      <c r="AC390" s="609" t="n"/>
      <c r="AD390" s="609" t="n"/>
      <c r="AE390" s="610" t="n"/>
      <c r="AF390" s="609" t="n"/>
      <c r="AG390" s="609" t="n"/>
      <c r="AH390" s="609" t="n"/>
      <c r="AI390" s="609" t="n"/>
      <c r="AJ390" s="609" t="n"/>
      <c r="AK390" s="609" t="n"/>
      <c r="AL390" s="609" t="n"/>
      <c r="AM390" s="609" t="n"/>
      <c r="AN390" s="609" t="n"/>
      <c r="AO390" s="609" t="n"/>
      <c r="AP390" s="609" t="n"/>
      <c r="AQ390" s="610" t="n"/>
      <c r="AR390" s="609" t="n"/>
      <c r="AS390" s="609" t="n"/>
      <c r="AT390" s="609" t="n"/>
      <c r="AU390" s="609" t="n"/>
      <c r="AV390" s="609" t="n"/>
      <c r="AW390" s="609" t="n"/>
      <c r="AX390" s="609" t="n"/>
      <c r="AY390" s="609" t="n"/>
      <c r="AZ390" s="609" t="n"/>
      <c r="BA390" s="609" t="n"/>
      <c r="BB390" s="609" t="n"/>
      <c r="BC390" s="610" t="n"/>
      <c r="BD390" s="609" t="n"/>
      <c r="BE390" s="609" t="n"/>
      <c r="BF390" s="609" t="n"/>
      <c r="BG390" s="609" t="n"/>
      <c r="BH390" s="609" t="n"/>
      <c r="BI390" s="609" t="n"/>
      <c r="BJ390" s="609" t="n"/>
      <c r="BK390" s="609" t="n"/>
      <c r="BL390" s="609" t="n"/>
      <c r="BM390" s="609" t="n"/>
      <c r="BN390" s="505">
        <f>((BN281)*($E$326))</f>
        <v/>
      </c>
    </row>
    <row r="391" ht="15" customHeight="1" s="1883">
      <c r="D391" s="149" t="inlineStr">
        <is>
          <t>Month 59</t>
        </is>
      </c>
      <c r="E391" s="383" t="n"/>
      <c r="F391" s="383" t="n"/>
      <c r="G391" s="609" t="n"/>
      <c r="H391" s="609" t="n"/>
      <c r="I391" s="609" t="n"/>
      <c r="J391" s="609" t="n"/>
      <c r="K391" s="609" t="n"/>
      <c r="L391" s="609" t="n"/>
      <c r="M391" s="609" t="n"/>
      <c r="N391" s="609" t="n"/>
      <c r="O391" s="609" t="n"/>
      <c r="P391" s="609" t="n"/>
      <c r="Q391" s="609" t="n"/>
      <c r="R391" s="609" t="n"/>
      <c r="S391" s="610" t="n"/>
      <c r="T391" s="609" t="n"/>
      <c r="U391" s="609" t="n"/>
      <c r="V391" s="609" t="n"/>
      <c r="W391" s="609" t="n"/>
      <c r="X391" s="609" t="n"/>
      <c r="Y391" s="609" t="n"/>
      <c r="Z391" s="609" t="n"/>
      <c r="AA391" s="609" t="n"/>
      <c r="AB391" s="609" t="n"/>
      <c r="AC391" s="609" t="n"/>
      <c r="AD391" s="609" t="n"/>
      <c r="AE391" s="610" t="n"/>
      <c r="AF391" s="609" t="n"/>
      <c r="AG391" s="609" t="n"/>
      <c r="AH391" s="609" t="n"/>
      <c r="AI391" s="609" t="n"/>
      <c r="AJ391" s="609" t="n"/>
      <c r="AK391" s="609" t="n"/>
      <c r="AL391" s="609" t="n"/>
      <c r="AM391" s="609" t="n"/>
      <c r="AN391" s="609" t="n"/>
      <c r="AO391" s="609" t="n"/>
      <c r="AP391" s="609" t="n"/>
      <c r="AQ391" s="610" t="n"/>
      <c r="AR391" s="609" t="n"/>
      <c r="AS391" s="609" t="n"/>
      <c r="AT391" s="609" t="n"/>
      <c r="AU391" s="609" t="n"/>
      <c r="AV391" s="609" t="n"/>
      <c r="AW391" s="609" t="n"/>
      <c r="AX391" s="609" t="n"/>
      <c r="AY391" s="609" t="n"/>
      <c r="AZ391" s="609" t="n"/>
      <c r="BA391" s="609" t="n"/>
      <c r="BB391" s="609" t="n"/>
      <c r="BC391" s="610" t="n"/>
      <c r="BD391" s="609" t="n"/>
      <c r="BE391" s="609" t="n"/>
      <c r="BF391" s="609" t="n"/>
      <c r="BG391" s="609" t="n"/>
      <c r="BH391" s="609" t="n"/>
      <c r="BI391" s="609" t="n"/>
      <c r="BJ391" s="609" t="n"/>
      <c r="BK391" s="609" t="n"/>
      <c r="BL391" s="609" t="n"/>
      <c r="BM391" s="609" t="n"/>
      <c r="BN391" s="609" t="n"/>
    </row>
    <row r="392" ht="15" customHeight="1" s="1883">
      <c r="D392" s="149" t="inlineStr">
        <is>
          <t>Month 60</t>
        </is>
      </c>
      <c r="E392" s="1910" t="n"/>
      <c r="F392" s="383" t="n"/>
      <c r="G392" s="609" t="n"/>
      <c r="H392" s="609" t="n"/>
      <c r="I392" s="609" t="n"/>
      <c r="J392" s="609" t="n"/>
      <c r="K392" s="609" t="n"/>
      <c r="L392" s="609" t="n"/>
      <c r="M392" s="609" t="n"/>
      <c r="N392" s="609" t="n"/>
      <c r="O392" s="609" t="n"/>
      <c r="P392" s="609" t="n"/>
      <c r="Q392" s="609" t="n"/>
      <c r="R392" s="609" t="n"/>
      <c r="S392" s="610" t="n"/>
      <c r="T392" s="609" t="n"/>
      <c r="U392" s="609" t="n"/>
      <c r="V392" s="609" t="n"/>
      <c r="W392" s="609" t="n"/>
      <c r="X392" s="609" t="n"/>
      <c r="Y392" s="609" t="n"/>
      <c r="Z392" s="609" t="n"/>
      <c r="AA392" s="609" t="n"/>
      <c r="AB392" s="609" t="n"/>
      <c r="AC392" s="609" t="n"/>
      <c r="AD392" s="609" t="n"/>
      <c r="AE392" s="610" t="n"/>
      <c r="AF392" s="609" t="n"/>
      <c r="AG392" s="609" t="n"/>
      <c r="AH392" s="609" t="n"/>
      <c r="AI392" s="609" t="n"/>
      <c r="AJ392" s="609" t="n"/>
      <c r="AK392" s="609" t="n"/>
      <c r="AL392" s="609" t="n"/>
      <c r="AM392" s="609" t="n"/>
      <c r="AN392" s="609" t="n"/>
      <c r="AO392" s="609" t="n"/>
      <c r="AP392" s="609" t="n"/>
      <c r="AQ392" s="610" t="n"/>
      <c r="AR392" s="609" t="n"/>
      <c r="AS392" s="609" t="n"/>
      <c r="AT392" s="609" t="n"/>
      <c r="AU392" s="609" t="n"/>
      <c r="AV392" s="609" t="n"/>
      <c r="AW392" s="609" t="n"/>
      <c r="AX392" s="609" t="n"/>
      <c r="AY392" s="609" t="n"/>
      <c r="AZ392" s="609" t="n"/>
      <c r="BA392" s="609" t="n"/>
      <c r="BB392" s="609" t="n"/>
      <c r="BC392" s="610" t="n"/>
      <c r="BD392" s="609" t="n"/>
      <c r="BE392" s="609" t="n"/>
      <c r="BF392" s="609" t="n"/>
      <c r="BG392" s="609" t="n"/>
      <c r="BH392" s="609" t="n"/>
      <c r="BI392" s="609" t="n"/>
      <c r="BJ392" s="609" t="n"/>
      <c r="BK392" s="609" t="n"/>
      <c r="BL392" s="609" t="n"/>
      <c r="BM392" s="609" t="n"/>
      <c r="BN392" s="609" t="n"/>
    </row>
    <row r="393" ht="3" customHeight="1" s="1883">
      <c r="D393" s="116" t="n"/>
      <c r="E393" s="1905" t="n"/>
      <c r="F393" s="383" t="n"/>
      <c r="G393" s="508" t="n"/>
      <c r="H393" s="508" t="n"/>
      <c r="I393" s="508" t="n"/>
      <c r="J393" s="508" t="n"/>
      <c r="K393" s="508" t="n"/>
      <c r="L393" s="508" t="n"/>
      <c r="M393" s="508" t="n"/>
      <c r="N393" s="508" t="n"/>
      <c r="O393" s="508" t="n"/>
      <c r="P393" s="508" t="n"/>
      <c r="Q393" s="508" t="n"/>
      <c r="R393" s="508" t="n"/>
      <c r="S393" s="519" t="n"/>
      <c r="T393" s="508" t="n"/>
      <c r="U393" s="508" t="n"/>
      <c r="V393" s="508" t="n"/>
      <c r="W393" s="508" t="n"/>
      <c r="X393" s="508" t="n"/>
      <c r="Y393" s="508" t="n"/>
      <c r="Z393" s="508" t="n"/>
      <c r="AA393" s="508" t="n"/>
      <c r="AB393" s="508" t="n"/>
      <c r="AC393" s="508" t="n"/>
      <c r="AD393" s="508" t="n"/>
      <c r="AE393" s="519" t="n"/>
      <c r="AF393" s="508" t="n"/>
      <c r="AG393" s="508" t="n"/>
      <c r="AH393" s="508" t="n"/>
      <c r="AI393" s="508" t="n"/>
      <c r="AJ393" s="508" t="n"/>
      <c r="AK393" s="508" t="n"/>
      <c r="AL393" s="508" t="n"/>
      <c r="AM393" s="508" t="n"/>
      <c r="AN393" s="508" t="n"/>
      <c r="AO393" s="508" t="n"/>
      <c r="AP393" s="508" t="n"/>
      <c r="AQ393" s="519" t="n"/>
      <c r="AR393" s="508" t="n"/>
      <c r="AS393" s="508" t="n"/>
      <c r="AT393" s="508" t="n"/>
      <c r="AU393" s="508" t="n"/>
      <c r="AV393" s="508" t="n"/>
      <c r="AW393" s="508" t="n"/>
      <c r="AX393" s="508" t="n"/>
      <c r="AY393" s="508" t="n"/>
      <c r="AZ393" s="508" t="n"/>
      <c r="BA393" s="508" t="n"/>
      <c r="BB393" s="508" t="n"/>
      <c r="BC393" s="519" t="n"/>
      <c r="BD393" s="508" t="n"/>
      <c r="BE393" s="508" t="n"/>
      <c r="BF393" s="508" t="n"/>
      <c r="BG393" s="508" t="n"/>
      <c r="BH393" s="508" t="n"/>
      <c r="BI393" s="508" t="n"/>
      <c r="BJ393" s="508" t="n"/>
      <c r="BK393" s="508" t="n"/>
      <c r="BL393" s="508" t="n"/>
      <c r="BM393" s="508" t="n"/>
      <c r="BN393" s="508" t="n"/>
    </row>
    <row r="394" ht="3" customHeight="1" s="1883">
      <c r="D394" s="116" t="n"/>
      <c r="E394" s="1905" t="n"/>
      <c r="F394" s="383" t="n"/>
      <c r="G394" s="462" t="n"/>
      <c r="H394" s="462" t="n"/>
      <c r="I394" s="462" t="n"/>
      <c r="J394" s="462" t="n"/>
      <c r="K394" s="462" t="n"/>
      <c r="L394" s="462" t="n"/>
      <c r="M394" s="462" t="n"/>
      <c r="N394" s="462" t="n"/>
      <c r="O394" s="462" t="n"/>
      <c r="P394" s="462" t="n"/>
      <c r="Q394" s="462" t="n"/>
      <c r="R394" s="462" t="n"/>
      <c r="S394" s="511" t="n"/>
      <c r="T394" s="462" t="n"/>
      <c r="U394" s="462" t="n"/>
      <c r="V394" s="462" t="n"/>
      <c r="W394" s="462" t="n"/>
      <c r="X394" s="462" t="n"/>
      <c r="Y394" s="462" t="n"/>
      <c r="Z394" s="462" t="n"/>
      <c r="AA394" s="462" t="n"/>
      <c r="AB394" s="462" t="n"/>
      <c r="AC394" s="462" t="n"/>
      <c r="AD394" s="462" t="n"/>
      <c r="AE394" s="511" t="n"/>
      <c r="AF394" s="462" t="n"/>
      <c r="AG394" s="462" t="n"/>
      <c r="AH394" s="462" t="n"/>
      <c r="AI394" s="462" t="n"/>
      <c r="AJ394" s="462" t="n"/>
      <c r="AK394" s="462" t="n"/>
      <c r="AL394" s="462" t="n"/>
      <c r="AM394" s="462" t="n"/>
      <c r="AN394" s="462" t="n"/>
      <c r="AO394" s="462" t="n"/>
      <c r="AP394" s="462" t="n"/>
      <c r="AQ394" s="511" t="n"/>
      <c r="AR394" s="462" t="n"/>
      <c r="AS394" s="462" t="n"/>
      <c r="AT394" s="462" t="n"/>
      <c r="AU394" s="462" t="n"/>
      <c r="AV394" s="462" t="n"/>
      <c r="AW394" s="462" t="n"/>
      <c r="AX394" s="462" t="n"/>
      <c r="AY394" s="462" t="n"/>
      <c r="AZ394" s="462" t="n"/>
      <c r="BA394" s="462" t="n"/>
      <c r="BB394" s="462" t="n"/>
      <c r="BC394" s="511" t="n"/>
      <c r="BD394" s="462" t="n"/>
      <c r="BE394" s="462" t="n"/>
      <c r="BF394" s="462" t="n"/>
      <c r="BG394" s="462" t="n"/>
      <c r="BH394" s="462" t="n"/>
      <c r="BI394" s="462" t="n"/>
      <c r="BJ394" s="462" t="n"/>
      <c r="BK394" s="462" t="n"/>
      <c r="BL394" s="462" t="n"/>
      <c r="BM394" s="462" t="n"/>
      <c r="BN394" s="462" t="n"/>
    </row>
    <row r="395" ht="15" customHeight="1" s="1883">
      <c r="D395" s="419" t="inlineStr">
        <is>
          <t>Total</t>
        </is>
      </c>
      <c r="E395" s="1904" t="n"/>
      <c r="F395" s="383" t="n"/>
      <c r="G395" s="396">
        <f>SUM(G333:G392)</f>
        <v/>
      </c>
      <c r="H395" s="396">
        <f>SUM(H333:H392)</f>
        <v/>
      </c>
      <c r="I395" s="396">
        <f>SUM(I333:I392)</f>
        <v/>
      </c>
      <c r="J395" s="396">
        <f>SUM(J333:J392)</f>
        <v/>
      </c>
      <c r="K395" s="396">
        <f>SUM(K333:K392)</f>
        <v/>
      </c>
      <c r="L395" s="396">
        <f>SUM(L333:L392)</f>
        <v/>
      </c>
      <c r="M395" s="396">
        <f>SUM(M333:M392)</f>
        <v/>
      </c>
      <c r="N395" s="396">
        <f>SUM(N333:N392)</f>
        <v/>
      </c>
      <c r="O395" s="396">
        <f>SUM(O333:O392)</f>
        <v/>
      </c>
      <c r="P395" s="396">
        <f>SUM(P333:P392)</f>
        <v/>
      </c>
      <c r="Q395" s="396">
        <f>SUM(Q333:Q392)</f>
        <v/>
      </c>
      <c r="R395" s="396">
        <f>SUM(R333:R392)</f>
        <v/>
      </c>
      <c r="S395" s="613">
        <f>SUM(S333:S392)</f>
        <v/>
      </c>
      <c r="T395" s="396">
        <f>SUM(T333:T392)</f>
        <v/>
      </c>
      <c r="U395" s="396">
        <f>SUM(U333:U392)</f>
        <v/>
      </c>
      <c r="V395" s="396">
        <f>SUM(V333:V392)</f>
        <v/>
      </c>
      <c r="W395" s="396">
        <f>SUM(W333:W392)</f>
        <v/>
      </c>
      <c r="X395" s="396">
        <f>SUM(X333:X392)</f>
        <v/>
      </c>
      <c r="Y395" s="396">
        <f>SUM(Y333:Y392)</f>
        <v/>
      </c>
      <c r="Z395" s="396">
        <f>SUM(Z333:Z392)</f>
        <v/>
      </c>
      <c r="AA395" s="396">
        <f>SUM(AA333:AA392)</f>
        <v/>
      </c>
      <c r="AB395" s="396">
        <f>SUM(AB333:AB392)</f>
        <v/>
      </c>
      <c r="AC395" s="396">
        <f>SUM(AC333:AC392)</f>
        <v/>
      </c>
      <c r="AD395" s="396">
        <f>SUM(AD333:AD392)</f>
        <v/>
      </c>
      <c r="AE395" s="613">
        <f>SUM(AE333:AE392)</f>
        <v/>
      </c>
      <c r="AF395" s="396">
        <f>SUM(AF333:AF392)</f>
        <v/>
      </c>
      <c r="AG395" s="396">
        <f>SUM(AG333:AG392)</f>
        <v/>
      </c>
      <c r="AH395" s="396">
        <f>SUM(AH333:AH392)</f>
        <v/>
      </c>
      <c r="AI395" s="396">
        <f>SUM(AI333:AI392)</f>
        <v/>
      </c>
      <c r="AJ395" s="396">
        <f>SUM(AJ333:AJ392)</f>
        <v/>
      </c>
      <c r="AK395" s="396">
        <f>SUM(AK333:AK392)</f>
        <v/>
      </c>
      <c r="AL395" s="396">
        <f>SUM(AL333:AL392)</f>
        <v/>
      </c>
      <c r="AM395" s="396">
        <f>SUM(AM333:AM392)</f>
        <v/>
      </c>
      <c r="AN395" s="396">
        <f>SUM(AN333:AN392)</f>
        <v/>
      </c>
      <c r="AO395" s="396">
        <f>SUM(AO333:AO392)</f>
        <v/>
      </c>
      <c r="AP395" s="396">
        <f>SUM(AP333:AP392)</f>
        <v/>
      </c>
      <c r="AQ395" s="613">
        <f>SUM(AQ333:AQ392)</f>
        <v/>
      </c>
      <c r="AR395" s="396">
        <f>SUM(AR333:AR392)</f>
        <v/>
      </c>
      <c r="AS395" s="396">
        <f>SUM(AS333:AS392)</f>
        <v/>
      </c>
      <c r="AT395" s="396">
        <f>SUM(AT333:AT392)</f>
        <v/>
      </c>
      <c r="AU395" s="396">
        <f>SUM(AU333:AU392)</f>
        <v/>
      </c>
      <c r="AV395" s="396">
        <f>SUM(AV333:AV392)</f>
        <v/>
      </c>
      <c r="AW395" s="396">
        <f>SUM(AW333:AW392)</f>
        <v/>
      </c>
      <c r="AX395" s="396">
        <f>SUM(AX333:AX392)</f>
        <v/>
      </c>
      <c r="AY395" s="396">
        <f>SUM(AY333:AY392)</f>
        <v/>
      </c>
      <c r="AZ395" s="396">
        <f>SUM(AZ333:AZ392)</f>
        <v/>
      </c>
      <c r="BA395" s="396">
        <f>SUM(BA333:BA392)</f>
        <v/>
      </c>
      <c r="BB395" s="396">
        <f>SUM(BB333:BB392)</f>
        <v/>
      </c>
      <c r="BC395" s="613">
        <f>SUM(BC333:BC392)</f>
        <v/>
      </c>
      <c r="BD395" s="396">
        <f>SUM(BD333:BD392)</f>
        <v/>
      </c>
      <c r="BE395" s="396">
        <f>SUM(BE333:BE392)</f>
        <v/>
      </c>
      <c r="BF395" s="396">
        <f>SUM(BF333:BF392)</f>
        <v/>
      </c>
      <c r="BG395" s="396">
        <f>SUM(BG333:BG392)</f>
        <v/>
      </c>
      <c r="BH395" s="396">
        <f>SUM(BH333:BH392)</f>
        <v/>
      </c>
      <c r="BI395" s="396">
        <f>SUM(BI333:BI392)</f>
        <v/>
      </c>
      <c r="BJ395" s="396">
        <f>SUM(BJ333:BJ392)</f>
        <v/>
      </c>
      <c r="BK395" s="396">
        <f>SUM(BK333:BK392)</f>
        <v/>
      </c>
      <c r="BL395" s="396">
        <f>SUM(BL333:BL392)</f>
        <v/>
      </c>
      <c r="BM395" s="396">
        <f>SUM(BM333:BM392)</f>
        <v/>
      </c>
      <c r="BN395" s="396">
        <f>SUM(BN333:BN392)</f>
        <v/>
      </c>
    </row>
    <row r="396" ht="3" customHeight="1" s="1883">
      <c r="D396" s="116" t="n"/>
      <c r="E396" s="1968" t="n"/>
      <c r="F396" s="383" t="n"/>
      <c r="G396" s="508" t="n"/>
      <c r="H396" s="508" t="n"/>
      <c r="I396" s="508" t="n"/>
      <c r="J396" s="508" t="n"/>
      <c r="K396" s="508" t="n"/>
      <c r="L396" s="508" t="n"/>
      <c r="M396" s="508" t="n"/>
      <c r="N396" s="508" t="n"/>
      <c r="O396" s="508" t="n"/>
      <c r="P396" s="508" t="n"/>
      <c r="Q396" s="508" t="n"/>
      <c r="R396" s="508" t="n"/>
      <c r="S396" s="519" t="n"/>
      <c r="T396" s="508" t="n"/>
      <c r="U396" s="508" t="n"/>
      <c r="V396" s="508" t="n"/>
      <c r="W396" s="508" t="n"/>
      <c r="X396" s="508" t="n"/>
      <c r="Y396" s="508" t="n"/>
      <c r="Z396" s="508" t="n"/>
      <c r="AA396" s="508" t="n"/>
      <c r="AB396" s="508" t="n"/>
      <c r="AC396" s="508" t="n"/>
      <c r="AD396" s="508" t="n"/>
      <c r="AE396" s="519" t="n"/>
      <c r="AF396" s="508" t="n"/>
      <c r="AG396" s="508" t="n"/>
      <c r="AH396" s="508" t="n"/>
      <c r="AI396" s="508" t="n"/>
      <c r="AJ396" s="508" t="n"/>
      <c r="AK396" s="508" t="n"/>
      <c r="AL396" s="508" t="n"/>
      <c r="AM396" s="508" t="n"/>
      <c r="AN396" s="508" t="n"/>
      <c r="AO396" s="508" t="n"/>
      <c r="AP396" s="508" t="n"/>
      <c r="AQ396" s="519" t="n"/>
      <c r="AR396" s="508" t="n"/>
      <c r="AS396" s="508" t="n"/>
      <c r="AT396" s="508" t="n"/>
      <c r="AU396" s="508" t="n"/>
      <c r="AV396" s="508" t="n"/>
      <c r="AW396" s="508" t="n"/>
      <c r="AX396" s="508" t="n"/>
      <c r="AY396" s="508" t="n"/>
      <c r="AZ396" s="508" t="n"/>
      <c r="BA396" s="508" t="n"/>
      <c r="BB396" s="508" t="n"/>
      <c r="BC396" s="519" t="n"/>
      <c r="BD396" s="508" t="n"/>
      <c r="BE396" s="508" t="n"/>
      <c r="BF396" s="508" t="n"/>
      <c r="BG396" s="508" t="n"/>
      <c r="BH396" s="508" t="n"/>
      <c r="BI396" s="508" t="n"/>
      <c r="BJ396" s="508" t="n"/>
      <c r="BK396" s="508" t="n"/>
      <c r="BL396" s="508" t="n"/>
      <c r="BM396" s="508" t="n"/>
      <c r="BN396" s="508" t="n"/>
    </row>
    <row r="397" ht="3" customHeight="1" s="1883">
      <c r="D397" s="116" t="n"/>
      <c r="E397" s="1905" t="n"/>
      <c r="F397" s="383" t="n"/>
      <c r="G397" s="462" t="n"/>
      <c r="H397" s="462" t="n"/>
      <c r="I397" s="462" t="n"/>
      <c r="J397" s="462" t="n"/>
      <c r="K397" s="462" t="n"/>
      <c r="L397" s="462" t="n"/>
      <c r="M397" s="462" t="n"/>
      <c r="N397" s="462" t="n"/>
      <c r="O397" s="462" t="n"/>
      <c r="P397" s="462" t="n"/>
      <c r="Q397" s="462" t="n"/>
      <c r="R397" s="462" t="n"/>
      <c r="S397" s="511" t="n"/>
      <c r="T397" s="462" t="n"/>
      <c r="U397" s="462" t="n"/>
      <c r="V397" s="462" t="n"/>
      <c r="W397" s="462" t="n"/>
      <c r="X397" s="462" t="n"/>
      <c r="Y397" s="462" t="n"/>
      <c r="Z397" s="462" t="n"/>
      <c r="AA397" s="462" t="n"/>
      <c r="AB397" s="462" t="n"/>
      <c r="AC397" s="462" t="n"/>
      <c r="AD397" s="462" t="n"/>
      <c r="AE397" s="511" t="n"/>
      <c r="AF397" s="462" t="n"/>
      <c r="AG397" s="462" t="n"/>
      <c r="AH397" s="462" t="n"/>
      <c r="AI397" s="462" t="n"/>
      <c r="AJ397" s="462" t="n"/>
      <c r="AK397" s="462" t="n"/>
      <c r="AL397" s="462" t="n"/>
      <c r="AM397" s="462" t="n"/>
      <c r="AN397" s="462" t="n"/>
      <c r="AO397" s="462" t="n"/>
      <c r="AP397" s="462" t="n"/>
      <c r="AQ397" s="511" t="n"/>
      <c r="AR397" s="462" t="n"/>
      <c r="AS397" s="462" t="n"/>
      <c r="AT397" s="462" t="n"/>
      <c r="AU397" s="462" t="n"/>
      <c r="AV397" s="462" t="n"/>
      <c r="AW397" s="462" t="n"/>
      <c r="AX397" s="462" t="n"/>
      <c r="AY397" s="462" t="n"/>
      <c r="AZ397" s="462" t="n"/>
      <c r="BA397" s="462" t="n"/>
      <c r="BB397" s="462" t="n"/>
      <c r="BC397" s="511" t="n"/>
      <c r="BD397" s="462" t="n"/>
      <c r="BE397" s="462" t="n"/>
      <c r="BF397" s="462" t="n"/>
      <c r="BG397" s="462" t="n"/>
      <c r="BH397" s="462" t="n"/>
      <c r="BI397" s="462" t="n"/>
      <c r="BJ397" s="462" t="n"/>
      <c r="BK397" s="462" t="n"/>
      <c r="BL397" s="462" t="n"/>
      <c r="BM397" s="462" t="n"/>
      <c r="BN397" s="462" t="n"/>
    </row>
    <row r="398" ht="15" customHeight="1" s="1883">
      <c r="D398" s="383" t="n"/>
      <c r="E398" s="1910" t="n"/>
      <c r="F398" s="383" t="n"/>
      <c r="G398" s="462" t="n"/>
      <c r="H398" s="462" t="n"/>
      <c r="I398" s="462" t="n"/>
      <c r="J398" s="462" t="n"/>
      <c r="K398" s="462" t="n"/>
      <c r="L398" s="462" t="n"/>
      <c r="M398" s="462" t="n"/>
      <c r="N398" s="462" t="n"/>
      <c r="O398" s="462" t="n"/>
      <c r="P398" s="462" t="n"/>
      <c r="Q398" s="462" t="n"/>
      <c r="R398" s="462" t="n"/>
      <c r="S398" s="511" t="n"/>
      <c r="T398" s="462" t="n"/>
      <c r="U398" s="462" t="n"/>
      <c r="V398" s="462" t="n"/>
      <c r="W398" s="462" t="n"/>
      <c r="X398" s="462" t="n"/>
      <c r="Y398" s="462" t="n"/>
      <c r="Z398" s="462" t="n"/>
      <c r="AA398" s="462" t="n"/>
      <c r="AB398" s="462" t="n"/>
      <c r="AC398" s="462" t="n"/>
      <c r="AD398" s="462" t="n"/>
      <c r="AE398" s="511" t="n"/>
      <c r="AF398" s="462" t="n"/>
      <c r="AG398" s="462" t="n"/>
      <c r="AH398" s="462" t="n"/>
      <c r="AI398" s="462" t="n"/>
      <c r="AJ398" s="462" t="n"/>
      <c r="AK398" s="462" t="n"/>
      <c r="AL398" s="462" t="n"/>
      <c r="AM398" s="462" t="n"/>
      <c r="AN398" s="462" t="n"/>
      <c r="AO398" s="462" t="n"/>
      <c r="AP398" s="462" t="n"/>
      <c r="AQ398" s="511" t="n"/>
      <c r="AR398" s="462" t="n"/>
      <c r="AS398" s="462" t="n"/>
      <c r="AT398" s="462" t="n"/>
      <c r="AU398" s="462" t="n"/>
      <c r="AV398" s="462" t="n"/>
      <c r="AW398" s="462" t="n"/>
      <c r="AX398" s="462" t="n"/>
      <c r="AY398" s="462" t="n"/>
      <c r="AZ398" s="462" t="n"/>
      <c r="BA398" s="462" t="n"/>
      <c r="BB398" s="462" t="n"/>
      <c r="BC398" s="511" t="n"/>
      <c r="BD398" s="462" t="n"/>
      <c r="BE398" s="462" t="n"/>
      <c r="BF398" s="462" t="n"/>
      <c r="BG398" s="462" t="n"/>
      <c r="BH398" s="462" t="n"/>
      <c r="BI398" s="462" t="n"/>
      <c r="BJ398" s="462" t="n"/>
      <c r="BK398" s="462" t="n"/>
      <c r="BL398" s="462" t="n"/>
      <c r="BM398" s="462" t="n"/>
      <c r="BN398" s="462" t="n"/>
    </row>
    <row r="399" ht="15" customHeight="1" s="1883">
      <c r="D399" s="383" t="n"/>
      <c r="E399" s="383" t="n"/>
      <c r="F399" s="383" t="n"/>
      <c r="G399" s="1882" t="inlineStr">
        <is>
          <t>Month 1</t>
        </is>
      </c>
      <c r="H399" s="1882" t="inlineStr">
        <is>
          <t>Month 2</t>
        </is>
      </c>
      <c r="I399" s="1882" t="inlineStr">
        <is>
          <t>Month 3</t>
        </is>
      </c>
      <c r="J399" s="1882" t="inlineStr">
        <is>
          <t>Month 4</t>
        </is>
      </c>
      <c r="K399" s="1882" t="inlineStr">
        <is>
          <t>Month 5</t>
        </is>
      </c>
      <c r="L399" s="1882" t="inlineStr">
        <is>
          <t>Month 6</t>
        </is>
      </c>
      <c r="M399" s="1882" t="inlineStr">
        <is>
          <t>Month 7</t>
        </is>
      </c>
      <c r="N399" s="1882" t="inlineStr">
        <is>
          <t>Month 8</t>
        </is>
      </c>
      <c r="O399" s="1882" t="inlineStr">
        <is>
          <t>Month 9</t>
        </is>
      </c>
      <c r="P399" s="1882" t="inlineStr">
        <is>
          <t>Month 10</t>
        </is>
      </c>
      <c r="Q399" s="1882" t="inlineStr">
        <is>
          <t>Month 11</t>
        </is>
      </c>
      <c r="R399" s="1882" t="inlineStr">
        <is>
          <t>Month 12</t>
        </is>
      </c>
      <c r="S399" s="433" t="inlineStr">
        <is>
          <t>Month 13</t>
        </is>
      </c>
      <c r="T399" s="1882" t="inlineStr">
        <is>
          <t>Month 14</t>
        </is>
      </c>
      <c r="U399" s="1882" t="inlineStr">
        <is>
          <t>Month 15</t>
        </is>
      </c>
      <c r="V399" s="1882" t="inlineStr">
        <is>
          <t>Month 16</t>
        </is>
      </c>
      <c r="W399" s="1882" t="inlineStr">
        <is>
          <t>Month 17</t>
        </is>
      </c>
      <c r="X399" s="1882" t="inlineStr">
        <is>
          <t>Month 18</t>
        </is>
      </c>
      <c r="Y399" s="1882" t="inlineStr">
        <is>
          <t>Month 19</t>
        </is>
      </c>
      <c r="Z399" s="1882" t="inlineStr">
        <is>
          <t>Month 20</t>
        </is>
      </c>
      <c r="AA399" s="1882" t="inlineStr">
        <is>
          <t>Month 21</t>
        </is>
      </c>
      <c r="AB399" s="1882" t="inlineStr">
        <is>
          <t>Month 22</t>
        </is>
      </c>
      <c r="AC399" s="1882" t="inlineStr">
        <is>
          <t>Month 23</t>
        </is>
      </c>
      <c r="AD399" s="1882" t="inlineStr">
        <is>
          <t>Month 24</t>
        </is>
      </c>
      <c r="AE399" s="433" t="inlineStr">
        <is>
          <t>Month 25</t>
        </is>
      </c>
      <c r="AF399" s="1882" t="inlineStr">
        <is>
          <t>Month 26</t>
        </is>
      </c>
      <c r="AG399" s="1882" t="inlineStr">
        <is>
          <t>Month 27</t>
        </is>
      </c>
      <c r="AH399" s="1882" t="inlineStr">
        <is>
          <t>Month 28</t>
        </is>
      </c>
      <c r="AI399" s="1882" t="inlineStr">
        <is>
          <t>Month 29</t>
        </is>
      </c>
      <c r="AJ399" s="1882" t="inlineStr">
        <is>
          <t>Month 30</t>
        </is>
      </c>
      <c r="AK399" s="1882" t="inlineStr">
        <is>
          <t>Month 31</t>
        </is>
      </c>
      <c r="AL399" s="1882" t="inlineStr">
        <is>
          <t>Month 32</t>
        </is>
      </c>
      <c r="AM399" s="1882" t="inlineStr">
        <is>
          <t>Month 33</t>
        </is>
      </c>
      <c r="AN399" s="1882" t="inlineStr">
        <is>
          <t>Month 34</t>
        </is>
      </c>
      <c r="AO399" s="1882" t="inlineStr">
        <is>
          <t>Month 35</t>
        </is>
      </c>
      <c r="AP399" s="1882" t="inlineStr">
        <is>
          <t>Month 36</t>
        </is>
      </c>
      <c r="AQ399" s="433" t="inlineStr">
        <is>
          <t>Month 37</t>
        </is>
      </c>
      <c r="AR399" s="1882" t="inlineStr">
        <is>
          <t>Month 38</t>
        </is>
      </c>
      <c r="AS399" s="1882" t="inlineStr">
        <is>
          <t>Month 39</t>
        </is>
      </c>
      <c r="AT399" s="1882" t="inlineStr">
        <is>
          <t>Month 40</t>
        </is>
      </c>
      <c r="AU399" s="1882" t="inlineStr">
        <is>
          <t>Month 41</t>
        </is>
      </c>
      <c r="AV399" s="1882" t="inlineStr">
        <is>
          <t>Month 42</t>
        </is>
      </c>
      <c r="AW399" s="1882" t="inlineStr">
        <is>
          <t>Month 43</t>
        </is>
      </c>
      <c r="AX399" s="1882" t="inlineStr">
        <is>
          <t>Month 44</t>
        </is>
      </c>
      <c r="AY399" s="1882" t="inlineStr">
        <is>
          <t>Month 45</t>
        </is>
      </c>
      <c r="AZ399" s="1882" t="inlineStr">
        <is>
          <t>Month 46</t>
        </is>
      </c>
      <c r="BA399" s="1882" t="inlineStr">
        <is>
          <t>Month 47</t>
        </is>
      </c>
      <c r="BB399" s="1882" t="inlineStr">
        <is>
          <t>Month 48</t>
        </is>
      </c>
      <c r="BC399" s="433" t="inlineStr">
        <is>
          <t>Month 49</t>
        </is>
      </c>
      <c r="BD399" s="1882" t="inlineStr">
        <is>
          <t>Month 50</t>
        </is>
      </c>
      <c r="BE399" s="1882" t="inlineStr">
        <is>
          <t>Month 51</t>
        </is>
      </c>
      <c r="BF399" s="1882" t="inlineStr">
        <is>
          <t>Month 52</t>
        </is>
      </c>
      <c r="BG399" s="1882" t="inlineStr">
        <is>
          <t>Month 53</t>
        </is>
      </c>
      <c r="BH399" s="1882" t="inlineStr">
        <is>
          <t>Month 54</t>
        </is>
      </c>
      <c r="BI399" s="1882" t="inlineStr">
        <is>
          <t>Month 55</t>
        </is>
      </c>
      <c r="BJ399" s="1882" t="inlineStr">
        <is>
          <t>Month 56</t>
        </is>
      </c>
      <c r="BK399" s="1882" t="inlineStr">
        <is>
          <t>Month 57</t>
        </is>
      </c>
      <c r="BL399" s="1882" t="inlineStr">
        <is>
          <t>Month 58</t>
        </is>
      </c>
      <c r="BM399" s="1882" t="inlineStr">
        <is>
          <t>Month 59</t>
        </is>
      </c>
      <c r="BN399" s="1882" t="inlineStr">
        <is>
          <t>Month 60</t>
        </is>
      </c>
    </row>
  </sheetData>
  <mergeCells count="7">
    <mergeCell ref="G300:CB300"/>
    <mergeCell ref="CD17:CF17"/>
    <mergeCell ref="G118:CB118"/>
    <mergeCell ref="CD215:CF215"/>
    <mergeCell ref="G215:CB215"/>
    <mergeCell ref="G17:CB17"/>
    <mergeCell ref="CD118:CF118"/>
  </mergeCells>
  <printOptions horizontalCentered="1" gridLines="1"/>
  <pageMargins left="0.7" right="0.7" top="0.75" bottom="0.75" header="0" footer="0"/>
  <pageSetup orientation="landscape" fitToHeight="0" pageOrder="overThenDown" cellComments="atEnd"/>
</worksheet>
</file>

<file path=xl/worksheets/sheet12.xml><?xml version="1.0" encoding="utf-8"?>
<worksheet xmlns="http://schemas.openxmlformats.org/spreadsheetml/2006/main">
  <sheetPr>
    <tabColor rgb="FF9ACDFF"/>
    <outlinePr summaryBelow="0" summaryRight="0"/>
    <pageSetUpPr/>
  </sheetPr>
  <dimension ref="A1:BP86"/>
  <sheetViews>
    <sheetView showGridLines="0" zoomScale="123" zoomScaleNormal="123" workbookViewId="0">
      <pane xSplit="1" ySplit="1" topLeftCell="B2" activePane="bottomRight" state="frozen"/>
      <selection pane="topRight" activeCell="W29" sqref="W29"/>
      <selection pane="bottomLeft" activeCell="W29" sqref="W29"/>
      <selection pane="bottomRight" activeCell="F11" sqref="F11:F17"/>
    </sheetView>
  </sheetViews>
  <sheetFormatPr baseColWidth="10" defaultColWidth="17.33203125" defaultRowHeight="15" customHeight="1"/>
  <cols>
    <col width="2.5" customWidth="1" style="1883" min="1" max="1"/>
    <col width="43.5" customWidth="1" style="1883" min="2" max="2"/>
    <col width="37.33203125" customWidth="1" style="1883" min="3" max="3"/>
    <col width="13.6640625" customWidth="1" style="1883" min="4" max="5"/>
    <col width="15.6640625" customWidth="1" style="1883" min="6" max="6"/>
    <col width="28.6640625" customWidth="1" style="1883" min="7" max="7"/>
    <col width="19.5" customWidth="1" style="1883" min="8" max="8"/>
    <col width="17.6640625" customWidth="1" style="1883" min="9" max="9"/>
    <col width="16.6640625" customWidth="1" style="1883" min="10" max="17"/>
    <col width="17.6640625" customWidth="1" style="1883" min="18" max="18"/>
    <col width="18.6640625" customWidth="1" style="1883" min="19" max="19"/>
    <col width="16.6640625" customWidth="1" style="1883" min="20" max="67"/>
    <col width="8.6640625" customWidth="1" style="1883" min="68" max="76"/>
  </cols>
  <sheetData>
    <row r="1" ht="12.75" customHeight="1" s="1883">
      <c r="A1" s="70" t="inlineStr">
        <is>
          <t xml:space="preserve"> </t>
        </is>
      </c>
      <c r="B1" s="70" t="inlineStr">
        <is>
          <t>Pure Technology</t>
        </is>
      </c>
      <c r="C1" s="66" t="n"/>
      <c r="D1" s="66" t="n"/>
      <c r="E1" s="66" t="n"/>
      <c r="F1" s="66" t="n"/>
      <c r="G1" s="62" t="inlineStr">
        <is>
          <t>M1</t>
        </is>
      </c>
      <c r="H1" s="62" t="inlineStr">
        <is>
          <t>M2</t>
        </is>
      </c>
      <c r="I1" s="62" t="inlineStr">
        <is>
          <t>M3</t>
        </is>
      </c>
      <c r="J1" s="62" t="inlineStr">
        <is>
          <t>M4</t>
        </is>
      </c>
      <c r="K1" s="62" t="inlineStr">
        <is>
          <t>M5</t>
        </is>
      </c>
      <c r="L1" s="62" t="inlineStr">
        <is>
          <t>M6</t>
        </is>
      </c>
      <c r="M1" s="62" t="inlineStr">
        <is>
          <t>M7</t>
        </is>
      </c>
      <c r="N1" s="62" t="inlineStr">
        <is>
          <t>M8</t>
        </is>
      </c>
      <c r="O1" s="62" t="inlineStr">
        <is>
          <t>M9</t>
        </is>
      </c>
      <c r="P1" s="62" t="inlineStr">
        <is>
          <t>M10</t>
        </is>
      </c>
      <c r="Q1" s="62" t="inlineStr">
        <is>
          <t>M11</t>
        </is>
      </c>
      <c r="R1" s="62" t="inlineStr">
        <is>
          <t>M12</t>
        </is>
      </c>
      <c r="S1" s="62" t="inlineStr">
        <is>
          <t>M13</t>
        </is>
      </c>
      <c r="T1" s="62" t="inlineStr">
        <is>
          <t>M14</t>
        </is>
      </c>
      <c r="U1" s="62" t="inlineStr">
        <is>
          <t>M15</t>
        </is>
      </c>
      <c r="V1" s="62" t="inlineStr">
        <is>
          <t>M16</t>
        </is>
      </c>
      <c r="W1" s="62" t="inlineStr">
        <is>
          <t>M17</t>
        </is>
      </c>
      <c r="X1" s="62" t="inlineStr">
        <is>
          <t>M18</t>
        </is>
      </c>
      <c r="Y1" s="62" t="inlineStr">
        <is>
          <t>M19</t>
        </is>
      </c>
      <c r="Z1" s="62" t="inlineStr">
        <is>
          <t>M20</t>
        </is>
      </c>
      <c r="AA1" s="62" t="inlineStr">
        <is>
          <t>M21</t>
        </is>
      </c>
      <c r="AB1" s="62" t="inlineStr">
        <is>
          <t>M22</t>
        </is>
      </c>
      <c r="AC1" s="62" t="inlineStr">
        <is>
          <t>M23</t>
        </is>
      </c>
      <c r="AD1" s="62" t="inlineStr">
        <is>
          <t>M24</t>
        </is>
      </c>
      <c r="AE1" s="62" t="inlineStr">
        <is>
          <t>M25</t>
        </is>
      </c>
      <c r="AF1" s="62" t="inlineStr">
        <is>
          <t>M26</t>
        </is>
      </c>
      <c r="AG1" s="62" t="inlineStr">
        <is>
          <t>M27</t>
        </is>
      </c>
      <c r="AH1" s="62" t="inlineStr">
        <is>
          <t>M28</t>
        </is>
      </c>
      <c r="AI1" s="62" t="inlineStr">
        <is>
          <t>M29</t>
        </is>
      </c>
      <c r="AJ1" s="62" t="inlineStr">
        <is>
          <t>M30</t>
        </is>
      </c>
      <c r="AK1" s="62" t="inlineStr">
        <is>
          <t>M31</t>
        </is>
      </c>
      <c r="AL1" s="62" t="inlineStr">
        <is>
          <t>M32</t>
        </is>
      </c>
      <c r="AM1" s="62" t="inlineStr">
        <is>
          <t>M33</t>
        </is>
      </c>
      <c r="AN1" s="62" t="inlineStr">
        <is>
          <t>M34</t>
        </is>
      </c>
      <c r="AO1" s="62" t="inlineStr">
        <is>
          <t>M35</t>
        </is>
      </c>
      <c r="AP1" s="62" t="inlineStr">
        <is>
          <t>M36</t>
        </is>
      </c>
      <c r="AQ1" s="62" t="inlineStr">
        <is>
          <t>M37</t>
        </is>
      </c>
      <c r="AR1" s="62" t="inlineStr">
        <is>
          <t>M38</t>
        </is>
      </c>
      <c r="AS1" s="62" t="inlineStr">
        <is>
          <t>M39</t>
        </is>
      </c>
      <c r="AT1" s="62" t="inlineStr">
        <is>
          <t>M40</t>
        </is>
      </c>
      <c r="AU1" s="62" t="inlineStr">
        <is>
          <t>M41</t>
        </is>
      </c>
      <c r="AV1" s="62" t="inlineStr">
        <is>
          <t>M42</t>
        </is>
      </c>
      <c r="AW1" s="62" t="inlineStr">
        <is>
          <t>M43</t>
        </is>
      </c>
      <c r="AX1" s="62" t="inlineStr">
        <is>
          <t>M44</t>
        </is>
      </c>
      <c r="AY1" s="62" t="inlineStr">
        <is>
          <t>M45</t>
        </is>
      </c>
      <c r="AZ1" s="62" t="inlineStr">
        <is>
          <t>M46</t>
        </is>
      </c>
      <c r="BA1" s="62" t="inlineStr">
        <is>
          <t>M47</t>
        </is>
      </c>
      <c r="BB1" s="62" t="inlineStr">
        <is>
          <t>M48</t>
        </is>
      </c>
      <c r="BC1" s="62" t="inlineStr">
        <is>
          <t>M49</t>
        </is>
      </c>
      <c r="BD1" s="62" t="inlineStr">
        <is>
          <t>M50</t>
        </is>
      </c>
      <c r="BE1" s="62" t="inlineStr">
        <is>
          <t>M51</t>
        </is>
      </c>
      <c r="BF1" s="62" t="inlineStr">
        <is>
          <t>M52</t>
        </is>
      </c>
      <c r="BG1" s="62" t="inlineStr">
        <is>
          <t>M53</t>
        </is>
      </c>
      <c r="BH1" s="62" t="inlineStr">
        <is>
          <t>M54</t>
        </is>
      </c>
      <c r="BI1" s="62" t="inlineStr">
        <is>
          <t>M55</t>
        </is>
      </c>
      <c r="BJ1" s="62" t="inlineStr">
        <is>
          <t>M56</t>
        </is>
      </c>
      <c r="BK1" s="62" t="inlineStr">
        <is>
          <t>M57</t>
        </is>
      </c>
      <c r="BL1" s="62" t="inlineStr">
        <is>
          <t>M58</t>
        </is>
      </c>
      <c r="BM1" s="62" t="inlineStr">
        <is>
          <t>M59</t>
        </is>
      </c>
      <c r="BN1" s="62" t="inlineStr">
        <is>
          <t>M60</t>
        </is>
      </c>
    </row>
    <row r="2" ht="12.75" customHeight="1" s="1883">
      <c r="A2" s="55" t="n"/>
      <c r="B2" s="995" t="inlineStr">
        <is>
          <t>Percentage of Units in the Market</t>
        </is>
      </c>
      <c r="C2" s="996" t="n"/>
      <c r="D2" s="996" t="n"/>
      <c r="E2" s="996" t="n"/>
      <c r="F2" s="997" t="n"/>
      <c r="G2" s="998" t="inlineStr">
        <is>
          <t>Percentage of Annual Unit Sales per month</t>
        </is>
      </c>
      <c r="H2" s="999" t="n"/>
      <c r="I2" s="1000" t="n"/>
      <c r="J2" s="1001" t="n"/>
      <c r="K2" s="1002" t="n"/>
      <c r="L2" s="998" t="n"/>
      <c r="M2" s="998" t="n"/>
      <c r="N2" s="998" t="n"/>
      <c r="O2" s="998" t="n"/>
      <c r="P2" s="998" t="n"/>
      <c r="Q2" s="998" t="n"/>
      <c r="R2" s="998" t="n"/>
      <c r="S2" s="1003" t="n"/>
      <c r="T2" s="55" t="n"/>
      <c r="U2" s="55" t="n"/>
      <c r="V2" s="55" t="n"/>
      <c r="W2" s="55" t="n"/>
      <c r="X2" s="55" t="n"/>
      <c r="Y2" s="55" t="n"/>
      <c r="Z2" s="55" t="n"/>
      <c r="AA2" s="55" t="n"/>
      <c r="AB2" s="55" t="n"/>
      <c r="AC2" s="55" t="n"/>
      <c r="AD2" s="55" t="n"/>
      <c r="AE2" s="55" t="n"/>
      <c r="AF2" s="55" t="n"/>
      <c r="AG2" s="55" t="n"/>
      <c r="AH2" s="55" t="n"/>
      <c r="AI2" s="55" t="n"/>
      <c r="AJ2" s="55" t="n"/>
      <c r="AK2" s="55" t="n"/>
      <c r="AL2" s="55" t="n"/>
      <c r="AM2" s="55" t="n"/>
      <c r="AN2" s="55" t="n"/>
      <c r="AO2" s="55" t="n"/>
      <c r="AP2" s="55" t="n"/>
      <c r="AQ2" s="55" t="n"/>
      <c r="AR2" s="55" t="n"/>
      <c r="AS2" s="55" t="n"/>
      <c r="AT2" s="55" t="n"/>
      <c r="AU2" s="55" t="n"/>
      <c r="AV2" s="55" t="n"/>
      <c r="AW2" s="55" t="n"/>
      <c r="AX2" s="55" t="n"/>
      <c r="AY2" s="55" t="n"/>
      <c r="AZ2" s="55" t="n"/>
      <c r="BA2" s="55" t="n"/>
      <c r="BB2" s="55" t="n"/>
      <c r="BC2" s="55" t="n"/>
      <c r="BD2" s="55" t="n"/>
      <c r="BE2" s="55" t="n"/>
      <c r="BF2" s="55" t="n"/>
      <c r="BG2" s="55" t="n"/>
      <c r="BH2" s="55" t="n"/>
      <c r="BI2" s="55" t="n"/>
      <c r="BJ2" s="55" t="n"/>
      <c r="BK2" s="55" t="n"/>
      <c r="BL2" s="55" t="n"/>
      <c r="BM2" s="55" t="n"/>
      <c r="BN2" s="55" t="n"/>
    </row>
    <row r="3" ht="12.75" customHeight="1" s="1883">
      <c r="A3" s="55" t="n"/>
      <c r="B3" s="59" t="inlineStr">
        <is>
          <t>Year 1</t>
        </is>
      </c>
      <c r="C3" s="89" t="n"/>
      <c r="D3" s="89" t="n"/>
      <c r="E3" s="89" t="n"/>
      <c r="F3" s="90" t="n"/>
      <c r="G3" s="1004" t="n">
        <v>0.08799999999999999</v>
      </c>
      <c r="H3" s="1004" t="n">
        <v>0.151</v>
      </c>
      <c r="I3" s="1004" t="n">
        <v>0.16</v>
      </c>
      <c r="J3" s="1004" t="n">
        <v>0.106</v>
      </c>
      <c r="K3" s="1004" t="n">
        <v>0.096</v>
      </c>
      <c r="L3" s="1004" t="n">
        <v>0.08799999999999999</v>
      </c>
      <c r="M3" s="1005" t="n">
        <v>0.052</v>
      </c>
      <c r="N3" s="1005" t="n">
        <v>0.043</v>
      </c>
      <c r="O3" s="1005" t="n">
        <v>0.043</v>
      </c>
      <c r="P3" s="1005" t="n">
        <v>0.043</v>
      </c>
      <c r="Q3" s="1005" t="n">
        <v>0.07000000000000001</v>
      </c>
      <c r="R3" s="1005" t="n">
        <v>0.06</v>
      </c>
      <c r="S3" s="91">
        <f>SUM(G3:R3)</f>
        <v/>
      </c>
      <c r="T3" s="55" t="n"/>
      <c r="U3" s="92" t="n"/>
      <c r="V3" s="92" t="n"/>
      <c r="W3" s="55" t="n"/>
      <c r="X3" s="55" t="n"/>
      <c r="Y3" s="55" t="n"/>
      <c r="Z3" s="55" t="n"/>
      <c r="AA3" s="55" t="n"/>
      <c r="AB3" s="55" t="n"/>
      <c r="AC3" s="55" t="n"/>
      <c r="AD3" s="55" t="n"/>
      <c r="AE3" s="55" t="n"/>
      <c r="AF3" s="55" t="n"/>
      <c r="AG3" s="55" t="n"/>
      <c r="AH3" s="55" t="n"/>
      <c r="AI3" s="55" t="n"/>
      <c r="AJ3" s="55" t="n"/>
      <c r="AK3" s="55" t="n"/>
      <c r="AL3" s="55" t="n"/>
      <c r="AM3" s="55" t="n"/>
      <c r="AN3" s="55" t="n"/>
      <c r="AO3" s="55" t="n"/>
      <c r="AP3" s="55" t="n"/>
      <c r="AQ3" s="55" t="n"/>
      <c r="AR3" s="55" t="n"/>
      <c r="AS3" s="55" t="n"/>
      <c r="AT3" s="55" t="n"/>
      <c r="AU3" s="55" t="n"/>
      <c r="AV3" s="55" t="n"/>
      <c r="AW3" s="55" t="n"/>
      <c r="AX3" s="55" t="n"/>
      <c r="AY3" s="55" t="n"/>
      <c r="AZ3" s="55" t="n"/>
      <c r="BA3" s="55" t="n"/>
      <c r="BB3" s="55" t="n"/>
      <c r="BC3" s="55" t="n"/>
      <c r="BD3" s="55" t="n"/>
      <c r="BE3" s="55" t="n"/>
      <c r="BF3" s="55" t="n"/>
      <c r="BG3" s="55" t="n"/>
      <c r="BH3" s="55" t="n"/>
      <c r="BI3" s="55" t="n"/>
      <c r="BJ3" s="55" t="n"/>
      <c r="BK3" s="55" t="n"/>
      <c r="BL3" s="55" t="n"/>
      <c r="BM3" s="55" t="n"/>
      <c r="BN3" s="55" t="n"/>
    </row>
    <row r="4" ht="12.75" customHeight="1" s="1883">
      <c r="A4" s="55" t="n"/>
      <c r="B4" s="59" t="inlineStr">
        <is>
          <t>Year 2</t>
        </is>
      </c>
      <c r="C4" s="89" t="n"/>
      <c r="D4" s="89" t="n"/>
      <c r="E4" s="89" t="n"/>
      <c r="F4" s="90" t="n"/>
      <c r="G4" s="1005" t="n">
        <v>0.18</v>
      </c>
      <c r="H4" s="1005" t="n">
        <v>0.2</v>
      </c>
      <c r="I4" s="1005" t="n">
        <v>0.13</v>
      </c>
      <c r="J4" s="1005" t="n">
        <v>0.08</v>
      </c>
      <c r="K4" s="1005" t="n">
        <v>0.07000000000000001</v>
      </c>
      <c r="L4" s="1005" t="n">
        <v>0.06</v>
      </c>
      <c r="M4" s="1005" t="n">
        <v>0.04</v>
      </c>
      <c r="N4" s="1005" t="n">
        <v>0.03</v>
      </c>
      <c r="O4" s="1005" t="n">
        <v>0.04</v>
      </c>
      <c r="P4" s="1005" t="n">
        <v>0.04</v>
      </c>
      <c r="Q4" s="1005" t="n">
        <v>0.07000000000000001</v>
      </c>
      <c r="R4" s="1005" t="n">
        <v>0.06</v>
      </c>
      <c r="S4" s="91">
        <f>SUM(G4:R4)</f>
        <v/>
      </c>
      <c r="T4" s="55" t="n"/>
      <c r="U4" s="92" t="n"/>
      <c r="V4" s="92" t="n"/>
      <c r="W4" s="55" t="n"/>
      <c r="X4" s="55" t="n"/>
      <c r="Y4" s="55" t="n"/>
      <c r="Z4" s="55" t="n"/>
      <c r="AA4" s="55" t="n"/>
      <c r="AB4" s="55" t="n"/>
      <c r="AC4" s="55" t="n"/>
      <c r="AD4" s="55" t="n"/>
      <c r="AE4" s="55" t="n"/>
      <c r="AF4" s="55" t="n"/>
      <c r="AG4" s="55" t="n"/>
      <c r="AH4" s="55" t="n"/>
      <c r="AI4" s="55" t="n"/>
      <c r="AJ4" s="55" t="n"/>
      <c r="AK4" s="55" t="n"/>
      <c r="AL4" s="55" t="n"/>
      <c r="AM4" s="55" t="n"/>
      <c r="AN4" s="55" t="n"/>
      <c r="AO4" s="55" t="n"/>
      <c r="AP4" s="55" t="n"/>
      <c r="AQ4" s="55" t="n"/>
      <c r="AR4" s="55" t="n"/>
      <c r="AS4" s="55" t="n"/>
      <c r="AT4" s="55" t="n"/>
      <c r="AU4" s="55" t="n"/>
      <c r="AV4" s="55" t="n"/>
      <c r="AW4" s="55" t="n"/>
      <c r="AX4" s="55" t="n"/>
      <c r="AY4" s="55" t="n"/>
      <c r="AZ4" s="55" t="n"/>
      <c r="BA4" s="55" t="n"/>
      <c r="BB4" s="55" t="n"/>
      <c r="BC4" s="55" t="n"/>
      <c r="BD4" s="55" t="n"/>
      <c r="BE4" s="55" t="n"/>
      <c r="BF4" s="55" t="n"/>
      <c r="BG4" s="55" t="n"/>
      <c r="BH4" s="55" t="n"/>
      <c r="BI4" s="55" t="n"/>
      <c r="BJ4" s="55" t="n"/>
      <c r="BK4" s="55" t="n"/>
      <c r="BL4" s="55" t="n"/>
      <c r="BM4" s="55" t="n"/>
      <c r="BN4" s="55" t="n"/>
    </row>
    <row r="5" ht="12.75" customHeight="1" s="1883">
      <c r="A5" s="55" t="n"/>
      <c r="B5" s="59" t="inlineStr">
        <is>
          <t>Year 3</t>
        </is>
      </c>
      <c r="C5" s="89" t="n"/>
      <c r="D5" s="89" t="n"/>
      <c r="E5" s="89" t="n"/>
      <c r="F5" s="90" t="n"/>
      <c r="G5" s="1005" t="n">
        <v>0.19</v>
      </c>
      <c r="H5" s="1005" t="n">
        <v>0.19</v>
      </c>
      <c r="I5" s="1005" t="n">
        <v>0.12</v>
      </c>
      <c r="J5" s="1005" t="n">
        <v>0.08</v>
      </c>
      <c r="K5" s="1005" t="n">
        <v>0.07000000000000001</v>
      </c>
      <c r="L5" s="1005" t="n">
        <v>0.06</v>
      </c>
      <c r="M5" s="1005" t="n">
        <v>0.04</v>
      </c>
      <c r="N5" s="1005" t="n">
        <v>0.03</v>
      </c>
      <c r="O5" s="1005" t="n">
        <v>0.04</v>
      </c>
      <c r="P5" s="1005" t="n">
        <v>0.05</v>
      </c>
      <c r="Q5" s="1005" t="n">
        <v>0.07000000000000001</v>
      </c>
      <c r="R5" s="1005" t="n">
        <v>0.06</v>
      </c>
      <c r="S5" s="91">
        <f>SUM(G5:R5)</f>
        <v/>
      </c>
      <c r="T5" s="55" t="n"/>
      <c r="U5" s="92" t="n"/>
      <c r="V5" s="92" t="n"/>
      <c r="W5" s="55" t="n"/>
      <c r="X5" s="55" t="n"/>
      <c r="Y5" s="55" t="n"/>
      <c r="Z5" s="55" t="n"/>
      <c r="AA5" s="55" t="n"/>
      <c r="AB5" s="55" t="n"/>
      <c r="AC5" s="55" t="n"/>
      <c r="AD5" s="55" t="n"/>
      <c r="AE5" s="55" t="n"/>
      <c r="AF5" s="55" t="n"/>
      <c r="AG5" s="55" t="n"/>
      <c r="AH5" s="55" t="n"/>
      <c r="AI5" s="55" t="n"/>
      <c r="AJ5" s="55" t="n"/>
      <c r="AK5" s="55" t="n"/>
      <c r="AL5" s="55" t="n"/>
      <c r="AM5" s="55" t="n"/>
      <c r="AN5" s="55" t="n"/>
      <c r="AO5" s="55" t="n"/>
      <c r="AP5" s="55" t="n"/>
      <c r="AQ5" s="55" t="n"/>
      <c r="AR5" s="55" t="n"/>
      <c r="AS5" s="55" t="n"/>
      <c r="AT5" s="55" t="n"/>
      <c r="AU5" s="55" t="n"/>
      <c r="AV5" s="55" t="n"/>
      <c r="AW5" s="55" t="n"/>
      <c r="AX5" s="55" t="n"/>
      <c r="AY5" s="55" t="n"/>
      <c r="AZ5" s="55" t="n"/>
      <c r="BA5" s="55" t="n"/>
      <c r="BB5" s="55" t="n"/>
      <c r="BC5" s="55" t="n"/>
      <c r="BD5" s="55" t="n"/>
      <c r="BE5" s="55" t="n"/>
      <c r="BF5" s="55" t="n"/>
      <c r="BG5" s="55" t="n"/>
      <c r="BH5" s="55" t="n"/>
      <c r="BI5" s="55" t="n"/>
      <c r="BJ5" s="55" t="n"/>
      <c r="BK5" s="55" t="n"/>
      <c r="BL5" s="55" t="n"/>
      <c r="BM5" s="55" t="n"/>
      <c r="BN5" s="55" t="n"/>
    </row>
    <row r="6" ht="12.75" customHeight="1" s="1883">
      <c r="A6" s="55" t="n"/>
      <c r="B6" s="59" t="inlineStr">
        <is>
          <t>Year 4</t>
        </is>
      </c>
      <c r="C6" s="89" t="n"/>
      <c r="D6" s="89" t="n"/>
      <c r="E6" s="89" t="n"/>
      <c r="F6" s="90" t="n"/>
      <c r="G6" s="1005" t="n">
        <v>0.18</v>
      </c>
      <c r="H6" s="1005" t="n">
        <v>0.19</v>
      </c>
      <c r="I6" s="1005" t="n">
        <v>0.12</v>
      </c>
      <c r="J6" s="1005" t="n">
        <v>0.08</v>
      </c>
      <c r="K6" s="1005" t="n">
        <v>0.07000000000000001</v>
      </c>
      <c r="L6" s="1005">
        <f>K6*(1+$F6)</f>
        <v/>
      </c>
      <c r="M6" s="1005" t="n">
        <v>0.04</v>
      </c>
      <c r="N6" s="1005" t="n">
        <v>0.03</v>
      </c>
      <c r="O6" s="1005" t="n">
        <v>0.04</v>
      </c>
      <c r="P6" s="1005" t="n">
        <v>0.05</v>
      </c>
      <c r="Q6" s="1005" t="n">
        <v>0.07000000000000001</v>
      </c>
      <c r="R6" s="1005" t="n">
        <v>0.06</v>
      </c>
      <c r="S6" s="91">
        <f>SUM(G6:R6)</f>
        <v/>
      </c>
      <c r="T6" s="55" t="n"/>
      <c r="U6" s="92" t="n"/>
      <c r="V6" s="92" t="n"/>
      <c r="W6" s="55" t="n"/>
      <c r="X6" s="55" t="n"/>
      <c r="Y6" s="55" t="n"/>
      <c r="Z6" s="55" t="n"/>
      <c r="AA6" s="55" t="n"/>
      <c r="AB6" s="55" t="n"/>
      <c r="AC6" s="55" t="n"/>
      <c r="AD6" s="55" t="n"/>
      <c r="AE6" s="55" t="n"/>
      <c r="AF6" s="55" t="n"/>
      <c r="AG6" s="55" t="n"/>
      <c r="AH6" s="55" t="n"/>
      <c r="AI6" s="55" t="n"/>
      <c r="AJ6" s="55" t="n"/>
      <c r="AK6" s="55" t="n"/>
      <c r="AL6" s="55" t="n"/>
      <c r="AM6" s="55" t="n"/>
      <c r="AN6" s="55" t="n"/>
      <c r="AO6" s="55" t="n"/>
      <c r="AP6" s="55" t="n"/>
      <c r="AQ6" s="55" t="n"/>
      <c r="AR6" s="55" t="n"/>
      <c r="AS6" s="55" t="n"/>
      <c r="AT6" s="55" t="n"/>
      <c r="AU6" s="55" t="n"/>
      <c r="AV6" s="55" t="n"/>
      <c r="AW6" s="55" t="n"/>
      <c r="AX6" s="55" t="n"/>
      <c r="AY6" s="55" t="n"/>
      <c r="AZ6" s="55" t="n"/>
      <c r="BA6" s="55" t="n"/>
      <c r="BB6" s="55" t="n"/>
      <c r="BC6" s="55" t="n"/>
      <c r="BD6" s="55" t="n"/>
      <c r="BE6" s="55" t="n"/>
      <c r="BF6" s="55" t="n"/>
      <c r="BG6" s="55" t="n"/>
      <c r="BH6" s="55" t="n"/>
      <c r="BI6" s="55" t="n"/>
      <c r="BJ6" s="55" t="n"/>
      <c r="BK6" s="55" t="n"/>
      <c r="BL6" s="55" t="n"/>
      <c r="BM6" s="55" t="n"/>
      <c r="BN6" s="55" t="n"/>
    </row>
    <row r="7" ht="12.75" customHeight="1" s="1883">
      <c r="A7" s="55" t="n"/>
      <c r="B7" s="59" t="inlineStr">
        <is>
          <t>Year 5</t>
        </is>
      </c>
      <c r="C7" s="89" t="n"/>
      <c r="D7" s="89" t="n"/>
      <c r="E7" s="89" t="n"/>
      <c r="F7" s="90" t="n"/>
      <c r="G7" s="1005" t="n">
        <v>0.17</v>
      </c>
      <c r="H7" s="1005" t="n">
        <v>0.18</v>
      </c>
      <c r="I7" s="1005" t="n">
        <v>0.13</v>
      </c>
      <c r="J7" s="1005" t="n">
        <v>0.08</v>
      </c>
      <c r="K7" s="1005" t="n">
        <v>0.07000000000000001</v>
      </c>
      <c r="L7" s="1005">
        <f>K7*(1+$F7)</f>
        <v/>
      </c>
      <c r="M7" s="1005" t="n">
        <v>0.04</v>
      </c>
      <c r="N7" s="1005" t="n">
        <v>0.04</v>
      </c>
      <c r="O7" s="1005" t="n">
        <v>0.04</v>
      </c>
      <c r="P7" s="1005" t="n">
        <v>0.05</v>
      </c>
      <c r="Q7" s="1005" t="n">
        <v>0.07000000000000001</v>
      </c>
      <c r="R7" s="1005" t="n">
        <v>0.06</v>
      </c>
      <c r="S7" s="91">
        <f>SUM(G7:R7)</f>
        <v/>
      </c>
      <c r="T7" s="55" t="n"/>
      <c r="U7" s="92" t="n"/>
      <c r="V7" s="92" t="n"/>
      <c r="W7" s="55" t="n"/>
      <c r="X7" s="55" t="n"/>
      <c r="Y7" s="55" t="n"/>
      <c r="Z7" s="55" t="n"/>
      <c r="AA7" s="55" t="n"/>
      <c r="AB7" s="55" t="n"/>
      <c r="AC7" s="55" t="n"/>
      <c r="AD7" s="55" t="n"/>
      <c r="AE7" s="55" t="n"/>
      <c r="AF7" s="55" t="n"/>
      <c r="AG7" s="55" t="n"/>
      <c r="AH7" s="55" t="n"/>
      <c r="AI7" s="55" t="n"/>
      <c r="AJ7" s="55" t="n"/>
      <c r="AK7" s="55" t="n"/>
      <c r="AL7" s="55" t="n"/>
      <c r="AM7" s="55" t="n"/>
      <c r="AN7" s="55" t="n"/>
      <c r="AO7" s="55" t="n"/>
      <c r="AP7" s="55" t="n"/>
      <c r="AQ7" s="55" t="n"/>
      <c r="AR7" s="55" t="n"/>
      <c r="AS7" s="55" t="n"/>
      <c r="AT7" s="55" t="n"/>
      <c r="AU7" s="55" t="n"/>
      <c r="AV7" s="55" t="n"/>
      <c r="AW7" s="55" t="n"/>
      <c r="AX7" s="55" t="n"/>
      <c r="AY7" s="55" t="n"/>
      <c r="AZ7" s="55" t="n"/>
      <c r="BA7" s="55" t="n"/>
      <c r="BB7" s="55" t="n"/>
      <c r="BC7" s="55" t="n"/>
      <c r="BD7" s="55" t="n"/>
      <c r="BE7" s="55" t="n"/>
      <c r="BF7" s="55" t="n"/>
      <c r="BG7" s="55" t="n"/>
      <c r="BH7" s="55" t="n"/>
      <c r="BI7" s="55" t="n"/>
      <c r="BJ7" s="55" t="n"/>
      <c r="BK7" s="55" t="n"/>
      <c r="BL7" s="55" t="n"/>
      <c r="BM7" s="55" t="n"/>
      <c r="BN7" s="55" t="n"/>
    </row>
    <row r="8" ht="12.75" customHeight="1" s="1883">
      <c r="A8" s="55" t="n"/>
      <c r="B8" s="59" t="inlineStr">
        <is>
          <t>Year 6</t>
        </is>
      </c>
      <c r="C8" s="89" t="n"/>
      <c r="D8" s="89" t="n"/>
      <c r="E8" s="89" t="n"/>
      <c r="F8" s="90" t="n"/>
      <c r="G8" s="1005" t="n">
        <v>0.17</v>
      </c>
      <c r="H8" s="1005" t="n">
        <v>0.18</v>
      </c>
      <c r="I8" s="1005" t="n">
        <v>0.13</v>
      </c>
      <c r="J8" s="1005" t="n">
        <v>0.08</v>
      </c>
      <c r="K8" s="1005" t="n">
        <v>0.07000000000000001</v>
      </c>
      <c r="L8" s="1005">
        <f>K8*(1+$F8)</f>
        <v/>
      </c>
      <c r="M8" s="1005" t="n">
        <v>0.04</v>
      </c>
      <c r="N8" s="1005" t="n">
        <v>0.04</v>
      </c>
      <c r="O8" s="1005" t="n">
        <v>0.04</v>
      </c>
      <c r="P8" s="1005" t="n">
        <v>0.05</v>
      </c>
      <c r="Q8" s="1005" t="n">
        <v>0.07000000000000001</v>
      </c>
      <c r="R8" s="1005" t="n">
        <v>0.06</v>
      </c>
      <c r="S8" s="91">
        <f>SUM(G8:R8)</f>
        <v/>
      </c>
      <c r="T8" s="55" t="n"/>
      <c r="U8" s="92" t="n"/>
      <c r="V8" s="92"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row>
    <row r="9" ht="12.75" customHeight="1" s="1883">
      <c r="A9" s="55" t="n"/>
      <c r="B9" s="56" t="n"/>
      <c r="C9" s="74" t="n"/>
      <c r="D9" s="74" t="n"/>
      <c r="E9" s="74" t="n"/>
      <c r="F9" s="90" t="n"/>
      <c r="G9" s="93" t="n"/>
      <c r="H9" s="93" t="n"/>
      <c r="I9" s="93" t="n"/>
      <c r="J9" s="93" t="n"/>
      <c r="K9" s="93" t="n"/>
      <c r="L9" s="93" t="n"/>
      <c r="M9" s="93" t="n"/>
      <c r="N9" s="93" t="n"/>
      <c r="O9" s="93" t="n"/>
      <c r="P9" s="93" t="n"/>
      <c r="Q9" s="93" t="n"/>
      <c r="R9" s="93" t="n"/>
      <c r="S9" s="94" t="n"/>
      <c r="T9" s="55" t="n"/>
      <c r="U9" s="55" t="n"/>
      <c r="V9" s="55" t="n"/>
      <c r="W9" s="55" t="n"/>
      <c r="X9" s="55" t="n"/>
      <c r="Y9" s="55" t="n"/>
      <c r="Z9" s="55" t="n"/>
      <c r="AA9" s="55" t="n"/>
      <c r="AB9" s="55" t="n"/>
      <c r="AC9" s="55" t="n"/>
      <c r="AD9" s="55" t="n"/>
      <c r="AE9" s="55" t="n"/>
      <c r="AF9" s="55" t="n"/>
      <c r="AG9" s="55" t="n"/>
      <c r="AH9" s="55" t="n"/>
      <c r="AI9" s="55" t="n"/>
      <c r="AJ9" s="55" t="n"/>
      <c r="AK9" s="55" t="n"/>
      <c r="AL9" s="55" t="n"/>
      <c r="AM9" s="55" t="n"/>
      <c r="AN9" s="55" t="n"/>
      <c r="AO9" s="55" t="n"/>
      <c r="AP9" s="55" t="n"/>
      <c r="AQ9" s="55" t="n"/>
      <c r="AR9" s="55" t="n"/>
      <c r="AS9" s="55" t="n"/>
      <c r="AT9" s="55" t="n"/>
      <c r="AU9" s="55" t="n"/>
      <c r="AV9" s="55" t="n"/>
      <c r="AW9" s="55" t="n"/>
      <c r="AX9" s="55" t="n"/>
      <c r="AY9" s="55" t="n"/>
      <c r="AZ9" s="55" t="n"/>
      <c r="BA9" s="55" t="n"/>
      <c r="BB9" s="55" t="n"/>
      <c r="BC9" s="55" t="n"/>
      <c r="BD9" s="55" t="n"/>
      <c r="BE9" s="55" t="n"/>
      <c r="BF9" s="55" t="n"/>
      <c r="BG9" s="55" t="n"/>
      <c r="BH9" s="55" t="n"/>
      <c r="BI9" s="55" t="n"/>
      <c r="BJ9" s="55" t="n"/>
      <c r="BK9" s="55" t="n"/>
      <c r="BL9" s="55" t="n"/>
      <c r="BM9" s="55" t="n"/>
      <c r="BN9" s="55" t="n"/>
    </row>
    <row r="10" ht="12.75" customHeight="1" s="1883">
      <c r="A10" s="55" t="n"/>
      <c r="B10" s="1006" t="inlineStr">
        <is>
          <t>Total Units in the Market</t>
        </is>
      </c>
      <c r="C10" s="1007" t="n"/>
      <c r="D10" s="1007" t="n"/>
      <c r="E10" s="1007" t="n"/>
      <c r="F10" s="1008" t="n"/>
      <c r="G10" s="1009" t="n"/>
      <c r="H10" s="1009" t="n"/>
      <c r="I10" s="1009" t="n"/>
      <c r="J10" s="1009" t="n"/>
      <c r="K10" s="1009" t="n"/>
      <c r="L10" s="1009" t="n"/>
      <c r="M10" s="1009" t="n"/>
      <c r="N10" s="1009" t="n"/>
      <c r="O10" s="1009" t="n"/>
      <c r="P10" s="1009" t="n"/>
      <c r="Q10" s="1009" t="n"/>
      <c r="R10" s="1009" t="n"/>
      <c r="S10" s="1010" t="n"/>
      <c r="T10" s="55" t="n"/>
      <c r="U10" s="55" t="n"/>
      <c r="V10" s="55" t="n"/>
      <c r="W10" s="55" t="n"/>
      <c r="X10" s="55" t="n"/>
      <c r="Y10" s="55" t="n"/>
      <c r="Z10" s="55" t="n"/>
      <c r="AA10" s="55" t="n"/>
      <c r="AB10" s="55" t="n"/>
      <c r="AC10" s="55" t="n"/>
      <c r="AD10" s="55" t="n"/>
      <c r="AE10" s="55" t="n"/>
      <c r="AF10" s="55" t="n"/>
      <c r="AG10" s="55" t="n"/>
      <c r="AH10" s="55" t="n"/>
      <c r="AI10" s="55" t="n"/>
      <c r="AJ10" s="55" t="n"/>
      <c r="AK10" s="55" t="n"/>
      <c r="AL10" s="55" t="n"/>
      <c r="AM10" s="55" t="n"/>
      <c r="AN10" s="55" t="n"/>
      <c r="AO10" s="55" t="n"/>
      <c r="AP10" s="55" t="n"/>
      <c r="AQ10" s="55" t="n"/>
      <c r="AR10" s="55" t="n"/>
      <c r="AS10" s="55" t="n"/>
      <c r="AT10" s="55" t="n"/>
      <c r="AU10" s="55" t="n"/>
      <c r="AV10" s="55" t="n"/>
      <c r="AW10" s="55" t="n"/>
      <c r="AX10" s="55" t="n"/>
      <c r="AY10" s="55" t="n"/>
      <c r="AZ10" s="55" t="n"/>
      <c r="BA10" s="55" t="n"/>
      <c r="BB10" s="55" t="n"/>
      <c r="BC10" s="55" t="n"/>
      <c r="BD10" s="55" t="n"/>
      <c r="BE10" s="55" t="n"/>
      <c r="BF10" s="55" t="n"/>
      <c r="BG10" s="55" t="n"/>
      <c r="BH10" s="55" t="n"/>
      <c r="BI10" s="55" t="n"/>
      <c r="BJ10" s="55" t="n"/>
      <c r="BK10" s="55" t="n"/>
      <c r="BL10" s="55" t="n"/>
      <c r="BM10" s="55" t="n"/>
      <c r="BN10" s="55" t="n"/>
    </row>
    <row r="11" ht="12.75" customHeight="1" s="1883">
      <c r="A11" s="55" t="n"/>
      <c r="B11" s="95" t="inlineStr">
        <is>
          <t>Number of Units In the Market</t>
        </is>
      </c>
      <c r="C11" s="74" t="n"/>
      <c r="D11" s="74" t="n"/>
      <c r="E11" s="96" t="n"/>
      <c r="F11" s="97" t="inlineStr">
        <is>
          <t>Total Annual Phones in the Market</t>
        </is>
      </c>
      <c r="G11" s="93" t="n"/>
      <c r="H11" s="93" t="n"/>
      <c r="I11" s="93" t="n"/>
      <c r="J11" s="93" t="n"/>
      <c r="K11" s="93" t="n"/>
      <c r="L11" s="93" t="n"/>
      <c r="M11" s="93" t="n"/>
      <c r="N11" s="93" t="n"/>
      <c r="O11" s="93" t="n"/>
      <c r="P11" s="93" t="n"/>
      <c r="Q11" s="93" t="n"/>
      <c r="R11" s="93" t="n"/>
      <c r="S11" s="94" t="inlineStr">
        <is>
          <t>Annual</t>
        </is>
      </c>
      <c r="T11" s="55" t="n"/>
      <c r="U11" s="55" t="n"/>
      <c r="V11" s="55" t="n"/>
      <c r="W11" s="55" t="n"/>
      <c r="X11" s="55" t="n"/>
      <c r="Y11" s="55" t="n"/>
      <c r="Z11" s="55" t="n"/>
      <c r="AA11" s="55" t="n"/>
      <c r="AB11" s="55" t="n"/>
      <c r="AC11" s="55" t="n"/>
      <c r="AD11" s="55" t="n"/>
      <c r="AE11" s="55" t="n"/>
      <c r="AF11" s="55" t="n"/>
      <c r="AG11" s="55" t="n"/>
      <c r="AH11" s="55" t="n"/>
      <c r="AI11" s="55" t="n"/>
      <c r="AJ11" s="55" t="n"/>
      <c r="AK11" s="55" t="n"/>
      <c r="AL11" s="55" t="n"/>
      <c r="AM11" s="55" t="n"/>
      <c r="AN11" s="55" t="n"/>
      <c r="AO11" s="55" t="n"/>
      <c r="AP11" s="55" t="n"/>
      <c r="AQ11" s="55" t="n"/>
      <c r="AR11" s="55" t="n"/>
      <c r="AS11" s="55" t="n"/>
      <c r="AT11" s="55" t="n"/>
      <c r="AU11" s="55" t="n"/>
      <c r="AV11" s="55" t="n"/>
      <c r="AW11" s="55" t="n"/>
      <c r="AX11" s="55" t="n"/>
      <c r="AY11" s="55" t="n"/>
      <c r="AZ11" s="55" t="n"/>
      <c r="BA11" s="55" t="n"/>
      <c r="BB11" s="55" t="n"/>
      <c r="BC11" s="55" t="n"/>
      <c r="BD11" s="55" t="n"/>
      <c r="BE11" s="55" t="n"/>
      <c r="BF11" s="55" t="n"/>
      <c r="BG11" s="55" t="n"/>
      <c r="BH11" s="55" t="n"/>
      <c r="BI11" s="55" t="n"/>
      <c r="BJ11" s="55" t="n"/>
      <c r="BK11" s="55" t="n"/>
      <c r="BL11" s="55" t="n"/>
      <c r="BM11" s="55" t="n"/>
      <c r="BN11" s="55" t="n"/>
    </row>
    <row r="12" ht="12.75" customHeight="1" s="1883">
      <c r="A12" s="55" t="n"/>
      <c r="B12" s="59" t="inlineStr">
        <is>
          <t>Year 1</t>
        </is>
      </c>
      <c r="C12" s="74" t="n"/>
      <c r="D12" s="74" t="n"/>
      <c r="E12" s="90" t="n"/>
      <c r="F12" s="1011" t="n">
        <v>250000</v>
      </c>
      <c r="G12" s="93">
        <f>$F12*G3</f>
        <v/>
      </c>
      <c r="H12" s="93">
        <f>$F12*H3</f>
        <v/>
      </c>
      <c r="I12" s="93">
        <f>$F12*I3</f>
        <v/>
      </c>
      <c r="J12" s="93">
        <f>$F12*J3</f>
        <v/>
      </c>
      <c r="K12" s="93">
        <f>$F12*K3</f>
        <v/>
      </c>
      <c r="L12" s="93">
        <f>$F12*L3</f>
        <v/>
      </c>
      <c r="M12" s="93">
        <f>$F12*M3</f>
        <v/>
      </c>
      <c r="N12" s="93">
        <f>$F12*N3</f>
        <v/>
      </c>
      <c r="O12" s="93">
        <f>$F12*O3</f>
        <v/>
      </c>
      <c r="P12" s="93">
        <f>$F12*P3</f>
        <v/>
      </c>
      <c r="Q12" s="93">
        <f>$F12*Q3</f>
        <v/>
      </c>
      <c r="R12" s="93">
        <f>$F12*R3</f>
        <v/>
      </c>
      <c r="S12" s="94">
        <f>SUM(G12:R12)</f>
        <v/>
      </c>
      <c r="T12" s="55" t="n"/>
      <c r="U12" s="55" t="n"/>
      <c r="V12" s="55" t="n"/>
      <c r="W12" s="55" t="n"/>
      <c r="X12" s="55" t="n"/>
      <c r="Y12" s="55" t="n"/>
      <c r="Z12" s="55" t="n"/>
      <c r="AA12" s="55" t="n"/>
      <c r="AB12" s="55" t="n"/>
      <c r="AC12" s="55" t="n"/>
      <c r="AD12" s="55" t="n"/>
      <c r="AE12" s="55" t="n"/>
      <c r="AF12" s="55" t="n"/>
      <c r="AG12" s="55" t="n"/>
      <c r="AH12" s="55" t="n"/>
      <c r="AI12" s="55" t="n"/>
      <c r="AJ12" s="55" t="n"/>
      <c r="AK12" s="55" t="n"/>
      <c r="AL12" s="55" t="n"/>
      <c r="AM12" s="55" t="n"/>
      <c r="AN12" s="55" t="n"/>
      <c r="AO12" s="55" t="n"/>
      <c r="AP12" s="55" t="n"/>
      <c r="AQ12" s="55" t="n"/>
      <c r="AR12" s="55" t="n"/>
      <c r="AS12" s="55" t="n"/>
      <c r="AT12" s="55" t="n"/>
      <c r="AU12" s="55" t="n"/>
      <c r="AV12" s="55" t="n"/>
      <c r="AW12" s="55" t="n"/>
      <c r="AX12" s="55" t="n"/>
      <c r="AY12" s="55" t="n"/>
      <c r="AZ12" s="55" t="n"/>
      <c r="BA12" s="55" t="n"/>
      <c r="BB12" s="55" t="n"/>
      <c r="BC12" s="55" t="n"/>
      <c r="BD12" s="55" t="n"/>
      <c r="BE12" s="55" t="n"/>
      <c r="BF12" s="55" t="n"/>
      <c r="BG12" s="55" t="n"/>
      <c r="BH12" s="55" t="n"/>
      <c r="BI12" s="55" t="n"/>
      <c r="BJ12" s="55" t="n"/>
      <c r="BK12" s="55" t="n"/>
      <c r="BL12" s="55" t="n"/>
      <c r="BM12" s="55" t="n"/>
      <c r="BN12" s="55" t="n"/>
    </row>
    <row r="13" ht="12.75" customHeight="1" s="1883">
      <c r="A13" s="55" t="n"/>
      <c r="B13" s="59" t="inlineStr">
        <is>
          <t>Year 2</t>
        </is>
      </c>
      <c r="C13" s="74" t="n"/>
      <c r="D13" s="74" t="n"/>
      <c r="E13" s="90" t="n"/>
      <c r="F13" s="872" t="n">
        <v>1600000</v>
      </c>
      <c r="G13" s="93">
        <f>$F13*G4</f>
        <v/>
      </c>
      <c r="H13" s="93">
        <f>H4*$F13</f>
        <v/>
      </c>
      <c r="I13" s="93">
        <f>I4*$F13</f>
        <v/>
      </c>
      <c r="J13" s="93">
        <f>J4*$F13</f>
        <v/>
      </c>
      <c r="K13" s="93">
        <f>K4*$F13</f>
        <v/>
      </c>
      <c r="L13" s="93">
        <f>L4*$F13</f>
        <v/>
      </c>
      <c r="M13" s="93">
        <f>M4*$F13</f>
        <v/>
      </c>
      <c r="N13" s="93">
        <f>N4*$F13</f>
        <v/>
      </c>
      <c r="O13" s="93">
        <f>O4*$F13</f>
        <v/>
      </c>
      <c r="P13" s="93">
        <f>P4*$F13</f>
        <v/>
      </c>
      <c r="Q13" s="93">
        <f>Q4*$F13</f>
        <v/>
      </c>
      <c r="R13" s="93">
        <f>R4*$F13</f>
        <v/>
      </c>
      <c r="S13" s="94">
        <f>SUM(G13:R13)</f>
        <v/>
      </c>
      <c r="T13" s="55" t="n"/>
      <c r="U13" s="55" t="n"/>
      <c r="V13" s="55" t="n"/>
      <c r="W13" s="55" t="n"/>
      <c r="X13" s="55" t="n"/>
      <c r="Y13" s="55" t="n"/>
      <c r="Z13" s="55" t="n"/>
      <c r="AA13" s="55" t="n"/>
      <c r="AB13" s="55" t="n"/>
      <c r="AC13" s="55" t="n"/>
      <c r="AD13" s="55" t="n"/>
      <c r="AE13" s="55" t="n"/>
      <c r="AF13" s="55" t="n"/>
      <c r="AG13" s="55" t="n"/>
      <c r="AH13" s="55" t="n"/>
      <c r="AI13" s="55" t="n"/>
      <c r="AJ13" s="55" t="n"/>
      <c r="AK13" s="55" t="n"/>
      <c r="AL13" s="55" t="n"/>
      <c r="AM13" s="55" t="n"/>
      <c r="AN13" s="55" t="n"/>
      <c r="AO13" s="55" t="n"/>
      <c r="AP13" s="55" t="n"/>
      <c r="AQ13" s="55" t="n"/>
      <c r="AR13" s="55" t="n"/>
      <c r="AS13" s="55" t="n"/>
      <c r="AT13" s="55" t="n"/>
      <c r="AU13" s="55" t="n"/>
      <c r="AV13" s="55" t="n"/>
      <c r="AW13" s="55" t="n"/>
      <c r="AX13" s="55" t="n"/>
      <c r="AY13" s="55" t="n"/>
      <c r="AZ13" s="55" t="n"/>
      <c r="BA13" s="55" t="n"/>
      <c r="BB13" s="55" t="n"/>
      <c r="BC13" s="55" t="n"/>
      <c r="BD13" s="55" t="n"/>
      <c r="BE13" s="55" t="n"/>
      <c r="BF13" s="55" t="n"/>
      <c r="BG13" s="55" t="n"/>
      <c r="BH13" s="55" t="n"/>
      <c r="BI13" s="55" t="n"/>
      <c r="BJ13" s="55" t="n"/>
      <c r="BK13" s="55" t="n"/>
      <c r="BL13" s="55" t="n"/>
      <c r="BM13" s="55" t="n"/>
      <c r="BN13" s="55" t="n"/>
    </row>
    <row r="14" ht="12.75" customHeight="1" s="1883">
      <c r="A14" s="55" t="n"/>
      <c r="B14" s="59" t="inlineStr">
        <is>
          <t>Year 3</t>
        </is>
      </c>
      <c r="C14" s="74" t="n"/>
      <c r="D14" s="74" t="n"/>
      <c r="E14" s="90" t="n"/>
      <c r="F14" s="872" t="n">
        <v>2500000</v>
      </c>
      <c r="G14" s="93">
        <f>$F14*G5</f>
        <v/>
      </c>
      <c r="H14" s="93">
        <f>H5*$F14</f>
        <v/>
      </c>
      <c r="I14" s="93">
        <f>I5*$F14</f>
        <v/>
      </c>
      <c r="J14" s="93">
        <f>J5*$F14</f>
        <v/>
      </c>
      <c r="K14" s="93">
        <f>K5*$F14</f>
        <v/>
      </c>
      <c r="L14" s="93">
        <f>L5*$F14</f>
        <v/>
      </c>
      <c r="M14" s="93">
        <f>M5*$F14</f>
        <v/>
      </c>
      <c r="N14" s="93">
        <f>N5*$F14</f>
        <v/>
      </c>
      <c r="O14" s="93">
        <f>O5*$F14</f>
        <v/>
      </c>
      <c r="P14" s="93">
        <f>P5*$F14</f>
        <v/>
      </c>
      <c r="Q14" s="93">
        <f>Q5*$F14</f>
        <v/>
      </c>
      <c r="R14" s="93">
        <f>R5*$F14</f>
        <v/>
      </c>
      <c r="S14" s="94">
        <f>SUM(G14:R14)</f>
        <v/>
      </c>
      <c r="T14" s="55" t="n"/>
      <c r="U14" s="55" t="n"/>
      <c r="V14" s="55" t="n"/>
      <c r="W14" s="55" t="n"/>
      <c r="X14" s="55" t="n"/>
      <c r="Y14" s="55" t="n"/>
      <c r="Z14" s="55" t="n"/>
      <c r="AA14" s="55" t="n"/>
      <c r="AB14" s="55" t="n"/>
      <c r="AC14" s="55" t="n"/>
      <c r="AD14" s="55" t="n"/>
      <c r="AE14" s="55" t="n"/>
      <c r="AF14" s="55" t="n"/>
      <c r="AG14" s="55" t="n"/>
      <c r="AH14" s="55" t="n"/>
      <c r="AI14" s="55" t="n"/>
      <c r="AJ14" s="55" t="n"/>
      <c r="AK14" s="55" t="n"/>
      <c r="AL14" s="55" t="n"/>
      <c r="AM14" s="55" t="n"/>
      <c r="AN14" s="55" t="n"/>
      <c r="AO14" s="55" t="n"/>
      <c r="AP14" s="55" t="n"/>
      <c r="AQ14" s="55" t="n"/>
      <c r="AR14" s="55" t="n"/>
      <c r="AS14" s="55" t="n"/>
      <c r="AT14" s="55" t="n"/>
      <c r="AU14" s="55" t="n"/>
      <c r="AV14" s="55" t="n"/>
      <c r="AW14" s="55" t="n"/>
      <c r="AX14" s="55" t="n"/>
      <c r="AY14" s="55" t="n"/>
      <c r="AZ14" s="55" t="n"/>
      <c r="BA14" s="55" t="n"/>
      <c r="BB14" s="55" t="n"/>
      <c r="BC14" s="55" t="n"/>
      <c r="BD14" s="55" t="n"/>
      <c r="BE14" s="55" t="n"/>
      <c r="BF14" s="55" t="n"/>
      <c r="BG14" s="55" t="n"/>
      <c r="BH14" s="55" t="n"/>
      <c r="BI14" s="55" t="n"/>
      <c r="BJ14" s="55" t="n"/>
      <c r="BK14" s="55" t="n"/>
      <c r="BL14" s="55" t="n"/>
      <c r="BM14" s="55" t="n"/>
      <c r="BN14" s="55" t="n"/>
    </row>
    <row r="15" ht="12.75" customHeight="1" s="1883">
      <c r="A15" s="55" t="n"/>
      <c r="B15" s="59" t="inlineStr">
        <is>
          <t>Year 4</t>
        </is>
      </c>
      <c r="C15" s="74" t="n"/>
      <c r="D15" s="74" t="n"/>
      <c r="E15" s="90" t="n"/>
      <c r="F15" s="872" t="n">
        <v>3400000</v>
      </c>
      <c r="G15" s="93">
        <f>$F15*G6</f>
        <v/>
      </c>
      <c r="H15" s="93">
        <f>H6*$F15</f>
        <v/>
      </c>
      <c r="I15" s="93">
        <f>I6*$F15</f>
        <v/>
      </c>
      <c r="J15" s="93">
        <f>J6*$F15</f>
        <v/>
      </c>
      <c r="K15" s="93">
        <f>K6*$F15</f>
        <v/>
      </c>
      <c r="L15" s="93">
        <f>L6*$F15</f>
        <v/>
      </c>
      <c r="M15" s="93">
        <f>M6*$F15</f>
        <v/>
      </c>
      <c r="N15" s="93">
        <f>N6*$F15</f>
        <v/>
      </c>
      <c r="O15" s="93">
        <f>O6*$F15</f>
        <v/>
      </c>
      <c r="P15" s="93">
        <f>P6*$F15</f>
        <v/>
      </c>
      <c r="Q15" s="93">
        <f>Q6*$F15</f>
        <v/>
      </c>
      <c r="R15" s="93">
        <f>R6*$F15</f>
        <v/>
      </c>
      <c r="S15" s="94">
        <f>SUM(G15:R15)</f>
        <v/>
      </c>
      <c r="T15" s="55" t="n"/>
      <c r="U15" s="55" t="n"/>
      <c r="V15" s="55" t="n"/>
      <c r="W15" s="55" t="n"/>
      <c r="X15" s="55" t="n"/>
      <c r="Y15" s="55" t="n"/>
      <c r="Z15" s="55" t="n"/>
      <c r="AA15" s="55" t="n"/>
      <c r="AB15" s="55" t="n"/>
      <c r="AC15" s="55" t="n"/>
      <c r="AD15" s="55" t="n"/>
      <c r="AE15" s="55" t="n"/>
      <c r="AF15" s="55" t="n"/>
      <c r="AG15" s="55" t="n"/>
      <c r="AH15" s="55" t="n"/>
      <c r="AI15" s="55" t="n"/>
      <c r="AJ15" s="55" t="n"/>
      <c r="AK15" s="55" t="n"/>
      <c r="AL15" s="55" t="n"/>
      <c r="AM15" s="55" t="n"/>
      <c r="AN15" s="55" t="n"/>
      <c r="AO15" s="55" t="n"/>
      <c r="AP15" s="55" t="n"/>
      <c r="AQ15" s="55" t="n"/>
      <c r="AR15" s="55" t="n"/>
      <c r="AS15" s="55" t="n"/>
      <c r="AT15" s="55" t="n"/>
      <c r="AU15" s="55" t="n"/>
      <c r="AV15" s="55" t="n"/>
      <c r="AW15" s="55" t="n"/>
      <c r="AX15" s="55" t="n"/>
      <c r="AY15" s="55" t="n"/>
      <c r="AZ15" s="55" t="n"/>
      <c r="BA15" s="55" t="n"/>
      <c r="BB15" s="55" t="n"/>
      <c r="BC15" s="55" t="n"/>
      <c r="BD15" s="55" t="n"/>
      <c r="BE15" s="55" t="n"/>
      <c r="BF15" s="55" t="n"/>
      <c r="BG15" s="55" t="n"/>
      <c r="BH15" s="55" t="n"/>
      <c r="BI15" s="55" t="n"/>
      <c r="BJ15" s="55" t="n"/>
      <c r="BK15" s="55" t="n"/>
      <c r="BL15" s="55" t="n"/>
      <c r="BM15" s="55" t="n"/>
      <c r="BN15" s="55" t="n"/>
    </row>
    <row r="16" ht="12.75" customHeight="1" s="1883">
      <c r="A16" s="55" t="n"/>
      <c r="B16" s="59" t="inlineStr">
        <is>
          <t>Year 5</t>
        </is>
      </c>
      <c r="C16" s="74" t="n"/>
      <c r="D16" s="74" t="n"/>
      <c r="E16" s="90" t="n"/>
      <c r="F16" s="872" t="n">
        <v>4300000</v>
      </c>
      <c r="G16" s="93">
        <f>$F16*G7</f>
        <v/>
      </c>
      <c r="H16" s="93">
        <f>H7*$F16</f>
        <v/>
      </c>
      <c r="I16" s="93">
        <f>I7*$F16</f>
        <v/>
      </c>
      <c r="J16" s="93">
        <f>J7*$F16</f>
        <v/>
      </c>
      <c r="K16" s="93">
        <f>K7*$F16</f>
        <v/>
      </c>
      <c r="L16" s="93">
        <f>L7*$F16</f>
        <v/>
      </c>
      <c r="M16" s="93">
        <f>M7*$F16</f>
        <v/>
      </c>
      <c r="N16" s="93">
        <f>N7*$F16</f>
        <v/>
      </c>
      <c r="O16" s="93">
        <f>O7*$F16</f>
        <v/>
      </c>
      <c r="P16" s="93">
        <f>P7*$F16</f>
        <v/>
      </c>
      <c r="Q16" s="93">
        <f>Q7*$F16</f>
        <v/>
      </c>
      <c r="R16" s="93">
        <f>R7*$F16</f>
        <v/>
      </c>
      <c r="S16" s="94">
        <f>SUM(G16:R16)</f>
        <v/>
      </c>
      <c r="T16" s="55" t="n"/>
      <c r="U16" s="55" t="n"/>
      <c r="V16" s="55" t="n"/>
      <c r="W16" s="55" t="n"/>
      <c r="X16" s="55" t="n"/>
      <c r="Y16" s="55" t="n"/>
      <c r="Z16" s="55" t="n"/>
      <c r="AA16" s="55" t="n"/>
      <c r="AB16" s="55" t="n"/>
      <c r="AC16" s="55" t="n"/>
      <c r="AD16" s="55" t="n"/>
      <c r="AE16" s="55" t="n"/>
      <c r="AF16" s="55" t="n"/>
      <c r="AG16" s="55" t="n"/>
      <c r="AH16" s="55" t="n"/>
      <c r="AI16" s="55" t="n"/>
      <c r="AJ16" s="55" t="n"/>
      <c r="AK16" s="55" t="n"/>
      <c r="AL16" s="55" t="n"/>
      <c r="AM16" s="55" t="n"/>
      <c r="AN16" s="55" t="n"/>
      <c r="AO16" s="55" t="n"/>
      <c r="AP16" s="55" t="n"/>
      <c r="AQ16" s="55" t="n"/>
      <c r="AR16" s="55" t="n"/>
      <c r="AS16" s="55" t="n"/>
      <c r="AT16" s="55" t="n"/>
      <c r="AU16" s="55" t="n"/>
      <c r="AV16" s="55" t="n"/>
      <c r="AW16" s="55" t="n"/>
      <c r="AX16" s="55" t="n"/>
      <c r="AY16" s="55" t="n"/>
      <c r="AZ16" s="55" t="n"/>
      <c r="BA16" s="55" t="n"/>
      <c r="BB16" s="55" t="n"/>
      <c r="BC16" s="55" t="n"/>
      <c r="BD16" s="55" t="n"/>
      <c r="BE16" s="55" t="n"/>
      <c r="BF16" s="55" t="n"/>
      <c r="BG16" s="55" t="n"/>
      <c r="BH16" s="55" t="n"/>
      <c r="BI16" s="55" t="n"/>
      <c r="BJ16" s="55" t="n"/>
      <c r="BK16" s="55" t="n"/>
      <c r="BL16" s="55" t="n"/>
      <c r="BM16" s="55" t="n"/>
      <c r="BN16" s="55" t="n"/>
    </row>
    <row r="17" ht="12.75" customHeight="1" s="1883">
      <c r="B17" s="59" t="inlineStr">
        <is>
          <t>Year 6</t>
        </is>
      </c>
      <c r="C17" s="74" t="n"/>
      <c r="D17" s="74" t="n"/>
      <c r="E17" s="90" t="n"/>
      <c r="F17" s="872" t="n">
        <v>5200000</v>
      </c>
      <c r="G17" s="93">
        <f>$F17*G8</f>
        <v/>
      </c>
      <c r="H17" s="93">
        <f>$F17*H8</f>
        <v/>
      </c>
      <c r="I17" s="93">
        <f>$F17*I8</f>
        <v/>
      </c>
      <c r="J17" s="93">
        <f>$F17*J8</f>
        <v/>
      </c>
      <c r="K17" s="93">
        <f>$F17*K8</f>
        <v/>
      </c>
      <c r="L17" s="93">
        <f>$F17*L8</f>
        <v/>
      </c>
      <c r="M17" s="93">
        <f>$F17*M8</f>
        <v/>
      </c>
      <c r="N17" s="93">
        <f>$F17*N8</f>
        <v/>
      </c>
      <c r="O17" s="93">
        <f>$F17*O8</f>
        <v/>
      </c>
      <c r="P17" s="93">
        <f>$F17*P8</f>
        <v/>
      </c>
      <c r="Q17" s="93">
        <f>$F17*Q8</f>
        <v/>
      </c>
      <c r="R17" s="93">
        <f>$F17*R8</f>
        <v/>
      </c>
      <c r="S17" s="94">
        <f>SUM(G17:R17)</f>
        <v/>
      </c>
      <c r="T17" s="55" t="n"/>
      <c r="U17" s="55" t="n"/>
      <c r="V17" s="55" t="n"/>
      <c r="W17" s="55" t="n"/>
      <c r="X17" s="55" t="n"/>
      <c r="Y17" s="55" t="n"/>
      <c r="Z17" s="55" t="n"/>
      <c r="AA17" s="55" t="n"/>
      <c r="AB17" s="55" t="n"/>
      <c r="AC17" s="55" t="n"/>
      <c r="AD17" s="55" t="n"/>
      <c r="AE17" s="55" t="n"/>
      <c r="AF17" s="55" t="n"/>
      <c r="AG17" s="55" t="n"/>
      <c r="AH17" s="55" t="n"/>
      <c r="AI17" s="55" t="n"/>
      <c r="AJ17" s="55" t="n"/>
      <c r="AK17" s="55" t="n"/>
      <c r="AL17" s="55" t="n"/>
      <c r="AM17" s="55" t="n"/>
      <c r="AN17" s="55" t="n"/>
      <c r="AO17" s="55" t="n"/>
      <c r="AP17" s="55" t="n"/>
      <c r="AQ17" s="55" t="n"/>
      <c r="AR17" s="55" t="n"/>
      <c r="AS17" s="55" t="n"/>
      <c r="AT17" s="55" t="n"/>
      <c r="AU17" s="55" t="n"/>
      <c r="AV17" s="55" t="n"/>
      <c r="AW17" s="55" t="n"/>
      <c r="AX17" s="55" t="n"/>
      <c r="AY17" s="55" t="n"/>
      <c r="AZ17" s="55" t="n"/>
      <c r="BA17" s="55" t="n"/>
      <c r="BB17" s="55" t="n"/>
      <c r="BC17" s="55" t="n"/>
      <c r="BD17" s="55" t="n"/>
      <c r="BE17" s="55" t="n"/>
      <c r="BF17" s="55" t="n"/>
      <c r="BG17" s="55" t="n"/>
      <c r="BH17" s="55" t="n"/>
      <c r="BI17" s="55" t="n"/>
      <c r="BJ17" s="55" t="n"/>
      <c r="BK17" s="55" t="n"/>
      <c r="BL17" s="55" t="n"/>
      <c r="BM17" s="55" t="n"/>
      <c r="BN17" s="55" t="n"/>
    </row>
    <row r="18" ht="12.75" customHeight="1" s="1883">
      <c r="B18" s="59" t="n"/>
      <c r="C18" s="74" t="n"/>
      <c r="D18" s="74" t="n"/>
      <c r="E18" s="74" t="n"/>
      <c r="F18" s="90" t="n"/>
      <c r="G18" s="93" t="n"/>
      <c r="H18" s="93" t="n"/>
      <c r="I18" s="93" t="n"/>
      <c r="J18" s="93" t="n"/>
      <c r="K18" s="93" t="n"/>
      <c r="L18" s="93" t="n"/>
      <c r="M18" s="93" t="n"/>
      <c r="N18" s="93" t="n"/>
      <c r="O18" s="93" t="n"/>
      <c r="P18" s="93" t="n"/>
      <c r="Q18" s="93" t="n"/>
      <c r="R18" s="93" t="n"/>
      <c r="S18" s="94" t="n"/>
      <c r="T18" s="55" t="n"/>
      <c r="U18" s="55" t="n"/>
      <c r="V18" s="55" t="n"/>
      <c r="W18" s="55" t="n"/>
      <c r="X18" s="55" t="n"/>
      <c r="Y18" s="55" t="n"/>
      <c r="Z18" s="55" t="n"/>
      <c r="AA18" s="55" t="n"/>
      <c r="AB18" s="55" t="n"/>
      <c r="AC18" s="55" t="n"/>
      <c r="AD18" s="55" t="n"/>
      <c r="AE18" s="55" t="n"/>
      <c r="AF18" s="55" t="n"/>
      <c r="AG18" s="55" t="n"/>
      <c r="AH18" s="55" t="n"/>
      <c r="AI18" s="55" t="n"/>
      <c r="AJ18" s="55" t="n"/>
      <c r="AK18" s="55" t="n"/>
      <c r="AL18" s="55" t="n"/>
      <c r="AM18" s="55" t="n"/>
      <c r="AN18" s="55" t="n"/>
      <c r="AO18" s="55" t="n"/>
      <c r="AP18" s="55" t="n"/>
      <c r="AQ18" s="55" t="n"/>
      <c r="AR18" s="55" t="n"/>
      <c r="AS18" s="55" t="n"/>
      <c r="AT18" s="55" t="n"/>
      <c r="AU18" s="55" t="n"/>
      <c r="AV18" s="55" t="n"/>
      <c r="AW18" s="55" t="n"/>
      <c r="AX18" s="55" t="n"/>
      <c r="AY18" s="55" t="n"/>
      <c r="AZ18" s="55" t="n"/>
      <c r="BA18" s="55" t="n"/>
      <c r="BB18" s="55" t="n"/>
      <c r="BC18" s="55" t="n"/>
      <c r="BD18" s="55" t="n"/>
      <c r="BE18" s="55" t="n"/>
      <c r="BF18" s="55" t="n"/>
      <c r="BG18" s="55" t="n"/>
      <c r="BH18" s="55" t="n"/>
      <c r="BI18" s="55" t="n"/>
      <c r="BJ18" s="55" t="n"/>
      <c r="BK18" s="55" t="n"/>
      <c r="BL18" s="55" t="n"/>
      <c r="BM18" s="55" t="n"/>
      <c r="BN18" s="55" t="n"/>
    </row>
    <row r="19" ht="12.75" customHeight="1" s="1883">
      <c r="B19" s="98" t="inlineStr">
        <is>
          <t>Retail Product Breakdown</t>
        </is>
      </c>
      <c r="C19" s="97" t="inlineStr">
        <is>
          <t xml:space="preserve">  Phone </t>
        </is>
      </c>
      <c r="D19" s="97" t="n"/>
      <c r="E19" s="97" t="n"/>
      <c r="F19" s="74" t="inlineStr">
        <is>
          <t>Total Check</t>
        </is>
      </c>
      <c r="G19" s="93" t="n"/>
      <c r="H19" s="93" t="n"/>
      <c r="I19" s="93" t="n"/>
      <c r="J19" s="93" t="n"/>
      <c r="K19" s="93" t="n"/>
      <c r="L19" s="93" t="n"/>
      <c r="M19" s="93" t="n"/>
      <c r="N19" s="93" t="n"/>
      <c r="O19" s="93" t="n"/>
      <c r="P19" s="93" t="n"/>
      <c r="Q19" s="93" t="n"/>
      <c r="R19" s="93" t="n"/>
      <c r="S19" s="94" t="n"/>
      <c r="T19" s="55" t="n"/>
      <c r="U19" s="55" t="n"/>
      <c r="V19" s="55" t="n"/>
      <c r="W19" s="55" t="n"/>
      <c r="X19" s="55" t="n"/>
      <c r="Y19" s="55" t="n"/>
      <c r="Z19" s="55" t="n"/>
      <c r="AA19" s="55" t="n"/>
      <c r="AB19" s="55" t="n"/>
      <c r="AC19" s="55" t="n"/>
      <c r="AD19" s="55" t="n"/>
      <c r="AE19" s="55" t="n"/>
      <c r="AF19" s="55" t="n"/>
      <c r="AG19" s="55" t="n"/>
      <c r="AH19" s="55" t="n"/>
      <c r="AI19" s="55" t="n"/>
      <c r="AJ19" s="55" t="n"/>
      <c r="AK19" s="55" t="n"/>
      <c r="AL19" s="55" t="n"/>
      <c r="AM19" s="55" t="n"/>
      <c r="AN19" s="55" t="n"/>
      <c r="AO19" s="55" t="n"/>
      <c r="AP19" s="55" t="n"/>
      <c r="AQ19" s="55" t="n"/>
      <c r="AR19" s="55" t="n"/>
      <c r="AS19" s="55" t="n"/>
      <c r="AT19" s="55" t="n"/>
      <c r="AU19" s="55" t="n"/>
      <c r="AV19" s="55" t="n"/>
      <c r="AW19" s="55" t="n"/>
      <c r="AX19" s="55" t="n"/>
      <c r="AY19" s="55" t="n"/>
      <c r="AZ19" s="55" t="n"/>
      <c r="BA19" s="55" t="n"/>
      <c r="BB19" s="55" t="n"/>
      <c r="BC19" s="55" t="n"/>
      <c r="BD19" s="55" t="n"/>
      <c r="BE19" s="55" t="n"/>
      <c r="BF19" s="55" t="n"/>
      <c r="BG19" s="55" t="n"/>
      <c r="BH19" s="55" t="n"/>
      <c r="BI19" s="55" t="n"/>
      <c r="BJ19" s="55" t="n"/>
      <c r="BK19" s="55" t="n"/>
      <c r="BL19" s="55" t="n"/>
      <c r="BM19" s="55" t="n"/>
      <c r="BN19" s="55" t="n"/>
    </row>
    <row r="20" ht="12.75" customHeight="1" s="1883">
      <c r="B20" s="59" t="inlineStr">
        <is>
          <t>Year 1</t>
        </is>
      </c>
      <c r="C20" s="873" t="n">
        <v>1</v>
      </c>
      <c r="D20" s="873" t="n"/>
      <c r="E20" s="873" t="n"/>
      <c r="F20" s="86">
        <f>SUM(C20:E20)</f>
        <v/>
      </c>
      <c r="G20" s="93" t="n"/>
      <c r="H20" s="93" t="n"/>
      <c r="I20" s="93" t="n"/>
      <c r="J20" s="93" t="n"/>
      <c r="K20" s="93" t="n"/>
      <c r="L20" s="93" t="n"/>
      <c r="M20" s="93" t="n"/>
      <c r="N20" s="93" t="n"/>
      <c r="O20" s="94" t="n"/>
      <c r="P20" s="59" t="n"/>
      <c r="Q20" s="59" t="n"/>
      <c r="R20" s="59" t="n"/>
      <c r="S20" s="55" t="n"/>
      <c r="T20" s="55" t="n"/>
      <c r="U20" s="55" t="n"/>
      <c r="V20" s="55" t="n"/>
      <c r="W20" s="55" t="n"/>
      <c r="X20" s="55" t="n"/>
      <c r="Y20" s="55" t="n"/>
      <c r="Z20" s="55" t="n"/>
      <c r="AA20" s="55" t="n"/>
      <c r="AB20" s="55" t="n"/>
      <c r="AC20" s="55" t="n"/>
      <c r="AD20" s="55" t="n"/>
      <c r="AE20" s="55" t="n"/>
      <c r="AF20" s="55" t="n"/>
      <c r="AG20" s="55" t="n"/>
      <c r="AH20" s="55" t="n"/>
      <c r="AI20" s="55" t="n"/>
      <c r="AJ20" s="55" t="n"/>
      <c r="AK20" s="55" t="n"/>
      <c r="AL20" s="55" t="n"/>
      <c r="AM20" s="55" t="n"/>
      <c r="AN20" s="55" t="n"/>
      <c r="AO20" s="55" t="n"/>
      <c r="AP20" s="55" t="n"/>
      <c r="AQ20" s="55" t="n"/>
      <c r="AR20" s="55" t="n"/>
      <c r="AS20" s="55" t="n"/>
      <c r="AT20" s="55" t="n"/>
      <c r="AU20" s="55" t="n"/>
      <c r="AV20" s="55" t="n"/>
      <c r="AW20" s="55" t="n"/>
      <c r="AX20" s="55" t="n"/>
      <c r="AY20" s="55" t="n"/>
      <c r="AZ20" s="55" t="n"/>
      <c r="BA20" s="55" t="n"/>
      <c r="BB20" s="55" t="n"/>
      <c r="BC20" s="55" t="n"/>
      <c r="BD20" s="55" t="n"/>
      <c r="BE20" s="55" t="n"/>
      <c r="BF20" s="55" t="n"/>
      <c r="BG20" s="55" t="n"/>
      <c r="BH20" s="55" t="n"/>
      <c r="BI20" s="55" t="n"/>
      <c r="BJ20" s="55" t="n"/>
      <c r="BK20" s="55" t="n"/>
      <c r="BL20" s="55" t="n"/>
      <c r="BM20" s="55" t="n"/>
      <c r="BN20" s="55" t="n"/>
    </row>
    <row r="21" ht="12.75" customHeight="1" s="1883">
      <c r="B21" s="59" t="inlineStr">
        <is>
          <t>Year 2</t>
        </is>
      </c>
      <c r="C21" s="873" t="n">
        <v>1</v>
      </c>
      <c r="D21" s="873" t="n"/>
      <c r="E21" s="873" t="n"/>
      <c r="F21" s="86">
        <f>SUM(C21:E21)</f>
        <v/>
      </c>
      <c r="G21" s="93" t="n"/>
      <c r="H21" s="93" t="n"/>
      <c r="I21" s="93" t="n"/>
      <c r="J21" s="93" t="n"/>
      <c r="K21" s="93" t="n"/>
      <c r="L21" s="93" t="n"/>
      <c r="M21" s="93" t="n"/>
      <c r="N21" s="93" t="n"/>
      <c r="O21" s="94" t="n"/>
      <c r="P21" s="59" t="n"/>
      <c r="Q21" s="59" t="n"/>
      <c r="R21" s="59" t="n"/>
      <c r="S21" s="55" t="n"/>
      <c r="T21" s="55" t="n"/>
      <c r="U21" s="55" t="n"/>
      <c r="V21" s="55" t="n"/>
      <c r="W21" s="55" t="n"/>
      <c r="X21" s="55" t="n"/>
      <c r="Y21" s="55" t="n"/>
      <c r="Z21" s="55" t="n"/>
      <c r="AA21" s="55" t="n"/>
      <c r="AB21" s="55" t="n"/>
      <c r="AC21" s="55" t="n"/>
      <c r="AD21" s="55" t="n"/>
      <c r="AE21" s="55" t="n"/>
      <c r="AF21" s="55" t="n"/>
      <c r="AG21" s="55" t="n"/>
      <c r="AH21" s="55" t="n"/>
      <c r="AI21" s="55" t="n"/>
      <c r="AJ21" s="55" t="n"/>
      <c r="AK21" s="55" t="n"/>
      <c r="AL21" s="55" t="n"/>
      <c r="AM21" s="55" t="n"/>
      <c r="AN21" s="55" t="n"/>
      <c r="AO21" s="55" t="n"/>
      <c r="AP21" s="55" t="n"/>
      <c r="AQ21" s="55" t="n"/>
      <c r="AR21" s="55" t="n"/>
      <c r="AS21" s="55" t="n"/>
      <c r="AT21" s="55" t="n"/>
      <c r="AU21" s="55" t="n"/>
      <c r="AV21" s="55" t="n"/>
      <c r="AW21" s="55" t="n"/>
      <c r="AX21" s="55" t="n"/>
      <c r="AY21" s="55" t="n"/>
      <c r="AZ21" s="55" t="n"/>
      <c r="BA21" s="55" t="n"/>
      <c r="BB21" s="55" t="n"/>
      <c r="BC21" s="55" t="n"/>
      <c r="BD21" s="55" t="n"/>
      <c r="BE21" s="55" t="n"/>
      <c r="BF21" s="55" t="n"/>
      <c r="BG21" s="55" t="n"/>
      <c r="BH21" s="55" t="n"/>
      <c r="BI21" s="55" t="n"/>
      <c r="BJ21" s="55" t="n"/>
      <c r="BK21" s="55" t="n"/>
      <c r="BL21" s="55" t="n"/>
      <c r="BM21" s="55" t="n"/>
      <c r="BN21" s="55" t="n"/>
    </row>
    <row r="22" ht="12.75" customHeight="1" s="1883">
      <c r="B22" s="59" t="inlineStr">
        <is>
          <t>Year 3</t>
        </is>
      </c>
      <c r="C22" s="873" t="n">
        <v>1</v>
      </c>
      <c r="D22" s="873" t="n"/>
      <c r="E22" s="873" t="n"/>
      <c r="F22" s="86">
        <f>SUM(C22:E22)</f>
        <v/>
      </c>
      <c r="G22" s="93" t="n"/>
      <c r="H22" s="93" t="n"/>
      <c r="I22" s="93" t="n"/>
      <c r="J22" s="93" t="n"/>
      <c r="K22" s="93" t="n"/>
      <c r="L22" s="93" t="n"/>
      <c r="M22" s="93" t="n"/>
      <c r="N22" s="93" t="n"/>
      <c r="O22" s="94" t="n"/>
      <c r="P22" s="59" t="n"/>
      <c r="Q22" s="59" t="n"/>
      <c r="R22" s="59" t="n"/>
      <c r="S22" s="55" t="n"/>
      <c r="T22" s="55" t="n"/>
      <c r="U22" s="55" t="n"/>
      <c r="V22" s="55" t="n"/>
      <c r="W22" s="55" t="n"/>
      <c r="X22" s="55" t="n"/>
      <c r="Y22" s="55" t="n"/>
      <c r="Z22" s="55" t="n"/>
      <c r="AA22" s="55" t="n"/>
      <c r="AB22" s="55" t="n"/>
      <c r="AC22" s="55" t="n"/>
      <c r="AD22" s="55" t="n"/>
      <c r="AE22" s="55" t="n"/>
      <c r="AF22" s="55" t="n"/>
      <c r="AG22" s="55" t="n"/>
      <c r="AH22" s="55" t="n"/>
      <c r="AI22" s="55" t="n"/>
      <c r="AJ22" s="55" t="n"/>
      <c r="AK22" s="55" t="n"/>
      <c r="AL22" s="55" t="n"/>
      <c r="AM22" s="55" t="n"/>
      <c r="AN22" s="55" t="n"/>
      <c r="AO22" s="55" t="n"/>
      <c r="AP22" s="55" t="n"/>
      <c r="AQ22" s="55" t="n"/>
      <c r="AR22" s="55" t="n"/>
      <c r="AS22" s="55" t="n"/>
      <c r="AT22" s="55" t="n"/>
      <c r="AU22" s="55" t="n"/>
      <c r="AV22" s="55" t="n"/>
      <c r="AW22" s="55" t="n"/>
      <c r="AX22" s="55" t="n"/>
      <c r="AY22" s="55" t="n"/>
      <c r="AZ22" s="55" t="n"/>
      <c r="BA22" s="55" t="n"/>
      <c r="BB22" s="55" t="n"/>
      <c r="BC22" s="55" t="n"/>
      <c r="BD22" s="55" t="n"/>
      <c r="BE22" s="55" t="n"/>
      <c r="BF22" s="55" t="n"/>
      <c r="BG22" s="55" t="n"/>
      <c r="BH22" s="55" t="n"/>
      <c r="BI22" s="55" t="n"/>
      <c r="BJ22" s="55" t="n"/>
      <c r="BK22" s="55" t="n"/>
      <c r="BL22" s="55" t="n"/>
      <c r="BM22" s="55" t="n"/>
      <c r="BN22" s="55" t="n"/>
    </row>
    <row r="23" ht="12.75" customHeight="1" s="1883">
      <c r="B23" s="59" t="inlineStr">
        <is>
          <t>Year 4</t>
        </is>
      </c>
      <c r="C23" s="873" t="n">
        <v>1</v>
      </c>
      <c r="D23" s="873" t="n"/>
      <c r="E23" s="873" t="n"/>
      <c r="F23" s="86">
        <f>SUM(C23:E23)</f>
        <v/>
      </c>
      <c r="G23" s="99" t="n"/>
      <c r="H23" s="99" t="n"/>
      <c r="I23" s="99" t="n"/>
      <c r="J23" s="99" t="n"/>
      <c r="K23" s="99" t="n"/>
      <c r="L23" s="99" t="n"/>
      <c r="M23" s="99" t="n"/>
      <c r="N23" s="93" t="n"/>
      <c r="O23" s="94" t="n"/>
      <c r="P23" s="59" t="n"/>
      <c r="Q23" s="59" t="n"/>
      <c r="R23" s="59" t="n"/>
      <c r="S23" s="55" t="n"/>
      <c r="T23" s="55" t="n"/>
      <c r="U23" s="55" t="n"/>
      <c r="V23" s="55" t="n"/>
      <c r="W23" s="55" t="n"/>
      <c r="X23" s="55" t="n"/>
      <c r="Y23" s="55" t="n"/>
      <c r="Z23" s="55" t="n"/>
      <c r="AA23" s="55" t="n"/>
      <c r="AB23" s="55" t="n"/>
      <c r="AC23" s="55" t="n"/>
      <c r="AD23" s="55" t="n"/>
      <c r="AE23" s="55" t="n"/>
      <c r="AF23" s="55" t="n"/>
      <c r="AG23" s="55" t="n"/>
      <c r="AH23" s="55" t="n"/>
      <c r="AI23" s="55" t="n"/>
      <c r="AJ23" s="55" t="n"/>
      <c r="AK23" s="55" t="n"/>
      <c r="AL23" s="55" t="n"/>
      <c r="AM23" s="55" t="n"/>
      <c r="AN23" s="55" t="n"/>
      <c r="AO23" s="55" t="n"/>
      <c r="AP23" s="55" t="n"/>
      <c r="AQ23" s="55" t="n"/>
      <c r="AR23" s="55" t="n"/>
      <c r="AS23" s="55" t="n"/>
      <c r="AT23" s="55" t="n"/>
      <c r="AU23" s="55" t="n"/>
      <c r="AV23" s="55" t="n"/>
      <c r="AW23" s="55" t="n"/>
      <c r="AX23" s="55" t="n"/>
      <c r="AY23" s="55" t="n"/>
      <c r="AZ23" s="55" t="n"/>
      <c r="BA23" s="55" t="n"/>
      <c r="BB23" s="55" t="n"/>
      <c r="BC23" s="55" t="n"/>
      <c r="BD23" s="55" t="n"/>
      <c r="BE23" s="55" t="n"/>
      <c r="BF23" s="55" t="n"/>
      <c r="BG23" s="55" t="n"/>
      <c r="BH23" s="55" t="n"/>
      <c r="BI23" s="55" t="n"/>
      <c r="BJ23" s="55" t="n"/>
      <c r="BK23" s="55" t="n"/>
      <c r="BL23" s="55" t="n"/>
      <c r="BM23" s="55" t="n"/>
      <c r="BN23" s="55" t="n"/>
    </row>
    <row r="24" ht="12.75" customHeight="1" s="1883">
      <c r="B24" s="59" t="inlineStr">
        <is>
          <t>Year 5</t>
        </is>
      </c>
      <c r="C24" s="873" t="n">
        <v>1</v>
      </c>
      <c r="D24" s="873" t="n"/>
      <c r="E24" s="873" t="n"/>
      <c r="F24" s="86">
        <f>SUM(C24:E24)</f>
        <v/>
      </c>
      <c r="G24" s="100" t="n"/>
      <c r="H24" s="99" t="n"/>
      <c r="I24" s="99" t="n"/>
      <c r="J24" s="99" t="n"/>
      <c r="K24" s="99" t="n"/>
      <c r="L24" s="99" t="n"/>
      <c r="M24" s="99" t="n"/>
      <c r="N24" s="93" t="n"/>
      <c r="O24" s="94" t="n"/>
      <c r="P24" s="59" t="n"/>
      <c r="Q24" s="59" t="n"/>
      <c r="R24" s="59" t="n"/>
      <c r="S24" s="55" t="n"/>
      <c r="T24" s="55" t="n"/>
      <c r="U24" s="55" t="n"/>
      <c r="V24" s="55" t="n"/>
      <c r="W24" s="55" t="n"/>
      <c r="X24" s="55" t="n"/>
      <c r="Y24" s="55" t="n"/>
      <c r="Z24" s="55" t="n"/>
      <c r="AA24" s="55" t="n"/>
      <c r="AB24" s="55" t="n"/>
      <c r="AC24" s="55" t="n"/>
      <c r="AD24" s="55" t="n"/>
      <c r="AE24" s="55" t="n"/>
      <c r="AF24" s="55" t="n"/>
      <c r="AG24" s="55" t="n"/>
      <c r="AH24" s="55" t="n"/>
      <c r="AI24" s="55" t="n"/>
      <c r="AJ24" s="55" t="n"/>
      <c r="AK24" s="55" t="n"/>
      <c r="AL24" s="55" t="n"/>
      <c r="AM24" s="55" t="n"/>
      <c r="AN24" s="55" t="n"/>
      <c r="AO24" s="55" t="n"/>
      <c r="AP24" s="55" t="n"/>
      <c r="AQ24" s="55" t="n"/>
      <c r="AR24" s="55" t="n"/>
      <c r="AS24" s="55" t="n"/>
      <c r="AT24" s="55" t="n"/>
      <c r="AU24" s="55" t="n"/>
      <c r="AV24" s="55" t="n"/>
      <c r="AW24" s="55" t="n"/>
      <c r="AX24" s="55" t="n"/>
      <c r="AY24" s="55" t="n"/>
      <c r="AZ24" s="55" t="n"/>
      <c r="BA24" s="55" t="n"/>
      <c r="BB24" s="55" t="n"/>
      <c r="BC24" s="55" t="n"/>
      <c r="BD24" s="55" t="n"/>
      <c r="BE24" s="55" t="n"/>
      <c r="BF24" s="55" t="n"/>
      <c r="BG24" s="55" t="n"/>
      <c r="BH24" s="55" t="n"/>
      <c r="BI24" s="55" t="n"/>
      <c r="BJ24" s="55" t="n"/>
      <c r="BK24" s="55" t="n"/>
      <c r="BL24" s="55" t="n"/>
      <c r="BM24" s="55" t="n"/>
      <c r="BN24" s="55" t="n"/>
    </row>
    <row r="25" ht="12.75" customHeight="1" s="1883">
      <c r="B25" s="59" t="inlineStr">
        <is>
          <t>Year 6</t>
        </is>
      </c>
      <c r="C25" s="873" t="n">
        <v>1</v>
      </c>
      <c r="D25" s="873" t="n"/>
      <c r="E25" s="873" t="n"/>
      <c r="F25" s="86">
        <f>SUM(C25:E25)</f>
        <v/>
      </c>
      <c r="G25" s="100" t="n"/>
      <c r="H25" s="99" t="n"/>
      <c r="I25" s="99" t="n"/>
      <c r="J25" s="99" t="n"/>
      <c r="K25" s="99" t="n"/>
      <c r="L25" s="99" t="n"/>
      <c r="M25" s="99" t="n"/>
      <c r="N25" s="93" t="n"/>
      <c r="O25" s="94" t="n"/>
      <c r="P25" s="59" t="n"/>
      <c r="Q25" s="59" t="n"/>
      <c r="R25" s="59" t="n"/>
      <c r="S25" s="55" t="n"/>
      <c r="T25" s="55" t="n"/>
      <c r="U25" s="55" t="n"/>
      <c r="V25" s="55" t="n"/>
      <c r="W25" s="55" t="n"/>
      <c r="X25" s="55" t="n"/>
      <c r="Y25" s="55" t="n"/>
      <c r="Z25" s="55" t="n"/>
      <c r="AA25" s="55" t="n"/>
      <c r="AB25" s="55" t="n"/>
      <c r="AC25" s="55" t="n"/>
      <c r="AD25" s="55" t="n"/>
      <c r="AE25" s="55" t="n"/>
      <c r="AF25" s="55" t="n"/>
      <c r="AG25" s="55" t="n"/>
      <c r="AH25" s="55" t="n"/>
      <c r="AI25" s="55" t="n"/>
      <c r="AJ25" s="55" t="n"/>
      <c r="AK25" s="55" t="n"/>
      <c r="AL25" s="55" t="n"/>
      <c r="AM25" s="55" t="n"/>
      <c r="AN25" s="55" t="n"/>
      <c r="AO25" s="55" t="n"/>
      <c r="AP25" s="55" t="n"/>
      <c r="AQ25" s="55" t="n"/>
      <c r="AR25" s="55" t="n"/>
      <c r="AS25" s="55" t="n"/>
      <c r="AT25" s="55" t="n"/>
      <c r="AU25" s="55" t="n"/>
      <c r="AV25" s="55" t="n"/>
      <c r="AW25" s="55" t="n"/>
      <c r="AX25" s="55" t="n"/>
      <c r="AY25" s="55" t="n"/>
      <c r="AZ25" s="55" t="n"/>
      <c r="BA25" s="55" t="n"/>
      <c r="BB25" s="55" t="n"/>
      <c r="BC25" s="55" t="n"/>
      <c r="BD25" s="55" t="n"/>
      <c r="BE25" s="55" t="n"/>
      <c r="BF25" s="55" t="n"/>
      <c r="BG25" s="55" t="n"/>
      <c r="BH25" s="55" t="n"/>
      <c r="BI25" s="55" t="n"/>
      <c r="BJ25" s="55" t="n"/>
      <c r="BK25" s="55" t="n"/>
      <c r="BL25" s="55" t="n"/>
      <c r="BM25" s="55" t="n"/>
      <c r="BN25" s="55" t="n"/>
    </row>
    <row r="26" ht="12.75" customHeight="1" s="1883">
      <c r="B26" s="59" t="n"/>
      <c r="C26" s="89" t="n"/>
      <c r="D26" s="89" t="n"/>
      <c r="E26" s="89" t="n"/>
      <c r="F26" s="89" t="n"/>
      <c r="G26" s="99" t="n"/>
      <c r="H26" s="99" t="n"/>
      <c r="I26" s="99" t="n"/>
      <c r="J26" s="99" t="n"/>
      <c r="K26" s="99" t="n"/>
      <c r="L26" s="99" t="n"/>
      <c r="M26" s="99" t="n"/>
      <c r="N26" s="93" t="n"/>
      <c r="O26" s="94" t="n"/>
      <c r="P26" s="59" t="n"/>
      <c r="Q26" s="59" t="n"/>
      <c r="R26" s="59" t="n"/>
      <c r="S26" s="55" t="n"/>
      <c r="T26" s="55" t="n"/>
      <c r="U26" s="55" t="n"/>
      <c r="V26" s="55" t="n"/>
      <c r="W26" s="55" t="n"/>
      <c r="X26" s="55" t="n"/>
      <c r="Y26" s="55" t="n"/>
      <c r="Z26" s="55" t="n"/>
      <c r="AA26" s="55" t="n"/>
      <c r="AB26" s="55" t="n"/>
      <c r="AC26" s="55" t="n"/>
      <c r="AD26" s="55" t="n"/>
      <c r="AE26" s="55" t="n"/>
      <c r="AF26" s="55" t="n"/>
      <c r="AG26" s="55" t="n"/>
      <c r="AH26" s="55" t="n"/>
      <c r="AI26" s="55" t="n"/>
      <c r="AJ26" s="55" t="n"/>
      <c r="AK26" s="55" t="n"/>
      <c r="AL26" s="55" t="n"/>
      <c r="AM26" s="55" t="n"/>
      <c r="AN26" s="55" t="n"/>
      <c r="AO26" s="55" t="n"/>
      <c r="AP26" s="55" t="n"/>
      <c r="AQ26" s="55" t="n"/>
      <c r="AR26" s="55" t="n"/>
      <c r="AS26" s="55" t="n"/>
      <c r="AT26" s="55" t="n"/>
      <c r="AU26" s="55" t="n"/>
      <c r="AV26" s="55" t="n"/>
      <c r="AW26" s="55" t="n"/>
      <c r="AX26" s="55" t="n"/>
      <c r="AY26" s="55" t="n"/>
      <c r="AZ26" s="55" t="n"/>
      <c r="BA26" s="55" t="n"/>
      <c r="BB26" s="55" t="n"/>
      <c r="BC26" s="55" t="n"/>
      <c r="BD26" s="55" t="n"/>
      <c r="BE26" s="55" t="n"/>
      <c r="BF26" s="55" t="n"/>
      <c r="BG26" s="55" t="n"/>
      <c r="BH26" s="55" t="n"/>
      <c r="BI26" s="55" t="n"/>
      <c r="BJ26" s="55" t="n"/>
      <c r="BK26" s="55" t="n"/>
      <c r="BL26" s="55" t="n"/>
      <c r="BM26" s="55" t="n"/>
      <c r="BN26" s="55" t="n"/>
    </row>
    <row r="27" ht="12.75" customHeight="1" s="1883">
      <c r="B27" s="1013" t="n"/>
      <c r="C27" s="1014" t="n"/>
      <c r="D27" s="1014" t="n"/>
      <c r="E27" s="1014" t="n"/>
      <c r="F27" s="1014" t="n"/>
      <c r="G27" s="1015">
        <f>+G1</f>
        <v/>
      </c>
      <c r="H27" s="1015">
        <f>+H1</f>
        <v/>
      </c>
      <c r="I27" s="1015">
        <f>+I1</f>
        <v/>
      </c>
      <c r="J27" s="1015">
        <f>+J1</f>
        <v/>
      </c>
      <c r="K27" s="1015">
        <f>+K1</f>
        <v/>
      </c>
      <c r="L27" s="1015">
        <f>+L1</f>
        <v/>
      </c>
      <c r="M27" s="1015">
        <f>+M1</f>
        <v/>
      </c>
      <c r="N27" s="1015">
        <f>+N1</f>
        <v/>
      </c>
      <c r="O27" s="1015">
        <f>+O1</f>
        <v/>
      </c>
      <c r="P27" s="1015">
        <f>+P1</f>
        <v/>
      </c>
      <c r="Q27" s="1015">
        <f>+Q1</f>
        <v/>
      </c>
      <c r="R27" s="1015">
        <f>+R1</f>
        <v/>
      </c>
      <c r="S27" s="1015">
        <f>+S1</f>
        <v/>
      </c>
      <c r="T27" s="1015">
        <f>+T1</f>
        <v/>
      </c>
      <c r="U27" s="1015">
        <f>+U1</f>
        <v/>
      </c>
      <c r="V27" s="1015">
        <f>+V1</f>
        <v/>
      </c>
      <c r="W27" s="1015">
        <f>+W1</f>
        <v/>
      </c>
      <c r="X27" s="1015">
        <f>+X1</f>
        <v/>
      </c>
      <c r="Y27" s="1015">
        <f>+Y1</f>
        <v/>
      </c>
      <c r="Z27" s="1015">
        <f>+Z1</f>
        <v/>
      </c>
      <c r="AA27" s="1015">
        <f>+AA1</f>
        <v/>
      </c>
      <c r="AB27" s="1015">
        <f>+AB1</f>
        <v/>
      </c>
      <c r="AC27" s="1015">
        <f>+AC1</f>
        <v/>
      </c>
      <c r="AD27" s="1015">
        <f>+AD1</f>
        <v/>
      </c>
      <c r="AE27" s="1015">
        <f>+AE1</f>
        <v/>
      </c>
      <c r="AF27" s="1015">
        <f>+AF1</f>
        <v/>
      </c>
      <c r="AG27" s="1015">
        <f>+AG1</f>
        <v/>
      </c>
      <c r="AH27" s="1015">
        <f>+AH1</f>
        <v/>
      </c>
      <c r="AI27" s="1015">
        <f>+AI1</f>
        <v/>
      </c>
      <c r="AJ27" s="1015">
        <f>+AJ1</f>
        <v/>
      </c>
      <c r="AK27" s="1015">
        <f>+AK1</f>
        <v/>
      </c>
      <c r="AL27" s="1015">
        <f>+AL1</f>
        <v/>
      </c>
      <c r="AM27" s="1015">
        <f>+AM1</f>
        <v/>
      </c>
      <c r="AN27" s="1015">
        <f>+AN1</f>
        <v/>
      </c>
      <c r="AO27" s="1015">
        <f>+AO1</f>
        <v/>
      </c>
      <c r="AP27" s="1015">
        <f>+AP1</f>
        <v/>
      </c>
      <c r="AQ27" s="1015">
        <f>+AQ1</f>
        <v/>
      </c>
      <c r="AR27" s="1015">
        <f>+AR1</f>
        <v/>
      </c>
      <c r="AS27" s="1015">
        <f>+AS1</f>
        <v/>
      </c>
      <c r="AT27" s="1015">
        <f>+AT1</f>
        <v/>
      </c>
      <c r="AU27" s="1015">
        <f>+AU1</f>
        <v/>
      </c>
      <c r="AV27" s="1015">
        <f>+AV1</f>
        <v/>
      </c>
      <c r="AW27" s="1015">
        <f>+AW1</f>
        <v/>
      </c>
      <c r="AX27" s="1015">
        <f>+AX1</f>
        <v/>
      </c>
      <c r="AY27" s="1015">
        <f>+AY1</f>
        <v/>
      </c>
      <c r="AZ27" s="1015">
        <f>+AZ1</f>
        <v/>
      </c>
      <c r="BA27" s="1015">
        <f>+BA1</f>
        <v/>
      </c>
      <c r="BB27" s="1015">
        <f>+BB1</f>
        <v/>
      </c>
      <c r="BC27" s="1015">
        <f>+BC1</f>
        <v/>
      </c>
      <c r="BD27" s="1015">
        <f>+BD1</f>
        <v/>
      </c>
      <c r="BE27" s="1015">
        <f>+BE1</f>
        <v/>
      </c>
      <c r="BF27" s="1015">
        <f>+BF1</f>
        <v/>
      </c>
      <c r="BG27" s="1015">
        <f>+BG1</f>
        <v/>
      </c>
      <c r="BH27" s="1015">
        <f>+BH1</f>
        <v/>
      </c>
      <c r="BI27" s="1015">
        <f>+BI1</f>
        <v/>
      </c>
      <c r="BJ27" s="1015">
        <f>+BJ1</f>
        <v/>
      </c>
      <c r="BK27" s="1015">
        <f>+BK1</f>
        <v/>
      </c>
      <c r="BL27" s="1015">
        <f>+BL1</f>
        <v/>
      </c>
      <c r="BM27" s="1015">
        <f>+BM1</f>
        <v/>
      </c>
      <c r="BN27" s="1015">
        <f>+BN1</f>
        <v/>
      </c>
    </row>
    <row r="28" ht="12.75" customFormat="1" customHeight="1" s="1917">
      <c r="B28" s="98" t="inlineStr">
        <is>
          <t xml:space="preserve"> Phone</t>
        </is>
      </c>
      <c r="C28" s="89" t="n"/>
      <c r="D28" s="89" t="n"/>
      <c r="E28" s="89" t="n"/>
      <c r="F28" s="89" t="n"/>
      <c r="G28" s="101" t="n"/>
      <c r="H28" s="101" t="n"/>
      <c r="I28" s="101" t="n"/>
      <c r="J28" s="101" t="n"/>
      <c r="K28" s="101" t="n"/>
      <c r="L28" s="101" t="n"/>
      <c r="M28" s="101" t="n"/>
      <c r="N28" s="101" t="n"/>
      <c r="O28" s="101" t="n"/>
      <c r="P28" s="101" t="n"/>
      <c r="Q28" s="101" t="n"/>
      <c r="R28" s="101" t="n"/>
      <c r="S28" s="101" t="n"/>
      <c r="T28" s="101" t="n"/>
      <c r="U28" s="101" t="n"/>
      <c r="V28" s="101" t="n"/>
      <c r="W28" s="101" t="n"/>
      <c r="X28" s="101" t="n"/>
      <c r="Y28" s="101" t="n"/>
      <c r="Z28" s="101" t="n"/>
      <c r="AA28" s="101" t="n"/>
      <c r="AB28" s="101" t="n"/>
      <c r="AC28" s="101" t="n"/>
      <c r="AD28" s="101" t="n"/>
      <c r="AE28" s="101" t="n"/>
      <c r="AF28" s="101" t="n"/>
      <c r="AG28" s="101" t="n"/>
      <c r="AH28" s="101" t="n"/>
      <c r="AI28" s="101" t="n"/>
      <c r="AJ28" s="101" t="n"/>
      <c r="AK28" s="101" t="n"/>
      <c r="AL28" s="101" t="n"/>
      <c r="AM28" s="101" t="n"/>
      <c r="AN28" s="101" t="n"/>
      <c r="AO28" s="101" t="n"/>
      <c r="AP28" s="101" t="n"/>
      <c r="AQ28" s="101" t="n"/>
      <c r="AR28" s="101" t="n"/>
      <c r="AS28" s="101" t="n"/>
      <c r="AT28" s="101" t="n"/>
      <c r="AU28" s="101" t="n"/>
      <c r="AV28" s="101" t="n"/>
      <c r="AW28" s="101" t="n"/>
      <c r="AX28" s="101" t="n"/>
      <c r="AY28" s="101" t="n"/>
      <c r="AZ28" s="101" t="n"/>
      <c r="BA28" s="101" t="n"/>
      <c r="BB28" s="101" t="n"/>
      <c r="BC28" s="101" t="n"/>
      <c r="BD28" s="101" t="n"/>
      <c r="BE28" s="101" t="n"/>
      <c r="BF28" s="101" t="n"/>
      <c r="BG28" s="101" t="n"/>
      <c r="BH28" s="101" t="n"/>
      <c r="BI28" s="101" t="n"/>
      <c r="BJ28" s="101" t="n"/>
      <c r="BK28" s="101" t="n"/>
      <c r="BL28" s="101" t="n"/>
      <c r="BM28" s="101" t="n"/>
      <c r="BN28" s="101" t="n"/>
    </row>
    <row r="29" ht="12.75" customFormat="1" customHeight="1" s="1917">
      <c r="B29" s="85" t="inlineStr">
        <is>
          <t>Units in the Market</t>
        </is>
      </c>
      <c r="C29" s="102" t="n"/>
      <c r="D29" s="102" t="n"/>
      <c r="E29" s="98" t="n"/>
      <c r="F29" s="55" t="n"/>
      <c r="G29" s="87">
        <f>G12*$C20</f>
        <v/>
      </c>
      <c r="H29" s="87">
        <f>H12*$C20</f>
        <v/>
      </c>
      <c r="I29" s="87">
        <f>I12*$C20</f>
        <v/>
      </c>
      <c r="J29" s="87">
        <f>J12*$C20</f>
        <v/>
      </c>
      <c r="K29" s="87">
        <f>K12*$C20</f>
        <v/>
      </c>
      <c r="L29" s="87">
        <f>L12*$C20</f>
        <v/>
      </c>
      <c r="M29" s="87">
        <f>M12*$C20</f>
        <v/>
      </c>
      <c r="N29" s="87">
        <f>N12*$C20</f>
        <v/>
      </c>
      <c r="O29" s="87">
        <f>O12*$C20</f>
        <v/>
      </c>
      <c r="P29" s="87">
        <f>P12*$C20</f>
        <v/>
      </c>
      <c r="Q29" s="87">
        <f>Q12*$C20</f>
        <v/>
      </c>
      <c r="R29" s="87">
        <f>R12*$C20</f>
        <v/>
      </c>
      <c r="S29" s="87">
        <f>G13*$C21</f>
        <v/>
      </c>
      <c r="T29" s="87">
        <f>H13*$C21</f>
        <v/>
      </c>
      <c r="U29" s="87">
        <f>I13*$C21</f>
        <v/>
      </c>
      <c r="V29" s="87">
        <f>J13*$C21</f>
        <v/>
      </c>
      <c r="W29" s="87">
        <f>K13*$C21</f>
        <v/>
      </c>
      <c r="X29" s="87">
        <f>L13*$C21</f>
        <v/>
      </c>
      <c r="Y29" s="87">
        <f>M13*$C21</f>
        <v/>
      </c>
      <c r="Z29" s="87">
        <f>N13*$C21</f>
        <v/>
      </c>
      <c r="AA29" s="87">
        <f>O13*$C21</f>
        <v/>
      </c>
      <c r="AB29" s="87">
        <f>P13*$C21</f>
        <v/>
      </c>
      <c r="AC29" s="87">
        <f>Q13*$C21</f>
        <v/>
      </c>
      <c r="AD29" s="87">
        <f>R13*$C21</f>
        <v/>
      </c>
      <c r="AE29" s="87">
        <f>G14*$C22</f>
        <v/>
      </c>
      <c r="AF29" s="87">
        <f>H14*$C22</f>
        <v/>
      </c>
      <c r="AG29" s="87">
        <f>I14*$C22</f>
        <v/>
      </c>
      <c r="AH29" s="87">
        <f>J14*$C22</f>
        <v/>
      </c>
      <c r="AI29" s="87">
        <f>K14*$C22</f>
        <v/>
      </c>
      <c r="AJ29" s="87">
        <f>L14*$C22</f>
        <v/>
      </c>
      <c r="AK29" s="87">
        <f>M14*$C22</f>
        <v/>
      </c>
      <c r="AL29" s="87">
        <f>N14*$C22</f>
        <v/>
      </c>
      <c r="AM29" s="87">
        <f>O14*$C22</f>
        <v/>
      </c>
      <c r="AN29" s="87">
        <f>P14*$C22</f>
        <v/>
      </c>
      <c r="AO29" s="87">
        <f>Q14*$C22</f>
        <v/>
      </c>
      <c r="AP29" s="87">
        <f>R14*$C22</f>
        <v/>
      </c>
      <c r="AQ29" s="87">
        <f>G15*$C23</f>
        <v/>
      </c>
      <c r="AR29" s="87">
        <f>H15*$C23</f>
        <v/>
      </c>
      <c r="AS29" s="87">
        <f>I15*$C23</f>
        <v/>
      </c>
      <c r="AT29" s="87">
        <f>J15*$C23</f>
        <v/>
      </c>
      <c r="AU29" s="87">
        <f>K15*$C23</f>
        <v/>
      </c>
      <c r="AV29" s="87">
        <f>L15*$C23</f>
        <v/>
      </c>
      <c r="AW29" s="87">
        <f>M15*$C23</f>
        <v/>
      </c>
      <c r="AX29" s="87">
        <f>N15*$C23</f>
        <v/>
      </c>
      <c r="AY29" s="87">
        <f>O15*$C23</f>
        <v/>
      </c>
      <c r="AZ29" s="87">
        <f>P15*$C23</f>
        <v/>
      </c>
      <c r="BA29" s="87">
        <f>Q15*$C23</f>
        <v/>
      </c>
      <c r="BB29" s="87">
        <f>R15*$C23</f>
        <v/>
      </c>
      <c r="BC29" s="87">
        <f>G16*$C24</f>
        <v/>
      </c>
      <c r="BD29" s="87">
        <f>H16*$C24</f>
        <v/>
      </c>
      <c r="BE29" s="87">
        <f>I16*$C24</f>
        <v/>
      </c>
      <c r="BF29" s="87">
        <f>J16*$C24</f>
        <v/>
      </c>
      <c r="BG29" s="87">
        <f>K16*$C24</f>
        <v/>
      </c>
      <c r="BH29" s="87">
        <f>L16*$C24</f>
        <v/>
      </c>
      <c r="BI29" s="87">
        <f>M16*$C24</f>
        <v/>
      </c>
      <c r="BJ29" s="87">
        <f>N16*$C24</f>
        <v/>
      </c>
      <c r="BK29" s="87">
        <f>O16*$C24</f>
        <v/>
      </c>
      <c r="BL29" s="87">
        <f>P16*$C24</f>
        <v/>
      </c>
      <c r="BM29" s="87">
        <f>Q16*$C24</f>
        <v/>
      </c>
      <c r="BN29" s="87">
        <f>R16*$C24</f>
        <v/>
      </c>
    </row>
    <row r="30" ht="12.75" customFormat="1" customHeight="1" s="1917">
      <c r="B30" s="55" t="inlineStr">
        <is>
          <t>Rate Per Hour, Net (Realization) Monthly Revenue Per Phone</t>
        </is>
      </c>
      <c r="C30" s="102" t="n"/>
      <c r="D30" s="102" t="n"/>
      <c r="E30" s="103" t="n"/>
      <c r="F30" s="55" t="n"/>
      <c r="G30" s="104">
        <f>'3C. Tel. - Revenue Drivers - 1 '!J256</f>
        <v/>
      </c>
      <c r="H30" s="104">
        <f>'3C. Tel. - Revenue Drivers - 1 '!K256</f>
        <v/>
      </c>
      <c r="I30" s="104">
        <f>'3C. Tel. - Revenue Drivers - 1 '!L256</f>
        <v/>
      </c>
      <c r="J30" s="104">
        <f>'3C. Tel. - Revenue Drivers - 1 '!M256</f>
        <v/>
      </c>
      <c r="K30" s="104">
        <f>'3C. Tel. - Revenue Drivers - 1 '!N256</f>
        <v/>
      </c>
      <c r="L30" s="104">
        <f>'3C. Tel. - Revenue Drivers - 1 '!O256</f>
        <v/>
      </c>
      <c r="M30" s="104">
        <f>'3C. Tel. - Revenue Drivers - 1 '!P256</f>
        <v/>
      </c>
      <c r="N30" s="104">
        <f>'3C. Tel. - Revenue Drivers - 1 '!Q256</f>
        <v/>
      </c>
      <c r="O30" s="104">
        <f>'3C. Tel. - Revenue Drivers - 1 '!R256</f>
        <v/>
      </c>
      <c r="P30" s="104">
        <f>'3C. Tel. - Revenue Drivers - 1 '!S256</f>
        <v/>
      </c>
      <c r="Q30" s="104">
        <f>'3C. Tel. - Revenue Drivers - 1 '!T256</f>
        <v/>
      </c>
      <c r="R30" s="104">
        <f>'3C. Tel. - Revenue Drivers - 1 '!U256</f>
        <v/>
      </c>
      <c r="S30" s="104">
        <f>'3C. Tel. - Revenue Drivers - 1 '!J262</f>
        <v/>
      </c>
      <c r="T30" s="104">
        <f>'3C. Tel. - Revenue Drivers - 1 '!K262</f>
        <v/>
      </c>
      <c r="U30" s="104">
        <f>'3C. Tel. - Revenue Drivers - 1 '!L262</f>
        <v/>
      </c>
      <c r="V30" s="104">
        <f>'3C. Tel. - Revenue Drivers - 1 '!M262</f>
        <v/>
      </c>
      <c r="W30" s="104">
        <f>'3C. Tel. - Revenue Drivers - 1 '!N262</f>
        <v/>
      </c>
      <c r="X30" s="104">
        <f>'3C. Tel. - Revenue Drivers - 1 '!O262</f>
        <v/>
      </c>
      <c r="Y30" s="104">
        <f>'3C. Tel. - Revenue Drivers - 1 '!P262</f>
        <v/>
      </c>
      <c r="Z30" s="104">
        <f>'3C. Tel. - Revenue Drivers - 1 '!Q262</f>
        <v/>
      </c>
      <c r="AA30" s="104">
        <f>'3C. Tel. - Revenue Drivers - 1 '!R262</f>
        <v/>
      </c>
      <c r="AB30" s="104">
        <f>'3C. Tel. - Revenue Drivers - 1 '!S262</f>
        <v/>
      </c>
      <c r="AC30" s="104">
        <f>'3C. Tel. - Revenue Drivers - 1 '!T262</f>
        <v/>
      </c>
      <c r="AD30" s="104">
        <f>'3C. Tel. - Revenue Drivers - 1 '!U262</f>
        <v/>
      </c>
      <c r="AE30" s="104">
        <f>'3C. Tel. - Revenue Drivers - 1 '!J268</f>
        <v/>
      </c>
      <c r="AF30" s="104">
        <f>'3C. Tel. - Revenue Drivers - 1 '!K268</f>
        <v/>
      </c>
      <c r="AG30" s="104">
        <f>'3C. Tel. - Revenue Drivers - 1 '!L268</f>
        <v/>
      </c>
      <c r="AH30" s="104">
        <f>'3C. Tel. - Revenue Drivers - 1 '!M268</f>
        <v/>
      </c>
      <c r="AI30" s="104">
        <f>'3C. Tel. - Revenue Drivers - 1 '!N268</f>
        <v/>
      </c>
      <c r="AJ30" s="104">
        <f>'3C. Tel. - Revenue Drivers - 1 '!O268</f>
        <v/>
      </c>
      <c r="AK30" s="104">
        <f>'3C. Tel. - Revenue Drivers - 1 '!P268</f>
        <v/>
      </c>
      <c r="AL30" s="104">
        <f>'3C. Tel. - Revenue Drivers - 1 '!Q268</f>
        <v/>
      </c>
      <c r="AM30" s="104">
        <f>'3C. Tel. - Revenue Drivers - 1 '!R268</f>
        <v/>
      </c>
      <c r="AN30" s="104">
        <f>'3C. Tel. - Revenue Drivers - 1 '!S268</f>
        <v/>
      </c>
      <c r="AO30" s="104">
        <f>'3C. Tel. - Revenue Drivers - 1 '!T268</f>
        <v/>
      </c>
      <c r="AP30" s="104">
        <f>'3C. Tel. - Revenue Drivers - 1 '!U268</f>
        <v/>
      </c>
      <c r="AQ30" s="104">
        <f>'3C. Tel. - Revenue Drivers - 1 '!J274</f>
        <v/>
      </c>
      <c r="AR30" s="104">
        <f>'3C. Tel. - Revenue Drivers - 1 '!K274</f>
        <v/>
      </c>
      <c r="AS30" s="104">
        <f>'3C. Tel. - Revenue Drivers - 1 '!L274</f>
        <v/>
      </c>
      <c r="AT30" s="104">
        <f>'3C. Tel. - Revenue Drivers - 1 '!M274</f>
        <v/>
      </c>
      <c r="AU30" s="104">
        <f>'3C. Tel. - Revenue Drivers - 1 '!N274</f>
        <v/>
      </c>
      <c r="AV30" s="104">
        <f>'3C. Tel. - Revenue Drivers - 1 '!O274</f>
        <v/>
      </c>
      <c r="AW30" s="104">
        <f>'3C. Tel. - Revenue Drivers - 1 '!P274</f>
        <v/>
      </c>
      <c r="AX30" s="104">
        <f>'3C. Tel. - Revenue Drivers - 1 '!Q274</f>
        <v/>
      </c>
      <c r="AY30" s="104">
        <f>'3C. Tel. - Revenue Drivers - 1 '!R274</f>
        <v/>
      </c>
      <c r="AZ30" s="104">
        <f>'3C. Tel. - Revenue Drivers - 1 '!S274</f>
        <v/>
      </c>
      <c r="BA30" s="104">
        <f>'3C. Tel. - Revenue Drivers - 1 '!T274</f>
        <v/>
      </c>
      <c r="BB30" s="104">
        <f>'3C. Tel. - Revenue Drivers - 1 '!U274</f>
        <v/>
      </c>
      <c r="BC30" s="104">
        <f>'3C. Tel. - Revenue Drivers - 1 '!J280</f>
        <v/>
      </c>
      <c r="BD30" s="104">
        <f>'3C. Tel. - Revenue Drivers - 1 '!K280</f>
        <v/>
      </c>
      <c r="BE30" s="104">
        <f>'3C. Tel. - Revenue Drivers - 1 '!L280</f>
        <v/>
      </c>
      <c r="BF30" s="104">
        <f>'3C. Tel. - Revenue Drivers - 1 '!M280</f>
        <v/>
      </c>
      <c r="BG30" s="104">
        <f>'3C. Tel. - Revenue Drivers - 1 '!N280</f>
        <v/>
      </c>
      <c r="BH30" s="104">
        <f>'3C. Tel. - Revenue Drivers - 1 '!O280</f>
        <v/>
      </c>
      <c r="BI30" s="104">
        <f>'3C. Tel. - Revenue Drivers - 1 '!P280</f>
        <v/>
      </c>
      <c r="BJ30" s="104">
        <f>'3C. Tel. - Revenue Drivers - 1 '!Q280</f>
        <v/>
      </c>
      <c r="BK30" s="104">
        <f>'3C. Tel. - Revenue Drivers - 1 '!R280</f>
        <v/>
      </c>
      <c r="BL30" s="104">
        <f>'3C. Tel. - Revenue Drivers - 1 '!S280</f>
        <v/>
      </c>
      <c r="BM30" s="104">
        <f>'3C. Tel. - Revenue Drivers - 1 '!T280</f>
        <v/>
      </c>
      <c r="BN30" s="104">
        <f>'3C. Tel. - Revenue Drivers - 1 '!U280</f>
        <v/>
      </c>
    </row>
    <row r="31" ht="12.75" customFormat="1" customHeight="1" s="1917">
      <c r="B31" s="55" t="inlineStr">
        <is>
          <t>Billable Hours x Average Active Phones in the Market</t>
        </is>
      </c>
      <c r="C31" s="102" t="n"/>
      <c r="D31" s="102" t="n"/>
      <c r="E31" s="103" t="n"/>
      <c r="F31" s="55" t="n"/>
      <c r="G31" s="105">
        <f>'3C. Tel. - Revenue Drivers - 1 '!J191</f>
        <v/>
      </c>
      <c r="H31" s="105">
        <f>'3C. Tel. - Revenue Drivers - 1 '!K191</f>
        <v/>
      </c>
      <c r="I31" s="105">
        <f>'3C. Tel. - Revenue Drivers - 1 '!L191</f>
        <v/>
      </c>
      <c r="J31" s="105">
        <f>'3C. Tel. - Revenue Drivers - 1 '!M191</f>
        <v/>
      </c>
      <c r="K31" s="105">
        <f>'3C. Tel. - Revenue Drivers - 1 '!N191</f>
        <v/>
      </c>
      <c r="L31" s="105">
        <f>'3C. Tel. - Revenue Drivers - 1 '!O191</f>
        <v/>
      </c>
      <c r="M31" s="105">
        <f>'3C. Tel. - Revenue Drivers - 1 '!P191</f>
        <v/>
      </c>
      <c r="N31" s="105">
        <f>'3C. Tel. - Revenue Drivers - 1 '!Q191</f>
        <v/>
      </c>
      <c r="O31" s="105">
        <f>'3C. Tel. - Revenue Drivers - 1 '!R191</f>
        <v/>
      </c>
      <c r="P31" s="105">
        <f>'3C. Tel. - Revenue Drivers - 1 '!S191</f>
        <v/>
      </c>
      <c r="Q31" s="105">
        <f>'3C. Tel. - Revenue Drivers - 1 '!T191</f>
        <v/>
      </c>
      <c r="R31" s="105">
        <f>'3C. Tel. - Revenue Drivers - 1 '!U191</f>
        <v/>
      </c>
      <c r="S31" s="105">
        <f>'3C. Tel. - Revenue Drivers - 1 '!J197</f>
        <v/>
      </c>
      <c r="T31" s="105">
        <f>'3C. Tel. - Revenue Drivers - 1 '!K197</f>
        <v/>
      </c>
      <c r="U31" s="105">
        <f>'3C. Tel. - Revenue Drivers - 1 '!L197</f>
        <v/>
      </c>
      <c r="V31" s="105">
        <f>'3C. Tel. - Revenue Drivers - 1 '!M197</f>
        <v/>
      </c>
      <c r="W31" s="105">
        <f>'3C. Tel. - Revenue Drivers - 1 '!N197</f>
        <v/>
      </c>
      <c r="X31" s="105">
        <f>'3C. Tel. - Revenue Drivers - 1 '!O197</f>
        <v/>
      </c>
      <c r="Y31" s="105">
        <f>'3C. Tel. - Revenue Drivers - 1 '!P197</f>
        <v/>
      </c>
      <c r="Z31" s="105">
        <f>'3C. Tel. - Revenue Drivers - 1 '!Q197</f>
        <v/>
      </c>
      <c r="AA31" s="105">
        <f>'3C. Tel. - Revenue Drivers - 1 '!R197</f>
        <v/>
      </c>
      <c r="AB31" s="105">
        <f>'3C. Tel. - Revenue Drivers - 1 '!S197</f>
        <v/>
      </c>
      <c r="AC31" s="105">
        <f>'3C. Tel. - Revenue Drivers - 1 '!T197</f>
        <v/>
      </c>
      <c r="AD31" s="105">
        <f>'3C. Tel. - Revenue Drivers - 1 '!U197</f>
        <v/>
      </c>
      <c r="AE31" s="105">
        <f>'3C. Tel. - Revenue Drivers - 1 '!J203</f>
        <v/>
      </c>
      <c r="AF31" s="105">
        <f>'3C. Tel. - Revenue Drivers - 1 '!K203</f>
        <v/>
      </c>
      <c r="AG31" s="105">
        <f>'3C. Tel. - Revenue Drivers - 1 '!L203</f>
        <v/>
      </c>
      <c r="AH31" s="105">
        <f>'3C. Tel. - Revenue Drivers - 1 '!M203</f>
        <v/>
      </c>
      <c r="AI31" s="105">
        <f>'3C. Tel. - Revenue Drivers - 1 '!N203</f>
        <v/>
      </c>
      <c r="AJ31" s="105">
        <f>'3C. Tel. - Revenue Drivers - 1 '!O203</f>
        <v/>
      </c>
      <c r="AK31" s="105">
        <f>'3C. Tel. - Revenue Drivers - 1 '!P203</f>
        <v/>
      </c>
      <c r="AL31" s="105">
        <f>'3C. Tel. - Revenue Drivers - 1 '!Q203</f>
        <v/>
      </c>
      <c r="AM31" s="105">
        <f>'3C. Tel. - Revenue Drivers - 1 '!R203</f>
        <v/>
      </c>
      <c r="AN31" s="105">
        <f>'3C. Tel. - Revenue Drivers - 1 '!S203</f>
        <v/>
      </c>
      <c r="AO31" s="105">
        <f>'3C. Tel. - Revenue Drivers - 1 '!T203</f>
        <v/>
      </c>
      <c r="AP31" s="105">
        <f>'3C. Tel. - Revenue Drivers - 1 '!U203</f>
        <v/>
      </c>
      <c r="AQ31" s="105">
        <f>'3C. Tel. - Revenue Drivers - 1 '!J209</f>
        <v/>
      </c>
      <c r="AR31" s="105">
        <f>'3C. Tel. - Revenue Drivers - 1 '!K209</f>
        <v/>
      </c>
      <c r="AS31" s="105">
        <f>'3C. Tel. - Revenue Drivers - 1 '!L209</f>
        <v/>
      </c>
      <c r="AT31" s="105">
        <f>'3C. Tel. - Revenue Drivers - 1 '!M209</f>
        <v/>
      </c>
      <c r="AU31" s="105">
        <f>'3C. Tel. - Revenue Drivers - 1 '!N209</f>
        <v/>
      </c>
      <c r="AV31" s="105">
        <f>'3C. Tel. - Revenue Drivers - 1 '!O209</f>
        <v/>
      </c>
      <c r="AW31" s="105">
        <f>'3C. Tel. - Revenue Drivers - 1 '!P209</f>
        <v/>
      </c>
      <c r="AX31" s="105">
        <f>'3C. Tel. - Revenue Drivers - 1 '!Q209</f>
        <v/>
      </c>
      <c r="AY31" s="105">
        <f>'3C. Tel. - Revenue Drivers - 1 '!R209</f>
        <v/>
      </c>
      <c r="AZ31" s="105">
        <f>'3C. Tel. - Revenue Drivers - 1 '!S209</f>
        <v/>
      </c>
      <c r="BA31" s="105">
        <f>'3C. Tel. - Revenue Drivers - 1 '!T209</f>
        <v/>
      </c>
      <c r="BB31" s="105">
        <f>'3C. Tel. - Revenue Drivers - 1 '!U209</f>
        <v/>
      </c>
      <c r="BC31" s="105">
        <f>'3C. Tel. - Revenue Drivers - 1 '!J215</f>
        <v/>
      </c>
      <c r="BD31" s="105">
        <f>'3C. Tel. - Revenue Drivers - 1 '!K215</f>
        <v/>
      </c>
      <c r="BE31" s="105">
        <f>'3C. Tel. - Revenue Drivers - 1 '!L215</f>
        <v/>
      </c>
      <c r="BF31" s="105">
        <f>'3C. Tel. - Revenue Drivers - 1 '!M215</f>
        <v/>
      </c>
      <c r="BG31" s="105">
        <f>'3C. Tel. - Revenue Drivers - 1 '!N215</f>
        <v/>
      </c>
      <c r="BH31" s="105">
        <f>'3C. Tel. - Revenue Drivers - 1 '!O215</f>
        <v/>
      </c>
      <c r="BI31" s="105">
        <f>'3C. Tel. - Revenue Drivers - 1 '!P215</f>
        <v/>
      </c>
      <c r="BJ31" s="105">
        <f>'3C. Tel. - Revenue Drivers - 1 '!Q215</f>
        <v/>
      </c>
      <c r="BK31" s="105">
        <f>'3C. Tel. - Revenue Drivers - 1 '!R215</f>
        <v/>
      </c>
      <c r="BL31" s="105">
        <f>'3C. Tel. - Revenue Drivers - 1 '!S215</f>
        <v/>
      </c>
      <c r="BM31" s="105">
        <f>'3C. Tel. - Revenue Drivers - 1 '!T215</f>
        <v/>
      </c>
      <c r="BN31" s="105">
        <f>'3C. Tel. - Revenue Drivers - 1 '!U215</f>
        <v/>
      </c>
    </row>
    <row r="32" ht="15" customFormat="1" customHeight="1" s="1917"/>
    <row r="33" ht="12.75" customFormat="1" customHeight="1" s="1917">
      <c r="B33" s="85" t="inlineStr">
        <is>
          <t>Revenue</t>
        </is>
      </c>
      <c r="C33" s="102" t="n"/>
      <c r="D33" s="1916" t="inlineStr">
        <is>
          <t>Revenue Per Phone Per Hour</t>
        </is>
      </c>
      <c r="F33" s="1016">
        <f>'3D. Tel. - Revenue Drivers - 2'!N21</f>
        <v/>
      </c>
      <c r="G33" s="75">
        <f>G31*$G$30*'3C. Tel. - Revenue Drivers - 1 '!J229</f>
        <v/>
      </c>
      <c r="H33" s="75">
        <f>H31*$H$30*'3C. Tel. - Revenue Drivers - 1 '!J229</f>
        <v/>
      </c>
      <c r="I33" s="75">
        <f>I31*$I$30*'3C. Tel. - Revenue Drivers - 1 '!J229</f>
        <v/>
      </c>
      <c r="J33" s="75">
        <f>J31*$J$30*'3C. Tel. - Revenue Drivers - 1 '!J229</f>
        <v/>
      </c>
      <c r="K33" s="75">
        <f>K31*$K$30*'3C. Tel. - Revenue Drivers - 1 '!J229</f>
        <v/>
      </c>
      <c r="L33" s="75">
        <f>L31*$L$30*'3C. Tel. - Revenue Drivers - 1 '!J229</f>
        <v/>
      </c>
      <c r="M33" s="75">
        <f>M31*$M$30*'3C. Tel. - Revenue Drivers - 1 '!J229</f>
        <v/>
      </c>
      <c r="N33" s="75">
        <f>N31*$N$30*'3C. Tel. - Revenue Drivers - 1 '!J229</f>
        <v/>
      </c>
      <c r="O33" s="75">
        <f>O31*$O$30*'3C. Tel. - Revenue Drivers - 1 '!J229</f>
        <v/>
      </c>
      <c r="P33" s="75">
        <f>P31*$P$30*'3C. Tel. - Revenue Drivers - 1 '!J229</f>
        <v/>
      </c>
      <c r="Q33" s="75">
        <f>Q31*$Q$30*'3C. Tel. - Revenue Drivers - 1 '!J229</f>
        <v/>
      </c>
      <c r="R33" s="75">
        <f>R31*$R$30*'3C. Tel. - Revenue Drivers - 1 '!J229</f>
        <v/>
      </c>
      <c r="S33" s="75">
        <f>S31*$S$30*'3C. Tel. - Revenue Drivers - 1 '!J231</f>
        <v/>
      </c>
      <c r="T33" s="75">
        <f>T31*$T$30*'3C. Tel. - Revenue Drivers - 1 '!J231</f>
        <v/>
      </c>
      <c r="U33" s="75">
        <f>U31*$U$30*'3C. Tel. - Revenue Drivers - 1 '!J231</f>
        <v/>
      </c>
      <c r="V33" s="75">
        <f>V31*$V$30*'3C. Tel. - Revenue Drivers - 1 '!J231</f>
        <v/>
      </c>
      <c r="W33" s="75">
        <f>W31*$W$30*'3C. Tel. - Revenue Drivers - 1 '!J231</f>
        <v/>
      </c>
      <c r="X33" s="75">
        <f>X31*$X$30*'3C. Tel. - Revenue Drivers - 1 '!J231</f>
        <v/>
      </c>
      <c r="Y33" s="75">
        <f>Y31*$Y$30*'3C. Tel. - Revenue Drivers - 1 '!J231</f>
        <v/>
      </c>
      <c r="Z33" s="75">
        <f>Z31*$Z$30*'3C. Tel. - Revenue Drivers - 1 '!J231</f>
        <v/>
      </c>
      <c r="AA33" s="75">
        <f>AA31*$AA$30*'3C. Tel. - Revenue Drivers - 1 '!J231</f>
        <v/>
      </c>
      <c r="AB33" s="106">
        <f>AB31*$AB$30*'3C. Tel. - Revenue Drivers - 1 '!J231</f>
        <v/>
      </c>
      <c r="AC33" s="106">
        <f>AC31*$AC$30*'3C. Tel. - Revenue Drivers - 1 '!J231</f>
        <v/>
      </c>
      <c r="AD33" s="106">
        <f>AD31*$AD$30*'3C. Tel. - Revenue Drivers - 1 '!J231</f>
        <v/>
      </c>
      <c r="AE33" s="106">
        <f>AE31*$AE$30*'3C. Tel. - Revenue Drivers - 1 '!J233</f>
        <v/>
      </c>
      <c r="AF33" s="106">
        <f>AF31*$AF$30*'3C. Tel. - Revenue Drivers - 1 '!J233</f>
        <v/>
      </c>
      <c r="AG33" s="106">
        <f>AG31*$AG$30*'3C. Tel. - Revenue Drivers - 1 '!J233</f>
        <v/>
      </c>
      <c r="AH33" s="106">
        <f>AH31*$AH$30*'3C. Tel. - Revenue Drivers - 1 '!J233</f>
        <v/>
      </c>
      <c r="AI33" s="106">
        <f>AI31*$AI$30*'3C. Tel. - Revenue Drivers - 1 '!J233</f>
        <v/>
      </c>
      <c r="AJ33" s="106">
        <f>AJ31*$AJ$30*'3C. Tel. - Revenue Drivers - 1 '!J233</f>
        <v/>
      </c>
      <c r="AK33" s="106">
        <f>AK31*$AK$30*'3C. Tel. - Revenue Drivers - 1 '!J233</f>
        <v/>
      </c>
      <c r="AL33" s="106">
        <f>AL31*$AL$30*'3C. Tel. - Revenue Drivers - 1 '!J233</f>
        <v/>
      </c>
      <c r="AM33" s="106">
        <f>AM31*$AM$30*'3C. Tel. - Revenue Drivers - 1 '!J233</f>
        <v/>
      </c>
      <c r="AN33" s="106">
        <f>AN31*$AN$30*'3C. Tel. - Revenue Drivers - 1 '!J233</f>
        <v/>
      </c>
      <c r="AO33" s="106">
        <f>AO31*$AO$30*'3C. Tel. - Revenue Drivers - 1 '!J233</f>
        <v/>
      </c>
      <c r="AP33" s="106">
        <f>AP31*$AP$30*'3C. Tel. - Revenue Drivers - 1 '!J233</f>
        <v/>
      </c>
      <c r="AQ33" s="106">
        <f>AQ31*$AQ$30*'3C. Tel. - Revenue Drivers - 1 '!J235</f>
        <v/>
      </c>
      <c r="AR33" s="106">
        <f>AR31*$AR$30*'3C. Tel. - Revenue Drivers - 1 '!J235</f>
        <v/>
      </c>
      <c r="AS33" s="106">
        <f>AS31*$AS$30*'3C. Tel. - Revenue Drivers - 1 '!J235</f>
        <v/>
      </c>
      <c r="AT33" s="106">
        <f>AT31*$AT$30*'3C. Tel. - Revenue Drivers - 1 '!J235</f>
        <v/>
      </c>
      <c r="AU33" s="106">
        <f>AU31*$AU$30*'3C. Tel. - Revenue Drivers - 1 '!J235</f>
        <v/>
      </c>
      <c r="AV33" s="106">
        <f>AV31*$AV$30*'3C. Tel. - Revenue Drivers - 1 '!J235</f>
        <v/>
      </c>
      <c r="AW33" s="106">
        <f>AW31*$AW$30*'3C. Tel. - Revenue Drivers - 1 '!J235</f>
        <v/>
      </c>
      <c r="AX33" s="106">
        <f>AX31*$AX$30*'3C. Tel. - Revenue Drivers - 1 '!J235</f>
        <v/>
      </c>
      <c r="AY33" s="106">
        <f>AY31*$AY$30*'3C. Tel. - Revenue Drivers - 1 '!J235</f>
        <v/>
      </c>
      <c r="AZ33" s="106">
        <f>AZ31*$AZ$30*'3C. Tel. - Revenue Drivers - 1 '!J235</f>
        <v/>
      </c>
      <c r="BA33" s="106">
        <f>BA31*$BA$30*'3C. Tel. - Revenue Drivers - 1 '!J235</f>
        <v/>
      </c>
      <c r="BB33" s="106">
        <f>BB31*$BB$30*'3C. Tel. - Revenue Drivers - 1 '!J235</f>
        <v/>
      </c>
      <c r="BC33" s="106">
        <f>BC31*$BC$30*'3C. Tel. - Revenue Drivers - 1 '!J237</f>
        <v/>
      </c>
      <c r="BD33" s="106">
        <f>BD31*$BD$30*'3C. Tel. - Revenue Drivers - 1 '!J237</f>
        <v/>
      </c>
      <c r="BE33" s="106">
        <f>BE31*$BE$30*'3C. Tel. - Revenue Drivers - 1 '!J237</f>
        <v/>
      </c>
      <c r="BF33" s="106">
        <f>BF31*$BF$30*'3C. Tel. - Revenue Drivers - 1 '!J237</f>
        <v/>
      </c>
      <c r="BG33" s="106">
        <f>BG31*$BG$30*'3C. Tel. - Revenue Drivers - 1 '!J237</f>
        <v/>
      </c>
      <c r="BH33" s="106">
        <f>BH31*$BH$30*'3C. Tel. - Revenue Drivers - 1 '!J237</f>
        <v/>
      </c>
      <c r="BI33" s="106">
        <f>BI31*$BI$30*'3C. Tel. - Revenue Drivers - 1 '!J237</f>
        <v/>
      </c>
      <c r="BJ33" s="106">
        <f>BJ31*$BJ$30*'3C. Tel. - Revenue Drivers - 1 '!J237</f>
        <v/>
      </c>
      <c r="BK33" s="106">
        <f>BK31*$BK$30*'3C. Tel. - Revenue Drivers - 1 '!J237</f>
        <v/>
      </c>
      <c r="BL33" s="106">
        <f>BL31*$BL$30*'3C. Tel. - Revenue Drivers - 1 '!J237</f>
        <v/>
      </c>
      <c r="BM33" s="106">
        <f>BM31*$BM$30*'3C. Tel. - Revenue Drivers - 1 '!J237</f>
        <v/>
      </c>
      <c r="BN33" s="106">
        <f>BN31*$BN$30*'3C. Tel. - Revenue Drivers - 1 '!J237</f>
        <v/>
      </c>
      <c r="BO33" s="55" t="n"/>
    </row>
    <row r="34" ht="12.75" customFormat="1" customHeight="1" s="1917">
      <c r="B34" s="107" t="n"/>
      <c r="C34" s="1017" t="n"/>
      <c r="D34" s="1017" t="n"/>
      <c r="E34" s="55" t="n"/>
      <c r="F34" s="108" t="n"/>
      <c r="G34" s="75" t="n"/>
      <c r="H34" s="75" t="n"/>
      <c r="I34" s="75" t="n"/>
      <c r="J34" s="75" t="n"/>
      <c r="K34" s="75" t="n"/>
      <c r="L34" s="75" t="n"/>
      <c r="M34" s="75" t="n"/>
      <c r="N34" s="75" t="n"/>
      <c r="O34" s="75" t="n"/>
      <c r="P34" s="75" t="n"/>
      <c r="Q34" s="75" t="n"/>
      <c r="R34" s="75" t="n"/>
      <c r="S34" s="83" t="n"/>
      <c r="T34" s="75" t="n"/>
      <c r="U34" s="75" t="n"/>
      <c r="V34" s="75" t="n"/>
      <c r="W34" s="75" t="n"/>
      <c r="X34" s="75" t="n"/>
      <c r="Y34" s="75" t="n"/>
      <c r="Z34" s="75" t="n"/>
      <c r="AA34" s="75" t="n"/>
      <c r="AB34" s="75" t="n"/>
      <c r="AC34" s="75" t="n"/>
      <c r="AD34" s="75" t="n"/>
      <c r="AE34" s="75" t="n"/>
      <c r="AF34" s="75" t="n"/>
      <c r="AG34" s="75" t="n"/>
      <c r="AH34" s="75" t="n"/>
      <c r="AI34" s="75" t="n"/>
      <c r="AJ34" s="75" t="n"/>
      <c r="AK34" s="75" t="n"/>
      <c r="AL34" s="75" t="n"/>
      <c r="AM34" s="75" t="n"/>
      <c r="AN34" s="75" t="n"/>
      <c r="AO34" s="75" t="n"/>
      <c r="AP34" s="75" t="n"/>
      <c r="AQ34" s="75" t="n"/>
      <c r="AR34" s="75" t="n"/>
      <c r="AS34" s="75" t="n"/>
      <c r="AT34" s="75" t="n"/>
      <c r="AU34" s="75" t="n"/>
      <c r="AV34" s="75" t="n"/>
      <c r="AW34" s="75" t="n"/>
      <c r="AX34" s="75" t="n"/>
      <c r="AY34" s="75" t="n"/>
      <c r="AZ34" s="75" t="n"/>
      <c r="BA34" s="75" t="n"/>
      <c r="BB34" s="75" t="n"/>
      <c r="BC34" s="75" t="n"/>
      <c r="BD34" s="75" t="n"/>
      <c r="BE34" s="75" t="n"/>
      <c r="BF34" s="75" t="n"/>
      <c r="BG34" s="75" t="n"/>
      <c r="BH34" s="75" t="n"/>
      <c r="BI34" s="75" t="n"/>
      <c r="BJ34" s="75" t="n"/>
      <c r="BK34" s="75" t="n"/>
      <c r="BL34" s="75" t="n"/>
      <c r="BM34" s="75" t="n"/>
      <c r="BN34" s="75" t="n"/>
      <c r="BO34" s="55" t="n"/>
    </row>
    <row r="35" ht="12.75" customFormat="1" customHeight="1" s="1917">
      <c r="B35" s="85" t="inlineStr">
        <is>
          <t>COGS (CMO)</t>
        </is>
      </c>
      <c r="C35" s="102" t="n"/>
      <c r="D35" s="102" t="n"/>
      <c r="E35" s="103" t="n"/>
      <c r="F35" s="109" t="inlineStr">
        <is>
          <t xml:space="preserve">$690.84 per Unit to manufacture &amp; $15 shipping </t>
        </is>
      </c>
      <c r="G35" s="1018">
        <f>'Ref. 2-Bill of Materials Est'!C16+15</f>
        <v/>
      </c>
      <c r="H35" s="110" t="n"/>
      <c r="I35" s="110" t="n"/>
      <c r="J35" s="75" t="n"/>
      <c r="K35" s="111" t="n"/>
      <c r="L35" s="75" t="n"/>
      <c r="M35" s="75" t="n"/>
      <c r="N35" s="75" t="n"/>
      <c r="O35" s="75" t="n"/>
      <c r="P35" s="75" t="n"/>
      <c r="Q35" s="75" t="n"/>
      <c r="R35" s="75" t="n"/>
      <c r="S35" s="1019">
        <f>G35*1.02</f>
        <v/>
      </c>
      <c r="T35" s="75" t="n"/>
      <c r="U35" s="75" t="n"/>
      <c r="V35" s="75" t="n"/>
      <c r="W35" s="75" t="n"/>
      <c r="X35" s="75" t="n"/>
      <c r="Y35" s="75" t="n"/>
      <c r="Z35" s="75" t="n"/>
      <c r="AA35" s="75" t="n"/>
      <c r="AB35" s="75" t="n"/>
      <c r="AC35" s="75" t="n"/>
      <c r="AD35" s="75" t="n"/>
      <c r="AE35" s="1019">
        <f>S35*1.02</f>
        <v/>
      </c>
      <c r="AF35" s="75" t="n"/>
      <c r="AG35" s="75" t="n"/>
      <c r="AH35" s="75" t="n"/>
      <c r="AI35" s="75" t="n"/>
      <c r="AJ35" s="75" t="n"/>
      <c r="AK35" s="75" t="n"/>
      <c r="AL35" s="75" t="n"/>
      <c r="AM35" s="75" t="n"/>
      <c r="AN35" s="75" t="n"/>
      <c r="AO35" s="75" t="n"/>
      <c r="AP35" s="75" t="n"/>
      <c r="AQ35" s="1019">
        <f>AE35*1.02</f>
        <v/>
      </c>
      <c r="AR35" s="75" t="n"/>
      <c r="AS35" s="75" t="n"/>
      <c r="AT35" s="75" t="n"/>
      <c r="AU35" s="75" t="n"/>
      <c r="AV35" s="75" t="n"/>
      <c r="AW35" s="75" t="n"/>
      <c r="AX35" s="75" t="n"/>
      <c r="AY35" s="75" t="n"/>
      <c r="AZ35" s="75" t="n"/>
      <c r="BA35" s="75" t="n"/>
      <c r="BB35" s="75" t="n"/>
      <c r="BC35" s="1019">
        <f>AQ35*1.02</f>
        <v/>
      </c>
      <c r="BD35" s="75" t="n"/>
      <c r="BE35" s="75" t="n"/>
      <c r="BF35" s="75" t="n"/>
      <c r="BG35" s="75" t="n"/>
      <c r="BH35" s="75" t="n"/>
      <c r="BI35" s="75" t="n"/>
      <c r="BJ35" s="75" t="n"/>
      <c r="BK35" s="75" t="n"/>
      <c r="BL35" s="75" t="n"/>
      <c r="BM35" s="75" t="n"/>
      <c r="BN35" s="75" t="n"/>
      <c r="BO35" s="1019">
        <f>BC35*1.02</f>
        <v/>
      </c>
    </row>
    <row r="36" ht="12.75" customFormat="1" customHeight="1" s="1917">
      <c r="B36" s="85" t="n"/>
      <c r="C36" s="102" t="n"/>
      <c r="D36" s="102" t="n"/>
      <c r="E36" s="98" t="n"/>
      <c r="F36" s="55" t="n"/>
      <c r="G36" s="75">
        <f>G29*$G35</f>
        <v/>
      </c>
      <c r="H36" s="75">
        <f>H29*$G35</f>
        <v/>
      </c>
      <c r="I36" s="75">
        <f>I29*$G35</f>
        <v/>
      </c>
      <c r="J36" s="75">
        <f>J29*$G35</f>
        <v/>
      </c>
      <c r="K36" s="75">
        <f>K29*$G35</f>
        <v/>
      </c>
      <c r="L36" s="75">
        <f>L29*$G35</f>
        <v/>
      </c>
      <c r="M36" s="75">
        <f>M29*$G35</f>
        <v/>
      </c>
      <c r="N36" s="75">
        <f>N29*$G35</f>
        <v/>
      </c>
      <c r="O36" s="75">
        <f>O29*$G35</f>
        <v/>
      </c>
      <c r="P36" s="75">
        <f>P29*$G35</f>
        <v/>
      </c>
      <c r="Q36" s="75">
        <f>Q29*$G35</f>
        <v/>
      </c>
      <c r="R36" s="75">
        <f>R29*$G35</f>
        <v/>
      </c>
      <c r="S36" s="75">
        <f>S29*$S35</f>
        <v/>
      </c>
      <c r="T36" s="75">
        <f>T29*$S35</f>
        <v/>
      </c>
      <c r="U36" s="75">
        <f>U29*$S35</f>
        <v/>
      </c>
      <c r="V36" s="75">
        <f>V29*$S35</f>
        <v/>
      </c>
      <c r="W36" s="75">
        <f>W29*$S35</f>
        <v/>
      </c>
      <c r="X36" s="75">
        <f>X29*$S35</f>
        <v/>
      </c>
      <c r="Y36" s="75">
        <f>Y29*$S35</f>
        <v/>
      </c>
      <c r="Z36" s="75">
        <f>Z29*$S35</f>
        <v/>
      </c>
      <c r="AA36" s="75">
        <f>AA29*$S35</f>
        <v/>
      </c>
      <c r="AB36" s="75">
        <f>AB29*$S35</f>
        <v/>
      </c>
      <c r="AC36" s="75">
        <f>AC29*$S35</f>
        <v/>
      </c>
      <c r="AD36" s="75">
        <f>AD29*$S35</f>
        <v/>
      </c>
      <c r="AE36" s="75">
        <f>AE29*$AE35</f>
        <v/>
      </c>
      <c r="AF36" s="75">
        <f>AF29*$AE35</f>
        <v/>
      </c>
      <c r="AG36" s="75">
        <f>AG29*$AE35</f>
        <v/>
      </c>
      <c r="AH36" s="75">
        <f>AH29*$AE35</f>
        <v/>
      </c>
      <c r="AI36" s="75">
        <f>AI29*$AE35</f>
        <v/>
      </c>
      <c r="AJ36" s="75">
        <f>AJ29*$AE35</f>
        <v/>
      </c>
      <c r="AK36" s="75">
        <f>AK29*$AE35</f>
        <v/>
      </c>
      <c r="AL36" s="75">
        <f>AL29*$AE35</f>
        <v/>
      </c>
      <c r="AM36" s="75">
        <f>AM29*$AE35</f>
        <v/>
      </c>
      <c r="AN36" s="75">
        <f>AN29*$AE35</f>
        <v/>
      </c>
      <c r="AO36" s="75">
        <f>AO29*$AE35</f>
        <v/>
      </c>
      <c r="AP36" s="75">
        <f>AP29*$AE35</f>
        <v/>
      </c>
      <c r="AQ36" s="75">
        <f>AQ29*$AQ35</f>
        <v/>
      </c>
      <c r="AR36" s="75">
        <f>AR29*$AQ35</f>
        <v/>
      </c>
      <c r="AS36" s="75">
        <f>AS29*$AQ35</f>
        <v/>
      </c>
      <c r="AT36" s="75">
        <f>AT29*$AQ35</f>
        <v/>
      </c>
      <c r="AU36" s="75">
        <f>AU29*$AQ35</f>
        <v/>
      </c>
      <c r="AV36" s="75">
        <f>AV29*$AQ35</f>
        <v/>
      </c>
      <c r="AW36" s="75">
        <f>AW29*$AQ35</f>
        <v/>
      </c>
      <c r="AX36" s="75">
        <f>AX29*$AQ35</f>
        <v/>
      </c>
      <c r="AY36" s="75">
        <f>AY29*$AQ35</f>
        <v/>
      </c>
      <c r="AZ36" s="75">
        <f>AZ29*$AQ35</f>
        <v/>
      </c>
      <c r="BA36" s="75">
        <f>BA29*$AQ35</f>
        <v/>
      </c>
      <c r="BB36" s="75">
        <f>BB29*$AQ35</f>
        <v/>
      </c>
      <c r="BC36" s="75">
        <f>BC29*$BC35</f>
        <v/>
      </c>
      <c r="BD36" s="75">
        <f>BD29*$BC35</f>
        <v/>
      </c>
      <c r="BE36" s="75">
        <f>BE29*$BC35</f>
        <v/>
      </c>
      <c r="BF36" s="75">
        <f>BF29*$BC35</f>
        <v/>
      </c>
      <c r="BG36" s="75">
        <f>BG29*$BC35</f>
        <v/>
      </c>
      <c r="BH36" s="75">
        <f>BH29*$BC35</f>
        <v/>
      </c>
      <c r="BI36" s="75">
        <f>BI29*$BC35</f>
        <v/>
      </c>
      <c r="BJ36" s="75">
        <f>BJ29*$BC35</f>
        <v/>
      </c>
      <c r="BK36" s="75">
        <f>BK29*$BC35</f>
        <v/>
      </c>
      <c r="BL36" s="75">
        <f>BL29*$BC35</f>
        <v/>
      </c>
      <c r="BM36" s="75">
        <f>BM29*$BC35</f>
        <v/>
      </c>
      <c r="BN36" s="75">
        <f>BN29*$BC35</f>
        <v/>
      </c>
      <c r="BO36" s="55" t="n"/>
    </row>
    <row r="37" ht="12.75" customFormat="1" customHeight="1" s="1917">
      <c r="B37" s="85" t="inlineStr">
        <is>
          <t>Gross Profit %</t>
        </is>
      </c>
      <c r="C37" s="102" t="n"/>
      <c r="D37" s="102" t="n"/>
      <c r="E37" s="103" t="n"/>
      <c r="F37" s="97" t="n"/>
      <c r="G37" s="112">
        <f>+(G33-G36)/G33</f>
        <v/>
      </c>
      <c r="H37" s="112">
        <f>+(H33-H36)/H33</f>
        <v/>
      </c>
      <c r="I37" s="112">
        <f>+(I33-I36)/I33</f>
        <v/>
      </c>
      <c r="J37" s="112">
        <f>+(J33-J36)/J33</f>
        <v/>
      </c>
      <c r="K37" s="112">
        <f>+(K33-K36)/K33</f>
        <v/>
      </c>
      <c r="L37" s="112">
        <f>+(L33-L36)/L33</f>
        <v/>
      </c>
      <c r="M37" s="112">
        <f>+(M33-M36)/M33</f>
        <v/>
      </c>
      <c r="N37" s="112">
        <f>+(N33-N36)/N33</f>
        <v/>
      </c>
      <c r="O37" s="112">
        <f>+(O33-O36)/O33</f>
        <v/>
      </c>
      <c r="P37" s="112">
        <f>+(P33-P36)/P33</f>
        <v/>
      </c>
      <c r="Q37" s="112">
        <f>+(Q33-Q36)/Q33</f>
        <v/>
      </c>
      <c r="R37" s="112">
        <f>+(R33-R36)/R33</f>
        <v/>
      </c>
      <c r="S37" s="112">
        <f>+(S33-S36)/S33</f>
        <v/>
      </c>
      <c r="T37" s="112">
        <f>+(T33-T36)/T33</f>
        <v/>
      </c>
      <c r="U37" s="112">
        <f>+(U33-U36)/U33</f>
        <v/>
      </c>
      <c r="V37" s="112">
        <f>+(V33-V36)/V33</f>
        <v/>
      </c>
      <c r="W37" s="112">
        <f>+(W33-W36)/W33</f>
        <v/>
      </c>
      <c r="X37" s="112">
        <f>+(X33-X36)/X33</f>
        <v/>
      </c>
      <c r="Y37" s="112">
        <f>+(Y33-Y36)/Y33</f>
        <v/>
      </c>
      <c r="Z37" s="112">
        <f>+(Z33-Z36)/Z33</f>
        <v/>
      </c>
      <c r="AA37" s="112">
        <f>+(AA33-AA36)/AA33</f>
        <v/>
      </c>
      <c r="AB37" s="112">
        <f>+(AB33-AB36)/AB33</f>
        <v/>
      </c>
      <c r="AC37" s="112">
        <f>+(AC33-AC36)/AC33</f>
        <v/>
      </c>
      <c r="AD37" s="112">
        <f>+(AD33-AD36)/AD33</f>
        <v/>
      </c>
      <c r="AE37" s="112">
        <f>+(AE33-AE36)/AE33</f>
        <v/>
      </c>
      <c r="AF37" s="112">
        <f>+(AF33-AF36)/AF33</f>
        <v/>
      </c>
      <c r="AG37" s="112">
        <f>+(AG33-AG36)/AG33</f>
        <v/>
      </c>
      <c r="AH37" s="112">
        <f>+(AH33-AH36)/AH33</f>
        <v/>
      </c>
      <c r="AI37" s="112">
        <f>+(AI33-AI36)/AI33</f>
        <v/>
      </c>
      <c r="AJ37" s="112">
        <f>+(AJ33-AJ36)/AJ33</f>
        <v/>
      </c>
      <c r="AK37" s="112">
        <f>+(AK33-AK36)/AK33</f>
        <v/>
      </c>
      <c r="AL37" s="112">
        <f>+(AL33-AL36)/AL33</f>
        <v/>
      </c>
      <c r="AM37" s="112">
        <f>+(AM33-AM36)/AM33</f>
        <v/>
      </c>
      <c r="AN37" s="112">
        <f>+(AN33-AN36)/AN33</f>
        <v/>
      </c>
      <c r="AO37" s="112">
        <f>+(AO33-AO36)/AO33</f>
        <v/>
      </c>
      <c r="AP37" s="112">
        <f>+(AP33-AP36)/AP33</f>
        <v/>
      </c>
      <c r="AQ37" s="112">
        <f>+(AQ33-AQ36)/AQ33</f>
        <v/>
      </c>
      <c r="AR37" s="112">
        <f>+(AR33-AR36)/AR33</f>
        <v/>
      </c>
      <c r="AS37" s="112">
        <f>+(AS33-AS36)/AS33</f>
        <v/>
      </c>
      <c r="AT37" s="112">
        <f>+(AT33-AT36)/AT33</f>
        <v/>
      </c>
      <c r="AU37" s="112">
        <f>+(AU33-AU36)/AU33</f>
        <v/>
      </c>
      <c r="AV37" s="112">
        <f>+(AV33-AV36)/AV33</f>
        <v/>
      </c>
      <c r="AW37" s="112">
        <f>+(AW33-AW36)/AW33</f>
        <v/>
      </c>
      <c r="AX37" s="112">
        <f>+(AX33-AX36)/AX33</f>
        <v/>
      </c>
      <c r="AY37" s="112">
        <f>+(AY33-AY36)/AY33</f>
        <v/>
      </c>
      <c r="AZ37" s="112">
        <f>+(AZ33-AZ36)/AZ33</f>
        <v/>
      </c>
      <c r="BA37" s="112">
        <f>+(BA33-BA36)/BA33</f>
        <v/>
      </c>
      <c r="BB37" s="112">
        <f>+(BB33-BB36)/BB33</f>
        <v/>
      </c>
      <c r="BC37" s="112">
        <f>+(BC33-BC36)/BC33</f>
        <v/>
      </c>
      <c r="BD37" s="112">
        <f>+(BD33-BD36)/BD33</f>
        <v/>
      </c>
      <c r="BE37" s="112">
        <f>+(BE33-BE36)/BE33</f>
        <v/>
      </c>
      <c r="BF37" s="112">
        <f>+(BF33-BF36)/BF33</f>
        <v/>
      </c>
      <c r="BG37" s="112">
        <f>+(BG33-BG36)/BG33</f>
        <v/>
      </c>
      <c r="BH37" s="112">
        <f>+(BH33-BH36)/BH33</f>
        <v/>
      </c>
      <c r="BI37" s="112">
        <f>+(BI33-BI36)/BI33</f>
        <v/>
      </c>
      <c r="BJ37" s="112">
        <f>+(BJ33-BJ36)/BJ33</f>
        <v/>
      </c>
      <c r="BK37" s="112">
        <f>+(BK33-BK36)/BK33</f>
        <v/>
      </c>
      <c r="BL37" s="112">
        <f>+(BL33-BL36)/BL33</f>
        <v/>
      </c>
      <c r="BM37" s="112">
        <f>+(BM33-BM36)/BM33</f>
        <v/>
      </c>
      <c r="BN37" s="112">
        <f>+(BN33-BN36)/BN33</f>
        <v/>
      </c>
      <c r="BO37" s="55" t="n"/>
    </row>
    <row r="38" ht="12.75" customFormat="1" customHeight="1" s="1917">
      <c r="B38" s="1020" t="n"/>
      <c r="C38" s="1021" t="n"/>
      <c r="D38" s="1021" t="n"/>
      <c r="E38" s="1012" t="n"/>
      <c r="F38" s="1022" t="n"/>
      <c r="G38" s="1023">
        <f>+G27</f>
        <v/>
      </c>
      <c r="H38" s="1023">
        <f>+H27</f>
        <v/>
      </c>
      <c r="I38" s="1023">
        <f>+I27</f>
        <v/>
      </c>
      <c r="J38" s="1023">
        <f>+J27</f>
        <v/>
      </c>
      <c r="K38" s="1023">
        <f>+K27</f>
        <v/>
      </c>
      <c r="L38" s="1023">
        <f>+L27</f>
        <v/>
      </c>
      <c r="M38" s="1023">
        <f>+M27</f>
        <v/>
      </c>
      <c r="N38" s="1023">
        <f>+N27</f>
        <v/>
      </c>
      <c r="O38" s="1023">
        <f>+O27</f>
        <v/>
      </c>
      <c r="P38" s="1023">
        <f>+P27</f>
        <v/>
      </c>
      <c r="Q38" s="1023">
        <f>+Q27</f>
        <v/>
      </c>
      <c r="R38" s="1023">
        <f>+R27</f>
        <v/>
      </c>
      <c r="S38" s="1023">
        <f>+S27</f>
        <v/>
      </c>
      <c r="T38" s="1023">
        <f>+T27</f>
        <v/>
      </c>
      <c r="U38" s="1023">
        <f>+U27</f>
        <v/>
      </c>
      <c r="V38" s="1023">
        <f>+V27</f>
        <v/>
      </c>
      <c r="W38" s="1023">
        <f>+W27</f>
        <v/>
      </c>
      <c r="X38" s="1023">
        <f>+X27</f>
        <v/>
      </c>
      <c r="Y38" s="1023">
        <f>+Y27</f>
        <v/>
      </c>
      <c r="Z38" s="1023">
        <f>+Z27</f>
        <v/>
      </c>
      <c r="AA38" s="1023">
        <f>+AA27</f>
        <v/>
      </c>
      <c r="AB38" s="1023">
        <f>+AB27</f>
        <v/>
      </c>
      <c r="AC38" s="1023">
        <f>+AC27</f>
        <v/>
      </c>
      <c r="AD38" s="1023">
        <f>+AD27</f>
        <v/>
      </c>
      <c r="AE38" s="1023">
        <f>+AE27</f>
        <v/>
      </c>
      <c r="AF38" s="1023">
        <f>+AF27</f>
        <v/>
      </c>
      <c r="AG38" s="1023">
        <f>+AG27</f>
        <v/>
      </c>
      <c r="AH38" s="1023">
        <f>+AH27</f>
        <v/>
      </c>
      <c r="AI38" s="1023">
        <f>+AI27</f>
        <v/>
      </c>
      <c r="AJ38" s="1023">
        <f>+AJ27</f>
        <v/>
      </c>
      <c r="AK38" s="1023">
        <f>+AK27</f>
        <v/>
      </c>
      <c r="AL38" s="1023">
        <f>+AL27</f>
        <v/>
      </c>
      <c r="AM38" s="1023">
        <f>+AM27</f>
        <v/>
      </c>
      <c r="AN38" s="1023">
        <f>+AN27</f>
        <v/>
      </c>
      <c r="AO38" s="1023">
        <f>+AO27</f>
        <v/>
      </c>
      <c r="AP38" s="1023">
        <f>+AP27</f>
        <v/>
      </c>
      <c r="AQ38" s="1023">
        <f>+AQ27</f>
        <v/>
      </c>
      <c r="AR38" s="1023">
        <f>+AR27</f>
        <v/>
      </c>
      <c r="AS38" s="1023">
        <f>+AS27</f>
        <v/>
      </c>
      <c r="AT38" s="1023">
        <f>+AT27</f>
        <v/>
      </c>
      <c r="AU38" s="1023">
        <f>+AU27</f>
        <v/>
      </c>
      <c r="AV38" s="1023">
        <f>+AV27</f>
        <v/>
      </c>
      <c r="AW38" s="1023">
        <f>+AW27</f>
        <v/>
      </c>
      <c r="AX38" s="1023">
        <f>+AX27</f>
        <v/>
      </c>
      <c r="AY38" s="1023">
        <f>+AY27</f>
        <v/>
      </c>
      <c r="AZ38" s="1023">
        <f>+AZ27</f>
        <v/>
      </c>
      <c r="BA38" s="1023">
        <f>+BA27</f>
        <v/>
      </c>
      <c r="BB38" s="1023">
        <f>+BB27</f>
        <v/>
      </c>
      <c r="BC38" s="1023">
        <f>+BC27</f>
        <v/>
      </c>
      <c r="BD38" s="1023">
        <f>+BD27</f>
        <v/>
      </c>
      <c r="BE38" s="1023">
        <f>+BE27</f>
        <v/>
      </c>
      <c r="BF38" s="1023">
        <f>+BF27</f>
        <v/>
      </c>
      <c r="BG38" s="1023">
        <f>+BG27</f>
        <v/>
      </c>
      <c r="BH38" s="1023">
        <f>+BH27</f>
        <v/>
      </c>
      <c r="BI38" s="1023">
        <f>+BI27</f>
        <v/>
      </c>
      <c r="BJ38" s="1023">
        <f>+BJ27</f>
        <v/>
      </c>
      <c r="BK38" s="1023">
        <f>+BK27</f>
        <v/>
      </c>
      <c r="BL38" s="1023">
        <f>+BL27</f>
        <v/>
      </c>
      <c r="BM38" s="1023">
        <f>+BM27</f>
        <v/>
      </c>
      <c r="BN38" s="1023">
        <f>+BN27</f>
        <v/>
      </c>
      <c r="BO38" s="55" t="n"/>
    </row>
    <row r="39" ht="12.75" customFormat="1" customHeight="1" s="1917">
      <c r="B39" s="88" t="inlineStr">
        <is>
          <t>Companion Application</t>
        </is>
      </c>
      <c r="C39" s="1017" t="n"/>
      <c r="D39" s="1017" t="n"/>
      <c r="E39" s="55" t="n"/>
      <c r="F39" s="108" t="n"/>
      <c r="G39" s="113" t="n"/>
      <c r="H39" s="113" t="n"/>
      <c r="I39" s="113" t="n"/>
      <c r="J39" s="113" t="n"/>
      <c r="K39" s="113" t="n"/>
      <c r="L39" s="113" t="n"/>
      <c r="M39" s="113" t="n"/>
      <c r="N39" s="113" t="n"/>
      <c r="O39" s="113" t="n"/>
      <c r="P39" s="113" t="n"/>
      <c r="Q39" s="113" t="n"/>
      <c r="R39" s="113" t="n"/>
      <c r="S39" s="113" t="n"/>
      <c r="T39" s="113" t="n"/>
      <c r="U39" s="113" t="n"/>
      <c r="V39" s="113" t="n"/>
      <c r="W39" s="113" t="n"/>
      <c r="X39" s="113" t="n"/>
      <c r="Y39" s="113" t="n"/>
      <c r="Z39" s="113" t="n"/>
      <c r="AA39" s="113" t="n"/>
      <c r="AB39" s="113" t="n"/>
      <c r="AC39" s="113" t="n"/>
      <c r="AD39" s="113" t="n"/>
      <c r="AE39" s="113" t="n"/>
      <c r="AF39" s="113" t="n"/>
      <c r="AG39" s="113" t="n"/>
      <c r="AH39" s="113" t="n"/>
      <c r="AI39" s="113" t="n"/>
      <c r="AJ39" s="113" t="n"/>
      <c r="AK39" s="113" t="n"/>
      <c r="AL39" s="113" t="n"/>
      <c r="AM39" s="113" t="n"/>
      <c r="AN39" s="113" t="n"/>
      <c r="AO39" s="113" t="n"/>
      <c r="AP39" s="113" t="n"/>
      <c r="AQ39" s="113" t="n"/>
      <c r="AR39" s="113" t="n"/>
      <c r="AS39" s="113" t="n"/>
      <c r="AT39" s="113" t="n"/>
      <c r="AU39" s="113" t="n"/>
      <c r="AV39" s="113" t="n"/>
      <c r="AW39" s="113" t="n"/>
      <c r="AX39" s="113" t="n"/>
      <c r="AY39" s="113" t="n"/>
      <c r="AZ39" s="113" t="n"/>
      <c r="BA39" s="113" t="n"/>
      <c r="BB39" s="113" t="n"/>
      <c r="BC39" s="113" t="n"/>
      <c r="BD39" s="113" t="n"/>
      <c r="BE39" s="113" t="n"/>
      <c r="BF39" s="113" t="n"/>
      <c r="BG39" s="113" t="n"/>
      <c r="BH39" s="113" t="n"/>
      <c r="BI39" s="113" t="n"/>
      <c r="BJ39" s="113" t="n"/>
      <c r="BK39" s="113" t="n"/>
      <c r="BL39" s="113" t="n"/>
      <c r="BM39" s="113" t="n"/>
      <c r="BN39" s="113" t="n"/>
      <c r="BO39" s="55" t="n"/>
    </row>
    <row r="40" ht="12.75" customFormat="1" customHeight="1" s="1917">
      <c r="B40" s="85" t="inlineStr">
        <is>
          <t>Units in the Market</t>
        </is>
      </c>
      <c r="C40" s="102" t="n"/>
      <c r="D40" s="102" t="n"/>
      <c r="E40" s="98" t="n"/>
      <c r="F40" s="55" t="n"/>
      <c r="G40" s="87">
        <f>G29*0.7</f>
        <v/>
      </c>
      <c r="H40" s="87">
        <f>H29*0.7</f>
        <v/>
      </c>
      <c r="I40" s="87">
        <f>I29*0.7</f>
        <v/>
      </c>
      <c r="J40" s="87">
        <f>J29*0.7</f>
        <v/>
      </c>
      <c r="K40" s="87">
        <f>K29*0.7</f>
        <v/>
      </c>
      <c r="L40" s="87">
        <f>L29*0.7</f>
        <v/>
      </c>
      <c r="M40" s="87">
        <f>M29*0.7</f>
        <v/>
      </c>
      <c r="N40" s="87">
        <f>N29*0.7</f>
        <v/>
      </c>
      <c r="O40" s="87">
        <f>O29*0.7</f>
        <v/>
      </c>
      <c r="P40" s="87">
        <f>P29*0.7</f>
        <v/>
      </c>
      <c r="Q40" s="87">
        <f>Q29*0.7</f>
        <v/>
      </c>
      <c r="R40" s="87">
        <f>R29*0.7</f>
        <v/>
      </c>
      <c r="S40" s="87">
        <f>S29*0.7</f>
        <v/>
      </c>
      <c r="T40" s="87">
        <f>T29*0.7</f>
        <v/>
      </c>
      <c r="U40" s="87">
        <f>U29*0.7</f>
        <v/>
      </c>
      <c r="V40" s="87">
        <f>V29*0.7</f>
        <v/>
      </c>
      <c r="W40" s="87">
        <f>W29*0.7</f>
        <v/>
      </c>
      <c r="X40" s="87">
        <f>X29*0.7</f>
        <v/>
      </c>
      <c r="Y40" s="87">
        <f>Y29*0.7</f>
        <v/>
      </c>
      <c r="Z40" s="87">
        <f>Z29*0.7</f>
        <v/>
      </c>
      <c r="AA40" s="87">
        <f>AA29*0.7</f>
        <v/>
      </c>
      <c r="AB40" s="87">
        <f>AB29*0.7</f>
        <v/>
      </c>
      <c r="AC40" s="87">
        <f>AC29*0.7</f>
        <v/>
      </c>
      <c r="AD40" s="87">
        <f>AD29*0.7</f>
        <v/>
      </c>
      <c r="AE40" s="87">
        <f>AE29*0.7</f>
        <v/>
      </c>
      <c r="AF40" s="87">
        <f>AF29*0.7</f>
        <v/>
      </c>
      <c r="AG40" s="87">
        <f>AG29*0.7</f>
        <v/>
      </c>
      <c r="AH40" s="87">
        <f>AH29*0.7</f>
        <v/>
      </c>
      <c r="AI40" s="87">
        <f>AI29*0.7</f>
        <v/>
      </c>
      <c r="AJ40" s="87">
        <f>AJ29*0.7</f>
        <v/>
      </c>
      <c r="AK40" s="87">
        <f>AK29*0.7</f>
        <v/>
      </c>
      <c r="AL40" s="87">
        <f>AL29*0.7</f>
        <v/>
      </c>
      <c r="AM40" s="87">
        <f>AM29*0.7</f>
        <v/>
      </c>
      <c r="AN40" s="87">
        <f>AN29*0.7</f>
        <v/>
      </c>
      <c r="AO40" s="87">
        <f>AO29*0.7</f>
        <v/>
      </c>
      <c r="AP40" s="87">
        <f>AP29*0.7</f>
        <v/>
      </c>
      <c r="AQ40" s="87">
        <f>AQ29*0.7</f>
        <v/>
      </c>
      <c r="AR40" s="87">
        <f>AR29*0.7</f>
        <v/>
      </c>
      <c r="AS40" s="87">
        <f>AS29*0.7</f>
        <v/>
      </c>
      <c r="AT40" s="87">
        <f>AT29*0.7</f>
        <v/>
      </c>
      <c r="AU40" s="87">
        <f>AU29*0.7</f>
        <v/>
      </c>
      <c r="AV40" s="87">
        <f>AV29*0.7</f>
        <v/>
      </c>
      <c r="AW40" s="87">
        <f>AW29*0.7</f>
        <v/>
      </c>
      <c r="AX40" s="87">
        <f>AX29*0.7</f>
        <v/>
      </c>
      <c r="AY40" s="87">
        <f>AY29*0.7</f>
        <v/>
      </c>
      <c r="AZ40" s="87">
        <f>AZ29*0.7</f>
        <v/>
      </c>
      <c r="BA40" s="87">
        <f>BA29*0.7</f>
        <v/>
      </c>
      <c r="BB40" s="87">
        <f>BB29*0.7</f>
        <v/>
      </c>
      <c r="BC40" s="87">
        <f>BC29*0.7</f>
        <v/>
      </c>
      <c r="BD40" s="87">
        <f>BD29*0.7</f>
        <v/>
      </c>
      <c r="BE40" s="87">
        <f>BE29*0.7</f>
        <v/>
      </c>
      <c r="BF40" s="87">
        <f>BF29*0.7</f>
        <v/>
      </c>
      <c r="BG40" s="87">
        <f>BG29*0.7</f>
        <v/>
      </c>
      <c r="BH40" s="87">
        <f>BH29*0.7</f>
        <v/>
      </c>
      <c r="BI40" s="87">
        <f>BI29*0.7</f>
        <v/>
      </c>
      <c r="BJ40" s="87">
        <f>BJ29*0.7</f>
        <v/>
      </c>
      <c r="BK40" s="87">
        <f>BK29*0.7</f>
        <v/>
      </c>
      <c r="BL40" s="87">
        <f>BL29*0.7</f>
        <v/>
      </c>
      <c r="BM40" s="87">
        <f>BM29*0.7</f>
        <v/>
      </c>
      <c r="BN40" s="87">
        <f>BN29*0.7</f>
        <v/>
      </c>
      <c r="BO40" s="55" t="n"/>
    </row>
    <row r="41" ht="12.75" customFormat="1" customHeight="1" s="1917">
      <c r="B41" s="55" t="inlineStr">
        <is>
          <t xml:space="preserve">Rate Per Hour, Net (Realization) </t>
        </is>
      </c>
      <c r="C41" s="102" t="n"/>
      <c r="D41" s="102" t="n"/>
      <c r="E41" s="103" t="n"/>
      <c r="F41" s="55" t="n"/>
      <c r="G41" s="114">
        <f>'P&amp;L Assumptions (Companion App)'!H208</f>
        <v/>
      </c>
      <c r="H41" s="104">
        <f>$G$41</f>
        <v/>
      </c>
      <c r="I41" s="104">
        <f>$G$41</f>
        <v/>
      </c>
      <c r="J41" s="104">
        <f>$G$41</f>
        <v/>
      </c>
      <c r="K41" s="104">
        <f>$G$41</f>
        <v/>
      </c>
      <c r="L41" s="104">
        <f>$G$41</f>
        <v/>
      </c>
      <c r="M41" s="104">
        <f>$G$41</f>
        <v/>
      </c>
      <c r="N41" s="104">
        <f>$G$41</f>
        <v/>
      </c>
      <c r="O41" s="104">
        <f>$G$41</f>
        <v/>
      </c>
      <c r="P41" s="104">
        <f>$G$41</f>
        <v/>
      </c>
      <c r="Q41" s="104">
        <f>$G$41</f>
        <v/>
      </c>
      <c r="R41" s="104">
        <f>$G$41</f>
        <v/>
      </c>
      <c r="S41" s="114">
        <f>'P&amp;L Assumptions (Companion App)'!H214</f>
        <v/>
      </c>
      <c r="T41" s="75">
        <f>$S$41</f>
        <v/>
      </c>
      <c r="U41" s="75">
        <f>$S$41</f>
        <v/>
      </c>
      <c r="V41" s="75">
        <f>$S$41</f>
        <v/>
      </c>
      <c r="W41" s="75">
        <f>$S$41</f>
        <v/>
      </c>
      <c r="X41" s="75">
        <f>$S$41</f>
        <v/>
      </c>
      <c r="Y41" s="75">
        <f>$S$41</f>
        <v/>
      </c>
      <c r="Z41" s="75">
        <f>$S$41</f>
        <v/>
      </c>
      <c r="AA41" s="75">
        <f>$S$41</f>
        <v/>
      </c>
      <c r="AB41" s="75">
        <f>$S$41</f>
        <v/>
      </c>
      <c r="AC41" s="75">
        <f>$S$41</f>
        <v/>
      </c>
      <c r="AD41" s="75">
        <f>$S$41</f>
        <v/>
      </c>
      <c r="AE41" s="114">
        <f>'P&amp;L Assumptions (Companion App)'!H220</f>
        <v/>
      </c>
      <c r="AF41" s="75">
        <f>$AE$41</f>
        <v/>
      </c>
      <c r="AG41" s="75">
        <f>$AE$41</f>
        <v/>
      </c>
      <c r="AH41" s="75">
        <f>$AE$41</f>
        <v/>
      </c>
      <c r="AI41" s="75">
        <f>$AE$41</f>
        <v/>
      </c>
      <c r="AJ41" s="75">
        <f>$AE$41</f>
        <v/>
      </c>
      <c r="AK41" s="75">
        <f>$AE$41</f>
        <v/>
      </c>
      <c r="AL41" s="75">
        <f>$AE$41</f>
        <v/>
      </c>
      <c r="AM41" s="75">
        <f>$AE$41</f>
        <v/>
      </c>
      <c r="AN41" s="75">
        <f>$AE$41</f>
        <v/>
      </c>
      <c r="AO41" s="75">
        <f>$AE$41</f>
        <v/>
      </c>
      <c r="AP41" s="75">
        <f>$AE$41</f>
        <v/>
      </c>
      <c r="AQ41" s="114">
        <f>'P&amp;L Assumptions (Companion App)'!H226</f>
        <v/>
      </c>
      <c r="AR41" s="75">
        <f>$AQ$41</f>
        <v/>
      </c>
      <c r="AS41" s="75">
        <f>$AQ$41</f>
        <v/>
      </c>
      <c r="AT41" s="75">
        <f>$AQ$41</f>
        <v/>
      </c>
      <c r="AU41" s="75">
        <f>$AQ$41</f>
        <v/>
      </c>
      <c r="AV41" s="75">
        <f>$AQ$41</f>
        <v/>
      </c>
      <c r="AW41" s="75">
        <f>$AQ$41</f>
        <v/>
      </c>
      <c r="AX41" s="75">
        <f>$AQ$41</f>
        <v/>
      </c>
      <c r="AY41" s="75">
        <f>$AQ$41</f>
        <v/>
      </c>
      <c r="AZ41" s="75">
        <f>$AQ$41</f>
        <v/>
      </c>
      <c r="BA41" s="75">
        <f>$AQ$41</f>
        <v/>
      </c>
      <c r="BB41" s="75">
        <f>$AQ$41</f>
        <v/>
      </c>
      <c r="BC41" s="114">
        <f>'P&amp;L Assumptions (Companion App)'!H232</f>
        <v/>
      </c>
      <c r="BD41" s="75">
        <f>$BC$41</f>
        <v/>
      </c>
      <c r="BE41" s="75">
        <f>$BC$41</f>
        <v/>
      </c>
      <c r="BF41" s="75">
        <f>$BC$41</f>
        <v/>
      </c>
      <c r="BG41" s="75">
        <f>$BC$41</f>
        <v/>
      </c>
      <c r="BH41" s="75">
        <f>$BC$41</f>
        <v/>
      </c>
      <c r="BI41" s="75">
        <f>$BC$41</f>
        <v/>
      </c>
      <c r="BJ41" s="75">
        <f>$BC$41</f>
        <v/>
      </c>
      <c r="BK41" s="75">
        <f>$BC$41</f>
        <v/>
      </c>
      <c r="BL41" s="75">
        <f>$BC$41</f>
        <v/>
      </c>
      <c r="BM41" s="75">
        <f>$BC$41</f>
        <v/>
      </c>
      <c r="BN41" s="75">
        <f>$BC$41</f>
        <v/>
      </c>
      <c r="BO41" s="55" t="n"/>
    </row>
    <row r="42" ht="12.75" customFormat="1" customHeight="1" s="1917">
      <c r="B42" s="55" t="inlineStr">
        <is>
          <t>Billable Hours x Average Active Users in the Market</t>
        </is>
      </c>
      <c r="C42" s="102" t="n"/>
      <c r="D42" s="102" t="n"/>
      <c r="E42" s="97" t="n"/>
      <c r="F42" s="77" t="n"/>
      <c r="G42" s="105">
        <f>'P&amp;L Assumptions (Companion App)'!H143</f>
        <v/>
      </c>
      <c r="H42" s="105">
        <f>'P&amp;L Assumptions (Companion App)'!J143</f>
        <v/>
      </c>
      <c r="I42" s="105">
        <f>'P&amp;L Assumptions (Companion App)'!L143</f>
        <v/>
      </c>
      <c r="J42" s="105">
        <f>'P&amp;L Assumptions (Companion App)'!N143</f>
        <v/>
      </c>
      <c r="K42" s="105">
        <f>'P&amp;L Assumptions (Companion App)'!P143</f>
        <v/>
      </c>
      <c r="L42" s="105">
        <f>'P&amp;L Assumptions (Companion App)'!R143</f>
        <v/>
      </c>
      <c r="M42" s="105">
        <f>'P&amp;L Assumptions (Companion App)'!T143</f>
        <v/>
      </c>
      <c r="N42" s="105">
        <f>'P&amp;L Assumptions (Companion App)'!V143</f>
        <v/>
      </c>
      <c r="O42" s="105">
        <f>'P&amp;L Assumptions (Companion App)'!X143</f>
        <v/>
      </c>
      <c r="P42" s="105">
        <f>'P&amp;L Assumptions (Companion App)'!Z143</f>
        <v/>
      </c>
      <c r="Q42" s="105">
        <f>'P&amp;L Assumptions (Companion App)'!AB143</f>
        <v/>
      </c>
      <c r="R42" s="105">
        <f>'P&amp;L Assumptions (Companion App)'!AD143</f>
        <v/>
      </c>
      <c r="S42" s="105">
        <f>'P&amp;L Assumptions (Companion App)'!H149</f>
        <v/>
      </c>
      <c r="T42" s="105">
        <f>'P&amp;L Assumptions (Companion App)'!J149</f>
        <v/>
      </c>
      <c r="U42" s="105">
        <f>'P&amp;L Assumptions (Companion App)'!L149</f>
        <v/>
      </c>
      <c r="V42" s="105">
        <f>'P&amp;L Assumptions (Companion App)'!N149</f>
        <v/>
      </c>
      <c r="W42" s="105">
        <f>'P&amp;L Assumptions (Companion App)'!P149</f>
        <v/>
      </c>
      <c r="X42" s="105">
        <f>'P&amp;L Assumptions (Companion App)'!R149</f>
        <v/>
      </c>
      <c r="Y42" s="105">
        <f>'P&amp;L Assumptions (Companion App)'!T149</f>
        <v/>
      </c>
      <c r="Z42" s="105">
        <f>'P&amp;L Assumptions (Companion App)'!V149</f>
        <v/>
      </c>
      <c r="AA42" s="105">
        <f>'P&amp;L Assumptions (Companion App)'!X149</f>
        <v/>
      </c>
      <c r="AB42" s="105">
        <f>'P&amp;L Assumptions (Companion App)'!Z149</f>
        <v/>
      </c>
      <c r="AC42" s="105">
        <f>'P&amp;L Assumptions (Companion App)'!AB149</f>
        <v/>
      </c>
      <c r="AD42" s="105">
        <f>'P&amp;L Assumptions (Companion App)'!AD149</f>
        <v/>
      </c>
      <c r="AE42" s="105">
        <f>'P&amp;L Assumptions (Companion App)'!H155</f>
        <v/>
      </c>
      <c r="AF42" s="105">
        <f>'P&amp;L Assumptions (Companion App)'!J155</f>
        <v/>
      </c>
      <c r="AG42" s="105">
        <f>'P&amp;L Assumptions (Companion App)'!L155</f>
        <v/>
      </c>
      <c r="AH42" s="105">
        <f>'P&amp;L Assumptions (Companion App)'!N155</f>
        <v/>
      </c>
      <c r="AI42" s="105">
        <f>'P&amp;L Assumptions (Companion App)'!P155</f>
        <v/>
      </c>
      <c r="AJ42" s="105">
        <f>'P&amp;L Assumptions (Companion App)'!R155</f>
        <v/>
      </c>
      <c r="AK42" s="105">
        <f>'P&amp;L Assumptions (Companion App)'!T155</f>
        <v/>
      </c>
      <c r="AL42" s="105">
        <f>'P&amp;L Assumptions (Companion App)'!V155</f>
        <v/>
      </c>
      <c r="AM42" s="105">
        <f>'P&amp;L Assumptions (Companion App)'!X155</f>
        <v/>
      </c>
      <c r="AN42" s="105">
        <f>'P&amp;L Assumptions (Companion App)'!Z155</f>
        <v/>
      </c>
      <c r="AO42" s="105">
        <f>'P&amp;L Assumptions (Companion App)'!AB155</f>
        <v/>
      </c>
      <c r="AP42" s="105">
        <f>'P&amp;L Assumptions (Companion App)'!AD155</f>
        <v/>
      </c>
      <c r="AQ42" s="105">
        <f>'P&amp;L Assumptions (Companion App)'!H161</f>
        <v/>
      </c>
      <c r="AR42" s="105">
        <f>'P&amp;L Assumptions (Companion App)'!J161</f>
        <v/>
      </c>
      <c r="AS42" s="105">
        <f>'P&amp;L Assumptions (Companion App)'!L161</f>
        <v/>
      </c>
      <c r="AT42" s="105">
        <f>'P&amp;L Assumptions (Companion App)'!N161</f>
        <v/>
      </c>
      <c r="AU42" s="105">
        <f>'P&amp;L Assumptions (Companion App)'!P161</f>
        <v/>
      </c>
      <c r="AV42" s="105">
        <f>'P&amp;L Assumptions (Companion App)'!R161</f>
        <v/>
      </c>
      <c r="AW42" s="105">
        <f>'P&amp;L Assumptions (Companion App)'!T161</f>
        <v/>
      </c>
      <c r="AX42" s="105">
        <f>'P&amp;L Assumptions (Companion App)'!V161</f>
        <v/>
      </c>
      <c r="AY42" s="105">
        <f>'P&amp;L Assumptions (Companion App)'!X161</f>
        <v/>
      </c>
      <c r="AZ42" s="105">
        <f>'P&amp;L Assumptions (Companion App)'!Z161</f>
        <v/>
      </c>
      <c r="BA42" s="105">
        <f>'P&amp;L Assumptions (Companion App)'!AB161</f>
        <v/>
      </c>
      <c r="BB42" s="105">
        <f>'P&amp;L Assumptions (Companion App)'!AD161</f>
        <v/>
      </c>
      <c r="BC42" s="105">
        <f>'P&amp;L Assumptions (Companion App)'!H167</f>
        <v/>
      </c>
      <c r="BD42" s="105">
        <f>'P&amp;L Assumptions (Companion App)'!J167</f>
        <v/>
      </c>
      <c r="BE42" s="105">
        <f>'P&amp;L Assumptions (Companion App)'!L167</f>
        <v/>
      </c>
      <c r="BF42" s="105">
        <f>'P&amp;L Assumptions (Companion App)'!N167</f>
        <v/>
      </c>
      <c r="BG42" s="105">
        <f>'P&amp;L Assumptions (Companion App)'!P167</f>
        <v/>
      </c>
      <c r="BH42" s="105">
        <f>'P&amp;L Assumptions (Companion App)'!R167</f>
        <v/>
      </c>
      <c r="BI42" s="105">
        <f>'P&amp;L Assumptions (Companion App)'!T167</f>
        <v/>
      </c>
      <c r="BJ42" s="105">
        <f>'P&amp;L Assumptions (Companion App)'!V167</f>
        <v/>
      </c>
      <c r="BK42" s="105">
        <f>'P&amp;L Assumptions (Companion App)'!X167</f>
        <v/>
      </c>
      <c r="BL42" s="105">
        <f>'P&amp;L Assumptions (Companion App)'!Z167</f>
        <v/>
      </c>
      <c r="BM42" s="105">
        <f>'P&amp;L Assumptions (Companion App)'!AB167</f>
        <v/>
      </c>
      <c r="BN42" s="105">
        <f>'P&amp;L Assumptions (Companion App)'!AD167</f>
        <v/>
      </c>
      <c r="BO42" s="55" t="n"/>
    </row>
    <row r="43" ht="12.75" customFormat="1" customHeight="1" s="1917">
      <c r="B43" s="85" t="n"/>
      <c r="C43" s="102" t="n"/>
      <c r="D43" s="102" t="n"/>
      <c r="E43" s="97" t="n"/>
      <c r="F43" s="77" t="n"/>
      <c r="G43" s="69" t="n"/>
      <c r="H43" s="69" t="n"/>
      <c r="I43" s="69" t="n"/>
      <c r="J43" s="69" t="n"/>
      <c r="K43" s="69" t="n"/>
      <c r="L43" s="69" t="n"/>
      <c r="M43" s="69" t="n"/>
      <c r="N43" s="69" t="n"/>
      <c r="O43" s="69" t="n"/>
      <c r="P43" s="69" t="n"/>
      <c r="Q43" s="69" t="n"/>
      <c r="R43" s="69" t="n"/>
      <c r="S43" s="69" t="n"/>
      <c r="T43" s="69" t="n"/>
      <c r="U43" s="69" t="n"/>
      <c r="V43" s="69" t="n"/>
      <c r="W43" s="69" t="n"/>
      <c r="X43" s="69" t="n"/>
      <c r="Y43" s="69" t="n"/>
      <c r="Z43" s="69" t="n"/>
      <c r="AA43" s="69" t="n"/>
      <c r="AB43" s="69" t="n"/>
      <c r="AC43" s="69" t="n"/>
      <c r="AD43" s="69" t="n"/>
      <c r="AE43" s="69" t="n"/>
      <c r="AF43" s="69" t="n"/>
      <c r="AG43" s="69" t="n"/>
      <c r="AH43" s="69" t="n"/>
      <c r="AI43" s="69" t="n"/>
      <c r="AJ43" s="69" t="n"/>
      <c r="AK43" s="69" t="n"/>
      <c r="AL43" s="69" t="n"/>
      <c r="AM43" s="69" t="n"/>
      <c r="AN43" s="69" t="n"/>
      <c r="AO43" s="69" t="n"/>
      <c r="AP43" s="69" t="n"/>
      <c r="AQ43" s="69" t="n"/>
      <c r="AR43" s="69" t="n"/>
      <c r="AS43" s="69" t="n"/>
      <c r="AT43" s="69" t="n"/>
      <c r="AU43" s="69" t="n"/>
      <c r="AV43" s="69" t="n"/>
      <c r="AW43" s="69" t="n"/>
      <c r="AX43" s="69" t="n"/>
      <c r="AY43" s="69" t="n"/>
      <c r="AZ43" s="69" t="n"/>
      <c r="BA43" s="69" t="n"/>
      <c r="BB43" s="69" t="n"/>
      <c r="BC43" s="69" t="n"/>
      <c r="BD43" s="69" t="n"/>
      <c r="BE43" s="69" t="n"/>
      <c r="BF43" s="69" t="n"/>
      <c r="BG43" s="69" t="n"/>
      <c r="BH43" s="69" t="n"/>
      <c r="BI43" s="69" t="n"/>
      <c r="BJ43" s="69" t="n"/>
      <c r="BK43" s="69" t="n"/>
      <c r="BL43" s="69" t="n"/>
      <c r="BM43" s="69" t="n"/>
      <c r="BN43" s="69" t="n"/>
      <c r="BO43" s="55" t="n"/>
    </row>
    <row r="44" ht="12.75" customFormat="1" customHeight="1" s="1917">
      <c r="B44" s="85" t="inlineStr">
        <is>
          <t>Revenue</t>
        </is>
      </c>
      <c r="C44" s="102" t="n"/>
      <c r="D44" s="102" t="n"/>
      <c r="E44" s="97">
        <f>+E33</f>
        <v/>
      </c>
      <c r="F44" s="1016" t="n"/>
      <c r="G44" s="75">
        <f>G42*$G$41*'P&amp;L Assumptions (Companion App)'!H181</f>
        <v/>
      </c>
      <c r="H44" s="75">
        <f>H42*$G$41*'P&amp;L Assumptions (Companion App)'!H181</f>
        <v/>
      </c>
      <c r="I44" s="75">
        <f>I42*$G$41*'P&amp;L Assumptions (Companion App)'!H181</f>
        <v/>
      </c>
      <c r="J44" s="75">
        <f>J42*$G$41*'P&amp;L Assumptions (Companion App)'!H181</f>
        <v/>
      </c>
      <c r="K44" s="75">
        <f>K42*$G$41*'P&amp;L Assumptions (Companion App)'!H181</f>
        <v/>
      </c>
      <c r="L44" s="75">
        <f>L42*$G$41*'P&amp;L Assumptions (Companion App)'!H181</f>
        <v/>
      </c>
      <c r="M44" s="75">
        <f>M42*$G$41*'P&amp;L Assumptions (Companion App)'!H181</f>
        <v/>
      </c>
      <c r="N44" s="75">
        <f>N42*$G$41*'P&amp;L Assumptions (Companion App)'!H181</f>
        <v/>
      </c>
      <c r="O44" s="75">
        <f>O42*$G$41*'P&amp;L Assumptions (Companion App)'!H181</f>
        <v/>
      </c>
      <c r="P44" s="75">
        <f>P42*$G$41*'P&amp;L Assumptions (Companion App)'!H181</f>
        <v/>
      </c>
      <c r="Q44" s="75">
        <f>Q42*$G$41*'P&amp;L Assumptions (Companion App)'!H181</f>
        <v/>
      </c>
      <c r="R44" s="75">
        <f>R42*$G$41*'P&amp;L Assumptions (Companion App)'!H181</f>
        <v/>
      </c>
      <c r="S44" s="75">
        <f>S42*$G$41*'P&amp;L Assumptions (Companion App)'!H183</f>
        <v/>
      </c>
      <c r="T44" s="75">
        <f>T42*$G$41*'P&amp;L Assumptions (Companion App)'!H183</f>
        <v/>
      </c>
      <c r="U44" s="75">
        <f>U42*$G$41*'P&amp;L Assumptions (Companion App)'!H183</f>
        <v/>
      </c>
      <c r="V44" s="75">
        <f>V42*$G$41*'P&amp;L Assumptions (Companion App)'!H183</f>
        <v/>
      </c>
      <c r="W44" s="75">
        <f>W42*$G$41*'P&amp;L Assumptions (Companion App)'!H183</f>
        <v/>
      </c>
      <c r="X44" s="75">
        <f>X42*$G$41*'P&amp;L Assumptions (Companion App)'!H183</f>
        <v/>
      </c>
      <c r="Y44" s="75">
        <f>Y42*$G$41*'P&amp;L Assumptions (Companion App)'!H183</f>
        <v/>
      </c>
      <c r="Z44" s="75">
        <f>Z42*$G$41*'P&amp;L Assumptions (Companion App)'!H183</f>
        <v/>
      </c>
      <c r="AA44" s="75">
        <f>AA42*$G$41*'P&amp;L Assumptions (Companion App)'!H183</f>
        <v/>
      </c>
      <c r="AB44" s="75">
        <f>AB42*$G$41*'P&amp;L Assumptions (Companion App)'!H183</f>
        <v/>
      </c>
      <c r="AC44" s="75">
        <f>AC42*$G$41*'P&amp;L Assumptions (Companion App)'!H183</f>
        <v/>
      </c>
      <c r="AD44" s="75">
        <f>AD42*$G$41*'P&amp;L Assumptions (Companion App)'!H183</f>
        <v/>
      </c>
      <c r="AE44" s="75">
        <f>AE42*$G$41*'P&amp;L Assumptions (Companion App)'!H185</f>
        <v/>
      </c>
      <c r="AF44" s="75">
        <f>AF42*$G$41*'P&amp;L Assumptions (Companion App)'!H185</f>
        <v/>
      </c>
      <c r="AG44" s="75">
        <f>AG42*$G$41*'P&amp;L Assumptions (Companion App)'!H185</f>
        <v/>
      </c>
      <c r="AH44" s="75">
        <f>AH42*$G$41*'P&amp;L Assumptions (Companion App)'!H185</f>
        <v/>
      </c>
      <c r="AI44" s="75">
        <f>AI42*$G$41*'P&amp;L Assumptions (Companion App)'!H185</f>
        <v/>
      </c>
      <c r="AJ44" s="75">
        <f>AJ42*$G$41*'P&amp;L Assumptions (Companion App)'!H185</f>
        <v/>
      </c>
      <c r="AK44" s="75">
        <f>AK42*$G$41*'P&amp;L Assumptions (Companion App)'!H185</f>
        <v/>
      </c>
      <c r="AL44" s="75">
        <f>AL42*$G$41*'P&amp;L Assumptions (Companion App)'!H185</f>
        <v/>
      </c>
      <c r="AM44" s="75">
        <f>AM42*$G$41*'P&amp;L Assumptions (Companion App)'!H185</f>
        <v/>
      </c>
      <c r="AN44" s="75">
        <f>AN42*$G$41*'P&amp;L Assumptions (Companion App)'!H185</f>
        <v/>
      </c>
      <c r="AO44" s="75">
        <f>AO42*$G$41*'P&amp;L Assumptions (Companion App)'!H185</f>
        <v/>
      </c>
      <c r="AP44" s="75">
        <f>AP42*$G$41*'P&amp;L Assumptions (Companion App)'!H185</f>
        <v/>
      </c>
      <c r="AQ44" s="75">
        <f>AQ42*$G$41*'P&amp;L Assumptions (Companion App)'!H187</f>
        <v/>
      </c>
      <c r="AR44" s="75">
        <f>AR42*$G$41*'P&amp;L Assumptions (Companion App)'!H187</f>
        <v/>
      </c>
      <c r="AS44" s="75">
        <f>AS42*$G$41*'P&amp;L Assumptions (Companion App)'!H187</f>
        <v/>
      </c>
      <c r="AT44" s="75">
        <f>AT42*$G$41*'P&amp;L Assumptions (Companion App)'!H187</f>
        <v/>
      </c>
      <c r="AU44" s="75">
        <f>AU42*$G$41*'P&amp;L Assumptions (Companion App)'!H187</f>
        <v/>
      </c>
      <c r="AV44" s="75">
        <f>AV42*$G$41*'P&amp;L Assumptions (Companion App)'!H187</f>
        <v/>
      </c>
      <c r="AW44" s="75">
        <f>AW42*$G$41*'P&amp;L Assumptions (Companion App)'!H187</f>
        <v/>
      </c>
      <c r="AX44" s="75">
        <f>AX42*$G$41*'P&amp;L Assumptions (Companion App)'!H187</f>
        <v/>
      </c>
      <c r="AY44" s="75">
        <f>AY42*$G$41*'P&amp;L Assumptions (Companion App)'!H187</f>
        <v/>
      </c>
      <c r="AZ44" s="75">
        <f>AZ42*$G$41*'P&amp;L Assumptions (Companion App)'!H187</f>
        <v/>
      </c>
      <c r="BA44" s="75">
        <f>BA42*$G$41*'P&amp;L Assumptions (Companion App)'!H187</f>
        <v/>
      </c>
      <c r="BB44" s="75">
        <f>BB42*$G$41*'P&amp;L Assumptions (Companion App)'!H187</f>
        <v/>
      </c>
      <c r="BC44" s="75">
        <f>BC42*$G$41*'P&amp;L Assumptions (Companion App)'!H189</f>
        <v/>
      </c>
      <c r="BD44" s="75">
        <f>BD42*$G$41*'P&amp;L Assumptions (Companion App)'!H189</f>
        <v/>
      </c>
      <c r="BE44" s="75">
        <f>BE42*$G$41*'P&amp;L Assumptions (Companion App)'!H189</f>
        <v/>
      </c>
      <c r="BF44" s="75">
        <f>BF42*$G$41*'P&amp;L Assumptions (Companion App)'!H189</f>
        <v/>
      </c>
      <c r="BG44" s="75">
        <f>BG42*$G$41*'P&amp;L Assumptions (Companion App)'!H189</f>
        <v/>
      </c>
      <c r="BH44" s="75">
        <f>BH42*$G$41*'P&amp;L Assumptions (Companion App)'!H189</f>
        <v/>
      </c>
      <c r="BI44" s="75">
        <f>BI42*$G$41*'P&amp;L Assumptions (Companion App)'!H189</f>
        <v/>
      </c>
      <c r="BJ44" s="75">
        <f>BJ42*$G$41*'P&amp;L Assumptions (Companion App)'!H189</f>
        <v/>
      </c>
      <c r="BK44" s="75">
        <f>BK42*$G$41*'P&amp;L Assumptions (Companion App)'!H189</f>
        <v/>
      </c>
      <c r="BL44" s="75">
        <f>BL42*$G$41*'P&amp;L Assumptions (Companion App)'!H189</f>
        <v/>
      </c>
      <c r="BM44" s="75">
        <f>BM42*$G$41*'P&amp;L Assumptions (Companion App)'!H189</f>
        <v/>
      </c>
      <c r="BN44" s="75">
        <f>BN42*$G$41*'P&amp;L Assumptions (Companion App)'!H189</f>
        <v/>
      </c>
      <c r="BO44" s="55" t="n"/>
    </row>
    <row r="45" ht="12.75" customFormat="1" customHeight="1" s="1917">
      <c r="B45" s="107" t="n"/>
      <c r="C45" s="102" t="n"/>
      <c r="D45" s="102" t="n"/>
      <c r="E45" s="98" t="n"/>
      <c r="F45" s="74" t="n"/>
      <c r="G45" s="69" t="n"/>
      <c r="H45" s="69" t="n"/>
      <c r="I45" s="69" t="n"/>
      <c r="J45" s="69" t="n"/>
      <c r="K45" s="69" t="n"/>
      <c r="L45" s="69" t="n"/>
      <c r="M45" s="69" t="n"/>
      <c r="N45" s="69" t="n"/>
      <c r="O45" s="69" t="n"/>
      <c r="P45" s="69" t="n"/>
      <c r="Q45" s="69" t="n"/>
      <c r="R45" s="69" t="n"/>
      <c r="S45" s="69" t="n"/>
      <c r="T45" s="69" t="n"/>
      <c r="U45" s="69" t="n"/>
      <c r="V45" s="69" t="n"/>
      <c r="W45" s="69" t="n"/>
      <c r="X45" s="69" t="n"/>
      <c r="Y45" s="69" t="n"/>
      <c r="Z45" s="69" t="n"/>
      <c r="AA45" s="69" t="n"/>
      <c r="AB45" s="69" t="n"/>
      <c r="AC45" s="69" t="n"/>
      <c r="AD45" s="69" t="n"/>
      <c r="AE45" s="69" t="n"/>
      <c r="AF45" s="69" t="n"/>
      <c r="AG45" s="69" t="n"/>
      <c r="AH45" s="69" t="n"/>
      <c r="AI45" s="69" t="n"/>
      <c r="AJ45" s="69" t="n"/>
      <c r="AK45" s="69" t="n"/>
      <c r="AL45" s="69" t="n"/>
      <c r="AM45" s="69" t="n"/>
      <c r="AN45" s="69" t="n"/>
      <c r="AO45" s="69" t="n"/>
      <c r="AP45" s="69" t="n"/>
      <c r="AQ45" s="69" t="n"/>
      <c r="AR45" s="69" t="n"/>
      <c r="AS45" s="69" t="n"/>
      <c r="AT45" s="69" t="n"/>
      <c r="AU45" s="69" t="n"/>
      <c r="AV45" s="69" t="n"/>
      <c r="AW45" s="69" t="n"/>
      <c r="AX45" s="69" t="n"/>
      <c r="AY45" s="69" t="n"/>
      <c r="AZ45" s="69" t="n"/>
      <c r="BA45" s="69" t="n"/>
      <c r="BB45" s="69" t="n"/>
      <c r="BC45" s="69" t="n"/>
      <c r="BD45" s="69" t="n"/>
      <c r="BE45" s="69" t="n"/>
      <c r="BF45" s="69" t="n"/>
      <c r="BG45" s="69" t="n"/>
      <c r="BH45" s="69" t="n"/>
      <c r="BI45" s="69" t="n"/>
      <c r="BJ45" s="69" t="n"/>
      <c r="BK45" s="69" t="n"/>
      <c r="BL45" s="69" t="n"/>
      <c r="BM45" s="69" t="n"/>
      <c r="BN45" s="69" t="n"/>
      <c r="BO45" s="55" t="n"/>
    </row>
    <row r="46" ht="12.75" customFormat="1" customHeight="1" s="1917">
      <c r="B46" s="85" t="inlineStr">
        <is>
          <t>COGS (CMO)</t>
        </is>
      </c>
      <c r="C46" s="102" t="n"/>
      <c r="D46" s="102" t="n"/>
      <c r="E46" s="98" t="n"/>
      <c r="F46" s="115" t="n">
        <v>0</v>
      </c>
      <c r="G46" s="1024" t="n">
        <v>0</v>
      </c>
      <c r="H46" s="55" t="n"/>
      <c r="I46" s="55" t="n"/>
      <c r="J46" s="55" t="n"/>
      <c r="K46" s="55" t="n"/>
      <c r="L46" s="55" t="n"/>
      <c r="M46" s="55" t="n"/>
      <c r="N46" s="55" t="n"/>
      <c r="O46" s="55" t="n"/>
      <c r="P46" s="55" t="n"/>
      <c r="Q46" s="55" t="n"/>
      <c r="R46" s="55" t="n"/>
      <c r="S46" s="1024" t="n">
        <v>0</v>
      </c>
      <c r="T46" s="55" t="n"/>
      <c r="U46" s="55" t="n"/>
      <c r="V46" s="55" t="n"/>
      <c r="W46" s="55" t="n"/>
      <c r="X46" s="55" t="n"/>
      <c r="Y46" s="55" t="n"/>
      <c r="Z46" s="55" t="n"/>
      <c r="AA46" s="55" t="n"/>
      <c r="AB46" s="55" t="n"/>
      <c r="AC46" s="55" t="n"/>
      <c r="AD46" s="55" t="n"/>
      <c r="AE46" s="1024" t="n">
        <v>0</v>
      </c>
      <c r="AF46" s="55" t="n"/>
      <c r="AG46" s="55" t="n"/>
      <c r="AH46" s="55" t="n"/>
      <c r="AI46" s="55" t="n"/>
      <c r="AJ46" s="55" t="n"/>
      <c r="AK46" s="55" t="n"/>
      <c r="AL46" s="55" t="n"/>
      <c r="AM46" s="55" t="n"/>
      <c r="AN46" s="55" t="n"/>
      <c r="AO46" s="55" t="n"/>
      <c r="AP46" s="55" t="n"/>
      <c r="AQ46" s="1024" t="n">
        <v>0</v>
      </c>
      <c r="AR46" s="55" t="n"/>
      <c r="AS46" s="55" t="n"/>
      <c r="AT46" s="55" t="n"/>
      <c r="AU46" s="55" t="n"/>
      <c r="AV46" s="55" t="n"/>
      <c r="AW46" s="55" t="n"/>
      <c r="AX46" s="55" t="n"/>
      <c r="AY46" s="55" t="n"/>
      <c r="AZ46" s="55" t="n"/>
      <c r="BA46" s="55" t="n"/>
      <c r="BB46" s="55" t="n"/>
      <c r="BC46" s="1024" t="n">
        <v>0</v>
      </c>
      <c r="BD46" s="55" t="n"/>
      <c r="BE46" s="55" t="n"/>
      <c r="BF46" s="55" t="n"/>
      <c r="BG46" s="55" t="n"/>
      <c r="BH46" s="55" t="n"/>
      <c r="BI46" s="55" t="n"/>
      <c r="BJ46" s="55" t="n"/>
      <c r="BK46" s="55" t="n"/>
      <c r="BL46" s="55" t="n"/>
      <c r="BM46" s="55" t="n"/>
      <c r="BN46" s="55" t="n"/>
      <c r="BO46" s="55" t="n"/>
    </row>
    <row r="47" ht="12.75" customFormat="1" customHeight="1" s="1917">
      <c r="B47" s="85" t="n"/>
      <c r="C47" s="102" t="n"/>
      <c r="D47" s="102" t="n"/>
      <c r="E47" s="98" t="n"/>
      <c r="F47" s="55" t="n"/>
      <c r="G47" s="69">
        <f>+G40*$G46</f>
        <v/>
      </c>
      <c r="H47" s="69">
        <f>+H40*$G46</f>
        <v/>
      </c>
      <c r="I47" s="69">
        <f>+I40*$G46</f>
        <v/>
      </c>
      <c r="J47" s="69">
        <f>+J40*$G46</f>
        <v/>
      </c>
      <c r="K47" s="69">
        <f>+K40*$G46</f>
        <v/>
      </c>
      <c r="L47" s="69">
        <f>+L40*$G46</f>
        <v/>
      </c>
      <c r="M47" s="69">
        <f>+M40*$G46</f>
        <v/>
      </c>
      <c r="N47" s="69">
        <f>+N40*$G46</f>
        <v/>
      </c>
      <c r="O47" s="69">
        <f>+O40*$G46</f>
        <v/>
      </c>
      <c r="P47" s="69">
        <f>+P40*$G46</f>
        <v/>
      </c>
      <c r="Q47" s="69">
        <f>+Q40*$G46</f>
        <v/>
      </c>
      <c r="R47" s="69">
        <f>+R40*$G46</f>
        <v/>
      </c>
      <c r="S47" s="69">
        <f>+S40*$S46</f>
        <v/>
      </c>
      <c r="T47" s="69">
        <f>+T40*$S46</f>
        <v/>
      </c>
      <c r="U47" s="69">
        <f>+U40*$S46</f>
        <v/>
      </c>
      <c r="V47" s="69">
        <f>+V40*$S46</f>
        <v/>
      </c>
      <c r="W47" s="69">
        <f>+W40*$S46</f>
        <v/>
      </c>
      <c r="X47" s="69">
        <f>+X40*$S46</f>
        <v/>
      </c>
      <c r="Y47" s="69">
        <f>+Y40*$S46</f>
        <v/>
      </c>
      <c r="Z47" s="69">
        <f>+Z40*$S46</f>
        <v/>
      </c>
      <c r="AA47" s="69">
        <f>+AA40*$S46</f>
        <v/>
      </c>
      <c r="AB47" s="69">
        <f>+AB40*$S46</f>
        <v/>
      </c>
      <c r="AC47" s="69">
        <f>+AC40*$S46</f>
        <v/>
      </c>
      <c r="AD47" s="69">
        <f>+AD40*$S46</f>
        <v/>
      </c>
      <c r="AE47" s="69">
        <f>+AE40*$AE46</f>
        <v/>
      </c>
      <c r="AF47" s="69">
        <f>+AF40*$AE46</f>
        <v/>
      </c>
      <c r="AG47" s="69">
        <f>+AG40*$AE46</f>
        <v/>
      </c>
      <c r="AH47" s="69">
        <f>+AH40*$AE46</f>
        <v/>
      </c>
      <c r="AI47" s="69">
        <f>+AI40*$AE46</f>
        <v/>
      </c>
      <c r="AJ47" s="69">
        <f>+AJ40*$AE46</f>
        <v/>
      </c>
      <c r="AK47" s="69">
        <f>+AK40*$AE46</f>
        <v/>
      </c>
      <c r="AL47" s="69">
        <f>+AL40*$AE46</f>
        <v/>
      </c>
      <c r="AM47" s="69">
        <f>+AM40*$AE46</f>
        <v/>
      </c>
      <c r="AN47" s="69">
        <f>+AN40*$AE46</f>
        <v/>
      </c>
      <c r="AO47" s="69">
        <f>+AO40*$AE46</f>
        <v/>
      </c>
      <c r="AP47" s="69">
        <f>+AP40*$AE46</f>
        <v/>
      </c>
      <c r="AQ47" s="69">
        <f>+AQ40*$AQ46</f>
        <v/>
      </c>
      <c r="AR47" s="69">
        <f>+AR40*$AQ46</f>
        <v/>
      </c>
      <c r="AS47" s="69">
        <f>+AS40*$AQ46</f>
        <v/>
      </c>
      <c r="AT47" s="69">
        <f>+AT40*$AQ46</f>
        <v/>
      </c>
      <c r="AU47" s="69">
        <f>+AU40*$AQ46</f>
        <v/>
      </c>
      <c r="AV47" s="69">
        <f>+AV40*$AQ46</f>
        <v/>
      </c>
      <c r="AW47" s="69">
        <f>+AW40*$AQ46</f>
        <v/>
      </c>
      <c r="AX47" s="69">
        <f>+AX40*$AQ46</f>
        <v/>
      </c>
      <c r="AY47" s="69">
        <f>+AY40*$AQ46</f>
        <v/>
      </c>
      <c r="AZ47" s="69">
        <f>+AZ40*$AQ46</f>
        <v/>
      </c>
      <c r="BA47" s="69">
        <f>+BA40*$AQ46</f>
        <v/>
      </c>
      <c r="BB47" s="69">
        <f>+BB40*$AQ46</f>
        <v/>
      </c>
      <c r="BC47" s="69">
        <f>+BC40*$BC46</f>
        <v/>
      </c>
      <c r="BD47" s="69">
        <f>+BD40*$BC46</f>
        <v/>
      </c>
      <c r="BE47" s="69">
        <f>+BE40*$BC46</f>
        <v/>
      </c>
      <c r="BF47" s="69">
        <f>+BF40*$BC46</f>
        <v/>
      </c>
      <c r="BG47" s="69">
        <f>+BG40*$BC46</f>
        <v/>
      </c>
      <c r="BH47" s="69">
        <f>+BH40*$BC46</f>
        <v/>
      </c>
      <c r="BI47" s="69">
        <f>+BI40*$BC46</f>
        <v/>
      </c>
      <c r="BJ47" s="69">
        <f>+BJ40*$BC46</f>
        <v/>
      </c>
      <c r="BK47" s="69">
        <f>+BK40*$BC46</f>
        <v/>
      </c>
      <c r="BL47" s="69">
        <f>+BL40*$BC46</f>
        <v/>
      </c>
      <c r="BM47" s="69">
        <f>+BM40*$BC46</f>
        <v/>
      </c>
      <c r="BN47" s="69">
        <f>+BN40*$BC46</f>
        <v/>
      </c>
      <c r="BO47" s="55" t="n"/>
    </row>
    <row r="48" ht="12.75" customFormat="1" customHeight="1" s="1917">
      <c r="B48" s="85" t="inlineStr">
        <is>
          <t>Gross Profit %</t>
        </is>
      </c>
      <c r="C48" s="102" t="n"/>
      <c r="D48" s="102" t="n"/>
      <c r="E48" s="98" t="n"/>
      <c r="F48" s="55" t="n"/>
      <c r="G48" s="112">
        <f>+(G44-G47)/G44</f>
        <v/>
      </c>
      <c r="H48" s="112">
        <f>+(H44-H47)/H44</f>
        <v/>
      </c>
      <c r="I48" s="112">
        <f>+(I44-I47)/I44</f>
        <v/>
      </c>
      <c r="J48" s="112">
        <f>+(J44-J47)/J44</f>
        <v/>
      </c>
      <c r="K48" s="112">
        <f>+(K44-K47)/K44</f>
        <v/>
      </c>
      <c r="L48" s="112">
        <f>+(L44-L47)/L44</f>
        <v/>
      </c>
      <c r="M48" s="112">
        <f>+(M44-M47)/M44</f>
        <v/>
      </c>
      <c r="N48" s="112">
        <f>+(N44-N47)/N44</f>
        <v/>
      </c>
      <c r="O48" s="112">
        <f>+(O44-O47)/O44</f>
        <v/>
      </c>
      <c r="P48" s="112">
        <f>+(P44-P47)/P44</f>
        <v/>
      </c>
      <c r="Q48" s="112">
        <f>+(Q44-Q47)/Q44</f>
        <v/>
      </c>
      <c r="R48" s="112">
        <f>+(R44-R47)/R44</f>
        <v/>
      </c>
      <c r="S48" s="112">
        <f>+(S44-S47)/S44</f>
        <v/>
      </c>
      <c r="T48" s="112">
        <f>+(T44-T47)/T44</f>
        <v/>
      </c>
      <c r="U48" s="112">
        <f>+(U44-U47)/U44</f>
        <v/>
      </c>
      <c r="V48" s="112">
        <f>+(V44-V47)/V44</f>
        <v/>
      </c>
      <c r="W48" s="112">
        <f>+(W44-W47)/W44</f>
        <v/>
      </c>
      <c r="X48" s="112">
        <f>+(X44-X47)/X44</f>
        <v/>
      </c>
      <c r="Y48" s="112">
        <f>+(Y44-Y47)/Y44</f>
        <v/>
      </c>
      <c r="Z48" s="112">
        <f>+(Z44-Z47)/Z44</f>
        <v/>
      </c>
      <c r="AA48" s="112">
        <f>+(AA44-AA47)/AA44</f>
        <v/>
      </c>
      <c r="AB48" s="112">
        <f>+(AB44-AB47)/AB44</f>
        <v/>
      </c>
      <c r="AC48" s="112">
        <f>+(AC44-AC47)/AC44</f>
        <v/>
      </c>
      <c r="AD48" s="112">
        <f>+(AD44-AD47)/AD44</f>
        <v/>
      </c>
      <c r="AE48" s="112">
        <f>+(AE44-AE47)/AE44</f>
        <v/>
      </c>
      <c r="AF48" s="112">
        <f>+(AF44-AF47)/AF44</f>
        <v/>
      </c>
      <c r="AG48" s="112">
        <f>+(AG44-AG47)/AG44</f>
        <v/>
      </c>
      <c r="AH48" s="112">
        <f>+(AH44-AH47)/AH44</f>
        <v/>
      </c>
      <c r="AI48" s="112">
        <f>+(AI44-AI47)/AI44</f>
        <v/>
      </c>
      <c r="AJ48" s="112">
        <f>+(AJ44-AJ47)/AJ44</f>
        <v/>
      </c>
      <c r="AK48" s="112">
        <f>+(AK44-AK47)/AK44</f>
        <v/>
      </c>
      <c r="AL48" s="112">
        <f>+(AL44-AL47)/AL44</f>
        <v/>
      </c>
      <c r="AM48" s="112">
        <f>+(AM44-AM47)/AM44</f>
        <v/>
      </c>
      <c r="AN48" s="112">
        <f>+(AN44-AN47)/AN44</f>
        <v/>
      </c>
      <c r="AO48" s="112">
        <f>+(AO44-AO47)/AO44</f>
        <v/>
      </c>
      <c r="AP48" s="112">
        <f>+(AP44-AP47)/AP44</f>
        <v/>
      </c>
      <c r="AQ48" s="112">
        <f>+(AQ44-AQ47)/AQ44</f>
        <v/>
      </c>
      <c r="AR48" s="112">
        <f>+(AR44-AR47)/AR44</f>
        <v/>
      </c>
      <c r="AS48" s="112">
        <f>+(AS44-AS47)/AS44</f>
        <v/>
      </c>
      <c r="AT48" s="112">
        <f>+(AT44-AT47)/AT44</f>
        <v/>
      </c>
      <c r="AU48" s="112">
        <f>+(AU44-AU47)/AU44</f>
        <v/>
      </c>
      <c r="AV48" s="112">
        <f>+(AV44-AV47)/AV44</f>
        <v/>
      </c>
      <c r="AW48" s="112">
        <f>+(AW44-AW47)/AW44</f>
        <v/>
      </c>
      <c r="AX48" s="112">
        <f>+(AX44-AX47)/AX44</f>
        <v/>
      </c>
      <c r="AY48" s="112">
        <f>+(AY44-AY47)/AY44</f>
        <v/>
      </c>
      <c r="AZ48" s="112">
        <f>+(AZ44-AZ47)/AZ44</f>
        <v/>
      </c>
      <c r="BA48" s="112">
        <f>+(BA44-BA47)/BA44</f>
        <v/>
      </c>
      <c r="BB48" s="112">
        <f>+(BB44-BB47)/BB44</f>
        <v/>
      </c>
      <c r="BC48" s="112">
        <f>+(BC44-BC47)/BC44</f>
        <v/>
      </c>
      <c r="BD48" s="112">
        <f>+(BD44-BD47)/BD44</f>
        <v/>
      </c>
      <c r="BE48" s="112">
        <f>+(BE44-BE47)/BE44</f>
        <v/>
      </c>
      <c r="BF48" s="112">
        <f>+(BF44-BF47)/BF44</f>
        <v/>
      </c>
      <c r="BG48" s="112">
        <f>+(BG44-BG47)/BG44</f>
        <v/>
      </c>
      <c r="BH48" s="112">
        <f>+(BH44-BH47)/BH44</f>
        <v/>
      </c>
      <c r="BI48" s="112">
        <f>+(BI44-BI47)/BI44</f>
        <v/>
      </c>
      <c r="BJ48" s="112">
        <f>+(BJ44-BJ47)/BJ44</f>
        <v/>
      </c>
      <c r="BK48" s="112">
        <f>+(BK44-BK47)/BK44</f>
        <v/>
      </c>
      <c r="BL48" s="112">
        <f>+(BL44-BL47)/BL44</f>
        <v/>
      </c>
      <c r="BM48" s="112">
        <f>+(BM44-BM47)/BM44</f>
        <v/>
      </c>
      <c r="BN48" s="112">
        <f>+(BN44-BN47)/BN44</f>
        <v/>
      </c>
      <c r="BO48" s="55" t="n"/>
    </row>
    <row r="49" ht="15" customFormat="1" customHeight="1" s="1917"/>
    <row r="50" ht="12.75" customFormat="1" customHeight="1" s="1917">
      <c r="B50" s="88" t="inlineStr">
        <is>
          <t xml:space="preserve">Computer Application </t>
        </is>
      </c>
      <c r="C50" s="1017" t="n"/>
      <c r="D50" s="1017" t="n"/>
      <c r="E50" s="55" t="n"/>
      <c r="F50" s="108" t="n"/>
      <c r="G50" s="113" t="n"/>
      <c r="H50" s="113" t="n"/>
      <c r="I50" s="113" t="n"/>
      <c r="J50" s="113" t="n"/>
      <c r="K50" s="113" t="n"/>
      <c r="L50" s="113" t="n"/>
      <c r="M50" s="113" t="n"/>
      <c r="N50" s="113" t="n"/>
      <c r="O50" s="113" t="n"/>
      <c r="P50" s="113" t="n"/>
      <c r="Q50" s="113" t="n"/>
      <c r="R50" s="113" t="n"/>
      <c r="S50" s="113" t="n"/>
      <c r="T50" s="113" t="n"/>
      <c r="U50" s="113" t="n"/>
      <c r="V50" s="113" t="n"/>
      <c r="W50" s="113" t="n"/>
      <c r="X50" s="113" t="n"/>
      <c r="Y50" s="113" t="n"/>
      <c r="Z50" s="113" t="n"/>
      <c r="AA50" s="113" t="n"/>
      <c r="AB50" s="113" t="n"/>
      <c r="AC50" s="113" t="n"/>
      <c r="AD50" s="113" t="n"/>
      <c r="AE50" s="113" t="n"/>
      <c r="AF50" s="113" t="n"/>
      <c r="AG50" s="113" t="n"/>
      <c r="AH50" s="113" t="n"/>
      <c r="AI50" s="113" t="n"/>
      <c r="AJ50" s="113" t="n"/>
      <c r="AK50" s="113" t="n"/>
      <c r="AL50" s="113" t="n"/>
      <c r="AM50" s="113" t="n"/>
      <c r="AN50" s="113" t="n"/>
      <c r="AO50" s="113" t="n"/>
      <c r="AP50" s="113" t="n"/>
      <c r="AQ50" s="113" t="n"/>
      <c r="AR50" s="113" t="n"/>
      <c r="AS50" s="113" t="n"/>
      <c r="AT50" s="113" t="n"/>
      <c r="AU50" s="113" t="n"/>
      <c r="AV50" s="113" t="n"/>
      <c r="AW50" s="113" t="n"/>
      <c r="AX50" s="113" t="n"/>
      <c r="AY50" s="113" t="n"/>
      <c r="AZ50" s="113" t="n"/>
      <c r="BA50" s="113" t="n"/>
      <c r="BB50" s="113" t="n"/>
      <c r="BC50" s="113" t="n"/>
      <c r="BD50" s="113" t="n"/>
      <c r="BE50" s="113" t="n"/>
      <c r="BF50" s="113" t="n"/>
      <c r="BG50" s="113" t="n"/>
      <c r="BH50" s="113" t="n"/>
      <c r="BI50" s="113" t="n"/>
      <c r="BJ50" s="113" t="n"/>
      <c r="BK50" s="113" t="n"/>
      <c r="BL50" s="113" t="n"/>
      <c r="BM50" s="113" t="n"/>
      <c r="BN50" s="113" t="n"/>
    </row>
    <row r="51" ht="12.75" customFormat="1" customHeight="1" s="1917">
      <c r="B51" s="85" t="inlineStr">
        <is>
          <t>Units in the Market</t>
        </is>
      </c>
      <c r="C51" s="102" t="n"/>
      <c r="D51" s="102" t="n"/>
      <c r="E51" s="98" t="n"/>
      <c r="F51" s="55" t="n"/>
      <c r="G51" s="87">
        <f>G29*0.5</f>
        <v/>
      </c>
      <c r="H51" s="87">
        <f>H29*0.5</f>
        <v/>
      </c>
      <c r="I51" s="87">
        <f>I29*0.5</f>
        <v/>
      </c>
      <c r="J51" s="87">
        <f>J29*0.5</f>
        <v/>
      </c>
      <c r="K51" s="87">
        <f>K29*0.5</f>
        <v/>
      </c>
      <c r="L51" s="87">
        <f>L29*0.5</f>
        <v/>
      </c>
      <c r="M51" s="87">
        <f>M29*0.5</f>
        <v/>
      </c>
      <c r="N51" s="87">
        <f>N29*0.5</f>
        <v/>
      </c>
      <c r="O51" s="87">
        <f>O29*0.5</f>
        <v/>
      </c>
      <c r="P51" s="87">
        <f>P29*0.5</f>
        <v/>
      </c>
      <c r="Q51" s="87">
        <f>Q29*0.5</f>
        <v/>
      </c>
      <c r="R51" s="87">
        <f>R29*0.5</f>
        <v/>
      </c>
      <c r="S51" s="87">
        <f>S29*0.5</f>
        <v/>
      </c>
      <c r="T51" s="87">
        <f>T29*0.5</f>
        <v/>
      </c>
      <c r="U51" s="87">
        <f>U29*0.5</f>
        <v/>
      </c>
      <c r="V51" s="87">
        <f>V29*0.5</f>
        <v/>
      </c>
      <c r="W51" s="87">
        <f>W29*0.5</f>
        <v/>
      </c>
      <c r="X51" s="87">
        <f>X29*0.5</f>
        <v/>
      </c>
      <c r="Y51" s="87">
        <f>Y29*0.5</f>
        <v/>
      </c>
      <c r="Z51" s="87">
        <f>Z29*0.5</f>
        <v/>
      </c>
      <c r="AA51" s="87">
        <f>AA29*0.5</f>
        <v/>
      </c>
      <c r="AB51" s="87">
        <f>AB29*0.5</f>
        <v/>
      </c>
      <c r="AC51" s="87">
        <f>AC29*0.5</f>
        <v/>
      </c>
      <c r="AD51" s="87">
        <f>AD29*0.5</f>
        <v/>
      </c>
      <c r="AE51" s="87">
        <f>AE29*0.5</f>
        <v/>
      </c>
      <c r="AF51" s="87">
        <f>AF29*0.5</f>
        <v/>
      </c>
      <c r="AG51" s="87">
        <f>AG29*0.5</f>
        <v/>
      </c>
      <c r="AH51" s="87">
        <f>AH29*0.5</f>
        <v/>
      </c>
      <c r="AI51" s="87">
        <f>AI29*0.5</f>
        <v/>
      </c>
      <c r="AJ51" s="87">
        <f>AJ29*0.5</f>
        <v/>
      </c>
      <c r="AK51" s="87">
        <f>AK29*0.5</f>
        <v/>
      </c>
      <c r="AL51" s="87">
        <f>AL29*0.5</f>
        <v/>
      </c>
      <c r="AM51" s="87">
        <f>AM29*0.5</f>
        <v/>
      </c>
      <c r="AN51" s="87">
        <f>AN29*0.5</f>
        <v/>
      </c>
      <c r="AO51" s="87">
        <f>AO29*0.5</f>
        <v/>
      </c>
      <c r="AP51" s="87">
        <f>AP29*0.5</f>
        <v/>
      </c>
      <c r="AQ51" s="87">
        <f>AQ29*0.5</f>
        <v/>
      </c>
      <c r="AR51" s="87">
        <f>AR29*0.5</f>
        <v/>
      </c>
      <c r="AS51" s="87">
        <f>AS29*0.5</f>
        <v/>
      </c>
      <c r="AT51" s="87">
        <f>AT29*0.5</f>
        <v/>
      </c>
      <c r="AU51" s="87">
        <f>AU29*0.5</f>
        <v/>
      </c>
      <c r="AV51" s="87">
        <f>AV29*0.5</f>
        <v/>
      </c>
      <c r="AW51" s="87">
        <f>AW29*0.5</f>
        <v/>
      </c>
      <c r="AX51" s="87">
        <f>AX29*0.5</f>
        <v/>
      </c>
      <c r="AY51" s="87">
        <f>AY29*0.5</f>
        <v/>
      </c>
      <c r="AZ51" s="87">
        <f>AZ29*0.5</f>
        <v/>
      </c>
      <c r="BA51" s="87">
        <f>BA29*0.5</f>
        <v/>
      </c>
      <c r="BB51" s="87">
        <f>BB29*0.5</f>
        <v/>
      </c>
      <c r="BC51" s="87">
        <f>BC29*0.5</f>
        <v/>
      </c>
      <c r="BD51" s="87">
        <f>BD29*0.5</f>
        <v/>
      </c>
      <c r="BE51" s="87">
        <f>BE29*0.5</f>
        <v/>
      </c>
      <c r="BF51" s="87">
        <f>BF29*0.5</f>
        <v/>
      </c>
      <c r="BG51" s="87">
        <f>BG29*0.5</f>
        <v/>
      </c>
      <c r="BH51" s="87">
        <f>BH29*0.5</f>
        <v/>
      </c>
      <c r="BI51" s="87">
        <f>BI29*0.5</f>
        <v/>
      </c>
      <c r="BJ51" s="87">
        <f>BJ29*0.5</f>
        <v/>
      </c>
      <c r="BK51" s="87">
        <f>BK29*0.5</f>
        <v/>
      </c>
      <c r="BL51" s="87">
        <f>BL29*0.5</f>
        <v/>
      </c>
      <c r="BM51" s="87">
        <f>BM29*0.5</f>
        <v/>
      </c>
      <c r="BN51" s="87">
        <f>BN29*0.5</f>
        <v/>
      </c>
    </row>
    <row r="52" ht="12.75" customFormat="1" customHeight="1" s="1917">
      <c r="B52" s="55" t="inlineStr">
        <is>
          <t xml:space="preserve">Rate Per Hour, Net (Realization) </t>
        </is>
      </c>
      <c r="C52" s="102" t="n"/>
      <c r="D52" s="102" t="n"/>
      <c r="E52" s="103" t="n"/>
      <c r="F52" s="55" t="n"/>
      <c r="G52" s="114">
        <f>'P&amp;L Assumptions (Computer App)'!H208</f>
        <v/>
      </c>
      <c r="H52" s="104">
        <f>$G52</f>
        <v/>
      </c>
      <c r="I52" s="104">
        <f>$G52</f>
        <v/>
      </c>
      <c r="J52" s="104">
        <f>$G52</f>
        <v/>
      </c>
      <c r="K52" s="104">
        <f>$G52</f>
        <v/>
      </c>
      <c r="L52" s="104">
        <f>$G52</f>
        <v/>
      </c>
      <c r="M52" s="104">
        <f>$G52</f>
        <v/>
      </c>
      <c r="N52" s="104">
        <f>$G52</f>
        <v/>
      </c>
      <c r="O52" s="104">
        <f>$G52</f>
        <v/>
      </c>
      <c r="P52" s="104">
        <f>$G52</f>
        <v/>
      </c>
      <c r="Q52" s="104">
        <f>$G52</f>
        <v/>
      </c>
      <c r="R52" s="104">
        <f>$G52</f>
        <v/>
      </c>
      <c r="S52" s="114">
        <f>'P&amp;L Assumptions (Computer App)'!H214</f>
        <v/>
      </c>
      <c r="T52" s="75">
        <f>$S52</f>
        <v/>
      </c>
      <c r="U52" s="75">
        <f>$S52</f>
        <v/>
      </c>
      <c r="V52" s="75">
        <f>$S52</f>
        <v/>
      </c>
      <c r="W52" s="75">
        <f>$S52</f>
        <v/>
      </c>
      <c r="X52" s="75">
        <f>$S52</f>
        <v/>
      </c>
      <c r="Y52" s="75">
        <f>$S52</f>
        <v/>
      </c>
      <c r="Z52" s="75">
        <f>$S52</f>
        <v/>
      </c>
      <c r="AA52" s="75">
        <f>$S52</f>
        <v/>
      </c>
      <c r="AB52" s="75">
        <f>$S52</f>
        <v/>
      </c>
      <c r="AC52" s="75">
        <f>$S52</f>
        <v/>
      </c>
      <c r="AD52" s="75">
        <f>$S52</f>
        <v/>
      </c>
      <c r="AE52" s="114">
        <f>'P&amp;L Assumptions (Computer App)'!H220</f>
        <v/>
      </c>
      <c r="AF52" s="75">
        <f>$AE$52</f>
        <v/>
      </c>
      <c r="AG52" s="75">
        <f>$AE$52</f>
        <v/>
      </c>
      <c r="AH52" s="75">
        <f>$AE$52</f>
        <v/>
      </c>
      <c r="AI52" s="75">
        <f>$AE$52</f>
        <v/>
      </c>
      <c r="AJ52" s="75">
        <f>$AE$52</f>
        <v/>
      </c>
      <c r="AK52" s="75">
        <f>$AE$52</f>
        <v/>
      </c>
      <c r="AL52" s="75">
        <f>$AE$52</f>
        <v/>
      </c>
      <c r="AM52" s="75">
        <f>$AE$52</f>
        <v/>
      </c>
      <c r="AN52" s="75">
        <f>$AE$52</f>
        <v/>
      </c>
      <c r="AO52" s="75">
        <f>$AE$52</f>
        <v/>
      </c>
      <c r="AP52" s="75">
        <f>$AE$52</f>
        <v/>
      </c>
      <c r="AQ52" s="114">
        <f>'P&amp;L Assumptions (Computer App)'!H226</f>
        <v/>
      </c>
      <c r="AR52" s="75">
        <f>$AQ52</f>
        <v/>
      </c>
      <c r="AS52" s="75">
        <f>$AQ52</f>
        <v/>
      </c>
      <c r="AT52" s="75">
        <f>$AQ52</f>
        <v/>
      </c>
      <c r="AU52" s="75">
        <f>$AQ52</f>
        <v/>
      </c>
      <c r="AV52" s="75">
        <f>$AQ52</f>
        <v/>
      </c>
      <c r="AW52" s="75">
        <f>$AQ52</f>
        <v/>
      </c>
      <c r="AX52" s="75">
        <f>$AQ52</f>
        <v/>
      </c>
      <c r="AY52" s="75">
        <f>$AQ52</f>
        <v/>
      </c>
      <c r="AZ52" s="75">
        <f>$AQ52</f>
        <v/>
      </c>
      <c r="BA52" s="75">
        <f>$AQ52</f>
        <v/>
      </c>
      <c r="BB52" s="75">
        <f>$AQ52</f>
        <v/>
      </c>
      <c r="BC52" s="114">
        <f>'P&amp;L Assumptions (Computer App)'!H232</f>
        <v/>
      </c>
      <c r="BD52" s="75">
        <f>$BC52</f>
        <v/>
      </c>
      <c r="BE52" s="75">
        <f>$BC52</f>
        <v/>
      </c>
      <c r="BF52" s="75">
        <f>$BC52</f>
        <v/>
      </c>
      <c r="BG52" s="75">
        <f>$BC52</f>
        <v/>
      </c>
      <c r="BH52" s="75">
        <f>$BC52</f>
        <v/>
      </c>
      <c r="BI52" s="75">
        <f>$BC52</f>
        <v/>
      </c>
      <c r="BJ52" s="75">
        <f>$BC52</f>
        <v/>
      </c>
      <c r="BK52" s="75">
        <f>$BC52</f>
        <v/>
      </c>
      <c r="BL52" s="75">
        <f>$BC52</f>
        <v/>
      </c>
      <c r="BM52" s="75">
        <f>$BC52</f>
        <v/>
      </c>
      <c r="BN52" s="75">
        <f>$BC52</f>
        <v/>
      </c>
    </row>
    <row r="53" ht="12.75" customFormat="1" customHeight="1" s="1917">
      <c r="B53" s="55" t="inlineStr">
        <is>
          <t>Billable Hours x Average Active Users in the Market</t>
        </is>
      </c>
      <c r="C53" s="102" t="n"/>
      <c r="D53" s="102" t="n"/>
      <c r="E53" s="97" t="n"/>
      <c r="F53" s="77" t="n"/>
      <c r="G53" s="105">
        <f>'P&amp;L Assumptions (Computer App)'!H143</f>
        <v/>
      </c>
      <c r="H53" s="105">
        <f>'P&amp;L Assumptions (Computer App)'!J143</f>
        <v/>
      </c>
      <c r="I53" s="105">
        <f>'P&amp;L Assumptions (Computer App)'!L143</f>
        <v/>
      </c>
      <c r="J53" s="105">
        <f>'P&amp;L Assumptions (Computer App)'!N143</f>
        <v/>
      </c>
      <c r="K53" s="105">
        <f>'P&amp;L Assumptions (Computer App)'!P143</f>
        <v/>
      </c>
      <c r="L53" s="105">
        <f>'P&amp;L Assumptions (Computer App)'!R143</f>
        <v/>
      </c>
      <c r="M53" s="105">
        <f>'P&amp;L Assumptions (Computer App)'!T143</f>
        <v/>
      </c>
      <c r="N53" s="105">
        <f>'P&amp;L Assumptions (Computer App)'!V143</f>
        <v/>
      </c>
      <c r="O53" s="105">
        <f>'P&amp;L Assumptions (Computer App)'!X143</f>
        <v/>
      </c>
      <c r="P53" s="105">
        <f>'P&amp;L Assumptions (Computer App)'!Z143</f>
        <v/>
      </c>
      <c r="Q53" s="105">
        <f>'P&amp;L Assumptions (Computer App)'!AB143</f>
        <v/>
      </c>
      <c r="R53" s="105">
        <f>'P&amp;L Assumptions (Computer App)'!AD143</f>
        <v/>
      </c>
      <c r="S53" s="105">
        <f>'P&amp;L Assumptions (Computer App)'!H149</f>
        <v/>
      </c>
      <c r="T53" s="105">
        <f>'P&amp;L Assumptions (Computer App)'!J149</f>
        <v/>
      </c>
      <c r="U53" s="105">
        <f>'P&amp;L Assumptions (Computer App)'!L149</f>
        <v/>
      </c>
      <c r="V53" s="105">
        <f>'P&amp;L Assumptions (Computer App)'!N149</f>
        <v/>
      </c>
      <c r="W53" s="105">
        <f>'P&amp;L Assumptions (Computer App)'!P149</f>
        <v/>
      </c>
      <c r="X53" s="105">
        <f>'P&amp;L Assumptions (Computer App)'!R149</f>
        <v/>
      </c>
      <c r="Y53" s="105">
        <f>'P&amp;L Assumptions (Computer App)'!T149</f>
        <v/>
      </c>
      <c r="Z53" s="105">
        <f>'P&amp;L Assumptions (Computer App)'!V149</f>
        <v/>
      </c>
      <c r="AA53" s="105">
        <f>'P&amp;L Assumptions (Computer App)'!X149</f>
        <v/>
      </c>
      <c r="AB53" s="105">
        <f>'P&amp;L Assumptions (Computer App)'!Z149</f>
        <v/>
      </c>
      <c r="AC53" s="105">
        <f>'P&amp;L Assumptions (Computer App)'!AB149</f>
        <v/>
      </c>
      <c r="AD53" s="105">
        <f>'P&amp;L Assumptions (Computer App)'!AD149</f>
        <v/>
      </c>
      <c r="AE53" s="105">
        <f>'P&amp;L Assumptions (Computer App)'!H155</f>
        <v/>
      </c>
      <c r="AF53" s="105">
        <f>'P&amp;L Assumptions (Computer App)'!J155</f>
        <v/>
      </c>
      <c r="AG53" s="105">
        <f>'P&amp;L Assumptions (Computer App)'!L155</f>
        <v/>
      </c>
      <c r="AH53" s="105">
        <f>'P&amp;L Assumptions (Computer App)'!N155</f>
        <v/>
      </c>
      <c r="AI53" s="105">
        <f>'P&amp;L Assumptions (Computer App)'!P155</f>
        <v/>
      </c>
      <c r="AJ53" s="105">
        <f>'P&amp;L Assumptions (Computer App)'!R155</f>
        <v/>
      </c>
      <c r="AK53" s="105">
        <f>'P&amp;L Assumptions (Computer App)'!T155</f>
        <v/>
      </c>
      <c r="AL53" s="105">
        <f>'P&amp;L Assumptions (Computer App)'!V155</f>
        <v/>
      </c>
      <c r="AM53" s="105">
        <f>'P&amp;L Assumptions (Computer App)'!X155</f>
        <v/>
      </c>
      <c r="AN53" s="105">
        <f>'P&amp;L Assumptions (Computer App)'!Z155</f>
        <v/>
      </c>
      <c r="AO53" s="105">
        <f>'P&amp;L Assumptions (Computer App)'!AB155</f>
        <v/>
      </c>
      <c r="AP53" s="105">
        <f>'P&amp;L Assumptions (Computer App)'!AD155</f>
        <v/>
      </c>
      <c r="AQ53" s="105">
        <f>'P&amp;L Assumptions (Computer App)'!H161</f>
        <v/>
      </c>
      <c r="AR53" s="105">
        <f>'P&amp;L Assumptions (Computer App)'!J161</f>
        <v/>
      </c>
      <c r="AS53" s="105">
        <f>'P&amp;L Assumptions (Computer App)'!L161</f>
        <v/>
      </c>
      <c r="AT53" s="105">
        <f>'P&amp;L Assumptions (Computer App)'!N161</f>
        <v/>
      </c>
      <c r="AU53" s="105">
        <f>'P&amp;L Assumptions (Computer App)'!P161</f>
        <v/>
      </c>
      <c r="AV53" s="105">
        <f>'P&amp;L Assumptions (Computer App)'!R161</f>
        <v/>
      </c>
      <c r="AW53" s="105">
        <f>'P&amp;L Assumptions (Computer App)'!T161</f>
        <v/>
      </c>
      <c r="AX53" s="105">
        <f>'P&amp;L Assumptions (Computer App)'!V161</f>
        <v/>
      </c>
      <c r="AY53" s="105">
        <f>'P&amp;L Assumptions (Computer App)'!X161</f>
        <v/>
      </c>
      <c r="AZ53" s="105">
        <f>'P&amp;L Assumptions (Computer App)'!Z161</f>
        <v/>
      </c>
      <c r="BA53" s="105">
        <f>'P&amp;L Assumptions (Computer App)'!AB161</f>
        <v/>
      </c>
      <c r="BB53" s="105">
        <f>'P&amp;L Assumptions (Computer App)'!AD161</f>
        <v/>
      </c>
      <c r="BC53" s="105">
        <f>'P&amp;L Assumptions (Computer App)'!H167</f>
        <v/>
      </c>
      <c r="BD53" s="105">
        <f>'P&amp;L Assumptions (Computer App)'!J167</f>
        <v/>
      </c>
      <c r="BE53" s="105">
        <f>'P&amp;L Assumptions (Computer App)'!L167</f>
        <v/>
      </c>
      <c r="BF53" s="105">
        <f>'P&amp;L Assumptions (Computer App)'!N167</f>
        <v/>
      </c>
      <c r="BG53" s="105">
        <f>'P&amp;L Assumptions (Computer App)'!P167</f>
        <v/>
      </c>
      <c r="BH53" s="105">
        <f>'P&amp;L Assumptions (Computer App)'!R167</f>
        <v/>
      </c>
      <c r="BI53" s="105">
        <f>'P&amp;L Assumptions (Computer App)'!T167</f>
        <v/>
      </c>
      <c r="BJ53" s="105">
        <f>'P&amp;L Assumptions (Computer App)'!V167</f>
        <v/>
      </c>
      <c r="BK53" s="105">
        <f>'P&amp;L Assumptions (Computer App)'!X167</f>
        <v/>
      </c>
      <c r="BL53" s="105">
        <f>'P&amp;L Assumptions (Computer App)'!Z167</f>
        <v/>
      </c>
      <c r="BM53" s="105">
        <f>'P&amp;L Assumptions (Computer App)'!AB167</f>
        <v/>
      </c>
      <c r="BN53" s="105">
        <f>'P&amp;L Assumptions (Computer App)'!AD167</f>
        <v/>
      </c>
    </row>
    <row r="54" ht="12.75" customFormat="1" customHeight="1" s="1917">
      <c r="B54" s="85" t="n"/>
      <c r="C54" s="102" t="n"/>
      <c r="D54" s="102" t="n"/>
      <c r="E54" s="97" t="n"/>
      <c r="F54" s="77" t="n"/>
      <c r="G54" s="69" t="n"/>
      <c r="H54" s="69" t="n"/>
      <c r="I54" s="69" t="n"/>
      <c r="J54" s="69" t="n"/>
      <c r="K54" s="69" t="n"/>
      <c r="L54" s="69" t="n"/>
      <c r="M54" s="69" t="n"/>
      <c r="N54" s="69" t="n"/>
      <c r="O54" s="69" t="n"/>
      <c r="P54" s="69" t="n"/>
      <c r="Q54" s="69" t="n"/>
      <c r="R54" s="69" t="n"/>
      <c r="S54" s="69" t="n"/>
      <c r="T54" s="69" t="n"/>
      <c r="U54" s="69" t="n"/>
      <c r="V54" s="69" t="n"/>
      <c r="W54" s="69" t="n"/>
      <c r="X54" s="69" t="n"/>
      <c r="Y54" s="69" t="n"/>
      <c r="Z54" s="69" t="n"/>
      <c r="AA54" s="69" t="n"/>
      <c r="AB54" s="69" t="n"/>
      <c r="AC54" s="69" t="n"/>
      <c r="AD54" s="69" t="n"/>
      <c r="AE54" s="69" t="n"/>
      <c r="AF54" s="69" t="n"/>
      <c r="AG54" s="69" t="n"/>
      <c r="AH54" s="69" t="n"/>
      <c r="AI54" s="69" t="n"/>
      <c r="AJ54" s="69" t="n"/>
      <c r="AK54" s="69" t="n"/>
      <c r="AL54" s="69" t="n"/>
      <c r="AM54" s="69" t="n"/>
      <c r="AN54" s="69" t="n"/>
      <c r="AO54" s="69" t="n"/>
      <c r="AP54" s="69" t="n"/>
      <c r="AQ54" s="69" t="n"/>
      <c r="AR54" s="69" t="n"/>
      <c r="AS54" s="69" t="n"/>
      <c r="AT54" s="69" t="n"/>
      <c r="AU54" s="69" t="n"/>
      <c r="AV54" s="69" t="n"/>
      <c r="AW54" s="69" t="n"/>
      <c r="AX54" s="69" t="n"/>
      <c r="AY54" s="69" t="n"/>
      <c r="AZ54" s="69" t="n"/>
      <c r="BA54" s="69" t="n"/>
      <c r="BB54" s="69" t="n"/>
      <c r="BC54" s="69" t="n"/>
      <c r="BD54" s="69" t="n"/>
      <c r="BE54" s="69" t="n"/>
      <c r="BF54" s="69" t="n"/>
      <c r="BG54" s="69" t="n"/>
      <c r="BH54" s="69" t="n"/>
      <c r="BI54" s="69" t="n"/>
      <c r="BJ54" s="69" t="n"/>
      <c r="BK54" s="69" t="n"/>
      <c r="BL54" s="69" t="n"/>
      <c r="BM54" s="69" t="n"/>
      <c r="BN54" s="69" t="n"/>
    </row>
    <row r="55" ht="12.75" customFormat="1" customHeight="1" s="1917">
      <c r="B55" s="85" t="inlineStr">
        <is>
          <t>Revenue</t>
        </is>
      </c>
      <c r="C55" s="102" t="n"/>
      <c r="D55" s="102" t="n"/>
      <c r="E55" s="97">
        <f>+E44</f>
        <v/>
      </c>
      <c r="F55" s="1016" t="n"/>
      <c r="G55" s="106">
        <f>G53*$G$52*'P&amp;L Assumptions (Computer App)'!H181</f>
        <v/>
      </c>
      <c r="H55" s="106">
        <f>H53*$G$52*'P&amp;L Assumptions (Computer App)'!H181</f>
        <v/>
      </c>
      <c r="I55" s="106">
        <f>I53*$G$52*'P&amp;L Assumptions (Computer App)'!H181</f>
        <v/>
      </c>
      <c r="J55" s="106">
        <f>J53*$G$52*'P&amp;L Assumptions (Computer App)'!H181</f>
        <v/>
      </c>
      <c r="K55" s="106">
        <f>K53*$G$52*'P&amp;L Assumptions (Computer App)'!H181</f>
        <v/>
      </c>
      <c r="L55" s="106">
        <f>L53*$G$52*'P&amp;L Assumptions (Computer App)'!H181</f>
        <v/>
      </c>
      <c r="M55" s="106">
        <f>M53*$G$52*'P&amp;L Assumptions (Computer App)'!H181</f>
        <v/>
      </c>
      <c r="N55" s="106">
        <f>N53*$G$52*'P&amp;L Assumptions (Computer App)'!H181</f>
        <v/>
      </c>
      <c r="O55" s="106">
        <f>O53*$G$52*'P&amp;L Assumptions (Computer App)'!H181</f>
        <v/>
      </c>
      <c r="P55" s="106">
        <f>P53*$G$52*'P&amp;L Assumptions (Computer App)'!H181</f>
        <v/>
      </c>
      <c r="Q55" s="106">
        <f>Q53*$G$52*'P&amp;L Assumptions (Computer App)'!H181</f>
        <v/>
      </c>
      <c r="R55" s="106">
        <f>R53*$G$52*'P&amp;L Assumptions (Computer App)'!H181</f>
        <v/>
      </c>
      <c r="S55" s="106">
        <f>S53*$G$52*'P&amp;L Assumptions (Computer App)'!H183</f>
        <v/>
      </c>
      <c r="T55" s="106">
        <f>T53*$G$52*'P&amp;L Assumptions (Computer App)'!H183</f>
        <v/>
      </c>
      <c r="U55" s="106">
        <f>U53*$G$52*'P&amp;L Assumptions (Computer App)'!H183</f>
        <v/>
      </c>
      <c r="V55" s="106">
        <f>V53*$G$52*'P&amp;L Assumptions (Computer App)'!H183</f>
        <v/>
      </c>
      <c r="W55" s="106">
        <f>W53*$G$52*'P&amp;L Assumptions (Computer App)'!H183</f>
        <v/>
      </c>
      <c r="X55" s="106">
        <f>X53*$G$52*'P&amp;L Assumptions (Computer App)'!H183</f>
        <v/>
      </c>
      <c r="Y55" s="106">
        <f>Y53*$G$52*'P&amp;L Assumptions (Computer App)'!H183</f>
        <v/>
      </c>
      <c r="Z55" s="106">
        <f>Z53*$G$52*'P&amp;L Assumptions (Computer App)'!H183</f>
        <v/>
      </c>
      <c r="AA55" s="106">
        <f>AA53*$G$52*'P&amp;L Assumptions (Computer App)'!H183</f>
        <v/>
      </c>
      <c r="AB55" s="106">
        <f>AB53*$G$52*'P&amp;L Assumptions (Computer App)'!H183</f>
        <v/>
      </c>
      <c r="AC55" s="106">
        <f>AC53*$G$52*'P&amp;L Assumptions (Computer App)'!H183</f>
        <v/>
      </c>
      <c r="AD55" s="106">
        <f>AD53*$G$52*'P&amp;L Assumptions (Computer App)'!H183</f>
        <v/>
      </c>
      <c r="AE55" s="106">
        <f>AE53*$G$52*'P&amp;L Assumptions (Computer App)'!H185</f>
        <v/>
      </c>
      <c r="AF55" s="106">
        <f>AF53*$G$52*'P&amp;L Assumptions (Computer App)'!H185</f>
        <v/>
      </c>
      <c r="AG55" s="106">
        <f>AG53*$G$52*'P&amp;L Assumptions (Computer App)'!H185</f>
        <v/>
      </c>
      <c r="AH55" s="106">
        <f>AH53*$G$52*'P&amp;L Assumptions (Computer App)'!H185</f>
        <v/>
      </c>
      <c r="AI55" s="106">
        <f>AI53*$G$52*'P&amp;L Assumptions (Computer App)'!H185</f>
        <v/>
      </c>
      <c r="AJ55" s="106">
        <f>AJ53*$G$52*'P&amp;L Assumptions (Computer App)'!H185</f>
        <v/>
      </c>
      <c r="AK55" s="106">
        <f>AK53*$G$52*'P&amp;L Assumptions (Computer App)'!H185</f>
        <v/>
      </c>
      <c r="AL55" s="106">
        <f>AL53*$G$52*'P&amp;L Assumptions (Computer App)'!H185</f>
        <v/>
      </c>
      <c r="AM55" s="106">
        <f>AM53*$G$52*'P&amp;L Assumptions (Computer App)'!H185</f>
        <v/>
      </c>
      <c r="AN55" s="106">
        <f>AN53*$G$52*'P&amp;L Assumptions (Computer App)'!H185</f>
        <v/>
      </c>
      <c r="AO55" s="106">
        <f>AO53*$G$52*'P&amp;L Assumptions (Computer App)'!H185</f>
        <v/>
      </c>
      <c r="AP55" s="106">
        <f>AP53*$G$52*'P&amp;L Assumptions (Computer App)'!H185</f>
        <v/>
      </c>
      <c r="AQ55" s="106">
        <f>AQ53*$G$52*'P&amp;L Assumptions (Computer App)'!H187</f>
        <v/>
      </c>
      <c r="AR55" s="106">
        <f>AR53*$G$52*'P&amp;L Assumptions (Computer App)'!H187</f>
        <v/>
      </c>
      <c r="AS55" s="106">
        <f>AS53*$G$52*'P&amp;L Assumptions (Computer App)'!H187</f>
        <v/>
      </c>
      <c r="AT55" s="106">
        <f>AT53*$G$52*'P&amp;L Assumptions (Computer App)'!H187</f>
        <v/>
      </c>
      <c r="AU55" s="106">
        <f>AU53*$G$52*'P&amp;L Assumptions (Computer App)'!H187</f>
        <v/>
      </c>
      <c r="AV55" s="106">
        <f>AV53*$G$52*'P&amp;L Assumptions (Computer App)'!H187</f>
        <v/>
      </c>
      <c r="AW55" s="106">
        <f>AW53*$G$52*'P&amp;L Assumptions (Computer App)'!H187</f>
        <v/>
      </c>
      <c r="AX55" s="106">
        <f>AX53*$G$52*'P&amp;L Assumptions (Computer App)'!H187</f>
        <v/>
      </c>
      <c r="AY55" s="106">
        <f>AY53*$G$52*'P&amp;L Assumptions (Computer App)'!H187</f>
        <v/>
      </c>
      <c r="AZ55" s="106">
        <f>AZ53*$G$52*'P&amp;L Assumptions (Computer App)'!H187</f>
        <v/>
      </c>
      <c r="BA55" s="106">
        <f>BA53*$G$52*'P&amp;L Assumptions (Computer App)'!H187</f>
        <v/>
      </c>
      <c r="BB55" s="106">
        <f>BB53*$G$52*'P&amp;L Assumptions (Computer App)'!H187</f>
        <v/>
      </c>
      <c r="BC55" s="106">
        <f>BC53*$G$52*'P&amp;L Assumptions (Computer App)'!H189</f>
        <v/>
      </c>
      <c r="BD55" s="106">
        <f>BD53*$G$52*'P&amp;L Assumptions (Computer App)'!H189</f>
        <v/>
      </c>
      <c r="BE55" s="106">
        <f>BE53*$G$52*'P&amp;L Assumptions (Computer App)'!H189</f>
        <v/>
      </c>
      <c r="BF55" s="106">
        <f>BF53*$G$52*'P&amp;L Assumptions (Computer App)'!H189</f>
        <v/>
      </c>
      <c r="BG55" s="106">
        <f>BG53*$G$52*'P&amp;L Assumptions (Computer App)'!H189</f>
        <v/>
      </c>
      <c r="BH55" s="106">
        <f>BH53*$G$52*'P&amp;L Assumptions (Computer App)'!H189</f>
        <v/>
      </c>
      <c r="BI55" s="106">
        <f>BI53*$G$52*'P&amp;L Assumptions (Computer App)'!H189</f>
        <v/>
      </c>
      <c r="BJ55" s="106">
        <f>BJ53*$G$52*'P&amp;L Assumptions (Computer App)'!H189</f>
        <v/>
      </c>
      <c r="BK55" s="106">
        <f>BK53*$G$52*'P&amp;L Assumptions (Computer App)'!H189</f>
        <v/>
      </c>
      <c r="BL55" s="106">
        <f>BL53*$G$52*'P&amp;L Assumptions (Computer App)'!H189</f>
        <v/>
      </c>
      <c r="BM55" s="106">
        <f>BM53*$G$52*'P&amp;L Assumptions (Computer App)'!H189</f>
        <v/>
      </c>
      <c r="BN55" s="106">
        <f>BN53*$G$52*'P&amp;L Assumptions (Computer App)'!H189</f>
        <v/>
      </c>
    </row>
    <row r="56" ht="12.75" customFormat="1" customHeight="1" s="1917">
      <c r="B56" s="107" t="n"/>
      <c r="C56" s="102" t="n"/>
      <c r="D56" s="102" t="n"/>
      <c r="E56" s="98" t="n"/>
      <c r="F56" s="74" t="n"/>
      <c r="G56" s="69" t="n"/>
      <c r="H56" s="69" t="n"/>
      <c r="I56" s="69" t="n"/>
      <c r="J56" s="69" t="n"/>
      <c r="K56" s="69" t="n"/>
      <c r="L56" s="69" t="n"/>
      <c r="M56" s="69" t="n"/>
      <c r="N56" s="69" t="n"/>
      <c r="O56" s="69" t="n"/>
      <c r="P56" s="69" t="n"/>
      <c r="Q56" s="69" t="n"/>
      <c r="R56" s="69" t="n"/>
      <c r="S56" s="69" t="n"/>
      <c r="T56" s="69" t="n"/>
      <c r="U56" s="69" t="n"/>
      <c r="V56" s="69" t="n"/>
      <c r="W56" s="69" t="n"/>
      <c r="X56" s="69" t="n"/>
      <c r="Y56" s="69" t="n"/>
      <c r="Z56" s="69" t="n"/>
      <c r="AA56" s="69" t="n"/>
      <c r="AB56" s="69" t="n"/>
      <c r="AC56" s="69" t="n"/>
      <c r="AD56" s="69" t="n"/>
      <c r="AE56" s="69" t="n"/>
      <c r="AF56" s="69" t="n"/>
      <c r="AG56" s="69" t="n"/>
      <c r="AH56" s="69" t="n"/>
      <c r="AI56" s="69" t="n"/>
      <c r="AJ56" s="69" t="n"/>
      <c r="AK56" s="69" t="n"/>
      <c r="AL56" s="69" t="n"/>
      <c r="AM56" s="69" t="n"/>
      <c r="AN56" s="69" t="n"/>
      <c r="AO56" s="69" t="n"/>
      <c r="AP56" s="69" t="n"/>
      <c r="AQ56" s="69" t="n"/>
      <c r="AR56" s="69" t="n"/>
      <c r="AS56" s="69" t="n"/>
      <c r="AT56" s="69" t="n"/>
      <c r="AU56" s="69" t="n"/>
      <c r="AV56" s="69" t="n"/>
      <c r="AW56" s="69" t="n"/>
      <c r="AX56" s="69" t="n"/>
      <c r="AY56" s="69" t="n"/>
      <c r="AZ56" s="69" t="n"/>
      <c r="BA56" s="69" t="n"/>
      <c r="BB56" s="69" t="n"/>
      <c r="BC56" s="69" t="n"/>
      <c r="BD56" s="69" t="n"/>
      <c r="BE56" s="69" t="n"/>
      <c r="BF56" s="69" t="n"/>
      <c r="BG56" s="69" t="n"/>
      <c r="BH56" s="69" t="n"/>
      <c r="BI56" s="69" t="n"/>
      <c r="BJ56" s="69" t="n"/>
      <c r="BK56" s="69" t="n"/>
      <c r="BL56" s="69" t="n"/>
      <c r="BM56" s="69" t="n"/>
      <c r="BN56" s="69" t="n"/>
    </row>
    <row r="57" ht="12.75" customFormat="1" customHeight="1" s="1917">
      <c r="B57" s="85" t="inlineStr">
        <is>
          <t>COGS (CMO)</t>
        </is>
      </c>
      <c r="C57" s="102" t="n"/>
      <c r="D57" s="102" t="n"/>
      <c r="E57" s="98" t="n"/>
      <c r="F57" s="109">
        <f>+F46</f>
        <v/>
      </c>
      <c r="G57" s="1024" t="n">
        <v>0</v>
      </c>
      <c r="H57" s="55" t="n"/>
      <c r="I57" s="55" t="n"/>
      <c r="J57" s="55" t="n"/>
      <c r="K57" s="55" t="n"/>
      <c r="L57" s="55" t="n"/>
      <c r="M57" s="55" t="n"/>
      <c r="N57" s="55" t="n"/>
      <c r="O57" s="55" t="n"/>
      <c r="P57" s="55" t="n"/>
      <c r="Q57" s="55" t="n"/>
      <c r="R57" s="55" t="n"/>
      <c r="S57" s="1024">
        <f>+S46</f>
        <v/>
      </c>
      <c r="T57" s="55" t="n"/>
      <c r="U57" s="55" t="n"/>
      <c r="V57" s="55" t="n"/>
      <c r="W57" s="55" t="n"/>
      <c r="X57" s="55" t="n"/>
      <c r="Y57" s="55" t="n"/>
      <c r="Z57" s="55" t="n"/>
      <c r="AA57" s="55" t="n"/>
      <c r="AB57" s="55" t="n"/>
      <c r="AC57" s="55" t="n"/>
      <c r="AD57" s="55" t="n"/>
      <c r="AE57" s="1024">
        <f>+AE46</f>
        <v/>
      </c>
      <c r="AF57" s="55" t="n"/>
      <c r="AG57" s="55" t="n"/>
      <c r="AH57" s="55" t="n"/>
      <c r="AI57" s="55" t="n"/>
      <c r="AJ57" s="55" t="n"/>
      <c r="AK57" s="55" t="n"/>
      <c r="AL57" s="55" t="n"/>
      <c r="AM57" s="55" t="n"/>
      <c r="AN57" s="55" t="n"/>
      <c r="AO57" s="55" t="n"/>
      <c r="AP57" s="55" t="n"/>
      <c r="AQ57" s="1024">
        <f>+AQ46</f>
        <v/>
      </c>
      <c r="AR57" s="55" t="n"/>
      <c r="AS57" s="55" t="n"/>
      <c r="AT57" s="55" t="n"/>
      <c r="AU57" s="55" t="n"/>
      <c r="AV57" s="55" t="n"/>
      <c r="AW57" s="55" t="n"/>
      <c r="AX57" s="55" t="n"/>
      <c r="AY57" s="55" t="n"/>
      <c r="AZ57" s="55" t="n"/>
      <c r="BA57" s="55" t="n"/>
      <c r="BB57" s="55" t="n"/>
      <c r="BC57" s="1024">
        <f>+BC46</f>
        <v/>
      </c>
      <c r="BD57" s="55" t="n"/>
      <c r="BE57" s="55" t="n"/>
      <c r="BF57" s="55" t="n"/>
      <c r="BG57" s="55" t="n"/>
      <c r="BH57" s="55" t="n"/>
      <c r="BI57" s="55" t="n"/>
      <c r="BJ57" s="55" t="n"/>
      <c r="BK57" s="55" t="n"/>
      <c r="BL57" s="55" t="n"/>
      <c r="BM57" s="55" t="n"/>
      <c r="BN57" s="55" t="n"/>
    </row>
    <row r="58" ht="12.75" customFormat="1" customHeight="1" s="1917">
      <c r="B58" s="85" t="n"/>
      <c r="C58" s="102" t="n"/>
      <c r="D58" s="102" t="n"/>
      <c r="E58" s="98" t="n"/>
      <c r="F58" s="55" t="n"/>
      <c r="G58" s="69">
        <f>G51*$G57</f>
        <v/>
      </c>
      <c r="H58" s="69">
        <f>H51*$G57</f>
        <v/>
      </c>
      <c r="I58" s="69">
        <f>I51*$G57</f>
        <v/>
      </c>
      <c r="J58" s="69">
        <f>J51*$G57</f>
        <v/>
      </c>
      <c r="K58" s="69">
        <f>K51*$G57</f>
        <v/>
      </c>
      <c r="L58" s="69">
        <f>L51*$G57</f>
        <v/>
      </c>
      <c r="M58" s="69">
        <f>M51*$G57</f>
        <v/>
      </c>
      <c r="N58" s="69">
        <f>N51*$G57</f>
        <v/>
      </c>
      <c r="O58" s="69">
        <f>O51*$G57</f>
        <v/>
      </c>
      <c r="P58" s="69">
        <f>P51*$G57</f>
        <v/>
      </c>
      <c r="Q58" s="69">
        <f>Q51*$G57</f>
        <v/>
      </c>
      <c r="R58" s="69">
        <f>R51*$G57</f>
        <v/>
      </c>
      <c r="S58" s="69">
        <f>S51*$G57</f>
        <v/>
      </c>
      <c r="T58" s="69">
        <f>T51*$G57</f>
        <v/>
      </c>
      <c r="U58" s="69">
        <f>U51*$G57</f>
        <v/>
      </c>
      <c r="V58" s="69">
        <f>V51*$G57</f>
        <v/>
      </c>
      <c r="W58" s="69">
        <f>W51*$G57</f>
        <v/>
      </c>
      <c r="X58" s="69">
        <f>X51*$G57</f>
        <v/>
      </c>
      <c r="Y58" s="69">
        <f>Y51*$G57</f>
        <v/>
      </c>
      <c r="Z58" s="69">
        <f>Z51*$G57</f>
        <v/>
      </c>
      <c r="AA58" s="69">
        <f>AA51*$G57</f>
        <v/>
      </c>
      <c r="AB58" s="69">
        <f>AB51*$G57</f>
        <v/>
      </c>
      <c r="AC58" s="69">
        <f>AC51*$G57</f>
        <v/>
      </c>
      <c r="AD58" s="69">
        <f>AD51*$G57</f>
        <v/>
      </c>
      <c r="AE58" s="69">
        <f>AE51*$G57</f>
        <v/>
      </c>
      <c r="AF58" s="69">
        <f>AF51*$G57</f>
        <v/>
      </c>
      <c r="AG58" s="69">
        <f>AG51*$G57</f>
        <v/>
      </c>
      <c r="AH58" s="69">
        <f>AH51*$G57</f>
        <v/>
      </c>
      <c r="AI58" s="69">
        <f>AI51*$G57</f>
        <v/>
      </c>
      <c r="AJ58" s="69">
        <f>AJ51*$G57</f>
        <v/>
      </c>
      <c r="AK58" s="69">
        <f>AK51*$G57</f>
        <v/>
      </c>
      <c r="AL58" s="69">
        <f>AL51*$G57</f>
        <v/>
      </c>
      <c r="AM58" s="69">
        <f>AM51*$G57</f>
        <v/>
      </c>
      <c r="AN58" s="69">
        <f>AN51*$G57</f>
        <v/>
      </c>
      <c r="AO58" s="69">
        <f>AO51*$G57</f>
        <v/>
      </c>
      <c r="AP58" s="69">
        <f>AP51*$G57</f>
        <v/>
      </c>
      <c r="AQ58" s="69">
        <f>AQ51*$G57</f>
        <v/>
      </c>
      <c r="AR58" s="69">
        <f>AR51*$G57</f>
        <v/>
      </c>
      <c r="AS58" s="69">
        <f>AS51*$G57</f>
        <v/>
      </c>
      <c r="AT58" s="69">
        <f>AT51*$G57</f>
        <v/>
      </c>
      <c r="AU58" s="69">
        <f>AU51*$G57</f>
        <v/>
      </c>
      <c r="AV58" s="69">
        <f>AV51*$G57</f>
        <v/>
      </c>
      <c r="AW58" s="69">
        <f>AW51*$G57</f>
        <v/>
      </c>
      <c r="AX58" s="69">
        <f>AX51*$G57</f>
        <v/>
      </c>
      <c r="AY58" s="69">
        <f>AY51*$G57</f>
        <v/>
      </c>
      <c r="AZ58" s="69">
        <f>AZ51*$G57</f>
        <v/>
      </c>
      <c r="BA58" s="69">
        <f>BA51*$G57</f>
        <v/>
      </c>
      <c r="BB58" s="69">
        <f>BB51*$G57</f>
        <v/>
      </c>
      <c r="BC58" s="69">
        <f>BC51*$G57</f>
        <v/>
      </c>
      <c r="BD58" s="69">
        <f>BD51*$G57</f>
        <v/>
      </c>
      <c r="BE58" s="69">
        <f>BE51*$G57</f>
        <v/>
      </c>
      <c r="BF58" s="69">
        <f>BF51*$G57</f>
        <v/>
      </c>
      <c r="BG58" s="69">
        <f>BG51*$G57</f>
        <v/>
      </c>
      <c r="BH58" s="69">
        <f>BH51*$G57</f>
        <v/>
      </c>
      <c r="BI58" s="69">
        <f>BI51*$G57</f>
        <v/>
      </c>
      <c r="BJ58" s="69">
        <f>BJ51*$G57</f>
        <v/>
      </c>
      <c r="BK58" s="69">
        <f>BK51*$G57</f>
        <v/>
      </c>
      <c r="BL58" s="69">
        <f>BL51*$G57</f>
        <v/>
      </c>
      <c r="BM58" s="69">
        <f>BM51*$G57</f>
        <v/>
      </c>
      <c r="BN58" s="69">
        <f>BN51*$G57</f>
        <v/>
      </c>
    </row>
    <row r="59" ht="12.75" customFormat="1" customHeight="1" s="1917">
      <c r="B59" s="85" t="inlineStr">
        <is>
          <t>Gross Profit %</t>
        </is>
      </c>
      <c r="C59" s="102" t="n"/>
      <c r="D59" s="102" t="n"/>
      <c r="E59" s="98" t="n"/>
      <c r="F59" s="55" t="n"/>
      <c r="G59" s="112">
        <f>+(G55-G58)/G55</f>
        <v/>
      </c>
      <c r="H59" s="112">
        <f>+(H55-H58)/H55</f>
        <v/>
      </c>
      <c r="I59" s="112">
        <f>+(I55-I58)/I55</f>
        <v/>
      </c>
      <c r="J59" s="112">
        <f>+(J55-J58)/J55</f>
        <v/>
      </c>
      <c r="K59" s="112">
        <f>+(K55-K58)/K55</f>
        <v/>
      </c>
      <c r="L59" s="112">
        <f>+(L55-L58)/L55</f>
        <v/>
      </c>
      <c r="M59" s="112">
        <f>+(M55-M58)/M55</f>
        <v/>
      </c>
      <c r="N59" s="112">
        <f>+(N55-N58)/N55</f>
        <v/>
      </c>
      <c r="O59" s="112">
        <f>+(O55-O58)/O55</f>
        <v/>
      </c>
      <c r="P59" s="112">
        <f>+(P55-P58)/P55</f>
        <v/>
      </c>
      <c r="Q59" s="112">
        <f>+(Q55-Q58)/Q55</f>
        <v/>
      </c>
      <c r="R59" s="112">
        <f>+(R55-R58)/R55</f>
        <v/>
      </c>
      <c r="S59" s="112">
        <f>+(S55-S58)/S55</f>
        <v/>
      </c>
      <c r="T59" s="112">
        <f>+(T55-T58)/T55</f>
        <v/>
      </c>
      <c r="U59" s="112">
        <f>+(U55-U58)/U55</f>
        <v/>
      </c>
      <c r="V59" s="112">
        <f>+(V55-V58)/V55</f>
        <v/>
      </c>
      <c r="W59" s="112">
        <f>+(W55-W58)/W55</f>
        <v/>
      </c>
      <c r="X59" s="112">
        <f>+(X55-X58)/X55</f>
        <v/>
      </c>
      <c r="Y59" s="112">
        <f>+(Y55-Y58)/Y55</f>
        <v/>
      </c>
      <c r="Z59" s="112">
        <f>+(Z55-Z58)/Z55</f>
        <v/>
      </c>
      <c r="AA59" s="112">
        <f>+(AA55-AA58)/AA55</f>
        <v/>
      </c>
      <c r="AB59" s="112">
        <f>+(AB55-AB58)/AB55</f>
        <v/>
      </c>
      <c r="AC59" s="112">
        <f>+(AC55-AC58)/AC55</f>
        <v/>
      </c>
      <c r="AD59" s="112">
        <f>+(AD55-AD58)/AD55</f>
        <v/>
      </c>
      <c r="AE59" s="112">
        <f>+(AE55-AE58)/AE55</f>
        <v/>
      </c>
      <c r="AF59" s="112">
        <f>+(AF55-AF58)/AF55</f>
        <v/>
      </c>
      <c r="AG59" s="112">
        <f>+(AG55-AG58)/AG55</f>
        <v/>
      </c>
      <c r="AH59" s="112">
        <f>+(AH55-AH58)/AH55</f>
        <v/>
      </c>
      <c r="AI59" s="112">
        <f>+(AI55-AI58)/AI55</f>
        <v/>
      </c>
      <c r="AJ59" s="112">
        <f>+(AJ55-AJ58)/AJ55</f>
        <v/>
      </c>
      <c r="AK59" s="112">
        <f>+(AK55-AK58)/AK55</f>
        <v/>
      </c>
      <c r="AL59" s="112">
        <f>+(AL55-AL58)/AL55</f>
        <v/>
      </c>
      <c r="AM59" s="112">
        <f>+(AM55-AM58)/AM55</f>
        <v/>
      </c>
      <c r="AN59" s="112">
        <f>+(AN55-AN58)/AN55</f>
        <v/>
      </c>
      <c r="AO59" s="112">
        <f>+(AO55-AO58)/AO55</f>
        <v/>
      </c>
      <c r="AP59" s="112">
        <f>+(AP55-AP58)/AP55</f>
        <v/>
      </c>
      <c r="AQ59" s="112">
        <f>+(AQ55-AQ58)/AQ55</f>
        <v/>
      </c>
      <c r="AR59" s="112">
        <f>+(AR55-AR58)/AR55</f>
        <v/>
      </c>
      <c r="AS59" s="112">
        <f>+(AS55-AS58)/AS55</f>
        <v/>
      </c>
      <c r="AT59" s="112">
        <f>+(AT55-AT58)/AT55</f>
        <v/>
      </c>
      <c r="AU59" s="112">
        <f>+(AU55-AU58)/AU55</f>
        <v/>
      </c>
      <c r="AV59" s="112">
        <f>+(AV55-AV58)/AV55</f>
        <v/>
      </c>
      <c r="AW59" s="112">
        <f>+(AW55-AW58)/AW55</f>
        <v/>
      </c>
      <c r="AX59" s="112">
        <f>+(AX55-AX58)/AX55</f>
        <v/>
      </c>
      <c r="AY59" s="112">
        <f>+(AY55-AY58)/AY55</f>
        <v/>
      </c>
      <c r="AZ59" s="112">
        <f>+(AZ55-AZ58)/AZ55</f>
        <v/>
      </c>
      <c r="BA59" s="112">
        <f>+(BA55-BA58)/BA55</f>
        <v/>
      </c>
      <c r="BB59" s="112">
        <f>+(BB55-BB58)/BB55</f>
        <v/>
      </c>
      <c r="BC59" s="112">
        <f>+(BC55-BC58)/BC55</f>
        <v/>
      </c>
      <c r="BD59" s="112">
        <f>+(BD55-BD58)/BD55</f>
        <v/>
      </c>
      <c r="BE59" s="112">
        <f>+(BE55-BE58)/BE55</f>
        <v/>
      </c>
      <c r="BF59" s="112">
        <f>+(BF55-BF58)/BF55</f>
        <v/>
      </c>
      <c r="BG59" s="112">
        <f>+(BG55-BG58)/BG55</f>
        <v/>
      </c>
      <c r="BH59" s="112">
        <f>+(BH55-BH58)/BH55</f>
        <v/>
      </c>
      <c r="BI59" s="112">
        <f>+(BI55-BI58)/BI55</f>
        <v/>
      </c>
      <c r="BJ59" s="112">
        <f>+(BJ55-BJ58)/BJ55</f>
        <v/>
      </c>
      <c r="BK59" s="112">
        <f>+(BK55-BK58)/BK55</f>
        <v/>
      </c>
      <c r="BL59" s="112">
        <f>+(BL55-BL58)/BL55</f>
        <v/>
      </c>
      <c r="BM59" s="112">
        <f>+(BM55-BM58)/BM55</f>
        <v/>
      </c>
      <c r="BN59" s="112">
        <f>+(BN55-BN58)/BN55</f>
        <v/>
      </c>
    </row>
    <row r="60" ht="12.75" customFormat="1" customHeight="1" s="1917">
      <c r="B60" s="1026" t="inlineStr">
        <is>
          <t>TOTAL ACTIVE USERS</t>
        </is>
      </c>
      <c r="C60" s="1027" t="n"/>
      <c r="D60" s="1027" t="n"/>
      <c r="E60" s="1027" t="n"/>
      <c r="F60" s="1027" t="n"/>
      <c r="G60" s="1028">
        <f>G31+G42+G53</f>
        <v/>
      </c>
      <c r="H60" s="1028">
        <f>H31+H42+H53</f>
        <v/>
      </c>
      <c r="I60" s="1028">
        <f>I31+I42+I53</f>
        <v/>
      </c>
      <c r="J60" s="1028">
        <f>J31+J42+J53</f>
        <v/>
      </c>
      <c r="K60" s="1028">
        <f>K31+K42+K53</f>
        <v/>
      </c>
      <c r="L60" s="1028">
        <f>L31+L42+L53</f>
        <v/>
      </c>
      <c r="M60" s="1028">
        <f>M31+M42+M53</f>
        <v/>
      </c>
      <c r="N60" s="1028">
        <f>N31+N42+N53</f>
        <v/>
      </c>
      <c r="O60" s="1028">
        <f>O31+O42+O53</f>
        <v/>
      </c>
      <c r="P60" s="1028">
        <f>P31+P42+P53</f>
        <v/>
      </c>
      <c r="Q60" s="1028">
        <f>Q31+Q42+Q53</f>
        <v/>
      </c>
      <c r="R60" s="1028">
        <f>R31+R42+R53</f>
        <v/>
      </c>
      <c r="S60" s="1028">
        <f>S31+S42+S53</f>
        <v/>
      </c>
      <c r="T60" s="1028">
        <f>T31+T42+T53</f>
        <v/>
      </c>
      <c r="U60" s="1028">
        <f>U31+U42+U53</f>
        <v/>
      </c>
      <c r="V60" s="1028">
        <f>V31+V42+V53</f>
        <v/>
      </c>
      <c r="W60" s="1028">
        <f>W31+W42+W53</f>
        <v/>
      </c>
      <c r="X60" s="1028">
        <f>X31+X42+X53</f>
        <v/>
      </c>
      <c r="Y60" s="1028">
        <f>Y31+Y42+Y53</f>
        <v/>
      </c>
      <c r="Z60" s="1028">
        <f>Z31+Z42+Z53</f>
        <v/>
      </c>
      <c r="AA60" s="1028">
        <f>AA31+AA42+AA53</f>
        <v/>
      </c>
      <c r="AB60" s="1028">
        <f>AB31+AB42+AB53</f>
        <v/>
      </c>
      <c r="AC60" s="1028">
        <f>AC31+AC42+AC53</f>
        <v/>
      </c>
      <c r="AD60" s="1028">
        <f>AD31+AD42+AD53</f>
        <v/>
      </c>
      <c r="AE60" s="1028">
        <f>AE31+AE42+AE53</f>
        <v/>
      </c>
      <c r="AF60" s="1028">
        <f>AF31+AF42+AF53</f>
        <v/>
      </c>
      <c r="AG60" s="1028">
        <f>AG31+AG42+AG53</f>
        <v/>
      </c>
      <c r="AH60" s="1028">
        <f>AH31+AH42+AH53</f>
        <v/>
      </c>
      <c r="AI60" s="1028">
        <f>AI31+AI42+AI53</f>
        <v/>
      </c>
      <c r="AJ60" s="1028">
        <f>AJ31+AJ42+AJ53</f>
        <v/>
      </c>
      <c r="AK60" s="1028">
        <f>AK31+AK42+AK53</f>
        <v/>
      </c>
      <c r="AL60" s="1028">
        <f>AL31+AL42+AL53</f>
        <v/>
      </c>
      <c r="AM60" s="1028">
        <f>AM31+AM42+AM53</f>
        <v/>
      </c>
      <c r="AN60" s="1028">
        <f>AN31+AN42+AN53</f>
        <v/>
      </c>
      <c r="AO60" s="1028">
        <f>AO31+AO42+AO53</f>
        <v/>
      </c>
      <c r="AP60" s="1028">
        <f>AP31+AP42+AP53</f>
        <v/>
      </c>
      <c r="AQ60" s="1028">
        <f>AQ31+AQ42+AQ53</f>
        <v/>
      </c>
      <c r="AR60" s="1028">
        <f>AR31+AR42+AR53</f>
        <v/>
      </c>
      <c r="AS60" s="1028">
        <f>AS31+AS42+AS53</f>
        <v/>
      </c>
      <c r="AT60" s="1028">
        <f>AT31+AT42+AT53</f>
        <v/>
      </c>
      <c r="AU60" s="1028">
        <f>AU31+AU42+AU53</f>
        <v/>
      </c>
      <c r="AV60" s="1028">
        <f>AV31+AV42+AV53</f>
        <v/>
      </c>
      <c r="AW60" s="1028">
        <f>AW31+AW42+AW53</f>
        <v/>
      </c>
      <c r="AX60" s="1028">
        <f>AX31+AX42+AX53</f>
        <v/>
      </c>
      <c r="AY60" s="1028">
        <f>AY31+AY42+AY53</f>
        <v/>
      </c>
      <c r="AZ60" s="1028">
        <f>AZ31+AZ42+AZ53</f>
        <v/>
      </c>
      <c r="BA60" s="1028">
        <f>BA31+BA42+BA53</f>
        <v/>
      </c>
      <c r="BB60" s="1028">
        <f>BB31+BB42+BB53</f>
        <v/>
      </c>
      <c r="BC60" s="1028">
        <f>BC31+BC42+BC53</f>
        <v/>
      </c>
      <c r="BD60" s="1028">
        <f>BD31+BD42+BD53</f>
        <v/>
      </c>
      <c r="BE60" s="1028">
        <f>BE31+BE42+BE53</f>
        <v/>
      </c>
      <c r="BF60" s="1028">
        <f>BF31+BF42+BF53</f>
        <v/>
      </c>
      <c r="BG60" s="1028">
        <f>BG31+BG42+BG53</f>
        <v/>
      </c>
      <c r="BH60" s="1028">
        <f>BH31+BH42+BH53</f>
        <v/>
      </c>
      <c r="BI60" s="1028">
        <f>BI31+BI42+BI53</f>
        <v/>
      </c>
      <c r="BJ60" s="1028">
        <f>BJ31+BJ42+BJ53</f>
        <v/>
      </c>
      <c r="BK60" s="1028">
        <f>BK31+BK42+BK53</f>
        <v/>
      </c>
      <c r="BL60" s="1028">
        <f>BL31+BL42+BL53</f>
        <v/>
      </c>
      <c r="BM60" s="1028">
        <f>BM31+BM42+BM53</f>
        <v/>
      </c>
      <c r="BN60" s="1028">
        <f>BN31+BN42+BN53</f>
        <v/>
      </c>
    </row>
    <row r="61" ht="12.75" customFormat="1" customHeight="1" s="1654">
      <c r="B61" s="1655" t="inlineStr">
        <is>
          <t>Revenue</t>
        </is>
      </c>
      <c r="C61" s="1655" t="inlineStr">
        <is>
          <t xml:space="preserve"> </t>
        </is>
      </c>
      <c r="D61" s="1655" t="n"/>
      <c r="E61" s="1655" t="inlineStr">
        <is>
          <t xml:space="preserve"> </t>
        </is>
      </c>
      <c r="F61" s="1655" t="inlineStr">
        <is>
          <t xml:space="preserve"> </t>
        </is>
      </c>
      <c r="G61" s="1656" t="inlineStr">
        <is>
          <t xml:space="preserve"> </t>
        </is>
      </c>
      <c r="H61" s="1657" t="n"/>
      <c r="I61" s="1657" t="n"/>
      <c r="J61" s="1657" t="n"/>
      <c r="K61" s="1657" t="n"/>
      <c r="L61" s="1657" t="n"/>
      <c r="M61" s="1657" t="n"/>
      <c r="N61" s="1657" t="n"/>
      <c r="O61" s="1657" t="n"/>
      <c r="P61" s="1657" t="n"/>
      <c r="Q61" s="1657" t="n"/>
      <c r="R61" s="1657" t="n"/>
      <c r="S61" s="1657" t="n"/>
      <c r="T61" s="1657" t="n"/>
      <c r="U61" s="1657" t="n"/>
      <c r="V61" s="1657" t="n"/>
      <c r="W61" s="1657" t="n"/>
      <c r="X61" s="1657" t="n"/>
      <c r="Y61" s="1657" t="n"/>
      <c r="Z61" s="1657" t="n"/>
      <c r="AA61" s="1657" t="n"/>
      <c r="AB61" s="1657" t="n"/>
      <c r="AC61" s="1657" t="n"/>
      <c r="AD61" s="1657" t="n"/>
      <c r="AE61" s="1657" t="n"/>
      <c r="AF61" s="1657" t="n"/>
      <c r="AG61" s="1657" t="n"/>
      <c r="AH61" s="1657" t="n"/>
      <c r="AI61" s="1657" t="n"/>
      <c r="AJ61" s="1657" t="n"/>
      <c r="AK61" s="1657" t="n"/>
      <c r="AL61" s="1657" t="n"/>
      <c r="AM61" s="1657" t="n"/>
      <c r="AN61" s="1657" t="n"/>
      <c r="AO61" s="1657" t="n"/>
      <c r="AP61" s="1657" t="n"/>
      <c r="AQ61" s="1657" t="n"/>
      <c r="AR61" s="1657" t="n"/>
      <c r="AS61" s="1657" t="n"/>
      <c r="AT61" s="1657" t="n"/>
      <c r="AU61" s="1657" t="n"/>
      <c r="AV61" s="1657" t="n"/>
      <c r="AW61" s="1657" t="n"/>
      <c r="AX61" s="1657" t="n"/>
      <c r="AY61" s="1657" t="n"/>
      <c r="AZ61" s="1657" t="n"/>
      <c r="BA61" s="1657" t="n"/>
      <c r="BB61" s="1657" t="n"/>
      <c r="BC61" s="1657" t="n"/>
      <c r="BD61" s="1657" t="n"/>
      <c r="BE61" s="1657" t="n"/>
      <c r="BF61" s="1657" t="n"/>
      <c r="BG61" s="1657" t="n"/>
      <c r="BH61" s="1657" t="n"/>
      <c r="BI61" s="1657" t="n"/>
      <c r="BJ61" s="1657" t="n"/>
      <c r="BK61" s="1657" t="n"/>
      <c r="BL61" s="1657" t="n"/>
      <c r="BM61" s="1657" t="n"/>
      <c r="BN61" s="1657" t="n"/>
    </row>
    <row r="62" ht="12.75" customFormat="1" customHeight="1" s="1654">
      <c r="B62" s="1658" t="inlineStr">
        <is>
          <t>Phone</t>
        </is>
      </c>
      <c r="C62" s="1658" t="n"/>
      <c r="D62" s="1658" t="n"/>
      <c r="E62" s="1658" t="n"/>
      <c r="F62" s="1658" t="n"/>
      <c r="G62" s="1659">
        <f>+G33+(550*G29)</f>
        <v/>
      </c>
      <c r="H62" s="1659">
        <f>+H33+(550*H29)</f>
        <v/>
      </c>
      <c r="I62" s="1660">
        <f>+I33+(550*I29)</f>
        <v/>
      </c>
      <c r="J62" s="1659">
        <f>+J33+(550*J29)</f>
        <v/>
      </c>
      <c r="K62" s="1659">
        <f>+K33+(550*K29)</f>
        <v/>
      </c>
      <c r="L62" s="1659">
        <f>+L33+(550*L29)</f>
        <v/>
      </c>
      <c r="M62" s="1659">
        <f>+M33+(550*M29)</f>
        <v/>
      </c>
      <c r="N62" s="1659">
        <f>+N33+(550*N29)</f>
        <v/>
      </c>
      <c r="O62" s="1659">
        <f>+O33+(550*O29)</f>
        <v/>
      </c>
      <c r="P62" s="1659">
        <f>+P33+(550*P29)</f>
        <v/>
      </c>
      <c r="Q62" s="1659">
        <f>+Q33+(550*Q29)</f>
        <v/>
      </c>
      <c r="R62" s="1659">
        <f>+R33+(550*R29)</f>
        <v/>
      </c>
      <c r="S62" s="1659">
        <f>+S33+(600*S29)</f>
        <v/>
      </c>
      <c r="T62" s="1659">
        <f>+T33+(600*T29)</f>
        <v/>
      </c>
      <c r="U62" s="1659">
        <f>+U33+(600*U29)</f>
        <v/>
      </c>
      <c r="V62" s="1659">
        <f>+V33+(600*V29)</f>
        <v/>
      </c>
      <c r="W62" s="1659">
        <f>+W33+(600*W29)</f>
        <v/>
      </c>
      <c r="X62" s="1659">
        <f>+X33+(600*X29)</f>
        <v/>
      </c>
      <c r="Y62" s="1659">
        <f>+Y33+(600*Y29)</f>
        <v/>
      </c>
      <c r="Z62" s="1659">
        <f>+Z33+(600*Z29)</f>
        <v/>
      </c>
      <c r="AA62" s="1659">
        <f>+AA33+(600*AA29)</f>
        <v/>
      </c>
      <c r="AB62" s="1659">
        <f>+AB33+(600*AB29)</f>
        <v/>
      </c>
      <c r="AC62" s="1659">
        <f>+AC33+(600*AC29)</f>
        <v/>
      </c>
      <c r="AD62" s="1659">
        <f>+AD33+(600*AD29)</f>
        <v/>
      </c>
      <c r="AE62" s="1659">
        <f>+AE33+(650*AE29)</f>
        <v/>
      </c>
      <c r="AF62" s="1659">
        <f>+AF33+(650*AF29)</f>
        <v/>
      </c>
      <c r="AG62" s="1659">
        <f>+AG33+(650*AG29)</f>
        <v/>
      </c>
      <c r="AH62" s="1659">
        <f>+AH33+(650*AH29)</f>
        <v/>
      </c>
      <c r="AI62" s="1659">
        <f>+AI33+(650*AI29)</f>
        <v/>
      </c>
      <c r="AJ62" s="1659">
        <f>+AJ33+(650*AJ29)</f>
        <v/>
      </c>
      <c r="AK62" s="1659">
        <f>+AK33+(650*AK29)</f>
        <v/>
      </c>
      <c r="AL62" s="1659">
        <f>+AL33+(650*AL29)</f>
        <v/>
      </c>
      <c r="AM62" s="1659">
        <f>+AM33+(650*AM29)</f>
        <v/>
      </c>
      <c r="AN62" s="1659">
        <f>+AN33+(650*AN29)</f>
        <v/>
      </c>
      <c r="AO62" s="1659">
        <f>+AO33+(650*AO29)</f>
        <v/>
      </c>
      <c r="AP62" s="1659">
        <f>+AP33+(650*AP29)</f>
        <v/>
      </c>
      <c r="AQ62" s="1659">
        <f>+AQ33+(700*AQ29)</f>
        <v/>
      </c>
      <c r="AR62" s="1659">
        <f>+AR33+(700*AR29)</f>
        <v/>
      </c>
      <c r="AS62" s="1659">
        <f>+AS33+(700*AS29)</f>
        <v/>
      </c>
      <c r="AT62" s="1659">
        <f>+AT33+(700*AT29)</f>
        <v/>
      </c>
      <c r="AU62" s="1659">
        <f>+AU33+(700*AU29)</f>
        <v/>
      </c>
      <c r="AV62" s="1659">
        <f>+AV33+(700*AV29)</f>
        <v/>
      </c>
      <c r="AW62" s="1659">
        <f>+AW33+(700*AW29)</f>
        <v/>
      </c>
      <c r="AX62" s="1659">
        <f>+AX33+(700*AX29)</f>
        <v/>
      </c>
      <c r="AY62" s="1659">
        <f>+AY33+(700*AY29)</f>
        <v/>
      </c>
      <c r="AZ62" s="1659">
        <f>+AZ33+(700*AZ29)</f>
        <v/>
      </c>
      <c r="BA62" s="1659">
        <f>+BA33+(700*BA29)</f>
        <v/>
      </c>
      <c r="BB62" s="1659">
        <f>+BB33+(700*BB29)</f>
        <v/>
      </c>
      <c r="BC62" s="1659">
        <f>+BC33+(750*BC29)</f>
        <v/>
      </c>
      <c r="BD62" s="1659">
        <f>+BD33+(750*BD29)</f>
        <v/>
      </c>
      <c r="BE62" s="1659">
        <f>+BE33+(750*BE29)</f>
        <v/>
      </c>
      <c r="BF62" s="1659">
        <f>+BF33+(750*BF29)</f>
        <v/>
      </c>
      <c r="BG62" s="1659">
        <f>+BG33+(750*BG29)</f>
        <v/>
      </c>
      <c r="BH62" s="1659">
        <f>+BH33+(750*BH29)</f>
        <v/>
      </c>
      <c r="BI62" s="1659">
        <f>+BI33+(750*BI29)</f>
        <v/>
      </c>
      <c r="BJ62" s="1659">
        <f>+BJ33+(750*BJ29)</f>
        <v/>
      </c>
      <c r="BK62" s="1659">
        <f>+BK33+(750*BK29)</f>
        <v/>
      </c>
      <c r="BL62" s="1659">
        <f>+BL33+(750*BL29)</f>
        <v/>
      </c>
      <c r="BM62" s="1659">
        <f>+BM33+(750*BM29)</f>
        <v/>
      </c>
      <c r="BN62" s="1659">
        <f>+BN33+(750*BN29)</f>
        <v/>
      </c>
    </row>
    <row r="63" ht="12.75" customFormat="1" customHeight="1" s="1654">
      <c r="B63" s="1658" t="inlineStr">
        <is>
          <t>Companion Application</t>
        </is>
      </c>
      <c r="C63" s="1658" t="n"/>
      <c r="D63" s="1658" t="n"/>
      <c r="E63" s="1658" t="n"/>
      <c r="F63" s="1658" t="n"/>
      <c r="G63" s="1659">
        <f>+G44</f>
        <v/>
      </c>
      <c r="H63" s="1659">
        <f>+H44</f>
        <v/>
      </c>
      <c r="I63" s="1659">
        <f>+I44</f>
        <v/>
      </c>
      <c r="J63" s="1659">
        <f>+J44</f>
        <v/>
      </c>
      <c r="K63" s="1659">
        <f>+K44</f>
        <v/>
      </c>
      <c r="L63" s="1659">
        <f>+L44</f>
        <v/>
      </c>
      <c r="M63" s="1659">
        <f>+M44</f>
        <v/>
      </c>
      <c r="N63" s="1659">
        <f>+N44</f>
        <v/>
      </c>
      <c r="O63" s="1659">
        <f>+O44</f>
        <v/>
      </c>
      <c r="P63" s="1659">
        <f>+P44</f>
        <v/>
      </c>
      <c r="Q63" s="1659">
        <f>+Q44</f>
        <v/>
      </c>
      <c r="R63" s="1659">
        <f>+R44</f>
        <v/>
      </c>
      <c r="S63" s="1659">
        <f>+S44</f>
        <v/>
      </c>
      <c r="T63" s="1659">
        <f>+T44</f>
        <v/>
      </c>
      <c r="U63" s="1659">
        <f>+U44</f>
        <v/>
      </c>
      <c r="V63" s="1659">
        <f>+V44</f>
        <v/>
      </c>
      <c r="W63" s="1659">
        <f>+W44</f>
        <v/>
      </c>
      <c r="X63" s="1659">
        <f>+X44</f>
        <v/>
      </c>
      <c r="Y63" s="1659">
        <f>+Y44</f>
        <v/>
      </c>
      <c r="Z63" s="1659">
        <f>+Z44</f>
        <v/>
      </c>
      <c r="AA63" s="1659">
        <f>+AA44</f>
        <v/>
      </c>
      <c r="AB63" s="1659">
        <f>+AB44</f>
        <v/>
      </c>
      <c r="AC63" s="1659">
        <f>+AC44</f>
        <v/>
      </c>
      <c r="AD63" s="1659">
        <f>+AD44</f>
        <v/>
      </c>
      <c r="AE63" s="1659">
        <f>+AE44</f>
        <v/>
      </c>
      <c r="AF63" s="1659">
        <f>+AF44</f>
        <v/>
      </c>
      <c r="AG63" s="1659">
        <f>+AG44</f>
        <v/>
      </c>
      <c r="AH63" s="1659">
        <f>+AH44</f>
        <v/>
      </c>
      <c r="AI63" s="1659">
        <f>+AI44</f>
        <v/>
      </c>
      <c r="AJ63" s="1659">
        <f>+AJ44</f>
        <v/>
      </c>
      <c r="AK63" s="1659">
        <f>+AK44</f>
        <v/>
      </c>
      <c r="AL63" s="1659">
        <f>+AL44</f>
        <v/>
      </c>
      <c r="AM63" s="1659">
        <f>+AM44</f>
        <v/>
      </c>
      <c r="AN63" s="1659">
        <f>+AN44</f>
        <v/>
      </c>
      <c r="AO63" s="1659">
        <f>+AO44</f>
        <v/>
      </c>
      <c r="AP63" s="1659">
        <f>+AP44</f>
        <v/>
      </c>
      <c r="AQ63" s="1659">
        <f>+AQ44</f>
        <v/>
      </c>
      <c r="AR63" s="1659">
        <f>+AR44</f>
        <v/>
      </c>
      <c r="AS63" s="1659">
        <f>+AS44</f>
        <v/>
      </c>
      <c r="AT63" s="1659">
        <f>+AT44</f>
        <v/>
      </c>
      <c r="AU63" s="1659">
        <f>+AU44</f>
        <v/>
      </c>
      <c r="AV63" s="1659">
        <f>+AV44</f>
        <v/>
      </c>
      <c r="AW63" s="1659">
        <f>+AW44</f>
        <v/>
      </c>
      <c r="AX63" s="1659">
        <f>+AX44</f>
        <v/>
      </c>
      <c r="AY63" s="1659">
        <f>+AY44</f>
        <v/>
      </c>
      <c r="AZ63" s="1659">
        <f>+AZ44</f>
        <v/>
      </c>
      <c r="BA63" s="1659">
        <f>+BA44</f>
        <v/>
      </c>
      <c r="BB63" s="1659">
        <f>+BB44</f>
        <v/>
      </c>
      <c r="BC63" s="1659">
        <f>+BC44</f>
        <v/>
      </c>
      <c r="BD63" s="1659">
        <f>+BD44</f>
        <v/>
      </c>
      <c r="BE63" s="1659">
        <f>+BE44</f>
        <v/>
      </c>
      <c r="BF63" s="1659">
        <f>+BF44</f>
        <v/>
      </c>
      <c r="BG63" s="1659">
        <f>+BG44</f>
        <v/>
      </c>
      <c r="BH63" s="1659">
        <f>+BH44</f>
        <v/>
      </c>
      <c r="BI63" s="1659">
        <f>+BI44</f>
        <v/>
      </c>
      <c r="BJ63" s="1659">
        <f>+BJ44</f>
        <v/>
      </c>
      <c r="BK63" s="1659">
        <f>+BK44</f>
        <v/>
      </c>
      <c r="BL63" s="1659">
        <f>+BL44</f>
        <v/>
      </c>
      <c r="BM63" s="1659">
        <f>+BM44</f>
        <v/>
      </c>
      <c r="BN63" s="1659">
        <f>+BN44</f>
        <v/>
      </c>
    </row>
    <row r="64" ht="12.75" customFormat="1" customHeight="1" s="1654">
      <c r="B64" s="1658" t="inlineStr">
        <is>
          <t>Computer Application</t>
        </is>
      </c>
      <c r="C64" s="1658" t="n"/>
      <c r="D64" s="1658" t="n"/>
      <c r="E64" s="1658" t="n"/>
      <c r="F64" s="1658" t="n"/>
      <c r="G64" s="1659">
        <f>+G55</f>
        <v/>
      </c>
      <c r="H64" s="1659">
        <f>+H55</f>
        <v/>
      </c>
      <c r="I64" s="1659">
        <f>+I55</f>
        <v/>
      </c>
      <c r="J64" s="1659">
        <f>+J55</f>
        <v/>
      </c>
      <c r="K64" s="1659">
        <f>+K55</f>
        <v/>
      </c>
      <c r="L64" s="1659">
        <f>+L55</f>
        <v/>
      </c>
      <c r="M64" s="1659">
        <f>+M55</f>
        <v/>
      </c>
      <c r="N64" s="1659">
        <f>+N55</f>
        <v/>
      </c>
      <c r="O64" s="1659">
        <f>+O55</f>
        <v/>
      </c>
      <c r="P64" s="1659">
        <f>+P55</f>
        <v/>
      </c>
      <c r="Q64" s="1659">
        <f>+Q55</f>
        <v/>
      </c>
      <c r="R64" s="1659">
        <f>+R55</f>
        <v/>
      </c>
      <c r="S64" s="1659">
        <f>+S55</f>
        <v/>
      </c>
      <c r="T64" s="1659">
        <f>+T55</f>
        <v/>
      </c>
      <c r="U64" s="1659">
        <f>+U55</f>
        <v/>
      </c>
      <c r="V64" s="1659">
        <f>+V55</f>
        <v/>
      </c>
      <c r="W64" s="1659">
        <f>+W55</f>
        <v/>
      </c>
      <c r="X64" s="1659">
        <f>+X55</f>
        <v/>
      </c>
      <c r="Y64" s="1659">
        <f>+Y55</f>
        <v/>
      </c>
      <c r="Z64" s="1659">
        <f>+Z55</f>
        <v/>
      </c>
      <c r="AA64" s="1659">
        <f>+AA55</f>
        <v/>
      </c>
      <c r="AB64" s="1659">
        <f>+AB55</f>
        <v/>
      </c>
      <c r="AC64" s="1659">
        <f>+AC55</f>
        <v/>
      </c>
      <c r="AD64" s="1659">
        <f>+AD55</f>
        <v/>
      </c>
      <c r="AE64" s="1659">
        <f>+AE55</f>
        <v/>
      </c>
      <c r="AF64" s="1659">
        <f>+AF55</f>
        <v/>
      </c>
      <c r="AG64" s="1659">
        <f>+AG55</f>
        <v/>
      </c>
      <c r="AH64" s="1659">
        <f>+AH55</f>
        <v/>
      </c>
      <c r="AI64" s="1659">
        <f>+AI55</f>
        <v/>
      </c>
      <c r="AJ64" s="1659">
        <f>+AJ55</f>
        <v/>
      </c>
      <c r="AK64" s="1659">
        <f>+AK55</f>
        <v/>
      </c>
      <c r="AL64" s="1659">
        <f>+AL55</f>
        <v/>
      </c>
      <c r="AM64" s="1659">
        <f>+AM55</f>
        <v/>
      </c>
      <c r="AN64" s="1659">
        <f>+AN55</f>
        <v/>
      </c>
      <c r="AO64" s="1659">
        <f>+AO55</f>
        <v/>
      </c>
      <c r="AP64" s="1659">
        <f>+AP55</f>
        <v/>
      </c>
      <c r="AQ64" s="1659">
        <f>+AQ55</f>
        <v/>
      </c>
      <c r="AR64" s="1659">
        <f>+AR55</f>
        <v/>
      </c>
      <c r="AS64" s="1659">
        <f>+AS55</f>
        <v/>
      </c>
      <c r="AT64" s="1659">
        <f>+AT55</f>
        <v/>
      </c>
      <c r="AU64" s="1659">
        <f>+AU55</f>
        <v/>
      </c>
      <c r="AV64" s="1659">
        <f>+AV55</f>
        <v/>
      </c>
      <c r="AW64" s="1659">
        <f>+AW55</f>
        <v/>
      </c>
      <c r="AX64" s="1659">
        <f>+AX55</f>
        <v/>
      </c>
      <c r="AY64" s="1659">
        <f>+AY55</f>
        <v/>
      </c>
      <c r="AZ64" s="1659">
        <f>+AZ55</f>
        <v/>
      </c>
      <c r="BA64" s="1659">
        <f>+BA55</f>
        <v/>
      </c>
      <c r="BB64" s="1659">
        <f>+BB55</f>
        <v/>
      </c>
      <c r="BC64" s="1659">
        <f>+BC55</f>
        <v/>
      </c>
      <c r="BD64" s="1659">
        <f>+BD55</f>
        <v/>
      </c>
      <c r="BE64" s="1659">
        <f>+BE55</f>
        <v/>
      </c>
      <c r="BF64" s="1659">
        <f>+BF55</f>
        <v/>
      </c>
      <c r="BG64" s="1659">
        <f>+BG55</f>
        <v/>
      </c>
      <c r="BH64" s="1659">
        <f>+BH55</f>
        <v/>
      </c>
      <c r="BI64" s="1659">
        <f>+BI55</f>
        <v/>
      </c>
      <c r="BJ64" s="1659">
        <f>+BJ55</f>
        <v/>
      </c>
      <c r="BK64" s="1659">
        <f>+BK55</f>
        <v/>
      </c>
      <c r="BL64" s="1659">
        <f>+BL55</f>
        <v/>
      </c>
      <c r="BM64" s="1659">
        <f>+BM55</f>
        <v/>
      </c>
      <c r="BN64" s="1659">
        <f>+BN55</f>
        <v/>
      </c>
    </row>
    <row r="65" ht="12.75" customFormat="1" customHeight="1" s="1654">
      <c r="B65" s="1655" t="inlineStr">
        <is>
          <t>Total Revenue</t>
        </is>
      </c>
      <c r="C65" s="1655" t="inlineStr">
        <is>
          <t xml:space="preserve"> </t>
        </is>
      </c>
      <c r="D65" s="1655" t="n"/>
      <c r="E65" s="1655" t="inlineStr">
        <is>
          <t xml:space="preserve"> </t>
        </is>
      </c>
      <c r="F65" s="1655" t="inlineStr">
        <is>
          <t xml:space="preserve"> </t>
        </is>
      </c>
      <c r="G65" s="1661">
        <f>SUM(G62:G64)</f>
        <v/>
      </c>
      <c r="H65" s="1661">
        <f>SUM(H62:H64)</f>
        <v/>
      </c>
      <c r="I65" s="1661">
        <f>SUM(I62:I64)</f>
        <v/>
      </c>
      <c r="J65" s="1661">
        <f>SUM(J62:J64)</f>
        <v/>
      </c>
      <c r="K65" s="1661">
        <f>SUM(K62:K64)</f>
        <v/>
      </c>
      <c r="L65" s="1661">
        <f>SUM(L62:L64)</f>
        <v/>
      </c>
      <c r="M65" s="1661">
        <f>SUM(M62:M64)</f>
        <v/>
      </c>
      <c r="N65" s="1661">
        <f>SUM(N62:N64)</f>
        <v/>
      </c>
      <c r="O65" s="1661">
        <f>SUM(O62:O64)</f>
        <v/>
      </c>
      <c r="P65" s="1661">
        <f>SUM(P62:P64)</f>
        <v/>
      </c>
      <c r="Q65" s="1661">
        <f>SUM(Q62:Q64)</f>
        <v/>
      </c>
      <c r="R65" s="1661">
        <f>SUM(R62:R64)</f>
        <v/>
      </c>
      <c r="S65" s="1661">
        <f>SUM(S62:S64)</f>
        <v/>
      </c>
      <c r="T65" s="1661">
        <f>SUM(T62:T64)</f>
        <v/>
      </c>
      <c r="U65" s="1661">
        <f>SUM(U62:U64)</f>
        <v/>
      </c>
      <c r="V65" s="1661">
        <f>SUM(V62:V64)</f>
        <v/>
      </c>
      <c r="W65" s="1661">
        <f>SUM(W62:W64)</f>
        <v/>
      </c>
      <c r="X65" s="1661">
        <f>SUM(X62:X64)</f>
        <v/>
      </c>
      <c r="Y65" s="1661">
        <f>SUM(Y62:Y64)</f>
        <v/>
      </c>
      <c r="Z65" s="1661">
        <f>SUM(Z62:Z64)</f>
        <v/>
      </c>
      <c r="AA65" s="1661">
        <f>SUM(AA62:AA64)</f>
        <v/>
      </c>
      <c r="AB65" s="1661">
        <f>SUM(AB62:AB64)</f>
        <v/>
      </c>
      <c r="AC65" s="1661">
        <f>SUM(AC62:AC64)</f>
        <v/>
      </c>
      <c r="AD65" s="1661">
        <f>SUM(AD62:AD64)</f>
        <v/>
      </c>
      <c r="AE65" s="1661">
        <f>SUM(AE62:AE64)</f>
        <v/>
      </c>
      <c r="AF65" s="1661">
        <f>SUM(AF62:AF64)</f>
        <v/>
      </c>
      <c r="AG65" s="1661">
        <f>SUM(AG62:AG64)</f>
        <v/>
      </c>
      <c r="AH65" s="1661">
        <f>SUM(AH62:AH64)</f>
        <v/>
      </c>
      <c r="AI65" s="1661">
        <f>SUM(AI62:AI64)</f>
        <v/>
      </c>
      <c r="AJ65" s="1661">
        <f>SUM(AJ62:AJ64)</f>
        <v/>
      </c>
      <c r="AK65" s="1661">
        <f>SUM(AK62:AK64)</f>
        <v/>
      </c>
      <c r="AL65" s="1661">
        <f>SUM(AL62:AL64)</f>
        <v/>
      </c>
      <c r="AM65" s="1661">
        <f>SUM(AM62:AM64)</f>
        <v/>
      </c>
      <c r="AN65" s="1661">
        <f>SUM(AN62:AN64)</f>
        <v/>
      </c>
      <c r="AO65" s="1661">
        <f>SUM(AO62:AO64)</f>
        <v/>
      </c>
      <c r="AP65" s="1661">
        <f>SUM(AP62:AP64)</f>
        <v/>
      </c>
      <c r="AQ65" s="1661">
        <f>SUM(AQ62:AQ64)</f>
        <v/>
      </c>
      <c r="AR65" s="1661">
        <f>SUM(AR62:AR64)</f>
        <v/>
      </c>
      <c r="AS65" s="1661">
        <f>SUM(AS62:AS64)</f>
        <v/>
      </c>
      <c r="AT65" s="1661">
        <f>SUM(AT62:AT64)</f>
        <v/>
      </c>
      <c r="AU65" s="1661">
        <f>SUM(AU62:AU64)</f>
        <v/>
      </c>
      <c r="AV65" s="1661">
        <f>SUM(AV62:AV64)</f>
        <v/>
      </c>
      <c r="AW65" s="1661">
        <f>SUM(AW62:AW64)</f>
        <v/>
      </c>
      <c r="AX65" s="1661">
        <f>SUM(AX62:AX64)</f>
        <v/>
      </c>
      <c r="AY65" s="1661">
        <f>SUM(AY62:AY64)</f>
        <v/>
      </c>
      <c r="AZ65" s="1661">
        <f>SUM(AZ62:AZ64)</f>
        <v/>
      </c>
      <c r="BA65" s="1661">
        <f>SUM(BA62:BA64)</f>
        <v/>
      </c>
      <c r="BB65" s="1661">
        <f>SUM(BB62:BB64)</f>
        <v/>
      </c>
      <c r="BC65" s="1661">
        <f>SUM(BC62:BC64)</f>
        <v/>
      </c>
      <c r="BD65" s="1661">
        <f>SUM(BD62:BD64)</f>
        <v/>
      </c>
      <c r="BE65" s="1661">
        <f>SUM(BE62:BE64)</f>
        <v/>
      </c>
      <c r="BF65" s="1661">
        <f>SUM(BF62:BF64)</f>
        <v/>
      </c>
      <c r="BG65" s="1661">
        <f>SUM(BG62:BG64)</f>
        <v/>
      </c>
      <c r="BH65" s="1661">
        <f>SUM(BH62:BH64)</f>
        <v/>
      </c>
      <c r="BI65" s="1661">
        <f>SUM(BI62:BI64)</f>
        <v/>
      </c>
      <c r="BJ65" s="1661">
        <f>SUM(BJ62:BJ64)</f>
        <v/>
      </c>
      <c r="BK65" s="1661">
        <f>SUM(BK62:BK64)</f>
        <v/>
      </c>
      <c r="BL65" s="1661">
        <f>SUM(BL62:BL64)</f>
        <v/>
      </c>
      <c r="BM65" s="1661">
        <f>SUM(BM62:BM64)</f>
        <v/>
      </c>
      <c r="BN65" s="1661">
        <f>SUM(BN62:BN64)</f>
        <v/>
      </c>
      <c r="BO65" s="1658" t="n"/>
      <c r="BP65" s="1658" t="n"/>
    </row>
    <row r="66" ht="12.75" customFormat="1" customHeight="1" s="1654">
      <c r="B66" s="1662" t="inlineStr">
        <is>
          <t>COGS (CMO)</t>
        </is>
      </c>
      <c r="C66" s="1663" t="n"/>
      <c r="D66" s="1663" t="n"/>
      <c r="E66" s="1663" t="n"/>
      <c r="F66" s="1663" t="n"/>
      <c r="G66" s="1664" t="n"/>
      <c r="H66" s="1664" t="n"/>
      <c r="I66" s="1664" t="n"/>
      <c r="J66" s="1664" t="n"/>
      <c r="K66" s="1664" t="n"/>
      <c r="L66" s="1664" t="n"/>
      <c r="M66" s="1664" t="n"/>
      <c r="N66" s="1664" t="n"/>
      <c r="O66" s="1664" t="n"/>
      <c r="P66" s="1664" t="n"/>
      <c r="Q66" s="1664" t="n"/>
      <c r="R66" s="1664" t="n"/>
      <c r="S66" s="1664" t="n"/>
      <c r="T66" s="1664" t="n"/>
      <c r="U66" s="1664" t="n"/>
      <c r="V66" s="1664" t="n"/>
      <c r="W66" s="1664" t="n"/>
      <c r="X66" s="1664" t="n"/>
      <c r="Y66" s="1664" t="n"/>
      <c r="Z66" s="1664" t="n"/>
      <c r="AA66" s="1664" t="n"/>
      <c r="AB66" s="1664" t="n"/>
      <c r="AC66" s="1664" t="n"/>
      <c r="AD66" s="1664" t="n"/>
      <c r="AE66" s="1664" t="n"/>
      <c r="AF66" s="1664" t="n"/>
      <c r="AG66" s="1664" t="n"/>
      <c r="AH66" s="1664" t="n"/>
      <c r="AI66" s="1664" t="n"/>
      <c r="AJ66" s="1664" t="n"/>
      <c r="AK66" s="1664" t="n"/>
      <c r="AL66" s="1664" t="n"/>
      <c r="AM66" s="1664" t="n"/>
      <c r="AN66" s="1664" t="n"/>
      <c r="AO66" s="1664" t="n"/>
      <c r="AP66" s="1664" t="n"/>
      <c r="AQ66" s="1664" t="n"/>
      <c r="AR66" s="1664" t="n"/>
      <c r="AS66" s="1664" t="n"/>
      <c r="AT66" s="1664" t="n"/>
      <c r="AU66" s="1664" t="n"/>
      <c r="AV66" s="1664" t="n"/>
      <c r="AW66" s="1664" t="n"/>
      <c r="AX66" s="1664" t="n"/>
      <c r="AY66" s="1664" t="n"/>
      <c r="AZ66" s="1664" t="n"/>
      <c r="BA66" s="1664" t="n"/>
      <c r="BB66" s="1664" t="n"/>
      <c r="BC66" s="1664" t="n"/>
      <c r="BD66" s="1664" t="n"/>
      <c r="BE66" s="1664" t="n"/>
      <c r="BF66" s="1664" t="n"/>
      <c r="BG66" s="1664" t="n"/>
      <c r="BH66" s="1664" t="n"/>
      <c r="BI66" s="1664" t="n"/>
      <c r="BJ66" s="1664" t="n"/>
      <c r="BK66" s="1664" t="n"/>
      <c r="BL66" s="1664" t="n"/>
      <c r="BM66" s="1664" t="n"/>
      <c r="BN66" s="1664" t="n"/>
      <c r="BO66" s="1658" t="n"/>
      <c r="BP66" s="1658" t="n"/>
    </row>
    <row r="67" ht="12.75" customFormat="1" customHeight="1" s="1654">
      <c r="B67" s="1658" t="inlineStr">
        <is>
          <t>Phone</t>
        </is>
      </c>
      <c r="C67" s="1658" t="n"/>
      <c r="D67" s="1658" t="n"/>
      <c r="E67" s="1658" t="n"/>
      <c r="F67" s="1658" t="n"/>
      <c r="G67" s="1660">
        <f>+G36+(0.12*I62)</f>
        <v/>
      </c>
      <c r="H67" s="1659">
        <f>+H36+(0.12*J62)</f>
        <v/>
      </c>
      <c r="I67" s="1659">
        <f>+I36+(55*G29)+(0.12*K62)</f>
        <v/>
      </c>
      <c r="J67" s="1659">
        <f>+J36+(55*(G29+H29)+(0.12*L62))</f>
        <v/>
      </c>
      <c r="K67" s="1659">
        <f>+K36+(55*(G29+H29+I29)+(0.12*M62))</f>
        <v/>
      </c>
      <c r="L67" s="1659">
        <f>+L36+(55*(G29+H29+I29+J29)+(0.12*N62))</f>
        <v/>
      </c>
      <c r="M67" s="1659">
        <f>+M36+(55*(G29+H29+I29+J29+K29)+(0.12*O62))</f>
        <v/>
      </c>
      <c r="N67" s="1659">
        <f>+N36+(55*(G29+H29+I29+J29+K29+L29)+(0.12*P62))</f>
        <v/>
      </c>
      <c r="O67" s="1659">
        <f>+O36+(55*(G29+H29+I29+J29+K29+L29+M29)+(0.12*Q62))</f>
        <v/>
      </c>
      <c r="P67" s="1659">
        <f>+P36+(55*(G29+H29+I29+J29+K29+L29+M29+N29)+(0.12*R62))</f>
        <v/>
      </c>
      <c r="Q67" s="1659">
        <f>+Q36+(55*(G29+H29+I29+J29+K29+L29+M29+N29+O29)+(0.12*S62))</f>
        <v/>
      </c>
      <c r="R67" s="1659">
        <f>+R36+(55*(G29+H29+I29+J29+K29+L29+M29+N29+O29+P29)+(0.12*T62))</f>
        <v/>
      </c>
      <c r="S67" s="1659">
        <f>+S36+(60*(H29+I29+J29+K29+L29+M29+N29+O29+P29+Q29)+(0.12*U62))</f>
        <v/>
      </c>
      <c r="T67" s="1659">
        <f>+T36+(60*(I29+J29+K29+L29+M29+N29+O29+P29+Q29+R29)+(0.12*V62))</f>
        <v/>
      </c>
      <c r="U67" s="1659">
        <f>+U36+(60*(J29+K29+L29+M29+N29+O29+P29+Q29+R29+S29)+(0.12*W62))</f>
        <v/>
      </c>
      <c r="V67" s="1659">
        <f>+V36+(60*(K29+L29+M29+N29+O29+P29+Q29+R29+S29+T29)+(0.12*X62))</f>
        <v/>
      </c>
      <c r="W67" s="1659">
        <f>+W36+(60*(L29+M29+N29+O29+P29+Q29+R29+S29+T29+U29)+(0.12*Y62))</f>
        <v/>
      </c>
      <c r="X67" s="1659">
        <f>+X36+(60*(M29+N29+O29+P29+Q29+R29+S29+T29+U29+V29)+(0.12*Z62))</f>
        <v/>
      </c>
      <c r="Y67" s="1659">
        <f>+Y36+(60*(N29+O29+P29+Q29+R29+S29+T29+U29+V29+W29)+(0.12*AA62))</f>
        <v/>
      </c>
      <c r="Z67" s="1659">
        <f>+Z36+(60*(O29+P29+Q29+R29+S29+T29+U29+V29+W29+X29)+(0.12*AB62))</f>
        <v/>
      </c>
      <c r="AA67" s="1659">
        <f>+AA36+(60*(P29+Q29+R29+S29+T29+U29+V29+W29+X29+Y29)+(0.12*AC62))</f>
        <v/>
      </c>
      <c r="AB67" s="1659">
        <f>+AB36+(60*(Q29+R29+S29+T29+U29+V29+W29+X29+Y29+Z29)+(0.12*AD62))</f>
        <v/>
      </c>
      <c r="AC67" s="1659">
        <f>+AC36+(60*(R29+S29+T29+U29+V29+W29+X29+Y29+Z29+AA29)+(0.12*AE62))</f>
        <v/>
      </c>
      <c r="AD67" s="1659">
        <f>+AD36+(60*(S29+T29+U29+V29+W29+X29+Y29+Z29+AA29+AB29)+(0.12*AF62))</f>
        <v/>
      </c>
      <c r="AE67" s="1659">
        <f>+AE36+(65*(T29+U29+V29+W29+X29+Y29+Z29+AA29+AB29+AC29)+(0.12*AG62))</f>
        <v/>
      </c>
      <c r="AF67" s="1659">
        <f>+AF36+(65*(U29+V29+W29+X29+Y29+Z29+AA29+AB29+AC29+AD29)+(0.12*AH62))</f>
        <v/>
      </c>
      <c r="AG67" s="1659">
        <f>+AG36+(65*(V29+W29+X29+Y29+Z29+AA29+AB29+AC29+AD29+AE29)+(0.12*AI62))</f>
        <v/>
      </c>
      <c r="AH67" s="1659">
        <f>+AH36+(65*(W29+X29+Y29+Z29+AA29+AB29+AC29+AD29+AE29+AF29)+(0.12*AJ62))</f>
        <v/>
      </c>
      <c r="AI67" s="1659">
        <f>+AI36+(65*(X29+Y29+Z29+AA29+AB29+AC29+AD29+AE29+AF29+AG29)+(0.12*AK62))</f>
        <v/>
      </c>
      <c r="AJ67" s="1659">
        <f>+AJ36+(65*(Y29+Z29+AA29+AB29+AC29+AD29+AE29+AF29+AG29+AH29)+(0.12*AL62))</f>
        <v/>
      </c>
      <c r="AK67" s="1659">
        <f>+AK36+(65*(Z29+AA29+AB29+AC29+AD29+AE29+AF29+AG29+AH29+AI29)+(0.12*AM62))</f>
        <v/>
      </c>
      <c r="AL67" s="1659">
        <f>+AL36+(65*(AA29+AB29+AC29+AD29+AE29+AF29+AG29+AH29+AI29+AJ29)+(0.12*AN62))</f>
        <v/>
      </c>
      <c r="AM67" s="1659">
        <f>+AM36+(65*(AB29+AC29+AD29+AE29+AF29+AG29+AH29+AI29+AJ29+AK29)+(0.12*AO62))</f>
        <v/>
      </c>
      <c r="AN67" s="1659">
        <f>+AN36+(65*(AC29+AD29+AE29+AF29+AG29+AH29+AI29+AJ29+AK29+AL29)+(0.12*AP62))</f>
        <v/>
      </c>
      <c r="AO67" s="1659">
        <f>+AO36+(65*(AD29+AE29+AF29+AG29+AH29+AI29+AJ29+AK29+AL29+AM29)+(0.12*AQ62))</f>
        <v/>
      </c>
      <c r="AP67" s="1659">
        <f>+AP36+(65*(AE29+AF29+AG29+AH29+AI29+AJ29+AK29+AL29+AM29+AN29)+(0.12*AR62))</f>
        <v/>
      </c>
      <c r="AQ67" s="1659">
        <f>+AQ36+(70*(AF29+AG29+AH29+AI29+AJ29+AK29+AL29+AM29+AN29+AO29)+(0.12*AS62))</f>
        <v/>
      </c>
      <c r="AR67" s="1659">
        <f>+AR36+(70*(AG29+AH29+AI29+AJ29+AK29+AL29+AM29+AN29+AO29+AP29)+(0.12*AT62))</f>
        <v/>
      </c>
      <c r="AS67" s="1659">
        <f>+AS36+(70*(AH29+AI29+AJ29+AK29+AL29+AM29+AN29+AO29+AP29+AQ29)+(0.12*AU62))</f>
        <v/>
      </c>
      <c r="AT67" s="1659">
        <f>+AT36+(70*(AI29+AJ29+AK29+AL29+AM29+AN29+AO29+AP29+AQ29+AR29)+(0.12*AV62))</f>
        <v/>
      </c>
      <c r="AU67" s="1659">
        <f>+AU36+(70*(AJ29+AK29+AL29+AM29+AN29+AO29+AP29+AQ29+AR29+AS29)+(0.12*AW62))</f>
        <v/>
      </c>
      <c r="AV67" s="1659">
        <f>+AV36+(70*(AK29+AL29+AM29+AN29+AO29+AP29+AQ29+AR29+AS29+AT29)+(0.12*AX62))</f>
        <v/>
      </c>
      <c r="AW67" s="1659">
        <f>+AW36+(70*(AL29+AM29+AN29+AO29+AP29+AQ29+AR29+AS29+AT29+AU29)+(0.12*AY62))</f>
        <v/>
      </c>
      <c r="AX67" s="1659">
        <f>+AX36+(70*(AM29+AN29+AO29+AP29+AQ29+AR29+AS29+AT29+AU29+AV29)+(0.12*AZ62))</f>
        <v/>
      </c>
      <c r="AY67" s="1659">
        <f>+AY36+(70*(AN29+AO29+AP29+AQ29+AR29+AS29+AT29+AU29+AV29+AW29)+(0.12*BA62))</f>
        <v/>
      </c>
      <c r="AZ67" s="1659">
        <f>+AZ36+(70*(AO29+AP29+AQ29+AR29+AS29+AT29+AU29+AV29+AW29+AX29)+(0.12*BB62))</f>
        <v/>
      </c>
      <c r="BA67" s="1659">
        <f>+BA36+(70*(AP29+AQ29+AR29+AS29+AT29+AU29+AV29+AW29+AX29+AY29)+(0.12*BC62))</f>
        <v/>
      </c>
      <c r="BB67" s="1659">
        <f>+BB36+(70*(AQ29+AR29+AS29+AT29+AU29+AV29+AW29+AX29+AY29+AZ29)+(0.12*BD62))</f>
        <v/>
      </c>
      <c r="BC67" s="1659">
        <f>+BC36+(75*(AR29+AS29+AT29+AU29+AV29+AW29+AX29+AY29+AZ29+BA29)+(0.12*BE62))</f>
        <v/>
      </c>
      <c r="BD67" s="1659">
        <f>+BD36+(75*(AS29+AT29+AU29+AV29+AW29+AX29+AY29+AZ29+BA29+BB29)+(0.12*BF62))</f>
        <v/>
      </c>
      <c r="BE67" s="1659">
        <f>+BE36+(75*(AT29+AU29+AV29+AW29+AX29+AY29+AZ29+BA29+BB29+BC29)+(0.12*BG62))</f>
        <v/>
      </c>
      <c r="BF67" s="1659">
        <f>+BF36+(75*(AU29+AV29+AW29+AX29+AY29+AZ29+BA29+BB29+BC29+BD29)+(0.12*BH62))</f>
        <v/>
      </c>
      <c r="BG67" s="1659">
        <f>+BG36+(75*(AV29+AW29+AX29+AY29+AZ29+BA29+BB29+BC29+BD29+BE29)+(0.12*BI62))</f>
        <v/>
      </c>
      <c r="BH67" s="1659">
        <f>+BH36+(75*(AW29+AX29+AY29+AZ29+BA29+BB29+BC29+BD29+BE29+BF29)+(0.12*BJ62))</f>
        <v/>
      </c>
      <c r="BI67" s="1659">
        <f>+BI36+(75*(AX29+AY29+AZ29+BA29+BB29+BC29+BD29+BE29+BF29+BG29)+(0.12*BK62))</f>
        <v/>
      </c>
      <c r="BJ67" s="1659">
        <f>+BJ36+(75*(AY29+AZ29+BA29+BB29+BC29+BD29+BE29+BF29+BG29+BH29)+(0.12*BL62))</f>
        <v/>
      </c>
      <c r="BK67" s="1659">
        <f>+BK36+(75*(AZ29+BA29+BB29+BC29+BD29+BE29+BF29+BG29+BH29+BI29)+(0.12*BM62))</f>
        <v/>
      </c>
      <c r="BL67" s="1659">
        <f>+BL36+(75*(BA29+BB29+BC29+BD29+BE29+BF29+BG29+BH29+BI29+BJ29)+(0.12*BN62))</f>
        <v/>
      </c>
      <c r="BM67" s="1659">
        <f>+BM36+(75*(BB29+BC29+BD29+BE29+BF29+BG29+BH29+BI29+BJ29+BK29)+(0.12*BO62))</f>
        <v/>
      </c>
      <c r="BN67" s="1659">
        <f>+BN36+(75*(BC29+BD29+BE29+BF29+BG29+BH29+BI29+BJ29+BK29+BL29)+(0.12*BP62))</f>
        <v/>
      </c>
      <c r="BO67" s="1658" t="n"/>
      <c r="BP67" s="1665" t="inlineStr">
        <is>
          <t>.12 multiplier in this row is for what we pay back out to users over time ($55 times row 26 items repeated 10 times is to signify $550 being paid back to the customer over time after their downpayment of $550 to opt into our program) (these numbers apply in FY1 and then they increase to $60, $65, $70, and $75 respectively per year)</t>
        </is>
      </c>
    </row>
    <row r="68" ht="12.75" customFormat="1" customHeight="1" s="1654">
      <c r="B68" s="1658" t="inlineStr">
        <is>
          <t>Companion Application</t>
        </is>
      </c>
      <c r="C68" s="1658" t="n"/>
      <c r="D68" s="1658" t="n"/>
      <c r="E68" s="1658" t="n"/>
      <c r="F68" s="1658" t="n"/>
      <c r="G68" s="1659">
        <f>+G47</f>
        <v/>
      </c>
      <c r="H68" s="1659">
        <f>+H47</f>
        <v/>
      </c>
      <c r="I68" s="1659">
        <f>+I47</f>
        <v/>
      </c>
      <c r="J68" s="1659">
        <f>+J47</f>
        <v/>
      </c>
      <c r="K68" s="1659">
        <f>+K47</f>
        <v/>
      </c>
      <c r="L68" s="1659">
        <f>+L47</f>
        <v/>
      </c>
      <c r="M68" s="1659">
        <f>+M47</f>
        <v/>
      </c>
      <c r="N68" s="1659">
        <f>+N47</f>
        <v/>
      </c>
      <c r="O68" s="1659">
        <f>+O47</f>
        <v/>
      </c>
      <c r="P68" s="1659">
        <f>+P47</f>
        <v/>
      </c>
      <c r="Q68" s="1659">
        <f>+Q47</f>
        <v/>
      </c>
      <c r="R68" s="1659">
        <f>+R47</f>
        <v/>
      </c>
      <c r="S68" s="1659">
        <f>+S47</f>
        <v/>
      </c>
      <c r="T68" s="1659">
        <f>+T47</f>
        <v/>
      </c>
      <c r="U68" s="1659">
        <f>+U47</f>
        <v/>
      </c>
      <c r="V68" s="1659">
        <f>+V47</f>
        <v/>
      </c>
      <c r="W68" s="1659">
        <f>+W47</f>
        <v/>
      </c>
      <c r="X68" s="1659">
        <f>+X47</f>
        <v/>
      </c>
      <c r="Y68" s="1659">
        <f>+Y47</f>
        <v/>
      </c>
      <c r="Z68" s="1659">
        <f>+Z47</f>
        <v/>
      </c>
      <c r="AA68" s="1659">
        <f>+AA47</f>
        <v/>
      </c>
      <c r="AB68" s="1659">
        <f>+AB47</f>
        <v/>
      </c>
      <c r="AC68" s="1659">
        <f>+AC47</f>
        <v/>
      </c>
      <c r="AD68" s="1659">
        <f>+AD47</f>
        <v/>
      </c>
      <c r="AE68" s="1659">
        <f>+AE47</f>
        <v/>
      </c>
      <c r="AF68" s="1659">
        <f>+AF47</f>
        <v/>
      </c>
      <c r="AG68" s="1659">
        <f>+AG47</f>
        <v/>
      </c>
      <c r="AH68" s="1659">
        <f>+AH47</f>
        <v/>
      </c>
      <c r="AI68" s="1659">
        <f>+AI47</f>
        <v/>
      </c>
      <c r="AJ68" s="1659">
        <f>+AJ47</f>
        <v/>
      </c>
      <c r="AK68" s="1659">
        <f>+AK47</f>
        <v/>
      </c>
      <c r="AL68" s="1659">
        <f>+AL47</f>
        <v/>
      </c>
      <c r="AM68" s="1659">
        <f>+AM47</f>
        <v/>
      </c>
      <c r="AN68" s="1659">
        <f>+AN47</f>
        <v/>
      </c>
      <c r="AO68" s="1659">
        <f>+AO47</f>
        <v/>
      </c>
      <c r="AP68" s="1659">
        <f>+AP47</f>
        <v/>
      </c>
      <c r="AQ68" s="1659">
        <f>+AQ47</f>
        <v/>
      </c>
      <c r="AR68" s="1659">
        <f>+AR47</f>
        <v/>
      </c>
      <c r="AS68" s="1659">
        <f>+AS47</f>
        <v/>
      </c>
      <c r="AT68" s="1659">
        <f>+AT47</f>
        <v/>
      </c>
      <c r="AU68" s="1659">
        <f>+AU47</f>
        <v/>
      </c>
      <c r="AV68" s="1659">
        <f>+AV47</f>
        <v/>
      </c>
      <c r="AW68" s="1659">
        <f>+AW47</f>
        <v/>
      </c>
      <c r="AX68" s="1659">
        <f>+AX47</f>
        <v/>
      </c>
      <c r="AY68" s="1659">
        <f>+AY47</f>
        <v/>
      </c>
      <c r="AZ68" s="1659">
        <f>+AZ47</f>
        <v/>
      </c>
      <c r="BA68" s="1659">
        <f>+BA47</f>
        <v/>
      </c>
      <c r="BB68" s="1659">
        <f>+BB47</f>
        <v/>
      </c>
      <c r="BC68" s="1659">
        <f>+BC47</f>
        <v/>
      </c>
      <c r="BD68" s="1659">
        <f>+BD47</f>
        <v/>
      </c>
      <c r="BE68" s="1659">
        <f>+BE47</f>
        <v/>
      </c>
      <c r="BF68" s="1659">
        <f>+BF47</f>
        <v/>
      </c>
      <c r="BG68" s="1659">
        <f>+BG47</f>
        <v/>
      </c>
      <c r="BH68" s="1659">
        <f>+BH47</f>
        <v/>
      </c>
      <c r="BI68" s="1659">
        <f>+BI47</f>
        <v/>
      </c>
      <c r="BJ68" s="1659">
        <f>+BJ47</f>
        <v/>
      </c>
      <c r="BK68" s="1659">
        <f>+BK47</f>
        <v/>
      </c>
      <c r="BL68" s="1659">
        <f>+BL47</f>
        <v/>
      </c>
      <c r="BM68" s="1659">
        <f>+BM47</f>
        <v/>
      </c>
      <c r="BN68" s="1659">
        <f>+BN47</f>
        <v/>
      </c>
      <c r="BO68" s="1658" t="n"/>
      <c r="BP68" s="1658" t="n"/>
    </row>
    <row r="69" ht="12.75" customFormat="1" customHeight="1" s="1654">
      <c r="B69" s="1658" t="inlineStr">
        <is>
          <t>Computer Application</t>
        </is>
      </c>
      <c r="C69" s="1658" t="n"/>
      <c r="D69" s="1658" t="n"/>
      <c r="E69" s="1658" t="n"/>
      <c r="F69" s="1658" t="n"/>
      <c r="G69" s="1659">
        <f>+G58</f>
        <v/>
      </c>
      <c r="H69" s="1659">
        <f>+H58</f>
        <v/>
      </c>
      <c r="I69" s="1659">
        <f>+I58</f>
        <v/>
      </c>
      <c r="J69" s="1659">
        <f>+J58</f>
        <v/>
      </c>
      <c r="K69" s="1659">
        <f>+K58</f>
        <v/>
      </c>
      <c r="L69" s="1659">
        <f>+L58</f>
        <v/>
      </c>
      <c r="M69" s="1659">
        <f>+M58</f>
        <v/>
      </c>
      <c r="N69" s="1659">
        <f>+N58</f>
        <v/>
      </c>
      <c r="O69" s="1659">
        <f>+O58</f>
        <v/>
      </c>
      <c r="P69" s="1659">
        <f>+P58</f>
        <v/>
      </c>
      <c r="Q69" s="1659">
        <f>+Q58</f>
        <v/>
      </c>
      <c r="R69" s="1659">
        <f>+R58</f>
        <v/>
      </c>
      <c r="S69" s="1659">
        <f>+S58</f>
        <v/>
      </c>
      <c r="T69" s="1659">
        <f>+T58</f>
        <v/>
      </c>
      <c r="U69" s="1659">
        <f>+U58</f>
        <v/>
      </c>
      <c r="V69" s="1659">
        <f>+V58</f>
        <v/>
      </c>
      <c r="W69" s="1659">
        <f>+W58</f>
        <v/>
      </c>
      <c r="X69" s="1659">
        <f>+X58</f>
        <v/>
      </c>
      <c r="Y69" s="1659">
        <f>+Y58</f>
        <v/>
      </c>
      <c r="Z69" s="1659">
        <f>+Z58</f>
        <v/>
      </c>
      <c r="AA69" s="1659">
        <f>+AA58</f>
        <v/>
      </c>
      <c r="AB69" s="1659">
        <f>+AB58</f>
        <v/>
      </c>
      <c r="AC69" s="1659">
        <f>+AC58</f>
        <v/>
      </c>
      <c r="AD69" s="1659">
        <f>+AD58</f>
        <v/>
      </c>
      <c r="AE69" s="1659">
        <f>+AE58</f>
        <v/>
      </c>
      <c r="AF69" s="1659">
        <f>+AF58</f>
        <v/>
      </c>
      <c r="AG69" s="1659">
        <f>+AG58</f>
        <v/>
      </c>
      <c r="AH69" s="1659">
        <f>+AH58</f>
        <v/>
      </c>
      <c r="AI69" s="1659">
        <f>+AI58</f>
        <v/>
      </c>
      <c r="AJ69" s="1659">
        <f>+AJ58</f>
        <v/>
      </c>
      <c r="AK69" s="1659">
        <f>+AK58</f>
        <v/>
      </c>
      <c r="AL69" s="1659">
        <f>+AL58</f>
        <v/>
      </c>
      <c r="AM69" s="1659">
        <f>+AM58</f>
        <v/>
      </c>
      <c r="AN69" s="1659">
        <f>+AN58</f>
        <v/>
      </c>
      <c r="AO69" s="1659">
        <f>+AO58</f>
        <v/>
      </c>
      <c r="AP69" s="1659">
        <f>+AP58</f>
        <v/>
      </c>
      <c r="AQ69" s="1659">
        <f>+AQ58</f>
        <v/>
      </c>
      <c r="AR69" s="1659">
        <f>+AR58</f>
        <v/>
      </c>
      <c r="AS69" s="1659">
        <f>+AS58</f>
        <v/>
      </c>
      <c r="AT69" s="1659">
        <f>+AT58</f>
        <v/>
      </c>
      <c r="AU69" s="1659">
        <f>+AU58</f>
        <v/>
      </c>
      <c r="AV69" s="1659">
        <f>+AV58</f>
        <v/>
      </c>
      <c r="AW69" s="1659">
        <f>+AW58</f>
        <v/>
      </c>
      <c r="AX69" s="1659">
        <f>+AX58</f>
        <v/>
      </c>
      <c r="AY69" s="1659">
        <f>+AY58</f>
        <v/>
      </c>
      <c r="AZ69" s="1659">
        <f>+AZ58</f>
        <v/>
      </c>
      <c r="BA69" s="1659">
        <f>+BA58</f>
        <v/>
      </c>
      <c r="BB69" s="1659">
        <f>+BB58</f>
        <v/>
      </c>
      <c r="BC69" s="1659">
        <f>+BC58</f>
        <v/>
      </c>
      <c r="BD69" s="1659">
        <f>+BD58</f>
        <v/>
      </c>
      <c r="BE69" s="1659">
        <f>+BE58</f>
        <v/>
      </c>
      <c r="BF69" s="1659">
        <f>+BF58</f>
        <v/>
      </c>
      <c r="BG69" s="1659">
        <f>+BG58</f>
        <v/>
      </c>
      <c r="BH69" s="1659">
        <f>+BH58</f>
        <v/>
      </c>
      <c r="BI69" s="1659">
        <f>+BI58</f>
        <v/>
      </c>
      <c r="BJ69" s="1659">
        <f>+BJ58</f>
        <v/>
      </c>
      <c r="BK69" s="1659">
        <f>+BK58</f>
        <v/>
      </c>
      <c r="BL69" s="1659">
        <f>+BL58</f>
        <v/>
      </c>
      <c r="BM69" s="1659">
        <f>+BM58</f>
        <v/>
      </c>
      <c r="BN69" s="1659">
        <f>+BN58</f>
        <v/>
      </c>
      <c r="BO69" s="1658" t="n"/>
      <c r="BP69" s="1658" t="n"/>
    </row>
    <row r="70" ht="12.75" customFormat="1" customHeight="1" s="1654">
      <c r="B70" s="1662" t="inlineStr">
        <is>
          <t>Total COGS (CMO)</t>
        </is>
      </c>
      <c r="C70" s="1663" t="n"/>
      <c r="D70" s="1663" t="n"/>
      <c r="E70" s="1663" t="n"/>
      <c r="F70" s="1663" t="n"/>
      <c r="G70" s="1661">
        <f>SUM(G67:G69)</f>
        <v/>
      </c>
      <c r="H70" s="1661">
        <f>SUM(H67:H69)</f>
        <v/>
      </c>
      <c r="I70" s="1661">
        <f>SUM(I67:I69)</f>
        <v/>
      </c>
      <c r="J70" s="1661">
        <f>SUM(J67:J69)</f>
        <v/>
      </c>
      <c r="K70" s="1661">
        <f>SUM(K67:K69)</f>
        <v/>
      </c>
      <c r="L70" s="1661">
        <f>SUM(L67:L69)</f>
        <v/>
      </c>
      <c r="M70" s="1661">
        <f>SUM(M67:M69)</f>
        <v/>
      </c>
      <c r="N70" s="1661">
        <f>SUM(N67:N69)</f>
        <v/>
      </c>
      <c r="O70" s="1661">
        <f>SUM(O67:O69)</f>
        <v/>
      </c>
      <c r="P70" s="1661">
        <f>SUM(P67:P69)</f>
        <v/>
      </c>
      <c r="Q70" s="1661">
        <f>SUM(Q67:Q69)</f>
        <v/>
      </c>
      <c r="R70" s="1661">
        <f>SUM(R67:R69)</f>
        <v/>
      </c>
      <c r="S70" s="1661">
        <f>SUM(S67:S69)</f>
        <v/>
      </c>
      <c r="T70" s="1661">
        <f>SUM(T67:T69)</f>
        <v/>
      </c>
      <c r="U70" s="1661">
        <f>SUM(U67:U69)</f>
        <v/>
      </c>
      <c r="V70" s="1661">
        <f>SUM(V67:V69)</f>
        <v/>
      </c>
      <c r="W70" s="1661">
        <f>SUM(W67:W69)</f>
        <v/>
      </c>
      <c r="X70" s="1661">
        <f>SUM(X67:X69)</f>
        <v/>
      </c>
      <c r="Y70" s="1661">
        <f>SUM(Y67:Y69)</f>
        <v/>
      </c>
      <c r="Z70" s="1661">
        <f>SUM(Z67:Z69)</f>
        <v/>
      </c>
      <c r="AA70" s="1661">
        <f>SUM(AA67:AA69)</f>
        <v/>
      </c>
      <c r="AB70" s="1661">
        <f>SUM(AB67:AB69)</f>
        <v/>
      </c>
      <c r="AC70" s="1661">
        <f>SUM(AC67:AC69)</f>
        <v/>
      </c>
      <c r="AD70" s="1661">
        <f>SUM(AD67:AD69)</f>
        <v/>
      </c>
      <c r="AE70" s="1661">
        <f>SUM(AE67:AE69)</f>
        <v/>
      </c>
      <c r="AF70" s="1661">
        <f>SUM(AF67:AF69)</f>
        <v/>
      </c>
      <c r="AG70" s="1661">
        <f>SUM(AG67:AG69)</f>
        <v/>
      </c>
      <c r="AH70" s="1661">
        <f>SUM(AH67:AH69)</f>
        <v/>
      </c>
      <c r="AI70" s="1661">
        <f>SUM(AI67:AI69)</f>
        <v/>
      </c>
      <c r="AJ70" s="1661">
        <f>SUM(AJ67:AJ69)</f>
        <v/>
      </c>
      <c r="AK70" s="1661">
        <f>SUM(AK67:AK69)</f>
        <v/>
      </c>
      <c r="AL70" s="1661">
        <f>SUM(AL67:AL69)</f>
        <v/>
      </c>
      <c r="AM70" s="1661">
        <f>SUM(AM67:AM69)</f>
        <v/>
      </c>
      <c r="AN70" s="1661">
        <f>SUM(AN67:AN69)</f>
        <v/>
      </c>
      <c r="AO70" s="1661">
        <f>SUM(AO67:AO69)</f>
        <v/>
      </c>
      <c r="AP70" s="1661">
        <f>SUM(AP67:AP69)</f>
        <v/>
      </c>
      <c r="AQ70" s="1661">
        <f>SUM(AQ67:AQ69)</f>
        <v/>
      </c>
      <c r="AR70" s="1661">
        <f>SUM(AR67:AR69)</f>
        <v/>
      </c>
      <c r="AS70" s="1661">
        <f>SUM(AS67:AS69)</f>
        <v/>
      </c>
      <c r="AT70" s="1661">
        <f>SUM(AT67:AT69)</f>
        <v/>
      </c>
      <c r="AU70" s="1661">
        <f>SUM(AU67:AU69)</f>
        <v/>
      </c>
      <c r="AV70" s="1661">
        <f>SUM(AV67:AV69)</f>
        <v/>
      </c>
      <c r="AW70" s="1661">
        <f>SUM(AW67:AW69)</f>
        <v/>
      </c>
      <c r="AX70" s="1661">
        <f>SUM(AX67:AX69)</f>
        <v/>
      </c>
      <c r="AY70" s="1661">
        <f>SUM(AY67:AY69)</f>
        <v/>
      </c>
      <c r="AZ70" s="1661">
        <f>SUM(AZ67:AZ69)</f>
        <v/>
      </c>
      <c r="BA70" s="1661">
        <f>SUM(BA67:BA69)</f>
        <v/>
      </c>
      <c r="BB70" s="1661">
        <f>SUM(BB67:BB69)</f>
        <v/>
      </c>
      <c r="BC70" s="1661">
        <f>SUM(BC67:BC69)</f>
        <v/>
      </c>
      <c r="BD70" s="1661">
        <f>SUM(BD67:BD69)</f>
        <v/>
      </c>
      <c r="BE70" s="1661">
        <f>SUM(BE67:BE69)</f>
        <v/>
      </c>
      <c r="BF70" s="1661">
        <f>SUM(BF67:BF69)</f>
        <v/>
      </c>
      <c r="BG70" s="1661">
        <f>SUM(BG67:BG69)</f>
        <v/>
      </c>
      <c r="BH70" s="1661">
        <f>SUM(BH67:BH69)</f>
        <v/>
      </c>
      <c r="BI70" s="1661">
        <f>SUM(BI67:BI69)</f>
        <v/>
      </c>
      <c r="BJ70" s="1661">
        <f>SUM(BJ67:BJ69)</f>
        <v/>
      </c>
      <c r="BK70" s="1661">
        <f>SUM(BK67:BK69)</f>
        <v/>
      </c>
      <c r="BL70" s="1661">
        <f>SUM(BL67:BL69)</f>
        <v/>
      </c>
      <c r="BM70" s="1661">
        <f>SUM(BM67:BM69)</f>
        <v/>
      </c>
      <c r="BN70" s="1661">
        <f>SUM(BN67:BN69)</f>
        <v/>
      </c>
      <c r="BO70" s="1658" t="n"/>
      <c r="BP70" s="1658" t="n"/>
    </row>
    <row r="71" ht="12.75" customFormat="1" customHeight="1" s="1654">
      <c r="B71" s="1666" t="inlineStr">
        <is>
          <t>Gross Profit</t>
        </is>
      </c>
      <c r="C71" s="1666" t="n"/>
      <c r="D71" s="1666" t="n"/>
      <c r="E71" s="1666" t="n"/>
      <c r="F71" s="1666" t="n"/>
      <c r="G71" s="1666" t="n"/>
      <c r="H71" s="1666" t="n"/>
      <c r="I71" s="1666" t="n"/>
      <c r="J71" s="1666" t="n"/>
      <c r="K71" s="1666" t="n"/>
      <c r="L71" s="1666" t="n"/>
      <c r="M71" s="1666" t="n"/>
      <c r="N71" s="1666" t="n"/>
      <c r="O71" s="1666" t="n"/>
      <c r="P71" s="1666" t="n"/>
      <c r="Q71" s="1666" t="n"/>
      <c r="R71" s="1666" t="n"/>
      <c r="S71" s="1666" t="n"/>
      <c r="T71" s="1666" t="n"/>
      <c r="U71" s="1666" t="n"/>
      <c r="V71" s="1666" t="n"/>
      <c r="W71" s="1666" t="n"/>
      <c r="X71" s="1666" t="n"/>
      <c r="Y71" s="1666" t="n"/>
      <c r="Z71" s="1666" t="n"/>
      <c r="AA71" s="1666" t="n"/>
      <c r="AB71" s="1666" t="n"/>
      <c r="AC71" s="1666" t="n"/>
      <c r="AD71" s="1666" t="n"/>
      <c r="AE71" s="1666" t="n"/>
      <c r="AF71" s="1666" t="n"/>
      <c r="AG71" s="1666" t="n"/>
      <c r="AH71" s="1666" t="n"/>
      <c r="AI71" s="1666" t="n"/>
      <c r="AJ71" s="1666" t="n"/>
      <c r="AK71" s="1666" t="n"/>
      <c r="AL71" s="1666" t="n"/>
      <c r="AM71" s="1666" t="n"/>
      <c r="AN71" s="1666" t="n"/>
      <c r="AO71" s="1666" t="n"/>
      <c r="AP71" s="1666" t="n"/>
      <c r="AQ71" s="1666" t="n"/>
      <c r="AR71" s="1666" t="n"/>
      <c r="AS71" s="1666" t="n"/>
      <c r="AT71" s="1666" t="n"/>
      <c r="AU71" s="1666" t="n"/>
      <c r="AV71" s="1666" t="n"/>
      <c r="AW71" s="1666" t="n"/>
      <c r="AX71" s="1666" t="n"/>
      <c r="AY71" s="1666" t="n"/>
      <c r="AZ71" s="1666" t="n"/>
      <c r="BA71" s="1666" t="n"/>
      <c r="BB71" s="1666" t="n"/>
      <c r="BC71" s="1666" t="n"/>
      <c r="BD71" s="1666" t="n"/>
      <c r="BE71" s="1666" t="n"/>
      <c r="BF71" s="1666" t="n"/>
      <c r="BG71" s="1666" t="n"/>
      <c r="BH71" s="1666" t="n"/>
      <c r="BI71" s="1666" t="n"/>
      <c r="BJ71" s="1666" t="n"/>
      <c r="BK71" s="1666" t="n"/>
      <c r="BL71" s="1666" t="n"/>
      <c r="BM71" s="1666" t="n"/>
      <c r="BN71" s="1666" t="n"/>
      <c r="BO71" s="1658" t="n"/>
      <c r="BP71" s="1658" t="n"/>
    </row>
    <row r="72" ht="12.75" customFormat="1" customHeight="1" s="1654">
      <c r="B72" s="1658" t="inlineStr">
        <is>
          <t>Phone</t>
        </is>
      </c>
      <c r="C72" s="1658" t="n"/>
      <c r="D72" s="1658" t="n"/>
      <c r="E72" s="1658" t="n"/>
      <c r="F72" s="1658" t="n"/>
      <c r="G72" s="1659">
        <f>+G62-G67</f>
        <v/>
      </c>
      <c r="H72" s="1659">
        <f>+H62-H67</f>
        <v/>
      </c>
      <c r="I72" s="1659">
        <f>+I62-I67</f>
        <v/>
      </c>
      <c r="J72" s="1659">
        <f>+J62-J67</f>
        <v/>
      </c>
      <c r="K72" s="1659">
        <f>+K62-K67</f>
        <v/>
      </c>
      <c r="L72" s="1659">
        <f>+L62-L67</f>
        <v/>
      </c>
      <c r="M72" s="1659">
        <f>+M62-M67</f>
        <v/>
      </c>
      <c r="N72" s="1659">
        <f>+N62-N67</f>
        <v/>
      </c>
      <c r="O72" s="1659">
        <f>+O62-O67</f>
        <v/>
      </c>
      <c r="P72" s="1659">
        <f>+P62-P67</f>
        <v/>
      </c>
      <c r="Q72" s="1659">
        <f>+Q62-Q67</f>
        <v/>
      </c>
      <c r="R72" s="1659">
        <f>+R62-R67</f>
        <v/>
      </c>
      <c r="S72" s="1659">
        <f>+S62-S67</f>
        <v/>
      </c>
      <c r="T72" s="1659">
        <f>+T62-T67</f>
        <v/>
      </c>
      <c r="U72" s="1659">
        <f>+U62-U67</f>
        <v/>
      </c>
      <c r="V72" s="1659">
        <f>+V62-V67</f>
        <v/>
      </c>
      <c r="W72" s="1659">
        <f>+W62-W67</f>
        <v/>
      </c>
      <c r="X72" s="1659">
        <f>+X62-X67</f>
        <v/>
      </c>
      <c r="Y72" s="1659">
        <f>+Y62-Y67</f>
        <v/>
      </c>
      <c r="Z72" s="1659">
        <f>+Z62-Z67</f>
        <v/>
      </c>
      <c r="AA72" s="1659">
        <f>+AA62-AA67</f>
        <v/>
      </c>
      <c r="AB72" s="1659">
        <f>+AB62-AB67</f>
        <v/>
      </c>
      <c r="AC72" s="1659">
        <f>+AC62-AC67</f>
        <v/>
      </c>
      <c r="AD72" s="1659">
        <f>+AD62-AD67</f>
        <v/>
      </c>
      <c r="AE72" s="1659">
        <f>+AE62-AE67</f>
        <v/>
      </c>
      <c r="AF72" s="1659">
        <f>+AF62-AF67</f>
        <v/>
      </c>
      <c r="AG72" s="1659">
        <f>+AG62-AG67</f>
        <v/>
      </c>
      <c r="AH72" s="1659">
        <f>+AH62-AH67</f>
        <v/>
      </c>
      <c r="AI72" s="1659">
        <f>+AI62-AI67</f>
        <v/>
      </c>
      <c r="AJ72" s="1659">
        <f>+AJ62-AJ67</f>
        <v/>
      </c>
      <c r="AK72" s="1659">
        <f>+AK62-AK67</f>
        <v/>
      </c>
      <c r="AL72" s="1659">
        <f>+AL62-AL67</f>
        <v/>
      </c>
      <c r="AM72" s="1659">
        <f>+AM62-AM67</f>
        <v/>
      </c>
      <c r="AN72" s="1659">
        <f>+AN62-AN67</f>
        <v/>
      </c>
      <c r="AO72" s="1659">
        <f>+AO62-AO67</f>
        <v/>
      </c>
      <c r="AP72" s="1659">
        <f>+AP62-AP67</f>
        <v/>
      </c>
      <c r="AQ72" s="1659">
        <f>+AQ62-AQ67</f>
        <v/>
      </c>
      <c r="AR72" s="1659">
        <f>+AR62-AR67</f>
        <v/>
      </c>
      <c r="AS72" s="1659">
        <f>+AS62-AS67</f>
        <v/>
      </c>
      <c r="AT72" s="1659">
        <f>+AT62-AT67</f>
        <v/>
      </c>
      <c r="AU72" s="1659">
        <f>+AU62-AU67</f>
        <v/>
      </c>
      <c r="AV72" s="1659">
        <f>+AV62-AV67</f>
        <v/>
      </c>
      <c r="AW72" s="1659">
        <f>+AW62-AW67</f>
        <v/>
      </c>
      <c r="AX72" s="1659">
        <f>+AX62-AX67</f>
        <v/>
      </c>
      <c r="AY72" s="1659">
        <f>+AY62-AY67</f>
        <v/>
      </c>
      <c r="AZ72" s="1659">
        <f>+AZ62-AZ67</f>
        <v/>
      </c>
      <c r="BA72" s="1659">
        <f>+BA62-BA67</f>
        <v/>
      </c>
      <c r="BB72" s="1659">
        <f>+BB62-BB67</f>
        <v/>
      </c>
      <c r="BC72" s="1659">
        <f>+BC62-BC67</f>
        <v/>
      </c>
      <c r="BD72" s="1659">
        <f>+BD62-BD67</f>
        <v/>
      </c>
      <c r="BE72" s="1659">
        <f>+BE62-BE67</f>
        <v/>
      </c>
      <c r="BF72" s="1659">
        <f>+BF62-BF67</f>
        <v/>
      </c>
      <c r="BG72" s="1659">
        <f>+BG62-BG67</f>
        <v/>
      </c>
      <c r="BH72" s="1659">
        <f>+BH62-BH67</f>
        <v/>
      </c>
      <c r="BI72" s="1659">
        <f>+BI62-BI67</f>
        <v/>
      </c>
      <c r="BJ72" s="1659">
        <f>+BJ62-BJ67</f>
        <v/>
      </c>
      <c r="BK72" s="1659">
        <f>+BK62-BK67</f>
        <v/>
      </c>
      <c r="BL72" s="1659">
        <f>+BL62-BL67</f>
        <v/>
      </c>
      <c r="BM72" s="1659">
        <f>+BM62-BM67</f>
        <v/>
      </c>
      <c r="BN72" s="1659">
        <f>+BN62-BN67</f>
        <v/>
      </c>
      <c r="BO72" s="1658" t="n"/>
      <c r="BP72" s="1658" t="n"/>
    </row>
    <row r="73" ht="12.75" customFormat="1" customHeight="1" s="1654">
      <c r="B73" s="1658" t="inlineStr">
        <is>
          <t>Companion Application</t>
        </is>
      </c>
      <c r="C73" s="1658" t="n"/>
      <c r="D73" s="1658" t="n"/>
      <c r="E73" s="1658" t="n"/>
      <c r="F73" s="1658" t="n"/>
      <c r="G73" s="1659">
        <f>+G63-G68</f>
        <v/>
      </c>
      <c r="H73" s="1659">
        <f>+H63-H68</f>
        <v/>
      </c>
      <c r="I73" s="1659">
        <f>+I63-I68</f>
        <v/>
      </c>
      <c r="J73" s="1659">
        <f>+J63-J68</f>
        <v/>
      </c>
      <c r="K73" s="1659">
        <f>+K63-K68</f>
        <v/>
      </c>
      <c r="L73" s="1659">
        <f>+L63-L68</f>
        <v/>
      </c>
      <c r="M73" s="1659">
        <f>+M63-M68</f>
        <v/>
      </c>
      <c r="N73" s="1659">
        <f>+N63-N68</f>
        <v/>
      </c>
      <c r="O73" s="1659">
        <f>+O63-O68</f>
        <v/>
      </c>
      <c r="P73" s="1659">
        <f>+P63-P68</f>
        <v/>
      </c>
      <c r="Q73" s="1659">
        <f>+Q63-Q68</f>
        <v/>
      </c>
      <c r="R73" s="1659">
        <f>+R63-R68</f>
        <v/>
      </c>
      <c r="S73" s="1659">
        <f>+S63-S68</f>
        <v/>
      </c>
      <c r="T73" s="1659">
        <f>+T63-T68</f>
        <v/>
      </c>
      <c r="U73" s="1659">
        <f>+U63-U68</f>
        <v/>
      </c>
      <c r="V73" s="1659">
        <f>+V63-V68</f>
        <v/>
      </c>
      <c r="W73" s="1659">
        <f>+W63-W68</f>
        <v/>
      </c>
      <c r="X73" s="1659">
        <f>+X63-X68</f>
        <v/>
      </c>
      <c r="Y73" s="1659">
        <f>+Y63-Y68</f>
        <v/>
      </c>
      <c r="Z73" s="1659">
        <f>+Z63-Z68</f>
        <v/>
      </c>
      <c r="AA73" s="1659">
        <f>+AA63-AA68</f>
        <v/>
      </c>
      <c r="AB73" s="1659">
        <f>+AB63-AB68</f>
        <v/>
      </c>
      <c r="AC73" s="1659">
        <f>+AC63-AC68</f>
        <v/>
      </c>
      <c r="AD73" s="1659">
        <f>+AD63-AD68</f>
        <v/>
      </c>
      <c r="AE73" s="1659">
        <f>+AE63-AE68</f>
        <v/>
      </c>
      <c r="AF73" s="1659">
        <f>+AF63-AF68</f>
        <v/>
      </c>
      <c r="AG73" s="1659">
        <f>+AG63-AG68</f>
        <v/>
      </c>
      <c r="AH73" s="1659">
        <f>+AH63-AH68</f>
        <v/>
      </c>
      <c r="AI73" s="1659">
        <f>+AI63-AI68</f>
        <v/>
      </c>
      <c r="AJ73" s="1659">
        <f>+AJ63-AJ68</f>
        <v/>
      </c>
      <c r="AK73" s="1659">
        <f>+AK63-AK68</f>
        <v/>
      </c>
      <c r="AL73" s="1659">
        <f>+AL63-AL68</f>
        <v/>
      </c>
      <c r="AM73" s="1659">
        <f>+AM63-AM68</f>
        <v/>
      </c>
      <c r="AN73" s="1659">
        <f>+AN63-AN68</f>
        <v/>
      </c>
      <c r="AO73" s="1659">
        <f>+AO63-AO68</f>
        <v/>
      </c>
      <c r="AP73" s="1659">
        <f>+AP63-AP68</f>
        <v/>
      </c>
      <c r="AQ73" s="1659">
        <f>+AQ63-AQ68</f>
        <v/>
      </c>
      <c r="AR73" s="1659">
        <f>+AR63-AR68</f>
        <v/>
      </c>
      <c r="AS73" s="1659">
        <f>+AS63-AS68</f>
        <v/>
      </c>
      <c r="AT73" s="1659">
        <f>+AT63-AT68</f>
        <v/>
      </c>
      <c r="AU73" s="1659">
        <f>+AU63-AU68</f>
        <v/>
      </c>
      <c r="AV73" s="1659">
        <f>+AV63-AV68</f>
        <v/>
      </c>
      <c r="AW73" s="1659">
        <f>+AW63-AW68</f>
        <v/>
      </c>
      <c r="AX73" s="1659">
        <f>+AX63-AX68</f>
        <v/>
      </c>
      <c r="AY73" s="1659">
        <f>+AY63-AY68</f>
        <v/>
      </c>
      <c r="AZ73" s="1659">
        <f>+AZ63-AZ68</f>
        <v/>
      </c>
      <c r="BA73" s="1659">
        <f>+BA63-BA68</f>
        <v/>
      </c>
      <c r="BB73" s="1659">
        <f>+BB63-BB68</f>
        <v/>
      </c>
      <c r="BC73" s="1659">
        <f>+BC63-BC68</f>
        <v/>
      </c>
      <c r="BD73" s="1659">
        <f>+BD63-BD68</f>
        <v/>
      </c>
      <c r="BE73" s="1659">
        <f>+BE63-BE68</f>
        <v/>
      </c>
      <c r="BF73" s="1659">
        <f>+BF63-BF68</f>
        <v/>
      </c>
      <c r="BG73" s="1659">
        <f>+BG63-BG68</f>
        <v/>
      </c>
      <c r="BH73" s="1659">
        <f>+BH63-BH68</f>
        <v/>
      </c>
      <c r="BI73" s="1659">
        <f>+BI63-BI68</f>
        <v/>
      </c>
      <c r="BJ73" s="1659">
        <f>+BJ63-BJ68</f>
        <v/>
      </c>
      <c r="BK73" s="1659">
        <f>+BK63-BK68</f>
        <v/>
      </c>
      <c r="BL73" s="1659">
        <f>+BL63-BL68</f>
        <v/>
      </c>
      <c r="BM73" s="1659">
        <f>+BM63-BM68</f>
        <v/>
      </c>
      <c r="BN73" s="1659">
        <f>+BN63-BN68</f>
        <v/>
      </c>
      <c r="BO73" s="1658" t="n"/>
      <c r="BP73" s="1658" t="n"/>
    </row>
    <row r="74" ht="12.75" customFormat="1" customHeight="1" s="1654">
      <c r="B74" s="1658" t="inlineStr">
        <is>
          <t>Computer Application</t>
        </is>
      </c>
      <c r="C74" s="1658" t="n"/>
      <c r="D74" s="1658" t="n"/>
      <c r="E74" s="1658" t="n"/>
      <c r="F74" s="1658" t="n"/>
      <c r="G74" s="1659">
        <f>+G64-G69</f>
        <v/>
      </c>
      <c r="H74" s="1659">
        <f>+H64-H69</f>
        <v/>
      </c>
      <c r="I74" s="1659">
        <f>+I64-I69</f>
        <v/>
      </c>
      <c r="J74" s="1659">
        <f>+J64-J69</f>
        <v/>
      </c>
      <c r="K74" s="1659">
        <f>+K64-K69</f>
        <v/>
      </c>
      <c r="L74" s="1659">
        <f>+L64-L69</f>
        <v/>
      </c>
      <c r="M74" s="1659">
        <f>+M64-M69</f>
        <v/>
      </c>
      <c r="N74" s="1659">
        <f>+N64-N69</f>
        <v/>
      </c>
      <c r="O74" s="1659">
        <f>+O64-O69</f>
        <v/>
      </c>
      <c r="P74" s="1659">
        <f>+P64-P69</f>
        <v/>
      </c>
      <c r="Q74" s="1659">
        <f>+Q64-Q69</f>
        <v/>
      </c>
      <c r="R74" s="1659">
        <f>+R64-R69</f>
        <v/>
      </c>
      <c r="S74" s="1659">
        <f>+S64-S69</f>
        <v/>
      </c>
      <c r="T74" s="1659">
        <f>+T64-T69</f>
        <v/>
      </c>
      <c r="U74" s="1659">
        <f>+U64-U69</f>
        <v/>
      </c>
      <c r="V74" s="1659">
        <f>+V64-V69</f>
        <v/>
      </c>
      <c r="W74" s="1659">
        <f>+W64-W69</f>
        <v/>
      </c>
      <c r="X74" s="1659">
        <f>+X64-X69</f>
        <v/>
      </c>
      <c r="Y74" s="1659">
        <f>+Y64-Y69</f>
        <v/>
      </c>
      <c r="Z74" s="1659">
        <f>+Z64-Z69</f>
        <v/>
      </c>
      <c r="AA74" s="1659">
        <f>+AA64-AA69</f>
        <v/>
      </c>
      <c r="AB74" s="1659">
        <f>+AB64-AB69</f>
        <v/>
      </c>
      <c r="AC74" s="1659">
        <f>+AC64-AC69</f>
        <v/>
      </c>
      <c r="AD74" s="1659">
        <f>+AD64-AD69</f>
        <v/>
      </c>
      <c r="AE74" s="1659">
        <f>+AE64-AE69</f>
        <v/>
      </c>
      <c r="AF74" s="1659">
        <f>+AF64-AF69</f>
        <v/>
      </c>
      <c r="AG74" s="1659">
        <f>+AG64-AG69</f>
        <v/>
      </c>
      <c r="AH74" s="1659">
        <f>+AH64-AH69</f>
        <v/>
      </c>
      <c r="AI74" s="1659">
        <f>+AI64-AI69</f>
        <v/>
      </c>
      <c r="AJ74" s="1659">
        <f>+AJ64-AJ69</f>
        <v/>
      </c>
      <c r="AK74" s="1659">
        <f>+AK64-AK69</f>
        <v/>
      </c>
      <c r="AL74" s="1659">
        <f>+AL64-AL69</f>
        <v/>
      </c>
      <c r="AM74" s="1659">
        <f>+AM64-AM69</f>
        <v/>
      </c>
      <c r="AN74" s="1659">
        <f>+AN64-AN69</f>
        <v/>
      </c>
      <c r="AO74" s="1659">
        <f>+AO64-AO69</f>
        <v/>
      </c>
      <c r="AP74" s="1659">
        <f>+AP64-AP69</f>
        <v/>
      </c>
      <c r="AQ74" s="1659">
        <f>+AQ64-AQ69</f>
        <v/>
      </c>
      <c r="AR74" s="1659">
        <f>+AR64-AR69</f>
        <v/>
      </c>
      <c r="AS74" s="1659">
        <f>+AS64-AS69</f>
        <v/>
      </c>
      <c r="AT74" s="1659">
        <f>+AT64-AT69</f>
        <v/>
      </c>
      <c r="AU74" s="1659">
        <f>+AU64-AU69</f>
        <v/>
      </c>
      <c r="AV74" s="1659">
        <f>+AV64-AV69</f>
        <v/>
      </c>
      <c r="AW74" s="1659">
        <f>+AW64-AW69</f>
        <v/>
      </c>
      <c r="AX74" s="1659">
        <f>+AX64-AX69</f>
        <v/>
      </c>
      <c r="AY74" s="1659">
        <f>+AY64-AY69</f>
        <v/>
      </c>
      <c r="AZ74" s="1659">
        <f>+AZ64-AZ69</f>
        <v/>
      </c>
      <c r="BA74" s="1659">
        <f>+BA64-BA69</f>
        <v/>
      </c>
      <c r="BB74" s="1659">
        <f>+BB64-BB69</f>
        <v/>
      </c>
      <c r="BC74" s="1659">
        <f>+BC64-BC69</f>
        <v/>
      </c>
      <c r="BD74" s="1659">
        <f>+BD64-BD69</f>
        <v/>
      </c>
      <c r="BE74" s="1659">
        <f>+BE64-BE69</f>
        <v/>
      </c>
      <c r="BF74" s="1659">
        <f>+BF64-BF69</f>
        <v/>
      </c>
      <c r="BG74" s="1659">
        <f>+BG64-BG69</f>
        <v/>
      </c>
      <c r="BH74" s="1659">
        <f>+BH64-BH69</f>
        <v/>
      </c>
      <c r="BI74" s="1659">
        <f>+BI64-BI69</f>
        <v/>
      </c>
      <c r="BJ74" s="1659">
        <f>+BJ64-BJ69</f>
        <v/>
      </c>
      <c r="BK74" s="1659">
        <f>+BK64-BK69</f>
        <v/>
      </c>
      <c r="BL74" s="1659">
        <f>+BL64-BL69</f>
        <v/>
      </c>
      <c r="BM74" s="1659">
        <f>+BM64-BM69</f>
        <v/>
      </c>
      <c r="BN74" s="1659">
        <f>+BN64-BN69</f>
        <v/>
      </c>
      <c r="BO74" s="1658" t="n"/>
      <c r="BP74" s="1658" t="n"/>
    </row>
    <row r="75" ht="12.75" customFormat="1" customHeight="1" s="1654">
      <c r="B75" s="1666" t="inlineStr">
        <is>
          <t>Total Gross Profit</t>
        </is>
      </c>
      <c r="C75" s="1666" t="n"/>
      <c r="D75" s="1666" t="n"/>
      <c r="E75" s="1666" t="n"/>
      <c r="F75" s="1666" t="n"/>
      <c r="G75" s="1667">
        <f>SUM(G72:G74)</f>
        <v/>
      </c>
      <c r="H75" s="1667">
        <f>SUM(H72:H74)</f>
        <v/>
      </c>
      <c r="I75" s="1667">
        <f>SUM(I72:I74)</f>
        <v/>
      </c>
      <c r="J75" s="1667">
        <f>SUM(J72:J74)</f>
        <v/>
      </c>
      <c r="K75" s="1667">
        <f>SUM(K72:K74)</f>
        <v/>
      </c>
      <c r="L75" s="1667">
        <f>SUM(L72:L74)</f>
        <v/>
      </c>
      <c r="M75" s="1667">
        <f>SUM(M72:M74)</f>
        <v/>
      </c>
      <c r="N75" s="1667">
        <f>SUM(N72:N74)</f>
        <v/>
      </c>
      <c r="O75" s="1667">
        <f>SUM(O72:O74)</f>
        <v/>
      </c>
      <c r="P75" s="1667">
        <f>SUM(P72:P74)</f>
        <v/>
      </c>
      <c r="Q75" s="1667">
        <f>SUM(Q72:Q74)</f>
        <v/>
      </c>
      <c r="R75" s="1667">
        <f>SUM(R72:R74)</f>
        <v/>
      </c>
      <c r="S75" s="1667">
        <f>SUM(S72:S74)</f>
        <v/>
      </c>
      <c r="T75" s="1667">
        <f>SUM(T72:T74)</f>
        <v/>
      </c>
      <c r="U75" s="1667">
        <f>SUM(U72:U74)</f>
        <v/>
      </c>
      <c r="V75" s="1667">
        <f>SUM(V72:V74)</f>
        <v/>
      </c>
      <c r="W75" s="1667">
        <f>SUM(W72:W74)</f>
        <v/>
      </c>
      <c r="X75" s="1667">
        <f>SUM(X72:X74)</f>
        <v/>
      </c>
      <c r="Y75" s="1667">
        <f>SUM(Y72:Y74)</f>
        <v/>
      </c>
      <c r="Z75" s="1667">
        <f>SUM(Z72:Z74)</f>
        <v/>
      </c>
      <c r="AA75" s="1667">
        <f>SUM(AA72:AA74)</f>
        <v/>
      </c>
      <c r="AB75" s="1667">
        <f>SUM(AB72:AB74)</f>
        <v/>
      </c>
      <c r="AC75" s="1667">
        <f>SUM(AC72:AC74)</f>
        <v/>
      </c>
      <c r="AD75" s="1667">
        <f>SUM(AD72:AD74)</f>
        <v/>
      </c>
      <c r="AE75" s="1667">
        <f>SUM(AE72:AE74)</f>
        <v/>
      </c>
      <c r="AF75" s="1667">
        <f>SUM(AF72:AF74)</f>
        <v/>
      </c>
      <c r="AG75" s="1667">
        <f>SUM(AG72:AG74)</f>
        <v/>
      </c>
      <c r="AH75" s="1667">
        <f>SUM(AH72:AH74)</f>
        <v/>
      </c>
      <c r="AI75" s="1667">
        <f>SUM(AI72:AI74)</f>
        <v/>
      </c>
      <c r="AJ75" s="1667">
        <f>SUM(AJ72:AJ74)</f>
        <v/>
      </c>
      <c r="AK75" s="1667">
        <f>SUM(AK72:AK74)</f>
        <v/>
      </c>
      <c r="AL75" s="1667">
        <f>SUM(AL72:AL74)</f>
        <v/>
      </c>
      <c r="AM75" s="1667">
        <f>SUM(AM72:AM74)</f>
        <v/>
      </c>
      <c r="AN75" s="1667">
        <f>SUM(AN72:AN74)</f>
        <v/>
      </c>
      <c r="AO75" s="1667">
        <f>SUM(AO72:AO74)</f>
        <v/>
      </c>
      <c r="AP75" s="1667">
        <f>SUM(AP72:AP74)</f>
        <v/>
      </c>
      <c r="AQ75" s="1667">
        <f>SUM(AQ72:AQ74)</f>
        <v/>
      </c>
      <c r="AR75" s="1667">
        <f>SUM(AR72:AR74)</f>
        <v/>
      </c>
      <c r="AS75" s="1667">
        <f>SUM(AS72:AS74)</f>
        <v/>
      </c>
      <c r="AT75" s="1667">
        <f>SUM(AT72:AT74)</f>
        <v/>
      </c>
      <c r="AU75" s="1667">
        <f>SUM(AU72:AU74)</f>
        <v/>
      </c>
      <c r="AV75" s="1667">
        <f>SUM(AV72:AV74)</f>
        <v/>
      </c>
      <c r="AW75" s="1667">
        <f>SUM(AW72:AW74)</f>
        <v/>
      </c>
      <c r="AX75" s="1667">
        <f>SUM(AX72:AX74)</f>
        <v/>
      </c>
      <c r="AY75" s="1667">
        <f>SUM(AY72:AY74)</f>
        <v/>
      </c>
      <c r="AZ75" s="1667">
        <f>SUM(AZ72:AZ74)</f>
        <v/>
      </c>
      <c r="BA75" s="1667">
        <f>SUM(BA72:BA74)</f>
        <v/>
      </c>
      <c r="BB75" s="1667">
        <f>SUM(BB72:BB74)</f>
        <v/>
      </c>
      <c r="BC75" s="1667">
        <f>SUM(BC72:BC74)</f>
        <v/>
      </c>
      <c r="BD75" s="1667">
        <f>SUM(BD72:BD74)</f>
        <v/>
      </c>
      <c r="BE75" s="1667">
        <f>SUM(BE72:BE74)</f>
        <v/>
      </c>
      <c r="BF75" s="1667">
        <f>SUM(BF72:BF74)</f>
        <v/>
      </c>
      <c r="BG75" s="1667">
        <f>SUM(BG72:BG74)</f>
        <v/>
      </c>
      <c r="BH75" s="1667">
        <f>SUM(BH72:BH74)</f>
        <v/>
      </c>
      <c r="BI75" s="1667">
        <f>SUM(BI72:BI74)</f>
        <v/>
      </c>
      <c r="BJ75" s="1667">
        <f>SUM(BJ72:BJ74)</f>
        <v/>
      </c>
      <c r="BK75" s="1667">
        <f>SUM(BK72:BK74)</f>
        <v/>
      </c>
      <c r="BL75" s="1667">
        <f>SUM(BL72:BL74)</f>
        <v/>
      </c>
      <c r="BM75" s="1667">
        <f>SUM(BM72:BM74)</f>
        <v/>
      </c>
      <c r="BN75" s="1667">
        <f>SUM(BN72:BN74)</f>
        <v/>
      </c>
      <c r="BO75" s="1658" t="n"/>
      <c r="BP75" s="1658" t="n"/>
    </row>
    <row r="76" ht="12.75" customFormat="1" customHeight="1" s="1654">
      <c r="B76" s="1658" t="n"/>
      <c r="C76" s="1658" t="n"/>
      <c r="D76" s="1658" t="n"/>
      <c r="E76" s="1658" t="n"/>
      <c r="F76" s="1658" t="n"/>
      <c r="G76" s="1659" t="n"/>
      <c r="H76" s="1668" t="n"/>
      <c r="I76" s="1668" t="n"/>
      <c r="J76" s="1668" t="n"/>
      <c r="K76" s="1668" t="n"/>
      <c r="L76" s="1668" t="n"/>
      <c r="M76" s="1668" t="n"/>
      <c r="N76" s="1668" t="n"/>
      <c r="O76" s="1668" t="n"/>
      <c r="P76" s="1668" t="n"/>
      <c r="Q76" s="1668" t="n"/>
      <c r="R76" s="1668" t="n"/>
      <c r="S76" s="1668" t="n"/>
      <c r="T76" s="1668" t="n"/>
      <c r="U76" s="1668" t="n"/>
      <c r="V76" s="1668" t="n"/>
      <c r="W76" s="1668" t="n"/>
      <c r="X76" s="1668" t="n"/>
      <c r="Y76" s="1668" t="n"/>
      <c r="Z76" s="1668" t="n"/>
      <c r="AA76" s="1668" t="n"/>
      <c r="AB76" s="1668" t="n"/>
      <c r="AC76" s="1668" t="n"/>
      <c r="AD76" s="1668" t="n"/>
      <c r="AE76" s="1668" t="n"/>
      <c r="AF76" s="1668" t="n"/>
      <c r="AG76" s="1668" t="n"/>
      <c r="AH76" s="1668" t="n"/>
      <c r="AI76" s="1668" t="n"/>
      <c r="AJ76" s="1668" t="n"/>
      <c r="AK76" s="1668" t="n"/>
      <c r="AL76" s="1668" t="n"/>
      <c r="AM76" s="1668" t="n"/>
      <c r="AN76" s="1668" t="n"/>
      <c r="AO76" s="1668" t="n"/>
      <c r="AP76" s="1668" t="n"/>
      <c r="AQ76" s="1668" t="n"/>
      <c r="AR76" s="1668" t="n"/>
      <c r="AS76" s="1668" t="n"/>
      <c r="AT76" s="1668" t="n"/>
      <c r="AU76" s="1668" t="n"/>
      <c r="AV76" s="1668" t="n"/>
      <c r="AW76" s="1668" t="n"/>
      <c r="AX76" s="1668" t="n"/>
      <c r="AY76" s="1668" t="n"/>
      <c r="AZ76" s="1668" t="n"/>
      <c r="BA76" s="1668" t="n"/>
      <c r="BB76" s="1668" t="n"/>
      <c r="BC76" s="1668" t="n"/>
      <c r="BD76" s="1668" t="n"/>
      <c r="BE76" s="1668" t="n"/>
      <c r="BF76" s="1668" t="n"/>
      <c r="BG76" s="1668" t="n"/>
      <c r="BH76" s="1668" t="n"/>
      <c r="BI76" s="1668" t="n"/>
      <c r="BJ76" s="1668" t="n"/>
      <c r="BK76" s="1668" t="n"/>
      <c r="BL76" s="1668" t="n"/>
      <c r="BM76" s="1668" t="n"/>
      <c r="BN76" s="1668" t="n"/>
      <c r="BO76" s="1658" t="n"/>
      <c r="BP76" s="1658" t="n"/>
    </row>
    <row r="77" ht="12.75" customFormat="1" customHeight="1" s="1654">
      <c r="B77" s="1665" t="inlineStr">
        <is>
          <t>Revenue &amp; Margin Analysis</t>
        </is>
      </c>
      <c r="C77" s="1658" t="n"/>
      <c r="D77" s="1658" t="n"/>
      <c r="E77" s="1658" t="n"/>
      <c r="F77" s="1658" t="n"/>
      <c r="G77" s="1659" t="n"/>
      <c r="H77" s="1668" t="n"/>
      <c r="I77" s="1668" t="n"/>
      <c r="J77" s="1668" t="n"/>
      <c r="K77" s="1668" t="n"/>
      <c r="L77" s="1668" t="n"/>
      <c r="M77" s="1668" t="n"/>
      <c r="N77" s="1668" t="n"/>
      <c r="O77" s="1668" t="n"/>
      <c r="P77" s="1668" t="n"/>
      <c r="Q77" s="1668" t="n"/>
      <c r="R77" s="1668" t="n"/>
      <c r="S77" s="1668" t="n"/>
      <c r="T77" s="1668" t="n"/>
      <c r="U77" s="1668" t="n"/>
      <c r="V77" s="1668" t="n"/>
      <c r="W77" s="1668" t="n"/>
      <c r="X77" s="1668" t="n"/>
      <c r="Y77" s="1668" t="n"/>
      <c r="Z77" s="1668" t="n"/>
      <c r="AA77" s="1668" t="n"/>
      <c r="AB77" s="1668" t="n"/>
      <c r="AC77" s="1668" t="n"/>
      <c r="AD77" s="1668" t="n"/>
      <c r="AE77" s="1668" t="n"/>
      <c r="AF77" s="1668" t="n"/>
      <c r="AG77" s="1668" t="n"/>
      <c r="AH77" s="1668" t="n"/>
      <c r="AI77" s="1668" t="n"/>
      <c r="AJ77" s="1668" t="n"/>
      <c r="AK77" s="1668" t="n"/>
      <c r="AL77" s="1668" t="n"/>
      <c r="AM77" s="1668" t="n"/>
      <c r="AN77" s="1668" t="n"/>
      <c r="AO77" s="1668" t="n"/>
      <c r="AP77" s="1668" t="n"/>
      <c r="AQ77" s="1668" t="n"/>
      <c r="AR77" s="1668" t="n"/>
      <c r="AS77" s="1668" t="n"/>
      <c r="AT77" s="1668" t="n"/>
      <c r="AU77" s="1668" t="n"/>
      <c r="AV77" s="1668" t="n"/>
      <c r="AW77" s="1668" t="n"/>
      <c r="AX77" s="1668" t="n"/>
      <c r="AY77" s="1668" t="n"/>
      <c r="AZ77" s="1668" t="n"/>
      <c r="BA77" s="1668" t="n"/>
      <c r="BB77" s="1668" t="n"/>
      <c r="BC77" s="1668" t="n"/>
      <c r="BD77" s="1668" t="n"/>
      <c r="BE77" s="1668" t="n"/>
      <c r="BF77" s="1668" t="n"/>
      <c r="BG77" s="1668" t="n"/>
      <c r="BH77" s="1668" t="n"/>
      <c r="BI77" s="1668" t="n"/>
      <c r="BJ77" s="1668" t="n"/>
      <c r="BK77" s="1668" t="n"/>
      <c r="BL77" s="1668" t="n"/>
      <c r="BM77" s="1668" t="n"/>
      <c r="BN77" s="1668" t="n"/>
      <c r="BO77" s="1658" t="n"/>
      <c r="BP77" s="1658" t="n"/>
    </row>
    <row r="78" ht="12.75" customFormat="1" customHeight="1" s="1654">
      <c r="B78" s="1669" t="inlineStr">
        <is>
          <t>Revenue Mix (%)</t>
        </is>
      </c>
      <c r="C78" s="1658" t="n"/>
      <c r="D78" s="1658" t="n"/>
      <c r="E78" s="1658" t="n"/>
      <c r="F78" s="1658" t="n"/>
      <c r="G78" s="1659" t="n"/>
      <c r="H78" s="1668" t="n"/>
      <c r="I78" s="1668" t="n"/>
      <c r="J78" s="1668" t="n"/>
      <c r="K78" s="1668" t="n"/>
      <c r="L78" s="1668" t="n"/>
      <c r="M78" s="1668" t="n"/>
      <c r="N78" s="1668" t="n"/>
      <c r="O78" s="1668" t="n"/>
      <c r="P78" s="1668" t="n"/>
      <c r="Q78" s="1668" t="n"/>
      <c r="R78" s="1668" t="n"/>
      <c r="S78" s="1668" t="n"/>
      <c r="T78" s="1668" t="n"/>
      <c r="U78" s="1668" t="n"/>
      <c r="V78" s="1668" t="n"/>
      <c r="W78" s="1668" t="n"/>
      <c r="X78" s="1668" t="n"/>
      <c r="Y78" s="1668" t="n"/>
      <c r="Z78" s="1668" t="n"/>
      <c r="AA78" s="1668" t="n"/>
      <c r="AB78" s="1668" t="n"/>
      <c r="AC78" s="1668" t="n"/>
      <c r="AD78" s="1668" t="n"/>
      <c r="AE78" s="1668" t="n"/>
      <c r="AF78" s="1668" t="n"/>
      <c r="AG78" s="1668" t="n"/>
      <c r="AH78" s="1668" t="n"/>
      <c r="AI78" s="1668" t="n"/>
      <c r="AJ78" s="1668" t="n"/>
      <c r="AK78" s="1668" t="n"/>
      <c r="AL78" s="1668" t="n"/>
      <c r="AM78" s="1668" t="n"/>
      <c r="AN78" s="1668" t="n"/>
      <c r="AO78" s="1668" t="n"/>
      <c r="AP78" s="1668" t="n"/>
      <c r="AQ78" s="1668" t="n"/>
      <c r="AR78" s="1668" t="n"/>
      <c r="AS78" s="1668" t="n"/>
      <c r="AT78" s="1668" t="n"/>
      <c r="AU78" s="1668" t="n"/>
      <c r="AV78" s="1668" t="n"/>
      <c r="AW78" s="1668" t="n"/>
      <c r="AX78" s="1668" t="n"/>
      <c r="AY78" s="1668" t="n"/>
      <c r="AZ78" s="1668" t="n"/>
      <c r="BA78" s="1668" t="n"/>
      <c r="BB78" s="1668" t="n"/>
      <c r="BC78" s="1668" t="n"/>
      <c r="BD78" s="1668" t="n"/>
      <c r="BE78" s="1668" t="n"/>
      <c r="BF78" s="1668" t="n"/>
      <c r="BG78" s="1668" t="n"/>
      <c r="BH78" s="1668" t="n"/>
      <c r="BI78" s="1668" t="n"/>
      <c r="BJ78" s="1668" t="n"/>
      <c r="BK78" s="1668" t="n"/>
      <c r="BL78" s="1668" t="n"/>
      <c r="BM78" s="1668" t="n"/>
      <c r="BN78" s="1668" t="n"/>
      <c r="BO78" s="1658" t="n"/>
      <c r="BP78" s="1658" t="n"/>
    </row>
    <row r="79" ht="12.75" customFormat="1" customHeight="1" s="1654">
      <c r="B79" s="1658" t="inlineStr">
        <is>
          <t xml:space="preserve"> Phone</t>
        </is>
      </c>
      <c r="C79" s="1658" t="n"/>
      <c r="D79" s="1658" t="n"/>
      <c r="E79" s="1658" t="n"/>
      <c r="F79" s="1658" t="n"/>
      <c r="G79" s="1670">
        <f>+G62/G$65</f>
        <v/>
      </c>
      <c r="H79" s="1670">
        <f>+H62/H$65</f>
        <v/>
      </c>
      <c r="I79" s="1670">
        <f>+I62/I$65</f>
        <v/>
      </c>
      <c r="J79" s="1670">
        <f>+J62/J$65</f>
        <v/>
      </c>
      <c r="K79" s="1670">
        <f>+K62/K$65</f>
        <v/>
      </c>
      <c r="L79" s="1670">
        <f>+L62/L$65</f>
        <v/>
      </c>
      <c r="M79" s="1670">
        <f>+M62/M$65</f>
        <v/>
      </c>
      <c r="N79" s="1670">
        <f>+N62/N$65</f>
        <v/>
      </c>
      <c r="O79" s="1670">
        <f>+O62/O$65</f>
        <v/>
      </c>
      <c r="P79" s="1670">
        <f>+P62/P$65</f>
        <v/>
      </c>
      <c r="Q79" s="1670">
        <f>+Q62/Q$65</f>
        <v/>
      </c>
      <c r="R79" s="1670">
        <f>+R62/R$65</f>
        <v/>
      </c>
      <c r="S79" s="1670">
        <f>+S62/S$65</f>
        <v/>
      </c>
      <c r="T79" s="1670">
        <f>+T62/T$65</f>
        <v/>
      </c>
      <c r="U79" s="1670">
        <f>+U62/U$65</f>
        <v/>
      </c>
      <c r="V79" s="1670">
        <f>+V62/V$65</f>
        <v/>
      </c>
      <c r="W79" s="1670">
        <f>+W62/W$65</f>
        <v/>
      </c>
      <c r="X79" s="1670">
        <f>+X62/X$65</f>
        <v/>
      </c>
      <c r="Y79" s="1670">
        <f>+Y62/Y$65</f>
        <v/>
      </c>
      <c r="Z79" s="1670">
        <f>+Z62/Z$65</f>
        <v/>
      </c>
      <c r="AA79" s="1670">
        <f>+AA62/AA$65</f>
        <v/>
      </c>
      <c r="AB79" s="1670">
        <f>+AB62/AB$65</f>
        <v/>
      </c>
      <c r="AC79" s="1670">
        <f>+AC62/AC$65</f>
        <v/>
      </c>
      <c r="AD79" s="1670">
        <f>+AD62/AD$65</f>
        <v/>
      </c>
      <c r="AE79" s="1670">
        <f>+AE62/AE$65</f>
        <v/>
      </c>
      <c r="AF79" s="1670">
        <f>+AF62/AF$65</f>
        <v/>
      </c>
      <c r="AG79" s="1670">
        <f>+AG62/AG$65</f>
        <v/>
      </c>
      <c r="AH79" s="1670">
        <f>+AH62/AH$65</f>
        <v/>
      </c>
      <c r="AI79" s="1670">
        <f>+AI62/AI$65</f>
        <v/>
      </c>
      <c r="AJ79" s="1670">
        <f>+AJ62/AJ$65</f>
        <v/>
      </c>
      <c r="AK79" s="1670">
        <f>+AK62/AK$65</f>
        <v/>
      </c>
      <c r="AL79" s="1670">
        <f>+AL62/AL$65</f>
        <v/>
      </c>
      <c r="AM79" s="1670">
        <f>+AM62/AM$65</f>
        <v/>
      </c>
      <c r="AN79" s="1670">
        <f>+AN62/AN$65</f>
        <v/>
      </c>
      <c r="AO79" s="1670">
        <f>+AO62/AO$65</f>
        <v/>
      </c>
      <c r="AP79" s="1670">
        <f>+AP62/AP$65</f>
        <v/>
      </c>
      <c r="AQ79" s="1670">
        <f>+AQ62/AQ$65</f>
        <v/>
      </c>
      <c r="AR79" s="1670">
        <f>+AR62/AR$65</f>
        <v/>
      </c>
      <c r="AS79" s="1670">
        <f>+AS62/AS$65</f>
        <v/>
      </c>
      <c r="AT79" s="1670">
        <f>+AT62/AT$65</f>
        <v/>
      </c>
      <c r="AU79" s="1670">
        <f>+AU62/AU$65</f>
        <v/>
      </c>
      <c r="AV79" s="1670">
        <f>+AV62/AV$65</f>
        <v/>
      </c>
      <c r="AW79" s="1670">
        <f>+AW62/AW$65</f>
        <v/>
      </c>
      <c r="AX79" s="1670">
        <f>+AX62/AX$65</f>
        <v/>
      </c>
      <c r="AY79" s="1670">
        <f>+AY62/AY$65</f>
        <v/>
      </c>
      <c r="AZ79" s="1670">
        <f>+AZ62/AZ$65</f>
        <v/>
      </c>
      <c r="BA79" s="1670">
        <f>+BA62/BA$65</f>
        <v/>
      </c>
      <c r="BB79" s="1670">
        <f>+BB62/BB$65</f>
        <v/>
      </c>
      <c r="BC79" s="1670">
        <f>+BC62/BC$65</f>
        <v/>
      </c>
      <c r="BD79" s="1670">
        <f>+BD62/BD$65</f>
        <v/>
      </c>
      <c r="BE79" s="1670">
        <f>+BE62/BE$65</f>
        <v/>
      </c>
      <c r="BF79" s="1670">
        <f>+BF62/BF$65</f>
        <v/>
      </c>
      <c r="BG79" s="1670">
        <f>+BG62/BG$65</f>
        <v/>
      </c>
      <c r="BH79" s="1670">
        <f>+BH62/BH$65</f>
        <v/>
      </c>
      <c r="BI79" s="1670">
        <f>+BI62/BI$65</f>
        <v/>
      </c>
      <c r="BJ79" s="1670">
        <f>+BJ62/BJ$65</f>
        <v/>
      </c>
      <c r="BK79" s="1670">
        <f>+BK62/BK$65</f>
        <v/>
      </c>
      <c r="BL79" s="1670">
        <f>+BL62/BL$65</f>
        <v/>
      </c>
      <c r="BM79" s="1670">
        <f>+BM62/BM$65</f>
        <v/>
      </c>
      <c r="BN79" s="1670">
        <f>+BN62/BN$65</f>
        <v/>
      </c>
      <c r="BO79" s="1658" t="n"/>
      <c r="BP79" s="1658" t="n"/>
    </row>
    <row r="80" ht="12.75" customFormat="1" customHeight="1" s="1654">
      <c r="B80" s="1658" t="inlineStr">
        <is>
          <t>Companion Application</t>
        </is>
      </c>
      <c r="C80" s="1658" t="n"/>
      <c r="D80" s="1658" t="n"/>
      <c r="E80" s="1658" t="n"/>
      <c r="F80" s="1658" t="n"/>
      <c r="G80" s="1670">
        <f>+G63/G$65</f>
        <v/>
      </c>
      <c r="H80" s="1670">
        <f>+H63/H$65</f>
        <v/>
      </c>
      <c r="I80" s="1670">
        <f>+I63/I$65</f>
        <v/>
      </c>
      <c r="J80" s="1670">
        <f>+J63/J$65</f>
        <v/>
      </c>
      <c r="K80" s="1670">
        <f>+K63/K$65</f>
        <v/>
      </c>
      <c r="L80" s="1670">
        <f>+L63/L$65</f>
        <v/>
      </c>
      <c r="M80" s="1670">
        <f>+M63/M$65</f>
        <v/>
      </c>
      <c r="N80" s="1670">
        <f>+N63/N$65</f>
        <v/>
      </c>
      <c r="O80" s="1670">
        <f>+O63/O$65</f>
        <v/>
      </c>
      <c r="P80" s="1670">
        <f>+P63/P$65</f>
        <v/>
      </c>
      <c r="Q80" s="1670">
        <f>+Q63/Q$65</f>
        <v/>
      </c>
      <c r="R80" s="1670">
        <f>+R63/R$65</f>
        <v/>
      </c>
      <c r="S80" s="1670">
        <f>+S63/S$65</f>
        <v/>
      </c>
      <c r="T80" s="1670">
        <f>+T63/T$65</f>
        <v/>
      </c>
      <c r="U80" s="1670">
        <f>+U63/U$65</f>
        <v/>
      </c>
      <c r="V80" s="1670">
        <f>+V63/V$65</f>
        <v/>
      </c>
      <c r="W80" s="1670">
        <f>+W63/W$65</f>
        <v/>
      </c>
      <c r="X80" s="1670">
        <f>+X63/X$65</f>
        <v/>
      </c>
      <c r="Y80" s="1670">
        <f>+Y63/Y$65</f>
        <v/>
      </c>
      <c r="Z80" s="1670">
        <f>+Z63/Z$65</f>
        <v/>
      </c>
      <c r="AA80" s="1670">
        <f>+AA63/AA$65</f>
        <v/>
      </c>
      <c r="AB80" s="1670">
        <f>+AB63/AB$65</f>
        <v/>
      </c>
      <c r="AC80" s="1670">
        <f>+AC63/AC$65</f>
        <v/>
      </c>
      <c r="AD80" s="1670">
        <f>+AD63/AD$65</f>
        <v/>
      </c>
      <c r="AE80" s="1670">
        <f>+AE63/AE$65</f>
        <v/>
      </c>
      <c r="AF80" s="1670">
        <f>+AF63/AF$65</f>
        <v/>
      </c>
      <c r="AG80" s="1670">
        <f>+AG63/AG$65</f>
        <v/>
      </c>
      <c r="AH80" s="1670">
        <f>+AH63/AH$65</f>
        <v/>
      </c>
      <c r="AI80" s="1670">
        <f>+AI63/AI$65</f>
        <v/>
      </c>
      <c r="AJ80" s="1670">
        <f>+AJ63/AJ$65</f>
        <v/>
      </c>
      <c r="AK80" s="1670">
        <f>+AK63/AK$65</f>
        <v/>
      </c>
      <c r="AL80" s="1670">
        <f>+AL63/AL$65</f>
        <v/>
      </c>
      <c r="AM80" s="1670">
        <f>+AM63/AM$65</f>
        <v/>
      </c>
      <c r="AN80" s="1670">
        <f>+AN63/AN$65</f>
        <v/>
      </c>
      <c r="AO80" s="1670">
        <f>+AO63/AO$65</f>
        <v/>
      </c>
      <c r="AP80" s="1670">
        <f>+AP63/AP$65</f>
        <v/>
      </c>
      <c r="AQ80" s="1670">
        <f>+AQ63/AQ$65</f>
        <v/>
      </c>
      <c r="AR80" s="1670">
        <f>+AR63/AR$65</f>
        <v/>
      </c>
      <c r="AS80" s="1670">
        <f>+AS63/AS$65</f>
        <v/>
      </c>
      <c r="AT80" s="1670">
        <f>+AT63/AT$65</f>
        <v/>
      </c>
      <c r="AU80" s="1670">
        <f>+AU63/AU$65</f>
        <v/>
      </c>
      <c r="AV80" s="1670">
        <f>+AV63/AV$65</f>
        <v/>
      </c>
      <c r="AW80" s="1670">
        <f>+AW63/AW$65</f>
        <v/>
      </c>
      <c r="AX80" s="1670">
        <f>+AX63/AX$65</f>
        <v/>
      </c>
      <c r="AY80" s="1670">
        <f>+AY63/AY$65</f>
        <v/>
      </c>
      <c r="AZ80" s="1670">
        <f>+AZ63/AZ$65</f>
        <v/>
      </c>
      <c r="BA80" s="1670">
        <f>+BA63/BA$65</f>
        <v/>
      </c>
      <c r="BB80" s="1670">
        <f>+BB63/BB$65</f>
        <v/>
      </c>
      <c r="BC80" s="1670">
        <f>+BC63/BC$65</f>
        <v/>
      </c>
      <c r="BD80" s="1670">
        <f>+BD63/BD$65</f>
        <v/>
      </c>
      <c r="BE80" s="1670">
        <f>+BE63/BE$65</f>
        <v/>
      </c>
      <c r="BF80" s="1670">
        <f>+BF63/BF$65</f>
        <v/>
      </c>
      <c r="BG80" s="1670">
        <f>+BG63/BG$65</f>
        <v/>
      </c>
      <c r="BH80" s="1670">
        <f>+BH63/BH$65</f>
        <v/>
      </c>
      <c r="BI80" s="1670">
        <f>+BI63/BI$65</f>
        <v/>
      </c>
      <c r="BJ80" s="1670">
        <f>+BJ63/BJ$65</f>
        <v/>
      </c>
      <c r="BK80" s="1670">
        <f>+BK63/BK$65</f>
        <v/>
      </c>
      <c r="BL80" s="1670">
        <f>+BL63/BL$65</f>
        <v/>
      </c>
      <c r="BM80" s="1670">
        <f>+BM63/BM$65</f>
        <v/>
      </c>
      <c r="BN80" s="1670">
        <f>+BN63/BN$65</f>
        <v/>
      </c>
      <c r="BO80" s="1658" t="n"/>
      <c r="BP80" s="1658" t="n"/>
    </row>
    <row r="81" ht="12.75" customFormat="1" customHeight="1" s="1654">
      <c r="B81" s="1658" t="inlineStr">
        <is>
          <t>Computer Application</t>
        </is>
      </c>
      <c r="C81" s="1658" t="n"/>
      <c r="D81" s="1658" t="n"/>
      <c r="E81" s="1658" t="n"/>
      <c r="F81" s="1658" t="n"/>
      <c r="G81" s="1670">
        <f>+G64/G$65</f>
        <v/>
      </c>
      <c r="H81" s="1670">
        <f>+H64/H$65</f>
        <v/>
      </c>
      <c r="I81" s="1670">
        <f>+I64/I$65</f>
        <v/>
      </c>
      <c r="J81" s="1670">
        <f>+J64/J$65</f>
        <v/>
      </c>
      <c r="K81" s="1670">
        <f>+K64/K$65</f>
        <v/>
      </c>
      <c r="L81" s="1670">
        <f>+L64/L$65</f>
        <v/>
      </c>
      <c r="M81" s="1670">
        <f>+M64/M$65</f>
        <v/>
      </c>
      <c r="N81" s="1670">
        <f>+N64/N$65</f>
        <v/>
      </c>
      <c r="O81" s="1670">
        <f>+O64/O$65</f>
        <v/>
      </c>
      <c r="P81" s="1670">
        <f>+P64/P$65</f>
        <v/>
      </c>
      <c r="Q81" s="1670">
        <f>+Q64/Q$65</f>
        <v/>
      </c>
      <c r="R81" s="1670">
        <f>+R64/R$65</f>
        <v/>
      </c>
      <c r="S81" s="1670">
        <f>+S64/S$65</f>
        <v/>
      </c>
      <c r="T81" s="1670">
        <f>+T64/T$65</f>
        <v/>
      </c>
      <c r="U81" s="1670">
        <f>+U64/U$65</f>
        <v/>
      </c>
      <c r="V81" s="1670">
        <f>+V64/V$65</f>
        <v/>
      </c>
      <c r="W81" s="1670">
        <f>+W64/W$65</f>
        <v/>
      </c>
      <c r="X81" s="1670">
        <f>+X64/X$65</f>
        <v/>
      </c>
      <c r="Y81" s="1670">
        <f>+Y64/Y$65</f>
        <v/>
      </c>
      <c r="Z81" s="1670">
        <f>+Z64/Z$65</f>
        <v/>
      </c>
      <c r="AA81" s="1670">
        <f>+AA64/AA$65</f>
        <v/>
      </c>
      <c r="AB81" s="1670">
        <f>+AB64/AB$65</f>
        <v/>
      </c>
      <c r="AC81" s="1670">
        <f>+AC64/AC$65</f>
        <v/>
      </c>
      <c r="AD81" s="1670">
        <f>+AD64/AD$65</f>
        <v/>
      </c>
      <c r="AE81" s="1670">
        <f>+AE64/AE$65</f>
        <v/>
      </c>
      <c r="AF81" s="1670">
        <f>+AF64/AF$65</f>
        <v/>
      </c>
      <c r="AG81" s="1670">
        <f>+AG64/AG$65</f>
        <v/>
      </c>
      <c r="AH81" s="1670">
        <f>+AH64/AH$65</f>
        <v/>
      </c>
      <c r="AI81" s="1670">
        <f>+AI64/AI$65</f>
        <v/>
      </c>
      <c r="AJ81" s="1670">
        <f>+AJ64/AJ$65</f>
        <v/>
      </c>
      <c r="AK81" s="1670">
        <f>+AK64/AK$65</f>
        <v/>
      </c>
      <c r="AL81" s="1670">
        <f>+AL64/AL$65</f>
        <v/>
      </c>
      <c r="AM81" s="1670">
        <f>+AM64/AM$65</f>
        <v/>
      </c>
      <c r="AN81" s="1670">
        <f>+AN64/AN$65</f>
        <v/>
      </c>
      <c r="AO81" s="1670">
        <f>+AO64/AO$65</f>
        <v/>
      </c>
      <c r="AP81" s="1670">
        <f>+AP64/AP$65</f>
        <v/>
      </c>
      <c r="AQ81" s="1670">
        <f>+AQ64/AQ$65</f>
        <v/>
      </c>
      <c r="AR81" s="1670">
        <f>+AR64/AR$65</f>
        <v/>
      </c>
      <c r="AS81" s="1670">
        <f>+AS64/AS$65</f>
        <v/>
      </c>
      <c r="AT81" s="1670">
        <f>+AT64/AT$65</f>
        <v/>
      </c>
      <c r="AU81" s="1670">
        <f>+AU64/AU$65</f>
        <v/>
      </c>
      <c r="AV81" s="1670">
        <f>+AV64/AV$65</f>
        <v/>
      </c>
      <c r="AW81" s="1670">
        <f>+AW64/AW$65</f>
        <v/>
      </c>
      <c r="AX81" s="1670">
        <f>+AX64/AX$65</f>
        <v/>
      </c>
      <c r="AY81" s="1670">
        <f>+AY64/AY$65</f>
        <v/>
      </c>
      <c r="AZ81" s="1670">
        <f>+AZ64/AZ$65</f>
        <v/>
      </c>
      <c r="BA81" s="1670">
        <f>+BA64/BA$65</f>
        <v/>
      </c>
      <c r="BB81" s="1670">
        <f>+BB64/BB$65</f>
        <v/>
      </c>
      <c r="BC81" s="1670">
        <f>+BC64/BC$65</f>
        <v/>
      </c>
      <c r="BD81" s="1670">
        <f>+BD64/BD$65</f>
        <v/>
      </c>
      <c r="BE81" s="1670">
        <f>+BE64/BE$65</f>
        <v/>
      </c>
      <c r="BF81" s="1670">
        <f>+BF64/BF$65</f>
        <v/>
      </c>
      <c r="BG81" s="1670">
        <f>+BG64/BG$65</f>
        <v/>
      </c>
      <c r="BH81" s="1670">
        <f>+BH64/BH$65</f>
        <v/>
      </c>
      <c r="BI81" s="1670">
        <f>+BI64/BI$65</f>
        <v/>
      </c>
      <c r="BJ81" s="1670">
        <f>+BJ64/BJ$65</f>
        <v/>
      </c>
      <c r="BK81" s="1670">
        <f>+BK64/BK$65</f>
        <v/>
      </c>
      <c r="BL81" s="1670">
        <f>+BL64/BL$65</f>
        <v/>
      </c>
      <c r="BM81" s="1670">
        <f>+BM64/BM$65</f>
        <v/>
      </c>
      <c r="BN81" s="1670">
        <f>+BN64/BN$65</f>
        <v/>
      </c>
    </row>
    <row r="82" ht="12.75" customFormat="1" customHeight="1" s="1654">
      <c r="B82" s="1658" t="n"/>
      <c r="C82" s="1658" t="n"/>
      <c r="D82" s="1658" t="n"/>
      <c r="E82" s="1658" t="n"/>
      <c r="F82" s="1658" t="n"/>
      <c r="G82" s="1659" t="n"/>
      <c r="H82" s="1668" t="n"/>
      <c r="I82" s="1668" t="n"/>
      <c r="J82" s="1668" t="n"/>
      <c r="K82" s="1668" t="n"/>
      <c r="L82" s="1668" t="n"/>
      <c r="M82" s="1668" t="n"/>
      <c r="N82" s="1668" t="n"/>
      <c r="O82" s="1668" t="n"/>
      <c r="P82" s="1668" t="n"/>
      <c r="Q82" s="1668" t="n"/>
      <c r="R82" s="1668" t="n"/>
      <c r="S82" s="1668" t="n"/>
      <c r="T82" s="1668" t="n"/>
      <c r="U82" s="1668" t="n"/>
      <c r="V82" s="1668" t="n"/>
      <c r="W82" s="1668" t="n"/>
      <c r="X82" s="1668" t="n"/>
      <c r="Y82" s="1668" t="n"/>
      <c r="Z82" s="1668" t="n"/>
      <c r="AA82" s="1668" t="n"/>
      <c r="AB82" s="1668" t="n"/>
      <c r="AC82" s="1668" t="n"/>
      <c r="AD82" s="1668" t="n"/>
      <c r="AE82" s="1668" t="n"/>
      <c r="AF82" s="1668" t="n"/>
      <c r="AG82" s="1668" t="n"/>
      <c r="AH82" s="1668" t="n"/>
      <c r="AI82" s="1668" t="n"/>
      <c r="AJ82" s="1668" t="n"/>
      <c r="AK82" s="1668" t="n"/>
      <c r="AL82" s="1668" t="n"/>
      <c r="AM82" s="1668" t="n"/>
      <c r="AN82" s="1668" t="n"/>
      <c r="AO82" s="1668" t="n"/>
      <c r="AP82" s="1668" t="n"/>
      <c r="AQ82" s="1668" t="n"/>
      <c r="AR82" s="1668" t="n"/>
      <c r="AS82" s="1668" t="n"/>
      <c r="AT82" s="1668" t="n"/>
      <c r="AU82" s="1668" t="n"/>
      <c r="AV82" s="1668" t="n"/>
      <c r="AW82" s="1668" t="n"/>
      <c r="AX82" s="1668" t="n"/>
      <c r="AY82" s="1668" t="n"/>
      <c r="AZ82" s="1668" t="n"/>
      <c r="BA82" s="1668" t="n"/>
      <c r="BB82" s="1668" t="n"/>
      <c r="BC82" s="1668" t="n"/>
      <c r="BD82" s="1668" t="n"/>
      <c r="BE82" s="1668" t="n"/>
      <c r="BF82" s="1668" t="n"/>
      <c r="BG82" s="1668" t="n"/>
      <c r="BH82" s="1668" t="n"/>
      <c r="BI82" s="1668" t="n"/>
      <c r="BJ82" s="1668" t="n"/>
      <c r="BK82" s="1668" t="n"/>
      <c r="BL82" s="1668" t="n"/>
      <c r="BM82" s="1668" t="n"/>
      <c r="BN82" s="1668" t="n"/>
    </row>
    <row r="83" ht="12.75" customFormat="1" customHeight="1" s="1654">
      <c r="B83" s="1669" t="inlineStr">
        <is>
          <t>Contribution Mix (%)</t>
        </is>
      </c>
      <c r="C83" s="1658" t="n"/>
      <c r="D83" s="1658" t="n"/>
      <c r="E83" s="1658" t="n"/>
      <c r="F83" s="1658" t="n"/>
      <c r="G83" s="1659" t="n"/>
      <c r="H83" s="1668" t="n"/>
      <c r="I83" s="1668" t="n"/>
      <c r="J83" s="1668" t="n"/>
      <c r="K83" s="1668" t="n"/>
      <c r="L83" s="1668" t="n"/>
      <c r="M83" s="1668" t="n"/>
      <c r="N83" s="1668" t="n"/>
      <c r="O83" s="1668" t="n"/>
      <c r="P83" s="1668" t="n"/>
      <c r="Q83" s="1668" t="n"/>
      <c r="R83" s="1668" t="n"/>
      <c r="S83" s="1668" t="n"/>
      <c r="T83" s="1668" t="n"/>
      <c r="U83" s="1668" t="n"/>
      <c r="V83" s="1668" t="n"/>
      <c r="W83" s="1668" t="n"/>
      <c r="X83" s="1668" t="n"/>
      <c r="Y83" s="1668" t="n"/>
      <c r="Z83" s="1668" t="n"/>
      <c r="AA83" s="1668" t="n"/>
      <c r="AB83" s="1668" t="n"/>
      <c r="AC83" s="1668" t="n"/>
      <c r="AD83" s="1668" t="n"/>
      <c r="AE83" s="1668" t="n"/>
      <c r="AF83" s="1668" t="n"/>
      <c r="AG83" s="1668" t="n"/>
      <c r="AH83" s="1668" t="n"/>
      <c r="AI83" s="1668" t="n"/>
      <c r="AJ83" s="1668" t="n"/>
      <c r="AK83" s="1668" t="n"/>
      <c r="AL83" s="1668" t="n"/>
      <c r="AM83" s="1668" t="n"/>
      <c r="AN83" s="1668" t="n"/>
      <c r="AO83" s="1668" t="n"/>
      <c r="AP83" s="1668" t="n"/>
      <c r="AQ83" s="1668" t="n"/>
      <c r="AR83" s="1668" t="n"/>
      <c r="AS83" s="1668" t="n"/>
      <c r="AT83" s="1668" t="n"/>
      <c r="AU83" s="1668" t="n"/>
      <c r="AV83" s="1668" t="n"/>
      <c r="AW83" s="1668" t="n"/>
      <c r="AX83" s="1668" t="n"/>
      <c r="AY83" s="1668" t="n"/>
      <c r="AZ83" s="1668" t="n"/>
      <c r="BA83" s="1668" t="n"/>
      <c r="BB83" s="1668" t="n"/>
      <c r="BC83" s="1668" t="n"/>
      <c r="BD83" s="1668" t="n"/>
      <c r="BE83" s="1668" t="n"/>
      <c r="BF83" s="1668" t="n"/>
      <c r="BG83" s="1668" t="n"/>
      <c r="BH83" s="1668" t="n"/>
      <c r="BI83" s="1668" t="n"/>
      <c r="BJ83" s="1668" t="n"/>
      <c r="BK83" s="1668" t="n"/>
      <c r="BL83" s="1668" t="n"/>
      <c r="BM83" s="1668" t="n"/>
      <c r="BN83" s="1668" t="n"/>
    </row>
    <row r="84" ht="12.75" customFormat="1" customHeight="1" s="1654">
      <c r="B84" s="1658" t="inlineStr">
        <is>
          <t xml:space="preserve"> Phone</t>
        </is>
      </c>
      <c r="C84" s="1658" t="n"/>
      <c r="D84" s="1658" t="n"/>
      <c r="E84" s="1658" t="n"/>
      <c r="F84" s="1658" t="n"/>
      <c r="G84" s="1670">
        <f>+G72/G$75</f>
        <v/>
      </c>
      <c r="H84" s="1670">
        <f>+H72/H$75</f>
        <v/>
      </c>
      <c r="I84" s="1670">
        <f>+I72/I$75</f>
        <v/>
      </c>
      <c r="J84" s="1670">
        <f>+J72/J$75</f>
        <v/>
      </c>
      <c r="K84" s="1670">
        <f>+K72/K$75</f>
        <v/>
      </c>
      <c r="L84" s="1670">
        <f>+L72/L$75</f>
        <v/>
      </c>
      <c r="M84" s="1670">
        <f>+M72/M$75</f>
        <v/>
      </c>
      <c r="N84" s="1670">
        <f>+N72/N$75</f>
        <v/>
      </c>
      <c r="O84" s="1670">
        <f>+O72/O$75</f>
        <v/>
      </c>
      <c r="P84" s="1670">
        <f>+P72/P$75</f>
        <v/>
      </c>
      <c r="Q84" s="1670">
        <f>+Q72/Q$75</f>
        <v/>
      </c>
      <c r="R84" s="1670">
        <f>+R72/R$75</f>
        <v/>
      </c>
      <c r="S84" s="1670">
        <f>+S72/S$75</f>
        <v/>
      </c>
      <c r="T84" s="1670">
        <f>+T72/T$75</f>
        <v/>
      </c>
      <c r="U84" s="1670">
        <f>+U72/U$75</f>
        <v/>
      </c>
      <c r="V84" s="1670">
        <f>+V72/V$75</f>
        <v/>
      </c>
      <c r="W84" s="1670">
        <f>+W72/W$75</f>
        <v/>
      </c>
      <c r="X84" s="1670">
        <f>+X72/X$75</f>
        <v/>
      </c>
      <c r="Y84" s="1670">
        <f>+Y72/Y$75</f>
        <v/>
      </c>
      <c r="Z84" s="1670">
        <f>+Z72/Z$75</f>
        <v/>
      </c>
      <c r="AA84" s="1670">
        <f>+AA72/AA$75</f>
        <v/>
      </c>
      <c r="AB84" s="1670">
        <f>+AB72/AB$75</f>
        <v/>
      </c>
      <c r="AC84" s="1670">
        <f>+AC72/AC$75</f>
        <v/>
      </c>
      <c r="AD84" s="1670">
        <f>+AD72/AD$75</f>
        <v/>
      </c>
      <c r="AE84" s="1670">
        <f>+AE72/AE$75</f>
        <v/>
      </c>
      <c r="AF84" s="1670">
        <f>+AF72/AF$75</f>
        <v/>
      </c>
      <c r="AG84" s="1670">
        <f>+AG72/AG$75</f>
        <v/>
      </c>
      <c r="AH84" s="1670">
        <f>+AH72/AH$75</f>
        <v/>
      </c>
      <c r="AI84" s="1670">
        <f>+AI72/AI$75</f>
        <v/>
      </c>
      <c r="AJ84" s="1670">
        <f>+AJ72/AJ$75</f>
        <v/>
      </c>
      <c r="AK84" s="1670">
        <f>+AK72/AK$75</f>
        <v/>
      </c>
      <c r="AL84" s="1670">
        <f>+AL72/AL$75</f>
        <v/>
      </c>
      <c r="AM84" s="1670">
        <f>+AM72/AM$75</f>
        <v/>
      </c>
      <c r="AN84" s="1670">
        <f>+AN72/AN$75</f>
        <v/>
      </c>
      <c r="AO84" s="1670">
        <f>+AO72/AO$75</f>
        <v/>
      </c>
      <c r="AP84" s="1670">
        <f>+AP72/AP$75</f>
        <v/>
      </c>
      <c r="AQ84" s="1670">
        <f>+AQ72/AQ$75</f>
        <v/>
      </c>
      <c r="AR84" s="1670">
        <f>+AR72/AR$75</f>
        <v/>
      </c>
      <c r="AS84" s="1670">
        <f>+AS72/AS$75</f>
        <v/>
      </c>
      <c r="AT84" s="1670">
        <f>+AT72/AT$75</f>
        <v/>
      </c>
      <c r="AU84" s="1670">
        <f>+AU72/AU$75</f>
        <v/>
      </c>
      <c r="AV84" s="1670">
        <f>+AV72/AV$75</f>
        <v/>
      </c>
      <c r="AW84" s="1670">
        <f>+AW72/AW$75</f>
        <v/>
      </c>
      <c r="AX84" s="1670">
        <f>+AX72/AX$75</f>
        <v/>
      </c>
      <c r="AY84" s="1670">
        <f>+AY72/AY$75</f>
        <v/>
      </c>
      <c r="AZ84" s="1670">
        <f>+AZ72/AZ$75</f>
        <v/>
      </c>
      <c r="BA84" s="1670">
        <f>+BA72/BA$75</f>
        <v/>
      </c>
      <c r="BB84" s="1670">
        <f>+BB72/BB$75</f>
        <v/>
      </c>
      <c r="BC84" s="1670">
        <f>+BC72/BC$75</f>
        <v/>
      </c>
      <c r="BD84" s="1670">
        <f>+BD72/BD$75</f>
        <v/>
      </c>
      <c r="BE84" s="1670">
        <f>+BE72/BE$75</f>
        <v/>
      </c>
      <c r="BF84" s="1670">
        <f>+BF72/BF$75</f>
        <v/>
      </c>
      <c r="BG84" s="1670">
        <f>+BG72/BG$75</f>
        <v/>
      </c>
      <c r="BH84" s="1670">
        <f>+BH72/BH$75</f>
        <v/>
      </c>
      <c r="BI84" s="1670">
        <f>+BI72/BI$75</f>
        <v/>
      </c>
      <c r="BJ84" s="1670">
        <f>+BJ72/BJ$75</f>
        <v/>
      </c>
      <c r="BK84" s="1670">
        <f>+BK72/BK$75</f>
        <v/>
      </c>
      <c r="BL84" s="1670">
        <f>+BL72/BL$75</f>
        <v/>
      </c>
      <c r="BM84" s="1670">
        <f>+BM72/BM$75</f>
        <v/>
      </c>
      <c r="BN84" s="1670">
        <f>+BN72/BN$75</f>
        <v/>
      </c>
    </row>
    <row r="85" ht="12.75" customFormat="1" customHeight="1" s="1654">
      <c r="B85" s="1658" t="inlineStr">
        <is>
          <t>Companion Application</t>
        </is>
      </c>
      <c r="C85" s="1658" t="n"/>
      <c r="D85" s="1658" t="n"/>
      <c r="E85" s="1658" t="n"/>
      <c r="F85" s="1658" t="n"/>
      <c r="G85" s="1670">
        <f>+G73/G$75</f>
        <v/>
      </c>
      <c r="H85" s="1670">
        <f>+H73/H$75</f>
        <v/>
      </c>
      <c r="I85" s="1670">
        <f>+I73/I$75</f>
        <v/>
      </c>
      <c r="J85" s="1670">
        <f>+J73/J$75</f>
        <v/>
      </c>
      <c r="K85" s="1670">
        <f>+K73/K$75</f>
        <v/>
      </c>
      <c r="L85" s="1670">
        <f>+L73/L$75</f>
        <v/>
      </c>
      <c r="M85" s="1670">
        <f>+M73/M$75</f>
        <v/>
      </c>
      <c r="N85" s="1670">
        <f>+N73/N$75</f>
        <v/>
      </c>
      <c r="O85" s="1670">
        <f>+O73/O$75</f>
        <v/>
      </c>
      <c r="P85" s="1670">
        <f>+P73/P$75</f>
        <v/>
      </c>
      <c r="Q85" s="1670">
        <f>+Q73/Q$75</f>
        <v/>
      </c>
      <c r="R85" s="1670">
        <f>+R73/R$75</f>
        <v/>
      </c>
      <c r="S85" s="1670">
        <f>+S73/S$75</f>
        <v/>
      </c>
      <c r="T85" s="1670">
        <f>+T73/T$75</f>
        <v/>
      </c>
      <c r="U85" s="1670">
        <f>+U73/U$75</f>
        <v/>
      </c>
      <c r="V85" s="1670">
        <f>+V73/V$75</f>
        <v/>
      </c>
      <c r="W85" s="1670">
        <f>+W73/W$75</f>
        <v/>
      </c>
      <c r="X85" s="1670">
        <f>+X73/X$75</f>
        <v/>
      </c>
      <c r="Y85" s="1670">
        <f>+Y73/Y$75</f>
        <v/>
      </c>
      <c r="Z85" s="1670">
        <f>+Z73/Z$75</f>
        <v/>
      </c>
      <c r="AA85" s="1670">
        <f>+AA73/AA$75</f>
        <v/>
      </c>
      <c r="AB85" s="1670">
        <f>+AB73/AB$75</f>
        <v/>
      </c>
      <c r="AC85" s="1670">
        <f>+AC73/AC$75</f>
        <v/>
      </c>
      <c r="AD85" s="1670">
        <f>+AD73/AD$75</f>
        <v/>
      </c>
      <c r="AE85" s="1670">
        <f>+AE73/AE$75</f>
        <v/>
      </c>
      <c r="AF85" s="1670">
        <f>+AF73/AF$75</f>
        <v/>
      </c>
      <c r="AG85" s="1670">
        <f>+AG73/AG$75</f>
        <v/>
      </c>
      <c r="AH85" s="1670">
        <f>+AH73/AH$75</f>
        <v/>
      </c>
      <c r="AI85" s="1670">
        <f>+AI73/AI$75</f>
        <v/>
      </c>
      <c r="AJ85" s="1670">
        <f>+AJ73/AJ$75</f>
        <v/>
      </c>
      <c r="AK85" s="1670">
        <f>+AK73/AK$75</f>
        <v/>
      </c>
      <c r="AL85" s="1670">
        <f>+AL73/AL$75</f>
        <v/>
      </c>
      <c r="AM85" s="1670">
        <f>+AM73/AM$75</f>
        <v/>
      </c>
      <c r="AN85" s="1670">
        <f>+AN73/AN$75</f>
        <v/>
      </c>
      <c r="AO85" s="1670">
        <f>+AO73/AO$75</f>
        <v/>
      </c>
      <c r="AP85" s="1670">
        <f>+AP73/AP$75</f>
        <v/>
      </c>
      <c r="AQ85" s="1670">
        <f>+AQ73/AQ$75</f>
        <v/>
      </c>
      <c r="AR85" s="1670">
        <f>+AR73/AR$75</f>
        <v/>
      </c>
      <c r="AS85" s="1670">
        <f>+AS73/AS$75</f>
        <v/>
      </c>
      <c r="AT85" s="1670">
        <f>+AT73/AT$75</f>
        <v/>
      </c>
      <c r="AU85" s="1670">
        <f>+AU73/AU$75</f>
        <v/>
      </c>
      <c r="AV85" s="1670">
        <f>+AV73/AV$75</f>
        <v/>
      </c>
      <c r="AW85" s="1670">
        <f>+AW73/AW$75</f>
        <v/>
      </c>
      <c r="AX85" s="1670">
        <f>+AX73/AX$75</f>
        <v/>
      </c>
      <c r="AY85" s="1670">
        <f>+AY73/AY$75</f>
        <v/>
      </c>
      <c r="AZ85" s="1670">
        <f>+AZ73/AZ$75</f>
        <v/>
      </c>
      <c r="BA85" s="1670">
        <f>+BA73/BA$75</f>
        <v/>
      </c>
      <c r="BB85" s="1670">
        <f>+BB73/BB$75</f>
        <v/>
      </c>
      <c r="BC85" s="1670">
        <f>+BC73/BC$75</f>
        <v/>
      </c>
      <c r="BD85" s="1670">
        <f>+BD73/BD$75</f>
        <v/>
      </c>
      <c r="BE85" s="1670">
        <f>+BE73/BE$75</f>
        <v/>
      </c>
      <c r="BF85" s="1670">
        <f>+BF73/BF$75</f>
        <v/>
      </c>
      <c r="BG85" s="1670">
        <f>+BG73/BG$75</f>
        <v/>
      </c>
      <c r="BH85" s="1670">
        <f>+BH73/BH$75</f>
        <v/>
      </c>
      <c r="BI85" s="1670">
        <f>+BI73/BI$75</f>
        <v/>
      </c>
      <c r="BJ85" s="1670">
        <f>+BJ73/BJ$75</f>
        <v/>
      </c>
      <c r="BK85" s="1670">
        <f>+BK73/BK$75</f>
        <v/>
      </c>
      <c r="BL85" s="1670">
        <f>+BL73/BL$75</f>
        <v/>
      </c>
      <c r="BM85" s="1670">
        <f>+BM73/BM$75</f>
        <v/>
      </c>
      <c r="BN85" s="1670">
        <f>+BN73/BN$75</f>
        <v/>
      </c>
    </row>
    <row r="86" ht="12.75" customFormat="1" customHeight="1" s="1654">
      <c r="B86" s="1658" t="inlineStr">
        <is>
          <t>Computer Application</t>
        </is>
      </c>
      <c r="C86" s="1658" t="n"/>
      <c r="D86" s="1658" t="n"/>
      <c r="E86" s="1658" t="n"/>
      <c r="F86" s="1658" t="n"/>
      <c r="G86" s="1670">
        <f>+G74/G$75</f>
        <v/>
      </c>
      <c r="H86" s="1670">
        <f>+H74/H$75</f>
        <v/>
      </c>
      <c r="I86" s="1670">
        <f>+I74/I$75</f>
        <v/>
      </c>
      <c r="J86" s="1670">
        <f>+J74/J$75</f>
        <v/>
      </c>
      <c r="K86" s="1670">
        <f>+K74/K$75</f>
        <v/>
      </c>
      <c r="L86" s="1670">
        <f>+L74/L$75</f>
        <v/>
      </c>
      <c r="M86" s="1670">
        <f>+M74/M$75</f>
        <v/>
      </c>
      <c r="N86" s="1670">
        <f>+N74/N$75</f>
        <v/>
      </c>
      <c r="O86" s="1670">
        <f>+O74/O$75</f>
        <v/>
      </c>
      <c r="P86" s="1670">
        <f>+P74/P$75</f>
        <v/>
      </c>
      <c r="Q86" s="1670">
        <f>+Q74/Q$75</f>
        <v/>
      </c>
      <c r="R86" s="1670">
        <f>+R74/R$75</f>
        <v/>
      </c>
      <c r="S86" s="1670">
        <f>+S74/S$75</f>
        <v/>
      </c>
      <c r="T86" s="1670">
        <f>+T74/T$75</f>
        <v/>
      </c>
      <c r="U86" s="1670">
        <f>+U74/U$75</f>
        <v/>
      </c>
      <c r="V86" s="1670">
        <f>+V74/V$75</f>
        <v/>
      </c>
      <c r="W86" s="1670">
        <f>+W74/W$75</f>
        <v/>
      </c>
      <c r="X86" s="1670">
        <f>+X74/X$75</f>
        <v/>
      </c>
      <c r="Y86" s="1670">
        <f>+Y74/Y$75</f>
        <v/>
      </c>
      <c r="Z86" s="1670">
        <f>+Z74/Z$75</f>
        <v/>
      </c>
      <c r="AA86" s="1670">
        <f>+AA74/AA$75</f>
        <v/>
      </c>
      <c r="AB86" s="1670">
        <f>+AB74/AB$75</f>
        <v/>
      </c>
      <c r="AC86" s="1670">
        <f>+AC74/AC$75</f>
        <v/>
      </c>
      <c r="AD86" s="1670">
        <f>+AD74/AD$75</f>
        <v/>
      </c>
      <c r="AE86" s="1670">
        <f>+AE74/AE$75</f>
        <v/>
      </c>
      <c r="AF86" s="1670">
        <f>+AF74/AF$75</f>
        <v/>
      </c>
      <c r="AG86" s="1670">
        <f>+AG74/AG$75</f>
        <v/>
      </c>
      <c r="AH86" s="1670">
        <f>+AH74/AH$75</f>
        <v/>
      </c>
      <c r="AI86" s="1670">
        <f>+AI74/AI$75</f>
        <v/>
      </c>
      <c r="AJ86" s="1670">
        <f>+AJ74/AJ$75</f>
        <v/>
      </c>
      <c r="AK86" s="1670">
        <f>+AK74/AK$75</f>
        <v/>
      </c>
      <c r="AL86" s="1670">
        <f>+AL74/AL$75</f>
        <v/>
      </c>
      <c r="AM86" s="1670">
        <f>+AM74/AM$75</f>
        <v/>
      </c>
      <c r="AN86" s="1670">
        <f>+AN74/AN$75</f>
        <v/>
      </c>
      <c r="AO86" s="1670">
        <f>+AO74/AO$75</f>
        <v/>
      </c>
      <c r="AP86" s="1670">
        <f>+AP74/AP$75</f>
        <v/>
      </c>
      <c r="AQ86" s="1670">
        <f>+AQ74/AQ$75</f>
        <v/>
      </c>
      <c r="AR86" s="1670">
        <f>+AR74/AR$75</f>
        <v/>
      </c>
      <c r="AS86" s="1670">
        <f>+AS74/AS$75</f>
        <v/>
      </c>
      <c r="AT86" s="1670">
        <f>+AT74/AT$75</f>
        <v/>
      </c>
      <c r="AU86" s="1670">
        <f>+AU74/AU$75</f>
        <v/>
      </c>
      <c r="AV86" s="1670">
        <f>+AV74/AV$75</f>
        <v/>
      </c>
      <c r="AW86" s="1670">
        <f>+AW74/AW$75</f>
        <v/>
      </c>
      <c r="AX86" s="1670">
        <f>+AX74/AX$75</f>
        <v/>
      </c>
      <c r="AY86" s="1670">
        <f>+AY74/AY$75</f>
        <v/>
      </c>
      <c r="AZ86" s="1670">
        <f>+AZ74/AZ$75</f>
        <v/>
      </c>
      <c r="BA86" s="1670">
        <f>+BA74/BA$75</f>
        <v/>
      </c>
      <c r="BB86" s="1670">
        <f>+BB74/BB$75</f>
        <v/>
      </c>
      <c r="BC86" s="1670">
        <f>+BC74/BC$75</f>
        <v/>
      </c>
      <c r="BD86" s="1670">
        <f>+BD74/BD$75</f>
        <v/>
      </c>
      <c r="BE86" s="1670">
        <f>+BE74/BE$75</f>
        <v/>
      </c>
      <c r="BF86" s="1670">
        <f>+BF74/BF$75</f>
        <v/>
      </c>
      <c r="BG86" s="1670">
        <f>+BG74/BG$75</f>
        <v/>
      </c>
      <c r="BH86" s="1670">
        <f>+BH74/BH$75</f>
        <v/>
      </c>
      <c r="BI86" s="1670">
        <f>+BI74/BI$75</f>
        <v/>
      </c>
      <c r="BJ86" s="1670">
        <f>+BJ74/BJ$75</f>
        <v/>
      </c>
      <c r="BK86" s="1670">
        <f>+BK74/BK$75</f>
        <v/>
      </c>
      <c r="BL86" s="1670">
        <f>+BL74/BL$75</f>
        <v/>
      </c>
      <c r="BM86" s="1670">
        <f>+BM74/BM$75</f>
        <v/>
      </c>
      <c r="BN86" s="1670">
        <f>+BN74/BN$75</f>
        <v/>
      </c>
    </row>
  </sheetData>
  <mergeCells count="1">
    <mergeCell ref="D33:E33"/>
  </mergeCells>
  <pageMargins left="0.7" right="0.7" top="0.75" bottom="0.75" header="0.3" footer="0.3"/>
  <pageSetup orientation="portrait" horizontalDpi="0" verticalDpi="0"/>
</worksheet>
</file>

<file path=xl/worksheets/sheet13.xml><?xml version="1.0" encoding="utf-8"?>
<worksheet xmlns="http://schemas.openxmlformats.org/spreadsheetml/2006/main">
  <sheetPr>
    <tabColor rgb="FFCCFFCC"/>
    <outlinePr summaryBelow="1" summaryRight="1"/>
    <pageSetUpPr/>
  </sheetPr>
  <dimension ref="B2:AD467"/>
  <sheetViews>
    <sheetView topLeftCell="A179" zoomScaleNormal="100" workbookViewId="0">
      <selection activeCell="L49" sqref="L49"/>
    </sheetView>
  </sheetViews>
  <sheetFormatPr baseColWidth="10" defaultColWidth="8.6640625" defaultRowHeight="13"/>
  <cols>
    <col width="2.6640625" customWidth="1" style="1883" min="1" max="8"/>
    <col width="18.6640625" customWidth="1" style="1883" min="9" max="9"/>
    <col width="48.6640625" customWidth="1" style="1883" min="10" max="10"/>
    <col width="1.6640625" customWidth="1" style="1883" min="11" max="11"/>
    <col width="15.6640625" customWidth="1" style="1883" min="12" max="13"/>
    <col width="15.83203125" customWidth="1" style="1883" min="14" max="14"/>
    <col width="15.6640625" customWidth="1" style="1883" min="15" max="23"/>
    <col width="1.6640625" customWidth="1" style="1883" min="24" max="24"/>
    <col width="15.6640625" customWidth="1" style="1883" min="25" max="25"/>
    <col width="2.6640625" customWidth="1" style="1883" min="26" max="26"/>
    <col width="15.6640625" customWidth="1" style="1883" min="27" max="27"/>
    <col width="2.5" customWidth="1" style="1883" min="28" max="28"/>
    <col width="13.1640625" bestFit="1" customWidth="1" style="1883" min="29" max="29"/>
  </cols>
  <sheetData>
    <row r="2" ht="15" customHeight="1" s="1883">
      <c r="B2" s="385" t="inlineStr">
        <is>
          <t>PURE TECHNOLOGY</t>
        </is>
      </c>
      <c r="C2" s="383" t="n"/>
      <c r="D2" s="383" t="n"/>
      <c r="E2" s="383" t="n"/>
      <c r="F2" s="383" t="n"/>
      <c r="G2" s="383" t="n"/>
      <c r="H2" s="383" t="n"/>
      <c r="I2" s="383" t="n"/>
      <c r="J2" s="383" t="n"/>
      <c r="K2" s="383" t="n"/>
      <c r="L2" s="383" t="n"/>
      <c r="M2" s="383" t="n"/>
      <c r="N2" s="383" t="n"/>
      <c r="O2" s="383" t="n"/>
      <c r="P2" s="383" t="n"/>
      <c r="Q2" s="383" t="n"/>
      <c r="R2" s="383" t="n"/>
      <c r="S2" s="383" t="n"/>
      <c r="T2" s="383" t="n"/>
      <c r="U2" s="383" t="n"/>
      <c r="V2" s="383" t="n"/>
      <c r="W2" s="383" t="n"/>
      <c r="X2" s="383" t="n"/>
      <c r="Y2" s="383" t="n"/>
    </row>
    <row r="3" ht="4.5" customHeight="1" s="1883">
      <c r="B3" s="383" t="n"/>
      <c r="C3" s="383" t="n"/>
      <c r="D3" s="383" t="n"/>
      <c r="E3" s="383" t="n"/>
      <c r="F3" s="383" t="n"/>
      <c r="G3" s="383" t="n"/>
      <c r="H3" s="383" t="n"/>
      <c r="I3" s="383" t="n"/>
      <c r="J3" s="383" t="n"/>
      <c r="K3" s="383" t="n"/>
      <c r="L3" s="383" t="n"/>
      <c r="M3" s="383" t="n"/>
      <c r="N3" s="383" t="n"/>
      <c r="O3" s="383" t="n"/>
      <c r="P3" s="383" t="n"/>
      <c r="Q3" s="383" t="n"/>
      <c r="R3" s="383" t="n"/>
      <c r="S3" s="383" t="n"/>
      <c r="T3" s="383" t="n"/>
      <c r="U3" s="383" t="n"/>
      <c r="V3" s="383" t="n"/>
      <c r="W3" s="383" t="n"/>
      <c r="X3" s="383" t="n"/>
      <c r="Y3" s="383" t="n"/>
    </row>
    <row r="4" ht="15" customHeight="1" s="1883">
      <c r="B4" s="423" t="inlineStr">
        <is>
          <t>EXPENSES AND OPERATING INCOME, BY MONTH</t>
        </is>
      </c>
      <c r="C4" s="383" t="n"/>
      <c r="D4" s="383" t="n"/>
      <c r="E4" s="383" t="n"/>
      <c r="F4" s="383" t="n"/>
      <c r="G4" s="383" t="n"/>
      <c r="H4" s="383" t="n"/>
      <c r="I4" s="383" t="n"/>
      <c r="J4" s="383" t="n"/>
      <c r="K4" s="383" t="n"/>
      <c r="L4" s="383" t="n"/>
      <c r="M4" s="383" t="n"/>
      <c r="N4" s="383" t="n"/>
      <c r="O4" s="383" t="n"/>
      <c r="P4" s="383" t="n"/>
      <c r="Q4" s="383" t="n"/>
      <c r="R4" s="383" t="n"/>
      <c r="S4" s="383" t="n"/>
      <c r="T4" s="383" t="n"/>
      <c r="U4" s="383" t="n"/>
      <c r="V4" s="383" t="n"/>
      <c r="W4" s="383" t="n"/>
      <c r="X4" s="383" t="n"/>
      <c r="Y4" s="383" t="n"/>
    </row>
    <row r="5" ht="4.5" customHeight="1" s="1883">
      <c r="B5" s="422" t="n"/>
      <c r="C5" s="383" t="n"/>
      <c r="D5" s="383" t="n"/>
      <c r="E5" s="383" t="n"/>
      <c r="F5" s="383" t="n"/>
      <c r="G5" s="383" t="n"/>
      <c r="H5" s="383" t="n"/>
      <c r="I5" s="383" t="n"/>
      <c r="J5" s="383" t="n"/>
      <c r="K5" s="383" t="n"/>
      <c r="L5" s="383" t="n"/>
      <c r="M5" s="383" t="n"/>
      <c r="N5" s="383" t="n"/>
      <c r="O5" s="383" t="n"/>
      <c r="P5" s="383" t="n"/>
      <c r="Q5" s="383" t="n"/>
      <c r="R5" s="383" t="n"/>
      <c r="S5" s="383" t="n"/>
      <c r="T5" s="383" t="n"/>
      <c r="U5" s="383" t="n"/>
      <c r="V5" s="383" t="n"/>
      <c r="W5" s="383" t="n"/>
      <c r="X5" s="383" t="n"/>
      <c r="Y5" s="383" t="n"/>
    </row>
    <row r="6" ht="15" customHeight="1" s="1883">
      <c r="B6" s="423" t="inlineStr">
        <is>
          <t>MONTHS 1 - 60</t>
        </is>
      </c>
      <c r="C6" s="383" t="n"/>
      <c r="D6" s="383" t="n"/>
      <c r="E6" s="383" t="n"/>
      <c r="F6" s="383" t="n"/>
      <c r="G6" s="383" t="n"/>
      <c r="H6" s="383" t="n"/>
      <c r="I6" s="383" t="n"/>
      <c r="J6" s="383" t="n"/>
      <c r="K6" s="383" t="n"/>
      <c r="L6" s="383" t="n"/>
      <c r="M6" s="383" t="n"/>
      <c r="N6" s="383" t="n"/>
      <c r="O6" s="383" t="n"/>
      <c r="P6" s="383" t="n"/>
      <c r="Q6" s="383" t="n"/>
      <c r="R6" s="383" t="n"/>
      <c r="S6" s="383" t="n"/>
      <c r="T6" s="383" t="n"/>
      <c r="U6" s="383" t="n"/>
      <c r="V6" s="383" t="n"/>
      <c r="W6" s="383" t="n"/>
      <c r="X6" s="383" t="n"/>
      <c r="Y6" s="383" t="n"/>
    </row>
    <row r="7" ht="15" customHeight="1" s="1883">
      <c r="B7" s="423" t="n"/>
      <c r="C7" s="383" t="n"/>
      <c r="D7" s="383" t="n"/>
      <c r="E7" s="383" t="n"/>
      <c r="F7" s="383" t="n"/>
      <c r="G7" s="383" t="n"/>
      <c r="H7" s="383" t="n"/>
      <c r="I7" s="383" t="n"/>
      <c r="J7" s="383" t="n"/>
      <c r="K7" s="383" t="n"/>
      <c r="L7" s="383" t="n"/>
      <c r="M7" s="383" t="n"/>
      <c r="N7" s="383" t="n"/>
      <c r="O7" s="383" t="n"/>
      <c r="P7" s="383" t="n"/>
      <c r="Q7" s="383" t="n"/>
      <c r="R7" s="383" t="n"/>
      <c r="S7" s="383" t="n"/>
      <c r="T7" s="383" t="n"/>
      <c r="U7" s="383" t="n"/>
      <c r="V7" s="383" t="n"/>
      <c r="W7" s="383" t="n"/>
      <c r="X7" s="383" t="n"/>
      <c r="Y7" s="383" t="n"/>
    </row>
    <row r="8" ht="3" customHeight="1" s="1883" thickBot="1">
      <c r="B8" s="817" t="n"/>
      <c r="C8" s="1885" t="n"/>
      <c r="D8" s="1885" t="n"/>
      <c r="E8" s="1885" t="n"/>
      <c r="F8" s="1885" t="n"/>
      <c r="G8" s="1885" t="n"/>
      <c r="H8" s="1885" t="n"/>
      <c r="I8" s="1885" t="n"/>
      <c r="J8" s="1885" t="n"/>
      <c r="K8" s="383" t="n"/>
      <c r="L8" s="383" t="n"/>
      <c r="M8" s="383" t="n"/>
      <c r="N8" s="383" t="n"/>
      <c r="O8" s="383" t="n"/>
      <c r="P8" s="383" t="n"/>
      <c r="Q8" s="383" t="n"/>
      <c r="R8" s="383" t="n"/>
      <c r="S8" s="383" t="n"/>
      <c r="T8" s="383" t="n"/>
      <c r="U8" s="383" t="n"/>
      <c r="V8" s="383" t="n"/>
      <c r="W8" s="383" t="n"/>
      <c r="X8" s="383" t="n"/>
      <c r="Y8" s="383" t="n"/>
    </row>
    <row r="9" ht="3" customHeight="1" s="1883" thickTop="1">
      <c r="B9" s="383" t="n"/>
      <c r="C9" s="383" t="n"/>
      <c r="D9" s="383" t="n"/>
      <c r="E9" s="383" t="n"/>
      <c r="F9" s="383" t="n"/>
      <c r="G9" s="383" t="n"/>
      <c r="H9" s="383" t="n"/>
      <c r="I9" s="383" t="n"/>
      <c r="J9" s="383" t="n"/>
      <c r="K9" s="383" t="n"/>
      <c r="L9" s="383" t="n"/>
      <c r="M9" s="383" t="n"/>
      <c r="N9" s="383" t="n"/>
      <c r="O9" s="383" t="n"/>
      <c r="P9" s="383" t="n"/>
      <c r="Q9" s="383" t="n"/>
      <c r="R9" s="383" t="n"/>
      <c r="S9" s="383" t="n"/>
      <c r="T9" s="383" t="n"/>
      <c r="U9" s="383" t="n"/>
      <c r="V9" s="383" t="n"/>
      <c r="W9" s="383" t="n"/>
      <c r="X9" s="383" t="n"/>
      <c r="Y9" s="383" t="n"/>
    </row>
    <row r="10" ht="15" customHeight="1" s="1883">
      <c r="B10" s="383" t="n"/>
      <c r="C10" s="383" t="n"/>
      <c r="D10" s="383" t="n"/>
      <c r="E10" s="383" t="n"/>
      <c r="F10" s="383" t="n"/>
      <c r="G10" s="383" t="n"/>
      <c r="H10" s="383" t="n"/>
      <c r="I10" s="383" t="n"/>
      <c r="J10" s="383" t="n"/>
      <c r="K10" s="383" t="n"/>
      <c r="L10" s="383" t="n"/>
      <c r="M10" s="383" t="n"/>
      <c r="N10" s="383" t="n"/>
      <c r="O10" s="383" t="n"/>
      <c r="P10" s="383" t="n"/>
      <c r="Q10" s="383" t="n"/>
      <c r="R10" s="383" t="n"/>
      <c r="S10" s="383" t="n"/>
      <c r="T10" s="383" t="n"/>
      <c r="U10" s="383" t="n"/>
      <c r="V10" s="383" t="n"/>
      <c r="W10" s="383" t="n"/>
      <c r="X10" s="383" t="n"/>
      <c r="Y10" s="383" t="n"/>
    </row>
    <row r="11" ht="15" customHeight="1" s="1883">
      <c r="B11" s="383" t="n"/>
      <c r="C11" s="383" t="n"/>
      <c r="D11" s="383" t="n"/>
      <c r="E11" s="383" t="n"/>
      <c r="F11" s="383" t="n"/>
      <c r="G11" s="383" t="n"/>
      <c r="H11" s="383" t="n"/>
      <c r="I11" s="383" t="n"/>
      <c r="J11" s="383" t="n"/>
      <c r="K11" s="383" t="n"/>
      <c r="L11" s="383" t="n"/>
      <c r="M11" s="383" t="n"/>
      <c r="N11" s="383" t="n"/>
      <c r="O11" s="383" t="n"/>
      <c r="P11" s="383" t="n"/>
      <c r="Q11" s="383" t="n"/>
      <c r="R11" s="383" t="n"/>
      <c r="S11" s="383" t="n"/>
      <c r="T11" s="383" t="n"/>
      <c r="U11" s="383" t="n"/>
      <c r="V11" s="383" t="n"/>
      <c r="W11" s="383" t="n"/>
      <c r="X11" s="383" t="n"/>
      <c r="Y11" s="383" t="n"/>
    </row>
    <row r="12" ht="15" customHeight="1" s="1883">
      <c r="B12" s="385" t="inlineStr">
        <is>
          <t>YEAR 1 - OPERATING INCOME</t>
        </is>
      </c>
      <c r="C12" s="383" t="n"/>
      <c r="D12" s="383" t="n"/>
      <c r="E12" s="383" t="n"/>
      <c r="F12" s="383" t="n"/>
      <c r="G12" s="383" t="n"/>
      <c r="H12" s="383" t="n"/>
      <c r="I12" s="383" t="n"/>
      <c r="J12" s="383" t="n"/>
      <c r="K12" s="383" t="n"/>
      <c r="L12" s="383" t="n"/>
      <c r="M12" s="383" t="n"/>
      <c r="N12" s="383" t="n"/>
      <c r="O12" s="383" t="n"/>
      <c r="P12" s="383" t="n"/>
      <c r="Q12" s="383" t="n"/>
      <c r="R12" s="383" t="n"/>
      <c r="S12" s="383" t="n"/>
      <c r="T12" s="383" t="n"/>
      <c r="U12" s="383" t="n"/>
      <c r="V12" s="383" t="n"/>
      <c r="W12" s="383" t="n"/>
      <c r="X12" s="383" t="n"/>
      <c r="Y12" s="383" t="n"/>
    </row>
    <row r="13" ht="3" customHeight="1" s="1883">
      <c r="B13" s="387" t="n"/>
      <c r="C13" s="387" t="n"/>
      <c r="D13" s="387" t="n"/>
      <c r="E13" s="387" t="n"/>
      <c r="F13" s="387" t="n"/>
      <c r="G13" s="387" t="n"/>
      <c r="H13" s="387" t="n"/>
      <c r="I13" s="387" t="n"/>
      <c r="J13" s="387" t="n"/>
      <c r="K13" s="383" t="n"/>
      <c r="L13" s="383" t="n"/>
      <c r="M13" s="383" t="n"/>
      <c r="N13" s="383" t="n"/>
      <c r="O13" s="383" t="n"/>
      <c r="P13" s="383" t="n"/>
      <c r="Q13" s="383" t="n"/>
      <c r="R13" s="383" t="n"/>
      <c r="S13" s="383" t="n"/>
      <c r="T13" s="383" t="n"/>
      <c r="U13" s="383" t="n"/>
      <c r="V13" s="383" t="n"/>
      <c r="W13" s="383" t="n"/>
      <c r="X13" s="383" t="n"/>
      <c r="Y13" s="383" t="n"/>
    </row>
    <row r="14" ht="3" customHeight="1" s="1883">
      <c r="B14" s="383" t="n"/>
      <c r="C14" s="383" t="n"/>
      <c r="D14" s="383" t="n"/>
      <c r="E14" s="383" t="n"/>
      <c r="F14" s="383" t="n"/>
      <c r="G14" s="383" t="n"/>
      <c r="H14" s="383" t="n"/>
      <c r="I14" s="383" t="n"/>
      <c r="J14" s="383" t="n"/>
      <c r="K14" s="383" t="n"/>
      <c r="L14" s="383" t="n"/>
      <c r="M14" s="383" t="n"/>
      <c r="N14" s="383" t="n"/>
      <c r="O14" s="383" t="n"/>
      <c r="P14" s="383" t="n"/>
      <c r="Q14" s="383" t="n"/>
      <c r="R14" s="383" t="n"/>
      <c r="S14" s="383" t="n"/>
      <c r="T14" s="383" t="n"/>
      <c r="U14" s="383" t="n"/>
      <c r="V14" s="383" t="n"/>
      <c r="W14" s="383" t="n"/>
      <c r="X14" s="383" t="n"/>
      <c r="Y14" s="383" t="n"/>
    </row>
    <row r="15" ht="15" customHeight="1" s="1883">
      <c r="B15" s="383" t="n"/>
      <c r="C15" s="383" t="n"/>
      <c r="D15" s="383" t="n"/>
      <c r="E15" s="383" t="n"/>
      <c r="F15" s="383" t="n"/>
      <c r="G15" s="383" t="n"/>
      <c r="H15" s="383" t="n"/>
      <c r="I15" s="383" t="n"/>
      <c r="J15" s="383" t="n"/>
      <c r="K15" s="383" t="n"/>
      <c r="L15" s="1882" t="inlineStr">
        <is>
          <t>Year 1</t>
        </is>
      </c>
    </row>
    <row r="18" ht="15" customHeight="1" s="1883">
      <c r="B18" s="383" t="n"/>
      <c r="C18" s="383" t="n"/>
      <c r="D18" s="383" t="n"/>
      <c r="E18" s="383" t="n"/>
      <c r="F18" s="383" t="n"/>
      <c r="G18" s="383" t="n"/>
      <c r="H18" s="383" t="n"/>
      <c r="I18" s="383" t="n"/>
      <c r="J18" s="383" t="n"/>
      <c r="K18" s="383" t="n"/>
      <c r="L18" s="386" t="inlineStr">
        <is>
          <t>Month 1</t>
        </is>
      </c>
      <c r="M18" s="386" t="inlineStr">
        <is>
          <t>Month 2</t>
        </is>
      </c>
      <c r="N18" s="386" t="inlineStr">
        <is>
          <t>Month 3</t>
        </is>
      </c>
      <c r="O18" s="386" t="inlineStr">
        <is>
          <t>Month 4</t>
        </is>
      </c>
      <c r="P18" s="386" t="inlineStr">
        <is>
          <t>Month 5</t>
        </is>
      </c>
      <c r="Q18" s="386" t="inlineStr">
        <is>
          <t>Month 6</t>
        </is>
      </c>
      <c r="R18" s="386" t="inlineStr">
        <is>
          <t>Month 7</t>
        </is>
      </c>
      <c r="S18" s="386" t="inlineStr">
        <is>
          <t>Month 8</t>
        </is>
      </c>
      <c r="T18" s="386" t="inlineStr">
        <is>
          <t>Month 9</t>
        </is>
      </c>
      <c r="U18" s="386" t="inlineStr">
        <is>
          <t>Month 10</t>
        </is>
      </c>
      <c r="V18" s="386" t="inlineStr">
        <is>
          <t>Month 11</t>
        </is>
      </c>
      <c r="W18" s="386" t="inlineStr">
        <is>
          <t>Month 12</t>
        </is>
      </c>
      <c r="X18" s="383" t="n"/>
      <c r="Y18" s="386" t="inlineStr">
        <is>
          <t>Full-Year</t>
        </is>
      </c>
      <c r="Z18" s="383" t="n"/>
      <c r="AA18" s="386" t="inlineStr">
        <is>
          <t>Cross Check</t>
        </is>
      </c>
    </row>
    <row r="19" ht="3" customHeight="1" s="1883">
      <c r="B19" s="383" t="n"/>
      <c r="C19" s="383" t="n"/>
      <c r="D19" s="383" t="n"/>
      <c r="E19" s="383" t="n"/>
      <c r="F19" s="383" t="n"/>
      <c r="G19" s="383" t="n"/>
      <c r="H19" s="383" t="n"/>
      <c r="I19" s="383" t="n"/>
      <c r="J19" s="383" t="n"/>
      <c r="K19" s="383" t="n"/>
      <c r="L19" s="387" t="n"/>
      <c r="M19" s="387" t="n"/>
      <c r="N19" s="387" t="n"/>
      <c r="O19" s="387" t="n"/>
      <c r="P19" s="387" t="n"/>
      <c r="Q19" s="387" t="n"/>
      <c r="R19" s="387" t="n"/>
      <c r="S19" s="387" t="n"/>
      <c r="T19" s="387" t="n"/>
      <c r="U19" s="387" t="n"/>
      <c r="V19" s="387" t="n"/>
      <c r="W19" s="387" t="n"/>
      <c r="X19" s="383" t="n"/>
      <c r="Y19" s="387" t="n"/>
      <c r="Z19" s="383" t="n"/>
      <c r="AA19" s="387" t="n"/>
    </row>
    <row r="20" ht="3" customHeight="1" s="1883">
      <c r="B20" s="383" t="n"/>
      <c r="C20" s="383" t="n"/>
      <c r="D20" s="383" t="n"/>
      <c r="E20" s="383" t="n"/>
      <c r="F20" s="383" t="n"/>
      <c r="G20" s="383" t="n"/>
      <c r="H20" s="383" t="n"/>
      <c r="I20" s="383" t="n"/>
      <c r="J20" s="383" t="n"/>
      <c r="K20" s="383" t="n"/>
      <c r="L20" s="383" t="n"/>
      <c r="M20" s="383" t="n"/>
      <c r="N20" s="383" t="n"/>
      <c r="O20" s="383" t="n"/>
      <c r="P20" s="383" t="n"/>
      <c r="Q20" s="383" t="n"/>
      <c r="R20" s="383" t="n"/>
      <c r="S20" s="383" t="n"/>
      <c r="T20" s="383" t="n"/>
      <c r="U20" s="383" t="n"/>
      <c r="V20" s="383" t="n"/>
      <c r="W20" s="383" t="n"/>
      <c r="X20" s="383" t="n"/>
      <c r="Y20" s="383" t="n"/>
      <c r="Z20" s="383" t="n"/>
      <c r="AA20" s="383" t="n"/>
    </row>
    <row r="21" ht="15" customHeight="1" s="1883">
      <c r="B21" s="383" t="n"/>
      <c r="C21" s="383" t="n"/>
      <c r="D21" s="383" t="n"/>
      <c r="E21" s="383" t="n"/>
      <c r="F21" s="383" t="n"/>
      <c r="G21" s="383" t="n"/>
      <c r="H21" s="383" t="n"/>
      <c r="I21" s="383" t="n"/>
      <c r="J21" s="383" t="n"/>
      <c r="K21" s="383" t="n"/>
      <c r="L21" s="383" t="n"/>
      <c r="M21" s="383" t="n"/>
      <c r="N21" s="383" t="n"/>
      <c r="O21" s="383" t="n"/>
      <c r="P21" s="383" t="n"/>
      <c r="Q21" s="383" t="n"/>
      <c r="R21" s="383" t="n"/>
      <c r="S21" s="383" t="n"/>
      <c r="T21" s="383" t="n"/>
      <c r="U21" s="383" t="n"/>
      <c r="V21" s="383" t="n"/>
      <c r="W21" s="383" t="n"/>
      <c r="X21" s="383" t="n"/>
      <c r="Y21" s="383" t="n"/>
      <c r="Z21" s="383" t="n"/>
      <c r="AA21" s="383" t="n"/>
    </row>
    <row r="22" ht="15" customHeight="1" s="1883">
      <c r="B22" s="385" t="inlineStr">
        <is>
          <t>NET REVENUE</t>
        </is>
      </c>
      <c r="D22" s="383" t="n"/>
      <c r="E22" s="383" t="n"/>
      <c r="F22" s="383" t="n"/>
      <c r="G22" s="383" t="n"/>
      <c r="H22" s="383" t="n"/>
      <c r="I22" s="383" t="n"/>
      <c r="J22" s="383" t="n"/>
      <c r="K22" s="383" t="n"/>
      <c r="L22" s="396">
        <f>(('3B. Tel. - Rev. Detail x Month'!J452)+('7. Pure Influence'!G38)+('8. Pure Research - 1 of 2'!N40))</f>
        <v/>
      </c>
      <c r="M22" s="396">
        <f>(('3B. Tel. - Rev. Detail x Month'!K452)+('7. Pure Influence'!H38)+('8. Pure Research - 1 of 2'!N40))</f>
        <v/>
      </c>
      <c r="N22" s="396">
        <f>(('3B. Tel. - Rev. Detail x Month'!L452)+('7. Pure Influence'!I38)+('8. Pure Research - 1 of 2'!N40))</f>
        <v/>
      </c>
      <c r="O22" s="396">
        <f>(('3B. Tel. - Rev. Detail x Month'!M452)+('7. Pure Influence'!J38)+('8. Pure Research - 1 of 2'!N40))</f>
        <v/>
      </c>
      <c r="P22" s="396">
        <f>(('3B. Tel. - Rev. Detail x Month'!N452)+('7. Pure Influence'!K38)+('8. Pure Research - 1 of 2'!N40))</f>
        <v/>
      </c>
      <c r="Q22" s="396">
        <f>(('3B. Tel. - Rev. Detail x Month'!O452)+('7. Pure Influence'!L38)+('8. Pure Research - 1 of 2'!N40))</f>
        <v/>
      </c>
      <c r="R22" s="396">
        <f>(('3B. Tel. - Rev. Detail x Month'!P452)+('7. Pure Influence'!M38)+('8. Pure Research - 1 of 2'!N40))</f>
        <v/>
      </c>
      <c r="S22" s="396">
        <f>(('3B. Tel. - Rev. Detail x Month'!Q452)+('7. Pure Influence'!N38)+('8. Pure Research - 1 of 2'!N40))</f>
        <v/>
      </c>
      <c r="T22" s="396">
        <f>(('3B. Tel. - Rev. Detail x Month'!R452)+('7. Pure Influence'!O38)+('8. Pure Research - 1 of 2'!N40))</f>
        <v/>
      </c>
      <c r="U22" s="396">
        <f>(('3B. Tel. - Rev. Detail x Month'!S452)+('7. Pure Influence'!P38)+('8. Pure Research - 1 of 2'!N40))</f>
        <v/>
      </c>
      <c r="V22" s="396">
        <f>(('3B. Tel. - Rev. Detail x Month'!T452)+('7. Pure Influence'!Q38)+('8. Pure Research - 1 of 2'!N40))</f>
        <v/>
      </c>
      <c r="W22" s="396">
        <f>(('3B. Tel. - Rev. Detail x Month'!U452)+('7. Pure Influence'!R38)+('8. Pure Research - 1 of 2'!N40))</f>
        <v/>
      </c>
      <c r="X22" s="383" t="n"/>
      <c r="Y22" s="396">
        <f>((L22)+(M22)+(N22)+(O22)+(P22)+(Q22)+(R22)+(S22)+(T22)+(U22)+(V22)+(W22))</f>
        <v/>
      </c>
      <c r="Z22" s="383" t="n"/>
      <c r="AA22" s="395">
        <f>(('3B. Tel. - Rev. Detail x Month'!Y452)+('7. Pure Influence'!T38)+('8. Pure Research - 1 of 2'!N36))</f>
        <v/>
      </c>
    </row>
    <row r="23" ht="15" customHeight="1" s="1883">
      <c r="B23" s="383" t="n"/>
      <c r="C23" s="383" t="n"/>
      <c r="D23" s="383" t="n"/>
      <c r="E23" s="383" t="n"/>
      <c r="F23" s="383" t="n"/>
      <c r="G23" s="383" t="n"/>
      <c r="H23" s="383" t="n"/>
      <c r="I23" s="383" t="n"/>
      <c r="J23" s="383" t="n"/>
      <c r="K23" s="383" t="n"/>
      <c r="L23" s="383" t="n"/>
      <c r="M23" s="383" t="n"/>
      <c r="N23" s="383" t="n"/>
      <c r="O23" s="383" t="n"/>
      <c r="P23" s="383" t="n"/>
      <c r="Q23" s="383" t="n"/>
      <c r="R23" s="383" t="n"/>
      <c r="S23" s="383" t="n"/>
      <c r="T23" s="383" t="n"/>
      <c r="U23" s="383" t="n"/>
      <c r="V23" s="383" t="n"/>
      <c r="W23" s="383" t="n"/>
      <c r="X23" s="383" t="n"/>
      <c r="Y23" s="383" t="n"/>
      <c r="Z23" s="383" t="n"/>
      <c r="AA23" s="383" t="n"/>
    </row>
    <row r="24" ht="15" customHeight="1" s="1883">
      <c r="B24" s="385" t="inlineStr">
        <is>
          <t>OPERATING EXPENSES</t>
        </is>
      </c>
      <c r="C24" s="383" t="n"/>
      <c r="D24" s="383" t="n"/>
      <c r="E24" s="383" t="n"/>
      <c r="F24" s="383" t="n"/>
      <c r="G24" s="383" t="n"/>
      <c r="H24" s="383" t="n"/>
      <c r="I24" s="383" t="n"/>
      <c r="J24" s="383" t="n"/>
      <c r="K24" s="383" t="n"/>
      <c r="L24" s="383" t="n"/>
      <c r="M24" s="383" t="n"/>
      <c r="N24" s="383" t="n"/>
      <c r="O24" s="383" t="n"/>
      <c r="P24" s="383" t="n"/>
      <c r="Q24" s="383" t="n"/>
      <c r="R24" s="383" t="n"/>
      <c r="S24" s="383" t="n"/>
      <c r="T24" s="383" t="n"/>
      <c r="U24" s="383" t="n"/>
      <c r="V24" s="383" t="n"/>
      <c r="W24" s="383" t="n"/>
      <c r="X24" s="383" t="n"/>
      <c r="Y24" s="383" t="n"/>
      <c r="Z24" s="383" t="n"/>
      <c r="AA24" s="383" t="n"/>
    </row>
    <row r="25" ht="3" customHeight="1" s="1883">
      <c r="B25" s="387" t="n"/>
      <c r="C25" s="387" t="n"/>
      <c r="D25" s="387" t="n"/>
      <c r="E25" s="387" t="n"/>
      <c r="F25" s="387" t="n"/>
      <c r="G25" s="387" t="n"/>
      <c r="H25" s="387" t="n"/>
      <c r="I25" s="387" t="n"/>
      <c r="J25" s="387" t="n"/>
      <c r="K25" s="383" t="n"/>
      <c r="L25" s="383" t="n"/>
      <c r="M25" s="383" t="n"/>
      <c r="N25" s="383" t="n"/>
      <c r="O25" s="383" t="n"/>
      <c r="P25" s="383" t="n"/>
      <c r="Q25" s="383" t="n"/>
      <c r="R25" s="383" t="n"/>
      <c r="S25" s="383" t="n"/>
      <c r="T25" s="383" t="n"/>
      <c r="U25" s="383" t="n"/>
      <c r="V25" s="383" t="n"/>
      <c r="W25" s="383" t="n"/>
      <c r="X25" s="383" t="n"/>
      <c r="Y25" s="383" t="n"/>
      <c r="Z25" s="383" t="n"/>
      <c r="AA25" s="383" t="n"/>
    </row>
    <row r="26" ht="3" customHeight="1" s="1883">
      <c r="B26" s="383" t="n"/>
      <c r="C26" s="383" t="n"/>
      <c r="D26" s="383" t="n"/>
      <c r="E26" s="383" t="n"/>
      <c r="F26" s="383" t="n"/>
      <c r="G26" s="383" t="n"/>
      <c r="H26" s="383" t="n"/>
      <c r="I26" s="383" t="n"/>
      <c r="J26" s="383" t="n"/>
      <c r="K26" s="383" t="n"/>
      <c r="L26" s="383" t="n"/>
      <c r="M26" s="383" t="n"/>
      <c r="N26" s="383" t="n"/>
      <c r="O26" s="383" t="n"/>
      <c r="P26" s="383" t="n"/>
      <c r="Q26" s="383" t="n"/>
      <c r="R26" s="383" t="n"/>
      <c r="S26" s="383" t="n"/>
      <c r="T26" s="383" t="n"/>
      <c r="U26" s="383" t="n"/>
      <c r="V26" s="383" t="n"/>
      <c r="W26" s="383" t="n"/>
      <c r="X26" s="383" t="n"/>
      <c r="Y26" s="383" t="n"/>
      <c r="Z26" s="383" t="n"/>
      <c r="AA26" s="383" t="n"/>
    </row>
    <row r="27" ht="15" customHeight="1" s="1883">
      <c r="B27" s="383" t="n"/>
      <c r="C27" s="383" t="n"/>
      <c r="D27" s="383" t="n"/>
      <c r="E27" s="383" t="n"/>
      <c r="F27" s="383" t="n"/>
      <c r="G27" s="383" t="n"/>
      <c r="H27" s="383" t="n"/>
      <c r="I27" s="383" t="n"/>
      <c r="J27" s="383" t="n"/>
      <c r="K27" s="383" t="n"/>
      <c r="L27" s="383" t="n"/>
      <c r="M27" s="383" t="n"/>
      <c r="N27" s="383" t="n"/>
      <c r="O27" s="383" t="n"/>
      <c r="P27" s="383" t="n"/>
      <c r="Q27" s="383" t="n"/>
      <c r="R27" s="383" t="n"/>
      <c r="S27" s="383" t="n"/>
      <c r="T27" s="383" t="n"/>
      <c r="U27" s="383" t="n"/>
      <c r="V27" s="383" t="n"/>
      <c r="W27" s="383" t="n"/>
      <c r="X27" s="383" t="n"/>
      <c r="Y27" s="383" t="n"/>
      <c r="Z27" s="383" t="n"/>
      <c r="AA27" s="383" t="n"/>
    </row>
    <row r="28" ht="15" customHeight="1" s="1883">
      <c r="B28" s="383" t="n"/>
      <c r="C28" s="385" t="inlineStr">
        <is>
          <t>Expense Category</t>
        </is>
      </c>
      <c r="D28" s="383" t="n"/>
      <c r="E28" s="383" t="n"/>
      <c r="F28" s="383" t="n"/>
      <c r="G28" s="383" t="n"/>
      <c r="H28" s="383" t="n"/>
      <c r="I28" s="383" t="n"/>
      <c r="J28" s="386" t="inlineStr">
        <is>
          <t>Assumption/Expense Driver</t>
        </is>
      </c>
      <c r="K28" s="383" t="n"/>
      <c r="L28" s="383" t="n"/>
      <c r="M28" s="383" t="n"/>
      <c r="N28" s="383" t="n"/>
      <c r="O28" s="383" t="n"/>
      <c r="P28" s="383" t="n"/>
      <c r="Q28" s="383" t="n"/>
      <c r="R28" s="383" t="n"/>
      <c r="S28" s="383" t="n"/>
      <c r="T28" s="383" t="n"/>
      <c r="U28" s="383" t="n"/>
      <c r="V28" s="383" t="n"/>
      <c r="W28" s="383" t="n"/>
      <c r="X28" s="383" t="n"/>
      <c r="Y28" s="383" t="n"/>
      <c r="Z28" s="383" t="n"/>
      <c r="AA28" s="383" t="n"/>
    </row>
    <row r="29" ht="3" customHeight="1" s="1883">
      <c r="B29" s="383" t="n"/>
      <c r="C29" s="392" t="n"/>
      <c r="D29" s="387" t="n"/>
      <c r="E29" s="387" t="n"/>
      <c r="F29" s="387" t="n"/>
      <c r="G29" s="387" t="n"/>
      <c r="H29" s="387" t="n"/>
      <c r="I29" s="387" t="n"/>
      <c r="J29" s="387" t="n"/>
      <c r="K29" s="383" t="n"/>
      <c r="L29" s="383" t="n"/>
      <c r="M29" s="383" t="n"/>
      <c r="N29" s="383" t="n"/>
      <c r="O29" s="383" t="n"/>
      <c r="P29" s="383" t="n"/>
      <c r="Q29" s="383" t="n"/>
      <c r="R29" s="383" t="n"/>
      <c r="S29" s="383" t="n"/>
      <c r="T29" s="383" t="n"/>
      <c r="U29" s="383" t="n"/>
      <c r="V29" s="383" t="n"/>
      <c r="W29" s="383" t="n"/>
      <c r="X29" s="383" t="n"/>
      <c r="Y29" s="383" t="n"/>
      <c r="Z29" s="383" t="n"/>
      <c r="AA29" s="383" t="n"/>
    </row>
    <row r="30" ht="3" customHeight="1" s="1883">
      <c r="B30" s="383" t="n"/>
      <c r="C30" s="385" t="n"/>
      <c r="D30" s="383" t="n"/>
      <c r="E30" s="383" t="n"/>
      <c r="F30" s="383" t="n"/>
      <c r="G30" s="383" t="n"/>
      <c r="H30" s="383" t="n"/>
      <c r="I30" s="383" t="n"/>
      <c r="J30" s="383" t="n"/>
      <c r="K30" s="383" t="n"/>
      <c r="L30" s="383" t="n"/>
      <c r="M30" s="383" t="n"/>
      <c r="N30" s="383" t="n"/>
      <c r="O30" s="383" t="n"/>
      <c r="P30" s="383" t="n"/>
      <c r="Q30" s="383" t="n"/>
      <c r="R30" s="383" t="n"/>
      <c r="S30" s="383" t="n"/>
      <c r="T30" s="383" t="n"/>
      <c r="U30" s="383" t="n"/>
      <c r="V30" s="383" t="n"/>
      <c r="W30" s="383" t="n"/>
      <c r="X30" s="383" t="n"/>
      <c r="Y30" s="383" t="n"/>
      <c r="Z30" s="383" t="n"/>
      <c r="AA30" s="383" t="n"/>
    </row>
    <row r="31" ht="15" customHeight="1" s="1883">
      <c r="B31" s="383" t="n"/>
      <c r="C31" s="383" t="n"/>
      <c r="D31" s="383" t="n"/>
      <c r="E31" s="383" t="n"/>
      <c r="F31" s="383" t="n"/>
      <c r="G31" s="383" t="n"/>
      <c r="H31" s="383" t="n"/>
      <c r="I31" s="383" t="n"/>
      <c r="J31" s="383" t="n"/>
      <c r="K31" s="383" t="n"/>
      <c r="L31" s="383" t="n"/>
      <c r="M31" s="383" t="n"/>
      <c r="N31" s="383" t="n"/>
      <c r="O31" s="383" t="n"/>
      <c r="P31" s="383" t="n"/>
      <c r="Q31" s="383" t="n"/>
      <c r="R31" s="383" t="n"/>
      <c r="S31" s="383" t="n"/>
      <c r="T31" s="383" t="n"/>
      <c r="U31" s="383" t="n"/>
      <c r="V31" s="383" t="n"/>
      <c r="W31" s="383" t="n"/>
      <c r="X31" s="383" t="n"/>
      <c r="Y31" s="383" t="n"/>
      <c r="Z31" s="383" t="n"/>
      <c r="AA31" s="383" t="n"/>
    </row>
    <row r="32" ht="15" customHeight="1" s="1883">
      <c r="B32" s="383" t="n"/>
      <c r="C32" s="385" t="inlineStr">
        <is>
          <t>People Cost</t>
        </is>
      </c>
      <c r="D32" s="383" t="n"/>
      <c r="E32" s="383" t="n"/>
      <c r="F32" s="383" t="n"/>
      <c r="G32" s="383" t="n"/>
      <c r="H32" s="383" t="n"/>
      <c r="I32" s="383" t="n"/>
      <c r="J32" s="383" t="n"/>
      <c r="K32" s="383" t="n"/>
      <c r="L32" s="383" t="n"/>
      <c r="M32" s="383" t="n"/>
      <c r="N32" s="383" t="n"/>
      <c r="O32" s="383" t="n"/>
      <c r="P32" s="383" t="n"/>
      <c r="Q32" s="383" t="n"/>
      <c r="R32" s="383" t="n"/>
      <c r="S32" s="383" t="n"/>
      <c r="T32" s="383" t="n"/>
      <c r="U32" s="383" t="n"/>
      <c r="V32" s="383" t="n"/>
      <c r="W32" s="383" t="n"/>
      <c r="X32" s="383" t="n"/>
      <c r="Y32" s="383" t="n"/>
      <c r="Z32" s="383" t="n"/>
      <c r="AA32" s="383" t="n"/>
    </row>
    <row r="35" ht="15" customHeight="1" s="1883">
      <c r="C35" s="590" t="inlineStr">
        <is>
          <t>●</t>
        </is>
      </c>
      <c r="D35" s="583" t="inlineStr">
        <is>
          <t>Total Headcount</t>
        </is>
      </c>
      <c r="E35" s="383" t="n"/>
      <c r="F35" s="383" t="n"/>
      <c r="G35" s="383" t="n"/>
      <c r="H35" s="383" t="n"/>
      <c r="I35" s="383" t="n"/>
      <c r="J35" s="383" t="n"/>
      <c r="K35" s="383" t="n"/>
      <c r="L35" s="584">
        <f>'5A. People Cost Roll-Up'!AM19</f>
        <v/>
      </c>
      <c r="M35" s="584">
        <f>'5A. People Cost Roll-Up'!AN19</f>
        <v/>
      </c>
      <c r="N35" s="584">
        <f>'5A. People Cost Roll-Up'!AO19</f>
        <v/>
      </c>
      <c r="O35" s="584">
        <f>'5A. People Cost Roll-Up'!AP19</f>
        <v/>
      </c>
      <c r="P35" s="584">
        <f>'5A. People Cost Roll-Up'!AQ19</f>
        <v/>
      </c>
      <c r="Q35" s="584">
        <f>'5A. People Cost Roll-Up'!AR19</f>
        <v/>
      </c>
      <c r="R35" s="584">
        <f>'5A. People Cost Roll-Up'!AS19</f>
        <v/>
      </c>
      <c r="S35" s="584">
        <f>'5A. People Cost Roll-Up'!AT19</f>
        <v/>
      </c>
      <c r="T35" s="584">
        <f>'5A. People Cost Roll-Up'!AU19</f>
        <v/>
      </c>
      <c r="U35" s="584">
        <f>'5A. People Cost Roll-Up'!AV19</f>
        <v/>
      </c>
      <c r="V35" s="584">
        <f>'5A. People Cost Roll-Up'!AW19</f>
        <v/>
      </c>
      <c r="W35" s="584">
        <f>'5A. People Cost Roll-Up'!AX19</f>
        <v/>
      </c>
      <c r="X35" s="383" t="n"/>
      <c r="Y35" s="584">
        <f>AVERAGE(L35:W35)</f>
        <v/>
      </c>
      <c r="Z35" s="383" t="n"/>
      <c r="AA35" s="383" t="n"/>
    </row>
    <row r="36" ht="15" customHeight="1" s="1883">
      <c r="C36" s="390" t="inlineStr">
        <is>
          <t>●</t>
        </is>
      </c>
      <c r="D36" s="383" t="inlineStr">
        <is>
          <t>Employee Payroll</t>
        </is>
      </c>
      <c r="E36" s="383" t="n"/>
      <c r="F36" s="383" t="n"/>
      <c r="G36" s="383" t="n"/>
      <c r="H36" s="383" t="n"/>
      <c r="I36" s="383" t="n"/>
      <c r="J36" s="383" t="n"/>
      <c r="K36" s="383" t="n"/>
      <c r="L36" s="395">
        <f>'5A. People Cost Roll-Up'!AM47</f>
        <v/>
      </c>
      <c r="M36" s="395">
        <f>'5A. People Cost Roll-Up'!AN47</f>
        <v/>
      </c>
      <c r="N36" s="395">
        <f>'5A. People Cost Roll-Up'!AO47</f>
        <v/>
      </c>
      <c r="O36" s="395">
        <f>'5A. People Cost Roll-Up'!AP47</f>
        <v/>
      </c>
      <c r="P36" s="395">
        <f>'5A. People Cost Roll-Up'!AQ47</f>
        <v/>
      </c>
      <c r="Q36" s="395">
        <f>'5A. People Cost Roll-Up'!AR47</f>
        <v/>
      </c>
      <c r="R36" s="395">
        <f>'5A. People Cost Roll-Up'!AS47</f>
        <v/>
      </c>
      <c r="S36" s="395">
        <f>'5A. People Cost Roll-Up'!AT47</f>
        <v/>
      </c>
      <c r="T36" s="395">
        <f>'5A. People Cost Roll-Up'!AU47</f>
        <v/>
      </c>
      <c r="U36" s="395">
        <f>'5A. People Cost Roll-Up'!AV47</f>
        <v/>
      </c>
      <c r="V36" s="395">
        <f>'5A. People Cost Roll-Up'!AW47</f>
        <v/>
      </c>
      <c r="W36" s="395">
        <f>'5A. People Cost Roll-Up'!AX47</f>
        <v/>
      </c>
      <c r="X36" s="383" t="n"/>
      <c r="Y36" s="396">
        <f>((L36)+(M36)+(N36)+(O36)+(P36)+(Q36)+(R36)+(S36)+(T36)+(U36)+(V36)+(W36))</f>
        <v/>
      </c>
      <c r="Z36" s="383" t="n"/>
      <c r="AA36" s="395">
        <f>'5A. People Cost Roll-Up'!AY47</f>
        <v/>
      </c>
    </row>
    <row r="37" ht="15" customHeight="1" s="1883">
      <c r="C37" s="390" t="inlineStr">
        <is>
          <t>●</t>
        </is>
      </c>
      <c r="D37" s="383" t="inlineStr">
        <is>
          <t>Employer Payroll Taxes</t>
        </is>
      </c>
      <c r="E37" s="383" t="n"/>
      <c r="F37" s="383" t="n"/>
      <c r="G37" s="383" t="n"/>
      <c r="H37" s="383" t="n"/>
      <c r="I37" s="383" t="n"/>
      <c r="J37" s="383" t="n"/>
      <c r="K37" s="383" t="n"/>
      <c r="L37" s="462">
        <f>'5A. People Cost Roll-Up'!AM66</f>
        <v/>
      </c>
      <c r="M37" s="462">
        <f>'5A. People Cost Roll-Up'!AN66</f>
        <v/>
      </c>
      <c r="N37" s="462">
        <f>'5A. People Cost Roll-Up'!AO66</f>
        <v/>
      </c>
      <c r="O37" s="462">
        <f>'5A. People Cost Roll-Up'!AP66</f>
        <v/>
      </c>
      <c r="P37" s="462">
        <f>'5A. People Cost Roll-Up'!AQ66</f>
        <v/>
      </c>
      <c r="Q37" s="462">
        <f>'5A. People Cost Roll-Up'!AR66</f>
        <v/>
      </c>
      <c r="R37" s="462">
        <f>'5A. People Cost Roll-Up'!AS66</f>
        <v/>
      </c>
      <c r="S37" s="462">
        <f>'5A. People Cost Roll-Up'!AT66</f>
        <v/>
      </c>
      <c r="T37" s="462">
        <f>'5A. People Cost Roll-Up'!AU66</f>
        <v/>
      </c>
      <c r="U37" s="462">
        <f>'5A. People Cost Roll-Up'!AV66</f>
        <v/>
      </c>
      <c r="V37" s="462">
        <f>'5A. People Cost Roll-Up'!AW66</f>
        <v/>
      </c>
      <c r="W37" s="462">
        <f>'5A. People Cost Roll-Up'!AX66</f>
        <v/>
      </c>
      <c r="X37" s="383" t="n"/>
      <c r="Y37" s="494">
        <f>((L37)+(M37)+(N37)+(O37)+(P37)+(Q37)+(R37)+(S37)+(T37)+(U37)+(V37)+(W37))</f>
        <v/>
      </c>
      <c r="Z37" s="383" t="n"/>
      <c r="AA37" s="462">
        <f>'5A. People Cost Roll-Up'!AY66</f>
        <v/>
      </c>
    </row>
    <row r="38" ht="15" customHeight="1" s="1883">
      <c r="C38" s="390" t="inlineStr">
        <is>
          <t>●</t>
        </is>
      </c>
      <c r="D38" s="383" t="inlineStr">
        <is>
          <t>Employee Benefits</t>
        </is>
      </c>
      <c r="E38" s="383" t="n"/>
      <c r="F38" s="383" t="n"/>
      <c r="G38" s="383" t="n"/>
      <c r="H38" s="383" t="n"/>
      <c r="I38" s="383" t="n"/>
      <c r="J38" s="383" t="n"/>
      <c r="K38" s="383" t="n"/>
      <c r="L38" s="462">
        <f>'5A. People Cost Roll-Up'!AM88</f>
        <v/>
      </c>
      <c r="M38" s="462">
        <f>'5A. People Cost Roll-Up'!AN88</f>
        <v/>
      </c>
      <c r="N38" s="462">
        <f>'5A. People Cost Roll-Up'!AO88</f>
        <v/>
      </c>
      <c r="O38" s="462">
        <f>'5A. People Cost Roll-Up'!AP88</f>
        <v/>
      </c>
      <c r="P38" s="462">
        <f>'5A. People Cost Roll-Up'!AQ88</f>
        <v/>
      </c>
      <c r="Q38" s="462">
        <f>'5A. People Cost Roll-Up'!AR88</f>
        <v/>
      </c>
      <c r="R38" s="462">
        <f>'5A. People Cost Roll-Up'!AS88</f>
        <v/>
      </c>
      <c r="S38" s="462">
        <f>'5A. People Cost Roll-Up'!AT88</f>
        <v/>
      </c>
      <c r="T38" s="462">
        <f>'5A. People Cost Roll-Up'!AU88</f>
        <v/>
      </c>
      <c r="U38" s="462">
        <f>'5A. People Cost Roll-Up'!AV88</f>
        <v/>
      </c>
      <c r="V38" s="462">
        <f>'5A. People Cost Roll-Up'!AW88</f>
        <v/>
      </c>
      <c r="W38" s="462">
        <f>'5A. People Cost Roll-Up'!AX88</f>
        <v/>
      </c>
      <c r="X38" s="383" t="n"/>
      <c r="Y38" s="494">
        <f>((L38)+(M38)+(N38)+(O38)+(P38)+(Q38)+(R38)+(S38)+(T38)+(U38)+(V38)+(W38))</f>
        <v/>
      </c>
      <c r="Z38" s="383" t="n"/>
      <c r="AA38" s="462">
        <f>'5A. People Cost Roll-Up'!AY88</f>
        <v/>
      </c>
    </row>
    <row r="39" ht="3" customHeight="1" s="1883">
      <c r="C39" s="383" t="n"/>
      <c r="D39" s="383" t="n"/>
      <c r="E39" s="383" t="n"/>
      <c r="F39" s="383" t="n"/>
      <c r="G39" s="383" t="n"/>
      <c r="H39" s="383" t="n"/>
      <c r="I39" s="383" t="n"/>
      <c r="J39" s="383" t="n"/>
      <c r="K39" s="383" t="n"/>
      <c r="L39" s="387" t="n"/>
      <c r="M39" s="387" t="n"/>
      <c r="N39" s="387" t="n"/>
      <c r="O39" s="387" t="n"/>
      <c r="P39" s="387" t="n"/>
      <c r="Q39" s="387" t="n"/>
      <c r="R39" s="387" t="n"/>
      <c r="S39" s="387" t="n"/>
      <c r="T39" s="387" t="n"/>
      <c r="U39" s="387" t="n"/>
      <c r="V39" s="387" t="n"/>
      <c r="W39" s="387" t="n"/>
      <c r="X39" s="383" t="n"/>
      <c r="Y39" s="387" t="n"/>
      <c r="Z39" s="383" t="n"/>
      <c r="AA39" s="387" t="n"/>
    </row>
    <row r="40" ht="3" customHeight="1" s="1883">
      <c r="C40" s="383" t="n"/>
      <c r="D40" s="383" t="n"/>
      <c r="E40" s="383" t="n"/>
      <c r="F40" s="383" t="n"/>
      <c r="G40" s="383" t="n"/>
      <c r="H40" s="383" t="n"/>
      <c r="I40" s="383" t="n"/>
      <c r="J40" s="383" t="n"/>
      <c r="K40" s="383" t="n"/>
      <c r="L40" s="383" t="n"/>
      <c r="M40" s="383" t="n"/>
      <c r="N40" s="383" t="n"/>
      <c r="O40" s="383" t="n"/>
      <c r="P40" s="383" t="n"/>
      <c r="Q40" s="383" t="n"/>
      <c r="R40" s="383" t="n"/>
      <c r="S40" s="383" t="n"/>
      <c r="T40" s="383" t="n"/>
      <c r="U40" s="383" t="n"/>
      <c r="V40" s="383" t="n"/>
      <c r="W40" s="383" t="n"/>
      <c r="X40" s="383" t="n"/>
      <c r="Y40" s="383" t="n"/>
      <c r="Z40" s="383" t="n"/>
      <c r="AA40" s="383" t="n"/>
    </row>
    <row r="41" ht="15" customHeight="1" s="1883">
      <c r="C41" s="383" t="n"/>
      <c r="E41" s="385" t="inlineStr">
        <is>
          <t>Total People Cost</t>
        </is>
      </c>
      <c r="F41" s="383" t="n"/>
      <c r="G41" s="383" t="n"/>
      <c r="H41" s="383" t="n"/>
      <c r="I41" s="383" t="n"/>
      <c r="J41" s="383" t="n"/>
      <c r="K41" s="383" t="n"/>
      <c r="L41" s="396">
        <f>SUM(L36:L38)</f>
        <v/>
      </c>
      <c r="M41" s="396">
        <f>SUM(M36:M38)</f>
        <v/>
      </c>
      <c r="N41" s="396">
        <f>SUM(N36:N38)</f>
        <v/>
      </c>
      <c r="O41" s="396">
        <f>SUM(O36:O38)</f>
        <v/>
      </c>
      <c r="P41" s="396">
        <f>SUM(P36:P38)</f>
        <v/>
      </c>
      <c r="Q41" s="396">
        <f>SUM(Q36:Q38)</f>
        <v/>
      </c>
      <c r="R41" s="396">
        <f>SUM(R36:R38)</f>
        <v/>
      </c>
      <c r="S41" s="396">
        <f>SUM(S36:S38)</f>
        <v/>
      </c>
      <c r="T41" s="396">
        <f>SUM(T36:T38)</f>
        <v/>
      </c>
      <c r="U41" s="396">
        <f>SUM(U36:U38)</f>
        <v/>
      </c>
      <c r="V41" s="396">
        <f>SUM(V36:V38)</f>
        <v/>
      </c>
      <c r="W41" s="396">
        <f>SUM(W36:W38)</f>
        <v/>
      </c>
      <c r="X41" s="396">
        <f>SUM(X36:X38)</f>
        <v/>
      </c>
      <c r="Y41" s="396">
        <f>SUM(Y36:Y38)</f>
        <v/>
      </c>
      <c r="Z41" s="396" t="n"/>
      <c r="AA41" s="396">
        <f>SUM(AA36:AA38)</f>
        <v/>
      </c>
      <c r="AC41" s="1458">
        <f>AA41-L41</f>
        <v/>
      </c>
    </row>
    <row r="42" ht="3" customHeight="1" s="1883">
      <c r="C42" s="383" t="n"/>
      <c r="D42" s="383" t="n"/>
      <c r="E42" s="383" t="n"/>
      <c r="F42" s="383" t="n"/>
      <c r="G42" s="383" t="n"/>
      <c r="H42" s="383" t="n"/>
      <c r="I42" s="383" t="n"/>
      <c r="J42" s="383" t="n"/>
      <c r="K42" s="383" t="n"/>
      <c r="L42" s="387" t="n"/>
      <c r="M42" s="387" t="n"/>
      <c r="N42" s="387" t="n"/>
      <c r="O42" s="387" t="n"/>
      <c r="P42" s="387" t="n"/>
      <c r="Q42" s="387" t="n"/>
      <c r="R42" s="387" t="n"/>
      <c r="S42" s="387" t="n"/>
      <c r="T42" s="387" t="n"/>
      <c r="U42" s="387" t="n"/>
      <c r="V42" s="387" t="n"/>
      <c r="W42" s="387" t="n"/>
      <c r="X42" s="383" t="n"/>
      <c r="Y42" s="387" t="n"/>
      <c r="Z42" s="383" t="n"/>
      <c r="AA42" s="387" t="n"/>
    </row>
    <row r="43" ht="3" customHeight="1" s="1883">
      <c r="C43" s="383" t="n"/>
      <c r="D43" s="383" t="n"/>
      <c r="E43" s="383" t="n"/>
      <c r="F43" s="383" t="n"/>
      <c r="G43" s="383" t="n"/>
      <c r="H43" s="383" t="n"/>
      <c r="I43" s="383" t="n"/>
      <c r="J43" s="383" t="n"/>
      <c r="K43" s="383" t="n"/>
      <c r="L43" s="383" t="n"/>
      <c r="M43" s="383" t="n"/>
      <c r="N43" s="383" t="n"/>
      <c r="O43" s="383" t="n"/>
      <c r="P43" s="383" t="n"/>
      <c r="Q43" s="383" t="n"/>
      <c r="R43" s="383" t="n"/>
      <c r="S43" s="383" t="n"/>
      <c r="T43" s="383" t="n"/>
      <c r="U43" s="383" t="n"/>
      <c r="V43" s="383" t="n"/>
      <c r="W43" s="383" t="n"/>
      <c r="X43" s="383" t="n"/>
      <c r="Y43" s="383" t="n"/>
      <c r="Z43" s="383" t="n"/>
      <c r="AA43" s="383" t="n"/>
    </row>
    <row r="44" ht="15" customHeight="1" s="1883">
      <c r="C44" s="383" t="n"/>
      <c r="D44" s="383" t="n"/>
      <c r="E44" s="383" t="n"/>
      <c r="F44" s="383" t="n"/>
      <c r="G44" s="383" t="n"/>
      <c r="H44" s="383" t="n"/>
      <c r="I44" s="383" t="n"/>
      <c r="J44" s="383" t="n"/>
      <c r="K44" s="383" t="n"/>
      <c r="L44" s="383" t="n"/>
      <c r="M44" s="383" t="n"/>
      <c r="N44" s="383" t="n"/>
      <c r="O44" s="383" t="n"/>
      <c r="P44" s="383" t="n"/>
      <c r="Q44" s="383" t="n"/>
      <c r="R44" s="383" t="n"/>
      <c r="S44" s="383" t="n"/>
      <c r="T44" s="383" t="n"/>
      <c r="U44" s="383" t="n"/>
      <c r="V44" s="383" t="n"/>
      <c r="W44" s="383" t="n"/>
      <c r="X44" s="383" t="n"/>
      <c r="Y44" s="383" t="n"/>
      <c r="Z44" s="383" t="n"/>
      <c r="AA44" s="383" t="n"/>
    </row>
    <row r="45" ht="15" customHeight="1" s="1883">
      <c r="C45" s="385" t="inlineStr">
        <is>
          <t>Research and Development</t>
        </is>
      </c>
      <c r="D45" s="383" t="n"/>
      <c r="E45" s="383" t="n"/>
      <c r="F45" s="383" t="n"/>
      <c r="G45" s="383" t="n"/>
      <c r="H45" s="383" t="n"/>
      <c r="I45" s="383" t="n"/>
      <c r="J45" s="592" t="inlineStr">
        <is>
          <t>15% of Realized Revenue, MRS, commencing Month 3</t>
        </is>
      </c>
      <c r="K45" s="383" t="n"/>
      <c r="L45" s="673">
        <f>(('3B. Tel. - Rev. Detail x Month'!J296)*(0.025))</f>
        <v/>
      </c>
      <c r="M45" s="673">
        <f>(('3B. Tel. - Rev. Detail x Month'!K296)*(0.025))</f>
        <v/>
      </c>
      <c r="N45" s="673">
        <f>(('3B. Tel. - Rev. Detail x Month'!L296)*(0.15))</f>
        <v/>
      </c>
      <c r="O45" s="396">
        <f>(('3B. Tel. - Rev. Detail x Month'!M296)*(0.15))</f>
        <v/>
      </c>
      <c r="P45" s="396">
        <f>(('3B. Tel. - Rev. Detail x Month'!N296)*(0.15))</f>
        <v/>
      </c>
      <c r="Q45" s="396">
        <f>(('3B. Tel. - Rev. Detail x Month'!O296)*(0.15))</f>
        <v/>
      </c>
      <c r="R45" s="396">
        <f>(('3B. Tel. - Rev. Detail x Month'!P296)*(0.15))</f>
        <v/>
      </c>
      <c r="S45" s="396">
        <f>(('3B. Tel. - Rev. Detail x Month'!Q296)*(0.15))</f>
        <v/>
      </c>
      <c r="T45" s="396">
        <f>(('3B. Tel. - Rev. Detail x Month'!R296)*(0.15))</f>
        <v/>
      </c>
      <c r="U45" s="396">
        <f>(('3B. Tel. - Rev. Detail x Month'!S296)*(0.15))</f>
        <v/>
      </c>
      <c r="V45" s="396">
        <f>(('3B. Tel. - Rev. Detail x Month'!T296)*(0.15))</f>
        <v/>
      </c>
      <c r="W45" s="396">
        <f>(('3B. Tel. - Rev. Detail x Month'!U296)*(0.15))</f>
        <v/>
      </c>
      <c r="X45" s="396">
        <f>((('3B. Tel. - Rev. Detail x Month'!V55)+('3B. Tel. - Rev. Detail x Month'!V296))*(0.2))</f>
        <v/>
      </c>
      <c r="Y45" s="396">
        <f>((L45)+(M45)+(N45)+(O45)+(P45)+(Q45)+(R45)+(S45)+(T45)+(U45)+(V45)+(W45))</f>
        <v/>
      </c>
      <c r="Z45" s="462" t="n"/>
      <c r="AA45" s="462" t="n"/>
    </row>
    <row r="46" ht="15" customHeight="1" s="1883">
      <c r="C46" s="383" t="n"/>
      <c r="D46" s="383" t="n"/>
      <c r="E46" s="383" t="n"/>
      <c r="F46" s="383" t="n"/>
      <c r="G46" s="383" t="n"/>
      <c r="H46" s="383" t="n"/>
      <c r="I46" s="383" t="n"/>
      <c r="J46" s="383" t="n"/>
      <c r="K46" s="383" t="n"/>
      <c r="L46" s="462" t="n"/>
      <c r="M46" s="462" t="n"/>
      <c r="N46" s="462" t="n"/>
      <c r="O46" s="462" t="n"/>
      <c r="P46" s="462" t="n"/>
      <c r="Q46" s="462" t="n"/>
      <c r="R46" s="462" t="n"/>
      <c r="S46" s="462" t="n"/>
      <c r="T46" s="462" t="n"/>
      <c r="U46" s="462" t="n"/>
      <c r="V46" s="462" t="n"/>
      <c r="W46" s="462" t="n"/>
      <c r="X46" s="462" t="n"/>
      <c r="Y46" s="462" t="n"/>
      <c r="Z46" s="462" t="n"/>
      <c r="AA46" s="462" t="n"/>
    </row>
    <row r="47" ht="15" customHeight="1" s="1883">
      <c r="C47" s="385" t="inlineStr">
        <is>
          <t>Sales and Marketing</t>
        </is>
      </c>
      <c r="D47" s="383" t="n"/>
      <c r="E47" s="383" t="n"/>
      <c r="F47" s="383" t="n"/>
      <c r="G47" s="383" t="n"/>
      <c r="H47" s="383" t="n"/>
      <c r="I47" s="383" t="n"/>
      <c r="J47" s="383" t="n"/>
      <c r="K47" s="383" t="n"/>
      <c r="L47" s="462" t="n"/>
      <c r="M47" s="462" t="n"/>
      <c r="N47" s="462" t="n"/>
      <c r="O47" s="462" t="n"/>
      <c r="P47" s="462" t="n"/>
      <c r="Q47" s="462" t="n"/>
      <c r="R47" s="462" t="n"/>
      <c r="S47" s="462" t="n"/>
      <c r="T47" s="462" t="n"/>
      <c r="U47" s="462" t="n"/>
      <c r="V47" s="462" t="n"/>
      <c r="W47" s="462" t="n"/>
      <c r="X47" s="462" t="n"/>
      <c r="Y47" s="462" t="n"/>
      <c r="Z47" s="462" t="n"/>
      <c r="AA47" s="462" t="n"/>
    </row>
    <row r="48" ht="15" customHeight="1" s="1883">
      <c r="C48" s="590" t="inlineStr">
        <is>
          <t>●</t>
        </is>
      </c>
      <c r="D48" s="583" t="inlineStr">
        <is>
          <t>Sales and Marketing Headcount</t>
        </is>
      </c>
      <c r="E48" s="383" t="n"/>
      <c r="F48" s="383" t="n"/>
      <c r="G48" s="383" t="n"/>
      <c r="H48" s="383" t="n"/>
      <c r="I48" s="383" t="n"/>
      <c r="J48" s="383" t="n"/>
      <c r="K48" s="383" t="n"/>
      <c r="L48" s="584">
        <f>'5A. People Cost Roll-Up'!AM21</f>
        <v/>
      </c>
      <c r="M48" s="584">
        <f>'5A. People Cost Roll-Up'!AN21</f>
        <v/>
      </c>
      <c r="N48" s="584">
        <f>'5A. People Cost Roll-Up'!AO21</f>
        <v/>
      </c>
      <c r="O48" s="584">
        <f>'5A. People Cost Roll-Up'!AP21</f>
        <v/>
      </c>
      <c r="P48" s="584">
        <f>'5A. People Cost Roll-Up'!AQ21</f>
        <v/>
      </c>
      <c r="Q48" s="584">
        <f>'5A. People Cost Roll-Up'!AR21</f>
        <v/>
      </c>
      <c r="R48" s="584">
        <f>'5A. People Cost Roll-Up'!AS21</f>
        <v/>
      </c>
      <c r="S48" s="584">
        <f>'5A. People Cost Roll-Up'!AT21</f>
        <v/>
      </c>
      <c r="T48" s="584">
        <f>'5A. People Cost Roll-Up'!AU21</f>
        <v/>
      </c>
      <c r="U48" s="584">
        <f>'5A. People Cost Roll-Up'!AV21</f>
        <v/>
      </c>
      <c r="V48" s="584">
        <f>'5A. People Cost Roll-Up'!AW21</f>
        <v/>
      </c>
      <c r="W48" s="584">
        <f>'5A. People Cost Roll-Up'!AY21</f>
        <v/>
      </c>
      <c r="X48" s="462" t="n"/>
      <c r="Y48" s="584">
        <f>AVERAGE(L48:W48)</f>
        <v/>
      </c>
      <c r="Z48" s="462" t="n"/>
      <c r="AA48" s="462" t="n"/>
    </row>
    <row r="49" ht="15" customHeight="1" s="1883">
      <c r="C49" s="390" t="inlineStr">
        <is>
          <t>●</t>
        </is>
      </c>
      <c r="D49" s="383" t="inlineStr">
        <is>
          <t>Advertising and Marketing</t>
        </is>
      </c>
      <c r="E49" s="383" t="n"/>
      <c r="F49" s="383" t="n"/>
      <c r="G49" s="383" t="n"/>
      <c r="H49" s="383" t="n"/>
      <c r="I49" s="383" t="n"/>
      <c r="J49" s="592" t="inlineStr">
        <is>
          <t>25%/20% of Gross Revenue commencing Month 4</t>
        </is>
      </c>
      <c r="K49" s="383" t="n"/>
      <c r="L49" s="674">
        <f>((('3B. Tel. - Rev. Detail x Month'!J55)+('3B. Tel. - Rev. Detail x Month'!J296))*(0.025))</f>
        <v/>
      </c>
      <c r="M49" s="674">
        <f>((('3B. Tel. - Rev. Detail x Month'!K55)+('3B. Tel. - Rev. Detail x Month'!K296))*(0.025))</f>
        <v/>
      </c>
      <c r="N49" s="674">
        <f>((('3B. Tel. - Rev. Detail x Month'!L55)+('3B. Tel. - Rev. Detail x Month'!L296))*(0.025))</f>
        <v/>
      </c>
      <c r="O49" s="395">
        <f>((('3B. Tel. - Rev. Detail x Month'!M55)+('3B. Tel. - Rev. Detail x Month'!M296))*(0.25))</f>
        <v/>
      </c>
      <c r="P49" s="395">
        <f>((('3B. Tel. - Rev. Detail x Month'!N55)+('3B. Tel. - Rev. Detail x Month'!N296))*(0.25))</f>
        <v/>
      </c>
      <c r="Q49" s="395">
        <f>((('3B. Tel. - Rev. Detail x Month'!O55)+('3B. Tel. - Rev. Detail x Month'!O296))*(0.25))</f>
        <v/>
      </c>
      <c r="R49" s="395">
        <f>((('3B. Tel. - Rev. Detail x Month'!P55)+('3B. Tel. - Rev. Detail x Month'!P296))*(0.2))</f>
        <v/>
      </c>
      <c r="S49" s="395">
        <f>((('3B. Tel. - Rev. Detail x Month'!Q55)+('3B. Tel. - Rev. Detail x Month'!Q296))*(0.2))</f>
        <v/>
      </c>
      <c r="T49" s="395">
        <f>((('3B. Tel. - Rev. Detail x Month'!R55)+('3B. Tel. - Rev. Detail x Month'!R296))*(0.2))</f>
        <v/>
      </c>
      <c r="U49" s="395">
        <f>((('3B. Tel. - Rev. Detail x Month'!S55)+('3B. Tel. - Rev. Detail x Month'!S296))*(0.2))</f>
        <v/>
      </c>
      <c r="V49" s="395">
        <f>((('3B. Tel. - Rev. Detail x Month'!T55)+('3B. Tel. - Rev. Detail x Month'!T296))*(0.2))</f>
        <v/>
      </c>
      <c r="W49" s="395">
        <f>((('3B. Tel. - Rev. Detail x Month'!U55)+('3B. Tel. - Rev. Detail x Month'!U296))*(0.2))</f>
        <v/>
      </c>
      <c r="X49" s="462" t="n"/>
      <c r="Y49" s="396">
        <f>((L49)+(M49)+(N49)+(O49)+(P49)+(Q49)+(R49)+(S49)+(T49)+(U49)+(V49)+(W49))</f>
        <v/>
      </c>
      <c r="Z49" s="462" t="n"/>
      <c r="AA49" s="462">
        <f>(((SUM('3B. Tel. - Rev. Detail x Month'!J55:L55)+SUM('3B. Tel. - Rev. Detail x Month'!J296:L296))*(0.025))+((SUM('3B. Tel. - Rev. Detail x Month'!M55:O55)+SUM('3B. Tel. - Rev. Detail x Month'!M296:O296))*(0.25))+((SUM('3B. Tel. - Rev. Detail x Month'!P55:U55)+SUM('3B. Tel. - Rev. Detail x Month'!P296:U296))*(0.2)))</f>
        <v/>
      </c>
    </row>
    <row r="50" ht="15" customHeight="1" s="1883">
      <c r="C50" s="390" t="inlineStr">
        <is>
          <t>●</t>
        </is>
      </c>
      <c r="D50" s="383" t="inlineStr">
        <is>
          <t>Travel</t>
        </is>
      </c>
      <c r="E50" s="383" t="n"/>
      <c r="F50" s="383" t="n"/>
      <c r="G50" s="383" t="n"/>
      <c r="H50" s="383" t="n"/>
      <c r="I50" s="383" t="n"/>
      <c r="J50" s="383" t="n"/>
      <c r="K50" s="383" t="n"/>
      <c r="L50" s="462">
        <f>'4B. Tel. Expense Assumptions'!G48</f>
        <v/>
      </c>
      <c r="M50" s="462">
        <f>'4B. Tel. Expense Assumptions'!H48</f>
        <v/>
      </c>
      <c r="N50" s="462">
        <f>'4B. Tel. Expense Assumptions'!I48</f>
        <v/>
      </c>
      <c r="O50" s="462">
        <f>'4B. Tel. Expense Assumptions'!J48</f>
        <v/>
      </c>
      <c r="P50" s="462">
        <f>'4B. Tel. Expense Assumptions'!K48</f>
        <v/>
      </c>
      <c r="Q50" s="462">
        <f>'4B. Tel. Expense Assumptions'!L48</f>
        <v/>
      </c>
      <c r="R50" s="462">
        <f>'4B. Tel. Expense Assumptions'!M48</f>
        <v/>
      </c>
      <c r="S50" s="462">
        <f>'4B. Tel. Expense Assumptions'!N48</f>
        <v/>
      </c>
      <c r="T50" s="462">
        <f>'4B. Tel. Expense Assumptions'!O48</f>
        <v/>
      </c>
      <c r="U50" s="462">
        <f>'4B. Tel. Expense Assumptions'!P48</f>
        <v/>
      </c>
      <c r="V50" s="462">
        <f>'4B. Tel. Expense Assumptions'!Q48</f>
        <v/>
      </c>
      <c r="W50" s="462">
        <f>'4B. Tel. Expense Assumptions'!R48</f>
        <v/>
      </c>
      <c r="X50" s="462" t="n"/>
      <c r="Y50" s="494">
        <f>((L50)+(M50)+(N50)+(O50)+(P50)+(Q50)+(R50)+(S50)+(T50)+(U50)+(V50)+(W50))</f>
        <v/>
      </c>
      <c r="Z50" s="462" t="n"/>
      <c r="AA50" s="462">
        <f>SUM('4B. Tel. Expense Assumptions'!G48:R48)</f>
        <v/>
      </c>
    </row>
    <row r="51" ht="15" customHeight="1" s="1883">
      <c r="C51" s="390" t="inlineStr">
        <is>
          <t>●</t>
        </is>
      </c>
      <c r="D51" s="383" t="inlineStr">
        <is>
          <t>Telephone</t>
        </is>
      </c>
      <c r="E51" s="383" t="n"/>
      <c r="F51" s="383" t="n"/>
      <c r="G51" s="383" t="n"/>
      <c r="H51" s="383" t="n"/>
      <c r="I51" s="383" t="n"/>
      <c r="J51" s="384" t="inlineStr">
        <is>
          <t>$150/employee/month</t>
        </is>
      </c>
      <c r="K51" s="383" t="n"/>
      <c r="L51" s="462">
        <f>((150)*(L48))</f>
        <v/>
      </c>
      <c r="M51" s="462">
        <f>((150)*(M48))</f>
        <v/>
      </c>
      <c r="N51" s="462">
        <f>((150)*(N48))</f>
        <v/>
      </c>
      <c r="O51" s="462">
        <f>((150)*(O48))</f>
        <v/>
      </c>
      <c r="P51" s="462">
        <f>((150)*(P48))</f>
        <v/>
      </c>
      <c r="Q51" s="462">
        <f>((150)*(Q48))</f>
        <v/>
      </c>
      <c r="R51" s="462">
        <f>((150)*(R48))</f>
        <v/>
      </c>
      <c r="S51" s="462">
        <f>((150)*(S48))</f>
        <v/>
      </c>
      <c r="T51" s="462">
        <f>((150)*(T48))</f>
        <v/>
      </c>
      <c r="U51" s="462">
        <f>((150)*(U48))</f>
        <v/>
      </c>
      <c r="V51" s="462">
        <f>((150)*(V48))</f>
        <v/>
      </c>
      <c r="W51" s="462">
        <f>((150)*(W48))</f>
        <v/>
      </c>
      <c r="X51" s="462" t="n"/>
      <c r="Y51" s="494">
        <f>((L51)+(M51)+(N51)+(O51)+(P51)+(Q51)+(R51)+(S51)+(T51)+(U51)+(V51)+(W51))</f>
        <v/>
      </c>
      <c r="Z51" s="462" t="n"/>
      <c r="AA51" s="462">
        <f>SUM('4B. Tel. Expense Assumptions'!G29:R29)</f>
        <v/>
      </c>
    </row>
    <row r="52" ht="3" customHeight="1" s="1883">
      <c r="C52" s="390" t="n"/>
      <c r="D52" s="383" t="n"/>
      <c r="E52" s="383" t="n"/>
      <c r="F52" s="383" t="n"/>
      <c r="G52" s="383" t="n"/>
      <c r="H52" s="383" t="n"/>
      <c r="I52" s="383" t="n"/>
      <c r="J52" s="383" t="n"/>
      <c r="K52" s="383" t="n"/>
      <c r="L52" s="508" t="n"/>
      <c r="M52" s="508" t="n"/>
      <c r="N52" s="508" t="n"/>
      <c r="O52" s="508" t="n"/>
      <c r="P52" s="508" t="n"/>
      <c r="Q52" s="508" t="n"/>
      <c r="R52" s="508" t="n"/>
      <c r="S52" s="508" t="n"/>
      <c r="T52" s="508" t="n"/>
      <c r="U52" s="508" t="n"/>
      <c r="V52" s="508" t="n"/>
      <c r="W52" s="508" t="n"/>
      <c r="X52" s="462" t="n"/>
      <c r="Y52" s="508" t="n"/>
      <c r="Z52" s="462" t="n"/>
      <c r="AA52" s="462" t="n"/>
    </row>
    <row r="53" ht="3" customHeight="1" s="1883">
      <c r="C53" s="390" t="n"/>
      <c r="D53" s="383" t="n"/>
      <c r="E53" s="383" t="n"/>
      <c r="F53" s="383" t="n"/>
      <c r="G53" s="383" t="n"/>
      <c r="H53" s="383" t="n"/>
      <c r="I53" s="383" t="n"/>
      <c r="J53" s="383" t="n"/>
      <c r="K53" s="383" t="n"/>
      <c r="L53" s="462" t="n"/>
      <c r="M53" s="462" t="n"/>
      <c r="N53" s="462" t="n"/>
      <c r="O53" s="462" t="n"/>
      <c r="P53" s="462" t="n"/>
      <c r="Q53" s="462" t="n"/>
      <c r="R53" s="462" t="n"/>
      <c r="S53" s="462" t="n"/>
      <c r="T53" s="462" t="n"/>
      <c r="U53" s="462" t="n"/>
      <c r="V53" s="462" t="n"/>
      <c r="W53" s="462" t="n"/>
      <c r="X53" s="462" t="n"/>
      <c r="Y53" s="462" t="n"/>
      <c r="Z53" s="462" t="n"/>
      <c r="AA53" s="462" t="n"/>
    </row>
    <row r="54" ht="15" customHeight="1" s="1883">
      <c r="C54" s="390" t="n"/>
      <c r="D54" s="383" t="n"/>
      <c r="E54" s="385" t="inlineStr">
        <is>
          <t>Total, Sales and Marketing</t>
        </is>
      </c>
      <c r="F54" s="383" t="n"/>
      <c r="G54" s="383" t="n"/>
      <c r="H54" s="383" t="n"/>
      <c r="I54" s="383" t="n"/>
      <c r="J54" s="383" t="n"/>
      <c r="K54" s="383" t="n"/>
      <c r="L54" s="396">
        <f>SUM(L49:L51)</f>
        <v/>
      </c>
      <c r="M54" s="396">
        <f>SUM(M49:M51)</f>
        <v/>
      </c>
      <c r="N54" s="396">
        <f>SUM(N49:N51)</f>
        <v/>
      </c>
      <c r="O54" s="396">
        <f>SUM(O49:O51)</f>
        <v/>
      </c>
      <c r="P54" s="396">
        <f>SUM(P49:P51)</f>
        <v/>
      </c>
      <c r="Q54" s="396">
        <f>SUM(Q49:Q51)</f>
        <v/>
      </c>
      <c r="R54" s="396">
        <f>SUM(R49:R51)</f>
        <v/>
      </c>
      <c r="S54" s="396">
        <f>SUM(S49:S51)</f>
        <v/>
      </c>
      <c r="T54" s="396">
        <f>SUM(T49:T51)</f>
        <v/>
      </c>
      <c r="U54" s="396">
        <f>SUM(U49:U51)</f>
        <v/>
      </c>
      <c r="V54" s="396">
        <f>SUM(V49:V51)</f>
        <v/>
      </c>
      <c r="W54" s="396">
        <f>SUM(W49:W51)</f>
        <v/>
      </c>
      <c r="X54" s="462" t="n"/>
      <c r="Y54" s="396">
        <f>SUM(Y49:Y51)</f>
        <v/>
      </c>
      <c r="Z54" s="462" t="n"/>
      <c r="AA54" s="462" t="n"/>
      <c r="AC54" s="1458">
        <f>Y54-L54</f>
        <v/>
      </c>
    </row>
    <row r="55" ht="3" customHeight="1" s="1883">
      <c r="C55" s="390" t="n"/>
      <c r="D55" s="383" t="n"/>
      <c r="E55" s="383" t="n"/>
      <c r="F55" s="383" t="n"/>
      <c r="G55" s="383" t="n"/>
      <c r="H55" s="383" t="n"/>
      <c r="I55" s="383" t="n"/>
      <c r="J55" s="383" t="n"/>
      <c r="K55" s="383" t="n"/>
      <c r="L55" s="508" t="n"/>
      <c r="M55" s="508" t="n"/>
      <c r="N55" s="508" t="n"/>
      <c r="O55" s="508" t="n"/>
      <c r="P55" s="508" t="n"/>
      <c r="Q55" s="508" t="n"/>
      <c r="R55" s="508" t="n"/>
      <c r="S55" s="508" t="n"/>
      <c r="T55" s="508" t="n"/>
      <c r="U55" s="508" t="n"/>
      <c r="V55" s="508" t="n"/>
      <c r="W55" s="508" t="n"/>
      <c r="X55" s="462" t="n"/>
      <c r="Y55" s="508" t="n"/>
      <c r="Z55" s="462" t="n"/>
      <c r="AA55" s="462" t="n"/>
    </row>
    <row r="56" ht="3" customHeight="1" s="1883">
      <c r="C56" s="390" t="n"/>
      <c r="D56" s="383" t="n"/>
      <c r="E56" s="383" t="n"/>
      <c r="F56" s="383" t="n"/>
      <c r="G56" s="383" t="n"/>
      <c r="H56" s="383" t="n"/>
      <c r="I56" s="383" t="n"/>
      <c r="J56" s="383" t="n"/>
      <c r="K56" s="383" t="n"/>
      <c r="L56" s="462" t="n"/>
      <c r="M56" s="462" t="n"/>
      <c r="N56" s="462" t="n"/>
      <c r="O56" s="462" t="n"/>
      <c r="P56" s="462" t="n"/>
      <c r="Q56" s="462" t="n"/>
      <c r="R56" s="462" t="n"/>
      <c r="S56" s="462" t="n"/>
      <c r="T56" s="462" t="n"/>
      <c r="U56" s="462" t="n"/>
      <c r="V56" s="462" t="n"/>
      <c r="W56" s="462" t="n"/>
      <c r="X56" s="462" t="n"/>
      <c r="Y56" s="462" t="n"/>
      <c r="Z56" s="462" t="n"/>
      <c r="AA56" s="462" t="n"/>
    </row>
    <row r="57" ht="15" customHeight="1" s="1883">
      <c r="D57" s="383" t="n"/>
      <c r="E57" s="383" t="n"/>
      <c r="F57" s="383" t="n"/>
      <c r="G57" s="383" t="n"/>
      <c r="H57" s="383" t="n"/>
      <c r="I57" s="383" t="n"/>
      <c r="J57" s="383" t="n"/>
      <c r="K57" s="383" t="n"/>
      <c r="L57" s="462" t="n"/>
      <c r="M57" s="462" t="n"/>
      <c r="N57" s="462" t="n"/>
      <c r="O57" s="462" t="n"/>
      <c r="P57" s="462" t="n"/>
      <c r="Q57" s="462" t="n"/>
      <c r="R57" s="462" t="n"/>
      <c r="S57" s="462" t="n"/>
      <c r="T57" s="462" t="n"/>
      <c r="U57" s="462" t="n"/>
      <c r="V57" s="462" t="n"/>
      <c r="W57" s="462" t="n"/>
      <c r="X57" s="462" t="n"/>
      <c r="Y57" s="462" t="n"/>
      <c r="Z57" s="462" t="n"/>
      <c r="AA57" s="462" t="n"/>
    </row>
    <row r="58" ht="15" customHeight="1" s="1883">
      <c r="C58" s="385" t="inlineStr">
        <is>
          <t>Occupancy</t>
        </is>
      </c>
      <c r="D58" s="383" t="n"/>
      <c r="E58" s="383" t="n"/>
      <c r="F58" s="383" t="n"/>
      <c r="G58" s="383" t="n"/>
      <c r="H58" s="383" t="n"/>
      <c r="I58" s="383" t="n"/>
      <c r="J58" s="383" t="n"/>
      <c r="K58" s="383" t="n"/>
      <c r="L58" s="462" t="n"/>
      <c r="M58" s="462" t="n"/>
      <c r="N58" s="462" t="n"/>
      <c r="O58" s="462" t="n"/>
      <c r="P58" s="462" t="n"/>
      <c r="Q58" s="462" t="n"/>
      <c r="R58" s="462" t="n"/>
      <c r="S58" s="462" t="n"/>
      <c r="T58" s="462" t="n"/>
      <c r="U58" s="462" t="n"/>
      <c r="V58" s="462" t="n"/>
      <c r="W58" s="462" t="n"/>
      <c r="X58" s="462" t="n"/>
      <c r="Y58" s="462" t="n"/>
      <c r="Z58" s="462" t="n"/>
      <c r="AA58" s="462" t="n"/>
    </row>
    <row r="59" ht="15" customHeight="1" s="1883">
      <c r="C59" s="390" t="inlineStr">
        <is>
          <t>●</t>
        </is>
      </c>
      <c r="D59" s="383" t="inlineStr">
        <is>
          <t>Rent</t>
        </is>
      </c>
      <c r="E59" s="383" t="n"/>
      <c r="F59" s="383" t="n"/>
      <c r="G59" s="383" t="n"/>
      <c r="H59" s="383" t="n"/>
      <c r="I59" s="383" t="n"/>
      <c r="J59" s="384" t="inlineStr">
        <is>
          <t>$34.50/square foot</t>
        </is>
      </c>
      <c r="K59" s="383" t="n"/>
      <c r="L59" s="395">
        <f>'4B. Tel. Expense Assumptions'!G12</f>
        <v/>
      </c>
      <c r="M59" s="395">
        <f>'4B. Tel. Expense Assumptions'!H12</f>
        <v/>
      </c>
      <c r="N59" s="395">
        <f>'4B. Tel. Expense Assumptions'!I12</f>
        <v/>
      </c>
      <c r="O59" s="395">
        <f>'4B. Tel. Expense Assumptions'!J12</f>
        <v/>
      </c>
      <c r="P59" s="395">
        <f>'4B. Tel. Expense Assumptions'!K12</f>
        <v/>
      </c>
      <c r="Q59" s="395">
        <f>'4B. Tel. Expense Assumptions'!L12</f>
        <v/>
      </c>
      <c r="R59" s="395">
        <f>'4B. Tel. Expense Assumptions'!M12</f>
        <v/>
      </c>
      <c r="S59" s="395">
        <f>'4B. Tel. Expense Assumptions'!N12</f>
        <v/>
      </c>
      <c r="T59" s="395">
        <f>'4B. Tel. Expense Assumptions'!O12</f>
        <v/>
      </c>
      <c r="U59" s="395">
        <f>'4B. Tel. Expense Assumptions'!P12</f>
        <v/>
      </c>
      <c r="V59" s="395">
        <f>'4B. Tel. Expense Assumptions'!Q12</f>
        <v/>
      </c>
      <c r="W59" s="395">
        <f>'4B. Tel. Expense Assumptions'!R12</f>
        <v/>
      </c>
      <c r="X59" s="395" t="n"/>
      <c r="Y59" s="396">
        <f>((L59)+(M59)+(N59)+(O59)+(P59)+(Q59)+(R59)+(S59)+(T59)+(U59)+(V59)+(W59))</f>
        <v/>
      </c>
      <c r="Z59" s="462" t="n"/>
      <c r="AA59" s="462">
        <f>SUM('4B. Tel. Expense Assumptions'!G12:R12)</f>
        <v/>
      </c>
    </row>
    <row r="60" ht="15" customHeight="1" s="1883">
      <c r="C60" s="390" t="inlineStr">
        <is>
          <t>●</t>
        </is>
      </c>
      <c r="D60" s="383" t="inlineStr">
        <is>
          <t>Utilities</t>
        </is>
      </c>
      <c r="E60" s="383" t="n"/>
      <c r="F60" s="383" t="n"/>
      <c r="G60" s="383" t="n"/>
      <c r="H60" s="383" t="n"/>
      <c r="I60" s="383" t="n"/>
      <c r="J60" s="383" t="n"/>
      <c r="K60" s="383" t="n"/>
      <c r="L60" s="462">
        <f>'4B. Tel. Expense Assumptions'!G17</f>
        <v/>
      </c>
      <c r="M60" s="462">
        <f>'4B. Tel. Expense Assumptions'!H17</f>
        <v/>
      </c>
      <c r="N60" s="462">
        <f>'4B. Tel. Expense Assumptions'!I17</f>
        <v/>
      </c>
      <c r="O60" s="462">
        <f>'4B. Tel. Expense Assumptions'!J17</f>
        <v/>
      </c>
      <c r="P60" s="462">
        <f>'4B. Tel. Expense Assumptions'!K17</f>
        <v/>
      </c>
      <c r="Q60" s="462">
        <f>'4B. Tel. Expense Assumptions'!L17</f>
        <v/>
      </c>
      <c r="R60" s="462">
        <f>'4B. Tel. Expense Assumptions'!M17</f>
        <v/>
      </c>
      <c r="S60" s="462">
        <f>'4B. Tel. Expense Assumptions'!N17</f>
        <v/>
      </c>
      <c r="T60" s="462">
        <f>'4B. Tel. Expense Assumptions'!O17</f>
        <v/>
      </c>
      <c r="U60" s="462">
        <f>'4B. Tel. Expense Assumptions'!P17</f>
        <v/>
      </c>
      <c r="V60" s="462">
        <f>'4B. Tel. Expense Assumptions'!Q17</f>
        <v/>
      </c>
      <c r="W60" s="462">
        <f>'4B. Tel. Expense Assumptions'!R17</f>
        <v/>
      </c>
      <c r="X60" s="462" t="n"/>
      <c r="Y60" s="494">
        <f>((L60)+(M60)+(N60)+(O60)+(P60)+(Q60)+(R60)+(S60)+(T60)+(U60)+(V60)+(W60))</f>
        <v/>
      </c>
      <c r="Z60" s="462" t="n"/>
      <c r="AA60" s="462">
        <f>SUM('4B. Tel. Expense Assumptions'!G17:R17)</f>
        <v/>
      </c>
    </row>
    <row r="61" ht="3" customHeight="1" s="1883">
      <c r="C61" s="390" t="n"/>
      <c r="D61" s="383" t="n"/>
      <c r="E61" s="383" t="n"/>
      <c r="F61" s="383" t="n"/>
      <c r="G61" s="383" t="n"/>
      <c r="H61" s="383" t="n"/>
      <c r="I61" s="383" t="n"/>
      <c r="J61" s="383" t="n"/>
      <c r="K61" s="383" t="n"/>
      <c r="L61" s="508" t="n"/>
      <c r="M61" s="508" t="n"/>
      <c r="N61" s="508" t="n"/>
      <c r="O61" s="508" t="n"/>
      <c r="P61" s="508" t="n"/>
      <c r="Q61" s="508" t="n"/>
      <c r="R61" s="508" t="n"/>
      <c r="S61" s="508" t="n"/>
      <c r="T61" s="508" t="n"/>
      <c r="U61" s="508" t="n"/>
      <c r="V61" s="508" t="n"/>
      <c r="W61" s="508" t="n"/>
      <c r="X61" s="462" t="n"/>
      <c r="Y61" s="508" t="n"/>
      <c r="Z61" s="462" t="n"/>
      <c r="AA61" s="462" t="n"/>
    </row>
    <row r="62" ht="3" customHeight="1" s="1883">
      <c r="C62" s="390" t="n"/>
      <c r="D62" s="383" t="n"/>
      <c r="E62" s="383" t="n"/>
      <c r="F62" s="383" t="n"/>
      <c r="G62" s="383" t="n"/>
      <c r="H62" s="383" t="n"/>
      <c r="I62" s="383" t="n"/>
      <c r="J62" s="383" t="n"/>
      <c r="K62" s="383" t="n"/>
      <c r="L62" s="462" t="n"/>
      <c r="M62" s="462" t="n"/>
      <c r="N62" s="462" t="n"/>
      <c r="O62" s="462" t="n"/>
      <c r="P62" s="462" t="n"/>
      <c r="Q62" s="462" t="n"/>
      <c r="R62" s="462" t="n"/>
      <c r="S62" s="462" t="n"/>
      <c r="T62" s="462" t="n"/>
      <c r="U62" s="462" t="n"/>
      <c r="V62" s="462" t="n"/>
      <c r="W62" s="462" t="n"/>
      <c r="X62" s="462" t="n"/>
      <c r="Y62" s="462" t="n"/>
      <c r="Z62" s="462" t="n"/>
      <c r="AA62" s="462" t="n"/>
    </row>
    <row r="63" ht="15" customHeight="1" s="1883">
      <c r="C63" s="390" t="n"/>
      <c r="D63" s="383" t="n"/>
      <c r="E63" s="385" t="inlineStr">
        <is>
          <t>Total, Occupancy</t>
        </is>
      </c>
      <c r="F63" s="383" t="n"/>
      <c r="G63" s="383" t="n"/>
      <c r="H63" s="383" t="n"/>
      <c r="I63" s="383" t="n"/>
      <c r="J63" s="383" t="n"/>
      <c r="K63" s="383" t="n"/>
      <c r="L63" s="396">
        <f>SUM(L59:L60)</f>
        <v/>
      </c>
      <c r="M63" s="396">
        <f>SUM(M59:M60)</f>
        <v/>
      </c>
      <c r="N63" s="396">
        <f>SUM(N59:N60)</f>
        <v/>
      </c>
      <c r="O63" s="396">
        <f>SUM(O59:O60)</f>
        <v/>
      </c>
      <c r="P63" s="396">
        <f>SUM(P59:P60)</f>
        <v/>
      </c>
      <c r="Q63" s="396">
        <f>SUM(Q59:Q60)</f>
        <v/>
      </c>
      <c r="R63" s="396">
        <f>SUM(R59:R60)</f>
        <v/>
      </c>
      <c r="S63" s="396">
        <f>SUM(S59:S60)</f>
        <v/>
      </c>
      <c r="T63" s="396">
        <f>SUM(T59:T60)</f>
        <v/>
      </c>
      <c r="U63" s="396">
        <f>SUM(U59:U60)</f>
        <v/>
      </c>
      <c r="V63" s="396">
        <f>SUM(V59:V60)</f>
        <v/>
      </c>
      <c r="W63" s="396">
        <f>SUM(W59:W60)</f>
        <v/>
      </c>
      <c r="X63" s="462" t="n"/>
      <c r="Y63" s="396">
        <f>SUM(Y59:Y60)</f>
        <v/>
      </c>
      <c r="Z63" s="462" t="n"/>
      <c r="AA63" s="462" t="n"/>
      <c r="AC63" s="1458">
        <f>Y63-L63</f>
        <v/>
      </c>
    </row>
    <row r="67" ht="15" customHeight="1" s="1883">
      <c r="C67" s="385" t="inlineStr">
        <is>
          <t>General and Administrative</t>
        </is>
      </c>
      <c r="D67" s="383" t="n"/>
      <c r="E67" s="383" t="n"/>
      <c r="F67" s="383" t="n"/>
      <c r="G67" s="383" t="n"/>
      <c r="H67" s="383" t="n"/>
      <c r="I67" s="383" t="n"/>
      <c r="J67" s="383" t="n"/>
      <c r="K67" s="383" t="n"/>
      <c r="L67" s="462" t="n"/>
      <c r="M67" s="462" t="n"/>
      <c r="N67" s="462" t="n"/>
      <c r="O67" s="462" t="n"/>
      <c r="P67" s="462" t="n"/>
      <c r="Q67" s="462" t="n"/>
      <c r="R67" s="462" t="n"/>
      <c r="S67" s="462" t="n"/>
      <c r="T67" s="462" t="n"/>
      <c r="U67" s="462" t="n"/>
      <c r="V67" s="462" t="n"/>
      <c r="W67" s="462" t="n"/>
      <c r="X67" s="462" t="n"/>
      <c r="Y67" s="462" t="n"/>
      <c r="Z67" s="462" t="n"/>
      <c r="AA67" s="462" t="n"/>
    </row>
    <row r="68" ht="15" customHeight="1" s="1883">
      <c r="C68" s="390" t="inlineStr">
        <is>
          <t>●</t>
        </is>
      </c>
      <c r="D68" s="383" t="inlineStr">
        <is>
          <t>Insurance - Product Liability</t>
        </is>
      </c>
      <c r="E68" s="383" t="n"/>
      <c r="F68" s="383" t="n"/>
      <c r="G68" s="383" t="n"/>
      <c r="H68" s="383" t="n"/>
      <c r="I68" s="383" t="n"/>
      <c r="J68" s="384" t="inlineStr">
        <is>
          <t>1.00% of ∑ Gross Revenue</t>
        </is>
      </c>
      <c r="K68" s="383" t="n"/>
      <c r="L68" s="395">
        <f>((('3B. Tel. - Rev. Detail x Month'!J55)+('3B. Tel. - Rev. Detail x Month'!J296))*(0.01))</f>
        <v/>
      </c>
      <c r="M68" s="395">
        <f>((('3B. Tel. - Rev. Detail x Month'!K55)+('3B. Tel. - Rev. Detail x Month'!K296))*(0.01))</f>
        <v/>
      </c>
      <c r="N68" s="395">
        <f>((('3B. Tel. - Rev. Detail x Month'!L55)+('3B. Tel. - Rev. Detail x Month'!L296))*(0.01))</f>
        <v/>
      </c>
      <c r="O68" s="395">
        <f>((('3B. Tel. - Rev. Detail x Month'!M55)+('3B. Tel. - Rev. Detail x Month'!M296))*(0.01))</f>
        <v/>
      </c>
      <c r="P68" s="395">
        <f>((('3B. Tel. - Rev. Detail x Month'!N55)+('3B. Tel. - Rev. Detail x Month'!N296))*(0.01))</f>
        <v/>
      </c>
      <c r="Q68" s="395">
        <f>((('3B. Tel. - Rev. Detail x Month'!O55)+('3B. Tel. - Rev. Detail x Month'!O296))*(0.01))</f>
        <v/>
      </c>
      <c r="R68" s="395">
        <f>((('3B. Tel. - Rev. Detail x Month'!P55)+('3B. Tel. - Rev. Detail x Month'!P296))*(0.01))</f>
        <v/>
      </c>
      <c r="S68" s="395">
        <f>((('3B. Tel. - Rev. Detail x Month'!Q55)+('3B. Tel. - Rev. Detail x Month'!Q296))*(0.01))</f>
        <v/>
      </c>
      <c r="T68" s="395">
        <f>((('3B. Tel. - Rev. Detail x Month'!R55)+('3B. Tel. - Rev. Detail x Month'!R296))*(0.01))</f>
        <v/>
      </c>
      <c r="U68" s="395">
        <f>((('3B. Tel. - Rev. Detail x Month'!S55)+('3B. Tel. - Rev. Detail x Month'!S296))*(0.01))</f>
        <v/>
      </c>
      <c r="V68" s="395">
        <f>((('3B. Tel. - Rev. Detail x Month'!T55)+('3B. Tel. - Rev. Detail x Month'!T296))*(0.01))</f>
        <v/>
      </c>
      <c r="W68" s="395">
        <f>((('3B. Tel. - Rev. Detail x Month'!U55)+('3B. Tel. - Rev. Detail x Month'!U296))*(0.01))</f>
        <v/>
      </c>
      <c r="X68" s="395" t="n"/>
      <c r="Y68" s="396">
        <f>((L68)+(M68)+(N68)+(O68)+(P68)+(Q68)+(R68)+(S68)+(T68)+(U68)+(V68)+(W68))</f>
        <v/>
      </c>
      <c r="Z68" s="462" t="n"/>
      <c r="AA68" s="462" t="n"/>
    </row>
    <row r="69" ht="15" customHeight="1" s="1883">
      <c r="C69" s="390" t="inlineStr">
        <is>
          <t>●</t>
        </is>
      </c>
      <c r="D69" s="383" t="inlineStr">
        <is>
          <t>Insurance - General Liability</t>
        </is>
      </c>
      <c r="E69" s="383" t="n"/>
      <c r="F69" s="383" t="n"/>
      <c r="G69" s="383" t="n"/>
      <c r="H69" s="383" t="n"/>
      <c r="I69" s="383" t="n"/>
      <c r="J69" s="383" t="n"/>
      <c r="K69" s="383" t="n"/>
      <c r="L69" s="462">
        <f>'4B. Tel. Expense Assumptions'!G35</f>
        <v/>
      </c>
      <c r="M69" s="462">
        <f>'4B. Tel. Expense Assumptions'!H35</f>
        <v/>
      </c>
      <c r="N69" s="462">
        <f>'4B. Tel. Expense Assumptions'!I35</f>
        <v/>
      </c>
      <c r="O69" s="462">
        <f>'4B. Tel. Expense Assumptions'!J35</f>
        <v/>
      </c>
      <c r="P69" s="462">
        <f>'4B. Tel. Expense Assumptions'!K35</f>
        <v/>
      </c>
      <c r="Q69" s="462">
        <f>'4B. Tel. Expense Assumptions'!L35</f>
        <v/>
      </c>
      <c r="R69" s="462">
        <f>'4B. Tel. Expense Assumptions'!M35</f>
        <v/>
      </c>
      <c r="S69" s="462">
        <f>'4B. Tel. Expense Assumptions'!N35</f>
        <v/>
      </c>
      <c r="T69" s="462">
        <f>'4B. Tel. Expense Assumptions'!O35</f>
        <v/>
      </c>
      <c r="U69" s="462">
        <f>'4B. Tel. Expense Assumptions'!P35</f>
        <v/>
      </c>
      <c r="V69" s="462">
        <f>'4B. Tel. Expense Assumptions'!Q35</f>
        <v/>
      </c>
      <c r="W69" s="462">
        <f>'4B. Tel. Expense Assumptions'!R35</f>
        <v/>
      </c>
      <c r="X69" s="462" t="n"/>
      <c r="Y69" s="494">
        <f>((L69)+(M69)+(N69)+(O69)+(P69)+(Q69)+(R69)+(S69)+(T69)+(U69)+(V69)+(W69))</f>
        <v/>
      </c>
      <c r="Z69" s="462" t="n"/>
      <c r="AA69" s="462">
        <f>SUM('4B. Tel. Expense Assumptions'!G35:R35)</f>
        <v/>
      </c>
    </row>
    <row r="70" ht="15" customHeight="1" s="1883">
      <c r="C70" s="390" t="inlineStr">
        <is>
          <t>●</t>
        </is>
      </c>
      <c r="D70" s="383" t="inlineStr">
        <is>
          <t xml:space="preserve">Professional Fees </t>
        </is>
      </c>
      <c r="E70" s="383" t="n"/>
      <c r="F70" s="383" t="n"/>
      <c r="G70" s="383" t="n"/>
      <c r="H70" s="383" t="n"/>
      <c r="I70" s="383" t="n"/>
      <c r="J70" s="383" t="n"/>
      <c r="K70" s="383" t="n"/>
      <c r="L70" s="462" t="n"/>
      <c r="M70" s="462" t="n"/>
      <c r="N70" s="462" t="n"/>
      <c r="O70" s="462" t="n"/>
      <c r="P70" s="462" t="n"/>
      <c r="Q70" s="462" t="n"/>
      <c r="R70" s="462" t="n"/>
      <c r="S70" s="462" t="n"/>
      <c r="T70" s="462" t="n"/>
      <c r="U70" s="462" t="n"/>
      <c r="V70" s="462" t="n"/>
      <c r="W70" s="462" t="n"/>
      <c r="X70" s="462" t="n"/>
      <c r="Y70" s="462" t="n"/>
      <c r="Z70" s="462" t="n"/>
      <c r="AA70" s="462" t="n"/>
    </row>
    <row r="71" ht="15" customHeight="1" s="1883">
      <c r="C71" s="383" t="n"/>
      <c r="D71" s="390" t="inlineStr">
        <is>
          <t>●</t>
        </is>
      </c>
      <c r="E71" s="383" t="inlineStr">
        <is>
          <t>Legal</t>
        </is>
      </c>
      <c r="F71" s="383" t="n"/>
      <c r="G71" s="383" t="n"/>
      <c r="H71" s="383" t="n"/>
      <c r="I71" s="383" t="n"/>
      <c r="J71" s="383" t="n"/>
      <c r="K71" s="383" t="n"/>
      <c r="L71" s="462">
        <f>'4B. Tel. Expense Assumptions'!G41</f>
        <v/>
      </c>
      <c r="M71" s="462">
        <f>'4B. Tel. Expense Assumptions'!H41</f>
        <v/>
      </c>
      <c r="N71" s="462">
        <f>'4B. Tel. Expense Assumptions'!I41</f>
        <v/>
      </c>
      <c r="O71" s="462">
        <f>'4B. Tel. Expense Assumptions'!J41</f>
        <v/>
      </c>
      <c r="P71" s="462">
        <f>'4B. Tel. Expense Assumptions'!K41</f>
        <v/>
      </c>
      <c r="Q71" s="462">
        <f>'4B. Tel. Expense Assumptions'!L41</f>
        <v/>
      </c>
      <c r="R71" s="462">
        <f>'4B. Tel. Expense Assumptions'!M41</f>
        <v/>
      </c>
      <c r="S71" s="462">
        <f>'4B. Tel. Expense Assumptions'!N41</f>
        <v/>
      </c>
      <c r="T71" s="462">
        <f>'4B. Tel. Expense Assumptions'!O41</f>
        <v/>
      </c>
      <c r="U71" s="462">
        <f>'4B. Tel. Expense Assumptions'!P41</f>
        <v/>
      </c>
      <c r="V71" s="462">
        <f>'4B. Tel. Expense Assumptions'!Q41</f>
        <v/>
      </c>
      <c r="W71" s="462">
        <f>'4B. Tel. Expense Assumptions'!R41</f>
        <v/>
      </c>
      <c r="X71" s="462" t="n"/>
      <c r="Y71" s="494">
        <f>((L71)+(M71)+(N71)+(O71)+(P71)+(Q71)+(R71)+(S71)+(T71)+(U71)+(V71)+(W71))</f>
        <v/>
      </c>
      <c r="Z71" s="462" t="n"/>
      <c r="AA71" s="462">
        <f>SUM('4B. Tel. Expense Assumptions'!G41:R41)</f>
        <v/>
      </c>
    </row>
    <row r="72" ht="15" customHeight="1" s="1883">
      <c r="C72" s="383" t="n"/>
      <c r="D72" s="390" t="inlineStr">
        <is>
          <t>●</t>
        </is>
      </c>
      <c r="E72" s="383" t="inlineStr">
        <is>
          <t>Accounting and Tax</t>
        </is>
      </c>
      <c r="F72" s="383" t="n"/>
      <c r="G72" s="383" t="n"/>
      <c r="H72" s="383" t="n"/>
      <c r="I72" s="383" t="n"/>
      <c r="J72" s="383" t="n"/>
      <c r="K72" s="383" t="n"/>
      <c r="L72" s="462" t="n">
        <v>10000</v>
      </c>
      <c r="M72" s="462" t="n">
        <v>10000</v>
      </c>
      <c r="N72" s="462" t="n">
        <v>10000</v>
      </c>
      <c r="O72" s="462" t="n">
        <v>10000</v>
      </c>
      <c r="P72" s="462" t="n">
        <v>10000</v>
      </c>
      <c r="Q72" s="462" t="n">
        <v>10000</v>
      </c>
      <c r="R72" s="462" t="n">
        <v>10000</v>
      </c>
      <c r="S72" s="462" t="n">
        <v>10000</v>
      </c>
      <c r="T72" s="462" t="n">
        <v>10000</v>
      </c>
      <c r="U72" s="462" t="n">
        <v>10000</v>
      </c>
      <c r="V72" s="462" t="n">
        <v>10000</v>
      </c>
      <c r="W72" s="462" t="n">
        <v>10000</v>
      </c>
      <c r="X72" s="462" t="n"/>
      <c r="Y72" s="494">
        <f>((L72)+(M72)+(N72)+(O72)+(P72)+(Q72)+(R72)+(S72)+(T72)+(U72)+(V72)+(W72))</f>
        <v/>
      </c>
      <c r="Z72" s="462" t="n"/>
      <c r="AA72" s="462" t="n"/>
    </row>
    <row r="73" ht="15" customHeight="1" s="1883">
      <c r="C73" s="383" t="n"/>
      <c r="D73" s="390" t="inlineStr">
        <is>
          <t>●</t>
        </is>
      </c>
      <c r="E73" s="383" t="inlineStr">
        <is>
          <t>Consulting</t>
        </is>
      </c>
      <c r="F73" s="383" t="n"/>
      <c r="G73" s="383" t="n"/>
      <c r="H73" s="383" t="n"/>
      <c r="I73" s="383" t="n"/>
      <c r="J73" s="383" t="n"/>
      <c r="K73" s="383" t="n"/>
      <c r="L73" s="462" t="n">
        <v>10000</v>
      </c>
      <c r="M73" s="462" t="n">
        <v>10000</v>
      </c>
      <c r="N73" s="462" t="n">
        <v>10000</v>
      </c>
      <c r="O73" s="462" t="n">
        <v>10000</v>
      </c>
      <c r="P73" s="462" t="n">
        <v>10000</v>
      </c>
      <c r="Q73" s="462" t="n">
        <v>10000</v>
      </c>
      <c r="R73" s="462" t="n">
        <v>10000</v>
      </c>
      <c r="S73" s="462" t="n">
        <v>10000</v>
      </c>
      <c r="T73" s="462" t="n">
        <v>10000</v>
      </c>
      <c r="U73" s="462" t="n">
        <v>10000</v>
      </c>
      <c r="V73" s="462" t="n">
        <v>10000</v>
      </c>
      <c r="W73" s="462" t="n">
        <v>10000</v>
      </c>
      <c r="X73" s="462" t="n"/>
      <c r="Y73" s="494">
        <f>((L73)+(M73)+(N73)+(O73)+(P73)+(Q73)+(R73)+(S73)+(T73)+(U73)+(V73)+(W73))</f>
        <v/>
      </c>
      <c r="Z73" s="462" t="n"/>
      <c r="AA73" s="462" t="n"/>
    </row>
    <row r="74" ht="15" customHeight="1" s="1883">
      <c r="C74" s="390" t="inlineStr">
        <is>
          <t>●</t>
        </is>
      </c>
      <c r="D74" s="383" t="inlineStr">
        <is>
          <t>Website Hosting and Data Storage</t>
        </is>
      </c>
      <c r="E74" s="383" t="n"/>
      <c r="F74" s="383" t="n"/>
      <c r="G74" s="383" t="n"/>
      <c r="H74" s="383" t="n"/>
      <c r="I74" s="383" t="n"/>
      <c r="J74" s="383" t="n"/>
      <c r="K74" s="383" t="n"/>
      <c r="L74" s="462">
        <f>'4B. Tel. Expense Assumptions'!G51</f>
        <v/>
      </c>
      <c r="M74" s="462">
        <f>'4B. Tel. Expense Assumptions'!H51</f>
        <v/>
      </c>
      <c r="N74" s="462">
        <f>'4B. Tel. Expense Assumptions'!I51</f>
        <v/>
      </c>
      <c r="O74" s="462">
        <f>'4B. Tel. Expense Assumptions'!J51</f>
        <v/>
      </c>
      <c r="P74" s="462">
        <f>'4B. Tel. Expense Assumptions'!K51</f>
        <v/>
      </c>
      <c r="Q74" s="462">
        <f>'4B. Tel. Expense Assumptions'!L51</f>
        <v/>
      </c>
      <c r="R74" s="462">
        <f>'4B. Tel. Expense Assumptions'!M51</f>
        <v/>
      </c>
      <c r="S74" s="462">
        <f>'4B. Tel. Expense Assumptions'!N51</f>
        <v/>
      </c>
      <c r="T74" s="462">
        <f>'4B. Tel. Expense Assumptions'!O51</f>
        <v/>
      </c>
      <c r="U74" s="462">
        <f>'4B. Tel. Expense Assumptions'!P51</f>
        <v/>
      </c>
      <c r="V74" s="462">
        <f>'4B. Tel. Expense Assumptions'!Q51</f>
        <v/>
      </c>
      <c r="W74" s="462">
        <f>'4B. Tel. Expense Assumptions'!R51</f>
        <v/>
      </c>
      <c r="X74" s="462" t="n"/>
      <c r="Y74" s="494">
        <f>((L74)+(M74)+(N74)+(O74)+(P74)+(Q74)+(R74)+(S74)+(T74)+(U74)+(V74)+(W74))</f>
        <v/>
      </c>
      <c r="Z74" s="462" t="n"/>
      <c r="AA74" s="462">
        <f>SUM('4B. Tel. Expense Assumptions'!G51:R51)</f>
        <v/>
      </c>
    </row>
    <row r="75" ht="15" customHeight="1" s="1883">
      <c r="C75" s="390" t="inlineStr">
        <is>
          <t>●</t>
        </is>
      </c>
      <c r="D75" s="383" t="inlineStr">
        <is>
          <t>Customer Service and Support</t>
        </is>
      </c>
      <c r="E75" s="383" t="n"/>
      <c r="F75" s="383" t="n"/>
      <c r="G75" s="383" t="n"/>
      <c r="H75" s="383" t="n"/>
      <c r="I75" s="383" t="n"/>
      <c r="J75" s="384" t="inlineStr">
        <is>
          <t>1.00% of ∑ Gross Revenue</t>
        </is>
      </c>
      <c r="K75" s="383" t="n"/>
      <c r="L75" s="462">
        <f>((('3B. Tel. - Rev. Detail x Month'!J55)+('3B. Tel. - Rev. Detail x Month'!J296))*(0.01))</f>
        <v/>
      </c>
      <c r="M75" s="462">
        <f>((('3B. Tel. - Rev. Detail x Month'!K55)+('3B. Tel. - Rev. Detail x Month'!K296))*(0.01))</f>
        <v/>
      </c>
      <c r="N75" s="462">
        <f>((('3B. Tel. - Rev. Detail x Month'!L55)+('3B. Tel. - Rev. Detail x Month'!L296))*(0.01))</f>
        <v/>
      </c>
      <c r="O75" s="462">
        <f>((('3B. Tel. - Rev. Detail x Month'!M55)+('3B. Tel. - Rev. Detail x Month'!M296))*(0.01))</f>
        <v/>
      </c>
      <c r="P75" s="462">
        <f>((('3B. Tel. - Rev. Detail x Month'!N55)+('3B. Tel. - Rev. Detail x Month'!N296))*(0.01))</f>
        <v/>
      </c>
      <c r="Q75" s="462">
        <f>((('3B. Tel. - Rev. Detail x Month'!O55)+('3B. Tel. - Rev. Detail x Month'!O296))*(0.01))</f>
        <v/>
      </c>
      <c r="R75" s="462">
        <f>((('3B. Tel. - Rev. Detail x Month'!P55)+('3B. Tel. - Rev. Detail x Month'!P296))*(0.01))</f>
        <v/>
      </c>
      <c r="S75" s="462">
        <f>((('3B. Tel. - Rev. Detail x Month'!Q55)+('3B. Tel. - Rev. Detail x Month'!Q296))*(0.01))</f>
        <v/>
      </c>
      <c r="T75" s="462">
        <f>((('3B. Tel. - Rev. Detail x Month'!R55)+('3B. Tel. - Rev. Detail x Month'!R296))*(0.01))</f>
        <v/>
      </c>
      <c r="U75" s="462">
        <f>((('3B. Tel. - Rev. Detail x Month'!S55)+('3B. Tel. - Rev. Detail x Month'!S296))*(0.01))</f>
        <v/>
      </c>
      <c r="V75" s="462">
        <f>((('3B. Tel. - Rev. Detail x Month'!T55)+('3B. Tel. - Rev. Detail x Month'!T296))*(0.01))</f>
        <v/>
      </c>
      <c r="W75" s="462">
        <f>((('3B. Tel. - Rev. Detail x Month'!U55)+('3B. Tel. - Rev. Detail x Month'!U296))*(0.01))</f>
        <v/>
      </c>
      <c r="X75" s="462" t="n"/>
      <c r="Y75" s="494">
        <f>((L75)+(M75)+(N75)+(O75)+(P75)+(Q75)+(R75)+(S75)+(T75)+(U75)+(V75)+(W75))</f>
        <v/>
      </c>
      <c r="Z75" s="462" t="n"/>
      <c r="AA75" s="462" t="n"/>
    </row>
    <row r="76" ht="15" customHeight="1" s="1883">
      <c r="C76" s="390" t="inlineStr">
        <is>
          <t>●</t>
        </is>
      </c>
      <c r="D76" s="383" t="inlineStr">
        <is>
          <t>Software License Fees</t>
        </is>
      </c>
      <c r="E76" s="383" t="n"/>
      <c r="F76" s="383" t="n"/>
      <c r="G76" s="383" t="n"/>
      <c r="H76" s="383" t="n"/>
      <c r="I76" s="383" t="n"/>
      <c r="J76" s="384" t="inlineStr">
        <is>
          <t>$55/employee/month</t>
        </is>
      </c>
      <c r="K76" s="383" t="n"/>
      <c r="L76" s="462">
        <f>((L35)*(55))</f>
        <v/>
      </c>
      <c r="M76" s="462">
        <f>((M35)*(55))</f>
        <v/>
      </c>
      <c r="N76" s="462">
        <f>((N35)*(55))</f>
        <v/>
      </c>
      <c r="O76" s="462">
        <f>((O35)*(55))</f>
        <v/>
      </c>
      <c r="P76" s="462">
        <f>((P35)*(55))</f>
        <v/>
      </c>
      <c r="Q76" s="462">
        <f>((Q35)*(55))</f>
        <v/>
      </c>
      <c r="R76" s="462">
        <f>((R35)*(55))</f>
        <v/>
      </c>
      <c r="S76" s="462">
        <f>((S35)*(55))</f>
        <v/>
      </c>
      <c r="T76" s="462">
        <f>((T35)*(55))</f>
        <v/>
      </c>
      <c r="U76" s="462">
        <f>((U35)*(55))</f>
        <v/>
      </c>
      <c r="V76" s="462">
        <f>((V35)*(55))</f>
        <v/>
      </c>
      <c r="W76" s="462">
        <f>((W35)*(55))</f>
        <v/>
      </c>
      <c r="X76" s="462" t="n"/>
      <c r="Y76" s="494">
        <f>((L76)+(M76)+(N76)+(O76)+(P76)+(Q76)+(R76)+(S76)+(T76)+(U76)+(V76)+(W76))</f>
        <v/>
      </c>
      <c r="Z76" s="462" t="n"/>
      <c r="AA76" s="462" t="n"/>
    </row>
    <row r="77" ht="15" customHeight="1" s="1883">
      <c r="C77" s="390" t="inlineStr">
        <is>
          <t>●</t>
        </is>
      </c>
      <c r="D77" s="383" t="inlineStr">
        <is>
          <t>Office Supplies</t>
        </is>
      </c>
      <c r="E77" s="383" t="n"/>
      <c r="F77" s="383" t="n"/>
      <c r="G77" s="383" t="n"/>
      <c r="H77" s="383" t="n"/>
      <c r="I77" s="383" t="n"/>
      <c r="J77" s="384" t="inlineStr">
        <is>
          <t>$50/employee/month</t>
        </is>
      </c>
      <c r="K77" s="383" t="n"/>
      <c r="L77" s="462">
        <f>((50)*(L35))</f>
        <v/>
      </c>
      <c r="M77" s="462">
        <f>((50)*(M35))</f>
        <v/>
      </c>
      <c r="N77" s="462">
        <f>((50)*(N35))</f>
        <v/>
      </c>
      <c r="O77" s="462">
        <f>((50)*(O35))</f>
        <v/>
      </c>
      <c r="P77" s="462">
        <f>((50)*(P35))</f>
        <v/>
      </c>
      <c r="Q77" s="462">
        <f>((50)*(Q35))</f>
        <v/>
      </c>
      <c r="R77" s="462">
        <f>((50)*(R35))</f>
        <v/>
      </c>
      <c r="S77" s="462">
        <f>((50)*(S35))</f>
        <v/>
      </c>
      <c r="T77" s="462">
        <f>((50)*(T35))</f>
        <v/>
      </c>
      <c r="U77" s="462">
        <f>((50)*(U35))</f>
        <v/>
      </c>
      <c r="V77" s="462">
        <f>((50)*(V35))</f>
        <v/>
      </c>
      <c r="W77" s="462">
        <f>((50)*(W35))</f>
        <v/>
      </c>
      <c r="X77" s="462" t="n"/>
      <c r="Y77" s="494">
        <f>((L77)+(M77)+(N77)+(O77)+(P77)+(Q77)+(R77)+(S77)+(T77)+(U77)+(V77)+(W77))</f>
        <v/>
      </c>
      <c r="Z77" s="462" t="n"/>
      <c r="AA77" s="462" t="n"/>
    </row>
    <row r="78" ht="15" customHeight="1" s="1883">
      <c r="C78" s="390" t="inlineStr">
        <is>
          <t>●</t>
        </is>
      </c>
      <c r="D78" s="383" t="inlineStr">
        <is>
          <t>Office Expense</t>
        </is>
      </c>
      <c r="E78" s="383" t="n"/>
      <c r="F78" s="383" t="n"/>
      <c r="G78" s="383" t="n"/>
      <c r="H78" s="383" t="n"/>
      <c r="I78" s="383" t="n"/>
      <c r="J78" s="384" t="inlineStr">
        <is>
          <t>$15/employee/month</t>
        </is>
      </c>
      <c r="K78" s="383" t="n"/>
      <c r="L78" s="462">
        <f>((15)*(L35))</f>
        <v/>
      </c>
      <c r="M78" s="462">
        <f>((15)*(M35))</f>
        <v/>
      </c>
      <c r="N78" s="462">
        <f>((15)*(N35))</f>
        <v/>
      </c>
      <c r="O78" s="462">
        <f>((15)*(O35))</f>
        <v/>
      </c>
      <c r="P78" s="462">
        <f>((15)*(P35))</f>
        <v/>
      </c>
      <c r="Q78" s="462">
        <f>((15)*(Q35))</f>
        <v/>
      </c>
      <c r="R78" s="462">
        <f>((15)*(R35))</f>
        <v/>
      </c>
      <c r="S78" s="462">
        <f>((15)*(S35))</f>
        <v/>
      </c>
      <c r="T78" s="462">
        <f>((15)*(T35))</f>
        <v/>
      </c>
      <c r="U78" s="462">
        <f>((15)*(U35))</f>
        <v/>
      </c>
      <c r="V78" s="462">
        <f>((15)*(V35))</f>
        <v/>
      </c>
      <c r="W78" s="462">
        <f>((15)*(W35))</f>
        <v/>
      </c>
      <c r="X78" s="462" t="n"/>
      <c r="Y78" s="494">
        <f>((L78)+(M78)+(N78)+(O78)+(P78)+(Q78)+(R78)+(S78)+(T78)+(U78)+(V78)+(W78))</f>
        <v/>
      </c>
      <c r="Z78" s="462" t="n"/>
      <c r="AA78" s="462" t="n"/>
    </row>
    <row r="79" ht="15" customHeight="1" s="1883">
      <c r="C79" s="390" t="inlineStr">
        <is>
          <t>●</t>
        </is>
      </c>
      <c r="D79" s="383" t="inlineStr">
        <is>
          <t>Telephone</t>
        </is>
      </c>
      <c r="E79" s="383" t="n"/>
      <c r="F79" s="383" t="n"/>
      <c r="G79" s="383" t="n"/>
      <c r="H79" s="383" t="n"/>
      <c r="I79" s="383" t="n"/>
      <c r="J79" s="384" t="n"/>
      <c r="K79" s="383" t="n"/>
      <c r="L79" s="462">
        <f>'4B. Tel. Expense Assumptions'!G27</f>
        <v/>
      </c>
      <c r="M79" s="462">
        <f>'4B. Tel. Expense Assumptions'!H27</f>
        <v/>
      </c>
      <c r="N79" s="462">
        <f>'4B. Tel. Expense Assumptions'!I27</f>
        <v/>
      </c>
      <c r="O79" s="462">
        <f>'4B. Tel. Expense Assumptions'!J27</f>
        <v/>
      </c>
      <c r="P79" s="462">
        <f>'4B. Tel. Expense Assumptions'!K27</f>
        <v/>
      </c>
      <c r="Q79" s="462">
        <f>'4B. Tel. Expense Assumptions'!L27</f>
        <v/>
      </c>
      <c r="R79" s="462">
        <f>'4B. Tel. Expense Assumptions'!M27</f>
        <v/>
      </c>
      <c r="S79" s="462">
        <f>'4B. Tel. Expense Assumptions'!N27</f>
        <v/>
      </c>
      <c r="T79" s="462">
        <f>'4B. Tel. Expense Assumptions'!O27</f>
        <v/>
      </c>
      <c r="U79" s="462">
        <f>'4B. Tel. Expense Assumptions'!P27</f>
        <v/>
      </c>
      <c r="V79" s="462">
        <f>'4B. Tel. Expense Assumptions'!P27</f>
        <v/>
      </c>
      <c r="W79" s="462">
        <f>'4B. Tel. Expense Assumptions'!R27</f>
        <v/>
      </c>
      <c r="X79" s="462" t="n"/>
      <c r="Y79" s="494">
        <f>((L79)+(M79)+(N79)+(O79)+(P79)+(Q79)+(R79)+(S79)+(T79)+(U79)+(V79)+(W79))</f>
        <v/>
      </c>
      <c r="Z79" s="462" t="n"/>
      <c r="AA79" s="462">
        <f>SUM('4B. Tel. Expense Assumptions'!G27:R27)</f>
        <v/>
      </c>
    </row>
    <row r="80" ht="15" customHeight="1" s="1883">
      <c r="C80" s="390" t="inlineStr">
        <is>
          <t>●</t>
        </is>
      </c>
      <c r="D80" s="383" t="inlineStr">
        <is>
          <t>Meetings and Refreshments</t>
        </is>
      </c>
      <c r="E80" s="383" t="n"/>
      <c r="F80" s="383" t="n"/>
      <c r="G80" s="383" t="n"/>
      <c r="H80" s="383" t="n"/>
      <c r="I80" s="383" t="n"/>
      <c r="J80" s="384" t="inlineStr">
        <is>
          <t>$50/employee/month</t>
        </is>
      </c>
      <c r="K80" s="383" t="n"/>
      <c r="L80" s="462">
        <f>((50)*(L35))</f>
        <v/>
      </c>
      <c r="M80" s="462">
        <f>((50)*(M35))</f>
        <v/>
      </c>
      <c r="N80" s="462">
        <f>((50)*(N35))</f>
        <v/>
      </c>
      <c r="O80" s="462">
        <f>((50)*(O35))</f>
        <v/>
      </c>
      <c r="P80" s="462">
        <f>((50)*(P35))</f>
        <v/>
      </c>
      <c r="Q80" s="462">
        <f>((50)*(Q35))</f>
        <v/>
      </c>
      <c r="R80" s="462">
        <f>((50)*(R35))</f>
        <v/>
      </c>
      <c r="S80" s="462">
        <f>((50)*(S35))</f>
        <v/>
      </c>
      <c r="T80" s="462">
        <f>((50)*(T35))</f>
        <v/>
      </c>
      <c r="U80" s="462">
        <f>((50)*(U35))</f>
        <v/>
      </c>
      <c r="V80" s="462">
        <f>((50)*(V35))</f>
        <v/>
      </c>
      <c r="W80" s="462">
        <f>((50)*(W35))</f>
        <v/>
      </c>
      <c r="X80" s="462" t="n"/>
      <c r="Y80" s="494">
        <f>((L80)+(M80)+(N80)+(O80)+(P80)+(Q80)+(R80)+(S80)+(T80)+(U80)+(V80)+(W80))</f>
        <v/>
      </c>
      <c r="Z80" s="462" t="n"/>
      <c r="AA80" s="462" t="n"/>
    </row>
    <row r="81" ht="15" customHeight="1" s="1883">
      <c r="C81" s="390" t="inlineStr">
        <is>
          <t>●</t>
        </is>
      </c>
      <c r="D81" s="383" t="inlineStr">
        <is>
          <t>Miscellaneous/Contingency</t>
        </is>
      </c>
      <c r="E81" s="383" t="n"/>
      <c r="F81" s="383" t="n"/>
      <c r="G81" s="383" t="n"/>
      <c r="H81" s="383" t="n"/>
      <c r="I81" s="383" t="n"/>
      <c r="J81" s="384" t="inlineStr">
        <is>
          <t>15% of G&amp;A Expense</t>
        </is>
      </c>
      <c r="K81" s="383" t="n"/>
      <c r="L81" s="462">
        <f>(SUM(L68:L80)*(0.15))</f>
        <v/>
      </c>
      <c r="M81" s="462">
        <f>(SUM(M68:M80)*(0.15))</f>
        <v/>
      </c>
      <c r="N81" s="462">
        <f>(SUM(N68:N80)*(0.15))</f>
        <v/>
      </c>
      <c r="O81" s="462">
        <f>(SUM(O68:O80)*(0.15))</f>
        <v/>
      </c>
      <c r="P81" s="462">
        <f>(SUM(P68:P80)*(0.15))</f>
        <v/>
      </c>
      <c r="Q81" s="462">
        <f>(SUM(Q68:Q80)*(0.15))</f>
        <v/>
      </c>
      <c r="R81" s="462">
        <f>(SUM(R68:R80)*(0.15))</f>
        <v/>
      </c>
      <c r="S81" s="462">
        <f>(SUM(S68:S80)*(0.15))</f>
        <v/>
      </c>
      <c r="T81" s="462">
        <f>(SUM(T68:T80)*(0.15))</f>
        <v/>
      </c>
      <c r="U81" s="462">
        <f>(SUM(U68:U80)*(0.15))</f>
        <v/>
      </c>
      <c r="V81" s="462">
        <f>(SUM(V68:V80)*(0.15))</f>
        <v/>
      </c>
      <c r="W81" s="462">
        <f>(SUM(W68:W80)*(0.15))</f>
        <v/>
      </c>
      <c r="X81" s="462" t="n"/>
      <c r="Y81" s="494">
        <f>((L81)+(M81)+(N81)+(O81)+(P81)+(Q81)+(R81)+(S81)+(T81)+(U81)+(V81)+(W81))</f>
        <v/>
      </c>
    </row>
    <row r="82" ht="3" customHeight="1" s="1883">
      <c r="C82" s="383" t="n"/>
      <c r="D82" s="383" t="n"/>
      <c r="E82" s="383" t="n"/>
      <c r="F82" s="383" t="n"/>
      <c r="G82" s="383" t="n"/>
      <c r="H82" s="383" t="n"/>
      <c r="I82" s="383" t="n"/>
      <c r="J82" s="383" t="n"/>
      <c r="K82" s="383" t="n"/>
      <c r="L82" s="508" t="n"/>
      <c r="M82" s="508" t="n"/>
      <c r="N82" s="508" t="n"/>
      <c r="O82" s="508" t="n"/>
      <c r="P82" s="508" t="n"/>
      <c r="Q82" s="508" t="n"/>
      <c r="R82" s="508" t="n"/>
      <c r="S82" s="508" t="n"/>
      <c r="T82" s="508" t="n"/>
      <c r="U82" s="508" t="n"/>
      <c r="V82" s="508" t="n"/>
      <c r="W82" s="508" t="n"/>
      <c r="X82" s="462" t="n"/>
      <c r="Y82" s="508" t="n"/>
    </row>
    <row r="83" ht="3" customHeight="1" s="1883">
      <c r="C83" s="383" t="n"/>
      <c r="D83" s="383" t="n"/>
      <c r="E83" s="383" t="n"/>
      <c r="F83" s="383" t="n"/>
      <c r="G83" s="383" t="n"/>
      <c r="H83" s="383" t="n"/>
      <c r="I83" s="383" t="n"/>
      <c r="J83" s="383" t="n"/>
      <c r="K83" s="383" t="n"/>
      <c r="L83" s="462" t="n"/>
      <c r="M83" s="462" t="n"/>
      <c r="N83" s="462" t="n"/>
      <c r="O83" s="462" t="n"/>
      <c r="P83" s="462" t="n"/>
      <c r="Q83" s="462" t="n"/>
      <c r="R83" s="462" t="n"/>
      <c r="S83" s="462" t="n"/>
      <c r="T83" s="462" t="n"/>
      <c r="U83" s="462" t="n"/>
      <c r="V83" s="462" t="n"/>
      <c r="W83" s="462" t="n"/>
      <c r="X83" s="462" t="n"/>
      <c r="Y83" s="462" t="n"/>
    </row>
    <row r="84" ht="15" customHeight="1" s="1883">
      <c r="C84" s="383" t="n"/>
      <c r="D84" s="383" t="n"/>
      <c r="E84" s="385" t="inlineStr">
        <is>
          <t>Total, General and Administrative</t>
        </is>
      </c>
      <c r="F84" s="383" t="n"/>
      <c r="G84" s="383" t="n"/>
      <c r="H84" s="383" t="n"/>
      <c r="I84" s="383" t="n"/>
      <c r="J84" s="383" t="n"/>
      <c r="K84" s="383" t="n"/>
      <c r="L84" s="396">
        <f>SUM(L68:L81)</f>
        <v/>
      </c>
      <c r="M84" s="396">
        <f>SUM(M68:M81)</f>
        <v/>
      </c>
      <c r="N84" s="396">
        <f>SUM(N68:N81)</f>
        <v/>
      </c>
      <c r="O84" s="396">
        <f>SUM(O68:O81)</f>
        <v/>
      </c>
      <c r="P84" s="396">
        <f>SUM(P68:P81)</f>
        <v/>
      </c>
      <c r="Q84" s="396">
        <f>SUM(Q68:Q81)</f>
        <v/>
      </c>
      <c r="R84" s="396">
        <f>SUM(R68:R81)</f>
        <v/>
      </c>
      <c r="S84" s="396">
        <f>SUM(S68:S81)</f>
        <v/>
      </c>
      <c r="T84" s="396">
        <f>SUM(T68:T81)</f>
        <v/>
      </c>
      <c r="U84" s="396">
        <f>SUM(U68:U81)</f>
        <v/>
      </c>
      <c r="V84" s="396">
        <f>SUM(V68:V81)</f>
        <v/>
      </c>
      <c r="W84" s="396">
        <f>SUM(W68:W81)</f>
        <v/>
      </c>
      <c r="X84" s="462" t="n"/>
      <c r="Y84" s="396">
        <f>SUM(Y68:Y81)</f>
        <v/>
      </c>
      <c r="AC84" s="1458">
        <f>Y84-L84</f>
        <v/>
      </c>
    </row>
    <row r="85" ht="3" customHeight="1" s="1883">
      <c r="C85" s="383" t="n"/>
      <c r="D85" s="383" t="n"/>
      <c r="E85" s="383" t="n"/>
      <c r="F85" s="383" t="n"/>
      <c r="G85" s="383" t="n"/>
      <c r="H85" s="383" t="n"/>
      <c r="I85" s="383" t="n"/>
      <c r="J85" s="383" t="n"/>
      <c r="K85" s="383" t="n"/>
      <c r="L85" s="508" t="n"/>
      <c r="M85" s="508" t="n"/>
      <c r="N85" s="508" t="n"/>
      <c r="O85" s="508" t="n"/>
      <c r="P85" s="508" t="n"/>
      <c r="Q85" s="508" t="n"/>
      <c r="R85" s="508" t="n"/>
      <c r="S85" s="508" t="n"/>
      <c r="T85" s="508" t="n"/>
      <c r="U85" s="508" t="n"/>
      <c r="V85" s="508" t="n"/>
      <c r="W85" s="508" t="n"/>
      <c r="X85" s="462" t="n"/>
      <c r="Y85" s="508" t="n"/>
    </row>
    <row r="86" ht="3" customHeight="1" s="1883">
      <c r="C86" s="383" t="n"/>
      <c r="D86" s="383" t="n"/>
      <c r="E86" s="383" t="n"/>
      <c r="F86" s="383" t="n"/>
      <c r="G86" s="383" t="n"/>
      <c r="H86" s="383" t="n"/>
      <c r="I86" s="383" t="n"/>
      <c r="J86" s="383" t="n"/>
      <c r="K86" s="383" t="n"/>
      <c r="L86" s="462" t="n"/>
      <c r="M86" s="462" t="n"/>
      <c r="N86" s="462" t="n"/>
      <c r="O86" s="462" t="n"/>
      <c r="P86" s="462" t="n"/>
      <c r="Q86" s="462" t="n"/>
      <c r="R86" s="462" t="n"/>
      <c r="S86" s="462" t="n"/>
      <c r="T86" s="462" t="n"/>
      <c r="U86" s="462" t="n"/>
      <c r="V86" s="462" t="n"/>
      <c r="W86" s="462" t="n"/>
      <c r="X86" s="462" t="n"/>
      <c r="Y86" s="462" t="n"/>
    </row>
    <row r="87" ht="15" customHeight="1" s="1883">
      <c r="C87" s="383" t="n"/>
      <c r="D87" s="383" t="n"/>
      <c r="E87" s="383" t="n"/>
      <c r="F87" s="383" t="n"/>
      <c r="G87" s="383" t="n"/>
      <c r="H87" s="383" t="n"/>
      <c r="I87" s="383" t="n"/>
      <c r="J87" s="383" t="n"/>
      <c r="K87" s="383" t="n"/>
      <c r="L87" s="462" t="n"/>
      <c r="M87" s="462" t="n"/>
      <c r="N87" s="462" t="n"/>
      <c r="O87" s="462" t="n"/>
      <c r="P87" s="462" t="n"/>
      <c r="Q87" s="462" t="n"/>
      <c r="R87" s="462" t="n"/>
      <c r="S87" s="462" t="n"/>
      <c r="T87" s="462" t="n"/>
      <c r="U87" s="462" t="n"/>
      <c r="V87" s="462" t="n"/>
      <c r="W87" s="462" t="n"/>
      <c r="X87" s="462" t="n"/>
      <c r="Y87" s="462" t="n"/>
    </row>
    <row r="88" ht="15" customHeight="1" s="1883">
      <c r="C88" s="383" t="n"/>
      <c r="D88" s="383" t="n"/>
      <c r="E88" s="383" t="n"/>
      <c r="F88" s="383" t="n"/>
      <c r="G88" s="383" t="n"/>
      <c r="H88" s="383" t="n"/>
      <c r="I88" s="383" t="n"/>
      <c r="J88" s="383" t="n"/>
      <c r="K88" s="383" t="n"/>
      <c r="L88" s="462" t="n"/>
      <c r="M88" s="462" t="n"/>
      <c r="N88" s="462" t="n"/>
      <c r="O88" s="462" t="n"/>
      <c r="P88" s="462" t="n"/>
      <c r="Q88" s="462" t="n"/>
      <c r="R88" s="462" t="n"/>
      <c r="S88" s="462" t="n"/>
      <c r="T88" s="462" t="n"/>
      <c r="U88" s="462" t="n"/>
      <c r="V88" s="462" t="n"/>
      <c r="W88" s="462" t="n"/>
      <c r="X88" s="462" t="n"/>
      <c r="Y88" s="462" t="n"/>
    </row>
    <row r="89" ht="3" customHeight="1" s="1883">
      <c r="C89" s="383" t="n"/>
      <c r="D89" s="383" t="n"/>
      <c r="E89" s="383" t="n"/>
      <c r="F89" s="383" t="n"/>
      <c r="G89" s="383" t="n"/>
      <c r="H89" s="383" t="n"/>
      <c r="I89" s="383" t="n"/>
      <c r="J89" s="383" t="n"/>
      <c r="K89" s="383" t="n"/>
      <c r="L89" s="508" t="n"/>
      <c r="M89" s="508" t="n"/>
      <c r="N89" s="508" t="n"/>
      <c r="O89" s="508" t="n"/>
      <c r="P89" s="508" t="n"/>
      <c r="Q89" s="508" t="n"/>
      <c r="R89" s="508" t="n"/>
      <c r="S89" s="508" t="n"/>
      <c r="T89" s="508" t="n"/>
      <c r="U89" s="508" t="n"/>
      <c r="V89" s="508" t="n"/>
      <c r="W89" s="508" t="n"/>
      <c r="X89" s="462" t="n"/>
      <c r="Y89" s="508" t="n"/>
    </row>
    <row r="90" ht="3" customHeight="1" s="1883">
      <c r="C90" s="383" t="n"/>
      <c r="D90" s="383" t="n"/>
      <c r="E90" s="383" t="n"/>
      <c r="F90" s="383" t="n"/>
      <c r="G90" s="383" t="n"/>
      <c r="H90" s="383" t="n"/>
      <c r="I90" s="383" t="n"/>
      <c r="J90" s="383" t="n"/>
      <c r="K90" s="383" t="n"/>
      <c r="L90" s="462" t="n"/>
      <c r="M90" s="462" t="n"/>
      <c r="N90" s="462" t="n"/>
      <c r="O90" s="462" t="n"/>
      <c r="P90" s="462" t="n"/>
      <c r="Q90" s="462" t="n"/>
      <c r="R90" s="462" t="n"/>
      <c r="S90" s="462" t="n"/>
      <c r="T90" s="462" t="n"/>
      <c r="U90" s="462" t="n"/>
      <c r="V90" s="462" t="n"/>
      <c r="W90" s="462" t="n"/>
      <c r="X90" s="462" t="n"/>
      <c r="Y90" s="462" t="n"/>
    </row>
    <row r="91" ht="15" customHeight="1" s="1883">
      <c r="C91" s="383" t="n"/>
      <c r="D91" s="383" t="n"/>
      <c r="E91" s="383" t="n"/>
      <c r="F91" s="385" t="inlineStr">
        <is>
          <t>TOTAL OPERATING EXPENSES</t>
        </is>
      </c>
      <c r="G91" s="383" t="n"/>
      <c r="H91" s="383" t="n"/>
      <c r="I91" s="383" t="n"/>
      <c r="J91" s="383" t="n"/>
      <c r="K91" s="383" t="n"/>
      <c r="L91" s="396">
        <f>((L41)+(L45)+(L54)+(L63)+(L84))</f>
        <v/>
      </c>
      <c r="M91" s="396">
        <f>((M41)+(M45)+(M54)+(M63)+(M84))</f>
        <v/>
      </c>
      <c r="N91" s="396">
        <f>((N41)+(N45)+(N54)+(N63)+(N84))</f>
        <v/>
      </c>
      <c r="O91" s="396">
        <f>((O41)+(O45)+(O54)+(O63)+(O84))</f>
        <v/>
      </c>
      <c r="P91" s="396">
        <f>((P41)+(P45)+(P54)+(P63)+(P84))</f>
        <v/>
      </c>
      <c r="Q91" s="396">
        <f>((Q41)+(Q45)+(Q54)+(Q63)+(Q84))</f>
        <v/>
      </c>
      <c r="R91" s="396">
        <f>((R41)+(R45)+(R54)+(R63)+(R84))</f>
        <v/>
      </c>
      <c r="S91" s="396">
        <f>((S41)+(S45)+(S54)+(S63)+(S84))</f>
        <v/>
      </c>
      <c r="T91" s="396">
        <f>((T41)+(T45)+(T54)+(T63)+(T84))</f>
        <v/>
      </c>
      <c r="U91" s="396">
        <f>((U41)+(U45)+(U54)+(U63)+(U84))</f>
        <v/>
      </c>
      <c r="V91" s="396">
        <f>((V41)+(V45)+(V54)+(V63)+(V84))</f>
        <v/>
      </c>
      <c r="W91" s="396">
        <f>((W41)+(W45)+(W54)+(W63)+(W84))</f>
        <v/>
      </c>
      <c r="X91" s="462" t="n"/>
      <c r="Y91" s="396">
        <f>((L91)+(M91)+(N91)+(O91)+(P91)+(Q91)+(R91)+(S91)+(T91)+(U91)+(V91)+(W91))</f>
        <v/>
      </c>
    </row>
    <row r="98" ht="15" customHeight="1" s="1883">
      <c r="B98" s="383" t="n"/>
      <c r="C98" s="383" t="n"/>
      <c r="D98" s="383" t="n"/>
      <c r="E98" s="383" t="n"/>
      <c r="F98" s="383" t="n"/>
      <c r="G98" s="385" t="inlineStr">
        <is>
          <t>OPERATING INCOME / (LOSS), %</t>
        </is>
      </c>
      <c r="H98" s="383" t="n"/>
      <c r="I98" s="383" t="n"/>
      <c r="J98" s="383" t="n"/>
      <c r="K98" s="383" t="n"/>
      <c r="L98" s="396">
        <f>((L22)-(L91))</f>
        <v/>
      </c>
      <c r="M98" s="396">
        <f>((M22)-(M91))</f>
        <v/>
      </c>
      <c r="N98" s="396">
        <f>((N22)-(N91))</f>
        <v/>
      </c>
      <c r="O98" s="396">
        <f>((O22)-(O91))</f>
        <v/>
      </c>
      <c r="P98" s="396">
        <f>((P22)-(P91))</f>
        <v/>
      </c>
      <c r="Q98" s="396">
        <f>((Q22)-(Q91))</f>
        <v/>
      </c>
      <c r="R98" s="396">
        <f>((R22)-(R91))</f>
        <v/>
      </c>
      <c r="S98" s="396">
        <f>((S22)-(S91))</f>
        <v/>
      </c>
      <c r="T98" s="396">
        <f>((T22)-(T91))</f>
        <v/>
      </c>
      <c r="U98" s="396">
        <f>((U22)-(U91))</f>
        <v/>
      </c>
      <c r="V98" s="396">
        <f>((V22)-(V91))</f>
        <v/>
      </c>
      <c r="W98" s="396">
        <f>((W22)-(W91))</f>
        <v/>
      </c>
      <c r="X98" s="462" t="n"/>
      <c r="Y98" s="396">
        <f>((L98)+(M98)+(N98)+(O98)+(P98)+(Q98)+(R98)+(S98)+(T98)+(U98)+(V98)+(W98))</f>
        <v/>
      </c>
      <c r="Z98" s="462" t="n"/>
      <c r="AA98" s="462" t="n"/>
    </row>
    <row r="99" ht="15" customHeight="1" s="1883">
      <c r="B99" s="383" t="n"/>
      <c r="C99" s="383" t="n"/>
      <c r="D99" s="383" t="n"/>
      <c r="E99" s="383" t="n"/>
      <c r="F99" s="383" t="n"/>
      <c r="G99" s="385" t="inlineStr">
        <is>
          <t>OPERATING MARGIN, %</t>
        </is>
      </c>
      <c r="H99" s="383" t="n"/>
      <c r="I99" s="383" t="n"/>
      <c r="J99" s="383" t="n"/>
      <c r="K99" s="383" t="n"/>
      <c r="L99" s="574">
        <f>((L98)/(L22))</f>
        <v/>
      </c>
      <c r="M99" s="574">
        <f>((M98)/(M22))</f>
        <v/>
      </c>
      <c r="N99" s="574">
        <f>((N98)/(N22))</f>
        <v/>
      </c>
      <c r="O99" s="574">
        <f>((O98)/(O22))</f>
        <v/>
      </c>
      <c r="P99" s="574">
        <f>((P98)/(P22))</f>
        <v/>
      </c>
      <c r="Q99" s="574">
        <f>((Q98)/(Q22))</f>
        <v/>
      </c>
      <c r="R99" s="574">
        <f>((R98)/(R22))</f>
        <v/>
      </c>
      <c r="S99" s="574">
        <f>((S98)/(S22))</f>
        <v/>
      </c>
      <c r="T99" s="574">
        <f>((T98)/(T22))</f>
        <v/>
      </c>
      <c r="U99" s="574">
        <f>((U98)/(U22))</f>
        <v/>
      </c>
      <c r="V99" s="574">
        <f>((V98)/(V22))</f>
        <v/>
      </c>
      <c r="W99" s="574">
        <f>((W98)/(W22))</f>
        <v/>
      </c>
      <c r="X99" s="574" t="n"/>
      <c r="Y99" s="574">
        <f>((Y98)/(Y22))</f>
        <v/>
      </c>
      <c r="Z99" s="462" t="n"/>
      <c r="AA99" s="462" t="n"/>
    </row>
    <row r="100" ht="3" customHeight="1" s="1883">
      <c r="B100" s="383" t="n"/>
      <c r="C100" s="383" t="n"/>
      <c r="D100" s="383" t="n"/>
      <c r="E100" s="383" t="n"/>
      <c r="F100" s="383" t="n"/>
      <c r="G100" s="383" t="n"/>
      <c r="H100" s="383" t="n"/>
      <c r="I100" s="383" t="n"/>
      <c r="J100" s="383" t="n"/>
      <c r="K100" s="383" t="n"/>
      <c r="L100" s="508" t="n"/>
      <c r="M100" s="508" t="n"/>
      <c r="N100" s="508" t="n"/>
      <c r="O100" s="508" t="n"/>
      <c r="P100" s="508" t="n"/>
      <c r="Q100" s="508" t="n"/>
      <c r="R100" s="508" t="n"/>
      <c r="S100" s="508" t="n"/>
      <c r="T100" s="508" t="n"/>
      <c r="U100" s="508" t="n"/>
      <c r="V100" s="508" t="n"/>
      <c r="W100" s="508" t="n"/>
      <c r="X100" s="462" t="n"/>
      <c r="Y100" s="508" t="n"/>
      <c r="Z100" s="462" t="n"/>
      <c r="AA100" s="462" t="n"/>
    </row>
    <row r="101" ht="3" customHeight="1" s="1883">
      <c r="B101" s="383" t="n"/>
      <c r="C101" s="383" t="n"/>
      <c r="D101" s="383" t="n"/>
      <c r="E101" s="383" t="n"/>
      <c r="F101" s="383" t="n"/>
      <c r="G101" s="383" t="n"/>
      <c r="H101" s="383" t="n"/>
      <c r="I101" s="383" t="n"/>
      <c r="J101" s="383" t="n"/>
      <c r="K101" s="383" t="n"/>
      <c r="L101" s="462" t="n"/>
      <c r="M101" s="462" t="n"/>
      <c r="N101" s="462" t="n"/>
      <c r="O101" s="462" t="n"/>
      <c r="P101" s="462" t="n"/>
      <c r="Q101" s="462" t="n"/>
      <c r="R101" s="462" t="n"/>
      <c r="S101" s="462" t="n"/>
      <c r="T101" s="462" t="n"/>
      <c r="U101" s="462" t="n"/>
      <c r="V101" s="462" t="n"/>
      <c r="W101" s="462" t="n"/>
      <c r="X101" s="462" t="n"/>
      <c r="Y101" s="462" t="n"/>
      <c r="Z101" s="462" t="n"/>
      <c r="AA101" s="462" t="n"/>
    </row>
    <row r="102" ht="15" customHeight="1" s="1883">
      <c r="B102" s="383" t="n"/>
      <c r="C102" s="383" t="n"/>
      <c r="D102" s="383" t="n"/>
      <c r="E102" s="383" t="n"/>
      <c r="F102" s="383" t="n"/>
      <c r="G102" s="383" t="n"/>
      <c r="H102" s="383" t="n"/>
      <c r="I102" s="383" t="n"/>
      <c r="J102" s="383" t="n"/>
      <c r="K102" s="383" t="n"/>
      <c r="L102" s="462" t="n"/>
      <c r="M102" s="462" t="n"/>
      <c r="N102" s="462" t="n"/>
      <c r="O102" s="462" t="n"/>
      <c r="P102" s="462" t="n"/>
      <c r="Q102" s="462" t="n"/>
      <c r="R102" s="462" t="n"/>
      <c r="S102" s="462" t="n"/>
      <c r="T102" s="462" t="n"/>
      <c r="U102" s="462" t="n"/>
      <c r="V102" s="462" t="n"/>
      <c r="W102" s="462" t="n"/>
      <c r="X102" s="462" t="n"/>
      <c r="Y102" s="462" t="n"/>
      <c r="Z102" s="462" t="n"/>
      <c r="AA102" s="462" t="n"/>
    </row>
    <row r="103" ht="15" customHeight="1" s="1883">
      <c r="B103" s="383" t="n"/>
      <c r="C103" s="383" t="n"/>
      <c r="D103" s="383" t="n"/>
      <c r="E103" s="383" t="n"/>
      <c r="F103" s="383" t="n"/>
      <c r="G103" s="383" t="n"/>
      <c r="H103" s="383" t="n"/>
      <c r="I103" s="383" t="n"/>
      <c r="J103" s="383" t="n"/>
      <c r="K103" s="383" t="n"/>
      <c r="L103" s="462" t="n"/>
      <c r="M103" s="462" t="n"/>
      <c r="N103" s="462" t="n"/>
      <c r="O103" s="462" t="n"/>
      <c r="P103" s="462" t="n"/>
      <c r="Q103" s="462" t="n"/>
      <c r="R103" s="462" t="n"/>
      <c r="S103" s="462" t="n"/>
      <c r="T103" s="462" t="n"/>
      <c r="U103" s="462" t="n"/>
      <c r="V103" s="462" t="n"/>
      <c r="W103" s="462" t="n"/>
      <c r="X103" s="462" t="n"/>
      <c r="Y103" s="462" t="n"/>
      <c r="Z103" s="462" t="n"/>
      <c r="AA103" s="462" t="n"/>
    </row>
    <row r="104" ht="15" customHeight="1" s="1883">
      <c r="B104" s="385" t="inlineStr">
        <is>
          <t>YEAR 2 - OPERATING INCOME</t>
        </is>
      </c>
      <c r="C104" s="383" t="n"/>
      <c r="D104" s="383" t="n"/>
      <c r="E104" s="383" t="n"/>
      <c r="F104" s="383" t="n"/>
      <c r="G104" s="383" t="n"/>
      <c r="H104" s="383" t="n"/>
      <c r="I104" s="383" t="n"/>
      <c r="J104" s="383" t="n"/>
      <c r="K104" s="383" t="n"/>
      <c r="L104" s="383" t="n"/>
      <c r="M104" s="383" t="n"/>
      <c r="N104" s="383" t="n"/>
      <c r="O104" s="383" t="n"/>
      <c r="P104" s="383" t="n"/>
      <c r="Q104" s="383" t="n"/>
      <c r="R104" s="383" t="n"/>
      <c r="S104" s="383" t="n"/>
      <c r="T104" s="383" t="n"/>
      <c r="U104" s="383" t="n"/>
      <c r="V104" s="383" t="n"/>
      <c r="W104" s="383" t="n"/>
      <c r="X104" s="383" t="n"/>
      <c r="Y104" s="383" t="n"/>
      <c r="Z104" s="383" t="n"/>
      <c r="AA104" s="383" t="n"/>
    </row>
    <row r="105" ht="3" customHeight="1" s="1883">
      <c r="B105" s="387" t="n"/>
      <c r="C105" s="387" t="n"/>
      <c r="D105" s="387" t="n"/>
      <c r="E105" s="387" t="n"/>
      <c r="F105" s="387" t="n"/>
      <c r="G105" s="387" t="n"/>
      <c r="H105" s="387" t="n"/>
      <c r="I105" s="387" t="n"/>
      <c r="J105" s="387" t="n"/>
      <c r="K105" s="383" t="n"/>
      <c r="L105" s="383" t="n"/>
      <c r="M105" s="383" t="n"/>
      <c r="N105" s="383" t="n"/>
      <c r="O105" s="383" t="n"/>
      <c r="P105" s="383" t="n"/>
      <c r="Q105" s="383" t="n"/>
      <c r="R105" s="383" t="n"/>
      <c r="S105" s="383" t="n"/>
      <c r="T105" s="383" t="n"/>
      <c r="U105" s="383" t="n"/>
      <c r="V105" s="383" t="n"/>
      <c r="W105" s="383" t="n"/>
      <c r="X105" s="383" t="n"/>
      <c r="Y105" s="383" t="n"/>
      <c r="Z105" s="383" t="n"/>
      <c r="AA105" s="383" t="n"/>
    </row>
    <row r="106" ht="3" customHeight="1" s="1883">
      <c r="B106" s="383" t="n"/>
      <c r="C106" s="383" t="n"/>
      <c r="D106" s="383" t="n"/>
      <c r="E106" s="383" t="n"/>
      <c r="F106" s="383" t="n"/>
      <c r="G106" s="383" t="n"/>
      <c r="H106" s="383" t="n"/>
      <c r="I106" s="383" t="n"/>
      <c r="J106" s="383" t="n"/>
      <c r="K106" s="383" t="n"/>
      <c r="L106" s="383" t="n"/>
      <c r="M106" s="383" t="n"/>
      <c r="N106" s="383" t="n"/>
      <c r="O106" s="383" t="n"/>
      <c r="P106" s="383" t="n"/>
      <c r="Q106" s="383" t="n"/>
      <c r="R106" s="383" t="n"/>
      <c r="S106" s="383" t="n"/>
      <c r="T106" s="383" t="n"/>
      <c r="U106" s="383" t="n"/>
      <c r="V106" s="383" t="n"/>
      <c r="W106" s="383" t="n"/>
      <c r="X106" s="383" t="n"/>
      <c r="Y106" s="383" t="n"/>
      <c r="Z106" s="383" t="n"/>
      <c r="AA106" s="383" t="n"/>
    </row>
    <row r="107" ht="15" customHeight="1" s="1883">
      <c r="B107" s="383" t="n"/>
      <c r="C107" s="383" t="n"/>
      <c r="D107" s="383" t="n"/>
      <c r="E107" s="383" t="n"/>
      <c r="F107" s="383" t="n"/>
      <c r="G107" s="383" t="n"/>
      <c r="H107" s="383" t="n"/>
      <c r="I107" s="383" t="n"/>
      <c r="J107" s="383" t="n"/>
      <c r="K107" s="383" t="n"/>
      <c r="L107" s="1882" t="inlineStr">
        <is>
          <t>Year 2</t>
        </is>
      </c>
      <c r="Z107" s="383" t="n"/>
      <c r="AA107" s="383" t="n"/>
    </row>
    <row r="108" ht="3" customHeight="1" s="1883">
      <c r="B108" s="383" t="n"/>
      <c r="C108" s="383" t="n"/>
      <c r="D108" s="383" t="n"/>
      <c r="E108" s="383" t="n"/>
      <c r="F108" s="383" t="n"/>
      <c r="G108" s="383" t="n"/>
      <c r="H108" s="383" t="n"/>
      <c r="I108" s="383" t="n"/>
      <c r="J108" s="383" t="n"/>
      <c r="K108" s="383" t="n"/>
      <c r="L108" s="387" t="n"/>
      <c r="M108" s="387" t="n"/>
      <c r="N108" s="387" t="n"/>
      <c r="O108" s="387" t="n"/>
      <c r="P108" s="387" t="n"/>
      <c r="Q108" s="387" t="n"/>
      <c r="R108" s="387" t="n"/>
      <c r="S108" s="387" t="n"/>
      <c r="T108" s="387" t="n"/>
      <c r="U108" s="387" t="n"/>
      <c r="V108" s="387" t="n"/>
      <c r="W108" s="387" t="n"/>
      <c r="X108" s="387" t="n"/>
      <c r="Y108" s="387" t="n"/>
      <c r="Z108" s="383" t="n"/>
      <c r="AA108" s="383" t="n"/>
    </row>
    <row r="109" ht="3" customHeight="1" s="1883">
      <c r="B109" s="383" t="n"/>
      <c r="C109" s="383" t="n"/>
      <c r="D109" s="383" t="n"/>
      <c r="E109" s="383" t="n"/>
      <c r="F109" s="383" t="n"/>
      <c r="G109" s="383" t="n"/>
      <c r="H109" s="383" t="n"/>
      <c r="I109" s="383" t="n"/>
      <c r="J109" s="383" t="n"/>
      <c r="K109" s="383" t="n"/>
      <c r="L109" s="383" t="n"/>
      <c r="M109" s="383" t="n"/>
      <c r="N109" s="383" t="n"/>
      <c r="O109" s="383" t="n"/>
      <c r="P109" s="383" t="n"/>
      <c r="Q109" s="383" t="n"/>
      <c r="R109" s="383" t="n"/>
      <c r="S109" s="383" t="n"/>
      <c r="T109" s="383" t="n"/>
      <c r="U109" s="383" t="n"/>
      <c r="V109" s="383" t="n"/>
      <c r="W109" s="383" t="n"/>
      <c r="X109" s="383" t="n"/>
      <c r="Y109" s="383" t="n"/>
      <c r="Z109" s="383" t="n"/>
      <c r="AA109" s="383" t="n"/>
    </row>
    <row r="110" ht="15" customHeight="1" s="1883">
      <c r="B110" s="383" t="n"/>
      <c r="C110" s="383" t="n"/>
      <c r="D110" s="383" t="n"/>
      <c r="E110" s="383" t="n"/>
      <c r="F110" s="383" t="n"/>
      <c r="G110" s="383" t="n"/>
      <c r="H110" s="383" t="n"/>
      <c r="I110" s="383" t="n"/>
      <c r="J110" s="383" t="n"/>
      <c r="K110" s="383" t="n"/>
      <c r="L110" s="386" t="inlineStr">
        <is>
          <t>Month 13</t>
        </is>
      </c>
      <c r="M110" s="386" t="inlineStr">
        <is>
          <t>Month 14</t>
        </is>
      </c>
      <c r="N110" s="386" t="inlineStr">
        <is>
          <t>Month 15</t>
        </is>
      </c>
      <c r="O110" s="386" t="inlineStr">
        <is>
          <t>Month 16</t>
        </is>
      </c>
      <c r="P110" s="386" t="inlineStr">
        <is>
          <t>Month 17</t>
        </is>
      </c>
      <c r="Q110" s="386" t="inlineStr">
        <is>
          <t>Month 18</t>
        </is>
      </c>
      <c r="R110" s="386" t="inlineStr">
        <is>
          <t>Month 19</t>
        </is>
      </c>
      <c r="S110" s="386" t="inlineStr">
        <is>
          <t>Month 20</t>
        </is>
      </c>
      <c r="T110" s="386" t="inlineStr">
        <is>
          <t>Month 21</t>
        </is>
      </c>
      <c r="U110" s="386" t="inlineStr">
        <is>
          <t>Month 22</t>
        </is>
      </c>
      <c r="V110" s="386" t="inlineStr">
        <is>
          <t>Month 23</t>
        </is>
      </c>
      <c r="W110" s="386" t="inlineStr">
        <is>
          <t>Month 24</t>
        </is>
      </c>
      <c r="X110" s="383" t="n"/>
      <c r="Y110" s="386" t="inlineStr">
        <is>
          <t>Full-Year</t>
        </is>
      </c>
      <c r="Z110" s="383" t="n"/>
      <c r="AA110" s="386" t="inlineStr">
        <is>
          <t>Cross Check</t>
        </is>
      </c>
    </row>
    <row r="114" ht="15" customHeight="1" s="1883">
      <c r="B114" s="385" t="inlineStr">
        <is>
          <t>NET REVENUE</t>
        </is>
      </c>
      <c r="D114" s="383" t="n"/>
      <c r="E114" s="383" t="n"/>
      <c r="F114" s="383" t="n"/>
      <c r="G114" s="383" t="n"/>
      <c r="H114" s="383" t="n"/>
      <c r="I114" s="383" t="n"/>
      <c r="J114" s="383" t="n"/>
      <c r="K114" s="383" t="n"/>
      <c r="L114" s="396">
        <f>(('3B. Tel. - Rev. Detail x Month'!J467)+('7. Pure Influence'!G55)+('8. Pure Research - 1 of 2'!S40))</f>
        <v/>
      </c>
      <c r="M114" s="396">
        <f>(('3B. Tel. - Rev. Detail x Month'!K467)+('7. Pure Influence'!H55)+('8. Pure Research - 1 of 2'!S40))</f>
        <v/>
      </c>
      <c r="N114" s="396">
        <f>(('3B. Tel. - Rev. Detail x Month'!L467)+('7. Pure Influence'!I55)+('8. Pure Research - 1 of 2'!S40))</f>
        <v/>
      </c>
      <c r="O114" s="396">
        <f>(('3B. Tel. - Rev. Detail x Month'!M467)+('7. Pure Influence'!J55)+('8. Pure Research - 1 of 2'!S40))</f>
        <v/>
      </c>
      <c r="P114" s="396">
        <f>(('3B. Tel. - Rev. Detail x Month'!N467)+('7. Pure Influence'!K55)+('8. Pure Research - 1 of 2'!S40))</f>
        <v/>
      </c>
      <c r="Q114" s="396">
        <f>(('3B. Tel. - Rev. Detail x Month'!O467)+('7. Pure Influence'!L55)+('8. Pure Research - 1 of 2'!S40))</f>
        <v/>
      </c>
      <c r="R114" s="396">
        <f>(('3B. Tel. - Rev. Detail x Month'!P467)+('7. Pure Influence'!M55)+('8. Pure Research - 1 of 2'!S40))</f>
        <v/>
      </c>
      <c r="S114" s="396">
        <f>(('3B. Tel. - Rev. Detail x Month'!Q467)+('7. Pure Influence'!N55)+('8. Pure Research - 1 of 2'!S40))</f>
        <v/>
      </c>
      <c r="T114" s="396">
        <f>(('3B. Tel. - Rev. Detail x Month'!R467)+('7. Pure Influence'!O55)+('8. Pure Research - 1 of 2'!S40))</f>
        <v/>
      </c>
      <c r="U114" s="396">
        <f>(('3B. Tel. - Rev. Detail x Month'!S467)+('7. Pure Influence'!P55)+('8. Pure Research - 1 of 2'!S40))</f>
        <v/>
      </c>
      <c r="V114" s="396">
        <f>(('3B. Tel. - Rev. Detail x Month'!T467)+('7. Pure Influence'!Q55)+('8. Pure Research - 1 of 2'!S40))</f>
        <v/>
      </c>
      <c r="W114" s="396">
        <f>(('3B. Tel. - Rev. Detail x Month'!U467)+('7. Pure Influence'!R55)+('8. Pure Research - 1 of 2'!S40))</f>
        <v/>
      </c>
      <c r="X114" s="462" t="n"/>
      <c r="Y114" s="396">
        <f>((L114)+(M114)+(N114)+(O114)+(P114)+(Q114)+(R114)+(S114)+(T114)+(U114)+(V114)+(W114))</f>
        <v/>
      </c>
      <c r="Z114" s="462" t="n"/>
      <c r="AA114" s="462">
        <f>(('3B. Tel. - Rev. Detail x Month'!W467)+('7. Pure Influence'!T55)+('8. Pure Research - 1 of 2'!S36))</f>
        <v/>
      </c>
    </row>
    <row r="115" ht="15" customHeight="1" s="1883">
      <c r="B115" s="383" t="n"/>
      <c r="C115" s="383" t="n"/>
      <c r="D115" s="383" t="n"/>
      <c r="E115" s="383" t="n"/>
      <c r="F115" s="383" t="n"/>
      <c r="G115" s="383" t="n"/>
      <c r="H115" s="383" t="n"/>
      <c r="I115" s="383" t="n"/>
      <c r="J115" s="383" t="n"/>
      <c r="K115" s="383" t="n"/>
      <c r="L115" s="462" t="n"/>
      <c r="M115" s="462" t="n"/>
      <c r="N115" s="462" t="n"/>
      <c r="O115" s="462" t="n"/>
      <c r="P115" s="462" t="n"/>
      <c r="Q115" s="462" t="n"/>
      <c r="R115" s="462" t="n"/>
      <c r="S115" s="462" t="n"/>
      <c r="T115" s="462" t="n"/>
      <c r="U115" s="462" t="n"/>
      <c r="V115" s="462" t="n"/>
      <c r="W115" s="462" t="n"/>
      <c r="X115" s="462" t="n"/>
      <c r="Y115" s="462" t="n"/>
      <c r="Z115" s="462" t="n"/>
      <c r="AA115" s="462" t="n"/>
    </row>
    <row r="116" ht="15" customHeight="1" s="1883">
      <c r="B116" s="385" t="inlineStr">
        <is>
          <t>OPERATING EXPENSES</t>
        </is>
      </c>
      <c r="C116" s="383" t="n"/>
      <c r="D116" s="383" t="n"/>
      <c r="E116" s="383" t="n"/>
      <c r="F116" s="383" t="n"/>
      <c r="G116" s="383" t="n"/>
      <c r="H116" s="383" t="n"/>
      <c r="I116" s="383" t="n"/>
      <c r="J116" s="383" t="n"/>
      <c r="K116" s="383" t="n"/>
      <c r="L116" s="462" t="n"/>
      <c r="M116" s="462" t="n"/>
      <c r="N116" s="462" t="n"/>
      <c r="O116" s="462" t="n"/>
      <c r="P116" s="462" t="n"/>
      <c r="Q116" s="462" t="n"/>
      <c r="R116" s="462" t="n"/>
      <c r="S116" s="462" t="n"/>
      <c r="T116" s="462" t="n"/>
      <c r="U116" s="462" t="n"/>
      <c r="V116" s="462" t="n"/>
      <c r="W116" s="462" t="n"/>
      <c r="X116" s="462" t="n"/>
      <c r="Y116" s="462" t="n"/>
      <c r="Z116" s="462" t="n"/>
      <c r="AA116" s="462" t="n"/>
    </row>
    <row r="117" ht="3" customHeight="1" s="1883">
      <c r="B117" s="387" t="n"/>
      <c r="C117" s="387" t="n"/>
      <c r="D117" s="387" t="n"/>
      <c r="E117" s="387" t="n"/>
      <c r="F117" s="387" t="n"/>
      <c r="G117" s="387" t="n"/>
      <c r="H117" s="387" t="n"/>
      <c r="I117" s="387" t="n"/>
      <c r="J117" s="387" t="n"/>
      <c r="K117" s="383" t="n"/>
      <c r="L117" s="462" t="n"/>
      <c r="M117" s="462" t="n"/>
      <c r="N117" s="462" t="n"/>
      <c r="O117" s="462" t="n"/>
      <c r="P117" s="462" t="n"/>
      <c r="Q117" s="462" t="n"/>
      <c r="R117" s="462" t="n"/>
      <c r="S117" s="462" t="n"/>
      <c r="T117" s="462" t="n"/>
      <c r="U117" s="462" t="n"/>
      <c r="V117" s="462" t="n"/>
      <c r="W117" s="462" t="n"/>
      <c r="X117" s="462" t="n"/>
      <c r="Y117" s="462" t="n"/>
      <c r="Z117" s="462" t="n"/>
      <c r="AA117" s="462" t="n"/>
    </row>
    <row r="118" ht="3" customHeight="1" s="1883">
      <c r="B118" s="383" t="n"/>
      <c r="C118" s="383" t="n"/>
      <c r="D118" s="383" t="n"/>
      <c r="E118" s="383" t="n"/>
      <c r="F118" s="383" t="n"/>
      <c r="G118" s="383" t="n"/>
      <c r="H118" s="383" t="n"/>
      <c r="I118" s="383" t="n"/>
      <c r="J118" s="383" t="n"/>
      <c r="K118" s="383" t="n"/>
      <c r="L118" s="462" t="n"/>
      <c r="M118" s="462" t="n"/>
      <c r="N118" s="462" t="n"/>
      <c r="O118" s="462" t="n"/>
      <c r="P118" s="462" t="n"/>
      <c r="Q118" s="462" t="n"/>
      <c r="R118" s="462" t="n"/>
      <c r="S118" s="462" t="n"/>
      <c r="T118" s="462" t="n"/>
      <c r="U118" s="462" t="n"/>
      <c r="V118" s="462" t="n"/>
      <c r="W118" s="462" t="n"/>
      <c r="X118" s="462" t="n"/>
      <c r="Y118" s="462" t="n"/>
      <c r="Z118" s="462" t="n"/>
      <c r="AA118" s="462" t="n"/>
    </row>
    <row r="119" ht="15" customHeight="1" s="1883">
      <c r="B119" s="383" t="n"/>
      <c r="C119" s="383" t="n"/>
      <c r="D119" s="383" t="n"/>
      <c r="E119" s="383" t="n"/>
      <c r="F119" s="383" t="n"/>
      <c r="G119" s="383" t="n"/>
      <c r="H119" s="383" t="n"/>
      <c r="I119" s="383" t="n"/>
      <c r="J119" s="383" t="n"/>
      <c r="K119" s="383" t="n"/>
      <c r="L119" s="462" t="n"/>
      <c r="M119" s="462" t="n"/>
      <c r="N119" s="462" t="n"/>
      <c r="O119" s="462" t="n"/>
      <c r="P119" s="462" t="n"/>
      <c r="Q119" s="462" t="n"/>
      <c r="R119" s="462" t="n"/>
      <c r="S119" s="462" t="n"/>
      <c r="T119" s="462" t="n"/>
      <c r="U119" s="462" t="n"/>
      <c r="V119" s="462" t="n"/>
      <c r="W119" s="462" t="n"/>
      <c r="X119" s="462" t="n"/>
      <c r="Y119" s="462" t="n"/>
      <c r="Z119" s="462" t="n"/>
      <c r="AA119" s="462" t="n"/>
    </row>
    <row r="120" ht="15" customHeight="1" s="1883">
      <c r="B120" s="383" t="n"/>
      <c r="C120" s="385" t="inlineStr">
        <is>
          <t>Expense Category</t>
        </is>
      </c>
      <c r="D120" s="383" t="n"/>
      <c r="E120" s="383" t="n"/>
      <c r="F120" s="383" t="n"/>
      <c r="G120" s="383" t="n"/>
      <c r="H120" s="383" t="n"/>
      <c r="I120" s="383" t="n"/>
      <c r="J120" s="386" t="inlineStr">
        <is>
          <t>Expense Driver</t>
        </is>
      </c>
      <c r="K120" s="383" t="n"/>
      <c r="L120" s="462" t="n"/>
      <c r="M120" s="462" t="n"/>
      <c r="N120" s="462" t="n"/>
      <c r="O120" s="462" t="n"/>
      <c r="P120" s="462" t="n"/>
      <c r="Q120" s="462" t="n"/>
      <c r="R120" s="462" t="n"/>
      <c r="S120" s="462" t="n"/>
      <c r="T120" s="462" t="n"/>
      <c r="U120" s="462" t="n"/>
      <c r="V120" s="462" t="n"/>
      <c r="W120" s="462" t="n"/>
      <c r="X120" s="462" t="n"/>
      <c r="Y120" s="462" t="n"/>
      <c r="Z120" s="462" t="n"/>
      <c r="AA120" s="462" t="n"/>
    </row>
    <row r="121" ht="3" customHeight="1" s="1883">
      <c r="B121" s="383" t="n"/>
      <c r="C121" s="392" t="n"/>
      <c r="D121" s="387" t="n"/>
      <c r="E121" s="387" t="n"/>
      <c r="F121" s="387" t="n"/>
      <c r="G121" s="387" t="n"/>
      <c r="H121" s="387" t="n"/>
      <c r="I121" s="387" t="n"/>
      <c r="J121" s="387" t="n"/>
      <c r="K121" s="383" t="n"/>
      <c r="L121" s="462" t="n"/>
      <c r="M121" s="462" t="n"/>
      <c r="N121" s="462" t="n"/>
      <c r="O121" s="462" t="n"/>
      <c r="P121" s="462" t="n"/>
      <c r="Q121" s="462" t="n"/>
      <c r="R121" s="462" t="n"/>
      <c r="S121" s="462" t="n"/>
      <c r="T121" s="462" t="n"/>
      <c r="U121" s="462" t="n"/>
      <c r="V121" s="462" t="n"/>
      <c r="W121" s="462" t="n"/>
      <c r="X121" s="462" t="n"/>
      <c r="Y121" s="462" t="n"/>
      <c r="Z121" s="462" t="n"/>
      <c r="AA121" s="462" t="n"/>
    </row>
    <row r="122" ht="3" customHeight="1" s="1883">
      <c r="B122" s="383" t="n"/>
      <c r="C122" s="385" t="n"/>
      <c r="D122" s="383" t="n"/>
      <c r="E122" s="383" t="n"/>
      <c r="F122" s="383" t="n"/>
      <c r="G122" s="383" t="n"/>
      <c r="H122" s="383" t="n"/>
      <c r="I122" s="383" t="n"/>
      <c r="J122" s="383" t="n"/>
      <c r="K122" s="383" t="n"/>
      <c r="L122" s="462" t="n"/>
      <c r="M122" s="462" t="n"/>
      <c r="N122" s="462" t="n"/>
      <c r="O122" s="462" t="n"/>
      <c r="P122" s="462" t="n"/>
      <c r="Q122" s="462" t="n"/>
      <c r="R122" s="462" t="n"/>
      <c r="S122" s="462" t="n"/>
      <c r="T122" s="462" t="n"/>
      <c r="U122" s="462" t="n"/>
      <c r="V122" s="462" t="n"/>
      <c r="W122" s="462" t="n"/>
      <c r="X122" s="462" t="n"/>
      <c r="Y122" s="462" t="n"/>
      <c r="Z122" s="462" t="n"/>
      <c r="AA122" s="462" t="n"/>
    </row>
    <row r="123" ht="15" customHeight="1" s="1883">
      <c r="B123" s="383" t="n"/>
      <c r="C123" s="383" t="n"/>
      <c r="D123" s="383" t="n"/>
      <c r="E123" s="383" t="n"/>
      <c r="F123" s="383" t="n"/>
      <c r="G123" s="383" t="n"/>
      <c r="H123" s="383" t="n"/>
      <c r="I123" s="383" t="n"/>
      <c r="J123" s="383" t="n"/>
      <c r="K123" s="383" t="n"/>
      <c r="L123" s="462" t="n"/>
      <c r="M123" s="462" t="n"/>
      <c r="N123" s="462" t="n"/>
      <c r="O123" s="462" t="n"/>
      <c r="P123" s="462" t="n"/>
      <c r="Q123" s="462" t="n"/>
      <c r="R123" s="462" t="n"/>
      <c r="S123" s="462" t="n"/>
      <c r="T123" s="462" t="n"/>
      <c r="U123" s="462" t="n"/>
      <c r="V123" s="462" t="n"/>
      <c r="W123" s="462" t="n"/>
      <c r="X123" s="462" t="n"/>
      <c r="Y123" s="462" t="n"/>
      <c r="Z123" s="462" t="n"/>
      <c r="AA123" s="462" t="n"/>
    </row>
    <row r="124" ht="15" customHeight="1" s="1883">
      <c r="B124" s="383" t="n"/>
      <c r="C124" s="385" t="inlineStr">
        <is>
          <t>People Cost</t>
        </is>
      </c>
      <c r="D124" s="383" t="n"/>
      <c r="E124" s="383" t="n"/>
      <c r="F124" s="383" t="n"/>
      <c r="G124" s="383" t="n"/>
      <c r="H124" s="383" t="n"/>
      <c r="I124" s="383" t="n"/>
      <c r="J124" s="383" t="n"/>
      <c r="K124" s="383" t="n"/>
      <c r="L124" s="462" t="n"/>
      <c r="M124" s="462" t="n"/>
      <c r="N124" s="462" t="n"/>
      <c r="O124" s="462" t="n"/>
      <c r="P124" s="462" t="n"/>
      <c r="Q124" s="462" t="n"/>
      <c r="R124" s="462" t="n"/>
      <c r="S124" s="462" t="n"/>
      <c r="T124" s="462" t="n"/>
      <c r="U124" s="462" t="n"/>
      <c r="V124" s="462" t="n"/>
      <c r="W124" s="462" t="n"/>
      <c r="X124" s="462" t="n"/>
      <c r="Y124" s="462" t="n"/>
      <c r="Z124" s="462" t="n"/>
      <c r="AA124" s="462" t="n"/>
    </row>
    <row r="125" ht="3" customHeight="1" s="1883">
      <c r="B125" s="383" t="n"/>
      <c r="C125" s="387" t="n"/>
      <c r="D125" s="387" t="n"/>
      <c r="E125" s="387" t="n"/>
      <c r="F125" s="387" t="n"/>
      <c r="G125" s="387" t="n"/>
      <c r="H125" s="387" t="n"/>
      <c r="I125" s="387" t="n"/>
      <c r="J125" s="1910" t="n"/>
      <c r="K125" s="383" t="n"/>
      <c r="L125" s="462" t="n"/>
      <c r="M125" s="462" t="n"/>
      <c r="N125" s="462" t="n"/>
      <c r="O125" s="462" t="n"/>
      <c r="P125" s="462" t="n"/>
      <c r="Q125" s="462" t="n"/>
      <c r="R125" s="462" t="n"/>
      <c r="S125" s="462" t="n"/>
      <c r="T125" s="462" t="n"/>
      <c r="U125" s="462" t="n"/>
      <c r="V125" s="462" t="n"/>
      <c r="W125" s="462" t="n"/>
      <c r="X125" s="462" t="n"/>
      <c r="Y125" s="462" t="n"/>
      <c r="Z125" s="462" t="n"/>
      <c r="AA125" s="462" t="n"/>
    </row>
    <row r="126" ht="3" customHeight="1" s="1883">
      <c r="B126" s="383" t="n"/>
      <c r="C126" s="383" t="n"/>
      <c r="D126" s="383" t="n"/>
      <c r="E126" s="383" t="n"/>
      <c r="F126" s="383" t="n"/>
      <c r="G126" s="383" t="n"/>
      <c r="H126" s="383" t="n"/>
      <c r="I126" s="383" t="n"/>
      <c r="J126" s="383" t="n"/>
      <c r="K126" s="383" t="n"/>
      <c r="L126" s="462" t="n"/>
      <c r="M126" s="462" t="n"/>
      <c r="N126" s="462" t="n"/>
      <c r="O126" s="462" t="n"/>
      <c r="P126" s="462" t="n"/>
      <c r="Q126" s="462" t="n"/>
      <c r="R126" s="462" t="n"/>
      <c r="S126" s="462" t="n"/>
      <c r="T126" s="462" t="n"/>
      <c r="U126" s="462" t="n"/>
      <c r="V126" s="462" t="n"/>
      <c r="W126" s="462" t="n"/>
      <c r="X126" s="462" t="n"/>
      <c r="Y126" s="462" t="n"/>
      <c r="Z126" s="462" t="n"/>
      <c r="AA126" s="462" t="n"/>
    </row>
    <row r="127" ht="15" customHeight="1" s="1883">
      <c r="B127" s="383" t="n"/>
      <c r="C127" s="590" t="inlineStr">
        <is>
          <t>●</t>
        </is>
      </c>
      <c r="D127" s="583" t="inlineStr">
        <is>
          <t>Total Headcount</t>
        </is>
      </c>
      <c r="E127" s="383" t="n"/>
      <c r="F127" s="383" t="n"/>
      <c r="G127" s="383" t="n"/>
      <c r="H127" s="383" t="n"/>
      <c r="I127" s="383" t="n"/>
      <c r="J127" s="383" t="n"/>
      <c r="K127" s="383" t="n"/>
      <c r="L127" s="584">
        <f>'5A. People Cost Roll-Up'!BA19</f>
        <v/>
      </c>
      <c r="M127" s="584">
        <f>'5A. People Cost Roll-Up'!BB19</f>
        <v/>
      </c>
      <c r="N127" s="584">
        <f>'5A. People Cost Roll-Up'!BC19</f>
        <v/>
      </c>
      <c r="O127" s="584">
        <f>'5A. People Cost Roll-Up'!BD19</f>
        <v/>
      </c>
      <c r="P127" s="584">
        <f>'5A. People Cost Roll-Up'!BE19</f>
        <v/>
      </c>
      <c r="Q127" s="584">
        <f>'5A. People Cost Roll-Up'!BF19</f>
        <v/>
      </c>
      <c r="R127" s="584">
        <f>'5A. People Cost Roll-Up'!BG19</f>
        <v/>
      </c>
      <c r="S127" s="584">
        <f>'5A. People Cost Roll-Up'!BH19</f>
        <v/>
      </c>
      <c r="T127" s="584">
        <f>'5A. People Cost Roll-Up'!BI19</f>
        <v/>
      </c>
      <c r="U127" s="584">
        <f>'5A. People Cost Roll-Up'!BJ19</f>
        <v/>
      </c>
      <c r="V127" s="584">
        <f>'5A. People Cost Roll-Up'!BK19</f>
        <v/>
      </c>
      <c r="W127" s="584">
        <f>'5A. People Cost Roll-Up'!BL19</f>
        <v/>
      </c>
      <c r="X127" s="462" t="n"/>
      <c r="Y127" s="584">
        <f>AVERAGE(L127:W127)</f>
        <v/>
      </c>
      <c r="Z127" s="462" t="n"/>
      <c r="AA127" s="462" t="n"/>
    </row>
    <row r="128" ht="15" customHeight="1" s="1883">
      <c r="B128" s="383" t="n"/>
      <c r="C128" s="390" t="inlineStr">
        <is>
          <t>●</t>
        </is>
      </c>
      <c r="D128" s="383" t="inlineStr">
        <is>
          <t>Employee Payroll</t>
        </is>
      </c>
      <c r="E128" s="383" t="n"/>
      <c r="F128" s="383" t="n"/>
      <c r="G128" s="383" t="n"/>
      <c r="H128" s="383" t="n"/>
      <c r="I128" s="383" t="n"/>
      <c r="J128" s="383" t="n"/>
      <c r="K128" s="383" t="n"/>
      <c r="L128" s="395">
        <f>'5A. People Cost Roll-Up'!BA47</f>
        <v/>
      </c>
      <c r="M128" s="395">
        <f>'5A. People Cost Roll-Up'!BB47</f>
        <v/>
      </c>
      <c r="N128" s="395">
        <f>'5A. People Cost Roll-Up'!BC47</f>
        <v/>
      </c>
      <c r="O128" s="395">
        <f>'5A. People Cost Roll-Up'!BD47</f>
        <v/>
      </c>
      <c r="P128" s="395">
        <f>'5A. People Cost Roll-Up'!BE47</f>
        <v/>
      </c>
      <c r="Q128" s="395">
        <f>'5A. People Cost Roll-Up'!BF47</f>
        <v/>
      </c>
      <c r="R128" s="395">
        <f>'5A. People Cost Roll-Up'!BG47</f>
        <v/>
      </c>
      <c r="S128" s="395">
        <f>'5A. People Cost Roll-Up'!BH47</f>
        <v/>
      </c>
      <c r="T128" s="395">
        <f>'5A. People Cost Roll-Up'!BI47</f>
        <v/>
      </c>
      <c r="U128" s="395">
        <f>'5A. People Cost Roll-Up'!BJ47</f>
        <v/>
      </c>
      <c r="V128" s="395">
        <f>'5A. People Cost Roll-Up'!BK47</f>
        <v/>
      </c>
      <c r="W128" s="395">
        <f>'5A. People Cost Roll-Up'!BL47</f>
        <v/>
      </c>
      <c r="X128" s="462" t="n"/>
      <c r="Y128" s="396">
        <f>((L128)+(M128)+(N128)+(O128)+(P128)+(Q128)+(R128)+(S128)+(T128)+(U128)+(V128)+(W128))</f>
        <v/>
      </c>
      <c r="Z128" s="462" t="n"/>
      <c r="AA128" s="462">
        <f>'5A. People Cost Roll-Up'!BM47</f>
        <v/>
      </c>
    </row>
    <row r="129" ht="15" customHeight="1" s="1883">
      <c r="C129" s="390" t="inlineStr">
        <is>
          <t>●</t>
        </is>
      </c>
      <c r="D129" s="383" t="inlineStr">
        <is>
          <t>Employer Payroll Taxes</t>
        </is>
      </c>
      <c r="E129" s="383" t="n"/>
      <c r="F129" s="383" t="n"/>
      <c r="G129" s="383" t="n"/>
      <c r="H129" s="383" t="n"/>
      <c r="I129" s="383" t="n"/>
      <c r="J129" s="383" t="n"/>
      <c r="K129" s="383" t="n"/>
      <c r="L129" s="462">
        <f>'5A. People Cost Roll-Up'!BA66</f>
        <v/>
      </c>
      <c r="M129" s="462">
        <f>'5A. People Cost Roll-Up'!BB66</f>
        <v/>
      </c>
      <c r="N129" s="462">
        <f>'5A. People Cost Roll-Up'!BC66</f>
        <v/>
      </c>
      <c r="O129" s="462">
        <f>'5A. People Cost Roll-Up'!BD66</f>
        <v/>
      </c>
      <c r="P129" s="462">
        <f>'5A. People Cost Roll-Up'!BE66</f>
        <v/>
      </c>
      <c r="Q129" s="462">
        <f>'5A. People Cost Roll-Up'!BF66</f>
        <v/>
      </c>
      <c r="R129" s="462">
        <f>'5A. People Cost Roll-Up'!BG66</f>
        <v/>
      </c>
      <c r="S129" s="462">
        <f>'5A. People Cost Roll-Up'!BH66</f>
        <v/>
      </c>
      <c r="T129" s="462">
        <f>'5A. People Cost Roll-Up'!BI66</f>
        <v/>
      </c>
      <c r="U129" s="462">
        <f>'5A. People Cost Roll-Up'!BJ66</f>
        <v/>
      </c>
      <c r="V129" s="462">
        <f>'5A. People Cost Roll-Up'!BK66</f>
        <v/>
      </c>
      <c r="W129" s="462">
        <f>'5A. People Cost Roll-Up'!BL66</f>
        <v/>
      </c>
      <c r="X129" s="462" t="n"/>
      <c r="Y129" s="494">
        <f>((L129)+(M129)+(N129)+(O129)+(P129)+(Q129)+(R129)+(S129)+(T129)+(U129)+(V129)+(W129))</f>
        <v/>
      </c>
      <c r="Z129" s="462" t="n"/>
      <c r="AA129" s="462">
        <f>'5A. People Cost Roll-Up'!BM66</f>
        <v/>
      </c>
    </row>
    <row r="130" ht="15" customHeight="1" s="1883">
      <c r="C130" s="390" t="inlineStr">
        <is>
          <t>●</t>
        </is>
      </c>
      <c r="D130" s="383" t="inlineStr">
        <is>
          <t>Employee Benefits</t>
        </is>
      </c>
      <c r="E130" s="383" t="n"/>
      <c r="F130" s="383" t="n"/>
      <c r="G130" s="383" t="n"/>
      <c r="H130" s="383" t="n"/>
      <c r="I130" s="383" t="n"/>
      <c r="J130" s="383" t="n"/>
      <c r="K130" s="383" t="n"/>
      <c r="L130" s="462">
        <f>'5A. People Cost Roll-Up'!BA88</f>
        <v/>
      </c>
      <c r="M130" s="462">
        <f>'5A. People Cost Roll-Up'!BB88</f>
        <v/>
      </c>
      <c r="N130" s="462">
        <f>'5A. People Cost Roll-Up'!BC88</f>
        <v/>
      </c>
      <c r="O130" s="462">
        <f>'5A. People Cost Roll-Up'!BD88</f>
        <v/>
      </c>
      <c r="P130" s="462">
        <f>'5A. People Cost Roll-Up'!BE88</f>
        <v/>
      </c>
      <c r="Q130" s="462">
        <f>'5A. People Cost Roll-Up'!BF88</f>
        <v/>
      </c>
      <c r="R130" s="462">
        <f>'5A. People Cost Roll-Up'!BG88</f>
        <v/>
      </c>
      <c r="S130" s="462">
        <f>'5A. People Cost Roll-Up'!BH88</f>
        <v/>
      </c>
      <c r="T130" s="462">
        <f>'5A. People Cost Roll-Up'!BI88</f>
        <v/>
      </c>
      <c r="U130" s="462">
        <f>'5A. People Cost Roll-Up'!BJ88</f>
        <v/>
      </c>
      <c r="V130" s="462">
        <f>'5A. People Cost Roll-Up'!BK88</f>
        <v/>
      </c>
      <c r="W130" s="462">
        <f>'5A. People Cost Roll-Up'!BL88</f>
        <v/>
      </c>
      <c r="X130" s="462" t="n"/>
      <c r="Y130" s="494">
        <f>((L130)+(M130)+(N130)+(O130)+(P130)+(Q130)+(R130)+(S130)+(T130)+(U130)+(V130)+(W130))</f>
        <v/>
      </c>
      <c r="Z130" s="462" t="n"/>
      <c r="AA130" s="462">
        <f>'5A. People Cost Roll-Up'!BM88</f>
        <v/>
      </c>
    </row>
    <row r="131" ht="3" customHeight="1" s="1883">
      <c r="C131" s="383" t="n"/>
      <c r="D131" s="383" t="n"/>
      <c r="E131" s="383" t="n"/>
      <c r="F131" s="383" t="n"/>
      <c r="G131" s="383" t="n"/>
      <c r="H131" s="383" t="n"/>
      <c r="I131" s="383" t="n"/>
      <c r="J131" s="383" t="n"/>
      <c r="K131" s="383" t="n"/>
      <c r="L131" s="387" t="n"/>
      <c r="M131" s="387" t="n"/>
      <c r="N131" s="387" t="n"/>
      <c r="O131" s="387" t="n"/>
      <c r="P131" s="387" t="n"/>
      <c r="Q131" s="387" t="n"/>
      <c r="R131" s="387" t="n"/>
      <c r="S131" s="387" t="n"/>
      <c r="T131" s="387" t="n"/>
      <c r="U131" s="387" t="n"/>
      <c r="V131" s="387" t="n"/>
      <c r="W131" s="387" t="n"/>
      <c r="X131" s="383" t="n"/>
      <c r="Y131" s="387" t="n"/>
      <c r="Z131" s="383" t="n"/>
      <c r="AA131" s="387" t="n"/>
    </row>
    <row r="132" ht="3" customHeight="1" s="1883">
      <c r="C132" s="383" t="n"/>
      <c r="D132" s="383" t="n"/>
      <c r="E132" s="383" t="n"/>
      <c r="F132" s="383" t="n"/>
      <c r="G132" s="383" t="n"/>
      <c r="H132" s="383" t="n"/>
      <c r="I132" s="383" t="n"/>
      <c r="J132" s="383" t="n"/>
      <c r="K132" s="383" t="n"/>
      <c r="L132" s="383" t="n"/>
      <c r="M132" s="383" t="n"/>
      <c r="N132" s="383" t="n"/>
      <c r="O132" s="383" t="n"/>
      <c r="P132" s="383" t="n"/>
      <c r="Q132" s="383" t="n"/>
      <c r="R132" s="383" t="n"/>
      <c r="S132" s="383" t="n"/>
      <c r="T132" s="383" t="n"/>
      <c r="U132" s="383" t="n"/>
      <c r="V132" s="383" t="n"/>
      <c r="W132" s="383" t="n"/>
      <c r="X132" s="383" t="n"/>
      <c r="Y132" s="383" t="n"/>
      <c r="Z132" s="383" t="n"/>
      <c r="AA132" s="383" t="n"/>
    </row>
    <row r="133" ht="15" customHeight="1" s="1883">
      <c r="C133" s="383" t="n"/>
      <c r="E133" s="385" t="inlineStr">
        <is>
          <t>Total People Cost</t>
        </is>
      </c>
      <c r="F133" s="383" t="n"/>
      <c r="G133" s="383" t="n"/>
      <c r="H133" s="383" t="n"/>
      <c r="I133" s="383" t="n"/>
      <c r="J133" s="383" t="n"/>
      <c r="K133" s="383" t="n"/>
      <c r="L133" s="396">
        <f>SUM(L128:L130)</f>
        <v/>
      </c>
      <c r="M133" s="396">
        <f>SUM(M128:M130)</f>
        <v/>
      </c>
      <c r="N133" s="396">
        <f>SUM(N128:N130)</f>
        <v/>
      </c>
      <c r="O133" s="396">
        <f>SUM(O128:O130)</f>
        <v/>
      </c>
      <c r="P133" s="396">
        <f>SUM(P128:P130)</f>
        <v/>
      </c>
      <c r="Q133" s="396">
        <f>SUM(Q128:Q130)</f>
        <v/>
      </c>
      <c r="R133" s="396">
        <f>SUM(R128:R130)</f>
        <v/>
      </c>
      <c r="S133" s="396">
        <f>SUM(S128:S130)</f>
        <v/>
      </c>
      <c r="T133" s="396">
        <f>SUM(T128:T130)</f>
        <v/>
      </c>
      <c r="U133" s="396">
        <f>SUM(U128:U130)</f>
        <v/>
      </c>
      <c r="V133" s="396">
        <f>SUM(V128:V130)</f>
        <v/>
      </c>
      <c r="W133" s="396">
        <f>SUM(W128:W130)</f>
        <v/>
      </c>
      <c r="X133" s="396">
        <f>SUM(X128:X130)</f>
        <v/>
      </c>
      <c r="Y133" s="396">
        <f>SUM(Y128:Y130)</f>
        <v/>
      </c>
      <c r="Z133" s="396" t="n"/>
      <c r="AA133" s="396">
        <f>SUM(AA128:AA130)</f>
        <v/>
      </c>
    </row>
    <row r="134" ht="3" customHeight="1" s="1883">
      <c r="C134" s="383" t="n"/>
      <c r="D134" s="383" t="n"/>
      <c r="E134" s="383" t="n"/>
      <c r="F134" s="383" t="n"/>
      <c r="G134" s="383" t="n"/>
      <c r="H134" s="383" t="n"/>
      <c r="I134" s="383" t="n"/>
      <c r="J134" s="383" t="n"/>
      <c r="K134" s="383" t="n"/>
      <c r="L134" s="387" t="n"/>
      <c r="M134" s="387" t="n"/>
      <c r="N134" s="387" t="n"/>
      <c r="O134" s="387" t="n"/>
      <c r="P134" s="387" t="n"/>
      <c r="Q134" s="387" t="n"/>
      <c r="R134" s="387" t="n"/>
      <c r="S134" s="387" t="n"/>
      <c r="T134" s="387" t="n"/>
      <c r="U134" s="387" t="n"/>
      <c r="V134" s="387" t="n"/>
      <c r="W134" s="387" t="n"/>
      <c r="X134" s="383" t="n"/>
      <c r="Y134" s="387" t="n"/>
      <c r="Z134" s="383" t="n"/>
      <c r="AA134" s="387" t="n"/>
    </row>
    <row r="135" ht="3" customHeight="1" s="1883">
      <c r="C135" s="383" t="n"/>
      <c r="D135" s="383" t="n"/>
      <c r="E135" s="383" t="n"/>
      <c r="F135" s="383" t="n"/>
      <c r="G135" s="383" t="n"/>
      <c r="H135" s="383" t="n"/>
      <c r="I135" s="383" t="n"/>
      <c r="J135" s="383" t="n"/>
      <c r="K135" s="383" t="n"/>
      <c r="L135" s="383" t="n"/>
      <c r="M135" s="383" t="n"/>
      <c r="N135" s="383" t="n"/>
      <c r="O135" s="383" t="n"/>
      <c r="P135" s="383" t="n"/>
      <c r="Q135" s="383" t="n"/>
      <c r="R135" s="383" t="n"/>
      <c r="S135" s="383" t="n"/>
      <c r="T135" s="383" t="n"/>
      <c r="U135" s="383" t="n"/>
      <c r="V135" s="383" t="n"/>
      <c r="W135" s="383" t="n"/>
      <c r="X135" s="383" t="n"/>
      <c r="Y135" s="383" t="n"/>
      <c r="Z135" s="383" t="n"/>
      <c r="AA135" s="383" t="n"/>
    </row>
    <row r="136" ht="15" customHeight="1" s="1883">
      <c r="C136" s="383" t="n"/>
      <c r="D136" s="383" t="n"/>
      <c r="E136" s="383" t="n"/>
      <c r="F136" s="383" t="n"/>
      <c r="G136" s="383" t="n"/>
      <c r="H136" s="383" t="n"/>
      <c r="I136" s="383" t="n"/>
      <c r="J136" s="383" t="n"/>
      <c r="K136" s="383" t="n"/>
      <c r="L136" s="462" t="n"/>
      <c r="M136" s="462" t="n"/>
      <c r="N136" s="462" t="n"/>
      <c r="O136" s="462" t="n"/>
      <c r="P136" s="462" t="n"/>
      <c r="Q136" s="462" t="n"/>
      <c r="R136" s="462" t="n"/>
      <c r="S136" s="462" t="n"/>
      <c r="T136" s="462" t="n"/>
      <c r="U136" s="462" t="n"/>
      <c r="V136" s="462" t="n"/>
      <c r="W136" s="462" t="n"/>
      <c r="X136" s="462" t="n"/>
      <c r="Y136" s="462" t="n"/>
      <c r="Z136" s="462" t="n"/>
      <c r="AA136" s="462" t="n"/>
    </row>
    <row r="137" ht="15" customHeight="1" s="1883">
      <c r="C137" s="385" t="inlineStr">
        <is>
          <t>Research and Development</t>
        </is>
      </c>
      <c r="D137" s="383" t="n"/>
      <c r="E137" s="383" t="n"/>
      <c r="F137" s="383" t="n"/>
      <c r="G137" s="383" t="n"/>
      <c r="H137" s="383" t="n"/>
      <c r="I137" s="383" t="n"/>
      <c r="J137" s="592" t="inlineStr">
        <is>
          <t>15% of Realized Revenue from Market Research Svs.</t>
        </is>
      </c>
      <c r="K137" s="383" t="n"/>
      <c r="L137" s="396">
        <f>(('3B. Tel. - Rev. Detail x Month'!J328)*(0.15))</f>
        <v/>
      </c>
      <c r="M137" s="396">
        <f>(('3B. Tel. - Rev. Detail x Month'!K328)*(0.15))</f>
        <v/>
      </c>
      <c r="N137" s="396">
        <f>(('3B. Tel. - Rev. Detail x Month'!L328)*(0.15))</f>
        <v/>
      </c>
      <c r="O137" s="396">
        <f>(('3B. Tel. - Rev. Detail x Month'!M328)*(0.15))</f>
        <v/>
      </c>
      <c r="P137" s="396">
        <f>(('3B. Tel. - Rev. Detail x Month'!N328)*(0.15))</f>
        <v/>
      </c>
      <c r="Q137" s="396">
        <f>(('3B. Tel. - Rev. Detail x Month'!O328)*(0.15))</f>
        <v/>
      </c>
      <c r="R137" s="396">
        <f>(('3B. Tel. - Rev. Detail x Month'!P328)*(0.15))</f>
        <v/>
      </c>
      <c r="S137" s="396">
        <f>(('3B. Tel. - Rev. Detail x Month'!Q328)*(0.15))</f>
        <v/>
      </c>
      <c r="T137" s="396">
        <f>(('3B. Tel. - Rev. Detail x Month'!R328)*(0.15))</f>
        <v/>
      </c>
      <c r="U137" s="396">
        <f>(('3B. Tel. - Rev. Detail x Month'!S328)*(0.15))</f>
        <v/>
      </c>
      <c r="V137" s="396">
        <f>(('3B. Tel. - Rev. Detail x Month'!T328)*(0.15))</f>
        <v/>
      </c>
      <c r="W137" s="396">
        <f>(('3B. Tel. - Rev. Detail x Month'!U328)*(0.15))</f>
        <v/>
      </c>
      <c r="X137" s="396" t="n"/>
      <c r="Y137" s="396">
        <f>((L137)+(M137)+(N137)+(O137)+(P137)+(Q137)+(R137)+(S137)+(T137)+(U137)+(V137)+(W137))</f>
        <v/>
      </c>
      <c r="Z137" s="462" t="n"/>
      <c r="AA137" s="462">
        <f>((('3B. Tel. - Rev. Detail x Month'!W93)+('3B. Tel. - Rev. Detail x Month'!W328))*(0.15))</f>
        <v/>
      </c>
    </row>
    <row r="138" ht="15" customHeight="1" s="1883">
      <c r="C138" s="383" t="n"/>
      <c r="D138" s="383" t="n"/>
      <c r="E138" s="383" t="n"/>
      <c r="F138" s="383" t="n"/>
      <c r="G138" s="383" t="n"/>
      <c r="H138" s="383" t="n"/>
      <c r="I138" s="383" t="n"/>
      <c r="J138" s="383" t="n"/>
      <c r="K138" s="383" t="n"/>
      <c r="L138" s="462" t="n"/>
      <c r="M138" s="462" t="n"/>
      <c r="N138" s="462" t="n"/>
      <c r="O138" s="462" t="n"/>
      <c r="P138" s="462" t="n"/>
      <c r="Q138" s="462" t="n"/>
      <c r="R138" s="462" t="n"/>
      <c r="S138" s="462" t="n"/>
      <c r="T138" s="462" t="n"/>
      <c r="U138" s="462" t="n"/>
      <c r="V138" s="462" t="n"/>
      <c r="W138" s="462" t="n"/>
      <c r="X138" s="462" t="n"/>
      <c r="Y138" s="462" t="n"/>
      <c r="Z138" s="462" t="n"/>
      <c r="AA138" s="462" t="n"/>
    </row>
    <row r="139" ht="15" customHeight="1" s="1883">
      <c r="C139" s="385" t="inlineStr">
        <is>
          <t>Sales and Marketing</t>
        </is>
      </c>
      <c r="D139" s="383" t="n"/>
      <c r="E139" s="383" t="n"/>
      <c r="F139" s="383" t="n"/>
      <c r="G139" s="383" t="n"/>
      <c r="H139" s="383" t="n"/>
      <c r="I139" s="383" t="n"/>
      <c r="J139" s="383" t="n"/>
      <c r="K139" s="383" t="n"/>
      <c r="L139" s="494" t="n"/>
      <c r="M139" s="462" t="n"/>
      <c r="N139" s="462" t="n"/>
      <c r="O139" s="462" t="n"/>
      <c r="P139" s="462" t="n"/>
      <c r="Q139" s="462" t="n"/>
      <c r="R139" s="462" t="n"/>
      <c r="S139" s="462" t="n"/>
      <c r="T139" s="462" t="n"/>
      <c r="U139" s="462" t="n"/>
      <c r="V139" s="462" t="n"/>
      <c r="W139" s="462" t="n"/>
      <c r="X139" s="462" t="n"/>
      <c r="Y139" s="462" t="n"/>
      <c r="Z139" s="462" t="n"/>
      <c r="AA139" s="462" t="n"/>
    </row>
    <row r="140" ht="15" customHeight="1" s="1883">
      <c r="C140" s="590" t="inlineStr">
        <is>
          <t>●</t>
        </is>
      </c>
      <c r="D140" s="583" t="inlineStr">
        <is>
          <t>Sales and Marketing Headcount</t>
        </is>
      </c>
      <c r="E140" s="383" t="n"/>
      <c r="F140" s="383" t="n"/>
      <c r="G140" s="383" t="n"/>
      <c r="H140" s="383" t="n"/>
      <c r="I140" s="383" t="n"/>
      <c r="J140" s="383" t="n"/>
      <c r="K140" s="383" t="n"/>
      <c r="L140" s="584">
        <f>'5A. People Cost Roll-Up'!BA21</f>
        <v/>
      </c>
      <c r="M140" s="584">
        <f>'5A. People Cost Roll-Up'!BB21</f>
        <v/>
      </c>
      <c r="N140" s="584">
        <f>'5A. People Cost Roll-Up'!BC21</f>
        <v/>
      </c>
      <c r="O140" s="584">
        <f>'5A. People Cost Roll-Up'!BD21</f>
        <v/>
      </c>
      <c r="P140" s="584">
        <f>'5A. People Cost Roll-Up'!BE21</f>
        <v/>
      </c>
      <c r="Q140" s="584">
        <f>'4B. Tel. Expense Assumptions'!X21</f>
        <v/>
      </c>
      <c r="R140" s="584">
        <f>'5A. People Cost Roll-Up'!BG21</f>
        <v/>
      </c>
      <c r="S140" s="584">
        <f>'5A. People Cost Roll-Up'!BH21</f>
        <v/>
      </c>
      <c r="T140" s="584">
        <f>'5A. People Cost Roll-Up'!BI21</f>
        <v/>
      </c>
      <c r="U140" s="584">
        <f>'5A. People Cost Roll-Up'!BJ21</f>
        <v/>
      </c>
      <c r="V140" s="584">
        <f>'5A. People Cost Roll-Up'!BK21</f>
        <v/>
      </c>
      <c r="W140" s="584">
        <f>'5A. People Cost Roll-Up'!BL21</f>
        <v/>
      </c>
      <c r="X140" s="547" t="n"/>
      <c r="Y140" s="584">
        <f>AVERAGE(L140:W140)</f>
        <v/>
      </c>
      <c r="Z140" s="462" t="n"/>
      <c r="AA140" s="462" t="n"/>
    </row>
    <row r="141" ht="15" customHeight="1" s="1883">
      <c r="C141" s="390" t="inlineStr">
        <is>
          <t>●</t>
        </is>
      </c>
      <c r="D141" s="383" t="inlineStr">
        <is>
          <t>Advertising and Marketing</t>
        </is>
      </c>
      <c r="E141" s="383" t="n"/>
      <c r="F141" s="383" t="n"/>
      <c r="G141" s="383" t="n"/>
      <c r="H141" s="383" t="n"/>
      <c r="I141" s="383" t="n"/>
      <c r="J141" s="592" t="inlineStr">
        <is>
          <t>12.00% of Gross Revenue</t>
        </is>
      </c>
      <c r="K141" s="383" t="n"/>
      <c r="L141" s="395">
        <f>((('3B. Tel. - Rev. Detail x Month'!J93)+('3B. Tel. - Rev. Detail x Month'!J328))*(0.12))</f>
        <v/>
      </c>
      <c r="M141" s="395">
        <f>((('3B. Tel. - Rev. Detail x Month'!K93)+('3B. Tel. - Rev. Detail x Month'!K328))*(0.12))</f>
        <v/>
      </c>
      <c r="N141" s="395">
        <f>((('3B. Tel. - Rev. Detail x Month'!L93)+('3B. Tel. - Rev. Detail x Month'!L328))*(0.12))</f>
        <v/>
      </c>
      <c r="O141" s="395">
        <f>((('3B. Tel. - Rev. Detail x Month'!M93)+('3B. Tel. - Rev. Detail x Month'!M328))*(0.12))</f>
        <v/>
      </c>
      <c r="P141" s="395">
        <f>((('3B. Tel. - Rev. Detail x Month'!N93)+('3B. Tel. - Rev. Detail x Month'!N328))*(0.12))</f>
        <v/>
      </c>
      <c r="Q141" s="395">
        <f>((('3B. Tel. - Rev. Detail x Month'!O93)+('3B. Tel. - Rev. Detail x Month'!O328))*(0.12))</f>
        <v/>
      </c>
      <c r="R141" s="395">
        <f>((('3B. Tel. - Rev. Detail x Month'!P93)+('3B. Tel. - Rev. Detail x Month'!P328))*(0.12))</f>
        <v/>
      </c>
      <c r="S141" s="395">
        <f>((('3B. Tel. - Rev. Detail x Month'!Q93)+('3B. Tel. - Rev. Detail x Month'!Q328))*(0.12))</f>
        <v/>
      </c>
      <c r="T141" s="395">
        <f>((('3B. Tel. - Rev. Detail x Month'!R93)+('3B. Tel. - Rev. Detail x Month'!R328))*(0.12))</f>
        <v/>
      </c>
      <c r="U141" s="395">
        <f>((('3B. Tel. - Rev. Detail x Month'!S93)+('3B. Tel. - Rev. Detail x Month'!S328))*(0.12))</f>
        <v/>
      </c>
      <c r="V141" s="395">
        <f>((('3B. Tel. - Rev. Detail x Month'!T93)+('3B. Tel. - Rev. Detail x Month'!T328))*(0.12))</f>
        <v/>
      </c>
      <c r="W141" s="395">
        <f>((('3B. Tel. - Rev. Detail x Month'!U93)+('3B. Tel. - Rev. Detail x Month'!U328))*(0.12))</f>
        <v/>
      </c>
      <c r="X141" s="395" t="n"/>
      <c r="Y141" s="396">
        <f>((L141)+(M141)+(N141)+(O141)+(P141)+(Q141)+(R141)+(S141)+(T141)+(U141)+(V141)+(W141))</f>
        <v/>
      </c>
      <c r="Z141" s="462" t="n"/>
      <c r="AA141" s="462">
        <f>((('3B. Tel. - Rev. Detail x Month'!W93)+('3B. Tel. - Rev. Detail x Month'!W328))*(0.12))</f>
        <v/>
      </c>
    </row>
    <row r="142" ht="15" customHeight="1" s="1883">
      <c r="C142" s="390" t="inlineStr">
        <is>
          <t>●</t>
        </is>
      </c>
      <c r="D142" s="383" t="inlineStr">
        <is>
          <t>Travel</t>
        </is>
      </c>
      <c r="E142" s="383" t="n"/>
      <c r="F142" s="383" t="n"/>
      <c r="G142" s="383" t="n"/>
      <c r="H142" s="383" t="n"/>
      <c r="I142" s="383" t="n"/>
      <c r="J142" s="384" t="inlineStr">
        <is>
          <t>11% increase vs. Year 1</t>
        </is>
      </c>
      <c r="K142" s="383" t="n"/>
      <c r="L142" s="462">
        <f>'4B. Tel. Expense Assumptions'!S48</f>
        <v/>
      </c>
      <c r="M142" s="462">
        <f>'4B. Tel. Expense Assumptions'!T48</f>
        <v/>
      </c>
      <c r="N142" s="462">
        <f>'4B. Tel. Expense Assumptions'!U48</f>
        <v/>
      </c>
      <c r="O142" s="462">
        <f>'4B. Tel. Expense Assumptions'!V48</f>
        <v/>
      </c>
      <c r="P142" s="462">
        <f>'4B. Tel. Expense Assumptions'!W48</f>
        <v/>
      </c>
      <c r="Q142" s="462">
        <f>'4B. Tel. Expense Assumptions'!X48</f>
        <v/>
      </c>
      <c r="R142" s="462">
        <f>'4B. Tel. Expense Assumptions'!Y48</f>
        <v/>
      </c>
      <c r="S142" s="462">
        <f>'4B. Tel. Expense Assumptions'!Z48</f>
        <v/>
      </c>
      <c r="T142" s="462">
        <f>'4B. Tel. Expense Assumptions'!AA48</f>
        <v/>
      </c>
      <c r="U142" s="462">
        <f>'4B. Tel. Expense Assumptions'!AB48</f>
        <v/>
      </c>
      <c r="V142" s="462">
        <f>'4B. Tel. Expense Assumptions'!AC48</f>
        <v/>
      </c>
      <c r="W142" s="462">
        <f>'4B. Tel. Expense Assumptions'!AD48</f>
        <v/>
      </c>
      <c r="X142" s="462" t="n"/>
      <c r="Y142" s="494">
        <f>((L142)+(M142)+(N142)+(O142)+(P142)+(Q142)+(R142)+(S142)+(T142)+(U142)+(V142)+(W142))</f>
        <v/>
      </c>
      <c r="Z142" s="462" t="n"/>
      <c r="AA142" s="462">
        <f>SUM('4B. Tel. Expense Assumptions'!S48:AD48)</f>
        <v/>
      </c>
    </row>
    <row r="143" ht="15" customHeight="1" s="1883">
      <c r="C143" s="390" t="inlineStr">
        <is>
          <t>●</t>
        </is>
      </c>
      <c r="D143" s="383" t="inlineStr">
        <is>
          <t>Telephone</t>
        </is>
      </c>
      <c r="E143" s="383" t="n"/>
      <c r="F143" s="383" t="n"/>
      <c r="G143" s="383" t="n"/>
      <c r="H143" s="383" t="n"/>
      <c r="I143" s="383" t="n"/>
      <c r="J143" s="384" t="inlineStr">
        <is>
          <t>$150/employee/month</t>
        </is>
      </c>
      <c r="K143" s="383" t="n"/>
      <c r="L143" s="462">
        <f>((150)*(L140))</f>
        <v/>
      </c>
      <c r="M143" s="462">
        <f>((150)*(M140))</f>
        <v/>
      </c>
      <c r="N143" s="462">
        <f>((150)*(N140))</f>
        <v/>
      </c>
      <c r="O143" s="462">
        <f>((150)*(O140))</f>
        <v/>
      </c>
      <c r="P143" s="462">
        <f>((150)*(P140))</f>
        <v/>
      </c>
      <c r="Q143" s="462">
        <f>((150)*(Q140))</f>
        <v/>
      </c>
      <c r="R143" s="462">
        <f>((150)*(R140))</f>
        <v/>
      </c>
      <c r="S143" s="462">
        <f>((150)*(S140))</f>
        <v/>
      </c>
      <c r="T143" s="462">
        <f>((150)*(T140))</f>
        <v/>
      </c>
      <c r="U143" s="462">
        <f>((150)*(U140))</f>
        <v/>
      </c>
      <c r="V143" s="462">
        <f>((150)*(V140))</f>
        <v/>
      </c>
      <c r="W143" s="462">
        <f>((150)*(W140))</f>
        <v/>
      </c>
      <c r="X143" s="462" t="n"/>
      <c r="Y143" s="494">
        <f>((L143)+(M143)+(N143)+(O143)+(P143)+(Q143)+(R143)+(S143)+(T143)+(U143)+(V143)+(W143))</f>
        <v/>
      </c>
      <c r="Z143" s="462" t="n"/>
      <c r="AA143" s="462">
        <f>SUM('4B. Tel. Expense Assumptions'!S29:AD29)</f>
        <v/>
      </c>
    </row>
    <row r="146" ht="15" customHeight="1" s="1883">
      <c r="C146" s="390" t="n"/>
      <c r="D146" s="383" t="n"/>
      <c r="E146" s="385" t="inlineStr">
        <is>
          <t>Total, Sales and Marketing</t>
        </is>
      </c>
      <c r="F146" s="383" t="n"/>
      <c r="G146" s="383" t="n"/>
      <c r="H146" s="383" t="n"/>
      <c r="I146" s="383" t="n"/>
      <c r="J146" s="383" t="n"/>
      <c r="K146" s="383" t="n"/>
      <c r="L146" s="396">
        <f>SUM(L141:L143)</f>
        <v/>
      </c>
      <c r="M146" s="396">
        <f>SUM(M141:M143)</f>
        <v/>
      </c>
      <c r="N146" s="396">
        <f>SUM(N141:N143)</f>
        <v/>
      </c>
      <c r="O146" s="396">
        <f>SUM(O141:O143)</f>
        <v/>
      </c>
      <c r="P146" s="396">
        <f>SUM(P141:P143)</f>
        <v/>
      </c>
      <c r="Q146" s="396">
        <f>SUM(Q141:Q143)</f>
        <v/>
      </c>
      <c r="R146" s="396">
        <f>SUM(R141:R143)</f>
        <v/>
      </c>
      <c r="S146" s="396">
        <f>SUM(S141:S143)</f>
        <v/>
      </c>
      <c r="T146" s="396">
        <f>SUM(T141:T143)</f>
        <v/>
      </c>
      <c r="U146" s="396">
        <f>SUM(U141:U143)</f>
        <v/>
      </c>
      <c r="V146" s="396">
        <f>SUM(V141:V143)</f>
        <v/>
      </c>
      <c r="W146" s="396">
        <f>SUM(W141:W143)</f>
        <v/>
      </c>
      <c r="X146" s="462" t="n"/>
      <c r="Y146" s="396">
        <f>SUM(Y141:Y143)</f>
        <v/>
      </c>
      <c r="Z146" s="462" t="n"/>
      <c r="AA146" s="462" t="n"/>
    </row>
    <row r="147" ht="3" customHeight="1" s="1883">
      <c r="C147" s="390" t="n"/>
      <c r="D147" s="383" t="n"/>
      <c r="E147" s="383" t="n"/>
      <c r="F147" s="383" t="n"/>
      <c r="G147" s="383" t="n"/>
      <c r="H147" s="383" t="n"/>
      <c r="I147" s="383" t="n"/>
      <c r="J147" s="383" t="n"/>
      <c r="K147" s="383" t="n"/>
      <c r="L147" s="508" t="n"/>
      <c r="M147" s="508" t="n"/>
      <c r="N147" s="508" t="n"/>
      <c r="O147" s="508" t="n"/>
      <c r="P147" s="508" t="n"/>
      <c r="Q147" s="508" t="n"/>
      <c r="R147" s="508" t="n"/>
      <c r="S147" s="508" t="n"/>
      <c r="T147" s="508" t="n"/>
      <c r="U147" s="508" t="n"/>
      <c r="V147" s="508" t="n"/>
      <c r="W147" s="508" t="n"/>
      <c r="X147" s="462" t="n"/>
      <c r="Y147" s="508" t="n"/>
      <c r="Z147" s="462" t="n"/>
      <c r="AA147" s="462" t="n"/>
    </row>
    <row r="148" ht="3" customHeight="1" s="1883">
      <c r="C148" s="390" t="n"/>
      <c r="D148" s="383" t="n"/>
      <c r="E148" s="383" t="n"/>
      <c r="F148" s="383" t="n"/>
      <c r="G148" s="383" t="n"/>
      <c r="H148" s="383" t="n"/>
      <c r="I148" s="383" t="n"/>
      <c r="J148" s="383" t="n"/>
      <c r="K148" s="383" t="n"/>
      <c r="L148" s="462" t="n"/>
      <c r="M148" s="462" t="n"/>
      <c r="N148" s="462" t="n"/>
      <c r="O148" s="462" t="n"/>
      <c r="P148" s="462" t="n"/>
      <c r="Q148" s="462" t="n"/>
      <c r="R148" s="462" t="n"/>
      <c r="S148" s="462" t="n"/>
      <c r="T148" s="462" t="n"/>
      <c r="U148" s="462" t="n"/>
      <c r="V148" s="462" t="n"/>
      <c r="W148" s="462" t="n"/>
      <c r="X148" s="462" t="n"/>
      <c r="Y148" s="462" t="n"/>
      <c r="Z148" s="462" t="n"/>
      <c r="AA148" s="462" t="n"/>
    </row>
    <row r="149" ht="15" customHeight="1" s="1883">
      <c r="D149" s="383" t="n"/>
      <c r="E149" s="383" t="n"/>
      <c r="F149" s="383" t="n"/>
      <c r="G149" s="383" t="n"/>
      <c r="H149" s="383" t="n"/>
      <c r="I149" s="383" t="n"/>
      <c r="J149" s="383" t="n"/>
      <c r="K149" s="383" t="n"/>
      <c r="L149" s="462" t="n"/>
      <c r="M149" s="462" t="n"/>
      <c r="N149" s="462" t="n"/>
      <c r="O149" s="462" t="n"/>
      <c r="P149" s="462" t="n"/>
      <c r="Q149" s="462" t="n"/>
      <c r="R149" s="462" t="n"/>
      <c r="S149" s="462" t="n"/>
      <c r="T149" s="462" t="n"/>
      <c r="U149" s="462" t="n"/>
      <c r="V149" s="462" t="n"/>
      <c r="W149" s="462" t="n"/>
      <c r="X149" s="462" t="n"/>
      <c r="Y149" s="462" t="n"/>
      <c r="Z149" s="462" t="n"/>
      <c r="AA149" s="462" t="n"/>
    </row>
    <row r="150" ht="15" customHeight="1" s="1883">
      <c r="C150" s="385" t="inlineStr">
        <is>
          <t>Occupancy</t>
        </is>
      </c>
      <c r="D150" s="383" t="n"/>
      <c r="E150" s="383" t="n"/>
      <c r="F150" s="383" t="n"/>
      <c r="G150" s="383" t="n"/>
      <c r="H150" s="383" t="n"/>
      <c r="I150" s="383" t="n"/>
      <c r="J150" s="383" t="n"/>
      <c r="K150" s="383" t="n"/>
      <c r="L150" s="462" t="n"/>
      <c r="M150" s="462" t="n"/>
      <c r="N150" s="462" t="n"/>
      <c r="O150" s="462" t="n"/>
      <c r="P150" s="462" t="n"/>
      <c r="Q150" s="462" t="n"/>
      <c r="R150" s="462" t="n"/>
      <c r="S150" s="462" t="n"/>
      <c r="T150" s="462" t="n"/>
      <c r="U150" s="462" t="n"/>
      <c r="V150" s="462" t="n"/>
      <c r="W150" s="462" t="n"/>
      <c r="X150" s="462" t="n"/>
      <c r="Y150" s="462" t="n"/>
      <c r="Z150" s="462" t="n"/>
      <c r="AA150" s="462" t="n"/>
    </row>
    <row r="151" ht="15" customHeight="1" s="1883">
      <c r="C151" s="390" t="inlineStr">
        <is>
          <t>●</t>
        </is>
      </c>
      <c r="D151" s="383" t="inlineStr">
        <is>
          <t>Rent</t>
        </is>
      </c>
      <c r="E151" s="383" t="n"/>
      <c r="F151" s="383" t="n"/>
      <c r="G151" s="383" t="n"/>
      <c r="H151" s="383" t="n"/>
      <c r="I151" s="383" t="n"/>
      <c r="J151" s="383" t="n"/>
      <c r="K151" s="383" t="n"/>
      <c r="L151" s="395">
        <f>'4B. Tel. Expense Assumptions'!S12</f>
        <v/>
      </c>
      <c r="M151" s="395">
        <f>'4B. Tel. Expense Assumptions'!T12</f>
        <v/>
      </c>
      <c r="N151" s="395">
        <f>'4B. Tel. Expense Assumptions'!U12</f>
        <v/>
      </c>
      <c r="O151" s="395">
        <f>'4B. Tel. Expense Assumptions'!V12</f>
        <v/>
      </c>
      <c r="P151" s="395">
        <f>'4B. Tel. Expense Assumptions'!W12</f>
        <v/>
      </c>
      <c r="Q151" s="395">
        <f>'4B. Tel. Expense Assumptions'!X12</f>
        <v/>
      </c>
      <c r="R151" s="395">
        <f>'4B. Tel. Expense Assumptions'!Y12</f>
        <v/>
      </c>
      <c r="S151" s="395">
        <f>'4B. Tel. Expense Assumptions'!Z12</f>
        <v/>
      </c>
      <c r="T151" s="395">
        <f>'4B. Tel. Expense Assumptions'!AA12</f>
        <v/>
      </c>
      <c r="U151" s="395">
        <f>'4B. Tel. Expense Assumptions'!AB12</f>
        <v/>
      </c>
      <c r="V151" s="395">
        <f>'4B. Tel. Expense Assumptions'!AC12</f>
        <v/>
      </c>
      <c r="W151" s="395">
        <f>'4B. Tel. Expense Assumptions'!AD12</f>
        <v/>
      </c>
      <c r="X151" s="462" t="n"/>
      <c r="Y151" s="396">
        <f>((L151)+(M151)+(N151)+(O151)+(P151)+(Q151)+(R151)+(S151)+(T151)+(U151)+(V151)+(W151))</f>
        <v/>
      </c>
      <c r="Z151" s="462" t="n"/>
      <c r="AA151" s="462">
        <f>SUM('4B. Tel. Expense Assumptions'!S12:AD12)</f>
        <v/>
      </c>
    </row>
    <row r="152" ht="15" customHeight="1" s="1883">
      <c r="C152" s="390" t="inlineStr">
        <is>
          <t>●</t>
        </is>
      </c>
      <c r="D152" s="383" t="inlineStr">
        <is>
          <t>Utilities</t>
        </is>
      </c>
      <c r="E152" s="383" t="n"/>
      <c r="F152" s="383" t="n"/>
      <c r="G152" s="383" t="n"/>
      <c r="H152" s="383" t="n"/>
      <c r="I152" s="383" t="n"/>
      <c r="J152" s="383" t="n"/>
      <c r="K152" s="383" t="n"/>
      <c r="L152" s="462">
        <f>'4B. Tel. Expense Assumptions'!S17</f>
        <v/>
      </c>
      <c r="M152" s="462">
        <f>'4B. Tel. Expense Assumptions'!T17</f>
        <v/>
      </c>
      <c r="N152" s="462">
        <f>'4B. Tel. Expense Assumptions'!U17</f>
        <v/>
      </c>
      <c r="O152" s="462">
        <f>'4B. Tel. Expense Assumptions'!V17</f>
        <v/>
      </c>
      <c r="P152" s="462">
        <f>'4B. Tel. Expense Assumptions'!W17</f>
        <v/>
      </c>
      <c r="Q152" s="462">
        <f>'4B. Tel. Expense Assumptions'!X17</f>
        <v/>
      </c>
      <c r="R152" s="462">
        <f>'4B. Tel. Expense Assumptions'!Y17</f>
        <v/>
      </c>
      <c r="S152" s="462">
        <f>'4B. Tel. Expense Assumptions'!Z17</f>
        <v/>
      </c>
      <c r="T152" s="462">
        <f>'4B. Tel. Expense Assumptions'!AA17</f>
        <v/>
      </c>
      <c r="U152" s="462">
        <f>'4B. Tel. Expense Assumptions'!AB17</f>
        <v/>
      </c>
      <c r="V152" s="462">
        <f>'4B. Tel. Expense Assumptions'!AC17</f>
        <v/>
      </c>
      <c r="W152" s="462">
        <f>'4B. Tel. Expense Assumptions'!AD17</f>
        <v/>
      </c>
      <c r="X152" s="462" t="n"/>
      <c r="Y152" s="494">
        <f>((L152)+(M152)+(N152)+(O152)+(P152)+(Q152)+(R152)+(S152)+(T152)+(U152)+(V152)+(W152))</f>
        <v/>
      </c>
      <c r="Z152" s="462" t="n"/>
      <c r="AA152" s="462">
        <f>SUM('4B. Tel. Expense Assumptions'!S17:AD17)</f>
        <v/>
      </c>
    </row>
    <row r="153" ht="3" customHeight="1" s="1883">
      <c r="C153" s="390" t="n"/>
      <c r="D153" s="383" t="n"/>
      <c r="E153" s="383" t="n"/>
      <c r="F153" s="383" t="n"/>
      <c r="G153" s="383" t="n"/>
      <c r="H153" s="383" t="n"/>
      <c r="I153" s="383" t="n"/>
      <c r="J153" s="383" t="n"/>
      <c r="K153" s="383" t="n"/>
      <c r="L153" s="508" t="n"/>
      <c r="M153" s="508" t="n"/>
      <c r="N153" s="508" t="n"/>
      <c r="O153" s="508" t="n"/>
      <c r="P153" s="508" t="n"/>
      <c r="Q153" s="508" t="n"/>
      <c r="R153" s="508" t="n"/>
      <c r="S153" s="508" t="n"/>
      <c r="T153" s="508" t="n"/>
      <c r="U153" s="508" t="n"/>
      <c r="V153" s="508" t="n"/>
      <c r="W153" s="508" t="n"/>
      <c r="X153" s="462" t="n"/>
      <c r="Y153" s="508" t="n"/>
      <c r="Z153" s="462" t="n"/>
      <c r="AA153" s="462" t="n"/>
    </row>
    <row r="154" ht="3" customHeight="1" s="1883">
      <c r="C154" s="390" t="n"/>
      <c r="D154" s="383" t="n"/>
      <c r="E154" s="383" t="n"/>
      <c r="F154" s="383" t="n"/>
      <c r="G154" s="383" t="n"/>
      <c r="H154" s="383" t="n"/>
      <c r="I154" s="383" t="n"/>
      <c r="J154" s="383" t="n"/>
      <c r="K154" s="383" t="n"/>
      <c r="L154" s="462" t="n"/>
      <c r="M154" s="462" t="n"/>
      <c r="N154" s="462" t="n"/>
      <c r="O154" s="462" t="n"/>
      <c r="P154" s="462" t="n"/>
      <c r="Q154" s="462" t="n"/>
      <c r="R154" s="462" t="n"/>
      <c r="S154" s="462" t="n"/>
      <c r="T154" s="462" t="n"/>
      <c r="U154" s="462" t="n"/>
      <c r="V154" s="462" t="n"/>
      <c r="W154" s="462" t="n"/>
      <c r="X154" s="462" t="n"/>
      <c r="Y154" s="462" t="n"/>
      <c r="Z154" s="462" t="n"/>
      <c r="AA154" s="462" t="n"/>
    </row>
    <row r="155" ht="15" customHeight="1" s="1883">
      <c r="C155" s="390" t="n"/>
      <c r="D155" s="383" t="n"/>
      <c r="E155" s="385" t="inlineStr">
        <is>
          <t>Total, Occupancy</t>
        </is>
      </c>
      <c r="F155" s="383" t="n"/>
      <c r="G155" s="383" t="n"/>
      <c r="H155" s="383" t="n"/>
      <c r="I155" s="383" t="n"/>
      <c r="J155" s="383" t="n"/>
      <c r="K155" s="383" t="n"/>
      <c r="L155" s="396">
        <f>SUM(L151:L152)</f>
        <v/>
      </c>
      <c r="M155" s="396">
        <f>SUM(M151:M152)</f>
        <v/>
      </c>
      <c r="N155" s="396">
        <f>SUM(N151:N152)</f>
        <v/>
      </c>
      <c r="O155" s="396">
        <f>SUM(O151:O152)</f>
        <v/>
      </c>
      <c r="P155" s="396">
        <f>SUM(P151:P152)</f>
        <v/>
      </c>
      <c r="Q155" s="396">
        <f>SUM(Q151:Q152)</f>
        <v/>
      </c>
      <c r="R155" s="396">
        <f>SUM(R151:R152)</f>
        <v/>
      </c>
      <c r="S155" s="396">
        <f>SUM(S151:S152)</f>
        <v/>
      </c>
      <c r="T155" s="396">
        <f>SUM(T151:T152)</f>
        <v/>
      </c>
      <c r="U155" s="396">
        <f>SUM(U151:U152)</f>
        <v/>
      </c>
      <c r="V155" s="396">
        <f>SUM(V151:V152)</f>
        <v/>
      </c>
      <c r="W155" s="396">
        <f>SUM(W151:W152)</f>
        <v/>
      </c>
      <c r="X155" s="462" t="n"/>
      <c r="Y155" s="396">
        <f>SUM(Y151:Y152)</f>
        <v/>
      </c>
      <c r="Z155" s="462" t="n"/>
      <c r="AA155" s="462" t="n"/>
    </row>
    <row r="156" ht="3" customHeight="1" s="1883">
      <c r="C156" s="390" t="n"/>
      <c r="D156" s="383" t="n"/>
      <c r="E156" s="383" t="n"/>
      <c r="F156" s="383" t="n"/>
      <c r="G156" s="383" t="n"/>
      <c r="H156" s="383" t="n"/>
      <c r="I156" s="383" t="n"/>
      <c r="J156" s="383" t="n"/>
      <c r="K156" s="383" t="n"/>
      <c r="L156" s="508" t="n"/>
      <c r="M156" s="508" t="n"/>
      <c r="N156" s="508" t="n"/>
      <c r="O156" s="508" t="n"/>
      <c r="P156" s="508" t="n"/>
      <c r="Q156" s="508" t="n"/>
      <c r="R156" s="508" t="n"/>
      <c r="S156" s="508" t="n"/>
      <c r="T156" s="508" t="n"/>
      <c r="U156" s="508" t="n"/>
      <c r="V156" s="508" t="n"/>
      <c r="W156" s="508" t="n"/>
      <c r="X156" s="462" t="n"/>
      <c r="Y156" s="508" t="n"/>
      <c r="Z156" s="462" t="n"/>
      <c r="AA156" s="462" t="n"/>
    </row>
    <row r="157" ht="3" customHeight="1" s="1883">
      <c r="C157" s="385" t="n"/>
      <c r="D157" s="383" t="n"/>
      <c r="E157" s="383" t="n"/>
      <c r="F157" s="383" t="n"/>
      <c r="G157" s="383" t="n"/>
      <c r="H157" s="383" t="n"/>
      <c r="I157" s="383" t="n"/>
      <c r="J157" s="383" t="n"/>
      <c r="K157" s="383" t="n"/>
      <c r="L157" s="462" t="n"/>
      <c r="M157" s="462" t="n"/>
      <c r="N157" s="462" t="n"/>
      <c r="O157" s="462" t="n"/>
      <c r="P157" s="462" t="n"/>
      <c r="Q157" s="462" t="n"/>
      <c r="R157" s="462" t="n"/>
      <c r="S157" s="462" t="n"/>
      <c r="T157" s="462" t="n"/>
      <c r="U157" s="462" t="n"/>
      <c r="V157" s="462" t="n"/>
      <c r="W157" s="462" t="n"/>
      <c r="X157" s="462" t="n"/>
      <c r="Y157" s="462" t="n"/>
      <c r="Z157" s="462" t="n"/>
      <c r="AA157" s="462" t="n"/>
    </row>
    <row r="158" ht="15" customHeight="1" s="1883">
      <c r="C158" s="383" t="n"/>
      <c r="D158" s="383" t="n"/>
      <c r="E158" s="383" t="n"/>
      <c r="F158" s="383" t="n"/>
      <c r="G158" s="383" t="n"/>
      <c r="H158" s="383" t="n"/>
      <c r="I158" s="383" t="n"/>
      <c r="J158" s="383" t="n"/>
      <c r="K158" s="383" t="n"/>
      <c r="L158" s="462" t="n"/>
      <c r="M158" s="462" t="n"/>
      <c r="N158" s="462" t="n"/>
      <c r="O158" s="462" t="n"/>
      <c r="P158" s="462" t="n"/>
      <c r="Q158" s="462" t="n"/>
      <c r="R158" s="462" t="n"/>
      <c r="S158" s="462" t="n"/>
      <c r="T158" s="462" t="n"/>
      <c r="U158" s="462" t="n"/>
      <c r="V158" s="462" t="n"/>
      <c r="W158" s="462" t="n"/>
      <c r="X158" s="462" t="n"/>
      <c r="Y158" s="462" t="n"/>
      <c r="Z158" s="462" t="n"/>
      <c r="AA158" s="462" t="n"/>
    </row>
    <row r="159" ht="15" customHeight="1" s="1883">
      <c r="C159" s="385" t="inlineStr">
        <is>
          <t>General and Administrative</t>
        </is>
      </c>
      <c r="D159" s="383" t="n"/>
      <c r="E159" s="383" t="n"/>
      <c r="F159" s="383" t="n"/>
      <c r="G159" s="383" t="n"/>
      <c r="H159" s="383" t="n"/>
      <c r="I159" s="383" t="n"/>
      <c r="J159" s="383" t="n"/>
      <c r="K159" s="383" t="n"/>
      <c r="L159" s="462" t="n"/>
      <c r="M159" s="462" t="n"/>
      <c r="N159" s="462" t="n"/>
      <c r="O159" s="462" t="n"/>
      <c r="P159" s="462" t="n"/>
      <c r="Q159" s="462" t="n"/>
      <c r="R159" s="462" t="n"/>
      <c r="S159" s="462" t="n"/>
      <c r="T159" s="462" t="n"/>
      <c r="U159" s="462" t="n"/>
      <c r="V159" s="462" t="n"/>
      <c r="W159" s="462" t="n"/>
      <c r="X159" s="462" t="n"/>
      <c r="Y159" s="462" t="n"/>
      <c r="Z159" s="462" t="n"/>
      <c r="AA159" s="462" t="n"/>
    </row>
    <row r="160" ht="15" customHeight="1" s="1883">
      <c r="C160" s="390" t="inlineStr">
        <is>
          <t>●</t>
        </is>
      </c>
      <c r="D160" s="383" t="inlineStr">
        <is>
          <t>Insurance - Product Liability</t>
        </is>
      </c>
      <c r="E160" s="383" t="n"/>
      <c r="F160" s="383" t="n"/>
      <c r="G160" s="383" t="n"/>
      <c r="H160" s="383" t="n"/>
      <c r="I160" s="383" t="n"/>
      <c r="J160" s="384" t="inlineStr">
        <is>
          <t>0.5% of ∑ Gross Revenue</t>
        </is>
      </c>
      <c r="K160" s="383" t="n"/>
      <c r="L160" s="395">
        <f>((('3B. Tel. - Rev. Detail x Month'!J93)+('3B. Tel. - Rev. Detail x Month'!J328))*(0.005))</f>
        <v/>
      </c>
      <c r="M160" s="395">
        <f>((('3B. Tel. - Rev. Detail x Month'!K93)+('3B. Tel. - Rev. Detail x Month'!K328))*(0.005))</f>
        <v/>
      </c>
      <c r="N160" s="395">
        <f>((('3B. Tel. - Rev. Detail x Month'!L93)+('3B. Tel. - Rev. Detail x Month'!L328))*(0.005))</f>
        <v/>
      </c>
      <c r="O160" s="395">
        <f>((('3B. Tel. - Rev. Detail x Month'!M93)+('3B. Tel. - Rev. Detail x Month'!M328))*(0.005))</f>
        <v/>
      </c>
      <c r="P160" s="395">
        <f>((('3B. Tel. - Rev. Detail x Month'!N93)+('3B. Tel. - Rev. Detail x Month'!N328))*(0.005))</f>
        <v/>
      </c>
      <c r="Q160" s="395">
        <f>((('3B. Tel. - Rev. Detail x Month'!O93)+('3B. Tel. - Rev. Detail x Month'!O328))*(0.005))</f>
        <v/>
      </c>
      <c r="R160" s="395">
        <f>((('3B. Tel. - Rev. Detail x Month'!P93)+('3B. Tel. - Rev. Detail x Month'!P328))*(0.005))</f>
        <v/>
      </c>
      <c r="S160" s="395">
        <f>((('3B. Tel. - Rev. Detail x Month'!Q93)+('3B. Tel. - Rev. Detail x Month'!Q328))*(0.005))</f>
        <v/>
      </c>
      <c r="T160" s="395">
        <f>((('3B. Tel. - Rev. Detail x Month'!R93)+('3B. Tel. - Rev. Detail x Month'!R328))*(0.005))</f>
        <v/>
      </c>
      <c r="U160" s="395">
        <f>((('3B. Tel. - Rev. Detail x Month'!S93)+('3B. Tel. - Rev. Detail x Month'!S328))*(0.005))</f>
        <v/>
      </c>
      <c r="V160" s="395">
        <f>((('3B. Tel. - Rev. Detail x Month'!T93)+('3B. Tel. - Rev. Detail x Month'!T328))*(0.005))</f>
        <v/>
      </c>
      <c r="W160" s="395">
        <f>((('3B. Tel. - Rev. Detail x Month'!U93)+('3B. Tel. - Rev. Detail x Month'!U328))*(0.005))</f>
        <v/>
      </c>
      <c r="X160" s="462" t="n"/>
      <c r="Y160" s="396">
        <f>((L160)+(M160)+(N160)+(O160)+(P160)+(Q160)+(R160)+(S160)+(T160)+(U160)+(V160)+(W160))</f>
        <v/>
      </c>
      <c r="Z160" s="462" t="n"/>
      <c r="AA160" s="462" t="n"/>
    </row>
    <row r="161" ht="15" customHeight="1" s="1883">
      <c r="C161" s="390" t="inlineStr">
        <is>
          <t>●</t>
        </is>
      </c>
      <c r="D161" s="383" t="inlineStr">
        <is>
          <t>Insurance - General Liability</t>
        </is>
      </c>
      <c r="E161" s="383" t="n"/>
      <c r="F161" s="383" t="n"/>
      <c r="G161" s="383" t="n"/>
      <c r="H161" s="383" t="n"/>
      <c r="I161" s="383" t="n"/>
      <c r="J161" s="383" t="n"/>
      <c r="K161" s="383" t="n"/>
      <c r="L161" s="462">
        <f>'4B. Tel. Expense Assumptions'!S35</f>
        <v/>
      </c>
      <c r="M161" s="462">
        <f>'4B. Tel. Expense Assumptions'!T35</f>
        <v/>
      </c>
      <c r="N161" s="462">
        <f>'4B. Tel. Expense Assumptions'!U35</f>
        <v/>
      </c>
      <c r="O161" s="462">
        <f>'4B. Tel. Expense Assumptions'!V35</f>
        <v/>
      </c>
      <c r="P161" s="462">
        <f>'4B. Tel. Expense Assumptions'!W35</f>
        <v/>
      </c>
      <c r="Q161" s="462">
        <f>'4B. Tel. Expense Assumptions'!X35</f>
        <v/>
      </c>
      <c r="R161" s="462">
        <f>'4B. Tel. Expense Assumptions'!Y35</f>
        <v/>
      </c>
      <c r="S161" s="462">
        <f>'4B. Tel. Expense Assumptions'!Z35</f>
        <v/>
      </c>
      <c r="T161" s="462">
        <f>'4B. Tel. Expense Assumptions'!AA35</f>
        <v/>
      </c>
      <c r="U161" s="462">
        <f>'4B. Tel. Expense Assumptions'!AB35</f>
        <v/>
      </c>
      <c r="V161" s="462">
        <f>'4B. Tel. Expense Assumptions'!AC35</f>
        <v/>
      </c>
      <c r="W161" s="462">
        <f>'4B. Tel. Expense Assumptions'!AD35</f>
        <v/>
      </c>
      <c r="X161" s="462" t="n"/>
      <c r="Y161" s="494">
        <f>((L161)+(M161)+(N161)+(O161)+(P161)+(Q161)+(R161)+(S161)+(T161)+(U161)+(V161)+(W161))</f>
        <v/>
      </c>
      <c r="Z161" s="462" t="n"/>
      <c r="AA161" s="462">
        <f>SUM('4B. Tel. Expense Assumptions'!S35:AD35)</f>
        <v/>
      </c>
    </row>
    <row r="162" ht="15" customHeight="1" s="1883">
      <c r="C162" s="390" t="inlineStr">
        <is>
          <t>●</t>
        </is>
      </c>
      <c r="D162" s="383" t="inlineStr">
        <is>
          <t xml:space="preserve">Professional Fees </t>
        </is>
      </c>
      <c r="E162" s="383" t="n"/>
      <c r="F162" s="383" t="n"/>
      <c r="G162" s="383" t="n"/>
      <c r="H162" s="383" t="n"/>
      <c r="I162" s="383" t="n"/>
      <c r="J162" s="383" t="n"/>
      <c r="K162" s="383" t="n"/>
      <c r="L162" s="462" t="n"/>
      <c r="M162" s="462" t="n"/>
      <c r="N162" s="462" t="n"/>
      <c r="O162" s="462" t="n"/>
      <c r="P162" s="462" t="n"/>
      <c r="Q162" s="462" t="n"/>
      <c r="R162" s="462" t="n"/>
      <c r="S162" s="462" t="n"/>
      <c r="T162" s="462" t="n"/>
      <c r="U162" s="462" t="n"/>
      <c r="V162" s="462" t="n"/>
      <c r="W162" s="462" t="n"/>
      <c r="X162" s="462" t="n"/>
      <c r="Y162" s="462" t="n"/>
      <c r="Z162" s="462" t="n"/>
      <c r="AA162" s="462" t="n"/>
    </row>
    <row r="163" ht="15" customHeight="1" s="1883">
      <c r="C163" s="383" t="n"/>
      <c r="D163" s="390" t="inlineStr">
        <is>
          <t>●</t>
        </is>
      </c>
      <c r="E163" s="383" t="inlineStr">
        <is>
          <t>Legal</t>
        </is>
      </c>
      <c r="F163" s="383" t="n"/>
      <c r="G163" s="383" t="n"/>
      <c r="H163" s="383" t="n"/>
      <c r="I163" s="383" t="n"/>
      <c r="J163" s="384" t="inlineStr">
        <is>
          <t>50% increase vs. Year 1</t>
        </is>
      </c>
      <c r="K163" s="383" t="n"/>
      <c r="L163" s="462">
        <f>'4B. Tel. Expense Assumptions'!S41</f>
        <v/>
      </c>
      <c r="M163" s="462">
        <f>'4B. Tel. Expense Assumptions'!T41</f>
        <v/>
      </c>
      <c r="N163" s="462">
        <f>'4B. Tel. Expense Assumptions'!U41</f>
        <v/>
      </c>
      <c r="O163" s="462">
        <f>'4B. Tel. Expense Assumptions'!V41</f>
        <v/>
      </c>
      <c r="P163" s="462">
        <f>'4B. Tel. Expense Assumptions'!W41</f>
        <v/>
      </c>
      <c r="Q163" s="462">
        <f>'4B. Tel. Expense Assumptions'!X41</f>
        <v/>
      </c>
      <c r="R163" s="462">
        <f>'4B. Tel. Expense Assumptions'!Y41</f>
        <v/>
      </c>
      <c r="S163" s="462">
        <f>'4B. Tel. Expense Assumptions'!Z41</f>
        <v/>
      </c>
      <c r="T163" s="462">
        <f>'4B. Tel. Expense Assumptions'!AA41</f>
        <v/>
      </c>
      <c r="U163" s="462">
        <f>'4B. Tel. Expense Assumptions'!AB41</f>
        <v/>
      </c>
      <c r="V163" s="462">
        <f>'4B. Tel. Expense Assumptions'!AC41</f>
        <v/>
      </c>
      <c r="W163" s="462">
        <f>'4B. Tel. Expense Assumptions'!AD41</f>
        <v/>
      </c>
      <c r="X163" s="462" t="n"/>
      <c r="Y163" s="494">
        <f>((L163)+(M163)+(N163)+(O163)+(P163)+(Q163)+(R163)+(S163)+(T163)+(U163)+(V163)+(W163))</f>
        <v/>
      </c>
      <c r="Z163" s="462" t="n"/>
      <c r="AA163" s="462">
        <f>SUM('4B. Tel. Expense Assumptions'!S41:AD41)</f>
        <v/>
      </c>
    </row>
    <row r="164" ht="15" customHeight="1" s="1883">
      <c r="C164" s="383" t="n"/>
      <c r="D164" s="390" t="inlineStr">
        <is>
          <t>●</t>
        </is>
      </c>
      <c r="E164" s="383" t="inlineStr">
        <is>
          <t>Accounting and Tax</t>
        </is>
      </c>
      <c r="F164" s="383" t="n"/>
      <c r="G164" s="383" t="n"/>
      <c r="H164" s="383" t="n"/>
      <c r="I164" s="383" t="n"/>
      <c r="J164" s="384" t="inlineStr">
        <is>
          <t>50% increase vs. Year 1</t>
        </is>
      </c>
      <c r="K164" s="383" t="n"/>
      <c r="L164" s="462" t="n">
        <v>15000</v>
      </c>
      <c r="M164" s="462" t="n">
        <v>15000</v>
      </c>
      <c r="N164" s="462" t="n">
        <v>15000</v>
      </c>
      <c r="O164" s="462" t="n">
        <v>15000</v>
      </c>
      <c r="P164" s="462" t="n">
        <v>15000</v>
      </c>
      <c r="Q164" s="462" t="n">
        <v>15000</v>
      </c>
      <c r="R164" s="462" t="n">
        <v>15000</v>
      </c>
      <c r="S164" s="462" t="n">
        <v>15000</v>
      </c>
      <c r="T164" s="462" t="n">
        <v>15000</v>
      </c>
      <c r="U164" s="462" t="n">
        <v>15000</v>
      </c>
      <c r="V164" s="462" t="n">
        <v>15000</v>
      </c>
      <c r="W164" s="462" t="n">
        <v>15000</v>
      </c>
      <c r="X164" s="462" t="n"/>
      <c r="Y164" s="494">
        <f>((L164)+(M164)+(N164)+(O164)+(P164)+(Q164)+(R164)+(S164)+(T164)+(U164)+(V164)+(W164))</f>
        <v/>
      </c>
      <c r="Z164" s="462" t="n"/>
      <c r="AA164" s="462" t="n"/>
    </row>
    <row r="165" ht="15" customHeight="1" s="1883">
      <c r="C165" s="383" t="n"/>
      <c r="D165" s="390" t="inlineStr">
        <is>
          <t>●</t>
        </is>
      </c>
      <c r="E165" s="383" t="inlineStr">
        <is>
          <t>Consulting</t>
        </is>
      </c>
      <c r="F165" s="383" t="n"/>
      <c r="G165" s="383" t="n"/>
      <c r="H165" s="383" t="n"/>
      <c r="I165" s="383" t="n"/>
      <c r="J165" s="384" t="inlineStr">
        <is>
          <t>100% increase vs. Year 1</t>
        </is>
      </c>
      <c r="K165" s="383" t="n"/>
      <c r="L165" s="462" t="n">
        <v>20000</v>
      </c>
      <c r="M165" s="462" t="n">
        <v>20000</v>
      </c>
      <c r="N165" s="462" t="n">
        <v>20000</v>
      </c>
      <c r="O165" s="462" t="n">
        <v>20000</v>
      </c>
      <c r="P165" s="462" t="n">
        <v>20000</v>
      </c>
      <c r="Q165" s="462" t="n">
        <v>20000</v>
      </c>
      <c r="R165" s="462" t="n">
        <v>20000</v>
      </c>
      <c r="S165" s="462" t="n">
        <v>20000</v>
      </c>
      <c r="T165" s="462" t="n">
        <v>20000</v>
      </c>
      <c r="U165" s="462" t="n">
        <v>20000</v>
      </c>
      <c r="V165" s="462" t="n">
        <v>20000</v>
      </c>
      <c r="W165" s="462" t="n">
        <v>20000</v>
      </c>
      <c r="X165" s="462" t="n"/>
      <c r="Y165" s="494">
        <f>((L165)+(M165)+(N165)+(O165)+(P165)+(Q165)+(R165)+(S165)+(T165)+(U165)+(V165)+(W165))</f>
        <v/>
      </c>
      <c r="Z165" s="462" t="n"/>
      <c r="AA165" s="462" t="n"/>
    </row>
    <row r="166" ht="15" customHeight="1" s="1883">
      <c r="C166" s="390" t="inlineStr">
        <is>
          <t>●</t>
        </is>
      </c>
      <c r="D166" s="383" t="inlineStr">
        <is>
          <t>Website Hosting and Data Storage</t>
        </is>
      </c>
      <c r="E166" s="383" t="n"/>
      <c r="F166" s="383" t="n"/>
      <c r="G166" s="383" t="n"/>
      <c r="H166" s="383" t="n"/>
      <c r="I166" s="383" t="n"/>
      <c r="J166" s="383" t="n"/>
      <c r="K166" s="383" t="n"/>
      <c r="L166" s="462">
        <f>'4B. Tel. Expense Assumptions'!S51</f>
        <v/>
      </c>
      <c r="M166" s="462">
        <f>'4B. Tel. Expense Assumptions'!T51</f>
        <v/>
      </c>
      <c r="N166" s="462">
        <f>'4B. Tel. Expense Assumptions'!U51</f>
        <v/>
      </c>
      <c r="O166" s="462">
        <f>'4B. Tel. Expense Assumptions'!V51</f>
        <v/>
      </c>
      <c r="P166" s="462">
        <f>'4B. Tel. Expense Assumptions'!W51</f>
        <v/>
      </c>
      <c r="Q166" s="462">
        <f>'4B. Tel. Expense Assumptions'!X51</f>
        <v/>
      </c>
      <c r="R166" s="462">
        <f>'4B. Tel. Expense Assumptions'!Y51</f>
        <v/>
      </c>
      <c r="S166" s="462">
        <f>'4B. Tel. Expense Assumptions'!Z51</f>
        <v/>
      </c>
      <c r="T166" s="462">
        <f>'4B. Tel. Expense Assumptions'!AA51</f>
        <v/>
      </c>
      <c r="U166" s="462">
        <f>'4B. Tel. Expense Assumptions'!AB51</f>
        <v/>
      </c>
      <c r="V166" s="462">
        <f>'4B. Tel. Expense Assumptions'!AC51</f>
        <v/>
      </c>
      <c r="W166" s="462">
        <f>'4B. Tel. Expense Assumptions'!AD51</f>
        <v/>
      </c>
      <c r="X166" s="462" t="n"/>
      <c r="Y166" s="494">
        <f>((L166)+(M166)+(N166)+(O166)+(P166)+(Q166)+(R166)+(S166)+(T166)+(U166)+(V166)+(W166))</f>
        <v/>
      </c>
      <c r="Z166" s="462" t="n"/>
      <c r="AA166" s="462" t="n"/>
    </row>
    <row r="167" ht="15" customHeight="1" s="1883">
      <c r="C167" s="390" t="inlineStr">
        <is>
          <t>●</t>
        </is>
      </c>
      <c r="D167" s="383" t="inlineStr">
        <is>
          <t>Customer Service and Support</t>
        </is>
      </c>
      <c r="E167" s="383" t="n"/>
      <c r="F167" s="383" t="n"/>
      <c r="G167" s="383" t="n"/>
      <c r="H167" s="383" t="n"/>
      <c r="I167" s="383" t="n"/>
      <c r="J167" s="384" t="inlineStr">
        <is>
          <t>0.75% of ∑ Gross Revenue</t>
        </is>
      </c>
      <c r="K167" s="383" t="n"/>
      <c r="L167" s="462">
        <f>((('3B. Tel. - Rev. Detail x Month'!J93)+('3B. Tel. - Rev. Detail x Month'!J328))*(0.0075))</f>
        <v/>
      </c>
      <c r="M167" s="462">
        <f>((('3B. Tel. - Rev. Detail x Month'!K93)+('3B. Tel. - Rev. Detail x Month'!K328))*(0.0075))</f>
        <v/>
      </c>
      <c r="N167" s="462">
        <f>((('3B. Tel. - Rev. Detail x Month'!L93)+('3B. Tel. - Rev. Detail x Month'!L328))*(0.0075))</f>
        <v/>
      </c>
      <c r="O167" s="462">
        <f>((('3B. Tel. - Rev. Detail x Month'!M93)+('3B. Tel. - Rev. Detail x Month'!M328))*(0.0075))</f>
        <v/>
      </c>
      <c r="P167" s="462">
        <f>((('3B. Tel. - Rev. Detail x Month'!N93)+('3B. Tel. - Rev. Detail x Month'!N328))*(0.0075))</f>
        <v/>
      </c>
      <c r="Q167" s="462">
        <f>((('3B. Tel. - Rev. Detail x Month'!O93)+('3B. Tel. - Rev. Detail x Month'!O328))*(0.0075))</f>
        <v/>
      </c>
      <c r="R167" s="462">
        <f>((('3B. Tel. - Rev. Detail x Month'!P93)+('3B. Tel. - Rev. Detail x Month'!P328))*(0.0075))</f>
        <v/>
      </c>
      <c r="S167" s="462">
        <f>((('3B. Tel. - Rev. Detail x Month'!Q93)+('3B. Tel. - Rev. Detail x Month'!Q328))*(0.0075))</f>
        <v/>
      </c>
      <c r="T167" s="462">
        <f>((('3B. Tel. - Rev. Detail x Month'!R93)+('3B. Tel. - Rev. Detail x Month'!R328))*(0.0075))</f>
        <v/>
      </c>
      <c r="U167" s="462">
        <f>((('3B. Tel. - Rev. Detail x Month'!S93)+('3B. Tel. - Rev. Detail x Month'!S328))*(0.0075))</f>
        <v/>
      </c>
      <c r="V167" s="462">
        <f>((('3B. Tel. - Rev. Detail x Month'!T93)+('3B. Tel. - Rev. Detail x Month'!T328))*(0.0075))</f>
        <v/>
      </c>
      <c r="W167" s="462">
        <f>((('3B. Tel. - Rev. Detail x Month'!U93)+('3B. Tel. - Rev. Detail x Month'!U328))*(0.0075))</f>
        <v/>
      </c>
      <c r="X167" s="462" t="n"/>
      <c r="Y167" s="494">
        <f>((L167)+(M167)+(N167)+(O167)+(P167)+(Q167)+(R167)+(S167)+(T167)+(U167)+(V167)+(W167))</f>
        <v/>
      </c>
      <c r="Z167" s="462" t="n"/>
      <c r="AA167" s="462">
        <f>((('3B. Tel. - Rev. Detail x Month'!W93)+('3B. Tel. - Rev. Detail x Month'!W328))*(0.0075))</f>
        <v/>
      </c>
    </row>
    <row r="168" ht="15" customHeight="1" s="1883">
      <c r="C168" s="390" t="inlineStr">
        <is>
          <t>●</t>
        </is>
      </c>
      <c r="D168" s="383" t="inlineStr">
        <is>
          <t>Software License Fees</t>
        </is>
      </c>
      <c r="E168" s="383" t="n"/>
      <c r="F168" s="383" t="n"/>
      <c r="G168" s="383" t="n"/>
      <c r="H168" s="383" t="n"/>
      <c r="I168" s="383" t="n"/>
      <c r="J168" s="384" t="inlineStr">
        <is>
          <t>$55/employee/month</t>
        </is>
      </c>
      <c r="K168" s="383" t="n"/>
      <c r="L168" s="462">
        <f>((L127)*(55))</f>
        <v/>
      </c>
      <c r="M168" s="462">
        <f>((M127)*(55))</f>
        <v/>
      </c>
      <c r="N168" s="462">
        <f>((N127)*(55))</f>
        <v/>
      </c>
      <c r="O168" s="462">
        <f>((O127)*(55))</f>
        <v/>
      </c>
      <c r="P168" s="462">
        <f>((P127)*(55))</f>
        <v/>
      </c>
      <c r="Q168" s="462">
        <f>((Q127)*(55))</f>
        <v/>
      </c>
      <c r="R168" s="462">
        <f>((R127)*(55))</f>
        <v/>
      </c>
      <c r="S168" s="462">
        <f>((S127)*(55))</f>
        <v/>
      </c>
      <c r="T168" s="462">
        <f>((T127)*(55))</f>
        <v/>
      </c>
      <c r="U168" s="462">
        <f>((U127)*(55))</f>
        <v/>
      </c>
      <c r="V168" s="462">
        <f>((V127)*(55))</f>
        <v/>
      </c>
      <c r="W168" s="462">
        <f>((W127)*(55))</f>
        <v/>
      </c>
      <c r="X168" s="462" t="n"/>
      <c r="Y168" s="494">
        <f>((L168)+(M168)+(N168)+(O168)+(P168)+(Q168)+(R168)+(S168)+(T168)+(U168)+(V168)+(W168))</f>
        <v/>
      </c>
      <c r="Z168" s="462" t="n"/>
      <c r="AA168" s="462" t="n"/>
    </row>
    <row r="169" ht="15" customHeight="1" s="1883">
      <c r="C169" s="390" t="inlineStr">
        <is>
          <t>●</t>
        </is>
      </c>
      <c r="D169" s="383" t="inlineStr">
        <is>
          <t>Office Supplies</t>
        </is>
      </c>
      <c r="E169" s="383" t="n"/>
      <c r="F169" s="383" t="n"/>
      <c r="G169" s="383" t="n"/>
      <c r="H169" s="383" t="n"/>
      <c r="I169" s="383" t="n"/>
      <c r="J169" s="384" t="inlineStr">
        <is>
          <t>$50/employee/month</t>
        </is>
      </c>
      <c r="K169" s="383" t="n"/>
      <c r="L169" s="462">
        <f>((50)*(L127))</f>
        <v/>
      </c>
      <c r="M169" s="462">
        <f>((50)*(M127))</f>
        <v/>
      </c>
      <c r="N169" s="462">
        <f>((50)*(N127))</f>
        <v/>
      </c>
      <c r="O169" s="462">
        <f>((50)*(O127))</f>
        <v/>
      </c>
      <c r="P169" s="462">
        <f>((50)*(P127))</f>
        <v/>
      </c>
      <c r="Q169" s="462">
        <f>((50)*(Q127))</f>
        <v/>
      </c>
      <c r="R169" s="462">
        <f>((50)*(R127))</f>
        <v/>
      </c>
      <c r="S169" s="462">
        <f>((50)*(S127))</f>
        <v/>
      </c>
      <c r="T169" s="462">
        <f>((50)*(T127))</f>
        <v/>
      </c>
      <c r="U169" s="462">
        <f>((50)*(U127))</f>
        <v/>
      </c>
      <c r="V169" s="462">
        <f>((50)*(V127))</f>
        <v/>
      </c>
      <c r="W169" s="462">
        <f>((50)*(W127))</f>
        <v/>
      </c>
      <c r="X169" s="462" t="n"/>
      <c r="Y169" s="494">
        <f>((L169)+(M169)+(N169)+(O169)+(P169)+(Q169)+(R169)+(S169)+(T169)+(U169)+(V169)+(W169))</f>
        <v/>
      </c>
      <c r="Z169" s="462" t="n"/>
      <c r="AA169" s="462" t="n"/>
    </row>
    <row r="170" ht="15" customHeight="1" s="1883">
      <c r="C170" s="390" t="inlineStr">
        <is>
          <t>●</t>
        </is>
      </c>
      <c r="D170" s="383" t="inlineStr">
        <is>
          <t>Office Expense</t>
        </is>
      </c>
      <c r="E170" s="383" t="n"/>
      <c r="F170" s="383" t="n"/>
      <c r="G170" s="383" t="n"/>
      <c r="H170" s="383" t="n"/>
      <c r="I170" s="383" t="n"/>
      <c r="J170" s="384" t="inlineStr">
        <is>
          <t>$15/employee/month</t>
        </is>
      </c>
      <c r="K170" s="383" t="n"/>
      <c r="L170" s="462">
        <f>((15)*(L127))</f>
        <v/>
      </c>
      <c r="M170" s="462">
        <f>((15)*(M127))</f>
        <v/>
      </c>
      <c r="N170" s="462">
        <f>((15)*(N127))</f>
        <v/>
      </c>
      <c r="O170" s="462">
        <f>((15)*(O127))</f>
        <v/>
      </c>
      <c r="P170" s="462">
        <f>((15)*(P127))</f>
        <v/>
      </c>
      <c r="Q170" s="462">
        <f>((15)*(Q127))</f>
        <v/>
      </c>
      <c r="R170" s="462">
        <f>((15)*(R127))</f>
        <v/>
      </c>
      <c r="S170" s="462">
        <f>((15)*(S127))</f>
        <v/>
      </c>
      <c r="T170" s="462">
        <f>((15)*(T127))</f>
        <v/>
      </c>
      <c r="U170" s="462">
        <f>((15)*(U127))</f>
        <v/>
      </c>
      <c r="V170" s="462">
        <f>((15)*(V127))</f>
        <v/>
      </c>
      <c r="W170" s="462">
        <f>((15)*(W127))</f>
        <v/>
      </c>
      <c r="X170" s="462" t="n"/>
      <c r="Y170" s="494">
        <f>((L170)+(M170)+(N170)+(O170)+(P170)+(Q170)+(R170)+(S170)+(T170)+(U170)+(V170)+(W170))</f>
        <v/>
      </c>
      <c r="Z170" s="462" t="n"/>
      <c r="AA170" s="462" t="n"/>
    </row>
    <row r="171" ht="15" customHeight="1" s="1883">
      <c r="C171" s="390" t="inlineStr">
        <is>
          <t>●</t>
        </is>
      </c>
      <c r="D171" s="383" t="inlineStr">
        <is>
          <t>Telephone</t>
        </is>
      </c>
      <c r="E171" s="383" t="n"/>
      <c r="F171" s="383" t="n"/>
      <c r="G171" s="383" t="n"/>
      <c r="H171" s="383" t="n"/>
      <c r="I171" s="383" t="n"/>
      <c r="J171" s="384" t="n"/>
      <c r="K171" s="383" t="n"/>
      <c r="L171" s="462">
        <f>'4B. Tel. Expense Assumptions'!S27</f>
        <v/>
      </c>
      <c r="M171" s="462">
        <f>'4B. Tel. Expense Assumptions'!T27</f>
        <v/>
      </c>
      <c r="N171" s="462">
        <f>'4B. Tel. Expense Assumptions'!U27</f>
        <v/>
      </c>
      <c r="O171" s="462">
        <f>'4B. Tel. Expense Assumptions'!V27</f>
        <v/>
      </c>
      <c r="P171" s="462">
        <f>'4B. Tel. Expense Assumptions'!W27</f>
        <v/>
      </c>
      <c r="Q171" s="462">
        <f>'4B. Tel. Expense Assumptions'!X27</f>
        <v/>
      </c>
      <c r="R171" s="462">
        <f>'4B. Tel. Expense Assumptions'!Y27</f>
        <v/>
      </c>
      <c r="S171" s="462">
        <f>'4B. Tel. Expense Assumptions'!Z27</f>
        <v/>
      </c>
      <c r="T171" s="462">
        <f>'4B. Tel. Expense Assumptions'!AA27</f>
        <v/>
      </c>
      <c r="U171" s="462">
        <f>'4B. Tel. Expense Assumptions'!AB27</f>
        <v/>
      </c>
      <c r="V171" s="462">
        <f>'4B. Tel. Expense Assumptions'!AC27</f>
        <v/>
      </c>
      <c r="W171" s="462">
        <f>'4B. Tel. Expense Assumptions'!AD27</f>
        <v/>
      </c>
      <c r="X171" s="462" t="n"/>
      <c r="Y171" s="494">
        <f>((L171)+(M171)+(N171)+(O171)+(P171)+(Q171)+(R171)+(S171)+(T171)+(U171)+(V171)+(W171))</f>
        <v/>
      </c>
      <c r="Z171" s="462" t="n"/>
      <c r="AA171" s="462">
        <f>SUM('4B. Tel. Expense Assumptions'!S27:AD27)</f>
        <v/>
      </c>
    </row>
    <row r="172" ht="15" customHeight="1" s="1883">
      <c r="C172" s="390" t="inlineStr">
        <is>
          <t>●</t>
        </is>
      </c>
      <c r="D172" s="383" t="inlineStr">
        <is>
          <t>Meetings and Refreshments</t>
        </is>
      </c>
      <c r="E172" s="383" t="n"/>
      <c r="F172" s="383" t="n"/>
      <c r="G172" s="383" t="n"/>
      <c r="H172" s="383" t="n"/>
      <c r="I172" s="383" t="n"/>
      <c r="J172" s="384" t="inlineStr">
        <is>
          <t>$50/employee/month</t>
        </is>
      </c>
      <c r="K172" s="383" t="n"/>
      <c r="L172" s="462">
        <f>((50)*(L127))</f>
        <v/>
      </c>
      <c r="M172" s="462">
        <f>((50)*(M127))</f>
        <v/>
      </c>
      <c r="N172" s="462">
        <f>((50)*(N127))</f>
        <v/>
      </c>
      <c r="O172" s="462">
        <f>((50)*(O127))</f>
        <v/>
      </c>
      <c r="P172" s="462">
        <f>((50)*(P127))</f>
        <v/>
      </c>
      <c r="Q172" s="462">
        <f>((50)*(Q127))</f>
        <v/>
      </c>
      <c r="R172" s="462">
        <f>((50)*(R127))</f>
        <v/>
      </c>
      <c r="S172" s="462">
        <f>((50)*(S127))</f>
        <v/>
      </c>
      <c r="T172" s="462">
        <f>((50)*(T127))</f>
        <v/>
      </c>
      <c r="U172" s="462">
        <f>((50)*(U127))</f>
        <v/>
      </c>
      <c r="V172" s="462">
        <f>((50)*(V127))</f>
        <v/>
      </c>
      <c r="W172" s="462">
        <f>((50)*(W127))</f>
        <v/>
      </c>
      <c r="X172" s="462" t="n"/>
      <c r="Y172" s="494">
        <f>((L172)+(M172)+(N172)+(O172)+(P172)+(Q172)+(R172)+(S172)+(T172)+(U172)+(V172)+(W172))</f>
        <v/>
      </c>
      <c r="Z172" s="462" t="n"/>
      <c r="AA172" s="462" t="n"/>
    </row>
    <row r="173" ht="15" customHeight="1" s="1883">
      <c r="C173" s="390" t="inlineStr">
        <is>
          <t>●</t>
        </is>
      </c>
      <c r="D173" s="383" t="inlineStr">
        <is>
          <t>Miscellaneous/Contingency</t>
        </is>
      </c>
      <c r="E173" s="383" t="n"/>
      <c r="F173" s="383" t="n"/>
      <c r="G173" s="383" t="n"/>
      <c r="H173" s="383" t="n"/>
      <c r="I173" s="383" t="n"/>
      <c r="J173" s="384" t="inlineStr">
        <is>
          <t>15% of G&amp;A Expense</t>
        </is>
      </c>
      <c r="K173" s="383" t="n"/>
      <c r="L173" s="462">
        <f>(SUM(L160:L172)*(0.15))</f>
        <v/>
      </c>
      <c r="M173" s="462">
        <f>(SUM(M160:M172)*(0.15))</f>
        <v/>
      </c>
      <c r="N173" s="462">
        <f>(SUM(N160:N172)*(0.15))</f>
        <v/>
      </c>
      <c r="O173" s="462">
        <f>(SUM(O160:O172)*(0.15))</f>
        <v/>
      </c>
      <c r="P173" s="462">
        <f>(SUM(P160:P172)*(0.15))</f>
        <v/>
      </c>
      <c r="Q173" s="462">
        <f>(SUM(Q160:Q172)*(0.15))</f>
        <v/>
      </c>
      <c r="R173" s="462">
        <f>(SUM(R160:R172)*(0.15))</f>
        <v/>
      </c>
      <c r="S173" s="462">
        <f>(SUM(S160:S172)*(0.15))</f>
        <v/>
      </c>
      <c r="T173" s="462">
        <f>(SUM(T160:T172)*(0.15))</f>
        <v/>
      </c>
      <c r="U173" s="462">
        <f>(SUM(U160:U172)*(0.15))</f>
        <v/>
      </c>
      <c r="V173" s="462">
        <f>(SUM(V160:V172)*(0.15))</f>
        <v/>
      </c>
      <c r="W173" s="462">
        <f>(SUM(W160:W172)*(0.15))</f>
        <v/>
      </c>
      <c r="X173" s="462" t="n"/>
      <c r="Y173" s="494">
        <f>((L173)+(M173)+(N173)+(O173)+(P173)+(Q173)+(R173)+(S173)+(T173)+(U173)+(V173)+(W173))</f>
        <v/>
      </c>
      <c r="Z173" s="462" t="n"/>
      <c r="AA173" s="462" t="n"/>
    </row>
    <row r="174" ht="3" customHeight="1" s="1883">
      <c r="C174" s="383" t="n"/>
      <c r="D174" s="383" t="n"/>
      <c r="E174" s="383" t="n"/>
      <c r="F174" s="383" t="n"/>
      <c r="G174" s="383" t="n"/>
      <c r="H174" s="383" t="n"/>
      <c r="I174" s="383" t="n"/>
      <c r="J174" s="383" t="n"/>
      <c r="K174" s="383" t="n"/>
      <c r="L174" s="508" t="n"/>
      <c r="M174" s="508" t="n"/>
      <c r="N174" s="508" t="n"/>
      <c r="O174" s="508" t="n"/>
      <c r="P174" s="508" t="n"/>
      <c r="Q174" s="508" t="n"/>
      <c r="R174" s="508" t="n"/>
      <c r="S174" s="508" t="n"/>
      <c r="T174" s="508" t="n"/>
      <c r="U174" s="508" t="n"/>
      <c r="V174" s="508" t="n"/>
      <c r="W174" s="508" t="n"/>
      <c r="X174" s="462" t="n"/>
      <c r="Y174" s="508" t="n"/>
      <c r="Z174" s="462" t="n"/>
      <c r="AA174" s="462" t="n"/>
    </row>
    <row r="175" ht="3" customHeight="1" s="1883">
      <c r="C175" s="383" t="n"/>
      <c r="D175" s="383" t="n"/>
      <c r="E175" s="383" t="n"/>
      <c r="F175" s="383" t="n"/>
      <c r="G175" s="383" t="n"/>
      <c r="H175" s="383" t="n"/>
      <c r="I175" s="383" t="n"/>
      <c r="J175" s="383" t="n"/>
      <c r="K175" s="383" t="n"/>
      <c r="L175" s="462" t="n"/>
      <c r="M175" s="462" t="n"/>
      <c r="N175" s="462" t="n"/>
      <c r="O175" s="462" t="n"/>
      <c r="P175" s="462" t="n"/>
      <c r="Q175" s="462" t="n"/>
      <c r="R175" s="462" t="n"/>
      <c r="S175" s="462" t="n"/>
      <c r="T175" s="462" t="n"/>
      <c r="U175" s="462" t="n"/>
      <c r="V175" s="462" t="n"/>
      <c r="W175" s="462" t="n"/>
      <c r="X175" s="462" t="n"/>
      <c r="Y175" s="462" t="n"/>
      <c r="Z175" s="462" t="n"/>
      <c r="AA175" s="462" t="n"/>
    </row>
    <row r="176" ht="15" customHeight="1" s="1883">
      <c r="C176" s="383" t="n"/>
      <c r="D176" s="383" t="n"/>
      <c r="E176" s="385" t="inlineStr">
        <is>
          <t>Total, General and Administrative</t>
        </is>
      </c>
      <c r="F176" s="383" t="n"/>
      <c r="G176" s="383" t="n"/>
      <c r="H176" s="383" t="n"/>
      <c r="I176" s="383" t="n"/>
      <c r="J176" s="383" t="n"/>
      <c r="K176" s="383" t="n"/>
      <c r="L176" s="396">
        <f>SUM(L160:L173)</f>
        <v/>
      </c>
      <c r="M176" s="396">
        <f>SUM(M160:M173)</f>
        <v/>
      </c>
      <c r="N176" s="396">
        <f>SUM(N160:N173)</f>
        <v/>
      </c>
      <c r="O176" s="396">
        <f>SUM(O160:O173)</f>
        <v/>
      </c>
      <c r="P176" s="396">
        <f>SUM(P160:P173)</f>
        <v/>
      </c>
      <c r="Q176" s="396">
        <f>SUM(Q160:Q173)</f>
        <v/>
      </c>
      <c r="R176" s="396">
        <f>SUM(R160:R173)</f>
        <v/>
      </c>
      <c r="S176" s="396">
        <f>SUM(S160:S173)</f>
        <v/>
      </c>
      <c r="T176" s="396">
        <f>SUM(T160:T173)</f>
        <v/>
      </c>
      <c r="U176" s="396">
        <f>SUM(U160:U173)</f>
        <v/>
      </c>
      <c r="V176" s="396">
        <f>SUM(V160:V173)</f>
        <v/>
      </c>
      <c r="W176" s="396">
        <f>SUM(W160:W173)</f>
        <v/>
      </c>
      <c r="X176" s="462" t="n"/>
      <c r="Y176" s="396">
        <f>SUM(Y160:Y173)</f>
        <v/>
      </c>
      <c r="Z176" s="462" t="n"/>
      <c r="AA176" s="462" t="n"/>
    </row>
    <row r="183" ht="15" customHeight="1" s="1883">
      <c r="F183" s="385" t="inlineStr">
        <is>
          <t>TOTAL OPERATING EXPENSES</t>
        </is>
      </c>
      <c r="G183" s="383" t="n"/>
      <c r="H183" s="383" t="n"/>
      <c r="I183" s="383" t="n"/>
      <c r="J183" s="383" t="n"/>
      <c r="K183" s="383" t="n"/>
      <c r="L183" s="396">
        <f>((L133)+(L137)+(L146)+(L155)+(L176))</f>
        <v/>
      </c>
      <c r="M183" s="396">
        <f>((M133)+(M137)+(M146)+(M155)+(M176))</f>
        <v/>
      </c>
      <c r="N183" s="396">
        <f>((N133)+(N137)+(N146)+(N155)+(N176))</f>
        <v/>
      </c>
      <c r="O183" s="396">
        <f>((O133)+(O137)+(O146)+(O155)+(O176))</f>
        <v/>
      </c>
      <c r="P183" s="396">
        <f>((P133)+(P137)+(P146)+(P155)+(P176))</f>
        <v/>
      </c>
      <c r="Q183" s="396">
        <f>((Q133)+(Q137)+(Q146)+(Q155)+(Q176))</f>
        <v/>
      </c>
      <c r="R183" s="396">
        <f>((R133)+(R137)+(R146)+(R155)+(R176))</f>
        <v/>
      </c>
      <c r="S183" s="396">
        <f>((S133)+(S137)+(S146)+(S155)+(S176))</f>
        <v/>
      </c>
      <c r="T183" s="396">
        <f>((T133)+(T137)+(T146)+(T155)+(T176))</f>
        <v/>
      </c>
      <c r="U183" s="396">
        <f>((U133)+(U137)+(U146)+(U155)+(U176))</f>
        <v/>
      </c>
      <c r="V183" s="396">
        <f>((V133)+(V137)+(V146)+(V155)+(V176))</f>
        <v/>
      </c>
      <c r="W183" s="396">
        <f>((W133)+(W137)+(W146)+(W155)+(W176))</f>
        <v/>
      </c>
      <c r="X183" s="462" t="n"/>
      <c r="Y183" s="396">
        <f>((L183)+(M183)+(N183)+(O183)+(P183)+(Q183)+(R183)+(S183)+(T183)+(U183)+(V183)+(W183))</f>
        <v/>
      </c>
    </row>
    <row r="184" ht="3" customHeight="1" s="1883">
      <c r="F184" s="383" t="n"/>
      <c r="G184" s="383" t="n"/>
      <c r="H184" s="383" t="n"/>
      <c r="I184" s="383" t="n"/>
      <c r="J184" s="383" t="n"/>
      <c r="K184" s="383" t="n"/>
      <c r="L184" s="508" t="n"/>
      <c r="M184" s="508" t="n"/>
      <c r="N184" s="508" t="n"/>
      <c r="O184" s="508" t="n"/>
      <c r="P184" s="508" t="n"/>
      <c r="Q184" s="508" t="n"/>
      <c r="R184" s="508" t="n"/>
      <c r="S184" s="508" t="n"/>
      <c r="T184" s="508" t="n"/>
      <c r="U184" s="508" t="n"/>
      <c r="V184" s="508" t="n"/>
      <c r="W184" s="508" t="n"/>
      <c r="X184" s="462" t="n"/>
      <c r="Y184" s="508" t="n"/>
    </row>
    <row r="185" ht="3" customHeight="1" s="1883">
      <c r="F185" s="383" t="n"/>
      <c r="G185" s="383" t="n"/>
      <c r="H185" s="383" t="n"/>
      <c r="I185" s="383" t="n"/>
      <c r="J185" s="383" t="n"/>
      <c r="K185" s="383" t="n"/>
      <c r="L185" s="462" t="n"/>
      <c r="M185" s="462" t="n"/>
      <c r="N185" s="462" t="n"/>
      <c r="O185" s="462" t="n"/>
      <c r="P185" s="462" t="n"/>
      <c r="Q185" s="462" t="n"/>
      <c r="R185" s="462" t="n"/>
      <c r="S185" s="462" t="n"/>
      <c r="T185" s="462" t="n"/>
      <c r="U185" s="462" t="n"/>
      <c r="V185" s="462" t="n"/>
      <c r="W185" s="462" t="n"/>
      <c r="X185" s="462" t="n"/>
      <c r="Y185" s="462" t="n"/>
    </row>
    <row r="186" ht="15" customHeight="1" s="1883">
      <c r="F186" s="383" t="n"/>
      <c r="G186" s="383" t="n"/>
      <c r="H186" s="383" t="n"/>
      <c r="I186" s="383" t="n"/>
      <c r="J186" s="383" t="n"/>
      <c r="K186" s="383" t="n"/>
      <c r="L186" s="462" t="n"/>
      <c r="M186" s="462" t="n"/>
      <c r="N186" s="462" t="n"/>
      <c r="O186" s="462" t="n"/>
      <c r="P186" s="462" t="n"/>
      <c r="Q186" s="462" t="n"/>
      <c r="R186" s="462" t="n"/>
      <c r="S186" s="462" t="n"/>
      <c r="T186" s="462" t="n"/>
      <c r="U186" s="462" t="n"/>
      <c r="V186" s="462" t="n"/>
      <c r="W186" s="462" t="n"/>
      <c r="X186" s="462" t="n"/>
      <c r="Y186" s="462" t="n"/>
    </row>
    <row r="187" ht="15" customHeight="1" s="1883">
      <c r="F187" s="383" t="n"/>
      <c r="G187" s="383" t="n"/>
      <c r="H187" s="383" t="n"/>
      <c r="I187" s="383" t="n"/>
      <c r="J187" s="383" t="n"/>
      <c r="K187" s="383" t="n"/>
      <c r="L187" s="462" t="n"/>
      <c r="M187" s="462" t="n"/>
      <c r="N187" s="462" t="n"/>
      <c r="O187" s="462" t="n"/>
      <c r="P187" s="462" t="n"/>
      <c r="Q187" s="462" t="n"/>
      <c r="R187" s="462" t="n"/>
      <c r="S187" s="462" t="n"/>
      <c r="T187" s="462" t="n"/>
      <c r="U187" s="462" t="n"/>
      <c r="V187" s="462" t="n"/>
      <c r="W187" s="462" t="n"/>
      <c r="X187" s="462" t="n"/>
      <c r="Y187" s="462" t="n"/>
    </row>
    <row r="188" ht="3" customHeight="1" s="1883">
      <c r="F188" s="383" t="n"/>
      <c r="G188" s="383" t="n"/>
      <c r="H188" s="383" t="n"/>
      <c r="I188" s="383" t="n"/>
      <c r="J188" s="383" t="n"/>
      <c r="K188" s="383" t="n"/>
      <c r="L188" s="508" t="n"/>
      <c r="M188" s="508" t="n"/>
      <c r="N188" s="508" t="n"/>
      <c r="O188" s="508" t="n"/>
      <c r="P188" s="508" t="n"/>
      <c r="Q188" s="508" t="n"/>
      <c r="R188" s="508" t="n"/>
      <c r="S188" s="508" t="n"/>
      <c r="T188" s="508" t="n"/>
      <c r="U188" s="508" t="n"/>
      <c r="V188" s="508" t="n"/>
      <c r="W188" s="508" t="n"/>
      <c r="X188" s="462" t="n"/>
      <c r="Y188" s="508" t="n"/>
    </row>
    <row r="189" ht="3" customHeight="1" s="1883">
      <c r="F189" s="383" t="n"/>
      <c r="G189" s="383" t="n"/>
      <c r="H189" s="383" t="n"/>
      <c r="I189" s="383" t="n"/>
      <c r="J189" s="383" t="n"/>
      <c r="K189" s="383" t="n"/>
      <c r="L189" s="462" t="n"/>
      <c r="M189" s="462" t="n"/>
      <c r="N189" s="462" t="n"/>
      <c r="O189" s="462" t="n"/>
      <c r="P189" s="462" t="n"/>
      <c r="Q189" s="462" t="n"/>
      <c r="R189" s="462" t="n"/>
      <c r="S189" s="462" t="n"/>
      <c r="T189" s="462" t="n"/>
      <c r="U189" s="462" t="n"/>
      <c r="V189" s="462" t="n"/>
      <c r="W189" s="462" t="n"/>
      <c r="X189" s="462" t="n"/>
      <c r="Y189" s="462" t="n"/>
    </row>
    <row r="190" ht="15" customHeight="1" s="1883">
      <c r="F190" s="383" t="n"/>
      <c r="G190" s="385" t="inlineStr">
        <is>
          <t>OPERATING INCOME / (LOSS), %</t>
        </is>
      </c>
      <c r="H190" s="383" t="n"/>
      <c r="I190" s="383" t="n"/>
      <c r="J190" s="383" t="n"/>
      <c r="K190" s="383" t="n"/>
      <c r="L190" s="396">
        <f>((L114)-(L183))</f>
        <v/>
      </c>
      <c r="M190" s="396">
        <f>((M114)-(M183))</f>
        <v/>
      </c>
      <c r="N190" s="396">
        <f>((N114)-(N183))</f>
        <v/>
      </c>
      <c r="O190" s="396">
        <f>((O114)-(O183))</f>
        <v/>
      </c>
      <c r="P190" s="396">
        <f>((P114)-(P183))</f>
        <v/>
      </c>
      <c r="Q190" s="396">
        <f>((Q114)-(Q183))</f>
        <v/>
      </c>
      <c r="R190" s="396">
        <f>((R114)-(R183))</f>
        <v/>
      </c>
      <c r="S190" s="396">
        <f>((S114)-(S183))</f>
        <v/>
      </c>
      <c r="T190" s="396">
        <f>((T114)-(T183))</f>
        <v/>
      </c>
      <c r="U190" s="396">
        <f>((U114)-(U183))</f>
        <v/>
      </c>
      <c r="V190" s="396">
        <f>((V114)-(V183))</f>
        <v/>
      </c>
      <c r="W190" s="396">
        <f>((W114)-(W183))</f>
        <v/>
      </c>
      <c r="X190" s="462" t="n"/>
      <c r="Y190" s="396">
        <f>((L190)+(M190)+(N190)+(O190)+(P190)+(Q190)+(R190)+(S190)+(T190)+(U190)+(V190)+(W190))</f>
        <v/>
      </c>
    </row>
    <row r="191" ht="15" customHeight="1" s="1883">
      <c r="F191" s="383" t="n"/>
      <c r="G191" s="385" t="inlineStr">
        <is>
          <t>OPERATING MARGIN, %</t>
        </is>
      </c>
      <c r="H191" s="383" t="n"/>
      <c r="I191" s="383" t="n"/>
      <c r="J191" s="383" t="n"/>
      <c r="K191" s="383" t="n"/>
      <c r="L191" s="574">
        <f>((L190)/(L114))</f>
        <v/>
      </c>
      <c r="M191" s="574">
        <f>((M190)/(M114))</f>
        <v/>
      </c>
      <c r="N191" s="574">
        <f>((N190)/(N114))</f>
        <v/>
      </c>
      <c r="O191" s="574">
        <f>((O190)/(O114))</f>
        <v/>
      </c>
      <c r="P191" s="574">
        <f>((P190)/(P114))</f>
        <v/>
      </c>
      <c r="Q191" s="574">
        <f>((Q190)/(Q114))</f>
        <v/>
      </c>
      <c r="R191" s="574">
        <f>((R190)/(R114))</f>
        <v/>
      </c>
      <c r="S191" s="574">
        <f>((S190)/(S114))</f>
        <v/>
      </c>
      <c r="T191" s="574">
        <f>((T190)/(T114))</f>
        <v/>
      </c>
      <c r="U191" s="574">
        <f>((U190)/(U114))</f>
        <v/>
      </c>
      <c r="V191" s="574">
        <f>((V190)/(V114))</f>
        <v/>
      </c>
      <c r="W191" s="574">
        <f>((W190)/(W114))</f>
        <v/>
      </c>
      <c r="X191" s="574" t="n"/>
      <c r="Y191" s="574">
        <f>((Y190)/(Y114))</f>
        <v/>
      </c>
    </row>
    <row r="196" ht="15" customHeight="1" s="1883">
      <c r="B196" s="385" t="inlineStr">
        <is>
          <t>YEAR 3 - OPERATING INCOME</t>
        </is>
      </c>
      <c r="C196" s="383" t="n"/>
      <c r="D196" s="383" t="n"/>
      <c r="E196" s="383" t="n"/>
      <c r="F196" s="383" t="n"/>
      <c r="G196" s="383" t="n"/>
      <c r="H196" s="383" t="n"/>
      <c r="I196" s="383" t="n"/>
      <c r="J196" s="383" t="n"/>
      <c r="K196" s="383" t="n"/>
      <c r="L196" s="383" t="n"/>
      <c r="M196" s="383" t="n"/>
      <c r="N196" s="383" t="n"/>
      <c r="O196" s="383" t="n"/>
      <c r="P196" s="383" t="n"/>
      <c r="Q196" s="383" t="n"/>
      <c r="R196" s="383" t="n"/>
      <c r="S196" s="383" t="n"/>
      <c r="T196" s="383" t="n"/>
      <c r="U196" s="383" t="n"/>
      <c r="V196" s="383" t="n"/>
      <c r="W196" s="383" t="n"/>
      <c r="X196" s="383" t="n"/>
      <c r="Y196" s="383" t="n"/>
      <c r="Z196" s="383" t="n"/>
      <c r="AA196" s="383" t="n"/>
    </row>
    <row r="197" ht="3" customHeight="1" s="1883">
      <c r="B197" s="387" t="n"/>
      <c r="C197" s="387" t="n"/>
      <c r="D197" s="387" t="n"/>
      <c r="E197" s="387" t="n"/>
      <c r="F197" s="387" t="n"/>
      <c r="G197" s="387" t="n"/>
      <c r="H197" s="387" t="n"/>
      <c r="I197" s="387" t="n"/>
      <c r="J197" s="387" t="n"/>
      <c r="K197" s="383" t="n"/>
      <c r="L197" s="383" t="n"/>
      <c r="M197" s="383" t="n"/>
      <c r="N197" s="383" t="n"/>
      <c r="O197" s="383" t="n"/>
      <c r="P197" s="383" t="n"/>
      <c r="Q197" s="383" t="n"/>
      <c r="R197" s="383" t="n"/>
      <c r="S197" s="383" t="n"/>
      <c r="T197" s="383" t="n"/>
      <c r="U197" s="383" t="n"/>
      <c r="V197" s="383" t="n"/>
      <c r="W197" s="383" t="n"/>
      <c r="X197" s="383" t="n"/>
      <c r="Y197" s="383" t="n"/>
      <c r="Z197" s="383" t="n"/>
      <c r="AA197" s="383" t="n"/>
    </row>
    <row r="198" ht="3" customHeight="1" s="1883">
      <c r="B198" s="383" t="n"/>
      <c r="C198" s="383" t="n"/>
      <c r="D198" s="383" t="n"/>
      <c r="E198" s="383" t="n"/>
      <c r="F198" s="383" t="n"/>
      <c r="G198" s="383" t="n"/>
      <c r="H198" s="383" t="n"/>
      <c r="I198" s="383" t="n"/>
      <c r="J198" s="383" t="n"/>
      <c r="K198" s="383" t="n"/>
      <c r="L198" s="383" t="n"/>
      <c r="M198" s="383" t="n"/>
      <c r="N198" s="383" t="n"/>
      <c r="O198" s="383" t="n"/>
      <c r="P198" s="383" t="n"/>
      <c r="Q198" s="383" t="n"/>
      <c r="R198" s="383" t="n"/>
      <c r="S198" s="383" t="n"/>
      <c r="T198" s="383" t="n"/>
      <c r="U198" s="383" t="n"/>
      <c r="V198" s="383" t="n"/>
      <c r="W198" s="383" t="n"/>
      <c r="X198" s="383" t="n"/>
      <c r="Y198" s="383" t="n"/>
      <c r="Z198" s="383" t="n"/>
      <c r="AA198" s="383" t="n"/>
    </row>
    <row r="199" ht="15" customHeight="1" s="1883">
      <c r="B199" s="383" t="n"/>
      <c r="C199" s="383" t="n"/>
      <c r="D199" s="383" t="n"/>
      <c r="E199" s="383" t="n"/>
      <c r="F199" s="383" t="n"/>
      <c r="G199" s="383" t="n"/>
      <c r="H199" s="383" t="n"/>
      <c r="I199" s="383" t="n"/>
      <c r="J199" s="383" t="n"/>
      <c r="K199" s="383" t="n"/>
      <c r="L199" s="1882" t="inlineStr">
        <is>
          <t>Year 3</t>
        </is>
      </c>
      <c r="Z199" s="383" t="n"/>
      <c r="AA199" s="383" t="n"/>
    </row>
    <row r="200" ht="3" customHeight="1" s="1883">
      <c r="B200" s="383" t="n"/>
      <c r="C200" s="383" t="n"/>
      <c r="D200" s="383" t="n"/>
      <c r="E200" s="383" t="n"/>
      <c r="F200" s="383" t="n"/>
      <c r="G200" s="383" t="n"/>
      <c r="H200" s="383" t="n"/>
      <c r="I200" s="383" t="n"/>
      <c r="J200" s="383" t="n"/>
      <c r="K200" s="383" t="n"/>
      <c r="L200" s="387" t="n"/>
      <c r="M200" s="387" t="n"/>
      <c r="N200" s="387" t="n"/>
      <c r="O200" s="387" t="n"/>
      <c r="P200" s="387" t="n"/>
      <c r="Q200" s="387" t="n"/>
      <c r="R200" s="387" t="n"/>
      <c r="S200" s="387" t="n"/>
      <c r="T200" s="387" t="n"/>
      <c r="U200" s="387" t="n"/>
      <c r="V200" s="387" t="n"/>
      <c r="W200" s="387" t="n"/>
      <c r="X200" s="387" t="n"/>
      <c r="Y200" s="387" t="n"/>
      <c r="Z200" s="383" t="n"/>
      <c r="AA200" s="383" t="n"/>
    </row>
    <row r="201" ht="3" customHeight="1" s="1883">
      <c r="B201" s="383" t="n"/>
      <c r="C201" s="383" t="n"/>
      <c r="D201" s="383" t="n"/>
      <c r="E201" s="383" t="n"/>
      <c r="F201" s="383" t="n"/>
      <c r="G201" s="383" t="n"/>
      <c r="H201" s="383" t="n"/>
      <c r="I201" s="383" t="n"/>
      <c r="J201" s="383" t="n"/>
      <c r="K201" s="383" t="n"/>
      <c r="L201" s="383" t="n"/>
      <c r="M201" s="383" t="n"/>
      <c r="N201" s="383" t="n"/>
      <c r="O201" s="383" t="n"/>
      <c r="P201" s="383" t="n"/>
      <c r="Q201" s="383" t="n"/>
      <c r="R201" s="383" t="n"/>
      <c r="S201" s="383" t="n"/>
      <c r="T201" s="383" t="n"/>
      <c r="U201" s="383" t="n"/>
      <c r="V201" s="383" t="n"/>
      <c r="W201" s="383" t="n"/>
      <c r="X201" s="383" t="n"/>
      <c r="Y201" s="383" t="n"/>
      <c r="Z201" s="383" t="n"/>
      <c r="AA201" s="383" t="n"/>
    </row>
    <row r="202" ht="15" customHeight="1" s="1883">
      <c r="B202" s="383" t="n"/>
      <c r="C202" s="383" t="n"/>
      <c r="D202" s="383" t="n"/>
      <c r="E202" s="383" t="n"/>
      <c r="F202" s="383" t="n"/>
      <c r="G202" s="383" t="n"/>
      <c r="H202" s="383" t="n"/>
      <c r="I202" s="383" t="n"/>
      <c r="J202" s="383" t="n"/>
      <c r="K202" s="383" t="n"/>
      <c r="L202" s="386" t="inlineStr">
        <is>
          <t>Month 25</t>
        </is>
      </c>
      <c r="M202" s="386" t="inlineStr">
        <is>
          <t>Month 26</t>
        </is>
      </c>
      <c r="N202" s="386" t="inlineStr">
        <is>
          <t>Month 27</t>
        </is>
      </c>
      <c r="O202" s="386" t="inlineStr">
        <is>
          <t>Month 28</t>
        </is>
      </c>
      <c r="P202" s="386" t="inlineStr">
        <is>
          <t>Month 29</t>
        </is>
      </c>
      <c r="Q202" s="386" t="inlineStr">
        <is>
          <t>Month 30</t>
        </is>
      </c>
      <c r="R202" s="386" t="inlineStr">
        <is>
          <t>Month 31</t>
        </is>
      </c>
      <c r="S202" s="386" t="inlineStr">
        <is>
          <t>Month 32</t>
        </is>
      </c>
      <c r="T202" s="386" t="inlineStr">
        <is>
          <t>Month 33</t>
        </is>
      </c>
      <c r="U202" s="386" t="inlineStr">
        <is>
          <t>Month 34</t>
        </is>
      </c>
      <c r="V202" s="386" t="inlineStr">
        <is>
          <t>Month 35</t>
        </is>
      </c>
      <c r="W202" s="386" t="inlineStr">
        <is>
          <t>Month 36</t>
        </is>
      </c>
      <c r="X202" s="383" t="n"/>
      <c r="Y202" s="386" t="inlineStr">
        <is>
          <t>Full-Year</t>
        </is>
      </c>
      <c r="Z202" s="383" t="n"/>
      <c r="AA202" s="386" t="inlineStr">
        <is>
          <t>Cross Check</t>
        </is>
      </c>
    </row>
    <row r="203" ht="3" customHeight="1" s="1883">
      <c r="B203" s="383" t="n"/>
      <c r="C203" s="383" t="n"/>
      <c r="D203" s="383" t="n"/>
      <c r="E203" s="383" t="n"/>
      <c r="F203" s="383" t="n"/>
      <c r="G203" s="383" t="n"/>
      <c r="H203" s="383" t="n"/>
      <c r="I203" s="383" t="n"/>
      <c r="J203" s="383" t="n"/>
      <c r="K203" s="383" t="n"/>
      <c r="L203" s="387" t="n"/>
      <c r="M203" s="387" t="n"/>
      <c r="N203" s="387" t="n"/>
      <c r="O203" s="387" t="n"/>
      <c r="P203" s="387" t="n"/>
      <c r="Q203" s="387" t="n"/>
      <c r="R203" s="387" t="n"/>
      <c r="S203" s="387" t="n"/>
      <c r="T203" s="387" t="n"/>
      <c r="U203" s="387" t="n"/>
      <c r="V203" s="387" t="n"/>
      <c r="W203" s="387" t="n"/>
      <c r="X203" s="383" t="n"/>
      <c r="Y203" s="387" t="n"/>
      <c r="Z203" s="383" t="n"/>
      <c r="AA203" s="387" t="n"/>
    </row>
    <row r="204" ht="3" customHeight="1" s="1883">
      <c r="B204" s="383" t="n"/>
      <c r="C204" s="383" t="n"/>
      <c r="D204" s="383" t="n"/>
      <c r="E204" s="383" t="n"/>
      <c r="F204" s="383" t="n"/>
      <c r="G204" s="383" t="n"/>
      <c r="H204" s="383" t="n"/>
      <c r="I204" s="383" t="n"/>
      <c r="J204" s="383" t="n"/>
      <c r="K204" s="383" t="n"/>
      <c r="L204" s="383" t="n"/>
      <c r="M204" s="383" t="n"/>
      <c r="N204" s="383" t="n"/>
      <c r="O204" s="383" t="n"/>
      <c r="P204" s="383" t="n"/>
      <c r="Q204" s="383" t="n"/>
      <c r="R204" s="383" t="n"/>
      <c r="S204" s="383" t="n"/>
      <c r="T204" s="383" t="n"/>
      <c r="U204" s="383" t="n"/>
      <c r="V204" s="383" t="n"/>
      <c r="W204" s="383" t="n"/>
      <c r="X204" s="383" t="n"/>
      <c r="Y204" s="383" t="n"/>
      <c r="Z204" s="383" t="n"/>
      <c r="AA204" s="383" t="n"/>
    </row>
    <row r="205" ht="15" customHeight="1" s="1883">
      <c r="B205" s="383" t="n"/>
      <c r="C205" s="383" t="n"/>
      <c r="D205" s="383" t="n"/>
      <c r="E205" s="383" t="n"/>
      <c r="F205" s="383" t="n"/>
      <c r="G205" s="383" t="n"/>
      <c r="H205" s="383" t="n"/>
      <c r="I205" s="383" t="n"/>
      <c r="J205" s="383" t="n"/>
      <c r="K205" s="383" t="n"/>
      <c r="L205" s="383" t="n"/>
      <c r="M205" s="383" t="n"/>
      <c r="N205" s="383" t="n"/>
      <c r="O205" s="383" t="n"/>
      <c r="P205" s="383" t="n"/>
      <c r="Q205" s="383" t="n"/>
      <c r="R205" s="383" t="n"/>
      <c r="S205" s="383" t="n"/>
      <c r="T205" s="383" t="n"/>
      <c r="U205" s="383" t="n"/>
      <c r="V205" s="383" t="n"/>
      <c r="W205" s="383" t="n"/>
      <c r="X205" s="383" t="n"/>
      <c r="Y205" s="383" t="n"/>
      <c r="Z205" s="383" t="n"/>
      <c r="AA205" s="383" t="n"/>
    </row>
    <row r="206" ht="15" customHeight="1" s="1883">
      <c r="B206" s="385" t="inlineStr">
        <is>
          <t>NET REVENUE</t>
        </is>
      </c>
      <c r="D206" s="383" t="n"/>
      <c r="E206" s="383" t="n"/>
      <c r="F206" s="383" t="n"/>
      <c r="G206" s="383" t="n"/>
      <c r="H206" s="383" t="n"/>
      <c r="I206" s="383" t="n"/>
      <c r="J206" s="383" t="n"/>
      <c r="K206" s="383" t="n"/>
      <c r="L206" s="396">
        <f>(('3B. Tel. - Rev. Detail x Month'!J482)+('7. Pure Influence'!G72)+('8. Pure Research - 1 of 2'!X40))</f>
        <v/>
      </c>
      <c r="M206" s="396">
        <f>(('3B. Tel. - Rev. Detail x Month'!K482)+('7. Pure Influence'!H72)+('8. Pure Research - 1 of 2'!X40))</f>
        <v/>
      </c>
      <c r="N206" s="396">
        <f>(('3B. Tel. - Rev. Detail x Month'!L482)+('7. Pure Influence'!I72)+('8. Pure Research - 1 of 2'!X40))</f>
        <v/>
      </c>
      <c r="O206" s="396">
        <f>(('3B. Tel. - Rev. Detail x Month'!M482)+('7. Pure Influence'!J72)+('8. Pure Research - 1 of 2'!X40))</f>
        <v/>
      </c>
      <c r="P206" s="396">
        <f>(('3B. Tel. - Rev. Detail x Month'!N482)+('7. Pure Influence'!K72)+('8. Pure Research - 1 of 2'!X40))</f>
        <v/>
      </c>
      <c r="Q206" s="396">
        <f>(('3B. Tel. - Rev. Detail x Month'!O482)+('7. Pure Influence'!L72)+('8. Pure Research - 1 of 2'!X40))</f>
        <v/>
      </c>
      <c r="R206" s="396">
        <f>(('3B. Tel. - Rev. Detail x Month'!P482)+('7. Pure Influence'!M72)+('8. Pure Research - 1 of 2'!X40))</f>
        <v/>
      </c>
      <c r="S206" s="396">
        <f>(('3B. Tel. - Rev. Detail x Month'!Q482)+('7. Pure Influence'!N72)+('8. Pure Research - 1 of 2'!X40))</f>
        <v/>
      </c>
      <c r="T206" s="396">
        <f>(('3B. Tel. - Rev. Detail x Month'!R482)+('7. Pure Influence'!O72)+('8. Pure Research - 1 of 2'!X40))</f>
        <v/>
      </c>
      <c r="U206" s="396">
        <f>(('3B. Tel. - Rev. Detail x Month'!S482)+('7. Pure Influence'!P72)+('8. Pure Research - 1 of 2'!X40))</f>
        <v/>
      </c>
      <c r="V206" s="396">
        <f>(('3B. Tel. - Rev. Detail x Month'!T482)+('7. Pure Influence'!Q72)+('8. Pure Research - 1 of 2'!X40))</f>
        <v/>
      </c>
      <c r="W206" s="396">
        <f>(('3B. Tel. - Rev. Detail x Month'!U482)+('7. Pure Influence'!R72)+('8. Pure Research - 1 of 2'!X40))</f>
        <v/>
      </c>
      <c r="X206" s="462" t="n"/>
      <c r="Y206" s="396">
        <f>((L206)+(M206)+(N206)+(O206)+(P206)+(Q206)+(R206)+(S206)+(T206)+(U206)+(V206)+(W206))</f>
        <v/>
      </c>
      <c r="Z206" s="462" t="n"/>
      <c r="AA206" s="462">
        <f>(('3B. Tel. - Rev. Detail x Month'!W482)+('7. Pure Influence'!T72)+('8. Pure Research - 1 of 2'!X36))</f>
        <v/>
      </c>
    </row>
    <row r="207" ht="15" customHeight="1" s="1883">
      <c r="B207" s="383" t="n"/>
      <c r="C207" s="383" t="n"/>
      <c r="D207" s="383" t="n"/>
      <c r="E207" s="383" t="n"/>
      <c r="F207" s="383" t="n"/>
      <c r="G207" s="383" t="n"/>
      <c r="H207" s="383" t="n"/>
      <c r="I207" s="383" t="n"/>
      <c r="J207" s="383" t="n"/>
      <c r="K207" s="383" t="n"/>
      <c r="L207" s="462" t="n"/>
      <c r="M207" s="462" t="n"/>
      <c r="N207" s="462" t="n"/>
      <c r="O207" s="462" t="n"/>
      <c r="P207" s="462" t="n"/>
      <c r="Q207" s="462" t="n"/>
      <c r="R207" s="462" t="n"/>
      <c r="S207" s="462" t="n"/>
      <c r="T207" s="462" t="n"/>
      <c r="U207" s="462" t="n"/>
      <c r="V207" s="462" t="n"/>
      <c r="W207" s="462" t="n"/>
      <c r="X207" s="462" t="n"/>
      <c r="Y207" s="462" t="n"/>
      <c r="Z207" s="462" t="n"/>
      <c r="AA207" s="462" t="n"/>
    </row>
    <row r="208" ht="15" customHeight="1" s="1883">
      <c r="B208" s="385" t="inlineStr">
        <is>
          <t>OPERATING EXPENSES</t>
        </is>
      </c>
      <c r="C208" s="383" t="n"/>
      <c r="D208" s="383" t="n"/>
      <c r="E208" s="383" t="n"/>
      <c r="F208" s="383" t="n"/>
      <c r="G208" s="383" t="n"/>
      <c r="H208" s="383" t="n"/>
      <c r="I208" s="383" t="n"/>
      <c r="J208" s="383" t="n"/>
      <c r="K208" s="383" t="n"/>
      <c r="L208" s="462" t="n"/>
      <c r="M208" s="462" t="n"/>
      <c r="N208" s="462" t="n"/>
      <c r="O208" s="462" t="n"/>
      <c r="P208" s="462" t="n"/>
      <c r="Q208" s="462" t="n"/>
      <c r="R208" s="462" t="n"/>
      <c r="S208" s="462" t="n"/>
      <c r="T208" s="462" t="n"/>
      <c r="U208" s="462" t="n"/>
      <c r="V208" s="462" t="n"/>
      <c r="W208" s="462" t="n"/>
      <c r="X208" s="462" t="n"/>
      <c r="Y208" s="462" t="n"/>
      <c r="Z208" s="462" t="n"/>
      <c r="AA208" s="462" t="n"/>
    </row>
    <row r="212" ht="15" customHeight="1" s="1883">
      <c r="C212" s="385" t="inlineStr">
        <is>
          <t>Expense Category</t>
        </is>
      </c>
      <c r="D212" s="383" t="n"/>
      <c r="E212" s="383" t="n"/>
      <c r="F212" s="383" t="n"/>
      <c r="G212" s="383" t="n"/>
      <c r="H212" s="383" t="n"/>
      <c r="I212" s="383" t="n"/>
      <c r="J212" s="386" t="inlineStr">
        <is>
          <t>Expense Driver</t>
        </is>
      </c>
      <c r="K212" s="383" t="n"/>
      <c r="L212" s="462" t="n"/>
      <c r="M212" s="462" t="n"/>
      <c r="N212" s="462" t="n"/>
      <c r="O212" s="462" t="n"/>
      <c r="P212" s="462" t="n"/>
      <c r="Q212" s="462" t="n"/>
      <c r="R212" s="462" t="n"/>
      <c r="S212" s="462" t="n"/>
      <c r="T212" s="462" t="n"/>
      <c r="U212" s="462" t="n"/>
      <c r="V212" s="462" t="n"/>
      <c r="W212" s="462" t="n"/>
      <c r="X212" s="462" t="n"/>
      <c r="Y212" s="462" t="n"/>
      <c r="Z212" s="462" t="n"/>
      <c r="AA212" s="462" t="n"/>
    </row>
    <row r="213" ht="3" customHeight="1" s="1883">
      <c r="C213" s="392" t="n"/>
      <c r="D213" s="387" t="n"/>
      <c r="E213" s="387" t="n"/>
      <c r="F213" s="387" t="n"/>
      <c r="G213" s="387" t="n"/>
      <c r="H213" s="387" t="n"/>
      <c r="I213" s="387" t="n"/>
      <c r="J213" s="387" t="n"/>
      <c r="K213" s="383" t="n"/>
      <c r="L213" s="462" t="n"/>
      <c r="M213" s="462" t="n"/>
      <c r="N213" s="462" t="n"/>
      <c r="O213" s="462" t="n"/>
      <c r="P213" s="462" t="n"/>
      <c r="Q213" s="462" t="n"/>
      <c r="R213" s="462" t="n"/>
      <c r="S213" s="462" t="n"/>
      <c r="T213" s="462" t="n"/>
      <c r="U213" s="462" t="n"/>
      <c r="V213" s="462" t="n"/>
      <c r="W213" s="462" t="n"/>
      <c r="X213" s="462" t="n"/>
      <c r="Y213" s="462" t="n"/>
      <c r="Z213" s="462" t="n"/>
      <c r="AA213" s="462" t="n"/>
    </row>
    <row r="214" ht="3" customHeight="1" s="1883">
      <c r="C214" s="385" t="n"/>
      <c r="D214" s="383" t="n"/>
      <c r="E214" s="383" t="n"/>
      <c r="F214" s="383" t="n"/>
      <c r="G214" s="383" t="n"/>
      <c r="H214" s="383" t="n"/>
      <c r="I214" s="383" t="n"/>
      <c r="J214" s="383" t="n"/>
      <c r="K214" s="383" t="n"/>
      <c r="L214" s="462" t="n"/>
      <c r="M214" s="462" t="n"/>
      <c r="N214" s="462" t="n"/>
      <c r="O214" s="462" t="n"/>
      <c r="P214" s="462" t="n"/>
      <c r="Q214" s="462" t="n"/>
      <c r="R214" s="462" t="n"/>
      <c r="S214" s="462" t="n"/>
      <c r="T214" s="462" t="n"/>
      <c r="U214" s="462" t="n"/>
      <c r="V214" s="462" t="n"/>
      <c r="W214" s="462" t="n"/>
      <c r="X214" s="462" t="n"/>
      <c r="Y214" s="462" t="n"/>
      <c r="Z214" s="462" t="n"/>
      <c r="AA214" s="462" t="n"/>
    </row>
    <row r="215" ht="15" customHeight="1" s="1883">
      <c r="C215" s="383" t="n"/>
      <c r="D215" s="383" t="n"/>
      <c r="E215" s="383" t="n"/>
      <c r="F215" s="383" t="n"/>
      <c r="G215" s="383" t="n"/>
      <c r="H215" s="383" t="n"/>
      <c r="I215" s="383" t="n"/>
      <c r="J215" s="383" t="n"/>
      <c r="K215" s="383" t="n"/>
      <c r="L215" s="462" t="n"/>
      <c r="M215" s="462" t="n"/>
      <c r="N215" s="462" t="n"/>
      <c r="O215" s="462" t="n"/>
      <c r="P215" s="462" t="n"/>
      <c r="Q215" s="462" t="n"/>
      <c r="R215" s="462" t="n"/>
      <c r="S215" s="462" t="n"/>
      <c r="T215" s="462" t="n"/>
      <c r="U215" s="462" t="n"/>
      <c r="V215" s="462" t="n"/>
      <c r="W215" s="462" t="n"/>
      <c r="X215" s="462" t="n"/>
      <c r="Y215" s="462" t="n"/>
      <c r="Z215" s="462" t="n"/>
      <c r="AA215" s="462" t="n"/>
    </row>
    <row r="216" ht="15" customHeight="1" s="1883">
      <c r="C216" s="385" t="inlineStr">
        <is>
          <t>People Cost</t>
        </is>
      </c>
      <c r="D216" s="383" t="n"/>
      <c r="E216" s="383" t="n"/>
      <c r="F216" s="383" t="n"/>
      <c r="G216" s="383" t="n"/>
      <c r="H216" s="383" t="n"/>
      <c r="I216" s="383" t="n"/>
      <c r="J216" s="383" t="n"/>
      <c r="K216" s="383" t="n"/>
      <c r="L216" s="462" t="n"/>
      <c r="M216" s="462" t="n"/>
      <c r="N216" s="462" t="n"/>
      <c r="O216" s="462" t="n"/>
      <c r="P216" s="462" t="n"/>
      <c r="Q216" s="462" t="n"/>
      <c r="R216" s="462" t="n"/>
      <c r="S216" s="462" t="n"/>
      <c r="T216" s="462" t="n"/>
      <c r="U216" s="462" t="n"/>
      <c r="V216" s="462" t="n"/>
      <c r="W216" s="462" t="n"/>
      <c r="X216" s="462" t="n"/>
      <c r="Y216" s="462" t="n"/>
      <c r="Z216" s="462" t="n"/>
      <c r="AA216" s="462" t="n"/>
    </row>
    <row r="217" ht="3" customHeight="1" s="1883">
      <c r="C217" s="387" t="n"/>
      <c r="D217" s="387" t="n"/>
      <c r="E217" s="387" t="n"/>
      <c r="F217" s="387" t="n"/>
      <c r="G217" s="387" t="n"/>
      <c r="H217" s="387" t="n"/>
      <c r="I217" s="387" t="n"/>
      <c r="J217" s="1910" t="n"/>
      <c r="K217" s="383" t="n"/>
      <c r="L217" s="462" t="n"/>
      <c r="M217" s="462" t="n"/>
      <c r="N217" s="462" t="n"/>
      <c r="O217" s="462" t="n"/>
      <c r="P217" s="462" t="n"/>
      <c r="Q217" s="462" t="n"/>
      <c r="R217" s="462" t="n"/>
      <c r="S217" s="462" t="n"/>
      <c r="T217" s="462" t="n"/>
      <c r="U217" s="462" t="n"/>
      <c r="V217" s="462" t="n"/>
      <c r="W217" s="462" t="n"/>
      <c r="X217" s="462" t="n"/>
      <c r="Y217" s="462" t="n"/>
      <c r="Z217" s="462" t="n"/>
      <c r="AA217" s="462" t="n"/>
    </row>
    <row r="218" ht="3" customHeight="1" s="1883">
      <c r="C218" s="383" t="n"/>
      <c r="D218" s="383" t="n"/>
      <c r="E218" s="383" t="n"/>
      <c r="F218" s="383" t="n"/>
      <c r="G218" s="383" t="n"/>
      <c r="H218" s="383" t="n"/>
      <c r="I218" s="383" t="n"/>
      <c r="J218" s="383" t="n"/>
      <c r="K218" s="383" t="n"/>
      <c r="L218" s="462" t="n"/>
      <c r="M218" s="462" t="n"/>
      <c r="N218" s="462" t="n"/>
      <c r="O218" s="462" t="n"/>
      <c r="P218" s="462" t="n"/>
      <c r="Q218" s="462" t="n"/>
      <c r="R218" s="462" t="n"/>
      <c r="S218" s="462" t="n"/>
      <c r="T218" s="462" t="n"/>
      <c r="U218" s="462" t="n"/>
      <c r="V218" s="462" t="n"/>
      <c r="W218" s="462" t="n"/>
      <c r="X218" s="462" t="n"/>
      <c r="Y218" s="462" t="n"/>
      <c r="Z218" s="462" t="n"/>
      <c r="AA218" s="462" t="n"/>
    </row>
    <row r="219" ht="15" customHeight="1" s="1883">
      <c r="C219" s="590" t="inlineStr">
        <is>
          <t>●</t>
        </is>
      </c>
      <c r="D219" s="583" t="inlineStr">
        <is>
          <t>Total Headcount</t>
        </is>
      </c>
      <c r="E219" s="383" t="n"/>
      <c r="F219" s="383" t="n"/>
      <c r="G219" s="383" t="n"/>
      <c r="H219" s="383" t="n"/>
      <c r="I219" s="383" t="n"/>
      <c r="J219" s="383" t="n"/>
      <c r="K219" s="383" t="n"/>
      <c r="L219" s="584">
        <f>'5A. People Cost Roll-Up'!BO19</f>
        <v/>
      </c>
      <c r="M219" s="584">
        <f>'5A. People Cost Roll-Up'!BP19</f>
        <v/>
      </c>
      <c r="N219" s="584">
        <f>'5A. People Cost Roll-Up'!BQ19</f>
        <v/>
      </c>
      <c r="O219" s="584">
        <f>'5A. People Cost Roll-Up'!BR19</f>
        <v/>
      </c>
      <c r="P219" s="584">
        <f>'5A. People Cost Roll-Up'!BS19</f>
        <v/>
      </c>
      <c r="Q219" s="584">
        <f>'5A. People Cost Roll-Up'!BT19</f>
        <v/>
      </c>
      <c r="R219" s="584">
        <f>'5A. People Cost Roll-Up'!BU19</f>
        <v/>
      </c>
      <c r="S219" s="584">
        <f>'5A. People Cost Roll-Up'!BV19</f>
        <v/>
      </c>
      <c r="T219" s="584">
        <f>'5A. People Cost Roll-Up'!BW19</f>
        <v/>
      </c>
      <c r="U219" s="584">
        <f>'5A. People Cost Roll-Up'!BX19</f>
        <v/>
      </c>
      <c r="V219" s="584">
        <f>'5A. People Cost Roll-Up'!BY19</f>
        <v/>
      </c>
      <c r="W219" s="584">
        <f>'5A. People Cost Roll-Up'!CA19</f>
        <v/>
      </c>
      <c r="X219" s="462" t="n"/>
      <c r="Y219" s="584">
        <f>AVERAGE(L219:W219)</f>
        <v/>
      </c>
      <c r="Z219" s="462" t="n"/>
      <c r="AA219" s="462" t="n"/>
    </row>
    <row r="220" ht="15" customHeight="1" s="1883">
      <c r="C220" s="390" t="inlineStr">
        <is>
          <t>●</t>
        </is>
      </c>
      <c r="D220" s="383" t="inlineStr">
        <is>
          <t>Employee Payroll</t>
        </is>
      </c>
      <c r="E220" s="383" t="n"/>
      <c r="F220" s="383" t="n"/>
      <c r="G220" s="383" t="n"/>
      <c r="H220" s="383" t="n"/>
      <c r="I220" s="383" t="n"/>
      <c r="J220" s="383" t="n"/>
      <c r="K220" s="383" t="n"/>
      <c r="L220" s="395">
        <f>'5A. People Cost Roll-Up'!BO47</f>
        <v/>
      </c>
      <c r="M220" s="395">
        <f>'5A. People Cost Roll-Up'!BP47</f>
        <v/>
      </c>
      <c r="N220" s="395">
        <f>'5A. People Cost Roll-Up'!BQ47</f>
        <v/>
      </c>
      <c r="O220" s="395">
        <f>'5A. People Cost Roll-Up'!BR47</f>
        <v/>
      </c>
      <c r="P220" s="395">
        <f>'5A. People Cost Roll-Up'!BS47</f>
        <v/>
      </c>
      <c r="Q220" s="395">
        <f>'5A. People Cost Roll-Up'!BT47</f>
        <v/>
      </c>
      <c r="R220" s="395">
        <f>'5A. People Cost Roll-Up'!BU47</f>
        <v/>
      </c>
      <c r="S220" s="395">
        <f>'5A. People Cost Roll-Up'!BV47</f>
        <v/>
      </c>
      <c r="T220" s="395">
        <f>'5A. People Cost Roll-Up'!BW47</f>
        <v/>
      </c>
      <c r="U220" s="395">
        <f>'5A. People Cost Roll-Up'!BX47</f>
        <v/>
      </c>
      <c r="V220" s="395">
        <f>'5A. People Cost Roll-Up'!BY47</f>
        <v/>
      </c>
      <c r="W220" s="395">
        <f>'5A. People Cost Roll-Up'!BZ47</f>
        <v/>
      </c>
      <c r="X220" s="462" t="n"/>
      <c r="Y220" s="396">
        <f>((L220)+(M220)+(N220)+(O220)+(P220)+(Q220)+(R220)+(S220)+(T220)+(U220)+(V220)+(W220))</f>
        <v/>
      </c>
      <c r="Z220" s="462" t="n"/>
      <c r="AA220" s="462">
        <f>'5A. People Cost Roll-Up'!CA47</f>
        <v/>
      </c>
    </row>
    <row r="221" ht="15" customHeight="1" s="1883">
      <c r="C221" s="390" t="inlineStr">
        <is>
          <t>●</t>
        </is>
      </c>
      <c r="D221" s="383" t="inlineStr">
        <is>
          <t>Employer Payroll Taxes</t>
        </is>
      </c>
      <c r="E221" s="383" t="n"/>
      <c r="F221" s="383" t="n"/>
      <c r="G221" s="383" t="n"/>
      <c r="H221" s="383" t="n"/>
      <c r="I221" s="383" t="n"/>
      <c r="J221" s="383" t="n"/>
      <c r="K221" s="383" t="n"/>
      <c r="L221" s="462">
        <f>'5A. People Cost Roll-Up'!BO66</f>
        <v/>
      </c>
      <c r="M221" s="462">
        <f>'5A. People Cost Roll-Up'!BP66</f>
        <v/>
      </c>
      <c r="N221" s="462">
        <f>'5A. People Cost Roll-Up'!BQ66</f>
        <v/>
      </c>
      <c r="O221" s="462">
        <f>'5A. People Cost Roll-Up'!BR66</f>
        <v/>
      </c>
      <c r="P221" s="462">
        <f>'5A. People Cost Roll-Up'!BS66</f>
        <v/>
      </c>
      <c r="Q221" s="462">
        <f>'5A. People Cost Roll-Up'!BT66</f>
        <v/>
      </c>
      <c r="R221" s="462">
        <f>'5A. People Cost Roll-Up'!BU66</f>
        <v/>
      </c>
      <c r="S221" s="462">
        <f>'5A. People Cost Roll-Up'!BV66</f>
        <v/>
      </c>
      <c r="T221" s="462">
        <f>'5A. People Cost Roll-Up'!BW66</f>
        <v/>
      </c>
      <c r="U221" s="462">
        <f>'5A. People Cost Roll-Up'!BX66</f>
        <v/>
      </c>
      <c r="V221" s="462">
        <f>'5A. People Cost Roll-Up'!BY66</f>
        <v/>
      </c>
      <c r="W221" s="462">
        <f>'5A. People Cost Roll-Up'!BZ66</f>
        <v/>
      </c>
      <c r="X221" s="462" t="n"/>
      <c r="Y221" s="494">
        <f>((L221)+(M221)+(N221)+(O221)+(P221)+(Q221)+(R221)+(S221)+(T221)+(U221)+(V221)+(W221))</f>
        <v/>
      </c>
      <c r="Z221" s="462" t="n"/>
      <c r="AA221" s="462">
        <f>'5A. People Cost Roll-Up'!CA66</f>
        <v/>
      </c>
    </row>
    <row r="222" ht="15" customHeight="1" s="1883">
      <c r="C222" s="390" t="inlineStr">
        <is>
          <t>●</t>
        </is>
      </c>
      <c r="D222" s="383" t="inlineStr">
        <is>
          <t>Employee Benefits</t>
        </is>
      </c>
      <c r="E222" s="383" t="n"/>
      <c r="F222" s="383" t="n"/>
      <c r="G222" s="383" t="n"/>
      <c r="H222" s="383" t="n"/>
      <c r="I222" s="383" t="n"/>
      <c r="J222" s="383" t="n"/>
      <c r="K222" s="383" t="n"/>
      <c r="L222" s="462">
        <f>'5A. People Cost Roll-Up'!BO88</f>
        <v/>
      </c>
      <c r="M222" s="462">
        <f>'5A. People Cost Roll-Up'!BP88</f>
        <v/>
      </c>
      <c r="N222" s="462">
        <f>'5A. People Cost Roll-Up'!BQ88</f>
        <v/>
      </c>
      <c r="O222" s="462">
        <f>'5A. People Cost Roll-Up'!BR88</f>
        <v/>
      </c>
      <c r="P222" s="462">
        <f>'5A. People Cost Roll-Up'!BS88</f>
        <v/>
      </c>
      <c r="Q222" s="462">
        <f>'5A. People Cost Roll-Up'!BT88</f>
        <v/>
      </c>
      <c r="R222" s="462">
        <f>'5A. People Cost Roll-Up'!BU88</f>
        <v/>
      </c>
      <c r="S222" s="462">
        <f>'5A. People Cost Roll-Up'!BV88</f>
        <v/>
      </c>
      <c r="T222" s="462">
        <f>'5A. People Cost Roll-Up'!BW88</f>
        <v/>
      </c>
      <c r="U222" s="462">
        <f>'5A. People Cost Roll-Up'!BX88</f>
        <v/>
      </c>
      <c r="V222" s="462">
        <f>'5A. People Cost Roll-Up'!BY88</f>
        <v/>
      </c>
      <c r="W222" s="462">
        <f>'5A. People Cost Roll-Up'!BZ88</f>
        <v/>
      </c>
      <c r="X222" s="462" t="n"/>
      <c r="Y222" s="494">
        <f>((L222)+(M222)+(N222)+(O222)+(P222)+(Q222)+(R222)+(S222)+(T222)+(U222)+(V222)+(W222))</f>
        <v/>
      </c>
      <c r="Z222" s="462" t="n"/>
      <c r="AA222" s="462">
        <f>'5A. People Cost Roll-Up'!CA88</f>
        <v/>
      </c>
    </row>
    <row r="225" ht="15" customHeight="1" s="1883">
      <c r="C225" s="383" t="n"/>
      <c r="E225" s="385" t="inlineStr">
        <is>
          <t>Total People Cost</t>
        </is>
      </c>
      <c r="F225" s="383" t="n"/>
      <c r="G225" s="383" t="n"/>
      <c r="H225" s="383" t="n"/>
      <c r="I225" s="383" t="n"/>
      <c r="J225" s="383" t="n"/>
      <c r="K225" s="383" t="n"/>
      <c r="L225" s="396">
        <f>SUM(L220:L222)</f>
        <v/>
      </c>
      <c r="M225" s="396">
        <f>SUM(M220:M222)</f>
        <v/>
      </c>
      <c r="N225" s="396">
        <f>SUM(N220:N222)</f>
        <v/>
      </c>
      <c r="O225" s="396">
        <f>SUM(O220:O222)</f>
        <v/>
      </c>
      <c r="P225" s="396">
        <f>SUM(P220:P222)</f>
        <v/>
      </c>
      <c r="Q225" s="396">
        <f>SUM(Q220:Q222)</f>
        <v/>
      </c>
      <c r="R225" s="396">
        <f>SUM(R220:R222)</f>
        <v/>
      </c>
      <c r="S225" s="396">
        <f>SUM(S220:S222)</f>
        <v/>
      </c>
      <c r="T225" s="396">
        <f>SUM(T220:T222)</f>
        <v/>
      </c>
      <c r="U225" s="396">
        <f>SUM(U220:U222)</f>
        <v/>
      </c>
      <c r="V225" s="396">
        <f>SUM(V220:V222)</f>
        <v/>
      </c>
      <c r="W225" s="396">
        <f>SUM(W220:W222)</f>
        <v/>
      </c>
      <c r="X225" s="396">
        <f>SUM(X220:X222)</f>
        <v/>
      </c>
      <c r="Y225" s="396">
        <f>SUM(Y220:Y222)</f>
        <v/>
      </c>
      <c r="Z225" s="396" t="n"/>
      <c r="AA225" s="396">
        <f>SUM(AA220:AA222)</f>
        <v/>
      </c>
    </row>
    <row r="226" ht="3" customHeight="1" s="1883">
      <c r="C226" s="383" t="n"/>
      <c r="D226" s="383" t="n"/>
      <c r="E226" s="383" t="n"/>
      <c r="F226" s="383" t="n"/>
      <c r="G226" s="383" t="n"/>
      <c r="H226" s="383" t="n"/>
      <c r="I226" s="383" t="n"/>
      <c r="J226" s="383" t="n"/>
      <c r="K226" s="383" t="n"/>
      <c r="L226" s="387" t="n"/>
      <c r="M226" s="387" t="n"/>
      <c r="N226" s="387" t="n"/>
      <c r="O226" s="387" t="n"/>
      <c r="P226" s="387" t="n"/>
      <c r="Q226" s="387" t="n"/>
      <c r="R226" s="387" t="n"/>
      <c r="S226" s="387" t="n"/>
      <c r="T226" s="387" t="n"/>
      <c r="U226" s="387" t="n"/>
      <c r="V226" s="387" t="n"/>
      <c r="W226" s="387" t="n"/>
      <c r="X226" s="383" t="n"/>
      <c r="Y226" s="387" t="n"/>
      <c r="Z226" s="383" t="n"/>
      <c r="AA226" s="387" t="n"/>
    </row>
    <row r="227" ht="3" customHeight="1" s="1883">
      <c r="C227" s="383" t="n"/>
      <c r="D227" s="383" t="n"/>
      <c r="E227" s="383" t="n"/>
      <c r="F227" s="383" t="n"/>
      <c r="G227" s="383" t="n"/>
      <c r="H227" s="383" t="n"/>
      <c r="I227" s="383" t="n"/>
      <c r="J227" s="383" t="n"/>
      <c r="K227" s="383" t="n"/>
      <c r="L227" s="383" t="n"/>
      <c r="M227" s="383" t="n"/>
      <c r="N227" s="383" t="n"/>
      <c r="O227" s="383" t="n"/>
      <c r="P227" s="383" t="n"/>
      <c r="Q227" s="383" t="n"/>
      <c r="R227" s="383" t="n"/>
      <c r="S227" s="383" t="n"/>
      <c r="T227" s="383" t="n"/>
      <c r="U227" s="383" t="n"/>
      <c r="V227" s="383" t="n"/>
      <c r="W227" s="383" t="n"/>
      <c r="X227" s="383" t="n"/>
      <c r="Y227" s="383" t="n"/>
      <c r="Z227" s="383" t="n"/>
      <c r="AA227" s="383" t="n"/>
    </row>
    <row r="228" ht="15" customHeight="1" s="1883">
      <c r="C228" s="383" t="n"/>
      <c r="D228" s="383" t="n"/>
      <c r="E228" s="383" t="n"/>
      <c r="F228" s="383" t="n"/>
      <c r="G228" s="383" t="n"/>
      <c r="H228" s="383" t="n"/>
      <c r="I228" s="383" t="n"/>
      <c r="J228" s="383" t="n"/>
      <c r="K228" s="383" t="n"/>
      <c r="L228" s="462" t="n"/>
      <c r="M228" s="462" t="n"/>
      <c r="N228" s="462" t="n"/>
      <c r="O228" s="462" t="n"/>
      <c r="P228" s="462" t="n"/>
      <c r="Q228" s="462" t="n"/>
      <c r="R228" s="462" t="n"/>
      <c r="S228" s="462" t="n"/>
      <c r="T228" s="462" t="n"/>
      <c r="U228" s="462" t="n"/>
      <c r="V228" s="462" t="n"/>
      <c r="W228" s="462" t="n"/>
      <c r="X228" s="462" t="n"/>
      <c r="Y228" s="462" t="n"/>
      <c r="Z228" s="462" t="n"/>
      <c r="AA228" s="462" t="n"/>
    </row>
    <row r="229" ht="15" customHeight="1" s="1883">
      <c r="C229" s="385" t="inlineStr">
        <is>
          <t>Research and Development</t>
        </is>
      </c>
      <c r="D229" s="383" t="n"/>
      <c r="E229" s="383" t="n"/>
      <c r="F229" s="383" t="n"/>
      <c r="G229" s="383" t="n"/>
      <c r="H229" s="383" t="n"/>
      <c r="I229" s="383" t="n"/>
      <c r="J229" s="592" t="inlineStr">
        <is>
          <t>7.5% of Realized Revenue from Market Research Svs.</t>
        </is>
      </c>
      <c r="K229" s="383" t="n"/>
      <c r="L229" s="396">
        <f>(('3B. Tel. - Rev. Detail x Month'!J360)*(0.075))</f>
        <v/>
      </c>
      <c r="M229" s="396">
        <f>(('3B. Tel. - Rev. Detail x Month'!K360)*(0.075))</f>
        <v/>
      </c>
      <c r="N229" s="396">
        <f>(('3B. Tel. - Rev. Detail x Month'!L360)*(0.075))</f>
        <v/>
      </c>
      <c r="O229" s="396">
        <f>(('3B. Tel. - Rev. Detail x Month'!M360)*(0.075))</f>
        <v/>
      </c>
      <c r="P229" s="396">
        <f>(('3B. Tel. - Rev. Detail x Month'!N360)*(0.075))</f>
        <v/>
      </c>
      <c r="Q229" s="396">
        <f>(('3B. Tel. - Rev. Detail x Month'!O360)*(0.075))</f>
        <v/>
      </c>
      <c r="R229" s="396">
        <f>(('3B. Tel. - Rev. Detail x Month'!P360)*(0.075))</f>
        <v/>
      </c>
      <c r="S229" s="396">
        <f>(('3B. Tel. - Rev. Detail x Month'!Q360)*(0.075))</f>
        <v/>
      </c>
      <c r="T229" s="396">
        <f>(('3B. Tel. - Rev. Detail x Month'!R360)*(0.075))</f>
        <v/>
      </c>
      <c r="U229" s="396">
        <f>(('3B. Tel. - Rev. Detail x Month'!S360)*(0.075))</f>
        <v/>
      </c>
      <c r="V229" s="396">
        <f>(('3B. Tel. - Rev. Detail x Month'!T360)*(0.075))</f>
        <v/>
      </c>
      <c r="W229" s="396">
        <f>(('3B. Tel. - Rev. Detail x Month'!U360)*(0.075))</f>
        <v/>
      </c>
      <c r="X229" s="462" t="n"/>
      <c r="Y229" s="396">
        <f>((L229)+(M229)+(N229)+(O229)+(P229)+(Q229)+(R229)+(S229)+(T229)+(U229)+(V229)+(W229))</f>
        <v/>
      </c>
      <c r="Z229" s="462" t="n"/>
      <c r="AA229" s="462">
        <f>((('3B. Tel. - Rev. Detail x Month'!W131)+('3B. Tel. - Rev. Detail x Month'!W360))*(0.12))</f>
        <v/>
      </c>
    </row>
    <row r="230" ht="15" customHeight="1" s="1883">
      <c r="C230" s="383" t="n"/>
      <c r="D230" s="383" t="n"/>
      <c r="E230" s="383" t="n"/>
      <c r="F230" s="383" t="n"/>
      <c r="G230" s="383" t="n"/>
      <c r="H230" s="383" t="n"/>
      <c r="I230" s="383" t="n"/>
      <c r="J230" s="383" t="n"/>
      <c r="K230" s="383" t="n"/>
      <c r="L230" s="462" t="n"/>
      <c r="M230" s="462" t="n"/>
      <c r="N230" s="462" t="n"/>
      <c r="O230" s="462" t="n"/>
      <c r="P230" s="462" t="n"/>
      <c r="Q230" s="462" t="n"/>
      <c r="R230" s="462" t="n"/>
      <c r="S230" s="462" t="n"/>
      <c r="T230" s="462" t="n"/>
      <c r="U230" s="462" t="n"/>
      <c r="V230" s="462" t="n"/>
      <c r="W230" s="462" t="n"/>
      <c r="X230" s="462" t="n"/>
      <c r="Y230" s="462" t="n"/>
      <c r="Z230" s="462" t="n"/>
      <c r="AA230" s="462" t="n"/>
    </row>
    <row r="231" ht="15" customHeight="1" s="1883">
      <c r="C231" s="385" t="inlineStr">
        <is>
          <t>Sales and Marketing</t>
        </is>
      </c>
      <c r="D231" s="383" t="n"/>
      <c r="E231" s="383" t="n"/>
      <c r="F231" s="383" t="n"/>
      <c r="G231" s="383" t="n"/>
      <c r="H231" s="383" t="n"/>
      <c r="I231" s="383" t="n"/>
      <c r="J231" s="383" t="n"/>
      <c r="K231" s="383" t="n"/>
      <c r="L231" s="462" t="n"/>
      <c r="M231" s="462" t="n"/>
      <c r="N231" s="462" t="n"/>
      <c r="O231" s="462" t="n"/>
      <c r="P231" s="462" t="n"/>
      <c r="Q231" s="462" t="n"/>
      <c r="R231" s="462" t="n"/>
      <c r="S231" s="462" t="n"/>
      <c r="T231" s="462" t="n"/>
      <c r="U231" s="462" t="n"/>
      <c r="V231" s="462" t="n"/>
      <c r="W231" s="462" t="n"/>
      <c r="X231" s="462" t="n"/>
      <c r="Y231" s="462" t="n"/>
      <c r="Z231" s="462" t="n"/>
      <c r="AA231" s="462" t="n"/>
    </row>
    <row r="232" ht="15" customHeight="1" s="1883">
      <c r="C232" s="590" t="inlineStr">
        <is>
          <t>●</t>
        </is>
      </c>
      <c r="D232" s="583" t="inlineStr">
        <is>
          <t>Sales and Marketing Headcount</t>
        </is>
      </c>
      <c r="E232" s="383" t="n"/>
      <c r="F232" s="383" t="n"/>
      <c r="G232" s="383" t="n"/>
      <c r="H232" s="383" t="n"/>
      <c r="I232" s="383" t="n"/>
      <c r="J232" s="383" t="n"/>
      <c r="K232" s="383" t="n"/>
      <c r="L232" s="584">
        <f>'5A. People Cost Roll-Up'!BO21</f>
        <v/>
      </c>
      <c r="M232" s="584">
        <f>'5A. People Cost Roll-Up'!BP21</f>
        <v/>
      </c>
      <c r="N232" s="584">
        <f>'5A. People Cost Roll-Up'!BQ21</f>
        <v/>
      </c>
      <c r="O232" s="584">
        <f>'5A. People Cost Roll-Up'!BR21</f>
        <v/>
      </c>
      <c r="P232" s="584">
        <f>'5A. People Cost Roll-Up'!BS21</f>
        <v/>
      </c>
      <c r="Q232" s="584">
        <f>'5A. People Cost Roll-Up'!BT21</f>
        <v/>
      </c>
      <c r="R232" s="584">
        <f>'5A. People Cost Roll-Up'!BU21</f>
        <v/>
      </c>
      <c r="S232" s="584">
        <f>'5A. People Cost Roll-Up'!BV21</f>
        <v/>
      </c>
      <c r="T232" s="584">
        <f>'5A. People Cost Roll-Up'!BW21</f>
        <v/>
      </c>
      <c r="U232" s="584">
        <f>'5A. People Cost Roll-Up'!BX21</f>
        <v/>
      </c>
      <c r="V232" s="584">
        <f>'5A. People Cost Roll-Up'!BY21</f>
        <v/>
      </c>
      <c r="W232" s="584">
        <f>'5A. People Cost Roll-Up'!BZ21</f>
        <v/>
      </c>
      <c r="X232" s="462" t="n"/>
      <c r="Y232" s="584">
        <f>AVERAGE(L232:W232)</f>
        <v/>
      </c>
      <c r="Z232" s="462" t="n"/>
      <c r="AA232" s="462" t="n"/>
    </row>
    <row r="233" ht="15" customHeight="1" s="1883">
      <c r="C233" s="390" t="inlineStr">
        <is>
          <t>●</t>
        </is>
      </c>
      <c r="D233" s="383" t="inlineStr">
        <is>
          <t>Advertising and Marketing</t>
        </is>
      </c>
      <c r="E233" s="383" t="n"/>
      <c r="F233" s="383" t="n"/>
      <c r="G233" s="383" t="n"/>
      <c r="H233" s="383" t="n"/>
      <c r="I233" s="383" t="n"/>
      <c r="J233" s="592" t="inlineStr">
        <is>
          <t>10.00% of Gross Revenue</t>
        </is>
      </c>
      <c r="K233" s="383" t="n"/>
      <c r="L233" s="395">
        <f>((('3B. Tel. - Rev. Detail x Month'!J131)+('3B. Tel. - Rev. Detail x Month'!J360))*(0.1))</f>
        <v/>
      </c>
      <c r="M233" s="395">
        <f>((('3B. Tel. - Rev. Detail x Month'!K131)+('3B. Tel. - Rev. Detail x Month'!K360))*(0.1))</f>
        <v/>
      </c>
      <c r="N233" s="395">
        <f>((('3B. Tel. - Rev. Detail x Month'!L131)+('3B. Tel. - Rev. Detail x Month'!L360))*(0.1))</f>
        <v/>
      </c>
      <c r="O233" s="395">
        <f>((('3B. Tel. - Rev. Detail x Month'!M131)+('3B. Tel. - Rev. Detail x Month'!M360))*(0.1))</f>
        <v/>
      </c>
      <c r="P233" s="395">
        <f>((('3B. Tel. - Rev. Detail x Month'!N131)+('3B. Tel. - Rev. Detail x Month'!N360))*(0.1))</f>
        <v/>
      </c>
      <c r="Q233" s="395">
        <f>((('3B. Tel. - Rev. Detail x Month'!O131)+('3B. Tel. - Rev. Detail x Month'!O360))*(0.1))</f>
        <v/>
      </c>
      <c r="R233" s="395">
        <f>((('3B. Tel. - Rev. Detail x Month'!P131)+('3B. Tel. - Rev. Detail x Month'!P360))*(0.1))</f>
        <v/>
      </c>
      <c r="S233" s="395">
        <f>((('3B. Tel. - Rev. Detail x Month'!Q131)+('3B. Tel. - Rev. Detail x Month'!Q360))*(0.1))</f>
        <v/>
      </c>
      <c r="T233" s="395">
        <f>((('3B. Tel. - Rev. Detail x Month'!R131)+('3B. Tel. - Rev. Detail x Month'!R360))*(0.1))</f>
        <v/>
      </c>
      <c r="U233" s="395">
        <f>((('3B. Tel. - Rev. Detail x Month'!S131)+('3B. Tel. - Rev. Detail x Month'!S360))*(0.1))</f>
        <v/>
      </c>
      <c r="V233" s="395">
        <f>((('3B. Tel. - Rev. Detail x Month'!T131)+('3B. Tel. - Rev. Detail x Month'!T360))*(0.1))</f>
        <v/>
      </c>
      <c r="W233" s="395">
        <f>((('3B. Tel. - Rev. Detail x Month'!U131)+('3B. Tel. - Rev. Detail x Month'!U360))*(0.1))</f>
        <v/>
      </c>
      <c r="X233" s="462" t="n"/>
      <c r="Y233" s="396">
        <f>((L233)+(M233)+(N233)+(O233)+(P233)+(Q233)+(R233)+(S233)+(T233)+(U233)+(V233)+(W233))</f>
        <v/>
      </c>
      <c r="Z233" s="462" t="n"/>
      <c r="AA233" s="462">
        <f>((('3B. Tel. - Rev. Detail x Month'!W131)+('3B. Tel. - Rev. Detail x Month'!W360))*(0.1))</f>
        <v/>
      </c>
    </row>
    <row r="234" ht="15" customHeight="1" s="1883">
      <c r="C234" s="390" t="inlineStr">
        <is>
          <t>●</t>
        </is>
      </c>
      <c r="D234" s="383" t="inlineStr">
        <is>
          <t>Travel</t>
        </is>
      </c>
      <c r="E234" s="383" t="n"/>
      <c r="F234" s="383" t="n"/>
      <c r="G234" s="383" t="n"/>
      <c r="H234" s="383" t="n"/>
      <c r="I234" s="383" t="n"/>
      <c r="J234" s="384" t="inlineStr">
        <is>
          <t>17% increase vs. Year 2</t>
        </is>
      </c>
      <c r="K234" s="383" t="n"/>
      <c r="L234" s="462">
        <f>'4B. Tel. Expense Assumptions'!AE48</f>
        <v/>
      </c>
      <c r="M234" s="462">
        <f>'4B. Tel. Expense Assumptions'!AF48</f>
        <v/>
      </c>
      <c r="N234" s="462">
        <f>'4B. Tel. Expense Assumptions'!AG48</f>
        <v/>
      </c>
      <c r="O234" s="462">
        <f>'4B. Tel. Expense Assumptions'!AH48</f>
        <v/>
      </c>
      <c r="P234" s="462">
        <f>'4B. Tel. Expense Assumptions'!AI48</f>
        <v/>
      </c>
      <c r="Q234" s="462">
        <f>'4B. Tel. Expense Assumptions'!AJ48</f>
        <v/>
      </c>
      <c r="R234" s="462">
        <f>'4B. Tel. Expense Assumptions'!AK48</f>
        <v/>
      </c>
      <c r="S234" s="462">
        <f>'4B. Tel. Expense Assumptions'!AL48</f>
        <v/>
      </c>
      <c r="T234" s="462">
        <f>'4B. Tel. Expense Assumptions'!AM48</f>
        <v/>
      </c>
      <c r="U234" s="462">
        <f>'4B. Tel. Expense Assumptions'!AN48</f>
        <v/>
      </c>
      <c r="V234" s="462">
        <f>'4B. Tel. Expense Assumptions'!AN48</f>
        <v/>
      </c>
      <c r="W234" s="462">
        <f>'4B. Tel. Expense Assumptions'!AP48</f>
        <v/>
      </c>
      <c r="X234" s="462" t="n"/>
      <c r="Y234" s="494">
        <f>((L234)+(M234)+(N234)+(O234)+(P234)+(Q234)+(R234)+(S234)+(T234)+(U234)+(V234)+(W234))</f>
        <v/>
      </c>
      <c r="Z234" s="462" t="n"/>
      <c r="AA234" s="462">
        <f>SUM('4B. Tel. Expense Assumptions'!AE48:AP48)</f>
        <v/>
      </c>
    </row>
    <row r="235" ht="15" customHeight="1" s="1883">
      <c r="C235" s="390" t="inlineStr">
        <is>
          <t>●</t>
        </is>
      </c>
      <c r="D235" s="383" t="inlineStr">
        <is>
          <t>Telephone</t>
        </is>
      </c>
      <c r="E235" s="383" t="n"/>
      <c r="F235" s="383" t="n"/>
      <c r="G235" s="383" t="n"/>
      <c r="H235" s="383" t="n"/>
      <c r="I235" s="383" t="n"/>
      <c r="J235" s="384" t="inlineStr">
        <is>
          <t>$150/employee/month</t>
        </is>
      </c>
      <c r="K235" s="383" t="n"/>
      <c r="L235" s="462">
        <f>((150)*(L232))</f>
        <v/>
      </c>
      <c r="M235" s="462">
        <f>((150)*(M232))</f>
        <v/>
      </c>
      <c r="N235" s="462">
        <f>((150)*(N232))</f>
        <v/>
      </c>
      <c r="O235" s="462">
        <f>((150)*(O232))</f>
        <v/>
      </c>
      <c r="P235" s="462">
        <f>((150)*(P232))</f>
        <v/>
      </c>
      <c r="Q235" s="462">
        <f>((150)*(Q232))</f>
        <v/>
      </c>
      <c r="R235" s="462">
        <f>((150)*(R232))</f>
        <v/>
      </c>
      <c r="S235" s="462">
        <f>((150)*(S232))</f>
        <v/>
      </c>
      <c r="T235" s="462">
        <f>((150)*(T232))</f>
        <v/>
      </c>
      <c r="U235" s="462">
        <f>((150)*(U232))</f>
        <v/>
      </c>
      <c r="V235" s="462">
        <f>((150)*(V232))</f>
        <v/>
      </c>
      <c r="W235" s="462">
        <f>((150)*(W232))</f>
        <v/>
      </c>
      <c r="X235" s="462" t="n"/>
      <c r="Y235" s="494">
        <f>((L235)+(M235)+(N235)+(O235)+(P235)+(Q235)+(R235)+(S235)+(T235)+(U235)+(V235)+(W235))</f>
        <v/>
      </c>
      <c r="Z235" s="462" t="n"/>
      <c r="AA235" s="462" t="n"/>
    </row>
    <row r="236" ht="3" customHeight="1" s="1883">
      <c r="C236" s="390" t="n"/>
      <c r="D236" s="383" t="n"/>
      <c r="E236" s="383" t="n"/>
      <c r="F236" s="383" t="n"/>
      <c r="G236" s="383" t="n"/>
      <c r="H236" s="383" t="n"/>
      <c r="I236" s="383" t="n"/>
      <c r="J236" s="383" t="n"/>
      <c r="K236" s="383" t="n"/>
      <c r="L236" s="508" t="n"/>
      <c r="M236" s="508" t="n"/>
      <c r="N236" s="508" t="n"/>
      <c r="O236" s="508" t="n"/>
      <c r="P236" s="508" t="n"/>
      <c r="Q236" s="508" t="n"/>
      <c r="R236" s="508" t="n"/>
      <c r="S236" s="508" t="n"/>
      <c r="T236" s="508" t="n"/>
      <c r="U236" s="508" t="n"/>
      <c r="V236" s="508" t="n"/>
      <c r="W236" s="508" t="n"/>
      <c r="X236" s="462" t="n"/>
      <c r="Y236" s="508" t="n"/>
      <c r="Z236" s="462" t="n"/>
      <c r="AA236" s="462" t="n"/>
    </row>
    <row r="237" ht="3" customHeight="1" s="1883">
      <c r="C237" s="390" t="n"/>
      <c r="D237" s="383" t="n"/>
      <c r="E237" s="383" t="n"/>
      <c r="F237" s="383" t="n"/>
      <c r="G237" s="383" t="n"/>
      <c r="H237" s="383" t="n"/>
      <c r="I237" s="383" t="n"/>
      <c r="J237" s="383" t="n"/>
      <c r="K237" s="383" t="n"/>
      <c r="L237" s="462" t="n"/>
      <c r="M237" s="462" t="n"/>
      <c r="N237" s="462" t="n"/>
      <c r="O237" s="462" t="n"/>
      <c r="P237" s="462" t="n"/>
      <c r="Q237" s="462" t="n"/>
      <c r="R237" s="462" t="n"/>
      <c r="S237" s="462" t="n"/>
      <c r="T237" s="462" t="n"/>
      <c r="U237" s="462" t="n"/>
      <c r="V237" s="462" t="n"/>
      <c r="W237" s="462" t="n"/>
      <c r="X237" s="462" t="n"/>
      <c r="Y237" s="462" t="n"/>
      <c r="Z237" s="462" t="n"/>
      <c r="AA237" s="462" t="n"/>
    </row>
    <row r="238" ht="15" customHeight="1" s="1883">
      <c r="C238" s="390" t="n"/>
      <c r="D238" s="383" t="n"/>
      <c r="E238" s="385" t="inlineStr">
        <is>
          <t>Total, Sales and Marketing</t>
        </is>
      </c>
      <c r="F238" s="383" t="n"/>
      <c r="G238" s="383" t="n"/>
      <c r="H238" s="383" t="n"/>
      <c r="I238" s="383" t="n"/>
      <c r="J238" s="383" t="n"/>
      <c r="K238" s="383" t="n"/>
      <c r="L238" s="396">
        <f>SUM(L233:L235)</f>
        <v/>
      </c>
      <c r="M238" s="396">
        <f>SUM(M233:M235)</f>
        <v/>
      </c>
      <c r="N238" s="396">
        <f>SUM(N233:N235)</f>
        <v/>
      </c>
      <c r="O238" s="396">
        <f>SUM(O233:O235)</f>
        <v/>
      </c>
      <c r="P238" s="396">
        <f>SUM(P233:P235)</f>
        <v/>
      </c>
      <c r="Q238" s="396">
        <f>SUM(Q233:Q235)</f>
        <v/>
      </c>
      <c r="R238" s="396">
        <f>SUM(R233:R235)</f>
        <v/>
      </c>
      <c r="S238" s="396">
        <f>SUM(S233:S235)</f>
        <v/>
      </c>
      <c r="T238" s="396">
        <f>SUM(T233:T235)</f>
        <v/>
      </c>
      <c r="U238" s="396">
        <f>SUM(U233:U235)</f>
        <v/>
      </c>
      <c r="V238" s="396">
        <f>SUM(V233:V235)</f>
        <v/>
      </c>
      <c r="W238" s="396">
        <f>SUM(W233:W235)</f>
        <v/>
      </c>
      <c r="X238" s="462" t="n"/>
      <c r="Y238" s="396">
        <f>SUM(Y233:Y235)</f>
        <v/>
      </c>
      <c r="Z238" s="462" t="n"/>
      <c r="AA238" s="462" t="n"/>
    </row>
    <row r="242" ht="15" customHeight="1" s="1883">
      <c r="C242" s="385" t="inlineStr">
        <is>
          <t>Occupancy</t>
        </is>
      </c>
      <c r="D242" s="383" t="n"/>
      <c r="E242" s="383" t="n"/>
      <c r="F242" s="383" t="n"/>
      <c r="G242" s="383" t="n"/>
      <c r="H242" s="383" t="n"/>
      <c r="I242" s="383" t="n"/>
      <c r="J242" s="383" t="n"/>
      <c r="K242" s="383" t="n"/>
      <c r="L242" s="507" t="n"/>
      <c r="M242" s="507" t="n"/>
      <c r="N242" s="507" t="n"/>
      <c r="O242" s="507" t="n"/>
      <c r="P242" s="507" t="n"/>
      <c r="Q242" s="507" t="n"/>
      <c r="R242" s="507" t="n"/>
      <c r="S242" s="507" t="n"/>
      <c r="T242" s="507" t="n"/>
      <c r="U242" s="507" t="n"/>
      <c r="V242" s="507" t="n"/>
      <c r="W242" s="507" t="n"/>
      <c r="X242" s="507" t="n"/>
      <c r="Y242" s="507" t="n"/>
      <c r="Z242" s="507" t="n"/>
      <c r="AA242" s="507" t="n"/>
    </row>
    <row r="243" ht="15" customHeight="1" s="1883">
      <c r="C243" s="390" t="inlineStr">
        <is>
          <t>●</t>
        </is>
      </c>
      <c r="D243" s="383" t="inlineStr">
        <is>
          <t>Rent</t>
        </is>
      </c>
      <c r="E243" s="383" t="n"/>
      <c r="F243" s="383" t="n"/>
      <c r="G243" s="383" t="n"/>
      <c r="H243" s="383" t="n"/>
      <c r="I243" s="383" t="n"/>
      <c r="J243" s="383" t="n"/>
      <c r="K243" s="383" t="n"/>
      <c r="L243" s="395">
        <f>'4B. Tel. Expense Assumptions'!AE12</f>
        <v/>
      </c>
      <c r="M243" s="395">
        <f>'4B. Tel. Expense Assumptions'!AF12</f>
        <v/>
      </c>
      <c r="N243" s="395">
        <f>'4B. Tel. Expense Assumptions'!AG12</f>
        <v/>
      </c>
      <c r="O243" s="395">
        <f>'4B. Tel. Expense Assumptions'!AH12</f>
        <v/>
      </c>
      <c r="P243" s="395">
        <f>'4B. Tel. Expense Assumptions'!AI12</f>
        <v/>
      </c>
      <c r="Q243" s="395">
        <f>'4B. Tel. Expense Assumptions'!AJ12</f>
        <v/>
      </c>
      <c r="R243" s="395">
        <f>'4B. Tel. Expense Assumptions'!AK12</f>
        <v/>
      </c>
      <c r="S243" s="395">
        <f>'4B. Tel. Expense Assumptions'!AL12</f>
        <v/>
      </c>
      <c r="T243" s="395">
        <f>'4B. Tel. Expense Assumptions'!AM12</f>
        <v/>
      </c>
      <c r="U243" s="395">
        <f>'4B. Tel. Expense Assumptions'!AN12</f>
        <v/>
      </c>
      <c r="V243" s="395">
        <f>'4B. Tel. Expense Assumptions'!AO12</f>
        <v/>
      </c>
      <c r="W243" s="395">
        <f>'4B. Tel. Expense Assumptions'!AP12</f>
        <v/>
      </c>
      <c r="X243" s="462" t="n"/>
      <c r="Y243" s="396">
        <f>((L243)+(M243)+(N243)+(O243)+(P243)+(Q243)+(R243)+(S243)+(T243)+(U243)+(V243)+(W243))</f>
        <v/>
      </c>
      <c r="Z243" s="462" t="n"/>
      <c r="AA243" s="462">
        <f>SUM('4B. Tel. Expense Assumptions'!AE12:AP12)</f>
        <v/>
      </c>
    </row>
    <row r="244" ht="15" customHeight="1" s="1883">
      <c r="C244" s="390" t="inlineStr">
        <is>
          <t>●</t>
        </is>
      </c>
      <c r="D244" s="383" t="inlineStr">
        <is>
          <t>Utilities</t>
        </is>
      </c>
      <c r="E244" s="383" t="n"/>
      <c r="F244" s="383" t="n"/>
      <c r="G244" s="383" t="n"/>
      <c r="H244" s="383" t="n"/>
      <c r="I244" s="383" t="n"/>
      <c r="J244" s="383" t="n"/>
      <c r="K244" s="383" t="n"/>
      <c r="L244" s="462">
        <f>'4B. Tel. Expense Assumptions'!AE17</f>
        <v/>
      </c>
      <c r="M244" s="462">
        <f>'4B. Tel. Expense Assumptions'!AF17</f>
        <v/>
      </c>
      <c r="N244" s="462">
        <f>'4B. Tel. Expense Assumptions'!AG17</f>
        <v/>
      </c>
      <c r="O244" s="462">
        <f>'4B. Tel. Expense Assumptions'!AH17</f>
        <v/>
      </c>
      <c r="P244" s="462">
        <f>'4B. Tel. Expense Assumptions'!AI17</f>
        <v/>
      </c>
      <c r="Q244" s="462">
        <f>'4B. Tel. Expense Assumptions'!AJ17</f>
        <v/>
      </c>
      <c r="R244" s="462">
        <f>'4B. Tel. Expense Assumptions'!AK17</f>
        <v/>
      </c>
      <c r="S244" s="462">
        <f>'4B. Tel. Expense Assumptions'!AL17</f>
        <v/>
      </c>
      <c r="T244" s="462">
        <f>'4B. Tel. Expense Assumptions'!AM17</f>
        <v/>
      </c>
      <c r="U244" s="462">
        <f>'4B. Tel. Expense Assumptions'!AN17</f>
        <v/>
      </c>
      <c r="V244" s="462">
        <f>'4B. Tel. Expense Assumptions'!AO17</f>
        <v/>
      </c>
      <c r="W244" s="462">
        <f>'4B. Tel. Expense Assumptions'!AP17</f>
        <v/>
      </c>
      <c r="X244" s="462" t="n"/>
      <c r="Y244" s="494">
        <f>((L244)+(M244)+(N244)+(O244)+(P244)+(Q244)+(R244)+(S244)+(T244)+(U244)+(V244)+(W244))</f>
        <v/>
      </c>
      <c r="Z244" s="462" t="n"/>
      <c r="AA244" s="462">
        <f>SUM('4B. Tel. Expense Assumptions'!AE17:AP17)</f>
        <v/>
      </c>
    </row>
    <row r="245" ht="3" customHeight="1" s="1883">
      <c r="C245" s="390" t="n"/>
      <c r="D245" s="383" t="n"/>
      <c r="E245" s="383" t="n"/>
      <c r="F245" s="383" t="n"/>
      <c r="G245" s="383" t="n"/>
      <c r="H245" s="383" t="n"/>
      <c r="I245" s="383" t="n"/>
      <c r="J245" s="383" t="n"/>
      <c r="K245" s="383" t="n"/>
      <c r="L245" s="508" t="n"/>
      <c r="M245" s="508" t="n"/>
      <c r="N245" s="508" t="n"/>
      <c r="O245" s="508" t="n"/>
      <c r="P245" s="508" t="n"/>
      <c r="Q245" s="508" t="n"/>
      <c r="R245" s="508" t="n"/>
      <c r="S245" s="508" t="n"/>
      <c r="T245" s="508" t="n"/>
      <c r="U245" s="508" t="n"/>
      <c r="V245" s="508" t="n"/>
      <c r="W245" s="508" t="n"/>
      <c r="X245" s="462" t="n"/>
      <c r="Y245" s="508" t="n"/>
      <c r="Z245" s="462" t="n"/>
      <c r="AA245" s="462" t="n"/>
    </row>
    <row r="246" ht="3" customHeight="1" s="1883">
      <c r="C246" s="390" t="n"/>
      <c r="D246" s="383" t="n"/>
      <c r="E246" s="383" t="n"/>
      <c r="F246" s="383" t="n"/>
      <c r="G246" s="383" t="n"/>
      <c r="H246" s="383" t="n"/>
      <c r="I246" s="383" t="n"/>
      <c r="J246" s="383" t="n"/>
      <c r="K246" s="383" t="n"/>
      <c r="L246" s="462" t="n"/>
      <c r="M246" s="462" t="n"/>
      <c r="N246" s="462" t="n"/>
      <c r="O246" s="462" t="n"/>
      <c r="P246" s="462" t="n"/>
      <c r="Q246" s="462" t="n"/>
      <c r="R246" s="462" t="n"/>
      <c r="S246" s="462" t="n"/>
      <c r="T246" s="462" t="n"/>
      <c r="U246" s="462" t="n"/>
      <c r="V246" s="462" t="n"/>
      <c r="W246" s="462" t="n"/>
      <c r="X246" s="462" t="n"/>
      <c r="Y246" s="462" t="n"/>
      <c r="Z246" s="462" t="n"/>
      <c r="AA246" s="462" t="n"/>
    </row>
    <row r="247" ht="15" customHeight="1" s="1883">
      <c r="C247" s="390" t="n"/>
      <c r="D247" s="383" t="n"/>
      <c r="E247" s="385" t="inlineStr">
        <is>
          <t>Total, Occupancy</t>
        </is>
      </c>
      <c r="F247" s="383" t="n"/>
      <c r="G247" s="383" t="n"/>
      <c r="H247" s="383" t="n"/>
      <c r="I247" s="383" t="n"/>
      <c r="J247" s="383" t="n"/>
      <c r="K247" s="383" t="n"/>
      <c r="L247" s="396">
        <f>SUM(L243:L244)</f>
        <v/>
      </c>
      <c r="M247" s="396">
        <f>SUM(M243:M244)</f>
        <v/>
      </c>
      <c r="N247" s="396">
        <f>SUM(N243:N244)</f>
        <v/>
      </c>
      <c r="O247" s="396">
        <f>SUM(O243:O244)</f>
        <v/>
      </c>
      <c r="P247" s="396">
        <f>SUM(P243:P244)</f>
        <v/>
      </c>
      <c r="Q247" s="396">
        <f>SUM(Q243:Q244)</f>
        <v/>
      </c>
      <c r="R247" s="396">
        <f>SUM(R243:R244)</f>
        <v/>
      </c>
      <c r="S247" s="396">
        <f>SUM(S243:S244)</f>
        <v/>
      </c>
      <c r="T247" s="396">
        <f>SUM(T243:T244)</f>
        <v/>
      </c>
      <c r="U247" s="396">
        <f>SUM(U243:U244)</f>
        <v/>
      </c>
      <c r="V247" s="396">
        <f>SUM(V243:V244)</f>
        <v/>
      </c>
      <c r="W247" s="396">
        <f>SUM(W243:W244)</f>
        <v/>
      </c>
      <c r="X247" s="462" t="n"/>
      <c r="Y247" s="396">
        <f>SUM(Y243:Y244)</f>
        <v/>
      </c>
      <c r="Z247" s="462" t="n"/>
      <c r="AA247" s="462" t="n"/>
    </row>
    <row r="248" ht="3" customHeight="1" s="1883">
      <c r="C248" s="390" t="n"/>
      <c r="D248" s="383" t="n"/>
      <c r="E248" s="383" t="n"/>
      <c r="F248" s="383" t="n"/>
      <c r="G248" s="383" t="n"/>
      <c r="H248" s="383" t="n"/>
      <c r="I248" s="383" t="n"/>
      <c r="J248" s="383" t="n"/>
      <c r="K248" s="383" t="n"/>
      <c r="L248" s="508" t="n"/>
      <c r="M248" s="508" t="n"/>
      <c r="N248" s="508" t="n"/>
      <c r="O248" s="508" t="n"/>
      <c r="P248" s="508" t="n"/>
      <c r="Q248" s="508" t="n"/>
      <c r="R248" s="508" t="n"/>
      <c r="S248" s="508" t="n"/>
      <c r="T248" s="508" t="n"/>
      <c r="U248" s="508" t="n"/>
      <c r="V248" s="508" t="n"/>
      <c r="W248" s="508" t="n"/>
      <c r="X248" s="462" t="n"/>
      <c r="Y248" s="508" t="n"/>
      <c r="Z248" s="462" t="n"/>
      <c r="AA248" s="462" t="n"/>
    </row>
    <row r="249" ht="3" customHeight="1" s="1883">
      <c r="C249" s="385" t="n"/>
      <c r="D249" s="383" t="n"/>
      <c r="E249" s="383" t="n"/>
      <c r="F249" s="383" t="n"/>
      <c r="G249" s="383" t="n"/>
      <c r="H249" s="383" t="n"/>
      <c r="I249" s="383" t="n"/>
      <c r="J249" s="383" t="n"/>
      <c r="K249" s="383" t="n"/>
      <c r="L249" s="462" t="n"/>
      <c r="M249" s="462" t="n"/>
      <c r="N249" s="462" t="n"/>
      <c r="O249" s="462" t="n"/>
      <c r="P249" s="462" t="n"/>
      <c r="Q249" s="462" t="n"/>
      <c r="R249" s="462" t="n"/>
      <c r="S249" s="462" t="n"/>
      <c r="T249" s="462" t="n"/>
      <c r="U249" s="462" t="n"/>
      <c r="V249" s="462" t="n"/>
      <c r="W249" s="462" t="n"/>
      <c r="X249" s="462" t="n"/>
      <c r="Y249" s="462" t="n"/>
      <c r="Z249" s="462" t="n"/>
      <c r="AA249" s="462" t="n"/>
    </row>
    <row r="250" ht="15" customHeight="1" s="1883">
      <c r="C250" s="383" t="n"/>
      <c r="D250" s="383" t="n"/>
      <c r="E250" s="383" t="n"/>
      <c r="F250" s="383" t="n"/>
      <c r="G250" s="383" t="n"/>
      <c r="H250" s="383" t="n"/>
      <c r="I250" s="383" t="n"/>
      <c r="J250" s="383" t="n"/>
      <c r="K250" s="383" t="n"/>
      <c r="L250" s="462" t="n"/>
      <c r="M250" s="462" t="n"/>
      <c r="N250" s="462" t="n"/>
      <c r="O250" s="462" t="n"/>
      <c r="P250" s="462" t="n"/>
      <c r="Q250" s="462" t="n"/>
      <c r="R250" s="462" t="n"/>
      <c r="S250" s="462" t="n"/>
      <c r="T250" s="462" t="n"/>
      <c r="U250" s="462" t="n"/>
      <c r="V250" s="462" t="n"/>
      <c r="W250" s="462" t="n"/>
      <c r="X250" s="462" t="n"/>
      <c r="Y250" s="462" t="n"/>
      <c r="Z250" s="462" t="n"/>
      <c r="AA250" s="462" t="n"/>
    </row>
    <row r="251" ht="15" customHeight="1" s="1883">
      <c r="C251" s="385" t="inlineStr">
        <is>
          <t>General and Administrative</t>
        </is>
      </c>
      <c r="D251" s="383" t="n"/>
      <c r="E251" s="383" t="n"/>
      <c r="F251" s="383" t="n"/>
      <c r="G251" s="383" t="n"/>
      <c r="H251" s="383" t="n"/>
      <c r="I251" s="383" t="n"/>
      <c r="J251" s="383" t="n"/>
      <c r="K251" s="383" t="n"/>
      <c r="L251" s="462" t="n"/>
      <c r="M251" s="462" t="n"/>
      <c r="N251" s="462" t="n"/>
      <c r="O251" s="462" t="n"/>
      <c r="P251" s="462" t="n"/>
      <c r="Q251" s="462" t="n"/>
      <c r="R251" s="462" t="n"/>
      <c r="S251" s="462" t="n"/>
      <c r="T251" s="462" t="n"/>
      <c r="U251" s="462" t="n"/>
      <c r="V251" s="462" t="n"/>
      <c r="W251" s="462" t="n"/>
      <c r="X251" s="462" t="n"/>
      <c r="Y251" s="462" t="n"/>
      <c r="Z251" s="462" t="n"/>
      <c r="AA251" s="462" t="n"/>
    </row>
    <row r="252" ht="15" customHeight="1" s="1883">
      <c r="C252" s="390" t="inlineStr">
        <is>
          <t>●</t>
        </is>
      </c>
      <c r="D252" s="383" t="inlineStr">
        <is>
          <t>Insurance - Product Liability</t>
        </is>
      </c>
      <c r="E252" s="383" t="n"/>
      <c r="F252" s="383" t="n"/>
      <c r="G252" s="383" t="n"/>
      <c r="H252" s="383" t="n"/>
      <c r="I252" s="383" t="n"/>
      <c r="J252" s="384" t="inlineStr">
        <is>
          <t>0.4% of ∑ Gross Revenue</t>
        </is>
      </c>
      <c r="K252" s="383" t="n"/>
      <c r="L252" s="462">
        <f>((('3B. Tel. - Rev. Detail x Month'!J131)+('3B. Tel. - Rev. Detail x Month'!J360))*(0.004))</f>
        <v/>
      </c>
      <c r="M252" s="462">
        <f>((('3B. Tel. - Rev. Detail x Month'!K131)+('3B. Tel. - Rev. Detail x Month'!K360))*(0.004))</f>
        <v/>
      </c>
      <c r="N252" s="462">
        <f>((('3B. Tel. - Rev. Detail x Month'!L131)+('3B. Tel. - Rev. Detail x Month'!L360))*(0.004))</f>
        <v/>
      </c>
      <c r="O252" s="462">
        <f>((('3B. Tel. - Rev. Detail x Month'!M131)+('3B. Tel. - Rev. Detail x Month'!M360))*(0.004))</f>
        <v/>
      </c>
      <c r="P252" s="462">
        <f>((('3B. Tel. - Rev. Detail x Month'!N131)+('3B. Tel. - Rev. Detail x Month'!N360))*(0.004))</f>
        <v/>
      </c>
      <c r="Q252" s="462">
        <f>((('3B. Tel. - Rev. Detail x Month'!O131)+('3B. Tel. - Rev. Detail x Month'!O360))*(0.004))</f>
        <v/>
      </c>
      <c r="R252" s="462">
        <f>((('3B. Tel. - Rev. Detail x Month'!P131)+('3B. Tel. - Rev. Detail x Month'!P360))*(0.004))</f>
        <v/>
      </c>
      <c r="S252" s="462">
        <f>((('3B. Tel. - Rev. Detail x Month'!Q131)+('3B. Tel. - Rev. Detail x Month'!Q360))*(0.004))</f>
        <v/>
      </c>
      <c r="T252" s="462">
        <f>((('3B. Tel. - Rev. Detail x Month'!R131)+('3B. Tel. - Rev. Detail x Month'!R360))*(0.004))</f>
        <v/>
      </c>
      <c r="U252" s="462">
        <f>((('3B. Tel. - Rev. Detail x Month'!S131)+('3B. Tel. - Rev. Detail x Month'!S360))*(0.004))</f>
        <v/>
      </c>
      <c r="V252" s="462">
        <f>((('3B. Tel. - Rev. Detail x Month'!T131)+('3B. Tel. - Rev. Detail x Month'!T360))*(0.004))</f>
        <v/>
      </c>
      <c r="W252" s="462">
        <f>((('3B. Tel. - Rev. Detail x Month'!U131)+('3B. Tel. - Rev. Detail x Month'!U360))*(0.004))</f>
        <v/>
      </c>
      <c r="X252" s="462" t="n"/>
      <c r="Y252" s="396">
        <f>((L252)+(M252)+(N252)+(O252)+(P252)+(Q252)+(R252)+(S252)+(T252)+(U252)+(V252)+(W252))</f>
        <v/>
      </c>
      <c r="Z252" s="462" t="n"/>
      <c r="AA252" s="462">
        <f>((('3B. Tel. - Rev. Detail x Month'!W131)+('3B. Tel. - Rev. Detail x Month'!W360))*(0.005))</f>
        <v/>
      </c>
    </row>
    <row r="253" ht="15" customHeight="1" s="1883">
      <c r="C253" s="390" t="inlineStr">
        <is>
          <t>●</t>
        </is>
      </c>
      <c r="D253" s="383" t="inlineStr">
        <is>
          <t>Insurance - General Liability</t>
        </is>
      </c>
      <c r="E253" s="383" t="n"/>
      <c r="F253" s="383" t="n"/>
      <c r="G253" s="383" t="n"/>
      <c r="H253" s="383" t="n"/>
      <c r="I253" s="383" t="n"/>
      <c r="J253" s="383" t="n"/>
      <c r="K253" s="383" t="n"/>
      <c r="L253" s="462">
        <f>'4B. Tel. Expense Assumptions'!AE35</f>
        <v/>
      </c>
      <c r="M253" s="462">
        <f>'4B. Tel. Expense Assumptions'!AF35</f>
        <v/>
      </c>
      <c r="N253" s="462">
        <f>'4B. Tel. Expense Assumptions'!AG35</f>
        <v/>
      </c>
      <c r="O253" s="462">
        <f>'4B. Tel. Expense Assumptions'!AH35</f>
        <v/>
      </c>
      <c r="P253" s="462">
        <f>'4B. Tel. Expense Assumptions'!AI35</f>
        <v/>
      </c>
      <c r="Q253" s="462">
        <f>'4B. Tel. Expense Assumptions'!AJ35</f>
        <v/>
      </c>
      <c r="R253" s="462">
        <f>'4B. Tel. Expense Assumptions'!AK35</f>
        <v/>
      </c>
      <c r="S253" s="462">
        <f>'4B. Tel. Expense Assumptions'!AL35</f>
        <v/>
      </c>
      <c r="T253" s="462">
        <f>'4B. Tel. Expense Assumptions'!AM35</f>
        <v/>
      </c>
      <c r="U253" s="462">
        <f>'4B. Tel. Expense Assumptions'!AN35</f>
        <v/>
      </c>
      <c r="V253" s="462">
        <f>'4B. Tel. Expense Assumptions'!AO35</f>
        <v/>
      </c>
      <c r="W253" s="462">
        <f>'4B. Tel. Expense Assumptions'!AP35</f>
        <v/>
      </c>
      <c r="X253" s="462" t="n"/>
      <c r="Y253" s="494">
        <f>((L253)+(M253)+(N253)+(O253)+(P253)+(Q253)+(R253)+(S253)+(T253)+(U253)+(V253)+(W253))</f>
        <v/>
      </c>
      <c r="Z253" s="462" t="n"/>
      <c r="AA253" s="462">
        <f>SUM('4B. Tel. Expense Assumptions'!AE35:AP35)</f>
        <v/>
      </c>
    </row>
    <row r="254" ht="15" customHeight="1" s="1883">
      <c r="C254" s="390" t="inlineStr">
        <is>
          <t>●</t>
        </is>
      </c>
      <c r="D254" s="383" t="inlineStr">
        <is>
          <t xml:space="preserve">Professional Fees </t>
        </is>
      </c>
      <c r="E254" s="383" t="n"/>
      <c r="F254" s="383" t="n"/>
      <c r="G254" s="383" t="n"/>
      <c r="H254" s="383" t="n"/>
      <c r="I254" s="383" t="n"/>
      <c r="J254" s="383" t="n"/>
      <c r="K254" s="383" t="n"/>
      <c r="L254" s="462" t="n"/>
      <c r="M254" s="462" t="n"/>
      <c r="N254" s="462" t="n"/>
      <c r="O254" s="462" t="n"/>
      <c r="P254" s="462" t="n"/>
      <c r="Q254" s="462" t="n"/>
      <c r="R254" s="462" t="n"/>
      <c r="S254" s="462" t="n"/>
      <c r="T254" s="462" t="n"/>
      <c r="U254" s="462" t="n"/>
      <c r="V254" s="462" t="n"/>
      <c r="W254" s="462" t="n"/>
      <c r="X254" s="462" t="n"/>
      <c r="Y254" s="462" t="n"/>
      <c r="Z254" s="462" t="n"/>
      <c r="AA254" s="462" t="n"/>
    </row>
    <row r="255" ht="15" customHeight="1" s="1883">
      <c r="C255" s="383" t="n"/>
      <c r="D255" s="390" t="inlineStr">
        <is>
          <t>●</t>
        </is>
      </c>
      <c r="E255" s="383" t="inlineStr">
        <is>
          <t>Legal</t>
        </is>
      </c>
      <c r="F255" s="383" t="n"/>
      <c r="G255" s="383" t="n"/>
      <c r="H255" s="383" t="n"/>
      <c r="I255" s="383" t="n"/>
      <c r="J255" s="384" t="inlineStr">
        <is>
          <t>100% increase vs. Year 2</t>
        </is>
      </c>
      <c r="K255" s="383" t="n"/>
      <c r="L255" s="462">
        <f>'4B. Tel. Expense Assumptions'!AE41</f>
        <v/>
      </c>
      <c r="M255" s="462">
        <f>'4B. Tel. Expense Assumptions'!AF41</f>
        <v/>
      </c>
      <c r="N255" s="462">
        <f>'4B. Tel. Expense Assumptions'!AG41</f>
        <v/>
      </c>
      <c r="O255" s="462">
        <f>'4B. Tel. Expense Assumptions'!AH41</f>
        <v/>
      </c>
      <c r="P255" s="462">
        <f>'4B. Tel. Expense Assumptions'!AI41</f>
        <v/>
      </c>
      <c r="Q255" s="462">
        <f>'4B. Tel. Expense Assumptions'!AJ41</f>
        <v/>
      </c>
      <c r="R255" s="462">
        <f>'4B. Tel. Expense Assumptions'!AK41</f>
        <v/>
      </c>
      <c r="S255" s="462">
        <f>'4B. Tel. Expense Assumptions'!AL41</f>
        <v/>
      </c>
      <c r="T255" s="462">
        <f>'4B. Tel. Expense Assumptions'!AM41</f>
        <v/>
      </c>
      <c r="U255" s="462">
        <f>'4B. Tel. Expense Assumptions'!AN41</f>
        <v/>
      </c>
      <c r="V255" s="462">
        <f>'4B. Tel. Expense Assumptions'!AO41</f>
        <v/>
      </c>
      <c r="W255" s="462">
        <f>'4B. Tel. Expense Assumptions'!AP41</f>
        <v/>
      </c>
      <c r="X255" s="462" t="n"/>
      <c r="Y255" s="494">
        <f>((L255)+(M255)+(N255)+(O255)+(P255)+(Q255)+(R255)+(S255)+(T255)+(U255)+(V255)+(W255))</f>
        <v/>
      </c>
      <c r="Z255" s="462" t="n"/>
      <c r="AA255" s="462" t="n"/>
    </row>
    <row r="256" ht="15" customHeight="1" s="1883">
      <c r="C256" s="383" t="n"/>
      <c r="D256" s="390" t="inlineStr">
        <is>
          <t>●</t>
        </is>
      </c>
      <c r="E256" s="383" t="inlineStr">
        <is>
          <t>Accounting and Tax</t>
        </is>
      </c>
      <c r="F256" s="383" t="n"/>
      <c r="G256" s="383" t="n"/>
      <c r="H256" s="383" t="n"/>
      <c r="I256" s="383" t="n"/>
      <c r="J256" s="384" t="inlineStr">
        <is>
          <t>100% increase vs. Year 2</t>
        </is>
      </c>
      <c r="K256" s="383" t="n"/>
      <c r="L256" s="462" t="n">
        <v>30000</v>
      </c>
      <c r="M256" s="462" t="n">
        <v>30000</v>
      </c>
      <c r="N256" s="462" t="n">
        <v>30000</v>
      </c>
      <c r="O256" s="462" t="n">
        <v>30000</v>
      </c>
      <c r="P256" s="462" t="n">
        <v>30000</v>
      </c>
      <c r="Q256" s="462" t="n">
        <v>30000</v>
      </c>
      <c r="R256" s="462" t="n">
        <v>30000</v>
      </c>
      <c r="S256" s="462" t="n">
        <v>30000</v>
      </c>
      <c r="T256" s="462" t="n">
        <v>30000</v>
      </c>
      <c r="U256" s="462" t="n">
        <v>30000</v>
      </c>
      <c r="V256" s="462" t="n">
        <v>30000</v>
      </c>
      <c r="W256" s="462" t="n">
        <v>30000</v>
      </c>
      <c r="X256" s="462" t="n"/>
      <c r="Y256" s="494">
        <f>((L256)+(M256)+(N256)+(O256)+(P256)+(Q256)+(R256)+(S256)+(T256)+(U256)+(V256)+(W256))</f>
        <v/>
      </c>
      <c r="Z256" s="462" t="n"/>
      <c r="AA256" s="462" t="n"/>
    </row>
    <row r="257" ht="15" customHeight="1" s="1883">
      <c r="C257" s="383" t="n"/>
      <c r="D257" s="390" t="inlineStr">
        <is>
          <t>●</t>
        </is>
      </c>
      <c r="E257" s="383" t="inlineStr">
        <is>
          <t>Consulting</t>
        </is>
      </c>
      <c r="F257" s="383" t="n"/>
      <c r="G257" s="383" t="n"/>
      <c r="H257" s="383" t="n"/>
      <c r="I257" s="383" t="n"/>
      <c r="J257" s="384" t="inlineStr">
        <is>
          <t>100% increase vs. Year 2</t>
        </is>
      </c>
      <c r="K257" s="383" t="n"/>
      <c r="L257" s="462" t="n">
        <v>40000</v>
      </c>
      <c r="M257" s="462" t="n">
        <v>40000</v>
      </c>
      <c r="N257" s="462" t="n">
        <v>40000</v>
      </c>
      <c r="O257" s="462" t="n">
        <v>40000</v>
      </c>
      <c r="P257" s="462" t="n">
        <v>40000</v>
      </c>
      <c r="Q257" s="462" t="n">
        <v>40000</v>
      </c>
      <c r="R257" s="462" t="n">
        <v>40000</v>
      </c>
      <c r="S257" s="462" t="n">
        <v>40000</v>
      </c>
      <c r="T257" s="462" t="n">
        <v>40000</v>
      </c>
      <c r="U257" s="462" t="n">
        <v>40000</v>
      </c>
      <c r="V257" s="462" t="n">
        <v>40000</v>
      </c>
      <c r="W257" s="462" t="n">
        <v>40000</v>
      </c>
      <c r="X257" s="462" t="n"/>
      <c r="Y257" s="494">
        <f>((L257)+(M257)+(N257)+(O257)+(P257)+(Q257)+(R257)+(S257)+(T257)+(U257)+(V257)+(W257))</f>
        <v/>
      </c>
      <c r="Z257" s="462" t="n"/>
      <c r="AA257" s="462" t="n"/>
    </row>
    <row r="258" ht="15" customHeight="1" s="1883">
      <c r="C258" s="390" t="inlineStr">
        <is>
          <t>●</t>
        </is>
      </c>
      <c r="D258" s="383" t="inlineStr">
        <is>
          <t>Website Hosting and Data Storage</t>
        </is>
      </c>
      <c r="E258" s="383" t="n"/>
      <c r="F258" s="383" t="n"/>
      <c r="G258" s="383" t="n"/>
      <c r="H258" s="383" t="n"/>
      <c r="I258" s="383" t="n"/>
      <c r="J258" s="383" t="n"/>
      <c r="K258" s="383" t="n"/>
      <c r="L258" s="462">
        <f>'4B. Tel. Expense Assumptions'!AE51</f>
        <v/>
      </c>
      <c r="M258" s="462">
        <f>'4B. Tel. Expense Assumptions'!AF51</f>
        <v/>
      </c>
      <c r="N258" s="462">
        <f>'4B. Tel. Expense Assumptions'!AG51</f>
        <v/>
      </c>
      <c r="O258" s="462">
        <f>'4B. Tel. Expense Assumptions'!AH51</f>
        <v/>
      </c>
      <c r="P258" s="462">
        <f>'4B. Tel. Expense Assumptions'!AI51</f>
        <v/>
      </c>
      <c r="Q258" s="462">
        <f>'4B. Tel. Expense Assumptions'!AJ51</f>
        <v/>
      </c>
      <c r="R258" s="462">
        <f>'4B. Tel. Expense Assumptions'!AK51</f>
        <v/>
      </c>
      <c r="S258" s="462">
        <f>'4B. Tel. Expense Assumptions'!AL51</f>
        <v/>
      </c>
      <c r="T258" s="462">
        <f>'4B. Tel. Expense Assumptions'!AM51</f>
        <v/>
      </c>
      <c r="U258" s="462">
        <f>'4B. Tel. Expense Assumptions'!AN51</f>
        <v/>
      </c>
      <c r="V258" s="462">
        <f>'4B. Tel. Expense Assumptions'!AO51</f>
        <v/>
      </c>
      <c r="W258" s="462">
        <f>'4B. Tel. Expense Assumptions'!AP51</f>
        <v/>
      </c>
      <c r="X258" s="462" t="n"/>
      <c r="Y258" s="494">
        <f>((L258)+(M258)+(N258)+(O258)+(P258)+(Q258)+(R258)+(S258)+(T258)+(U258)+(V258)+(W258))</f>
        <v/>
      </c>
      <c r="Z258" s="462" t="n"/>
      <c r="AA258" s="462" t="n"/>
    </row>
    <row r="259" ht="15" customHeight="1" s="1883">
      <c r="C259" s="390" t="inlineStr">
        <is>
          <t>●</t>
        </is>
      </c>
      <c r="D259" s="383" t="inlineStr">
        <is>
          <t>Customer Service and Support</t>
        </is>
      </c>
      <c r="E259" s="383" t="n"/>
      <c r="F259" s="383" t="n"/>
      <c r="G259" s="383" t="n"/>
      <c r="H259" s="383" t="n"/>
      <c r="I259" s="383" t="n"/>
      <c r="J259" s="384" t="inlineStr">
        <is>
          <t>0.65% of ∑ Gross Revenue</t>
        </is>
      </c>
      <c r="K259" s="383" t="n"/>
      <c r="L259" s="462">
        <f>((('3B. Tel. - Rev. Detail x Month'!J131)+('3B. Tel. - Rev. Detail x Month'!J360))*(0.0065))</f>
        <v/>
      </c>
      <c r="M259" s="462">
        <f>((('3B. Tel. - Rev. Detail x Month'!K131)+('3B. Tel. - Rev. Detail x Month'!K360))*(0.0065))</f>
        <v/>
      </c>
      <c r="N259" s="462">
        <f>((('3B. Tel. - Rev. Detail x Month'!L131)+('3B. Tel. - Rev. Detail x Month'!L360))*(0.0065))</f>
        <v/>
      </c>
      <c r="O259" s="462">
        <f>((('3B. Tel. - Rev. Detail x Month'!M131)+('3B. Tel. - Rev. Detail x Month'!M360))*(0.0065))</f>
        <v/>
      </c>
      <c r="P259" s="462">
        <f>((('3B. Tel. - Rev. Detail x Month'!N131)+('3B. Tel. - Rev. Detail x Month'!N360))*(0.0065))</f>
        <v/>
      </c>
      <c r="Q259" s="462">
        <f>((('3B. Tel. - Rev. Detail x Month'!O131)+('3B. Tel. - Rev. Detail x Month'!O360))*(0.0065))</f>
        <v/>
      </c>
      <c r="R259" s="462">
        <f>((('3B. Tel. - Rev. Detail x Month'!P131)+('3B. Tel. - Rev. Detail x Month'!P360))*(0.0065))</f>
        <v/>
      </c>
      <c r="S259" s="462">
        <f>((('3B. Tel. - Rev. Detail x Month'!Q131)+('3B. Tel. - Rev. Detail x Month'!Q360))*(0.0065))</f>
        <v/>
      </c>
      <c r="T259" s="462">
        <f>((('3B. Tel. - Rev. Detail x Month'!R131)+('3B. Tel. - Rev. Detail x Month'!R360))*(0.0065))</f>
        <v/>
      </c>
      <c r="U259" s="462">
        <f>((('3B. Tel. - Rev. Detail x Month'!S131)+('3B. Tel. - Rev. Detail x Month'!S360))*(0.0065))</f>
        <v/>
      </c>
      <c r="V259" s="462">
        <f>((('3B. Tel. - Rev. Detail x Month'!T131)+('3B. Tel. - Rev. Detail x Month'!T360))*(0.0065))</f>
        <v/>
      </c>
      <c r="W259" s="462">
        <f>((('3B. Tel. - Rev. Detail x Month'!U131)+('3B. Tel. - Rev. Detail x Month'!U360))*(0.0065))</f>
        <v/>
      </c>
      <c r="X259" s="462" t="n"/>
      <c r="Y259" s="494">
        <f>((L259)+(M259)+(N259)+(O259)+(P259)+(Q259)+(R259)+(S259)+(T259)+(U259)+(V259)+(W259))</f>
        <v/>
      </c>
      <c r="Z259" s="462" t="n"/>
      <c r="AA259" s="462">
        <f>((('3B. Tel. - Rev. Detail x Month'!W131)+('3B. Tel. - Rev. Detail x Month'!W360))*(0.0065))</f>
        <v/>
      </c>
    </row>
    <row r="260" ht="15" customHeight="1" s="1883">
      <c r="C260" s="390" t="inlineStr">
        <is>
          <t>●</t>
        </is>
      </c>
      <c r="D260" s="383" t="inlineStr">
        <is>
          <t>Software License Fees</t>
        </is>
      </c>
      <c r="E260" s="383" t="n"/>
      <c r="F260" s="383" t="n"/>
      <c r="G260" s="383" t="n"/>
      <c r="H260" s="383" t="n"/>
      <c r="I260" s="383" t="n"/>
      <c r="J260" s="384" t="inlineStr">
        <is>
          <t>$55/employee/month</t>
        </is>
      </c>
      <c r="K260" s="383" t="n"/>
      <c r="L260" s="462">
        <f>((55)*(L$219))</f>
        <v/>
      </c>
      <c r="M260" s="462">
        <f>((55)*(M$219))</f>
        <v/>
      </c>
      <c r="N260" s="462">
        <f>((55)*(N$219))</f>
        <v/>
      </c>
      <c r="O260" s="462">
        <f>((55)*(O$219))</f>
        <v/>
      </c>
      <c r="P260" s="462">
        <f>((55)*(P$219))</f>
        <v/>
      </c>
      <c r="Q260" s="462">
        <f>((55)*(Q$219))</f>
        <v/>
      </c>
      <c r="R260" s="462">
        <f>((55)*(R$219))</f>
        <v/>
      </c>
      <c r="S260" s="462">
        <f>((55)*(S$219))</f>
        <v/>
      </c>
      <c r="T260" s="462">
        <f>((55)*(T$219))</f>
        <v/>
      </c>
      <c r="U260" s="462">
        <f>((55)*(U$219))</f>
        <v/>
      </c>
      <c r="V260" s="462">
        <f>((55)*(V$219))</f>
        <v/>
      </c>
      <c r="W260" s="462">
        <f>((55)*(W$219))</f>
        <v/>
      </c>
      <c r="X260" s="462" t="n"/>
      <c r="Y260" s="494">
        <f>((L260)+(M260)+(N260)+(O260)+(P260)+(Q260)+(R260)+(S260)+(T260)+(U260)+(V260)+(W260))</f>
        <v/>
      </c>
      <c r="Z260" s="462" t="n"/>
      <c r="AA260" s="462" t="n"/>
    </row>
    <row r="261" ht="15" customHeight="1" s="1883">
      <c r="C261" s="390" t="inlineStr">
        <is>
          <t>●</t>
        </is>
      </c>
      <c r="D261" s="383" t="inlineStr">
        <is>
          <t>Office Supplies</t>
        </is>
      </c>
      <c r="E261" s="383" t="n"/>
      <c r="F261" s="383" t="n"/>
      <c r="G261" s="383" t="n"/>
      <c r="H261" s="383" t="n"/>
      <c r="I261" s="383" t="n"/>
      <c r="J261" s="384" t="inlineStr">
        <is>
          <t>$50/employee/month</t>
        </is>
      </c>
      <c r="K261" s="383" t="n"/>
      <c r="L261" s="462">
        <f>((50)*(L$219))</f>
        <v/>
      </c>
      <c r="M261" s="462">
        <f>((50)*(M$219))</f>
        <v/>
      </c>
      <c r="N261" s="462">
        <f>((50)*(N$219))</f>
        <v/>
      </c>
      <c r="O261" s="462">
        <f>((50)*(O$219))</f>
        <v/>
      </c>
      <c r="P261" s="462">
        <f>((50)*(P$219))</f>
        <v/>
      </c>
      <c r="Q261" s="462">
        <f>((50)*(Q$219))</f>
        <v/>
      </c>
      <c r="R261" s="462">
        <f>((50)*(R$219))</f>
        <v/>
      </c>
      <c r="S261" s="462">
        <f>((50)*(S$219))</f>
        <v/>
      </c>
      <c r="T261" s="462">
        <f>((50)*(T$219))</f>
        <v/>
      </c>
      <c r="U261" s="462">
        <f>((50)*(U$219))</f>
        <v/>
      </c>
      <c r="V261" s="462">
        <f>((50)*(V$219))</f>
        <v/>
      </c>
      <c r="W261" s="462">
        <f>((50)*(W$219))</f>
        <v/>
      </c>
      <c r="X261" s="462" t="n"/>
      <c r="Y261" s="494">
        <f>((L261)+(M261)+(N261)+(O261)+(P261)+(Q261)+(R261)+(S261)+(T261)+(U261)+(V261)+(W261))</f>
        <v/>
      </c>
      <c r="Z261" s="462" t="n"/>
      <c r="AA261" s="462" t="n"/>
    </row>
    <row r="262" ht="15" customHeight="1" s="1883">
      <c r="C262" s="390" t="inlineStr">
        <is>
          <t>●</t>
        </is>
      </c>
      <c r="D262" s="383" t="inlineStr">
        <is>
          <t>Office Expense</t>
        </is>
      </c>
      <c r="E262" s="383" t="n"/>
      <c r="F262" s="383" t="n"/>
      <c r="G262" s="383" t="n"/>
      <c r="H262" s="383" t="n"/>
      <c r="I262" s="383" t="n"/>
      <c r="J262" s="384" t="inlineStr">
        <is>
          <t>$15/employee/month</t>
        </is>
      </c>
      <c r="K262" s="383" t="n"/>
      <c r="L262" s="462">
        <f>((15)*(L$219))</f>
        <v/>
      </c>
      <c r="M262" s="462">
        <f>((15)*(M$219))</f>
        <v/>
      </c>
      <c r="N262" s="462">
        <f>((15)*(N$219))</f>
        <v/>
      </c>
      <c r="O262" s="462">
        <f>((15)*(O$219))</f>
        <v/>
      </c>
      <c r="P262" s="462">
        <f>((15)*(P$219))</f>
        <v/>
      </c>
      <c r="Q262" s="462">
        <f>((15)*(Q$219))</f>
        <v/>
      </c>
      <c r="R262" s="462">
        <f>((15)*(R$219))</f>
        <v/>
      </c>
      <c r="S262" s="462">
        <f>((15)*(S$219))</f>
        <v/>
      </c>
      <c r="T262" s="462">
        <f>((15)*(T$219))</f>
        <v/>
      </c>
      <c r="U262" s="462">
        <f>((15)*(U$219))</f>
        <v/>
      </c>
      <c r="V262" s="462">
        <f>((15)*(V$219))</f>
        <v/>
      </c>
      <c r="W262" s="462">
        <f>((15)*(W$219))</f>
        <v/>
      </c>
      <c r="X262" s="462" t="n"/>
      <c r="Y262" s="494">
        <f>((L262)+(M262)+(N262)+(O262)+(P262)+(Q262)+(R262)+(S262)+(T262)+(U262)+(V262)+(W262))</f>
        <v/>
      </c>
      <c r="Z262" s="462" t="n"/>
      <c r="AA262" s="462" t="n"/>
    </row>
    <row r="263" ht="15" customHeight="1" s="1883">
      <c r="C263" s="390" t="inlineStr">
        <is>
          <t>●</t>
        </is>
      </c>
      <c r="D263" s="383" t="inlineStr">
        <is>
          <t>Telephone</t>
        </is>
      </c>
      <c r="E263" s="383" t="n"/>
      <c r="F263" s="383" t="n"/>
      <c r="G263" s="383" t="n"/>
      <c r="H263" s="383" t="n"/>
      <c r="I263" s="383" t="n"/>
      <c r="J263" s="384" t="n"/>
      <c r="K263" s="383" t="n"/>
      <c r="L263" s="462">
        <f>'4B. Tel. Expense Assumptions'!AE27</f>
        <v/>
      </c>
      <c r="M263" s="462">
        <f>'4B. Tel. Expense Assumptions'!AF27</f>
        <v/>
      </c>
      <c r="N263" s="462">
        <f>'4B. Tel. Expense Assumptions'!AG27</f>
        <v/>
      </c>
      <c r="O263" s="462">
        <f>'4B. Tel. Expense Assumptions'!AH27</f>
        <v/>
      </c>
      <c r="P263" s="462">
        <f>'4B. Tel. Expense Assumptions'!AI27</f>
        <v/>
      </c>
      <c r="Q263" s="462">
        <f>'4B. Tel. Expense Assumptions'!AJ27</f>
        <v/>
      </c>
      <c r="R263" s="462">
        <f>'4B. Tel. Expense Assumptions'!AK27</f>
        <v/>
      </c>
      <c r="S263" s="462">
        <f>'4B. Tel. Expense Assumptions'!AL27</f>
        <v/>
      </c>
      <c r="T263" s="462">
        <f>'4B. Tel. Expense Assumptions'!AM27</f>
        <v/>
      </c>
      <c r="U263" s="462">
        <f>'4B. Tel. Expense Assumptions'!AN27</f>
        <v/>
      </c>
      <c r="V263" s="462">
        <f>'4B. Tel. Expense Assumptions'!AO27</f>
        <v/>
      </c>
      <c r="W263" s="462">
        <f>'4B. Tel. Expense Assumptions'!AP27</f>
        <v/>
      </c>
      <c r="X263" s="462" t="n"/>
      <c r="Y263" s="494">
        <f>((L263)+(M263)+(N263)+(O263)+(P263)+(Q263)+(R263)+(S263)+(T263)+(U263)+(V263)+(W263))</f>
        <v/>
      </c>
      <c r="Z263" s="462" t="n"/>
      <c r="AA263" s="462">
        <f>SUM('4B. Tel. Expense Assumptions'!AE27:AP27)</f>
        <v/>
      </c>
    </row>
    <row r="264" ht="15" customHeight="1" s="1883">
      <c r="C264" s="390" t="inlineStr">
        <is>
          <t>●</t>
        </is>
      </c>
      <c r="D264" s="383" t="inlineStr">
        <is>
          <t>Meetings and Refreshments</t>
        </is>
      </c>
      <c r="E264" s="383" t="n"/>
      <c r="F264" s="383" t="n"/>
      <c r="G264" s="383" t="n"/>
      <c r="H264" s="383" t="n"/>
      <c r="I264" s="383" t="n"/>
      <c r="J264" s="384" t="inlineStr">
        <is>
          <t>$50/employee/month</t>
        </is>
      </c>
      <c r="K264" s="383" t="n"/>
      <c r="L264" s="462">
        <f>((50)*(L$219))</f>
        <v/>
      </c>
      <c r="M264" s="462">
        <f>((50)*(M$219))</f>
        <v/>
      </c>
      <c r="N264" s="462">
        <f>((50)*(N$219))</f>
        <v/>
      </c>
      <c r="O264" s="462">
        <f>((50)*(O$219))</f>
        <v/>
      </c>
      <c r="P264" s="462">
        <f>((50)*(P$219))</f>
        <v/>
      </c>
      <c r="Q264" s="462">
        <f>((50)*(Q$219))</f>
        <v/>
      </c>
      <c r="R264" s="462">
        <f>((50)*(R$219))</f>
        <v/>
      </c>
      <c r="S264" s="462">
        <f>((50)*(S$219))</f>
        <v/>
      </c>
      <c r="T264" s="462">
        <f>((50)*(T$219))</f>
        <v/>
      </c>
      <c r="U264" s="462">
        <f>((50)*(U$219))</f>
        <v/>
      </c>
      <c r="V264" s="462">
        <f>((50)*(V$219))</f>
        <v/>
      </c>
      <c r="W264" s="462">
        <f>((50)*(W$219))</f>
        <v/>
      </c>
      <c r="X264" s="462" t="n"/>
      <c r="Y264" s="494">
        <f>((L264)+(M264)+(N264)+(O264)+(P264)+(Q264)+(R264)+(S264)+(T264)+(U264)+(V264)+(W264))</f>
        <v/>
      </c>
      <c r="Z264" s="462" t="n"/>
      <c r="AA264" s="462" t="n"/>
    </row>
    <row r="265" ht="15" customHeight="1" s="1883">
      <c r="C265" s="390" t="inlineStr">
        <is>
          <t>●</t>
        </is>
      </c>
      <c r="D265" s="383" t="inlineStr">
        <is>
          <t>Miscellaneous/Contingency</t>
        </is>
      </c>
      <c r="E265" s="383" t="n"/>
      <c r="F265" s="383" t="n"/>
      <c r="G265" s="383" t="n"/>
      <c r="H265" s="383" t="n"/>
      <c r="I265" s="383" t="n"/>
      <c r="J265" s="384" t="inlineStr">
        <is>
          <t>15% of G&amp;A Expense</t>
        </is>
      </c>
      <c r="K265" s="383" t="n"/>
      <c r="L265" s="462">
        <f>(SUM(L252:L264)*(0.15))</f>
        <v/>
      </c>
      <c r="M265" s="462">
        <f>(SUM(M252:M264)*(0.15))</f>
        <v/>
      </c>
      <c r="N265" s="462">
        <f>(SUM(N252:N264)*(0.15))</f>
        <v/>
      </c>
      <c r="O265" s="462">
        <f>(SUM(O252:O264)*(0.15))</f>
        <v/>
      </c>
      <c r="P265" s="462">
        <f>(SUM(P252:P264)*(0.15))</f>
        <v/>
      </c>
      <c r="Q265" s="462">
        <f>(SUM(Q252:Q264)*(0.15))</f>
        <v/>
      </c>
      <c r="R265" s="462">
        <f>(SUM(R252:R264)*(0.15))</f>
        <v/>
      </c>
      <c r="S265" s="462">
        <f>(SUM(S252:S264)*(0.15))</f>
        <v/>
      </c>
      <c r="T265" s="462">
        <f>(SUM(T252:T264)*(0.15))</f>
        <v/>
      </c>
      <c r="U265" s="462">
        <f>(SUM(U252:U264)*(0.15))</f>
        <v/>
      </c>
      <c r="V265" s="462">
        <f>(SUM(V252:V264)*(0.15))</f>
        <v/>
      </c>
      <c r="W265" s="462">
        <f>(SUM(W252:W264)*(0.15))</f>
        <v/>
      </c>
      <c r="X265" s="462" t="n"/>
      <c r="Y265" s="494">
        <f>((L265)+(M265)+(N265)+(O265)+(P265)+(Q265)+(R265)+(S265)+(T265)+(U265)+(V265)+(W265))</f>
        <v/>
      </c>
      <c r="Z265" s="462" t="n"/>
      <c r="AA265" s="462" t="n"/>
    </row>
    <row r="266" ht="3" customHeight="1" s="1883">
      <c r="C266" s="383" t="n"/>
      <c r="D266" s="383" t="n"/>
      <c r="E266" s="383" t="n"/>
      <c r="F266" s="383" t="n"/>
      <c r="G266" s="383" t="n"/>
      <c r="H266" s="383" t="n"/>
      <c r="I266" s="383" t="n"/>
      <c r="J266" s="383" t="n"/>
      <c r="K266" s="383" t="n"/>
      <c r="L266" s="508" t="n"/>
      <c r="M266" s="508" t="n"/>
      <c r="N266" s="508" t="n"/>
      <c r="O266" s="508" t="n"/>
      <c r="P266" s="508" t="n"/>
      <c r="Q266" s="508" t="n"/>
      <c r="R266" s="508" t="n"/>
      <c r="S266" s="508" t="n"/>
      <c r="T266" s="508" t="n"/>
      <c r="U266" s="508" t="n"/>
      <c r="V266" s="508" t="n"/>
      <c r="W266" s="508" t="n"/>
      <c r="X266" s="462" t="n"/>
      <c r="Y266" s="508" t="n"/>
      <c r="Z266" s="462" t="n"/>
      <c r="AA266" s="462" t="n"/>
    </row>
    <row r="267" ht="3" customHeight="1" s="1883">
      <c r="C267" s="383" t="n"/>
      <c r="D267" s="383" t="n"/>
      <c r="E267" s="383" t="n"/>
      <c r="F267" s="383" t="n"/>
      <c r="G267" s="383" t="n"/>
      <c r="H267" s="383" t="n"/>
      <c r="I267" s="383" t="n"/>
      <c r="J267" s="383" t="n"/>
      <c r="K267" s="383" t="n"/>
      <c r="L267" s="462" t="n"/>
      <c r="M267" s="462" t="n"/>
      <c r="N267" s="462" t="n"/>
      <c r="O267" s="462" t="n"/>
      <c r="P267" s="462" t="n"/>
      <c r="Q267" s="462" t="n"/>
      <c r="R267" s="462" t="n"/>
      <c r="S267" s="462" t="n"/>
      <c r="T267" s="462" t="n"/>
      <c r="U267" s="462" t="n"/>
      <c r="V267" s="462" t="n"/>
      <c r="W267" s="462" t="n"/>
      <c r="X267" s="462" t="n"/>
      <c r="Y267" s="462" t="n"/>
      <c r="Z267" s="462" t="n"/>
      <c r="AA267" s="462" t="n"/>
    </row>
    <row r="268" ht="15" customHeight="1" s="1883">
      <c r="C268" s="383" t="n"/>
      <c r="D268" s="383" t="n"/>
      <c r="E268" s="385" t="inlineStr">
        <is>
          <t>Total, General and Administrative</t>
        </is>
      </c>
      <c r="F268" s="383" t="n"/>
      <c r="G268" s="383" t="n"/>
      <c r="H268" s="383" t="n"/>
      <c r="I268" s="383" t="n"/>
      <c r="J268" s="383" t="n"/>
      <c r="K268" s="383" t="n"/>
      <c r="L268" s="396">
        <f>SUM(L252:L265)</f>
        <v/>
      </c>
      <c r="M268" s="396">
        <f>SUM(M252:M265)</f>
        <v/>
      </c>
      <c r="N268" s="396">
        <f>SUM(N252:N265)</f>
        <v/>
      </c>
      <c r="O268" s="396">
        <f>SUM(O252:O265)</f>
        <v/>
      </c>
      <c r="P268" s="396">
        <f>SUM(P252:P265)</f>
        <v/>
      </c>
      <c r="Q268" s="396">
        <f>SUM(Q252:Q265)</f>
        <v/>
      </c>
      <c r="R268" s="396">
        <f>SUM(R252:R265)</f>
        <v/>
      </c>
      <c r="S268" s="396">
        <f>SUM(S252:S265)</f>
        <v/>
      </c>
      <c r="T268" s="396">
        <f>SUM(T252:T265)</f>
        <v/>
      </c>
      <c r="U268" s="396">
        <f>SUM(U252:U265)</f>
        <v/>
      </c>
      <c r="V268" s="396">
        <f>SUM(V252:V265)</f>
        <v/>
      </c>
      <c r="W268" s="396">
        <f>SUM(W252:W265)</f>
        <v/>
      </c>
      <c r="X268" s="462" t="n"/>
      <c r="Y268" s="396">
        <f>SUM(Y252:Y265)</f>
        <v/>
      </c>
      <c r="Z268" s="462" t="n"/>
      <c r="AA268" s="462" t="n"/>
    </row>
    <row r="275" ht="15" customHeight="1" s="1883">
      <c r="B275" s="383" t="n"/>
      <c r="C275" s="383" t="n"/>
      <c r="D275" s="383" t="n"/>
      <c r="E275" s="383" t="n"/>
      <c r="F275" s="385" t="inlineStr">
        <is>
          <t>TOTAL OPERATING EXPENSES</t>
        </is>
      </c>
      <c r="G275" s="383" t="n"/>
      <c r="H275" s="383" t="n"/>
      <c r="I275" s="383" t="n"/>
      <c r="J275" s="383" t="n"/>
      <c r="K275" s="383" t="n"/>
      <c r="L275" s="396">
        <f>((L225)+(L229)+(L238)+(L247)+(L268))</f>
        <v/>
      </c>
      <c r="M275" s="396">
        <f>((M225)+(M229)+(M238)+(M247)+(M268))</f>
        <v/>
      </c>
      <c r="N275" s="396">
        <f>((N225)+(N229)+(N238)+(N247)+(N268))</f>
        <v/>
      </c>
      <c r="O275" s="396">
        <f>((O225)+(O229)+(O238)+(O247)+(O268))</f>
        <v/>
      </c>
      <c r="P275" s="396">
        <f>((P225)+(P229)+(P238)+(P247)+(P268))</f>
        <v/>
      </c>
      <c r="Q275" s="396">
        <f>((Q225)+(Q229)+(Q238)+(Q247)+(Q268))</f>
        <v/>
      </c>
      <c r="R275" s="396">
        <f>((R225)+(R229)+(R238)+(R247)+(R268))</f>
        <v/>
      </c>
      <c r="S275" s="396">
        <f>((S225)+(S229)+(S238)+(S247)+(S268))</f>
        <v/>
      </c>
      <c r="T275" s="396">
        <f>((T225)+(T229)+(T238)+(T247)+(T268))</f>
        <v/>
      </c>
      <c r="U275" s="396">
        <f>((U225)+(U229)+(U238)+(U247)+(U268))</f>
        <v/>
      </c>
      <c r="V275" s="396">
        <f>((V225)+(V229)+(V238)+(V247)+(V268))</f>
        <v/>
      </c>
      <c r="W275" s="396">
        <f>((W225)+(W229)+(W238)+(W247)+(W268))</f>
        <v/>
      </c>
      <c r="X275" s="462" t="n"/>
      <c r="Y275" s="396">
        <f>((L275)+(M275)+(N275)+(O275)+(P275)+(Q275)+(R275)+(S275)+(T275)+(U275)+(V275)+(W275))</f>
        <v/>
      </c>
    </row>
    <row r="276" ht="3" customHeight="1" s="1883">
      <c r="B276" s="383" t="n"/>
      <c r="C276" s="383" t="n"/>
      <c r="D276" s="383" t="n"/>
      <c r="E276" s="383" t="n"/>
      <c r="F276" s="383" t="n"/>
      <c r="G276" s="383" t="n"/>
      <c r="H276" s="383" t="n"/>
      <c r="I276" s="383" t="n"/>
      <c r="J276" s="383" t="n"/>
      <c r="K276" s="383" t="n"/>
      <c r="L276" s="508" t="n"/>
      <c r="M276" s="508" t="n"/>
      <c r="N276" s="508" t="n"/>
      <c r="O276" s="508" t="n"/>
      <c r="P276" s="508" t="n"/>
      <c r="Q276" s="508" t="n"/>
      <c r="R276" s="508" t="n"/>
      <c r="S276" s="508" t="n"/>
      <c r="T276" s="508" t="n"/>
      <c r="U276" s="508" t="n"/>
      <c r="V276" s="508" t="n"/>
      <c r="W276" s="508" t="n"/>
      <c r="X276" s="462" t="n"/>
      <c r="Y276" s="508" t="n"/>
    </row>
    <row r="277" ht="3" customHeight="1" s="1883">
      <c r="B277" s="383" t="n"/>
      <c r="C277" s="383" t="n"/>
      <c r="D277" s="383" t="n"/>
      <c r="E277" s="383" t="n"/>
      <c r="F277" s="383" t="n"/>
      <c r="G277" s="383" t="n"/>
      <c r="H277" s="383" t="n"/>
      <c r="I277" s="383" t="n"/>
      <c r="J277" s="383" t="n"/>
      <c r="K277" s="383" t="n"/>
      <c r="L277" s="462" t="n"/>
      <c r="M277" s="462" t="n"/>
      <c r="N277" s="462" t="n"/>
      <c r="O277" s="462" t="n"/>
      <c r="P277" s="462" t="n"/>
      <c r="Q277" s="462" t="n"/>
      <c r="R277" s="462" t="n"/>
      <c r="S277" s="462" t="n"/>
      <c r="T277" s="462" t="n"/>
      <c r="U277" s="462" t="n"/>
      <c r="V277" s="462" t="n"/>
      <c r="W277" s="462" t="n"/>
      <c r="X277" s="462" t="n"/>
      <c r="Y277" s="462" t="n"/>
    </row>
    <row r="278" ht="15" customHeight="1" s="1883">
      <c r="B278" s="383" t="n"/>
      <c r="C278" s="383" t="n"/>
      <c r="D278" s="383" t="n"/>
      <c r="E278" s="383" t="n"/>
      <c r="F278" s="383" t="n"/>
      <c r="G278" s="383" t="n"/>
      <c r="H278" s="383" t="n"/>
      <c r="I278" s="383" t="n"/>
      <c r="J278" s="383" t="n"/>
      <c r="K278" s="383" t="n"/>
      <c r="L278" s="462" t="n"/>
      <c r="M278" s="462" t="n"/>
      <c r="N278" s="462" t="n"/>
      <c r="O278" s="462" t="n"/>
      <c r="P278" s="462" t="n"/>
      <c r="Q278" s="462" t="n"/>
      <c r="R278" s="462" t="n"/>
      <c r="S278" s="462" t="n"/>
      <c r="T278" s="462" t="n"/>
      <c r="U278" s="462" t="n"/>
      <c r="V278" s="462" t="n"/>
      <c r="W278" s="462" t="n"/>
      <c r="X278" s="462" t="n"/>
      <c r="Y278" s="462" t="n"/>
    </row>
    <row r="279" ht="15" customHeight="1" s="1883">
      <c r="B279" s="383" t="n"/>
      <c r="C279" s="383" t="n"/>
      <c r="D279" s="383" t="n"/>
      <c r="E279" s="383" t="n"/>
      <c r="F279" s="383" t="n"/>
      <c r="G279" s="383" t="n"/>
      <c r="H279" s="383" t="n"/>
      <c r="I279" s="383" t="n"/>
      <c r="J279" s="383" t="n"/>
      <c r="K279" s="383" t="n"/>
      <c r="L279" s="462" t="n"/>
      <c r="M279" s="462" t="n"/>
      <c r="N279" s="462" t="n"/>
      <c r="O279" s="462" t="n"/>
      <c r="P279" s="462" t="n"/>
      <c r="Q279" s="462" t="n"/>
      <c r="R279" s="462" t="n"/>
      <c r="S279" s="462" t="n"/>
      <c r="T279" s="462" t="n"/>
      <c r="U279" s="462" t="n"/>
      <c r="V279" s="462" t="n"/>
      <c r="W279" s="462" t="n"/>
      <c r="X279" s="462" t="n"/>
      <c r="Y279" s="462" t="n"/>
    </row>
    <row r="280" ht="3" customHeight="1" s="1883">
      <c r="B280" s="383" t="n"/>
      <c r="C280" s="383" t="n"/>
      <c r="D280" s="383" t="n"/>
      <c r="E280" s="383" t="n"/>
      <c r="F280" s="383" t="n"/>
      <c r="G280" s="383" t="n"/>
      <c r="H280" s="383" t="n"/>
      <c r="I280" s="383" t="n"/>
      <c r="J280" s="383" t="n"/>
      <c r="K280" s="383" t="n"/>
      <c r="L280" s="508" t="n"/>
      <c r="M280" s="508" t="n"/>
      <c r="N280" s="508" t="n"/>
      <c r="O280" s="508" t="n"/>
      <c r="P280" s="508" t="n"/>
      <c r="Q280" s="508" t="n"/>
      <c r="R280" s="508" t="n"/>
      <c r="S280" s="508" t="n"/>
      <c r="T280" s="508" t="n"/>
      <c r="U280" s="508" t="n"/>
      <c r="V280" s="508" t="n"/>
      <c r="W280" s="508" t="n"/>
      <c r="X280" s="462" t="n"/>
      <c r="Y280" s="508" t="n"/>
    </row>
    <row r="281" ht="3" customHeight="1" s="1883">
      <c r="B281" s="383" t="n"/>
      <c r="C281" s="383" t="n"/>
      <c r="D281" s="383" t="n"/>
      <c r="E281" s="383" t="n"/>
      <c r="F281" s="383" t="n"/>
      <c r="G281" s="383" t="n"/>
      <c r="H281" s="383" t="n"/>
      <c r="I281" s="383" t="n"/>
      <c r="J281" s="383" t="n"/>
      <c r="K281" s="383" t="n"/>
      <c r="L281" s="462" t="n"/>
      <c r="M281" s="462" t="n"/>
      <c r="N281" s="462" t="n"/>
      <c r="O281" s="462" t="n"/>
      <c r="P281" s="462" t="n"/>
      <c r="Q281" s="462" t="n"/>
      <c r="R281" s="462" t="n"/>
      <c r="S281" s="462" t="n"/>
      <c r="T281" s="462" t="n"/>
      <c r="U281" s="462" t="n"/>
      <c r="V281" s="462" t="n"/>
      <c r="W281" s="462" t="n"/>
      <c r="X281" s="462" t="n"/>
      <c r="Y281" s="462" t="n"/>
    </row>
    <row r="282" ht="15" customHeight="1" s="1883">
      <c r="B282" s="383" t="n"/>
      <c r="C282" s="383" t="n"/>
      <c r="D282" s="383" t="n"/>
      <c r="E282" s="383" t="n"/>
      <c r="F282" s="383" t="n"/>
      <c r="G282" s="385" t="inlineStr">
        <is>
          <t>OPERATING INCOME / (LOSS), %</t>
        </is>
      </c>
      <c r="H282" s="383" t="n"/>
      <c r="I282" s="383" t="n"/>
      <c r="J282" s="383" t="n"/>
      <c r="K282" s="383" t="n"/>
      <c r="L282" s="396">
        <f>((L206)-(L275))</f>
        <v/>
      </c>
      <c r="M282" s="396">
        <f>((M206)-(M275))</f>
        <v/>
      </c>
      <c r="N282" s="396">
        <f>((N206)-(N275))</f>
        <v/>
      </c>
      <c r="O282" s="396">
        <f>((O206)-(O275))</f>
        <v/>
      </c>
      <c r="P282" s="396">
        <f>((P206)-(P275))</f>
        <v/>
      </c>
      <c r="Q282" s="396">
        <f>((Q206)-(Q275))</f>
        <v/>
      </c>
      <c r="R282" s="396">
        <f>((R206)-(R275))</f>
        <v/>
      </c>
      <c r="S282" s="396">
        <f>((S206)-(S275))</f>
        <v/>
      </c>
      <c r="T282" s="396">
        <f>((T206)-(T275))</f>
        <v/>
      </c>
      <c r="U282" s="396">
        <f>((U206)-(U275))</f>
        <v/>
      </c>
      <c r="V282" s="396">
        <f>((V206)-(V275))</f>
        <v/>
      </c>
      <c r="W282" s="396">
        <f>((W206)-(W275))</f>
        <v/>
      </c>
      <c r="X282" s="462" t="n"/>
      <c r="Y282" s="396">
        <f>((L282)+(M282)+(N282)+(O282)+(P282)+(Q282)+(R282)+(S282)+(T282)+(U282)+(V282)+(W282))</f>
        <v/>
      </c>
    </row>
    <row r="283" ht="15" customHeight="1" s="1883">
      <c r="B283" s="383" t="n"/>
      <c r="C283" s="383" t="n"/>
      <c r="D283" s="383" t="n"/>
      <c r="E283" s="383" t="n"/>
      <c r="F283" s="383" t="n"/>
      <c r="G283" s="385" t="inlineStr">
        <is>
          <t>OPERATING MARGIN, %</t>
        </is>
      </c>
      <c r="H283" s="383" t="n"/>
      <c r="I283" s="383" t="n"/>
      <c r="J283" s="383" t="n"/>
      <c r="K283" s="383" t="n"/>
      <c r="L283" s="574">
        <f>((L282)/(L206))</f>
        <v/>
      </c>
      <c r="M283" s="574">
        <f>((M282)/(M206))</f>
        <v/>
      </c>
      <c r="N283" s="574">
        <f>((N282)/(N206))</f>
        <v/>
      </c>
      <c r="O283" s="574">
        <f>((O282)/(O206))</f>
        <v/>
      </c>
      <c r="P283" s="574">
        <f>((P282)/(P206))</f>
        <v/>
      </c>
      <c r="Q283" s="574">
        <f>((Q282)/(Q206))</f>
        <v/>
      </c>
      <c r="R283" s="574">
        <f>((R282)/(R206))</f>
        <v/>
      </c>
      <c r="S283" s="574">
        <f>((S282)/(S206))</f>
        <v/>
      </c>
      <c r="T283" s="574">
        <f>((T282)/(T206))</f>
        <v/>
      </c>
      <c r="U283" s="574">
        <f>((U282)/(U206))</f>
        <v/>
      </c>
      <c r="V283" s="574">
        <f>((V282)/(V206))</f>
        <v/>
      </c>
      <c r="W283" s="574">
        <f>((W282)/(W206))</f>
        <v/>
      </c>
      <c r="X283" s="574" t="n"/>
      <c r="Y283" s="574">
        <f>((Y282)/(Y206))</f>
        <v/>
      </c>
    </row>
    <row r="284" ht="3" customHeight="1" s="1883">
      <c r="B284" s="383" t="n"/>
      <c r="C284" s="383" t="n"/>
      <c r="D284" s="383" t="n"/>
      <c r="E284" s="383" t="n"/>
      <c r="F284" s="383" t="n"/>
      <c r="G284" s="383" t="n"/>
      <c r="H284" s="383" t="n"/>
      <c r="I284" s="383" t="n"/>
      <c r="J284" s="383" t="n"/>
      <c r="K284" s="383" t="n"/>
      <c r="L284" s="508" t="n"/>
      <c r="M284" s="508" t="n"/>
      <c r="N284" s="508" t="n"/>
      <c r="O284" s="508" t="n"/>
      <c r="P284" s="508" t="n"/>
      <c r="Q284" s="508" t="n"/>
      <c r="R284" s="508" t="n"/>
      <c r="S284" s="508" t="n"/>
      <c r="T284" s="508" t="n"/>
      <c r="U284" s="508" t="n"/>
      <c r="V284" s="508" t="n"/>
      <c r="W284" s="508" t="n"/>
      <c r="X284" s="462" t="n"/>
      <c r="Y284" s="508" t="n"/>
    </row>
    <row r="285" ht="3" customHeight="1" s="1883">
      <c r="B285" s="383" t="n"/>
      <c r="C285" s="383" t="n"/>
      <c r="D285" s="383" t="n"/>
      <c r="E285" s="383" t="n"/>
      <c r="F285" s="383" t="n"/>
      <c r="G285" s="383" t="n"/>
      <c r="H285" s="383" t="n"/>
      <c r="I285" s="383" t="n"/>
      <c r="J285" s="383" t="n"/>
      <c r="K285" s="383" t="n"/>
      <c r="L285" s="462" t="n"/>
      <c r="M285" s="462" t="n"/>
      <c r="N285" s="462" t="n"/>
      <c r="O285" s="462" t="n"/>
      <c r="P285" s="462" t="n"/>
      <c r="Q285" s="462" t="n"/>
      <c r="R285" s="462" t="n"/>
      <c r="S285" s="462" t="n"/>
      <c r="T285" s="462" t="n"/>
      <c r="U285" s="462" t="n"/>
      <c r="V285" s="462" t="n"/>
      <c r="W285" s="462" t="n"/>
      <c r="X285" s="462" t="n"/>
      <c r="Y285" s="462" t="n"/>
    </row>
    <row r="286" ht="15" customHeight="1" s="1883">
      <c r="B286" s="383" t="n"/>
      <c r="C286" s="383" t="n"/>
      <c r="D286" s="383" t="n"/>
      <c r="E286" s="383" t="n"/>
      <c r="F286" s="383" t="n"/>
      <c r="G286" s="383" t="n"/>
      <c r="H286" s="383" t="n"/>
      <c r="I286" s="383" t="n"/>
      <c r="J286" s="383" t="n"/>
      <c r="K286" s="383" t="n"/>
      <c r="L286" s="462" t="n"/>
      <c r="M286" s="462" t="n"/>
      <c r="N286" s="462" t="n"/>
      <c r="O286" s="462" t="n"/>
      <c r="P286" s="462" t="n"/>
      <c r="Q286" s="462" t="n"/>
      <c r="R286" s="462" t="n"/>
      <c r="S286" s="462" t="n"/>
      <c r="T286" s="462" t="n"/>
      <c r="U286" s="462" t="n"/>
      <c r="V286" s="462" t="n"/>
      <c r="W286" s="462" t="n"/>
      <c r="X286" s="462" t="n"/>
      <c r="Y286" s="462" t="n"/>
    </row>
    <row r="287" ht="15" customHeight="1" s="1883">
      <c r="B287" s="383" t="n"/>
      <c r="C287" s="383" t="n"/>
      <c r="D287" s="383" t="n"/>
      <c r="E287" s="383" t="n"/>
      <c r="F287" s="383" t="n"/>
      <c r="G287" s="383" t="n"/>
      <c r="H287" s="383" t="n"/>
      <c r="I287" s="383" t="n"/>
      <c r="J287" s="383" t="n"/>
      <c r="K287" s="383" t="n"/>
      <c r="L287" s="462" t="n"/>
      <c r="M287" s="462" t="n"/>
      <c r="N287" s="462" t="n"/>
      <c r="O287" s="462" t="n"/>
      <c r="P287" s="462" t="n"/>
      <c r="Q287" s="462" t="n"/>
      <c r="R287" s="462" t="n"/>
      <c r="S287" s="462" t="n"/>
      <c r="T287" s="462" t="n"/>
      <c r="U287" s="462" t="n"/>
      <c r="V287" s="462" t="n"/>
      <c r="W287" s="462" t="n"/>
      <c r="X287" s="462" t="n"/>
      <c r="Y287" s="462" t="n"/>
    </row>
    <row r="288" ht="15" customHeight="1" s="1883">
      <c r="B288" s="385" t="inlineStr">
        <is>
          <t>YEAR 4 - OPERATING INCOME</t>
        </is>
      </c>
      <c r="C288" s="383" t="n"/>
      <c r="D288" s="383" t="n"/>
      <c r="E288" s="383" t="n"/>
      <c r="F288" s="383" t="n"/>
      <c r="G288" s="383" t="n"/>
      <c r="H288" s="383" t="n"/>
      <c r="I288" s="383" t="n"/>
      <c r="J288" s="383" t="n"/>
      <c r="K288" s="383" t="n"/>
      <c r="L288" s="383" t="n"/>
      <c r="M288" s="383" t="n"/>
      <c r="N288" s="383" t="n"/>
      <c r="O288" s="383" t="n"/>
      <c r="P288" s="383" t="n"/>
      <c r="Q288" s="383" t="n"/>
      <c r="R288" s="383" t="n"/>
      <c r="S288" s="383" t="n"/>
      <c r="T288" s="383" t="n"/>
      <c r="U288" s="383" t="n"/>
      <c r="V288" s="383" t="n"/>
      <c r="W288" s="383" t="n"/>
      <c r="X288" s="383" t="n"/>
      <c r="Y288" s="383" t="n"/>
    </row>
    <row r="291" ht="15" customHeight="1" s="1883">
      <c r="B291" s="383" t="n"/>
      <c r="C291" s="383" t="n"/>
      <c r="D291" s="383" t="n"/>
      <c r="E291" s="383" t="n"/>
      <c r="F291" s="383" t="n"/>
      <c r="G291" s="383" t="n"/>
      <c r="H291" s="383" t="n"/>
      <c r="I291" s="383" t="n"/>
      <c r="J291" s="383" t="n"/>
      <c r="K291" s="383" t="n"/>
      <c r="L291" s="1882" t="inlineStr">
        <is>
          <t>Year 4</t>
        </is>
      </c>
      <c r="Z291" s="383" t="n"/>
      <c r="AA291" s="383" t="n"/>
    </row>
    <row r="292" ht="3" customHeight="1" s="1883">
      <c r="B292" s="383" t="n"/>
      <c r="C292" s="383" t="n"/>
      <c r="D292" s="383" t="n"/>
      <c r="E292" s="383" t="n"/>
      <c r="F292" s="383" t="n"/>
      <c r="G292" s="383" t="n"/>
      <c r="H292" s="383" t="n"/>
      <c r="I292" s="383" t="n"/>
      <c r="J292" s="383" t="n"/>
      <c r="K292" s="383" t="n"/>
      <c r="L292" s="387" t="n"/>
      <c r="M292" s="387" t="n"/>
      <c r="N292" s="387" t="n"/>
      <c r="O292" s="387" t="n"/>
      <c r="P292" s="387" t="n"/>
      <c r="Q292" s="387" t="n"/>
      <c r="R292" s="387" t="n"/>
      <c r="S292" s="387" t="n"/>
      <c r="T292" s="387" t="n"/>
      <c r="U292" s="387" t="n"/>
      <c r="V292" s="387" t="n"/>
      <c r="W292" s="387" t="n"/>
      <c r="X292" s="387" t="n"/>
      <c r="Y292" s="387" t="n"/>
      <c r="Z292" s="383" t="n"/>
      <c r="AA292" s="383" t="n"/>
    </row>
    <row r="293" ht="3" customHeight="1" s="1883">
      <c r="B293" s="383" t="n"/>
      <c r="C293" s="383" t="n"/>
      <c r="D293" s="383" t="n"/>
      <c r="E293" s="383" t="n"/>
      <c r="F293" s="383" t="n"/>
      <c r="G293" s="383" t="n"/>
      <c r="H293" s="383" t="n"/>
      <c r="I293" s="383" t="n"/>
      <c r="J293" s="383" t="n"/>
      <c r="K293" s="383" t="n"/>
      <c r="L293" s="383" t="n"/>
      <c r="M293" s="383" t="n"/>
      <c r="N293" s="383" t="n"/>
      <c r="O293" s="383" t="n"/>
      <c r="P293" s="383" t="n"/>
      <c r="Q293" s="383" t="n"/>
      <c r="R293" s="383" t="n"/>
      <c r="S293" s="383" t="n"/>
      <c r="T293" s="383" t="n"/>
      <c r="U293" s="383" t="n"/>
      <c r="V293" s="383" t="n"/>
      <c r="W293" s="383" t="n"/>
      <c r="X293" s="383" t="n"/>
      <c r="Y293" s="383" t="n"/>
      <c r="Z293" s="383" t="n"/>
      <c r="AA293" s="383" t="n"/>
    </row>
    <row r="294" ht="15" customHeight="1" s="1883">
      <c r="B294" s="383" t="n"/>
      <c r="C294" s="383" t="n"/>
      <c r="D294" s="383" t="n"/>
      <c r="E294" s="383" t="n"/>
      <c r="F294" s="383" t="n"/>
      <c r="G294" s="383" t="n"/>
      <c r="H294" s="383" t="n"/>
      <c r="I294" s="383" t="n"/>
      <c r="J294" s="383" t="n"/>
      <c r="K294" s="383" t="n"/>
      <c r="L294" s="386" t="inlineStr">
        <is>
          <t>Month 37</t>
        </is>
      </c>
      <c r="M294" s="386" t="inlineStr">
        <is>
          <t>Month 38</t>
        </is>
      </c>
      <c r="N294" s="386" t="inlineStr">
        <is>
          <t>Month 39</t>
        </is>
      </c>
      <c r="O294" s="386" t="inlineStr">
        <is>
          <t>Month 40</t>
        </is>
      </c>
      <c r="P294" s="386" t="inlineStr">
        <is>
          <t>Month 41</t>
        </is>
      </c>
      <c r="Q294" s="386" t="inlineStr">
        <is>
          <t>Month 42</t>
        </is>
      </c>
      <c r="R294" s="386" t="inlineStr">
        <is>
          <t>Month 43</t>
        </is>
      </c>
      <c r="S294" s="386" t="inlineStr">
        <is>
          <t>Month 44</t>
        </is>
      </c>
      <c r="T294" s="386" t="inlineStr">
        <is>
          <t>Month 45</t>
        </is>
      </c>
      <c r="U294" s="386" t="inlineStr">
        <is>
          <t>Month 46</t>
        </is>
      </c>
      <c r="V294" s="386" t="inlineStr">
        <is>
          <t>Month 47</t>
        </is>
      </c>
      <c r="W294" s="386" t="inlineStr">
        <is>
          <t>Month 48</t>
        </is>
      </c>
      <c r="X294" s="383" t="n"/>
      <c r="Y294" s="386" t="inlineStr">
        <is>
          <t>Full-Year</t>
        </is>
      </c>
      <c r="Z294" s="383" t="n"/>
      <c r="AA294" s="386" t="inlineStr">
        <is>
          <t>Cross Check</t>
        </is>
      </c>
    </row>
    <row r="295" ht="3" customHeight="1" s="1883">
      <c r="B295" s="383" t="n"/>
      <c r="C295" s="383" t="n"/>
      <c r="D295" s="383" t="n"/>
      <c r="E295" s="383" t="n"/>
      <c r="F295" s="383" t="n"/>
      <c r="G295" s="383" t="n"/>
      <c r="H295" s="383" t="n"/>
      <c r="I295" s="383" t="n"/>
      <c r="J295" s="383" t="n"/>
      <c r="K295" s="383" t="n"/>
      <c r="L295" s="387" t="n"/>
      <c r="M295" s="387" t="n"/>
      <c r="N295" s="387" t="n"/>
      <c r="O295" s="387" t="n"/>
      <c r="P295" s="387" t="n"/>
      <c r="Q295" s="387" t="n"/>
      <c r="R295" s="387" t="n"/>
      <c r="S295" s="387" t="n"/>
      <c r="T295" s="387" t="n"/>
      <c r="U295" s="387" t="n"/>
      <c r="V295" s="387" t="n"/>
      <c r="W295" s="387" t="n"/>
      <c r="X295" s="383" t="n"/>
      <c r="Y295" s="387" t="n"/>
      <c r="Z295" s="383" t="n"/>
      <c r="AA295" s="387" t="n"/>
    </row>
    <row r="296" ht="3" customHeight="1" s="1883">
      <c r="B296" s="383" t="n"/>
      <c r="C296" s="383" t="n"/>
      <c r="D296" s="383" t="n"/>
      <c r="E296" s="383" t="n"/>
      <c r="F296" s="383" t="n"/>
      <c r="G296" s="383" t="n"/>
      <c r="H296" s="383" t="n"/>
      <c r="I296" s="383" t="n"/>
      <c r="J296" s="383" t="n"/>
      <c r="K296" s="383" t="n"/>
      <c r="L296" s="383" t="n"/>
      <c r="M296" s="383" t="n"/>
      <c r="N296" s="383" t="n"/>
      <c r="O296" s="383" t="n"/>
      <c r="P296" s="383" t="n"/>
      <c r="Q296" s="383" t="n"/>
      <c r="R296" s="383" t="n"/>
      <c r="S296" s="383" t="n"/>
      <c r="T296" s="383" t="n"/>
      <c r="U296" s="383" t="n"/>
      <c r="V296" s="383" t="n"/>
      <c r="W296" s="383" t="n"/>
      <c r="X296" s="383" t="n"/>
      <c r="Y296" s="383" t="n"/>
      <c r="Z296" s="383" t="n"/>
      <c r="AA296" s="383" t="n"/>
    </row>
    <row r="297" ht="15" customHeight="1" s="1883">
      <c r="B297" s="383" t="n"/>
      <c r="C297" s="383" t="n"/>
      <c r="D297" s="383" t="n"/>
      <c r="E297" s="383" t="n"/>
      <c r="F297" s="383" t="n"/>
      <c r="G297" s="383" t="n"/>
      <c r="H297" s="383" t="n"/>
      <c r="I297" s="383" t="n"/>
      <c r="J297" s="383" t="n"/>
      <c r="K297" s="383" t="n"/>
      <c r="L297" s="383" t="n"/>
      <c r="M297" s="383" t="n"/>
      <c r="N297" s="383" t="n"/>
      <c r="O297" s="383" t="n"/>
      <c r="P297" s="383" t="n"/>
      <c r="Q297" s="383" t="n"/>
      <c r="R297" s="383" t="n"/>
      <c r="S297" s="383" t="n"/>
      <c r="T297" s="383" t="n"/>
      <c r="U297" s="383" t="n"/>
      <c r="V297" s="383" t="n"/>
      <c r="W297" s="383" t="n"/>
      <c r="X297" s="383" t="n"/>
      <c r="Y297" s="383" t="n"/>
      <c r="Z297" s="383" t="n"/>
      <c r="AA297" s="383" t="n"/>
    </row>
    <row r="298" ht="15" customHeight="1" s="1883">
      <c r="B298" s="385" t="inlineStr">
        <is>
          <t>NET REVENUE</t>
        </is>
      </c>
      <c r="D298" s="383" t="n"/>
      <c r="E298" s="383" t="n"/>
      <c r="F298" s="383" t="n"/>
      <c r="G298" s="383" t="n"/>
      <c r="H298" s="383" t="n"/>
      <c r="I298" s="383" t="n"/>
      <c r="J298" s="383" t="n"/>
      <c r="K298" s="383" t="n"/>
      <c r="L298" s="396">
        <f>(('3B. Tel. - Rev. Detail x Month'!J497)+('7. Pure Influence'!G89)+('8. Pure Research - 1 of 2'!AC40))</f>
        <v/>
      </c>
      <c r="M298" s="396">
        <f>(('3B. Tel. - Rev. Detail x Month'!K497)+('7. Pure Influence'!H89)+('8. Pure Research - 1 of 2'!AC40))</f>
        <v/>
      </c>
      <c r="N298" s="396">
        <f>(('3B. Tel. - Rev. Detail x Month'!L497)+('7. Pure Influence'!I89)+('8. Pure Research - 1 of 2'!AC40))</f>
        <v/>
      </c>
      <c r="O298" s="396">
        <f>(('3B. Tel. - Rev. Detail x Month'!M497)+('7. Pure Influence'!J89)+('8. Pure Research - 1 of 2'!AC40))</f>
        <v/>
      </c>
      <c r="P298" s="396">
        <f>(('3B. Tel. - Rev. Detail x Month'!N497)+('7. Pure Influence'!K89)+('8. Pure Research - 1 of 2'!AC40))</f>
        <v/>
      </c>
      <c r="Q298" s="396">
        <f>(('3B. Tel. - Rev. Detail x Month'!O497)+('7. Pure Influence'!L89)+('8. Pure Research - 1 of 2'!AC40))</f>
        <v/>
      </c>
      <c r="R298" s="396">
        <f>(('3B. Tel. - Rev. Detail x Month'!P497)+('7. Pure Influence'!M89)+('8. Pure Research - 1 of 2'!AC40))</f>
        <v/>
      </c>
      <c r="S298" s="396">
        <f>(('3B. Tel. - Rev. Detail x Month'!Q497)+('7. Pure Influence'!N89)+('8. Pure Research - 1 of 2'!AC40))</f>
        <v/>
      </c>
      <c r="T298" s="396">
        <f>(('3B. Tel. - Rev. Detail x Month'!R497)+('7. Pure Influence'!O89)+('8. Pure Research - 1 of 2'!AC40))</f>
        <v/>
      </c>
      <c r="U298" s="396">
        <f>(('3B. Tel. - Rev. Detail x Month'!S497)+('7. Pure Influence'!P89)+('8. Pure Research - 1 of 2'!AC40))</f>
        <v/>
      </c>
      <c r="V298" s="396">
        <f>(('3B. Tel. - Rev. Detail x Month'!T497)+('7. Pure Influence'!Q89)+('8. Pure Research - 1 of 2'!AC40))</f>
        <v/>
      </c>
      <c r="W298" s="396">
        <f>(('3B. Tel. - Rev. Detail x Month'!U497)+('7. Pure Influence'!R89)+('8. Pure Research - 1 of 2'!AC40))</f>
        <v/>
      </c>
      <c r="X298" s="462" t="n"/>
      <c r="Y298" s="396">
        <f>((L298)+(M298)+(N298)+(O298)+(P298)+(Q298)+(R298)+(S298)+(T298)+(U298)+(V298)+(W298))</f>
        <v/>
      </c>
      <c r="Z298" s="462" t="n"/>
      <c r="AA298" s="462">
        <f>(('3B. Tel. - Rev. Detail x Month'!W497)+('7. Pure Influence'!T89)+('8. Pure Research - 1 of 2'!AC36))</f>
        <v/>
      </c>
    </row>
    <row r="299" ht="15" customHeight="1" s="1883">
      <c r="B299" s="383" t="n"/>
      <c r="C299" s="383" t="n"/>
      <c r="D299" s="383" t="n"/>
      <c r="E299" s="383" t="n"/>
      <c r="F299" s="383" t="n"/>
      <c r="G299" s="383" t="n"/>
      <c r="H299" s="383" t="n"/>
      <c r="I299" s="383" t="n"/>
      <c r="J299" s="383" t="n"/>
      <c r="K299" s="383" t="n"/>
      <c r="L299" s="462" t="n"/>
      <c r="M299" s="462" t="n"/>
      <c r="N299" s="462" t="n"/>
      <c r="O299" s="462" t="n"/>
      <c r="P299" s="462" t="n"/>
      <c r="Q299" s="462" t="n"/>
      <c r="R299" s="462" t="n"/>
      <c r="S299" s="462" t="n"/>
      <c r="T299" s="462" t="n"/>
      <c r="U299" s="462" t="n"/>
      <c r="V299" s="462" t="n"/>
      <c r="W299" s="462" t="n"/>
      <c r="X299" s="462" t="n"/>
      <c r="Y299" s="462" t="n"/>
      <c r="Z299" s="462" t="n"/>
      <c r="AA299" s="462" t="n"/>
    </row>
    <row r="300" ht="15" customHeight="1" s="1883">
      <c r="B300" s="385" t="inlineStr">
        <is>
          <t>OPERATING EXPENSES</t>
        </is>
      </c>
      <c r="C300" s="383" t="n"/>
      <c r="D300" s="383" t="n"/>
      <c r="E300" s="383" t="n"/>
      <c r="F300" s="383" t="n"/>
      <c r="G300" s="383" t="n"/>
      <c r="H300" s="383" t="n"/>
      <c r="I300" s="383" t="n"/>
      <c r="J300" s="383" t="n"/>
      <c r="K300" s="383" t="n"/>
      <c r="L300" s="383" t="n"/>
      <c r="M300" s="383" t="n"/>
      <c r="N300" s="383" t="n"/>
      <c r="O300" s="383" t="n"/>
      <c r="P300" s="383" t="n"/>
      <c r="Q300" s="383" t="n"/>
      <c r="R300" s="383" t="n"/>
      <c r="S300" s="383" t="n"/>
      <c r="T300" s="383" t="n"/>
      <c r="U300" s="383" t="n"/>
      <c r="V300" s="383" t="n"/>
      <c r="W300" s="383" t="n"/>
      <c r="X300" s="383" t="n"/>
      <c r="Y300" s="383" t="n"/>
      <c r="Z300" s="383" t="n"/>
      <c r="AA300" s="383" t="n"/>
    </row>
    <row r="301" ht="3" customHeight="1" s="1883">
      <c r="B301" s="387" t="n"/>
      <c r="C301" s="387" t="n"/>
      <c r="D301" s="387" t="n"/>
      <c r="E301" s="387" t="n"/>
      <c r="F301" s="387" t="n"/>
      <c r="G301" s="387" t="n"/>
      <c r="H301" s="387" t="n"/>
      <c r="I301" s="387" t="n"/>
      <c r="J301" s="387" t="n"/>
      <c r="K301" s="383" t="n"/>
      <c r="L301" s="383" t="n"/>
      <c r="M301" s="383" t="n"/>
      <c r="N301" s="383" t="n"/>
      <c r="O301" s="383" t="n"/>
      <c r="P301" s="383" t="n"/>
      <c r="Q301" s="383" t="n"/>
      <c r="R301" s="383" t="n"/>
      <c r="S301" s="383" t="n"/>
      <c r="T301" s="383" t="n"/>
      <c r="U301" s="383" t="n"/>
      <c r="V301" s="383" t="n"/>
      <c r="W301" s="383" t="n"/>
      <c r="X301" s="383" t="n"/>
      <c r="Y301" s="383" t="n"/>
      <c r="Z301" s="383" t="n"/>
      <c r="AA301" s="383" t="n"/>
    </row>
    <row r="302" ht="3" customHeight="1" s="1883">
      <c r="B302" s="383" t="n"/>
      <c r="C302" s="383" t="n"/>
      <c r="D302" s="383" t="n"/>
      <c r="E302" s="383" t="n"/>
      <c r="F302" s="383" t="n"/>
      <c r="G302" s="383" t="n"/>
      <c r="H302" s="383" t="n"/>
      <c r="I302" s="383" t="n"/>
      <c r="J302" s="383" t="n"/>
      <c r="K302" s="383" t="n"/>
      <c r="L302" s="383" t="n"/>
      <c r="M302" s="383" t="n"/>
      <c r="N302" s="383" t="n"/>
      <c r="O302" s="383" t="n"/>
      <c r="P302" s="383" t="n"/>
      <c r="Q302" s="383" t="n"/>
      <c r="R302" s="383" t="n"/>
      <c r="S302" s="383" t="n"/>
      <c r="T302" s="383" t="n"/>
      <c r="U302" s="383" t="n"/>
      <c r="V302" s="383" t="n"/>
      <c r="W302" s="383" t="n"/>
      <c r="X302" s="383" t="n"/>
      <c r="Y302" s="383" t="n"/>
      <c r="Z302" s="383" t="n"/>
      <c r="AA302" s="383" t="n"/>
    </row>
    <row r="303" ht="15" customHeight="1" s="1883">
      <c r="B303" s="383" t="n"/>
      <c r="C303" s="383" t="n"/>
      <c r="D303" s="383" t="n"/>
      <c r="E303" s="383" t="n"/>
      <c r="F303" s="383" t="n"/>
      <c r="G303" s="383" t="n"/>
      <c r="H303" s="383" t="n"/>
      <c r="I303" s="383" t="n"/>
      <c r="J303" s="383" t="n"/>
      <c r="K303" s="383" t="n"/>
      <c r="L303" s="383" t="n"/>
      <c r="M303" s="383" t="n"/>
      <c r="N303" s="383" t="n"/>
      <c r="O303" s="383" t="n"/>
      <c r="P303" s="383" t="n"/>
      <c r="Q303" s="383" t="n"/>
      <c r="R303" s="383" t="n"/>
      <c r="S303" s="383" t="n"/>
      <c r="T303" s="383" t="n"/>
      <c r="U303" s="383" t="n"/>
      <c r="V303" s="383" t="n"/>
      <c r="W303" s="383" t="n"/>
      <c r="X303" s="383" t="n"/>
      <c r="Y303" s="383" t="n"/>
      <c r="Z303" s="383" t="n"/>
      <c r="AA303" s="383" t="n"/>
    </row>
    <row r="304" ht="15" customHeight="1" s="1883">
      <c r="B304" s="383" t="n"/>
      <c r="C304" s="385" t="inlineStr">
        <is>
          <t>Expense Category</t>
        </is>
      </c>
      <c r="D304" s="383" t="n"/>
      <c r="E304" s="383" t="n"/>
      <c r="F304" s="383" t="n"/>
      <c r="G304" s="383" t="n"/>
      <c r="H304" s="383" t="n"/>
      <c r="I304" s="383" t="n"/>
      <c r="J304" s="386" t="inlineStr">
        <is>
          <t>Expense Driver</t>
        </is>
      </c>
      <c r="K304" s="383" t="n"/>
      <c r="L304" s="383" t="n"/>
      <c r="M304" s="383" t="n"/>
      <c r="N304" s="383" t="n"/>
      <c r="O304" s="383" t="n"/>
      <c r="P304" s="383" t="n"/>
      <c r="Q304" s="383" t="n"/>
      <c r="R304" s="383" t="n"/>
      <c r="S304" s="383" t="n"/>
      <c r="T304" s="383" t="n"/>
      <c r="U304" s="383" t="n"/>
      <c r="V304" s="383" t="n"/>
      <c r="W304" s="383" t="n"/>
      <c r="X304" s="383" t="n"/>
      <c r="Y304" s="383" t="n"/>
      <c r="Z304" s="383" t="n"/>
      <c r="AA304" s="383" t="n"/>
    </row>
    <row r="308" ht="15" customHeight="1" s="1883">
      <c r="C308" s="385" t="inlineStr">
        <is>
          <t>People Cost</t>
        </is>
      </c>
      <c r="D308" s="383" t="n"/>
      <c r="E308" s="383" t="n"/>
      <c r="F308" s="383" t="n"/>
      <c r="G308" s="383" t="n"/>
      <c r="H308" s="383" t="n"/>
      <c r="I308" s="383" t="n"/>
      <c r="J308" s="383" t="n"/>
      <c r="K308" s="383" t="n"/>
      <c r="L308" s="383" t="n"/>
      <c r="M308" s="383" t="n"/>
      <c r="N308" s="383" t="n"/>
      <c r="O308" s="383" t="n"/>
      <c r="P308" s="383" t="n"/>
      <c r="Q308" s="383" t="n"/>
      <c r="R308" s="383" t="n"/>
      <c r="S308" s="383" t="n"/>
      <c r="T308" s="383" t="n"/>
      <c r="U308" s="383" t="n"/>
      <c r="V308" s="383" t="n"/>
      <c r="W308" s="383" t="n"/>
      <c r="X308" s="383" t="n"/>
      <c r="Y308" s="383" t="n"/>
      <c r="Z308" s="383" t="n"/>
      <c r="AA308" s="383" t="n"/>
    </row>
    <row r="309" ht="3" customHeight="1" s="1883">
      <c r="C309" s="387" t="n"/>
      <c r="D309" s="387" t="n"/>
      <c r="E309" s="387" t="n"/>
      <c r="F309" s="387" t="n"/>
      <c r="G309" s="387" t="n"/>
      <c r="H309" s="387" t="n"/>
      <c r="I309" s="387" t="n"/>
      <c r="J309" s="1910" t="n"/>
      <c r="K309" s="383" t="n"/>
      <c r="L309" s="383" t="n"/>
      <c r="M309" s="383" t="n"/>
      <c r="N309" s="383" t="n"/>
      <c r="O309" s="383" t="n"/>
      <c r="P309" s="383" t="n"/>
      <c r="Q309" s="383" t="n"/>
      <c r="R309" s="383" t="n"/>
      <c r="S309" s="383" t="n"/>
      <c r="T309" s="383" t="n"/>
      <c r="U309" s="383" t="n"/>
      <c r="V309" s="383" t="n"/>
      <c r="W309" s="383" t="n"/>
      <c r="X309" s="383" t="n"/>
      <c r="Y309" s="383" t="n"/>
      <c r="Z309" s="383" t="n"/>
      <c r="AA309" s="383" t="n"/>
    </row>
    <row r="310" ht="3" customHeight="1" s="1883">
      <c r="C310" s="383" t="n"/>
      <c r="D310" s="383" t="n"/>
      <c r="E310" s="383" t="n"/>
      <c r="F310" s="383" t="n"/>
      <c r="G310" s="383" t="n"/>
      <c r="H310" s="383" t="n"/>
      <c r="I310" s="383" t="n"/>
      <c r="J310" s="383" t="n"/>
      <c r="K310" s="383" t="n"/>
      <c r="L310" s="383" t="n"/>
      <c r="M310" s="383" t="n"/>
      <c r="N310" s="383" t="n"/>
      <c r="O310" s="383" t="n"/>
      <c r="P310" s="383" t="n"/>
      <c r="Q310" s="383" t="n"/>
      <c r="R310" s="383" t="n"/>
      <c r="S310" s="383" t="n"/>
      <c r="T310" s="383" t="n"/>
      <c r="U310" s="383" t="n"/>
      <c r="V310" s="383" t="n"/>
      <c r="W310" s="383" t="n"/>
      <c r="X310" s="383" t="n"/>
      <c r="Y310" s="383" t="n"/>
      <c r="Z310" s="383" t="n"/>
      <c r="AA310" s="383" t="n"/>
    </row>
    <row r="311" ht="15" customHeight="1" s="1883">
      <c r="C311" s="590" t="inlineStr">
        <is>
          <t>●</t>
        </is>
      </c>
      <c r="D311" s="583" t="inlineStr">
        <is>
          <t>Total Headcount</t>
        </is>
      </c>
      <c r="E311" s="383" t="n"/>
      <c r="F311" s="383" t="n"/>
      <c r="G311" s="383" t="n"/>
      <c r="H311" s="383" t="n"/>
      <c r="I311" s="383" t="n"/>
      <c r="J311" s="383" t="n"/>
      <c r="K311" s="383" t="n"/>
      <c r="L311" s="584">
        <f>'5A. People Cost Roll-Up'!CC19</f>
        <v/>
      </c>
      <c r="M311" s="584">
        <f>'5A. People Cost Roll-Up'!CD19</f>
        <v/>
      </c>
      <c r="N311" s="584">
        <f>'5A. People Cost Roll-Up'!CE19</f>
        <v/>
      </c>
      <c r="O311" s="584">
        <f>'5A. People Cost Roll-Up'!CF19</f>
        <v/>
      </c>
      <c r="P311" s="584">
        <f>'5A. People Cost Roll-Up'!CG19</f>
        <v/>
      </c>
      <c r="Q311" s="584">
        <f>'5A. People Cost Roll-Up'!CH19</f>
        <v/>
      </c>
      <c r="R311" s="584">
        <f>'5A. People Cost Roll-Up'!CI19</f>
        <v/>
      </c>
      <c r="S311" s="584">
        <f>'5A. People Cost Roll-Up'!CJ19</f>
        <v/>
      </c>
      <c r="T311" s="584">
        <f>'5A. People Cost Roll-Up'!CK19</f>
        <v/>
      </c>
      <c r="U311" s="584">
        <f>'5A. People Cost Roll-Up'!CL19</f>
        <v/>
      </c>
      <c r="V311" s="584">
        <f>'5A. People Cost Roll-Up'!CM19</f>
        <v/>
      </c>
      <c r="W311" s="584">
        <f>'5A. People Cost Roll-Up'!CN19</f>
        <v/>
      </c>
      <c r="X311" s="383" t="n"/>
      <c r="Y311" s="584">
        <f>AVERAGE(L311:W311)</f>
        <v/>
      </c>
      <c r="Z311" s="383" t="n"/>
      <c r="AA311" s="383" t="n"/>
    </row>
    <row r="312" ht="15" customHeight="1" s="1883">
      <c r="C312" s="390" t="inlineStr">
        <is>
          <t>●</t>
        </is>
      </c>
      <c r="D312" s="383" t="inlineStr">
        <is>
          <t>Employee Payroll</t>
        </is>
      </c>
      <c r="E312" s="383" t="n"/>
      <c r="F312" s="383" t="n"/>
      <c r="G312" s="383" t="n"/>
      <c r="H312" s="383" t="n"/>
      <c r="I312" s="383" t="n"/>
      <c r="J312" s="383" t="n"/>
      <c r="K312" s="383" t="n"/>
      <c r="L312" s="395">
        <f>'5A. People Cost Roll-Up'!CC47</f>
        <v/>
      </c>
      <c r="M312" s="395">
        <f>'5A. People Cost Roll-Up'!CD47</f>
        <v/>
      </c>
      <c r="N312" s="395">
        <f>'5A. People Cost Roll-Up'!CE47</f>
        <v/>
      </c>
      <c r="O312" s="395">
        <f>'5A. People Cost Roll-Up'!CF47</f>
        <v/>
      </c>
      <c r="P312" s="395">
        <f>'5A. People Cost Roll-Up'!CG47</f>
        <v/>
      </c>
      <c r="Q312" s="395">
        <f>'5A. People Cost Roll-Up'!CH47</f>
        <v/>
      </c>
      <c r="R312" s="395">
        <f>'5A. People Cost Roll-Up'!CI47</f>
        <v/>
      </c>
      <c r="S312" s="395">
        <f>'5A. People Cost Roll-Up'!CJ47</f>
        <v/>
      </c>
      <c r="T312" s="395">
        <f>'5A. People Cost Roll-Up'!CK47</f>
        <v/>
      </c>
      <c r="U312" s="395">
        <f>'5A. People Cost Roll-Up'!CL47</f>
        <v/>
      </c>
      <c r="V312" s="395">
        <f>'5A. People Cost Roll-Up'!CM47</f>
        <v/>
      </c>
      <c r="W312" s="395">
        <f>'5A. People Cost Roll-Up'!CN47</f>
        <v/>
      </c>
      <c r="X312" s="383" t="n"/>
      <c r="Y312" s="396">
        <f>((L312)+(M312)+(N312)+(O312)+(P312)+(Q312)+(R312)+(S312)+(T312)+(U312)+(V312)+(W312))</f>
        <v/>
      </c>
      <c r="Z312" s="383" t="n"/>
      <c r="AA312" s="395">
        <f>'5A. People Cost Roll-Up'!CO47</f>
        <v/>
      </c>
    </row>
    <row r="313" ht="15" customHeight="1" s="1883">
      <c r="C313" s="390" t="inlineStr">
        <is>
          <t>●</t>
        </is>
      </c>
      <c r="D313" s="383" t="inlineStr">
        <is>
          <t>Employer Payroll Taxes</t>
        </is>
      </c>
      <c r="E313" s="383" t="n"/>
      <c r="F313" s="383" t="n"/>
      <c r="G313" s="383" t="n"/>
      <c r="H313" s="383" t="n"/>
      <c r="I313" s="383" t="n"/>
      <c r="J313" s="383" t="n"/>
      <c r="K313" s="383" t="n"/>
      <c r="L313" s="462">
        <f>'5A. People Cost Roll-Up'!CC66</f>
        <v/>
      </c>
      <c r="M313" s="462">
        <f>'5A. People Cost Roll-Up'!CD66</f>
        <v/>
      </c>
      <c r="N313" s="462">
        <f>'5A. People Cost Roll-Up'!CE66</f>
        <v/>
      </c>
      <c r="O313" s="462">
        <f>'5A. People Cost Roll-Up'!CF66</f>
        <v/>
      </c>
      <c r="P313" s="462">
        <f>'5A. People Cost Roll-Up'!CG66</f>
        <v/>
      </c>
      <c r="Q313" s="462">
        <f>'5A. People Cost Roll-Up'!CH66</f>
        <v/>
      </c>
      <c r="R313" s="462">
        <f>'5A. People Cost Roll-Up'!CI66</f>
        <v/>
      </c>
      <c r="S313" s="462">
        <f>'5A. People Cost Roll-Up'!CJ66</f>
        <v/>
      </c>
      <c r="T313" s="462">
        <f>'5A. People Cost Roll-Up'!CK66</f>
        <v/>
      </c>
      <c r="U313" s="462">
        <f>'5A. People Cost Roll-Up'!CL66</f>
        <v/>
      </c>
      <c r="V313" s="462">
        <f>'5A. People Cost Roll-Up'!CM66</f>
        <v/>
      </c>
      <c r="W313" s="462">
        <f>'5A. People Cost Roll-Up'!CN66</f>
        <v/>
      </c>
      <c r="X313" s="383" t="n"/>
      <c r="Y313" s="494">
        <f>((L313)+(M313)+(N313)+(O313)+(P313)+(Q313)+(R313)+(S313)+(T313)+(U313)+(V313)+(W313))</f>
        <v/>
      </c>
      <c r="Z313" s="383" t="n"/>
      <c r="AA313" s="462">
        <f>'5A. People Cost Roll-Up'!CO66</f>
        <v/>
      </c>
    </row>
    <row r="314" ht="15" customHeight="1" s="1883">
      <c r="C314" s="390" t="inlineStr">
        <is>
          <t>●</t>
        </is>
      </c>
      <c r="D314" s="383" t="inlineStr">
        <is>
          <t>Employee Benefits</t>
        </is>
      </c>
      <c r="E314" s="383" t="n"/>
      <c r="F314" s="383" t="n"/>
      <c r="G314" s="383" t="n"/>
      <c r="H314" s="383" t="n"/>
      <c r="I314" s="383" t="n"/>
      <c r="J314" s="383" t="n"/>
      <c r="K314" s="383" t="n"/>
      <c r="L314" s="462">
        <f>'5A. People Cost Roll-Up'!CC88</f>
        <v/>
      </c>
      <c r="M314" s="462">
        <f>'5A. People Cost Roll-Up'!CD88</f>
        <v/>
      </c>
      <c r="N314" s="462">
        <f>'5A. People Cost Roll-Up'!CE88</f>
        <v/>
      </c>
      <c r="O314" s="462">
        <f>'5A. People Cost Roll-Up'!CF88</f>
        <v/>
      </c>
      <c r="P314" s="462">
        <f>'5A. People Cost Roll-Up'!CG88</f>
        <v/>
      </c>
      <c r="Q314" s="462">
        <f>'5A. People Cost Roll-Up'!CH88</f>
        <v/>
      </c>
      <c r="R314" s="462">
        <f>'5A. People Cost Roll-Up'!CI88</f>
        <v/>
      </c>
      <c r="S314" s="462">
        <f>'5A. People Cost Roll-Up'!CJ88</f>
        <v/>
      </c>
      <c r="T314" s="462">
        <f>'5A. People Cost Roll-Up'!CK88</f>
        <v/>
      </c>
      <c r="U314" s="462">
        <f>'5A. People Cost Roll-Up'!CL88</f>
        <v/>
      </c>
      <c r="V314" s="462">
        <f>'5A. People Cost Roll-Up'!CM88</f>
        <v/>
      </c>
      <c r="W314" s="462">
        <f>'5A. People Cost Roll-Up'!CN88</f>
        <v/>
      </c>
      <c r="X314" s="383" t="n"/>
      <c r="Y314" s="494">
        <f>((L314)+(M314)+(N314)+(O314)+(P314)+(Q314)+(R314)+(S314)+(T314)+(U314)+(V314)+(W314))</f>
        <v/>
      </c>
      <c r="Z314" s="383" t="n"/>
      <c r="AA314" s="462">
        <f>'5A. People Cost Roll-Up'!CO88</f>
        <v/>
      </c>
    </row>
    <row r="315" ht="3" customHeight="1" s="1883">
      <c r="C315" s="383" t="n"/>
      <c r="D315" s="383" t="n"/>
      <c r="E315" s="383" t="n"/>
      <c r="F315" s="383" t="n"/>
      <c r="G315" s="383" t="n"/>
      <c r="H315" s="383" t="n"/>
      <c r="I315" s="383" t="n"/>
      <c r="J315" s="383" t="n"/>
      <c r="K315" s="383" t="n"/>
      <c r="L315" s="387" t="n"/>
      <c r="M315" s="387" t="n"/>
      <c r="N315" s="387" t="n"/>
      <c r="O315" s="387" t="n"/>
      <c r="P315" s="387" t="n"/>
      <c r="Q315" s="387" t="n"/>
      <c r="R315" s="387" t="n"/>
      <c r="S315" s="387" t="n"/>
      <c r="T315" s="387" t="n"/>
      <c r="U315" s="387" t="n"/>
      <c r="V315" s="387" t="n"/>
      <c r="W315" s="387" t="n"/>
      <c r="X315" s="383" t="n"/>
      <c r="Y315" s="387" t="n"/>
      <c r="Z315" s="383" t="n"/>
      <c r="AA315" s="387" t="n"/>
    </row>
    <row r="316" ht="3" customHeight="1" s="1883">
      <c r="C316" s="383" t="n"/>
      <c r="D316" s="383" t="n"/>
      <c r="E316" s="383" t="n"/>
      <c r="F316" s="383" t="n"/>
      <c r="G316" s="383" t="n"/>
      <c r="H316" s="383" t="n"/>
      <c r="I316" s="383" t="n"/>
      <c r="J316" s="383" t="n"/>
      <c r="K316" s="383" t="n"/>
      <c r="L316" s="383" t="n"/>
      <c r="M316" s="383" t="n"/>
      <c r="N316" s="383" t="n"/>
      <c r="O316" s="383" t="n"/>
      <c r="P316" s="383" t="n"/>
      <c r="Q316" s="383" t="n"/>
      <c r="R316" s="383" t="n"/>
      <c r="S316" s="383" t="n"/>
      <c r="T316" s="383" t="n"/>
      <c r="U316" s="383" t="n"/>
      <c r="V316" s="383" t="n"/>
      <c r="W316" s="383" t="n"/>
      <c r="X316" s="383" t="n"/>
      <c r="Y316" s="383" t="n"/>
      <c r="Z316" s="383" t="n"/>
      <c r="AA316" s="383" t="n"/>
    </row>
    <row r="317" ht="15" customHeight="1" s="1883">
      <c r="C317" s="383" t="n"/>
      <c r="E317" s="385" t="inlineStr">
        <is>
          <t>Total People Cost</t>
        </is>
      </c>
      <c r="F317" s="383" t="n"/>
      <c r="G317" s="383" t="n"/>
      <c r="H317" s="383" t="n"/>
      <c r="I317" s="383" t="n"/>
      <c r="J317" s="383" t="n"/>
      <c r="K317" s="383" t="n"/>
      <c r="L317" s="396">
        <f>SUM(L312:L314)</f>
        <v/>
      </c>
      <c r="M317" s="396">
        <f>SUM(M312:M314)</f>
        <v/>
      </c>
      <c r="N317" s="396">
        <f>SUM(N312:N314)</f>
        <v/>
      </c>
      <c r="O317" s="396">
        <f>SUM(O312:O314)</f>
        <v/>
      </c>
      <c r="P317" s="396">
        <f>SUM(P312:P314)</f>
        <v/>
      </c>
      <c r="Q317" s="396">
        <f>SUM(Q312:Q314)</f>
        <v/>
      </c>
      <c r="R317" s="396">
        <f>SUM(R312:R314)</f>
        <v/>
      </c>
      <c r="S317" s="396">
        <f>SUM(S312:S314)</f>
        <v/>
      </c>
      <c r="T317" s="396">
        <f>SUM(T312:T314)</f>
        <v/>
      </c>
      <c r="U317" s="396">
        <f>SUM(U312:U314)</f>
        <v/>
      </c>
      <c r="V317" s="396">
        <f>SUM(V312:V314)</f>
        <v/>
      </c>
      <c r="W317" s="396">
        <f>SUM(W312:W314)</f>
        <v/>
      </c>
      <c r="X317" s="396">
        <f>SUM(X312:X314)</f>
        <v/>
      </c>
      <c r="Y317" s="396">
        <f>SUM(Y312:Y314)</f>
        <v/>
      </c>
      <c r="Z317" s="396" t="n"/>
      <c r="AA317" s="396">
        <f>SUM(AA312:AA314)</f>
        <v/>
      </c>
    </row>
    <row r="321" ht="15" customHeight="1" s="1883">
      <c r="C321" s="385" t="inlineStr">
        <is>
          <t>Research and Development</t>
        </is>
      </c>
      <c r="D321" s="383" t="n"/>
      <c r="E321" s="383" t="n"/>
      <c r="F321" s="383" t="n"/>
      <c r="G321" s="383" t="n"/>
      <c r="H321" s="383" t="n"/>
      <c r="I321" s="383" t="n"/>
      <c r="J321" s="592" t="inlineStr">
        <is>
          <t>7.5% of Realized Revenue from Market Research Svs.</t>
        </is>
      </c>
      <c r="K321" s="383" t="n"/>
      <c r="L321" s="396">
        <f>(('3B. Tel. - Rev. Detail x Month'!J392)*(0.075))</f>
        <v/>
      </c>
      <c r="M321" s="396">
        <f>(('3B. Tel. - Rev. Detail x Month'!K392)*(0.075))</f>
        <v/>
      </c>
      <c r="N321" s="396">
        <f>(('3B. Tel. - Rev. Detail x Month'!L392)*(0.075))</f>
        <v/>
      </c>
      <c r="O321" s="396">
        <f>(('3B. Tel. - Rev. Detail x Month'!M392)*(0.075))</f>
        <v/>
      </c>
      <c r="P321" s="396">
        <f>(('3B. Tel. - Rev. Detail x Month'!N392)*(0.075))</f>
        <v/>
      </c>
      <c r="Q321" s="396">
        <f>(('3B. Tel. - Rev. Detail x Month'!O392)*(0.075))</f>
        <v/>
      </c>
      <c r="R321" s="396">
        <f>(('3B. Tel. - Rev. Detail x Month'!P392)*(0.075))</f>
        <v/>
      </c>
      <c r="S321" s="396">
        <f>(('3B. Tel. - Rev. Detail x Month'!Q392)*(0.075))</f>
        <v/>
      </c>
      <c r="T321" s="396">
        <f>(('3B. Tel. - Rev. Detail x Month'!R392)*(0.075))</f>
        <v/>
      </c>
      <c r="U321" s="396">
        <f>(('3B. Tel. - Rev. Detail x Month'!S392)*(0.075))</f>
        <v/>
      </c>
      <c r="V321" s="396">
        <f>(('3B. Tel. - Rev. Detail x Month'!T392)*(0.075))</f>
        <v/>
      </c>
      <c r="W321" s="396">
        <f>(('3B. Tel. - Rev. Detail x Month'!U392)*(0.075))</f>
        <v/>
      </c>
      <c r="X321" s="396">
        <f>((('3B. Tel. - Rev. Detail x Month'!V169)+('3B. Tel. - Rev. Detail x Month'!V392))*(0.08))</f>
        <v/>
      </c>
      <c r="Y321" s="396">
        <f>((L321)+(M321)+(N321)+(O321)+(P321)+(Q321)+(R321)+(S321)+(T321)+(U321)+(V321)+(W321))</f>
        <v/>
      </c>
      <c r="Z321" s="383" t="n"/>
      <c r="AA321" s="395">
        <f>((('3B. Tel. - Rev. Detail x Month'!W169)+('3B. Tel. - Rev. Detail x Month'!W392))*(0.12))</f>
        <v/>
      </c>
    </row>
    <row r="322" ht="15" customHeight="1" s="1883">
      <c r="C322" s="383" t="n"/>
      <c r="D322" s="383" t="n"/>
      <c r="E322" s="383" t="n"/>
      <c r="F322" s="383" t="n"/>
      <c r="G322" s="383" t="n"/>
      <c r="H322" s="383" t="n"/>
      <c r="I322" s="383" t="n"/>
      <c r="J322" s="383" t="n"/>
      <c r="K322" s="383" t="n"/>
      <c r="L322" s="383" t="n"/>
      <c r="M322" s="383" t="n"/>
      <c r="N322" s="383" t="n"/>
      <c r="O322" s="383" t="n"/>
      <c r="P322" s="383" t="n"/>
      <c r="Q322" s="383" t="n"/>
      <c r="R322" s="383" t="n"/>
      <c r="S322" s="383" t="n"/>
      <c r="T322" s="383" t="n"/>
      <c r="U322" s="383" t="n"/>
      <c r="V322" s="383" t="n"/>
      <c r="W322" s="383" t="n"/>
      <c r="X322" s="383" t="n"/>
      <c r="Y322" s="383" t="n"/>
      <c r="Z322" s="383" t="n"/>
      <c r="AA322" s="383" t="n"/>
    </row>
    <row r="323" ht="15" customHeight="1" s="1883">
      <c r="C323" s="385" t="inlineStr">
        <is>
          <t>Sales and Marketing</t>
        </is>
      </c>
      <c r="D323" s="383" t="n"/>
      <c r="E323" s="383" t="n"/>
      <c r="F323" s="383" t="n"/>
      <c r="G323" s="383" t="n"/>
      <c r="H323" s="383" t="n"/>
      <c r="I323" s="383" t="n"/>
      <c r="J323" s="383" t="n"/>
      <c r="K323" s="383" t="n"/>
      <c r="L323" s="383" t="n"/>
      <c r="M323" s="383" t="n"/>
      <c r="N323" s="383" t="n"/>
      <c r="O323" s="383" t="n"/>
      <c r="P323" s="383" t="n"/>
      <c r="Q323" s="383" t="n"/>
      <c r="R323" s="383" t="n"/>
      <c r="S323" s="383" t="n"/>
      <c r="T323" s="383" t="n"/>
      <c r="U323" s="383" t="n"/>
      <c r="V323" s="383" t="n"/>
      <c r="W323" s="383" t="n"/>
      <c r="X323" s="383" t="n"/>
      <c r="Y323" s="383" t="n"/>
      <c r="Z323" s="383" t="n"/>
      <c r="AA323" s="383" t="n"/>
    </row>
    <row r="324" ht="15" customHeight="1" s="1883">
      <c r="C324" s="590" t="inlineStr">
        <is>
          <t>●</t>
        </is>
      </c>
      <c r="D324" s="583" t="inlineStr">
        <is>
          <t>Sales and Marketing Headcount</t>
        </is>
      </c>
      <c r="E324" s="383" t="n"/>
      <c r="F324" s="383" t="n"/>
      <c r="G324" s="383" t="n"/>
      <c r="H324" s="383" t="n"/>
      <c r="I324" s="383" t="n"/>
      <c r="J324" s="383" t="n"/>
      <c r="K324" s="383" t="n"/>
      <c r="L324" s="584">
        <f>'5A. People Cost Roll-Up'!CC21</f>
        <v/>
      </c>
      <c r="M324" s="584">
        <f>'5A. People Cost Roll-Up'!CD21</f>
        <v/>
      </c>
      <c r="N324" s="584">
        <f>'5A. People Cost Roll-Up'!CE21</f>
        <v/>
      </c>
      <c r="O324" s="584">
        <f>'5A. People Cost Roll-Up'!CF21</f>
        <v/>
      </c>
      <c r="P324" s="584">
        <f>'5A. People Cost Roll-Up'!CG21</f>
        <v/>
      </c>
      <c r="Q324" s="584">
        <f>'5A. People Cost Roll-Up'!CH21</f>
        <v/>
      </c>
      <c r="R324" s="584">
        <f>'5A. People Cost Roll-Up'!CI21</f>
        <v/>
      </c>
      <c r="S324" s="584">
        <f>'5A. People Cost Roll-Up'!CJ21</f>
        <v/>
      </c>
      <c r="T324" s="584">
        <f>'5A. People Cost Roll-Up'!CK21</f>
        <v/>
      </c>
      <c r="U324" s="584">
        <f>'5A. People Cost Roll-Up'!CL21</f>
        <v/>
      </c>
      <c r="V324" s="584">
        <f>'5A. People Cost Roll-Up'!CM21</f>
        <v/>
      </c>
      <c r="W324" s="584">
        <f>'5A. People Cost Roll-Up'!CN21</f>
        <v/>
      </c>
      <c r="X324" s="383" t="n"/>
      <c r="Y324" s="584">
        <f>AVERAGE(L324:W324)</f>
        <v/>
      </c>
      <c r="Z324" s="383" t="n"/>
      <c r="AA324" s="383" t="n"/>
    </row>
    <row r="325" ht="15" customHeight="1" s="1883">
      <c r="C325" s="390" t="inlineStr">
        <is>
          <t>●</t>
        </is>
      </c>
      <c r="D325" s="383" t="inlineStr">
        <is>
          <t>Advertising and Marketing</t>
        </is>
      </c>
      <c r="E325" s="383" t="n"/>
      <c r="F325" s="383" t="n"/>
      <c r="G325" s="383" t="n"/>
      <c r="H325" s="383" t="n"/>
      <c r="I325" s="383" t="n"/>
      <c r="J325" s="592" t="inlineStr">
        <is>
          <t>10.00% of Gross Revenue</t>
        </is>
      </c>
      <c r="K325" s="383" t="n"/>
      <c r="L325" s="395">
        <f>((('3B. Tel. - Rev. Detail x Month'!J169)+('3B. Tel. - Rev. Detail x Month'!J392))*(0.1))</f>
        <v/>
      </c>
      <c r="M325" s="395">
        <f>((('3B. Tel. - Rev. Detail x Month'!K169)+('3B. Tel. - Rev. Detail x Month'!K392))*(0.1))</f>
        <v/>
      </c>
      <c r="N325" s="395">
        <f>((('3B. Tel. - Rev. Detail x Month'!L169)+('3B. Tel. - Rev. Detail x Month'!L392))*(0.1))</f>
        <v/>
      </c>
      <c r="O325" s="395">
        <f>((('3B. Tel. - Rev. Detail x Month'!M169)+('3B. Tel. - Rev. Detail x Month'!M392))*(0.1))</f>
        <v/>
      </c>
      <c r="P325" s="395">
        <f>((('3B. Tel. - Rev. Detail x Month'!N169)+('3B. Tel. - Rev. Detail x Month'!N392))*(0.1))</f>
        <v/>
      </c>
      <c r="Q325" s="395">
        <f>((('3B. Tel. - Rev. Detail x Month'!O169)+('3B. Tel. - Rev. Detail x Month'!O392))*(0.1))</f>
        <v/>
      </c>
      <c r="R325" s="395">
        <f>((('3B. Tel. - Rev. Detail x Month'!P169)+('3B. Tel. - Rev. Detail x Month'!P392))*(0.1))</f>
        <v/>
      </c>
      <c r="S325" s="395">
        <f>((('3B. Tel. - Rev. Detail x Month'!Q169)+('3B. Tel. - Rev. Detail x Month'!Q392))*(0.1))</f>
        <v/>
      </c>
      <c r="T325" s="395">
        <f>((('3B. Tel. - Rev. Detail x Month'!R169)+('3B. Tel. - Rev. Detail x Month'!R392))*(0.1))</f>
        <v/>
      </c>
      <c r="U325" s="395">
        <f>((('3B. Tel. - Rev. Detail x Month'!S169)+('3B. Tel. - Rev. Detail x Month'!S392))*(0.1))</f>
        <v/>
      </c>
      <c r="V325" s="395">
        <f>((('3B. Tel. - Rev. Detail x Month'!T169)+('3B. Tel. - Rev. Detail x Month'!T392))*(0.1))</f>
        <v/>
      </c>
      <c r="W325" s="395">
        <f>((('3B. Tel. - Rev. Detail x Month'!U169)+('3B. Tel. - Rev. Detail x Month'!U392))*(0.1))</f>
        <v/>
      </c>
      <c r="X325" s="383" t="n"/>
      <c r="Y325" s="396">
        <f>((L325)+(M325)+(N325)+(O325)+(P325)+(Q325)+(R325)+(S325)+(T325)+(U325)+(V325)+(W325))</f>
        <v/>
      </c>
      <c r="Z325" s="383" t="n"/>
      <c r="AA325" s="395">
        <f>((('3B. Tel. - Rev. Detail x Month'!W169)+('3B. Tel. - Rev. Detail x Month'!W392))*(0.1))</f>
        <v/>
      </c>
    </row>
    <row r="326" ht="15" customHeight="1" s="1883">
      <c r="C326" s="390" t="inlineStr">
        <is>
          <t>●</t>
        </is>
      </c>
      <c r="D326" s="383" t="inlineStr">
        <is>
          <t>Travel</t>
        </is>
      </c>
      <c r="E326" s="383" t="n"/>
      <c r="F326" s="383" t="n"/>
      <c r="G326" s="383" t="n"/>
      <c r="H326" s="383" t="n"/>
      <c r="I326" s="383" t="n"/>
      <c r="J326" s="384" t="inlineStr">
        <is>
          <t>25% increase vs. Year 3</t>
        </is>
      </c>
      <c r="K326" s="383" t="n"/>
      <c r="L326" s="462">
        <f>'4B. Tel. Expense Assumptions'!AQ48</f>
        <v/>
      </c>
      <c r="M326" s="462">
        <f>'4B. Tel. Expense Assumptions'!AR41</f>
        <v/>
      </c>
      <c r="N326" s="462">
        <f>'4B. Tel. Expense Assumptions'!AS41</f>
        <v/>
      </c>
      <c r="O326" s="462">
        <f>'4B. Tel. Expense Assumptions'!AT41</f>
        <v/>
      </c>
      <c r="P326" s="462">
        <f>'4B. Tel. Expense Assumptions'!AU41</f>
        <v/>
      </c>
      <c r="Q326" s="462">
        <f>'4B. Tel. Expense Assumptions'!AV41</f>
        <v/>
      </c>
      <c r="R326" s="462">
        <f>'4B. Tel. Expense Assumptions'!AW41</f>
        <v/>
      </c>
      <c r="S326" s="462">
        <f>'4B. Tel. Expense Assumptions'!AX41</f>
        <v/>
      </c>
      <c r="T326" s="462">
        <f>'4B. Tel. Expense Assumptions'!AY41</f>
        <v/>
      </c>
      <c r="U326" s="462">
        <f>'4B. Tel. Expense Assumptions'!AZ41</f>
        <v/>
      </c>
      <c r="V326" s="462">
        <f>'4B. Tel. Expense Assumptions'!BA41</f>
        <v/>
      </c>
      <c r="W326" s="462">
        <f>'4B. Tel. Expense Assumptions'!BB41</f>
        <v/>
      </c>
      <c r="X326" s="462" t="n"/>
      <c r="Y326" s="494">
        <f>((L326)+(M326)+(N326)+(O326)+(P326)+(Q326)+(R326)+(S326)+(T326)+(U326)+(V326)+(W326))</f>
        <v/>
      </c>
      <c r="Z326" s="462" t="n"/>
      <c r="AA326" s="462" t="n"/>
    </row>
    <row r="327" ht="15" customHeight="1" s="1883">
      <c r="C327" s="390" t="inlineStr">
        <is>
          <t>●</t>
        </is>
      </c>
      <c r="D327" s="383" t="inlineStr">
        <is>
          <t>Telephone</t>
        </is>
      </c>
      <c r="E327" s="383" t="n"/>
      <c r="F327" s="383" t="n"/>
      <c r="G327" s="383" t="n"/>
      <c r="H327" s="383" t="n"/>
      <c r="I327" s="383" t="n"/>
      <c r="J327" s="384" t="inlineStr">
        <is>
          <t>$150/employee/month</t>
        </is>
      </c>
      <c r="K327" s="383" t="n"/>
      <c r="L327" s="462">
        <f>((150)*(L324))</f>
        <v/>
      </c>
      <c r="M327" s="462">
        <f>((150)*(M324))</f>
        <v/>
      </c>
      <c r="N327" s="462">
        <f>((150)*(N324))</f>
        <v/>
      </c>
      <c r="O327" s="462">
        <f>((150)*(O324))</f>
        <v/>
      </c>
      <c r="P327" s="462">
        <f>((150)*(P324))</f>
        <v/>
      </c>
      <c r="Q327" s="462">
        <f>((150)*(Q324))</f>
        <v/>
      </c>
      <c r="R327" s="462">
        <f>((150)*(R324))</f>
        <v/>
      </c>
      <c r="S327" s="462">
        <f>((150)*(S324))</f>
        <v/>
      </c>
      <c r="T327" s="462">
        <f>((150)*(T324))</f>
        <v/>
      </c>
      <c r="U327" s="462">
        <f>((150)*(U324))</f>
        <v/>
      </c>
      <c r="V327" s="462">
        <f>((150)*(V324))</f>
        <v/>
      </c>
      <c r="W327" s="462">
        <f>((150)*(W324))</f>
        <v/>
      </c>
      <c r="X327" s="462" t="n"/>
      <c r="Y327" s="494">
        <f>((L327)+(M327)+(N327)+(O327)+(P327)+(Q327)+(R327)+(S327)+(T327)+(U327)+(V327)+(W327))</f>
        <v/>
      </c>
      <c r="Z327" s="462" t="n"/>
      <c r="AA327" s="462" t="n"/>
    </row>
    <row r="328" ht="3" customHeight="1" s="1883">
      <c r="C328" s="390" t="n"/>
      <c r="D328" s="383" t="n"/>
      <c r="E328" s="383" t="n"/>
      <c r="F328" s="383" t="n"/>
      <c r="G328" s="383" t="n"/>
      <c r="H328" s="383" t="n"/>
      <c r="I328" s="383" t="n"/>
      <c r="J328" s="383" t="n"/>
      <c r="K328" s="383" t="n"/>
      <c r="L328" s="508" t="n"/>
      <c r="M328" s="508" t="n"/>
      <c r="N328" s="508" t="n"/>
      <c r="O328" s="508" t="n"/>
      <c r="P328" s="508" t="n"/>
      <c r="Q328" s="508" t="n"/>
      <c r="R328" s="508" t="n"/>
      <c r="S328" s="508" t="n"/>
      <c r="T328" s="508" t="n"/>
      <c r="U328" s="508" t="n"/>
      <c r="V328" s="508" t="n"/>
      <c r="W328" s="508" t="n"/>
      <c r="X328" s="462" t="n"/>
      <c r="Y328" s="508" t="n"/>
      <c r="Z328" s="462" t="n"/>
      <c r="AA328" s="462" t="n"/>
    </row>
    <row r="329" ht="3" customHeight="1" s="1883">
      <c r="C329" s="390" t="n"/>
      <c r="D329" s="383" t="n"/>
      <c r="E329" s="383" t="n"/>
      <c r="F329" s="383" t="n"/>
      <c r="G329" s="383" t="n"/>
      <c r="H329" s="383" t="n"/>
      <c r="I329" s="383" t="n"/>
      <c r="J329" s="383" t="n"/>
      <c r="K329" s="383" t="n"/>
      <c r="L329" s="462" t="n"/>
      <c r="M329" s="462" t="n"/>
      <c r="N329" s="462" t="n"/>
      <c r="O329" s="462" t="n"/>
      <c r="P329" s="462" t="n"/>
      <c r="Q329" s="462" t="n"/>
      <c r="R329" s="462" t="n"/>
      <c r="S329" s="462" t="n"/>
      <c r="T329" s="462" t="n"/>
      <c r="U329" s="462" t="n"/>
      <c r="V329" s="462" t="n"/>
      <c r="W329" s="462" t="n"/>
      <c r="X329" s="462" t="n"/>
      <c r="Y329" s="462" t="n"/>
      <c r="Z329" s="462" t="n"/>
      <c r="AA329" s="462" t="n"/>
    </row>
    <row r="330" ht="15" customHeight="1" s="1883">
      <c r="C330" s="390" t="n"/>
      <c r="D330" s="383" t="n"/>
      <c r="E330" s="385" t="inlineStr">
        <is>
          <t>Total, Sales and Marketing</t>
        </is>
      </c>
      <c r="F330" s="383" t="n"/>
      <c r="G330" s="383" t="n"/>
      <c r="H330" s="383" t="n"/>
      <c r="I330" s="383" t="n"/>
      <c r="J330" s="383" t="n"/>
      <c r="K330" s="383" t="n"/>
      <c r="L330" s="396">
        <f>SUM(L325:L327)</f>
        <v/>
      </c>
      <c r="M330" s="396">
        <f>SUM(M325:M327)</f>
        <v/>
      </c>
      <c r="N330" s="396">
        <f>SUM(N325:N327)</f>
        <v/>
      </c>
      <c r="O330" s="396">
        <f>SUM(O325:O327)</f>
        <v/>
      </c>
      <c r="P330" s="396">
        <f>SUM(P325:P327)</f>
        <v/>
      </c>
      <c r="Q330" s="396">
        <f>SUM(Q325:Q327)</f>
        <v/>
      </c>
      <c r="R330" s="396">
        <f>SUM(R325:R327)</f>
        <v/>
      </c>
      <c r="S330" s="396">
        <f>SUM(S325:S327)</f>
        <v/>
      </c>
      <c r="T330" s="396">
        <f>SUM(T325:T327)</f>
        <v/>
      </c>
      <c r="U330" s="396">
        <f>SUM(U325:U327)</f>
        <v/>
      </c>
      <c r="V330" s="396">
        <f>SUM(V325:V327)</f>
        <v/>
      </c>
      <c r="W330" s="396">
        <f>SUM(W325:W327)</f>
        <v/>
      </c>
      <c r="X330" s="462" t="n"/>
      <c r="Y330" s="396">
        <f>SUM(Y325:Y327)</f>
        <v/>
      </c>
      <c r="Z330" s="462" t="n"/>
      <c r="AA330" s="462" t="n"/>
    </row>
    <row r="331" ht="3" customHeight="1" s="1883">
      <c r="C331" s="390" t="n"/>
      <c r="D331" s="383" t="n"/>
      <c r="E331" s="383" t="n"/>
      <c r="F331" s="383" t="n"/>
      <c r="G331" s="383" t="n"/>
      <c r="H331" s="383" t="n"/>
      <c r="I331" s="383" t="n"/>
      <c r="J331" s="383" t="n"/>
      <c r="K331" s="383" t="n"/>
      <c r="L331" s="508" t="n"/>
      <c r="M331" s="508" t="n"/>
      <c r="N331" s="508" t="n"/>
      <c r="O331" s="508" t="n"/>
      <c r="P331" s="508" t="n"/>
      <c r="Q331" s="508" t="n"/>
      <c r="R331" s="508" t="n"/>
      <c r="S331" s="508" t="n"/>
      <c r="T331" s="508" t="n"/>
      <c r="U331" s="508" t="n"/>
      <c r="V331" s="508" t="n"/>
      <c r="W331" s="508" t="n"/>
      <c r="X331" s="462" t="n"/>
      <c r="Y331" s="508" t="n"/>
      <c r="Z331" s="462" t="n"/>
      <c r="AA331" s="462" t="n"/>
    </row>
    <row r="332" ht="3" customHeight="1" s="1883">
      <c r="C332" s="390" t="n"/>
      <c r="D332" s="383" t="n"/>
      <c r="E332" s="383" t="n"/>
      <c r="F332" s="383" t="n"/>
      <c r="G332" s="383" t="n"/>
      <c r="H332" s="383" t="n"/>
      <c r="I332" s="383" t="n"/>
      <c r="J332" s="383" t="n"/>
      <c r="K332" s="383" t="n"/>
      <c r="L332" s="462" t="n"/>
      <c r="M332" s="462" t="n"/>
      <c r="N332" s="462" t="n"/>
      <c r="O332" s="462" t="n"/>
      <c r="P332" s="462" t="n"/>
      <c r="Q332" s="462" t="n"/>
      <c r="R332" s="462" t="n"/>
      <c r="S332" s="462" t="n"/>
      <c r="T332" s="462" t="n"/>
      <c r="U332" s="462" t="n"/>
      <c r="V332" s="462" t="n"/>
      <c r="W332" s="462" t="n"/>
      <c r="X332" s="462" t="n"/>
      <c r="Y332" s="462" t="n"/>
      <c r="Z332" s="462" t="n"/>
      <c r="AA332" s="462" t="n"/>
    </row>
    <row r="333" ht="15" customHeight="1" s="1883">
      <c r="D333" s="383" t="n"/>
      <c r="E333" s="383" t="n"/>
      <c r="F333" s="383" t="n"/>
      <c r="G333" s="383" t="n"/>
      <c r="H333" s="383" t="n"/>
      <c r="I333" s="383" t="n"/>
      <c r="J333" s="383" t="n"/>
      <c r="K333" s="383" t="n"/>
      <c r="L333" s="462" t="n"/>
      <c r="M333" s="462" t="n"/>
      <c r="N333" s="462" t="n"/>
      <c r="O333" s="462" t="n"/>
      <c r="P333" s="462" t="n"/>
      <c r="Q333" s="462" t="n"/>
      <c r="R333" s="462" t="n"/>
      <c r="S333" s="462" t="n"/>
      <c r="T333" s="462" t="n"/>
      <c r="U333" s="462" t="n"/>
      <c r="V333" s="462" t="n"/>
      <c r="W333" s="462" t="n"/>
      <c r="X333" s="462" t="n"/>
      <c r="Y333" s="462" t="n"/>
      <c r="Z333" s="462" t="n"/>
      <c r="AA333" s="462" t="n"/>
    </row>
    <row r="334" ht="15" customHeight="1" s="1883">
      <c r="C334" s="385" t="inlineStr">
        <is>
          <t>Occupancy</t>
        </is>
      </c>
      <c r="D334" s="383" t="n"/>
      <c r="E334" s="383" t="n"/>
      <c r="F334" s="383" t="n"/>
      <c r="G334" s="383" t="n"/>
      <c r="H334" s="383" t="n"/>
      <c r="I334" s="383" t="n"/>
      <c r="J334" s="383" t="n"/>
      <c r="K334" s="383" t="n"/>
      <c r="L334" s="462" t="n"/>
      <c r="M334" s="462" t="n"/>
      <c r="N334" s="462" t="n"/>
      <c r="O334" s="462" t="n"/>
      <c r="P334" s="462" t="n"/>
      <c r="Q334" s="462" t="n"/>
      <c r="R334" s="462" t="n"/>
      <c r="S334" s="462" t="n"/>
      <c r="T334" s="462" t="n"/>
      <c r="U334" s="462" t="n"/>
      <c r="V334" s="462" t="n"/>
      <c r="W334" s="462" t="n"/>
      <c r="X334" s="462" t="n"/>
      <c r="Y334" s="462" t="n"/>
      <c r="Z334" s="462" t="n"/>
      <c r="AA334" s="462" t="n"/>
    </row>
    <row r="335" ht="15" customHeight="1" s="1883">
      <c r="C335" s="390" t="inlineStr">
        <is>
          <t>●</t>
        </is>
      </c>
      <c r="D335" s="383" t="inlineStr">
        <is>
          <t>Rent</t>
        </is>
      </c>
      <c r="E335" s="383" t="n"/>
      <c r="F335" s="383" t="n"/>
      <c r="G335" s="383" t="n"/>
      <c r="H335" s="383" t="n"/>
      <c r="I335" s="383" t="n"/>
      <c r="J335" s="383" t="n"/>
      <c r="K335" s="383" t="n"/>
      <c r="L335" s="395">
        <f>'4B. Tel. Expense Assumptions'!AQ12</f>
        <v/>
      </c>
      <c r="M335" s="395">
        <f>'4B. Tel. Expense Assumptions'!AR12</f>
        <v/>
      </c>
      <c r="N335" s="395">
        <f>'4B. Tel. Expense Assumptions'!AS12</f>
        <v/>
      </c>
      <c r="O335" s="395">
        <f>'4B. Tel. Expense Assumptions'!AT12</f>
        <v/>
      </c>
      <c r="P335" s="395">
        <f>'4B. Tel. Expense Assumptions'!AU12</f>
        <v/>
      </c>
      <c r="Q335" s="395">
        <f>'4B. Tel. Expense Assumptions'!AV12</f>
        <v/>
      </c>
      <c r="R335" s="395">
        <f>'4B. Tel. Expense Assumptions'!AW12</f>
        <v/>
      </c>
      <c r="S335" s="395">
        <f>'4B. Tel. Expense Assumptions'!AX12</f>
        <v/>
      </c>
      <c r="T335" s="395">
        <f>'4B. Tel. Expense Assumptions'!AY12</f>
        <v/>
      </c>
      <c r="U335" s="395">
        <f>'4B. Tel. Expense Assumptions'!AZ12</f>
        <v/>
      </c>
      <c r="V335" s="395">
        <f>'4B. Tel. Expense Assumptions'!BA12</f>
        <v/>
      </c>
      <c r="W335" s="395">
        <f>'4B. Tel. Expense Assumptions'!BB12</f>
        <v/>
      </c>
      <c r="X335" s="462" t="n"/>
      <c r="Y335" s="396">
        <f>((L335)+(M335)+(N335)+(O335)+(P335)+(Q335)+(R335)+(S335)+(T335)+(U335)+(V335)+(W335))</f>
        <v/>
      </c>
      <c r="Z335" s="462" t="n"/>
      <c r="AA335" s="462">
        <f>SUM('4B. Tel. Expense Assumptions'!AQ12:BB12)</f>
        <v/>
      </c>
    </row>
    <row r="336" ht="15" customHeight="1" s="1883">
      <c r="C336" s="390" t="inlineStr">
        <is>
          <t>●</t>
        </is>
      </c>
      <c r="D336" s="383" t="inlineStr">
        <is>
          <t>Utilities</t>
        </is>
      </c>
      <c r="E336" s="383" t="n"/>
      <c r="F336" s="383" t="n"/>
      <c r="G336" s="383" t="n"/>
      <c r="H336" s="383" t="n"/>
      <c r="I336" s="383" t="n"/>
      <c r="J336" s="383" t="n"/>
      <c r="K336" s="383" t="n"/>
      <c r="L336" s="462">
        <f>'4B. Tel. Expense Assumptions'!AQ17</f>
        <v/>
      </c>
      <c r="M336" s="462">
        <f>'4B. Tel. Expense Assumptions'!AR17</f>
        <v/>
      </c>
      <c r="N336" s="462">
        <f>'4B. Tel. Expense Assumptions'!AS17</f>
        <v/>
      </c>
      <c r="O336" s="462">
        <f>'4B. Tel. Expense Assumptions'!AT17</f>
        <v/>
      </c>
      <c r="P336" s="462">
        <f>'4B. Tel. Expense Assumptions'!AU17</f>
        <v/>
      </c>
      <c r="Q336" s="462">
        <f>'4B. Tel. Expense Assumptions'!AV17</f>
        <v/>
      </c>
      <c r="R336" s="462">
        <f>'4B. Tel. Expense Assumptions'!AW17</f>
        <v/>
      </c>
      <c r="S336" s="462">
        <f>'4B. Tel. Expense Assumptions'!AX17</f>
        <v/>
      </c>
      <c r="T336" s="462">
        <f>'4B. Tel. Expense Assumptions'!AY17</f>
        <v/>
      </c>
      <c r="U336" s="462">
        <f>'4B. Tel. Expense Assumptions'!AZ17</f>
        <v/>
      </c>
      <c r="V336" s="462">
        <f>'4B. Tel. Expense Assumptions'!BA17</f>
        <v/>
      </c>
      <c r="W336" s="462">
        <f>'4B. Tel. Expense Assumptions'!BB17</f>
        <v/>
      </c>
      <c r="X336" s="462" t="n"/>
      <c r="Y336" s="494">
        <f>((L336)+(M336)+(N336)+(O336)+(P336)+(Q336)+(R336)+(S336)+(T336)+(U336)+(V336)+(W336))</f>
        <v/>
      </c>
      <c r="Z336" s="462" t="n"/>
      <c r="AA336" s="462">
        <f>SUM('4B. Tel. Expense Assumptions'!AQ16:BB17)</f>
        <v/>
      </c>
    </row>
    <row r="339" ht="15" customHeight="1" s="1883">
      <c r="C339" s="390" t="n"/>
      <c r="D339" s="383" t="n"/>
      <c r="E339" s="385" t="inlineStr">
        <is>
          <t>Total, Occupancy</t>
        </is>
      </c>
      <c r="F339" s="383" t="n"/>
      <c r="G339" s="383" t="n"/>
      <c r="H339" s="383" t="n"/>
      <c r="I339" s="383" t="n"/>
      <c r="J339" s="383" t="n"/>
      <c r="K339" s="383" t="n"/>
      <c r="L339" s="396">
        <f>SUM(L335:L336)</f>
        <v/>
      </c>
      <c r="M339" s="396">
        <f>SUM(M335:M336)</f>
        <v/>
      </c>
      <c r="N339" s="396">
        <f>SUM(N335:N336)</f>
        <v/>
      </c>
      <c r="O339" s="396">
        <f>SUM(O335:O336)</f>
        <v/>
      </c>
      <c r="P339" s="396">
        <f>SUM(P335:P336)</f>
        <v/>
      </c>
      <c r="Q339" s="396">
        <f>SUM(Q335:Q336)</f>
        <v/>
      </c>
      <c r="R339" s="396">
        <f>SUM(R335:R336)</f>
        <v/>
      </c>
      <c r="S339" s="396">
        <f>SUM(S335:S336)</f>
        <v/>
      </c>
      <c r="T339" s="396">
        <f>SUM(T335:T336)</f>
        <v/>
      </c>
      <c r="U339" s="396">
        <f>SUM(U335:U336)</f>
        <v/>
      </c>
      <c r="V339" s="396">
        <f>SUM(V335:V336)</f>
        <v/>
      </c>
      <c r="W339" s="396">
        <f>SUM(W335:W336)</f>
        <v/>
      </c>
      <c r="X339" s="462" t="n"/>
      <c r="Y339" s="396">
        <f>SUM(Y335:Y336)</f>
        <v/>
      </c>
      <c r="Z339" s="462" t="n"/>
      <c r="AA339" s="462" t="n"/>
    </row>
    <row r="340" ht="3" customHeight="1" s="1883">
      <c r="C340" s="390" t="n"/>
      <c r="D340" s="383" t="n"/>
      <c r="E340" s="383" t="n"/>
      <c r="F340" s="383" t="n"/>
      <c r="G340" s="383" t="n"/>
      <c r="H340" s="383" t="n"/>
      <c r="I340" s="383" t="n"/>
      <c r="J340" s="383" t="n"/>
      <c r="K340" s="383" t="n"/>
      <c r="L340" s="508" t="n"/>
      <c r="M340" s="508" t="n"/>
      <c r="N340" s="508" t="n"/>
      <c r="O340" s="508" t="n"/>
      <c r="P340" s="508" t="n"/>
      <c r="Q340" s="508" t="n"/>
      <c r="R340" s="508" t="n"/>
      <c r="S340" s="508" t="n"/>
      <c r="T340" s="508" t="n"/>
      <c r="U340" s="508" t="n"/>
      <c r="V340" s="508" t="n"/>
      <c r="W340" s="508" t="n"/>
      <c r="X340" s="462" t="n"/>
      <c r="Y340" s="508" t="n"/>
      <c r="Z340" s="462" t="n"/>
      <c r="AA340" s="462" t="n"/>
    </row>
    <row r="341" ht="3" customHeight="1" s="1883">
      <c r="C341" s="385" t="n"/>
      <c r="D341" s="383" t="n"/>
      <c r="E341" s="383" t="n"/>
      <c r="F341" s="383" t="n"/>
      <c r="G341" s="383" t="n"/>
      <c r="H341" s="383" t="n"/>
      <c r="I341" s="383" t="n"/>
      <c r="J341" s="383" t="n"/>
      <c r="K341" s="383" t="n"/>
      <c r="L341" s="462" t="n"/>
      <c r="M341" s="462" t="n"/>
      <c r="N341" s="462" t="n"/>
      <c r="O341" s="462" t="n"/>
      <c r="P341" s="462" t="n"/>
      <c r="Q341" s="462" t="n"/>
      <c r="R341" s="462" t="n"/>
      <c r="S341" s="462" t="n"/>
      <c r="T341" s="462" t="n"/>
      <c r="U341" s="462" t="n"/>
      <c r="V341" s="462" t="n"/>
      <c r="W341" s="462" t="n"/>
      <c r="X341" s="462" t="n"/>
      <c r="Y341" s="462" t="n"/>
      <c r="Z341" s="462" t="n"/>
      <c r="AA341" s="462" t="n"/>
    </row>
    <row r="342" ht="15" customHeight="1" s="1883">
      <c r="C342" s="383" t="n"/>
      <c r="D342" s="383" t="n"/>
      <c r="E342" s="383" t="n"/>
      <c r="F342" s="383" t="n"/>
      <c r="G342" s="383" t="n"/>
      <c r="H342" s="383" t="n"/>
      <c r="I342" s="383" t="n"/>
      <c r="J342" s="383" t="n"/>
      <c r="K342" s="383" t="n"/>
      <c r="L342" s="462" t="n"/>
      <c r="M342" s="462" t="n"/>
      <c r="N342" s="462" t="n"/>
      <c r="O342" s="462" t="n"/>
      <c r="P342" s="462" t="n"/>
      <c r="Q342" s="462" t="n"/>
      <c r="R342" s="462" t="n"/>
      <c r="S342" s="462" t="n"/>
      <c r="T342" s="462" t="n"/>
      <c r="U342" s="462" t="n"/>
      <c r="V342" s="462" t="n"/>
      <c r="W342" s="462" t="n"/>
      <c r="X342" s="462" t="n"/>
      <c r="Y342" s="462" t="n"/>
      <c r="Z342" s="462" t="n"/>
      <c r="AA342" s="462" t="n"/>
    </row>
    <row r="343" ht="15" customHeight="1" s="1883">
      <c r="C343" s="385" t="inlineStr">
        <is>
          <t>General and Administrative</t>
        </is>
      </c>
      <c r="D343" s="383" t="n"/>
      <c r="E343" s="383" t="n"/>
      <c r="F343" s="383" t="n"/>
      <c r="G343" s="383" t="n"/>
      <c r="H343" s="383" t="n"/>
      <c r="I343" s="383" t="n"/>
      <c r="J343" s="383" t="n"/>
      <c r="K343" s="383" t="n"/>
      <c r="L343" s="462" t="n"/>
      <c r="M343" s="462" t="n"/>
      <c r="N343" s="462" t="n"/>
      <c r="O343" s="462" t="n"/>
      <c r="P343" s="462" t="n"/>
      <c r="Q343" s="462" t="n"/>
      <c r="R343" s="462" t="n"/>
      <c r="S343" s="462" t="n"/>
      <c r="T343" s="462" t="n"/>
      <c r="U343" s="462" t="n"/>
      <c r="V343" s="462" t="n"/>
      <c r="W343" s="462" t="n"/>
      <c r="X343" s="462" t="n"/>
      <c r="Y343" s="462" t="n"/>
      <c r="Z343" s="462" t="n"/>
      <c r="AA343" s="462" t="n"/>
    </row>
    <row r="344" ht="15" customHeight="1" s="1883">
      <c r="C344" s="390" t="inlineStr">
        <is>
          <t>●</t>
        </is>
      </c>
      <c r="D344" s="383" t="inlineStr">
        <is>
          <t>Insurance - Product Liability</t>
        </is>
      </c>
      <c r="E344" s="383" t="n"/>
      <c r="F344" s="383" t="n"/>
      <c r="G344" s="383" t="n"/>
      <c r="H344" s="383" t="n"/>
      <c r="I344" s="383" t="n"/>
      <c r="J344" s="384" t="inlineStr">
        <is>
          <t>0.35% of ∑ Gross Revenue</t>
        </is>
      </c>
      <c r="K344" s="383" t="n"/>
      <c r="L344" s="395">
        <f>((('3B. Tel. - Rev. Detail x Month'!J169)+('3B. Tel. - Rev. Detail x Month'!J392))*(0.0035))</f>
        <v/>
      </c>
      <c r="M344" s="395">
        <f>((('3B. Tel. - Rev. Detail x Month'!K169)+('3B. Tel. - Rev. Detail x Month'!K392))*(0.0035))</f>
        <v/>
      </c>
      <c r="N344" s="395">
        <f>((('3B. Tel. - Rev. Detail x Month'!L169)+('3B. Tel. - Rev. Detail x Month'!L392))*(0.0035))</f>
        <v/>
      </c>
      <c r="O344" s="395">
        <f>((('3B. Tel. - Rev. Detail x Month'!M169)+('3B. Tel. - Rev. Detail x Month'!M392))*(0.0035))</f>
        <v/>
      </c>
      <c r="P344" s="395">
        <f>((('3B. Tel. - Rev. Detail x Month'!N169)+('3B. Tel. - Rev. Detail x Month'!N392))*(0.0035))</f>
        <v/>
      </c>
      <c r="Q344" s="395">
        <f>((('3B. Tel. - Rev. Detail x Month'!O169)+('3B. Tel. - Rev. Detail x Month'!O392))*(0.0035))</f>
        <v/>
      </c>
      <c r="R344" s="395">
        <f>((('3B. Tel. - Rev. Detail x Month'!P169)+('3B. Tel. - Rev. Detail x Month'!P392))*(0.0035))</f>
        <v/>
      </c>
      <c r="S344" s="395">
        <f>((('3B. Tel. - Rev. Detail x Month'!Q169)+('3B. Tel. - Rev. Detail x Month'!Q392))*(0.0035))</f>
        <v/>
      </c>
      <c r="T344" s="395">
        <f>((('3B. Tel. - Rev. Detail x Month'!R169)+('3B. Tel. - Rev. Detail x Month'!R392))*(0.0035))</f>
        <v/>
      </c>
      <c r="U344" s="395">
        <f>((('3B. Tel. - Rev. Detail x Month'!S169)+('3B. Tel. - Rev. Detail x Month'!S392))*(0.0035))</f>
        <v/>
      </c>
      <c r="V344" s="395">
        <f>((('3B. Tel. - Rev. Detail x Month'!T169)+('3B. Tel. - Rev. Detail x Month'!T392))*(0.0035))</f>
        <v/>
      </c>
      <c r="W344" s="395">
        <f>((('3B. Tel. - Rev. Detail x Month'!U169)+('3B. Tel. - Rev. Detail x Month'!U392))*(0.0035))</f>
        <v/>
      </c>
      <c r="X344" s="462" t="n"/>
      <c r="Y344" s="396">
        <f>((L344)+(M344)+(N344)+(O344)+(P344)+(Q344)+(R344)+(S344)+(T344)+(U344)+(V344)+(W344))</f>
        <v/>
      </c>
      <c r="Z344" s="462" t="n"/>
      <c r="AA344" s="395">
        <f>((('3B. Tel. - Rev. Detail x Month'!W169)+('3B. Tel. - Rev. Detail x Month'!W392))*(0.0035))</f>
        <v/>
      </c>
    </row>
    <row r="345" ht="15" customHeight="1" s="1883">
      <c r="C345" s="390" t="inlineStr">
        <is>
          <t>●</t>
        </is>
      </c>
      <c r="D345" s="383" t="inlineStr">
        <is>
          <t>Insurance - General Liability</t>
        </is>
      </c>
      <c r="E345" s="383" t="n"/>
      <c r="F345" s="383" t="n"/>
      <c r="G345" s="383" t="n"/>
      <c r="H345" s="383" t="n"/>
      <c r="I345" s="383" t="n"/>
      <c r="J345" s="383" t="n"/>
      <c r="K345" s="383" t="n"/>
      <c r="L345" s="462">
        <f>'4B. Tel. Expense Assumptions'!AQ35</f>
        <v/>
      </c>
      <c r="M345" s="462">
        <f>'4B. Tel. Expense Assumptions'!AR35</f>
        <v/>
      </c>
      <c r="N345" s="462">
        <f>'4B. Tel. Expense Assumptions'!AS35</f>
        <v/>
      </c>
      <c r="O345" s="462">
        <f>'4B. Tel. Expense Assumptions'!AT35</f>
        <v/>
      </c>
      <c r="P345" s="462">
        <f>'4B. Tel. Expense Assumptions'!AU35</f>
        <v/>
      </c>
      <c r="Q345" s="462">
        <f>'4B. Tel. Expense Assumptions'!AV35</f>
        <v/>
      </c>
      <c r="R345" s="462">
        <f>'4B. Tel. Expense Assumptions'!AW35</f>
        <v/>
      </c>
      <c r="S345" s="462">
        <f>'4B. Tel. Expense Assumptions'!AX35</f>
        <v/>
      </c>
      <c r="T345" s="462">
        <f>'4B. Tel. Expense Assumptions'!AY35</f>
        <v/>
      </c>
      <c r="U345" s="462">
        <f>'4B. Tel. Expense Assumptions'!AZ35</f>
        <v/>
      </c>
      <c r="V345" s="462">
        <f>'4B. Tel. Expense Assumptions'!BA35</f>
        <v/>
      </c>
      <c r="W345" s="462">
        <f>'4B. Tel. Expense Assumptions'!BB35</f>
        <v/>
      </c>
      <c r="X345" s="462" t="n"/>
      <c r="Y345" s="494">
        <f>((L345)+(M345)+(N345)+(O345)+(P345)+(Q345)+(R345)+(S345)+(T345)+(U345)+(V345)+(W345))</f>
        <v/>
      </c>
      <c r="Z345" s="462" t="n"/>
      <c r="AA345" s="462">
        <f>SUM('4B. Tel. Expense Assumptions'!AQ35:BB35)</f>
        <v/>
      </c>
    </row>
    <row r="346" ht="15" customHeight="1" s="1883">
      <c r="C346" s="390" t="inlineStr">
        <is>
          <t>●</t>
        </is>
      </c>
      <c r="D346" s="383" t="inlineStr">
        <is>
          <t xml:space="preserve">Professional Fees </t>
        </is>
      </c>
      <c r="E346" s="383" t="n"/>
      <c r="F346" s="383" t="n"/>
      <c r="G346" s="383" t="n"/>
      <c r="H346" s="383" t="n"/>
      <c r="I346" s="383" t="n"/>
      <c r="J346" s="383" t="n"/>
      <c r="K346" s="383" t="n"/>
      <c r="L346" s="462" t="n"/>
      <c r="M346" s="462" t="n"/>
      <c r="N346" s="462" t="n"/>
      <c r="O346" s="462" t="n"/>
      <c r="P346" s="462" t="n"/>
      <c r="Q346" s="462" t="n"/>
      <c r="R346" s="462" t="n"/>
      <c r="S346" s="462" t="n"/>
      <c r="T346" s="462" t="n"/>
      <c r="U346" s="462" t="n"/>
      <c r="V346" s="462" t="n"/>
      <c r="W346" s="462" t="n"/>
      <c r="X346" s="462" t="n"/>
      <c r="Y346" s="462" t="n"/>
      <c r="Z346" s="462" t="n"/>
      <c r="AA346" s="462" t="n"/>
    </row>
    <row r="347" ht="15" customHeight="1" s="1883">
      <c r="C347" s="383" t="n"/>
      <c r="D347" s="390" t="inlineStr">
        <is>
          <t>●</t>
        </is>
      </c>
      <c r="E347" s="383" t="inlineStr">
        <is>
          <t>Legal</t>
        </is>
      </c>
      <c r="F347" s="383" t="n"/>
      <c r="G347" s="383" t="n"/>
      <c r="H347" s="383" t="n"/>
      <c r="I347" s="383" t="n"/>
      <c r="J347" s="384" t="inlineStr">
        <is>
          <t>25% increase vs. Year 3</t>
        </is>
      </c>
      <c r="K347" s="383" t="n"/>
      <c r="L347" s="462">
        <f>'4B. Tel. Expense Assumptions'!AQ41</f>
        <v/>
      </c>
      <c r="M347" s="462">
        <f>'4B. Tel. Expense Assumptions'!AR41</f>
        <v/>
      </c>
      <c r="N347" s="462">
        <f>'4B. Tel. Expense Assumptions'!AT41</f>
        <v/>
      </c>
      <c r="O347" s="462">
        <f>'4B. Tel. Expense Assumptions'!AT41</f>
        <v/>
      </c>
      <c r="P347" s="462">
        <f>'4B. Tel. Expense Assumptions'!AU41</f>
        <v/>
      </c>
      <c r="Q347" s="462">
        <f>'4B. Tel. Expense Assumptions'!AV41</f>
        <v/>
      </c>
      <c r="R347" s="462">
        <f>'4B. Tel. Expense Assumptions'!AW41</f>
        <v/>
      </c>
      <c r="S347" s="462">
        <f>'4B. Tel. Expense Assumptions'!AX41</f>
        <v/>
      </c>
      <c r="T347" s="462">
        <f>'4B. Tel. Expense Assumptions'!AY41</f>
        <v/>
      </c>
      <c r="U347" s="462">
        <f>'4B. Tel. Expense Assumptions'!AZ41</f>
        <v/>
      </c>
      <c r="V347" s="462">
        <f>'4B. Tel. Expense Assumptions'!BA41</f>
        <v/>
      </c>
      <c r="W347" s="462">
        <f>'4B. Tel. Expense Assumptions'!BB41</f>
        <v/>
      </c>
      <c r="X347" s="462" t="n"/>
      <c r="Y347" s="494">
        <f>((L347)+(M347)+(N347)+(O347)+(P347)+(Q347)+(R347)+(S347)+(T347)+(U347)+(V347)+(W347))</f>
        <v/>
      </c>
      <c r="Z347" s="462" t="n"/>
      <c r="AA347" s="462">
        <f>SUM('4B. Tel. Expense Assumptions'!AQ41:BB41)</f>
        <v/>
      </c>
    </row>
    <row r="348" ht="15" customHeight="1" s="1883">
      <c r="C348" s="383" t="n"/>
      <c r="D348" s="390" t="inlineStr">
        <is>
          <t>●</t>
        </is>
      </c>
      <c r="E348" s="383" t="inlineStr">
        <is>
          <t>Accounting and Tax</t>
        </is>
      </c>
      <c r="F348" s="383" t="n"/>
      <c r="G348" s="383" t="n"/>
      <c r="H348" s="383" t="n"/>
      <c r="I348" s="383" t="n"/>
      <c r="J348" s="384" t="inlineStr">
        <is>
          <t>67% increase vs. Year 3</t>
        </is>
      </c>
      <c r="K348" s="383" t="n"/>
      <c r="L348" s="462" t="n">
        <v>50000</v>
      </c>
      <c r="M348" s="462" t="n">
        <v>50000</v>
      </c>
      <c r="N348" s="462" t="n">
        <v>50000</v>
      </c>
      <c r="O348" s="462" t="n">
        <v>50000</v>
      </c>
      <c r="P348" s="462" t="n">
        <v>50000</v>
      </c>
      <c r="Q348" s="462" t="n">
        <v>50000</v>
      </c>
      <c r="R348" s="462" t="n">
        <v>50000</v>
      </c>
      <c r="S348" s="462" t="n">
        <v>50000</v>
      </c>
      <c r="T348" s="462" t="n">
        <v>50000</v>
      </c>
      <c r="U348" s="462" t="n">
        <v>50000</v>
      </c>
      <c r="V348" s="462" t="n">
        <v>50000</v>
      </c>
      <c r="W348" s="462" t="n">
        <v>50000</v>
      </c>
      <c r="X348" s="462" t="n"/>
      <c r="Y348" s="494">
        <f>((L348)+(M348)+(N348)+(O348)+(P348)+(Q348)+(R348)+(S348)+(T348)+(U348)+(V348)+(W348))</f>
        <v/>
      </c>
      <c r="Z348" s="462" t="n"/>
      <c r="AA348" s="462" t="n"/>
    </row>
    <row r="349" ht="15" customHeight="1" s="1883">
      <c r="C349" s="383" t="n"/>
      <c r="D349" s="390" t="inlineStr">
        <is>
          <t>●</t>
        </is>
      </c>
      <c r="E349" s="383" t="inlineStr">
        <is>
          <t>Consulting</t>
        </is>
      </c>
      <c r="F349" s="383" t="n"/>
      <c r="G349" s="383" t="n"/>
      <c r="H349" s="383" t="n"/>
      <c r="I349" s="383" t="n"/>
      <c r="J349" s="384" t="inlineStr">
        <is>
          <t>25% increase vs. Year 3</t>
        </is>
      </c>
      <c r="K349" s="383" t="n"/>
      <c r="L349" s="462" t="n">
        <v>50000</v>
      </c>
      <c r="M349" s="462" t="n">
        <v>50000</v>
      </c>
      <c r="N349" s="462" t="n">
        <v>50000</v>
      </c>
      <c r="O349" s="462" t="n">
        <v>50000</v>
      </c>
      <c r="P349" s="462" t="n">
        <v>50000</v>
      </c>
      <c r="Q349" s="462" t="n">
        <v>50000</v>
      </c>
      <c r="R349" s="462" t="n">
        <v>50000</v>
      </c>
      <c r="S349" s="462" t="n">
        <v>50000</v>
      </c>
      <c r="T349" s="462" t="n">
        <v>50000</v>
      </c>
      <c r="U349" s="462" t="n">
        <v>50000</v>
      </c>
      <c r="V349" s="462" t="n">
        <v>50000</v>
      </c>
      <c r="W349" s="462" t="n">
        <v>50000</v>
      </c>
      <c r="X349" s="462" t="n"/>
      <c r="Y349" s="494">
        <f>((L349)+(M349)+(N349)+(O349)+(P349)+(Q349)+(R349)+(S349)+(T349)+(U349)+(V349)+(W349))</f>
        <v/>
      </c>
      <c r="Z349" s="462" t="n"/>
      <c r="AA349" s="462" t="n"/>
    </row>
    <row r="350" ht="15" customHeight="1" s="1883">
      <c r="C350" s="390" t="inlineStr">
        <is>
          <t>●</t>
        </is>
      </c>
      <c r="D350" s="383" t="inlineStr">
        <is>
          <t>Website Hosting and Data Storage</t>
        </is>
      </c>
      <c r="E350" s="383" t="n"/>
      <c r="F350" s="383" t="n"/>
      <c r="G350" s="383" t="n"/>
      <c r="H350" s="383" t="n"/>
      <c r="I350" s="383" t="n"/>
      <c r="J350" s="383" t="n"/>
      <c r="K350" s="383" t="n"/>
      <c r="L350" s="462">
        <f>'4B. Tel. Expense Assumptions'!AQ51</f>
        <v/>
      </c>
      <c r="M350" s="462">
        <f>'4B. Tel. Expense Assumptions'!AR51</f>
        <v/>
      </c>
      <c r="N350" s="462">
        <f>'4B. Tel. Expense Assumptions'!AS51</f>
        <v/>
      </c>
      <c r="O350" s="462">
        <f>'4B. Tel. Expense Assumptions'!AT51</f>
        <v/>
      </c>
      <c r="P350" s="462">
        <f>'4B. Tel. Expense Assumptions'!AU51</f>
        <v/>
      </c>
      <c r="Q350" s="462">
        <f>'4B. Tel. Expense Assumptions'!AV51</f>
        <v/>
      </c>
      <c r="R350" s="462">
        <f>'4B. Tel. Expense Assumptions'!AW51</f>
        <v/>
      </c>
      <c r="S350" s="462">
        <f>'4B. Tel. Expense Assumptions'!AX51</f>
        <v/>
      </c>
      <c r="T350" s="462">
        <f>'4B. Tel. Expense Assumptions'!AY51</f>
        <v/>
      </c>
      <c r="U350" s="462">
        <f>'4B. Tel. Expense Assumptions'!AZ51</f>
        <v/>
      </c>
      <c r="V350" s="462">
        <f>'4B. Tel. Expense Assumptions'!BA51</f>
        <v/>
      </c>
      <c r="W350" s="462">
        <f>'4B. Tel. Expense Assumptions'!BB51</f>
        <v/>
      </c>
      <c r="X350" s="462" t="n"/>
      <c r="Y350" s="494">
        <f>((L350)+(M350)+(N350)+(O350)+(P350)+(Q350)+(R350)+(S350)+(T350)+(U350)+(V350)+(W350))</f>
        <v/>
      </c>
      <c r="Z350" s="462" t="n"/>
      <c r="AA350" s="462" t="n"/>
    </row>
    <row r="351" ht="15" customHeight="1" s="1883">
      <c r="C351" s="390" t="inlineStr">
        <is>
          <t>●</t>
        </is>
      </c>
      <c r="D351" s="383" t="inlineStr">
        <is>
          <t>Customer Service and Support</t>
        </is>
      </c>
      <c r="E351" s="383" t="n"/>
      <c r="F351" s="383" t="n"/>
      <c r="G351" s="383" t="n"/>
      <c r="H351" s="383" t="n"/>
      <c r="I351" s="383" t="n"/>
      <c r="J351" s="384" t="inlineStr">
        <is>
          <t>0.6% of ∑ Gross Revenue</t>
        </is>
      </c>
      <c r="K351" s="383" t="n"/>
      <c r="L351" s="462">
        <f>((('3B. Tel. - Rev. Detail x Month'!J169)+('3B. Tel. - Rev. Detail x Month'!J392))*(0.006))</f>
        <v/>
      </c>
      <c r="M351" s="462">
        <f>((('3B. Tel. - Rev. Detail x Month'!K169)+('3B. Tel. - Rev. Detail x Month'!K392))*(0.006))</f>
        <v/>
      </c>
      <c r="N351" s="462">
        <f>((('3B. Tel. - Rev. Detail x Month'!L169)+('3B. Tel. - Rev. Detail x Month'!L392))*(0.006))</f>
        <v/>
      </c>
      <c r="O351" s="462">
        <f>((('3B. Tel. - Rev. Detail x Month'!M169)+('3B. Tel. - Rev. Detail x Month'!M392))*(0.006))</f>
        <v/>
      </c>
      <c r="P351" s="462">
        <f>((('3B. Tel. - Rev. Detail x Month'!N169)+('3B. Tel. - Rev. Detail x Month'!N392))*(0.006))</f>
        <v/>
      </c>
      <c r="Q351" s="462">
        <f>((('3B. Tel. - Rev. Detail x Month'!O169)+('3B. Tel. - Rev. Detail x Month'!O392))*(0.006))</f>
        <v/>
      </c>
      <c r="R351" s="462">
        <f>((('3B. Tel. - Rev. Detail x Month'!P169)+('3B. Tel. - Rev. Detail x Month'!P392))*(0.006))</f>
        <v/>
      </c>
      <c r="S351" s="462">
        <f>((('3B. Tel. - Rev. Detail x Month'!Q169)+('3B. Tel. - Rev. Detail x Month'!Q392))*(0.006))</f>
        <v/>
      </c>
      <c r="T351" s="462">
        <f>((('3B. Tel. - Rev. Detail x Month'!R169)+('3B. Tel. - Rev. Detail x Month'!R392))*(0.006))</f>
        <v/>
      </c>
      <c r="U351" s="462">
        <f>((('3B. Tel. - Rev. Detail x Month'!S169)+('3B. Tel. - Rev. Detail x Month'!S392))*(0.006))</f>
        <v/>
      </c>
      <c r="V351" s="462">
        <f>((('3B. Tel. - Rev. Detail x Month'!T169)+('3B. Tel. - Rev. Detail x Month'!T392))*(0.006))</f>
        <v/>
      </c>
      <c r="W351" s="462">
        <f>((('3B. Tel. - Rev. Detail x Month'!U169)+('3B. Tel. - Rev. Detail x Month'!U392))*(0.006))</f>
        <v/>
      </c>
      <c r="X351" s="462" t="n"/>
      <c r="Y351" s="494">
        <f>((L351)+(M351)+(N351)+(O351)+(P351)+(Q351)+(R351)+(S351)+(T351)+(U351)+(V351)+(W351))</f>
        <v/>
      </c>
      <c r="Z351" s="462" t="n"/>
      <c r="AA351" s="395">
        <f>((('3B. Tel. - Rev. Detail x Month'!W169)+('3B. Tel. - Rev. Detail x Month'!W392))*(0.006))</f>
        <v/>
      </c>
    </row>
    <row r="352" ht="15" customHeight="1" s="1883">
      <c r="C352" s="390" t="inlineStr">
        <is>
          <t>●</t>
        </is>
      </c>
      <c r="D352" s="383" t="inlineStr">
        <is>
          <t>Software License Fees</t>
        </is>
      </c>
      <c r="E352" s="383" t="n"/>
      <c r="F352" s="383" t="n"/>
      <c r="G352" s="383" t="n"/>
      <c r="H352" s="383" t="n"/>
      <c r="I352" s="383" t="n"/>
      <c r="J352" s="384" t="inlineStr">
        <is>
          <t>$55/employee/month</t>
        </is>
      </c>
      <c r="K352" s="383" t="n"/>
      <c r="L352" s="462">
        <f>((55)*(L$311))</f>
        <v/>
      </c>
      <c r="M352" s="462">
        <f>((55)*(M$311))</f>
        <v/>
      </c>
      <c r="N352" s="462">
        <f>((55)*(N$311))</f>
        <v/>
      </c>
      <c r="O352" s="462">
        <f>((55)*(O$311))</f>
        <v/>
      </c>
      <c r="P352" s="462">
        <f>((55)*(P$311))</f>
        <v/>
      </c>
      <c r="Q352" s="462">
        <f>((55)*(Q$311))</f>
        <v/>
      </c>
      <c r="R352" s="462">
        <f>((55)*(R$311))</f>
        <v/>
      </c>
      <c r="S352" s="462">
        <f>((55)*(S$311))</f>
        <v/>
      </c>
      <c r="T352" s="462">
        <f>((55)*(T$311))</f>
        <v/>
      </c>
      <c r="U352" s="462">
        <f>((55)*(U$311))</f>
        <v/>
      </c>
      <c r="V352" s="462">
        <f>((55)*(V$311))</f>
        <v/>
      </c>
      <c r="W352" s="462">
        <f>((55)*(W$311))</f>
        <v/>
      </c>
      <c r="X352" s="462" t="n"/>
      <c r="Y352" s="494">
        <f>((L352)+(M352)+(N352)+(O352)+(P352)+(Q352)+(R352)+(S352)+(T352)+(U352)+(V352)+(W352))</f>
        <v/>
      </c>
      <c r="Z352" s="462" t="n"/>
      <c r="AA352" s="462" t="n"/>
    </row>
    <row r="353" ht="15" customHeight="1" s="1883">
      <c r="C353" s="390" t="inlineStr">
        <is>
          <t>●</t>
        </is>
      </c>
      <c r="D353" s="383" t="inlineStr">
        <is>
          <t>Office Supplies</t>
        </is>
      </c>
      <c r="E353" s="383" t="n"/>
      <c r="F353" s="383" t="n"/>
      <c r="G353" s="383" t="n"/>
      <c r="H353" s="383" t="n"/>
      <c r="I353" s="383" t="n"/>
      <c r="J353" s="384" t="inlineStr">
        <is>
          <t>$50/employee/month</t>
        </is>
      </c>
      <c r="K353" s="383" t="n"/>
      <c r="L353" s="462">
        <f>((50)*(L$311))</f>
        <v/>
      </c>
      <c r="M353" s="462">
        <f>((50)*(M$311))</f>
        <v/>
      </c>
      <c r="N353" s="462">
        <f>((50)*(N$311))</f>
        <v/>
      </c>
      <c r="O353" s="462">
        <f>((50)*(O$311))</f>
        <v/>
      </c>
      <c r="P353" s="462">
        <f>((50)*(P$311))</f>
        <v/>
      </c>
      <c r="Q353" s="462">
        <f>((50)*(Q$311))</f>
        <v/>
      </c>
      <c r="R353" s="462">
        <f>((50)*(R$311))</f>
        <v/>
      </c>
      <c r="S353" s="462">
        <f>((50)*(S$311))</f>
        <v/>
      </c>
      <c r="T353" s="462">
        <f>((50)*(T$311))</f>
        <v/>
      </c>
      <c r="U353" s="462">
        <f>((50)*(U$311))</f>
        <v/>
      </c>
      <c r="V353" s="462">
        <f>((50)*(V$311))</f>
        <v/>
      </c>
      <c r="W353" s="462">
        <f>((50)*(W$311))</f>
        <v/>
      </c>
      <c r="X353" s="462" t="n"/>
      <c r="Y353" s="494">
        <f>((L353)+(M353)+(N353)+(O353)+(P353)+(Q353)+(R353)+(S353)+(T353)+(U353)+(V353)+(W353))</f>
        <v/>
      </c>
      <c r="Z353" s="462" t="n"/>
      <c r="AA353" s="462" t="n"/>
    </row>
    <row r="354" ht="15" customHeight="1" s="1883">
      <c r="C354" s="390" t="inlineStr">
        <is>
          <t>●</t>
        </is>
      </c>
      <c r="D354" s="383" t="inlineStr">
        <is>
          <t>Office Expense</t>
        </is>
      </c>
      <c r="E354" s="383" t="n"/>
      <c r="F354" s="383" t="n"/>
      <c r="G354" s="383" t="n"/>
      <c r="H354" s="383" t="n"/>
      <c r="I354" s="383" t="n"/>
      <c r="J354" s="384" t="inlineStr">
        <is>
          <t>$15/employee/month</t>
        </is>
      </c>
      <c r="K354" s="383" t="n"/>
      <c r="L354" s="462">
        <f>((15)*(L$311))</f>
        <v/>
      </c>
      <c r="M354" s="462">
        <f>((15)*(M$311))</f>
        <v/>
      </c>
      <c r="N354" s="462">
        <f>((15)*(N$311))</f>
        <v/>
      </c>
      <c r="O354" s="462">
        <f>((15)*(O$311))</f>
        <v/>
      </c>
      <c r="P354" s="462">
        <f>((15)*(P$311))</f>
        <v/>
      </c>
      <c r="Q354" s="462">
        <f>((15)*(Q$311))</f>
        <v/>
      </c>
      <c r="R354" s="462">
        <f>((15)*(R$311))</f>
        <v/>
      </c>
      <c r="S354" s="462">
        <f>((15)*(S$311))</f>
        <v/>
      </c>
      <c r="T354" s="462">
        <f>((15)*(T$311))</f>
        <v/>
      </c>
      <c r="U354" s="462">
        <f>((15)*(U$311))</f>
        <v/>
      </c>
      <c r="V354" s="462">
        <f>((15)*(V$311))</f>
        <v/>
      </c>
      <c r="W354" s="462">
        <f>((15)*(W$311))</f>
        <v/>
      </c>
      <c r="X354" s="462" t="n"/>
      <c r="Y354" s="494">
        <f>((L354)+(M354)+(N354)+(O354)+(P354)+(Q354)+(R354)+(S354)+(T354)+(U354)+(V354)+(W354))</f>
        <v/>
      </c>
      <c r="Z354" s="462" t="n"/>
      <c r="AA354" s="462" t="n"/>
    </row>
    <row r="355" ht="15" customHeight="1" s="1883">
      <c r="C355" s="390" t="inlineStr">
        <is>
          <t>●</t>
        </is>
      </c>
      <c r="D355" s="383" t="inlineStr">
        <is>
          <t>Telephone</t>
        </is>
      </c>
      <c r="E355" s="383" t="n"/>
      <c r="F355" s="383" t="n"/>
      <c r="G355" s="383" t="n"/>
      <c r="H355" s="383" t="n"/>
      <c r="I355" s="383" t="n"/>
      <c r="J355" s="384" t="n"/>
      <c r="K355" s="383" t="n"/>
      <c r="L355" s="462">
        <f>'4B. Tel. Expense Assumptions'!AQ27</f>
        <v/>
      </c>
      <c r="M355" s="462">
        <f>'4B. Tel. Expense Assumptions'!AR27</f>
        <v/>
      </c>
      <c r="N355" s="462">
        <f>'4B. Tel. Expense Assumptions'!AS27</f>
        <v/>
      </c>
      <c r="O355" s="462">
        <f>'4B. Tel. Expense Assumptions'!AT27</f>
        <v/>
      </c>
      <c r="P355" s="462">
        <f>'4B. Tel. Expense Assumptions'!AU27</f>
        <v/>
      </c>
      <c r="Q355" s="462">
        <f>'4B. Tel. Expense Assumptions'!AV27</f>
        <v/>
      </c>
      <c r="R355" s="462">
        <f>'4B. Tel. Expense Assumptions'!AW27</f>
        <v/>
      </c>
      <c r="S355" s="462">
        <f>'4B. Tel. Expense Assumptions'!AX27</f>
        <v/>
      </c>
      <c r="T355" s="462">
        <f>'4B. Tel. Expense Assumptions'!AY27</f>
        <v/>
      </c>
      <c r="U355" s="462">
        <f>'4B. Tel. Expense Assumptions'!AZ27</f>
        <v/>
      </c>
      <c r="V355" s="462">
        <f>'4B. Tel. Expense Assumptions'!BA27</f>
        <v/>
      </c>
      <c r="W355" s="462">
        <f>'4B. Tel. Expense Assumptions'!BB27</f>
        <v/>
      </c>
      <c r="X355" s="462" t="n"/>
      <c r="Y355" s="494">
        <f>((L355)+(M355)+(N355)+(O355)+(P355)+(Q355)+(R355)+(S355)+(T355)+(U355)+(V355)+(W355))</f>
        <v/>
      </c>
      <c r="Z355" s="462" t="n"/>
      <c r="AA355" s="462">
        <f>SUM('4B. Tel. Expense Assumptions'!AQ27:BB27)</f>
        <v/>
      </c>
    </row>
    <row r="356" ht="15" customHeight="1" s="1883">
      <c r="C356" s="390" t="inlineStr">
        <is>
          <t>●</t>
        </is>
      </c>
      <c r="D356" s="383" t="inlineStr">
        <is>
          <t>Meetings and Refreshments</t>
        </is>
      </c>
      <c r="E356" s="383" t="n"/>
      <c r="F356" s="383" t="n"/>
      <c r="G356" s="383" t="n"/>
      <c r="H356" s="383" t="n"/>
      <c r="I356" s="383" t="n"/>
      <c r="J356" s="384" t="inlineStr">
        <is>
          <t>$50/employee/month</t>
        </is>
      </c>
      <c r="K356" s="383" t="n"/>
      <c r="L356" s="462">
        <f>((50)*(L$311))</f>
        <v/>
      </c>
      <c r="M356" s="462">
        <f>((50)*(M$311))</f>
        <v/>
      </c>
      <c r="N356" s="462">
        <f>((50)*(N$311))</f>
        <v/>
      </c>
      <c r="O356" s="462">
        <f>((50)*(O$311))</f>
        <v/>
      </c>
      <c r="P356" s="462">
        <f>((50)*(P$311))</f>
        <v/>
      </c>
      <c r="Q356" s="462">
        <f>((50)*(Q$311))</f>
        <v/>
      </c>
      <c r="R356" s="462">
        <f>((50)*(R$311))</f>
        <v/>
      </c>
      <c r="S356" s="462">
        <f>((50)*(S$311))</f>
        <v/>
      </c>
      <c r="T356" s="462">
        <f>((50)*(T$311))</f>
        <v/>
      </c>
      <c r="U356" s="462">
        <f>((50)*(U$311))</f>
        <v/>
      </c>
      <c r="V356" s="462">
        <f>((50)*(V$311))</f>
        <v/>
      </c>
      <c r="W356" s="462">
        <f>((50)*(W$311))</f>
        <v/>
      </c>
      <c r="X356" s="462" t="n"/>
      <c r="Y356" s="494">
        <f>((L356)+(M356)+(N356)+(O356)+(P356)+(Q356)+(R356)+(S356)+(T356)+(U356)+(V356)+(W356))</f>
        <v/>
      </c>
      <c r="Z356" s="462" t="n"/>
      <c r="AA356" s="462" t="n"/>
    </row>
    <row r="357" ht="15" customHeight="1" s="1883">
      <c r="C357" s="390" t="inlineStr">
        <is>
          <t>●</t>
        </is>
      </c>
      <c r="D357" s="383" t="inlineStr">
        <is>
          <t>Miscellaneous/Contingency</t>
        </is>
      </c>
      <c r="E357" s="383" t="n"/>
      <c r="F357" s="383" t="n"/>
      <c r="G357" s="383" t="n"/>
      <c r="H357" s="383" t="n"/>
      <c r="I357" s="383" t="n"/>
      <c r="J357" s="384" t="inlineStr">
        <is>
          <t>10% of G&amp;A Expense</t>
        </is>
      </c>
      <c r="K357" s="383" t="n"/>
      <c r="L357" s="462">
        <f>(SUM(L344:L356)*(0.1))</f>
        <v/>
      </c>
      <c r="M357" s="462">
        <f>(SUM(M344:M356)*(0.1))</f>
        <v/>
      </c>
      <c r="N357" s="462">
        <f>(SUM(N344:N356)*(0.1))</f>
        <v/>
      </c>
      <c r="O357" s="462">
        <f>(SUM(O344:O356)*(0.1))</f>
        <v/>
      </c>
      <c r="P357" s="462">
        <f>(SUM(P344:P356)*(0.1))</f>
        <v/>
      </c>
      <c r="Q357" s="462">
        <f>(SUM(Q344:Q356)*(0.1))</f>
        <v/>
      </c>
      <c r="R357" s="462">
        <f>(SUM(R344:R356)*(0.1))</f>
        <v/>
      </c>
      <c r="S357" s="462">
        <f>(SUM(S344:S356)*(0.1))</f>
        <v/>
      </c>
      <c r="T357" s="462">
        <f>(SUM(T344:T356)*(0.1))</f>
        <v/>
      </c>
      <c r="U357" s="462">
        <f>(SUM(U344:U356)*(0.1))</f>
        <v/>
      </c>
      <c r="V357" s="462">
        <f>(SUM(V344:V356)*(0.1))</f>
        <v/>
      </c>
      <c r="W357" s="462">
        <f>(SUM(W344:W356)*(0.1))</f>
        <v/>
      </c>
      <c r="X357" s="462" t="n"/>
      <c r="Y357" s="494">
        <f>((L357)+(M357)+(N357)+(O357)+(P357)+(Q357)+(R357)+(S357)+(T357)+(U357)+(V357)+(W357))</f>
        <v/>
      </c>
      <c r="Z357" s="462" t="n"/>
      <c r="AA357" s="462" t="n"/>
    </row>
    <row r="358" ht="3" customHeight="1" s="1883">
      <c r="C358" s="383" t="n"/>
      <c r="D358" s="383" t="n"/>
      <c r="E358" s="383" t="n"/>
      <c r="F358" s="383" t="n"/>
      <c r="G358" s="383" t="n"/>
      <c r="H358" s="383" t="n"/>
      <c r="I358" s="383" t="n"/>
      <c r="J358" s="383" t="n"/>
      <c r="K358" s="383" t="n"/>
      <c r="L358" s="508" t="n"/>
      <c r="M358" s="508" t="n"/>
      <c r="N358" s="508" t="n"/>
      <c r="O358" s="508" t="n"/>
      <c r="P358" s="508" t="n"/>
      <c r="Q358" s="508" t="n"/>
      <c r="R358" s="508" t="n"/>
      <c r="S358" s="508" t="n"/>
      <c r="T358" s="508" t="n"/>
      <c r="U358" s="508" t="n"/>
      <c r="V358" s="508" t="n"/>
      <c r="W358" s="508" t="n"/>
      <c r="X358" s="462" t="n"/>
      <c r="Y358" s="508" t="n"/>
      <c r="Z358" s="462" t="n"/>
      <c r="AA358" s="462" t="n"/>
    </row>
    <row r="359" ht="3" customHeight="1" s="1883">
      <c r="C359" s="383" t="n"/>
      <c r="D359" s="383" t="n"/>
      <c r="E359" s="383" t="n"/>
      <c r="F359" s="383" t="n"/>
      <c r="G359" s="383" t="n"/>
      <c r="H359" s="383" t="n"/>
      <c r="I359" s="383" t="n"/>
      <c r="J359" s="383" t="n"/>
      <c r="K359" s="383" t="n"/>
      <c r="L359" s="462" t="n"/>
      <c r="M359" s="462" t="n"/>
      <c r="N359" s="462" t="n"/>
      <c r="O359" s="462" t="n"/>
      <c r="P359" s="462" t="n"/>
      <c r="Q359" s="462" t="n"/>
      <c r="R359" s="462" t="n"/>
      <c r="S359" s="462" t="n"/>
      <c r="T359" s="462" t="n"/>
      <c r="U359" s="462" t="n"/>
      <c r="V359" s="462" t="n"/>
      <c r="W359" s="462" t="n"/>
      <c r="X359" s="462" t="n"/>
      <c r="Y359" s="462" t="n"/>
      <c r="Z359" s="462" t="n"/>
      <c r="AA359" s="462" t="n"/>
    </row>
    <row r="360" ht="15" customHeight="1" s="1883">
      <c r="C360" s="383" t="n"/>
      <c r="D360" s="383" t="n"/>
      <c r="E360" s="385" t="inlineStr">
        <is>
          <t>Total, General and Administrative</t>
        </is>
      </c>
      <c r="F360" s="383" t="n"/>
      <c r="G360" s="383" t="n"/>
      <c r="H360" s="383" t="n"/>
      <c r="I360" s="383" t="n"/>
      <c r="J360" s="383" t="n"/>
      <c r="K360" s="383" t="n"/>
      <c r="L360" s="396">
        <f>SUM(L344:L357)</f>
        <v/>
      </c>
      <c r="M360" s="396">
        <f>SUM(M344:M357)</f>
        <v/>
      </c>
      <c r="N360" s="396">
        <f>SUM(N344:N357)</f>
        <v/>
      </c>
      <c r="O360" s="396">
        <f>SUM(O344:O357)</f>
        <v/>
      </c>
      <c r="P360" s="396">
        <f>SUM(P344:P357)</f>
        <v/>
      </c>
      <c r="Q360" s="396">
        <f>SUM(Q344:Q357)</f>
        <v/>
      </c>
      <c r="R360" s="396">
        <f>SUM(R344:R357)</f>
        <v/>
      </c>
      <c r="S360" s="396">
        <f>SUM(S344:S357)</f>
        <v/>
      </c>
      <c r="T360" s="396">
        <f>SUM(T344:T357)</f>
        <v/>
      </c>
      <c r="U360" s="396">
        <f>SUM(U344:U357)</f>
        <v/>
      </c>
      <c r="V360" s="396">
        <f>SUM(V344:V357)</f>
        <v/>
      </c>
      <c r="W360" s="396">
        <f>SUM(W344:W357)</f>
        <v/>
      </c>
      <c r="X360" s="462" t="n"/>
      <c r="Y360" s="396">
        <f>SUM(Y344:Y357)</f>
        <v/>
      </c>
      <c r="Z360" s="462" t="n"/>
      <c r="AA360" s="462" t="n"/>
    </row>
    <row r="361" ht="3" customHeight="1" s="1883">
      <c r="C361" s="383" t="n"/>
      <c r="D361" s="383" t="n"/>
      <c r="E361" s="383" t="n"/>
      <c r="F361" s="383" t="n"/>
      <c r="G361" s="383" t="n"/>
      <c r="H361" s="383" t="n"/>
      <c r="I361" s="383" t="n"/>
      <c r="J361" s="383" t="n"/>
      <c r="K361" s="383" t="n"/>
      <c r="L361" s="508" t="n"/>
      <c r="M361" s="508" t="n"/>
      <c r="N361" s="508" t="n"/>
      <c r="O361" s="508" t="n"/>
      <c r="P361" s="508" t="n"/>
      <c r="Q361" s="508" t="n"/>
      <c r="R361" s="508" t="n"/>
      <c r="S361" s="508" t="n"/>
      <c r="T361" s="508" t="n"/>
      <c r="U361" s="508" t="n"/>
      <c r="V361" s="508" t="n"/>
      <c r="W361" s="508" t="n"/>
      <c r="X361" s="462" t="n"/>
      <c r="Y361" s="508" t="n"/>
      <c r="Z361" s="462" t="n"/>
      <c r="AA361" s="462" t="n"/>
    </row>
    <row r="362" ht="3" customHeight="1" s="1883">
      <c r="C362" s="383" t="n"/>
      <c r="D362" s="383" t="n"/>
      <c r="E362" s="383" t="n"/>
      <c r="F362" s="383" t="n"/>
      <c r="G362" s="383" t="n"/>
      <c r="H362" s="383" t="n"/>
      <c r="I362" s="383" t="n"/>
      <c r="J362" s="383" t="n"/>
      <c r="K362" s="383" t="n"/>
      <c r="L362" s="462" t="n"/>
      <c r="M362" s="462" t="n"/>
      <c r="N362" s="462" t="n"/>
      <c r="O362" s="462" t="n"/>
      <c r="P362" s="462" t="n"/>
      <c r="Q362" s="462" t="n"/>
      <c r="R362" s="462" t="n"/>
      <c r="S362" s="462" t="n"/>
      <c r="T362" s="462" t="n"/>
      <c r="U362" s="462" t="n"/>
      <c r="V362" s="462" t="n"/>
      <c r="W362" s="462" t="n"/>
      <c r="X362" s="462" t="n"/>
      <c r="Y362" s="462" t="n"/>
      <c r="Z362" s="462" t="n"/>
      <c r="AA362" s="462" t="n"/>
    </row>
    <row r="363" ht="15" customHeight="1" s="1883">
      <c r="C363" s="383" t="n"/>
      <c r="D363" s="383" t="n"/>
      <c r="E363" s="383" t="n"/>
      <c r="F363" s="383" t="n"/>
      <c r="G363" s="383" t="n"/>
      <c r="H363" s="383" t="n"/>
      <c r="I363" s="383" t="n"/>
      <c r="J363" s="383" t="n"/>
      <c r="K363" s="383" t="n"/>
      <c r="L363" s="462" t="n"/>
      <c r="M363" s="462" t="n"/>
      <c r="N363" s="462" t="n"/>
      <c r="O363" s="462" t="n"/>
      <c r="P363" s="462" t="n"/>
      <c r="Q363" s="462" t="n"/>
      <c r="R363" s="462" t="n"/>
      <c r="S363" s="462" t="n"/>
      <c r="T363" s="462" t="n"/>
      <c r="U363" s="462" t="n"/>
      <c r="V363" s="462" t="n"/>
      <c r="W363" s="462" t="n"/>
      <c r="X363" s="462" t="n"/>
      <c r="Y363" s="462" t="n"/>
      <c r="Z363" s="462" t="n"/>
      <c r="AA363" s="462" t="n"/>
    </row>
    <row r="364" ht="15" customHeight="1" s="1883">
      <c r="C364" s="383" t="n"/>
      <c r="D364" s="383" t="n"/>
      <c r="E364" s="383" t="n"/>
      <c r="F364" s="383" t="n"/>
      <c r="G364" s="383" t="n"/>
      <c r="H364" s="383" t="n"/>
      <c r="I364" s="383" t="n"/>
      <c r="J364" s="383" t="n"/>
      <c r="K364" s="383" t="n"/>
      <c r="L364" s="462" t="n"/>
      <c r="M364" s="462" t="n"/>
      <c r="N364" s="462" t="n"/>
      <c r="O364" s="462" t="n"/>
      <c r="P364" s="462" t="n"/>
      <c r="Q364" s="462" t="n"/>
      <c r="R364" s="462" t="n"/>
      <c r="S364" s="462" t="n"/>
      <c r="T364" s="462" t="n"/>
      <c r="U364" s="462" t="n"/>
      <c r="V364" s="462" t="n"/>
      <c r="W364" s="462" t="n"/>
      <c r="X364" s="462" t="n"/>
      <c r="Y364" s="462" t="n"/>
      <c r="Z364" s="462" t="n"/>
      <c r="AA364" s="462" t="n"/>
    </row>
    <row r="365" ht="3" customHeight="1" s="1883">
      <c r="C365" s="383" t="n"/>
      <c r="D365" s="383" t="n"/>
      <c r="E365" s="383" t="n"/>
      <c r="F365" s="383" t="n"/>
      <c r="G365" s="383" t="n"/>
      <c r="H365" s="383" t="n"/>
      <c r="I365" s="383" t="n"/>
      <c r="J365" s="383" t="n"/>
      <c r="K365" s="383" t="n"/>
      <c r="L365" s="508" t="n"/>
      <c r="M365" s="508" t="n"/>
      <c r="N365" s="508" t="n"/>
      <c r="O365" s="508" t="n"/>
      <c r="P365" s="508" t="n"/>
      <c r="Q365" s="508" t="n"/>
      <c r="R365" s="508" t="n"/>
      <c r="S365" s="508" t="n"/>
      <c r="T365" s="508" t="n"/>
      <c r="U365" s="508" t="n"/>
      <c r="V365" s="508" t="n"/>
      <c r="W365" s="508" t="n"/>
      <c r="X365" s="462" t="n"/>
      <c r="Y365" s="508" t="n"/>
      <c r="Z365" s="462" t="n"/>
      <c r="AA365" s="462" t="n"/>
    </row>
    <row r="366" ht="3" customHeight="1" s="1883">
      <c r="C366" s="383" t="n"/>
      <c r="D366" s="383" t="n"/>
      <c r="E366" s="383" t="n"/>
      <c r="F366" s="383" t="n"/>
      <c r="G366" s="383" t="n"/>
      <c r="H366" s="383" t="n"/>
      <c r="I366" s="383" t="n"/>
      <c r="J366" s="383" t="n"/>
      <c r="K366" s="383" t="n"/>
      <c r="L366" s="462" t="n"/>
      <c r="M366" s="462" t="n"/>
      <c r="N366" s="462" t="n"/>
      <c r="O366" s="462" t="n"/>
      <c r="P366" s="462" t="n"/>
      <c r="Q366" s="462" t="n"/>
      <c r="R366" s="462" t="n"/>
      <c r="S366" s="462" t="n"/>
      <c r="T366" s="462" t="n"/>
      <c r="U366" s="462" t="n"/>
      <c r="V366" s="462" t="n"/>
      <c r="W366" s="462" t="n"/>
      <c r="X366" s="462" t="n"/>
      <c r="Y366" s="462" t="n"/>
      <c r="Z366" s="462" t="n"/>
      <c r="AA366" s="462" t="n"/>
    </row>
    <row r="367" ht="15" customHeight="1" s="1883">
      <c r="C367" s="383" t="n"/>
      <c r="D367" s="383" t="n"/>
      <c r="E367" s="383" t="n"/>
      <c r="F367" s="385" t="inlineStr">
        <is>
          <t>TOTAL OPERATING EXPENSES</t>
        </is>
      </c>
      <c r="G367" s="383" t="n"/>
      <c r="H367" s="383" t="n"/>
      <c r="I367" s="383" t="n"/>
      <c r="J367" s="383" t="n"/>
      <c r="K367" s="383" t="n"/>
      <c r="L367" s="396">
        <f>((L317)+(L321)+(L330)+(L339)+(L360))</f>
        <v/>
      </c>
      <c r="M367" s="396">
        <f>((M317)+(M321)+(M330)+(M339)+(M360))</f>
        <v/>
      </c>
      <c r="N367" s="396">
        <f>((N317)+(N321)+(N330)+(N339)+(N360))</f>
        <v/>
      </c>
      <c r="O367" s="396">
        <f>((O317)+(O321)+(O330)+(O339)+(O360))</f>
        <v/>
      </c>
      <c r="P367" s="396">
        <f>((P317)+(P321)+(P330)+(P339)+(P360))</f>
        <v/>
      </c>
      <c r="Q367" s="396">
        <f>((Q317)+(Q321)+(Q330)+(Q339)+(Q360))</f>
        <v/>
      </c>
      <c r="R367" s="396">
        <f>((R317)+(R321)+(R330)+(R339)+(R360))</f>
        <v/>
      </c>
      <c r="S367" s="396">
        <f>((S317)+(S321)+(S330)+(S339)+(S360))</f>
        <v/>
      </c>
      <c r="T367" s="396">
        <f>((T317)+(T321)+(T330)+(T339)+(T360))</f>
        <v/>
      </c>
      <c r="U367" s="396">
        <f>((U317)+(U321)+(U330)+(U339)+(U360))</f>
        <v/>
      </c>
      <c r="V367" s="396">
        <f>((V317)+(V321)+(V330)+(V339)+(V360))</f>
        <v/>
      </c>
      <c r="W367" s="396">
        <f>((W317)+(W321)+(W330)+(W339)+(W360))</f>
        <v/>
      </c>
      <c r="X367" s="462" t="n"/>
      <c r="Y367" s="396">
        <f>((L367)+(M367)+(N367)+(O367)+(P367)+(Q367)+(R367)+(S367)+(T367)+(U367)+(V367)+(W367))</f>
        <v/>
      </c>
      <c r="Z367" s="462" t="n"/>
      <c r="AA367" s="462" t="n"/>
    </row>
    <row r="374" ht="15" customHeight="1" s="1883">
      <c r="B374" s="383" t="n"/>
      <c r="C374" s="383" t="n"/>
      <c r="D374" s="383" t="n"/>
      <c r="E374" s="383" t="n"/>
      <c r="F374" s="383" t="n"/>
      <c r="G374" s="385" t="inlineStr">
        <is>
          <t>OPERATING INCOME / (LOSS), %</t>
        </is>
      </c>
      <c r="H374" s="383" t="n"/>
      <c r="I374" s="383" t="n"/>
      <c r="J374" s="383" t="n"/>
      <c r="K374" s="383" t="n"/>
      <c r="L374" s="396">
        <f>((L298)-(L367))</f>
        <v/>
      </c>
      <c r="M374" s="396">
        <f>((M298)-(M367))</f>
        <v/>
      </c>
      <c r="N374" s="396">
        <f>((N298)-(N367))</f>
        <v/>
      </c>
      <c r="O374" s="396">
        <f>((O298)-(O367))</f>
        <v/>
      </c>
      <c r="P374" s="396">
        <f>((P298)-(P367))</f>
        <v/>
      </c>
      <c r="Q374" s="396">
        <f>((Q298)-(Q367))</f>
        <v/>
      </c>
      <c r="R374" s="396">
        <f>((R298)-(R367))</f>
        <v/>
      </c>
      <c r="S374" s="396">
        <f>((S298)-(S367))</f>
        <v/>
      </c>
      <c r="T374" s="396">
        <f>((T298)-(T367))</f>
        <v/>
      </c>
      <c r="U374" s="396">
        <f>((U298)-(U367))</f>
        <v/>
      </c>
      <c r="V374" s="396">
        <f>((V298)-(V367))</f>
        <v/>
      </c>
      <c r="W374" s="396">
        <f>((W298)-(W367))</f>
        <v/>
      </c>
      <c r="X374" s="462" t="n"/>
      <c r="Y374" s="396">
        <f>((L374)+(M374)+(N374)+(O374)+(P374)+(Q374)+(R374)+(S374)+(T374)+(U374)+(V374)+(W374))</f>
        <v/>
      </c>
    </row>
    <row r="375" ht="15" customHeight="1" s="1883">
      <c r="B375" s="383" t="n"/>
      <c r="C375" s="383" t="n"/>
      <c r="D375" s="383" t="n"/>
      <c r="E375" s="383" t="n"/>
      <c r="F375" s="383" t="n"/>
      <c r="G375" s="385" t="inlineStr">
        <is>
          <t>OPERATING MARGIN, %</t>
        </is>
      </c>
      <c r="H375" s="383" t="n"/>
      <c r="I375" s="383" t="n"/>
      <c r="J375" s="383" t="n"/>
      <c r="K375" s="383" t="n"/>
      <c r="L375" s="574">
        <f>((L374)/(L298))</f>
        <v/>
      </c>
      <c r="M375" s="574">
        <f>((M374)/(M298))</f>
        <v/>
      </c>
      <c r="N375" s="574">
        <f>((N374)/(N298))</f>
        <v/>
      </c>
      <c r="O375" s="574">
        <f>((O374)/(O298))</f>
        <v/>
      </c>
      <c r="P375" s="574">
        <f>((P374)/(P298))</f>
        <v/>
      </c>
      <c r="Q375" s="574">
        <f>((Q374)/(Q298))</f>
        <v/>
      </c>
      <c r="R375" s="574">
        <f>((R374)/(R298))</f>
        <v/>
      </c>
      <c r="S375" s="574">
        <f>((S374)/(S298))</f>
        <v/>
      </c>
      <c r="T375" s="574">
        <f>((T374)/(T298))</f>
        <v/>
      </c>
      <c r="U375" s="574">
        <f>((U374)/(U298))</f>
        <v/>
      </c>
      <c r="V375" s="574">
        <f>((V374)/(V298))</f>
        <v/>
      </c>
      <c r="W375" s="574">
        <f>((W374)/(W298))</f>
        <v/>
      </c>
      <c r="X375" s="574" t="n"/>
      <c r="Y375" s="574">
        <f>((Y374)/(Y298))</f>
        <v/>
      </c>
    </row>
    <row r="376" ht="3" customHeight="1" s="1883">
      <c r="B376" s="383" t="n"/>
      <c r="C376" s="383" t="n"/>
      <c r="D376" s="383" t="n"/>
      <c r="E376" s="383" t="n"/>
      <c r="F376" s="383" t="n"/>
      <c r="G376" s="383" t="n"/>
      <c r="H376" s="383" t="n"/>
      <c r="I376" s="383" t="n"/>
      <c r="J376" s="383" t="n"/>
      <c r="K376" s="383" t="n"/>
      <c r="L376" s="508" t="n"/>
      <c r="M376" s="508" t="n"/>
      <c r="N376" s="508" t="n"/>
      <c r="O376" s="508" t="n"/>
      <c r="P376" s="508" t="n"/>
      <c r="Q376" s="508" t="n"/>
      <c r="R376" s="508" t="n"/>
      <c r="S376" s="508" t="n"/>
      <c r="T376" s="508" t="n"/>
      <c r="U376" s="508" t="n"/>
      <c r="V376" s="508" t="n"/>
      <c r="W376" s="508" t="n"/>
      <c r="X376" s="462" t="n"/>
      <c r="Y376" s="508" t="n"/>
    </row>
    <row r="377" ht="3" customHeight="1" s="1883">
      <c r="B377" s="383" t="n"/>
      <c r="C377" s="383" t="n"/>
      <c r="D377" s="383" t="n"/>
      <c r="E377" s="383" t="n"/>
      <c r="F377" s="383" t="n"/>
      <c r="G377" s="383" t="n"/>
      <c r="H377" s="383" t="n"/>
      <c r="I377" s="383" t="n"/>
      <c r="J377" s="383" t="n"/>
      <c r="K377" s="383" t="n"/>
      <c r="L377" s="462" t="n"/>
      <c r="M377" s="462" t="n"/>
      <c r="N377" s="462" t="n"/>
      <c r="O377" s="462" t="n"/>
      <c r="P377" s="462" t="n"/>
      <c r="Q377" s="462" t="n"/>
      <c r="R377" s="462" t="n"/>
      <c r="S377" s="462" t="n"/>
      <c r="T377" s="462" t="n"/>
      <c r="U377" s="462" t="n"/>
      <c r="V377" s="462" t="n"/>
      <c r="W377" s="462" t="n"/>
      <c r="X377" s="462" t="n"/>
      <c r="Y377" s="462" t="n"/>
    </row>
    <row r="378" ht="15" customHeight="1" s="1883">
      <c r="B378" s="383" t="n"/>
      <c r="C378" s="383" t="n"/>
      <c r="D378" s="383" t="n"/>
      <c r="E378" s="383" t="n"/>
      <c r="F378" s="383" t="n"/>
      <c r="G378" s="383" t="n"/>
      <c r="H378" s="383" t="n"/>
      <c r="I378" s="383" t="n"/>
      <c r="J378" s="383" t="n"/>
      <c r="K378" s="383" t="n"/>
      <c r="L378" s="462" t="n"/>
      <c r="M378" s="462" t="n"/>
      <c r="N378" s="462" t="n"/>
      <c r="O378" s="462" t="n"/>
      <c r="P378" s="462" t="n"/>
      <c r="Q378" s="462" t="n"/>
      <c r="R378" s="462" t="n"/>
      <c r="S378" s="462" t="n"/>
      <c r="T378" s="462" t="n"/>
      <c r="U378" s="462" t="n"/>
      <c r="V378" s="462" t="n"/>
      <c r="W378" s="462" t="n"/>
      <c r="X378" s="462" t="n"/>
      <c r="Y378" s="462" t="n"/>
    </row>
    <row r="379" ht="15" customHeight="1" s="1883">
      <c r="B379" s="383" t="n"/>
      <c r="C379" s="383" t="n"/>
      <c r="D379" s="383" t="n"/>
      <c r="E379" s="383" t="n"/>
      <c r="F379" s="383" t="n"/>
      <c r="G379" s="383" t="n"/>
      <c r="H379" s="383" t="n"/>
      <c r="I379" s="383" t="n"/>
      <c r="J379" s="383" t="n"/>
      <c r="K379" s="383" t="n"/>
      <c r="L379" s="462" t="n"/>
      <c r="M379" s="462" t="n"/>
      <c r="N379" s="462" t="n"/>
      <c r="O379" s="462" t="n"/>
      <c r="P379" s="462" t="n"/>
      <c r="Q379" s="462" t="n"/>
      <c r="R379" s="462" t="n"/>
      <c r="S379" s="462" t="n"/>
      <c r="T379" s="462" t="n"/>
      <c r="U379" s="462" t="n"/>
      <c r="V379" s="462" t="n"/>
      <c r="W379" s="462" t="n"/>
      <c r="X379" s="462" t="n"/>
      <c r="Y379" s="462" t="n"/>
    </row>
    <row r="380" ht="15" customHeight="1" s="1883">
      <c r="B380" s="385" t="inlineStr">
        <is>
          <t>YEAR 5 - OPERATING INCOME</t>
        </is>
      </c>
      <c r="C380" s="383" t="n"/>
      <c r="D380" s="383" t="n"/>
      <c r="E380" s="383" t="n"/>
      <c r="F380" s="383" t="n"/>
      <c r="G380" s="383" t="n"/>
      <c r="H380" s="383" t="n"/>
      <c r="I380" s="383" t="n"/>
      <c r="J380" s="383" t="n"/>
      <c r="K380" s="383" t="n"/>
      <c r="L380" s="383" t="n"/>
      <c r="M380" s="383" t="n"/>
      <c r="N380" s="383" t="n"/>
      <c r="O380" s="383" t="n"/>
      <c r="P380" s="383" t="n"/>
      <c r="Q380" s="383" t="n"/>
      <c r="R380" s="383" t="n"/>
      <c r="S380" s="383" t="n"/>
      <c r="T380" s="383" t="n"/>
      <c r="U380" s="383" t="n"/>
      <c r="V380" s="383" t="n"/>
      <c r="W380" s="383" t="n"/>
      <c r="X380" s="383" t="n"/>
      <c r="Y380" s="383" t="n"/>
    </row>
    <row r="381" ht="3" customHeight="1" s="1883">
      <c r="B381" s="387" t="n"/>
      <c r="C381" s="387" t="n"/>
      <c r="D381" s="387" t="n"/>
      <c r="E381" s="387" t="n"/>
      <c r="F381" s="387" t="n"/>
      <c r="G381" s="387" t="n"/>
      <c r="H381" s="387" t="n"/>
      <c r="I381" s="387" t="n"/>
      <c r="J381" s="387" t="n"/>
      <c r="K381" s="383" t="n"/>
      <c r="L381" s="383" t="n"/>
      <c r="M381" s="383" t="n"/>
      <c r="N381" s="383" t="n"/>
      <c r="O381" s="383" t="n"/>
      <c r="P381" s="383" t="n"/>
      <c r="Q381" s="383" t="n"/>
      <c r="R381" s="383" t="n"/>
      <c r="S381" s="383" t="n"/>
      <c r="T381" s="383" t="n"/>
      <c r="U381" s="383" t="n"/>
      <c r="V381" s="383" t="n"/>
      <c r="W381" s="383" t="n"/>
      <c r="X381" s="383" t="n"/>
      <c r="Y381" s="383" t="n"/>
    </row>
    <row r="382" ht="3" customHeight="1" s="1883">
      <c r="B382" s="383" t="n"/>
      <c r="C382" s="383" t="n"/>
      <c r="D382" s="383" t="n"/>
      <c r="E382" s="383" t="n"/>
      <c r="F382" s="383" t="n"/>
      <c r="G382" s="383" t="n"/>
      <c r="H382" s="383" t="n"/>
      <c r="I382" s="383" t="n"/>
      <c r="J382" s="383" t="n"/>
      <c r="K382" s="383" t="n"/>
      <c r="L382" s="383" t="n"/>
      <c r="M382" s="383" t="n"/>
      <c r="N382" s="383" t="n"/>
      <c r="O382" s="383" t="n"/>
      <c r="P382" s="383" t="n"/>
      <c r="Q382" s="383" t="n"/>
      <c r="R382" s="383" t="n"/>
      <c r="S382" s="383" t="n"/>
      <c r="T382" s="383" t="n"/>
      <c r="U382" s="383" t="n"/>
      <c r="V382" s="383" t="n"/>
      <c r="W382" s="383" t="n"/>
      <c r="X382" s="383" t="n"/>
      <c r="Y382" s="383" t="n"/>
    </row>
    <row r="383" ht="15" customHeight="1" s="1883">
      <c r="B383" s="383" t="n"/>
      <c r="C383" s="383" t="n"/>
      <c r="D383" s="383" t="n"/>
      <c r="E383" s="383" t="n"/>
      <c r="F383" s="383" t="n"/>
      <c r="G383" s="383" t="n"/>
      <c r="H383" s="383" t="n"/>
      <c r="I383" s="383" t="n"/>
      <c r="J383" s="383" t="n"/>
      <c r="K383" s="383" t="n"/>
      <c r="L383" s="1882" t="inlineStr">
        <is>
          <t>Year 5</t>
        </is>
      </c>
    </row>
    <row r="386" ht="15" customHeight="1" s="1883">
      <c r="B386" s="383" t="n"/>
      <c r="C386" s="383" t="n"/>
      <c r="D386" s="383" t="n"/>
      <c r="E386" s="383" t="n"/>
      <c r="F386" s="383" t="n"/>
      <c r="G386" s="383" t="n"/>
      <c r="H386" s="383" t="n"/>
      <c r="I386" s="383" t="n"/>
      <c r="J386" s="383" t="n"/>
      <c r="K386" s="383" t="n"/>
      <c r="L386" s="386" t="inlineStr">
        <is>
          <t>Month 49</t>
        </is>
      </c>
      <c r="M386" s="386" t="inlineStr">
        <is>
          <t>Month 50</t>
        </is>
      </c>
      <c r="N386" s="386" t="inlineStr">
        <is>
          <t>Month 51</t>
        </is>
      </c>
      <c r="O386" s="386" t="inlineStr">
        <is>
          <t>Month 52</t>
        </is>
      </c>
      <c r="P386" s="386" t="inlineStr">
        <is>
          <t>Month 53</t>
        </is>
      </c>
      <c r="Q386" s="386" t="inlineStr">
        <is>
          <t>Month 54</t>
        </is>
      </c>
      <c r="R386" s="386" t="inlineStr">
        <is>
          <t>Month 55</t>
        </is>
      </c>
      <c r="S386" s="386" t="inlineStr">
        <is>
          <t>Month 56</t>
        </is>
      </c>
      <c r="T386" s="386" t="inlineStr">
        <is>
          <t>Month 57</t>
        </is>
      </c>
      <c r="U386" s="386" t="inlineStr">
        <is>
          <t>Month 58</t>
        </is>
      </c>
      <c r="V386" s="386" t="inlineStr">
        <is>
          <t>Month 59</t>
        </is>
      </c>
      <c r="W386" s="386" t="inlineStr">
        <is>
          <t>Month 60</t>
        </is>
      </c>
      <c r="X386" s="383" t="n"/>
      <c r="Y386" s="386" t="inlineStr">
        <is>
          <t>Full-Year</t>
        </is>
      </c>
      <c r="Z386" s="383" t="n"/>
      <c r="AA386" s="386" t="inlineStr">
        <is>
          <t>Cross Check</t>
        </is>
      </c>
    </row>
    <row r="387" ht="3" customHeight="1" s="1883">
      <c r="B387" s="383" t="n"/>
      <c r="C387" s="383" t="n"/>
      <c r="D387" s="383" t="n"/>
      <c r="E387" s="383" t="n"/>
      <c r="F387" s="383" t="n"/>
      <c r="G387" s="383" t="n"/>
      <c r="H387" s="383" t="n"/>
      <c r="I387" s="383" t="n"/>
      <c r="J387" s="383" t="n"/>
      <c r="K387" s="383" t="n"/>
      <c r="L387" s="387" t="n"/>
      <c r="M387" s="387" t="n"/>
      <c r="N387" s="387" t="n"/>
      <c r="O387" s="387" t="n"/>
      <c r="P387" s="387" t="n"/>
      <c r="Q387" s="387" t="n"/>
      <c r="R387" s="387" t="n"/>
      <c r="S387" s="387" t="n"/>
      <c r="T387" s="387" t="n"/>
      <c r="U387" s="387" t="n"/>
      <c r="V387" s="387" t="n"/>
      <c r="W387" s="387" t="n"/>
      <c r="X387" s="383" t="n"/>
      <c r="Y387" s="387" t="n"/>
      <c r="Z387" s="383" t="n"/>
      <c r="AA387" s="387" t="n"/>
    </row>
    <row r="388" ht="3" customHeight="1" s="1883">
      <c r="B388" s="383" t="n"/>
      <c r="C388" s="383" t="n"/>
      <c r="D388" s="383" t="n"/>
      <c r="E388" s="383" t="n"/>
      <c r="F388" s="383" t="n"/>
      <c r="G388" s="383" t="n"/>
      <c r="H388" s="383" t="n"/>
      <c r="I388" s="383" t="n"/>
      <c r="J388" s="383" t="n"/>
      <c r="K388" s="383" t="n"/>
      <c r="L388" s="383" t="n"/>
      <c r="M388" s="383" t="n"/>
      <c r="N388" s="383" t="n"/>
      <c r="O388" s="383" t="n"/>
      <c r="P388" s="383" t="n"/>
      <c r="Q388" s="383" t="n"/>
      <c r="R388" s="383" t="n"/>
      <c r="S388" s="383" t="n"/>
      <c r="T388" s="383" t="n"/>
      <c r="U388" s="383" t="n"/>
      <c r="V388" s="383" t="n"/>
      <c r="W388" s="383" t="n"/>
      <c r="X388" s="383" t="n"/>
      <c r="Y388" s="383" t="n"/>
      <c r="Z388" s="383" t="n"/>
      <c r="AA388" s="383" t="n"/>
    </row>
    <row r="389" ht="15" customHeight="1" s="1883">
      <c r="B389" s="383" t="n"/>
      <c r="C389" s="383" t="n"/>
      <c r="D389" s="383" t="n"/>
      <c r="E389" s="383" t="n"/>
      <c r="F389" s="383" t="n"/>
      <c r="G389" s="383" t="n"/>
      <c r="H389" s="383" t="n"/>
      <c r="I389" s="383" t="n"/>
      <c r="J389" s="383" t="n"/>
      <c r="K389" s="383" t="n"/>
      <c r="L389" s="383" t="n"/>
      <c r="M389" s="383" t="n"/>
      <c r="N389" s="383" t="n"/>
      <c r="O389" s="383" t="n"/>
      <c r="P389" s="383" t="n"/>
      <c r="Q389" s="383" t="n"/>
      <c r="R389" s="383" t="n"/>
      <c r="S389" s="383" t="n"/>
      <c r="T389" s="383" t="n"/>
      <c r="U389" s="383" t="n"/>
      <c r="V389" s="383" t="n"/>
      <c r="W389" s="383" t="n"/>
      <c r="X389" s="383" t="n"/>
      <c r="Y389" s="383" t="n"/>
      <c r="Z389" s="383" t="n"/>
      <c r="AA389" s="383" t="n"/>
    </row>
    <row r="390" ht="15" customHeight="1" s="1883">
      <c r="B390" s="385" t="inlineStr">
        <is>
          <t>NET REVENUE</t>
        </is>
      </c>
      <c r="D390" s="383" t="n"/>
      <c r="E390" s="383" t="n"/>
      <c r="F390" s="383" t="n"/>
      <c r="G390" s="383" t="n"/>
      <c r="H390" s="383" t="n"/>
      <c r="I390" s="383" t="n"/>
      <c r="J390" s="383" t="n"/>
      <c r="K390" s="383" t="n"/>
      <c r="L390" s="396">
        <f>(('3B. Tel. - Rev. Detail x Month'!J512)+('7. Pure Influence'!G106)+('8. Pure Research - 1 of 2'!AH40))</f>
        <v/>
      </c>
      <c r="M390" s="396">
        <f>(('3B. Tel. - Rev. Detail x Month'!K512)+('7. Pure Influence'!H106)+('8. Pure Research - 1 of 2'!AH40))</f>
        <v/>
      </c>
      <c r="N390" s="396">
        <f>(('3B. Tel. - Rev. Detail x Month'!L512)+('7. Pure Influence'!I106)+('8. Pure Research - 1 of 2'!AH40))</f>
        <v/>
      </c>
      <c r="O390" s="396">
        <f>(('3B. Tel. - Rev. Detail x Month'!M512)+('7. Pure Influence'!J106)+('8. Pure Research - 1 of 2'!AH40))</f>
        <v/>
      </c>
      <c r="P390" s="396">
        <f>(('3B. Tel. - Rev. Detail x Month'!N512)+('7. Pure Influence'!K106)+('8. Pure Research - 1 of 2'!AH40))</f>
        <v/>
      </c>
      <c r="Q390" s="396">
        <f>(('3B. Tel. - Rev. Detail x Month'!O512)+('7. Pure Influence'!L106)+('8. Pure Research - 1 of 2'!AH40))</f>
        <v/>
      </c>
      <c r="R390" s="396">
        <f>(('3B. Tel. - Rev. Detail x Month'!P512)+('7. Pure Influence'!M106)+('8. Pure Research - 1 of 2'!AH40))</f>
        <v/>
      </c>
      <c r="S390" s="396">
        <f>(('3B. Tel. - Rev. Detail x Month'!Q512)+('7. Pure Influence'!N106)+('8. Pure Research - 1 of 2'!AH40))</f>
        <v/>
      </c>
      <c r="T390" s="396">
        <f>(('3B. Tel. - Rev. Detail x Month'!R512)+('7. Pure Influence'!O106)+('8. Pure Research - 1 of 2'!AH40))</f>
        <v/>
      </c>
      <c r="U390" s="396">
        <f>(('3B. Tel. - Rev. Detail x Month'!S512)+('7. Pure Influence'!P106)+('8. Pure Research - 1 of 2'!AH40))</f>
        <v/>
      </c>
      <c r="V390" s="396">
        <f>(('3B. Tel. - Rev. Detail x Month'!T512)+('7. Pure Influence'!Q106)+('8. Pure Research - 1 of 2'!AH40))</f>
        <v/>
      </c>
      <c r="W390" s="396">
        <f>(('3B. Tel. - Rev. Detail x Month'!U512)+('7. Pure Influence'!R106)+('8. Pure Research - 1 of 2'!AH40))</f>
        <v/>
      </c>
      <c r="X390" s="462" t="n"/>
      <c r="Y390" s="396">
        <f>((L390)+(M390)+(N390)+(O390)+(P390)+(Q390)+(R390)+(S390)+(T390)+(U390)+(V390)+(W390))</f>
        <v/>
      </c>
      <c r="Z390" s="462" t="n"/>
      <c r="AA390" s="462">
        <f>(('3B. Tel. - Rev. Detail x Month'!W512)+('7. Pure Influence'!T106)+('8. Pure Research - 1 of 2'!AH36))</f>
        <v/>
      </c>
    </row>
    <row r="391" ht="15" customHeight="1" s="1883">
      <c r="B391" s="383" t="n"/>
      <c r="C391" s="383" t="n"/>
      <c r="D391" s="383" t="n"/>
      <c r="E391" s="383" t="n"/>
      <c r="F391" s="383" t="n"/>
      <c r="G391" s="383" t="n"/>
      <c r="H391" s="383" t="n"/>
      <c r="I391" s="383" t="n"/>
      <c r="J391" s="383" t="n"/>
      <c r="K391" s="383" t="n"/>
      <c r="L391" s="462" t="n"/>
      <c r="M391" s="462" t="n"/>
      <c r="N391" s="462" t="n"/>
      <c r="O391" s="462" t="n"/>
      <c r="P391" s="462" t="n"/>
      <c r="Q391" s="462" t="n"/>
      <c r="R391" s="462" t="n"/>
      <c r="S391" s="462" t="n"/>
      <c r="T391" s="462" t="n"/>
      <c r="U391" s="462" t="n"/>
      <c r="V391" s="462" t="n"/>
      <c r="W391" s="462" t="n"/>
      <c r="X391" s="462" t="n"/>
      <c r="Y391" s="462" t="n"/>
      <c r="Z391" s="462" t="n"/>
      <c r="AA391" s="462" t="n"/>
    </row>
    <row r="392" ht="15" customHeight="1" s="1883">
      <c r="B392" s="385" t="inlineStr">
        <is>
          <t>OPERATING EXPENSES</t>
        </is>
      </c>
      <c r="C392" s="383" t="n"/>
      <c r="D392" s="383" t="n"/>
      <c r="E392" s="383" t="n"/>
      <c r="F392" s="383" t="n"/>
      <c r="G392" s="383" t="n"/>
      <c r="H392" s="383" t="n"/>
      <c r="I392" s="383" t="n"/>
      <c r="J392" s="383" t="n"/>
      <c r="K392" s="383" t="n"/>
      <c r="L392" s="462" t="n"/>
      <c r="M392" s="462" t="n"/>
      <c r="N392" s="462" t="n"/>
      <c r="O392" s="462" t="n"/>
      <c r="P392" s="462" t="n"/>
      <c r="Q392" s="462" t="n"/>
      <c r="R392" s="462" t="n"/>
      <c r="S392" s="462" t="n"/>
      <c r="T392" s="462" t="n"/>
      <c r="U392" s="462" t="n"/>
      <c r="V392" s="462" t="n"/>
      <c r="W392" s="462" t="n"/>
      <c r="X392" s="462" t="n"/>
      <c r="Y392" s="462" t="n"/>
      <c r="Z392" s="462" t="n"/>
      <c r="AA392" s="462" t="n"/>
    </row>
    <row r="393" ht="3" customHeight="1" s="1883">
      <c r="B393" s="387" t="n"/>
      <c r="C393" s="387" t="n"/>
      <c r="D393" s="387" t="n"/>
      <c r="E393" s="387" t="n"/>
      <c r="F393" s="387" t="n"/>
      <c r="G393" s="387" t="n"/>
      <c r="H393" s="387" t="n"/>
      <c r="I393" s="387" t="n"/>
      <c r="J393" s="387" t="n"/>
      <c r="K393" s="383" t="n"/>
      <c r="L393" s="462" t="n"/>
      <c r="M393" s="462" t="n"/>
      <c r="N393" s="462" t="n"/>
      <c r="O393" s="462" t="n"/>
      <c r="P393" s="462" t="n"/>
      <c r="Q393" s="462" t="n"/>
      <c r="R393" s="462" t="n"/>
      <c r="S393" s="462" t="n"/>
      <c r="T393" s="462" t="n"/>
      <c r="U393" s="462" t="n"/>
      <c r="V393" s="462" t="n"/>
      <c r="W393" s="462" t="n"/>
      <c r="X393" s="462" t="n"/>
      <c r="Y393" s="462" t="n"/>
      <c r="Z393" s="462" t="n"/>
      <c r="AA393" s="462" t="n"/>
    </row>
    <row r="394" ht="3" customHeight="1" s="1883">
      <c r="B394" s="383" t="n"/>
      <c r="C394" s="383" t="n"/>
      <c r="D394" s="383" t="n"/>
      <c r="E394" s="383" t="n"/>
      <c r="F394" s="383" t="n"/>
      <c r="G394" s="383" t="n"/>
      <c r="H394" s="383" t="n"/>
      <c r="I394" s="383" t="n"/>
      <c r="J394" s="383" t="n"/>
      <c r="K394" s="383" t="n"/>
      <c r="L394" s="462" t="n"/>
      <c r="M394" s="462" t="n"/>
      <c r="N394" s="462" t="n"/>
      <c r="O394" s="462" t="n"/>
      <c r="P394" s="462" t="n"/>
      <c r="Q394" s="462" t="n"/>
      <c r="R394" s="462" t="n"/>
      <c r="S394" s="462" t="n"/>
      <c r="T394" s="462" t="n"/>
      <c r="U394" s="462" t="n"/>
      <c r="V394" s="462" t="n"/>
      <c r="W394" s="462" t="n"/>
      <c r="X394" s="462" t="n"/>
      <c r="Y394" s="462" t="n"/>
      <c r="Z394" s="462" t="n"/>
      <c r="AA394" s="462" t="n"/>
    </row>
    <row r="395" ht="15" customHeight="1" s="1883">
      <c r="B395" s="383" t="n"/>
      <c r="C395" s="383" t="n"/>
      <c r="D395" s="383" t="n"/>
      <c r="E395" s="383" t="n"/>
      <c r="F395" s="383" t="n"/>
      <c r="G395" s="383" t="n"/>
      <c r="H395" s="383" t="n"/>
      <c r="I395" s="383" t="n"/>
      <c r="J395" s="383" t="n"/>
      <c r="K395" s="383" t="n"/>
      <c r="L395" s="462" t="n"/>
      <c r="M395" s="462" t="n"/>
      <c r="N395" s="462" t="n"/>
      <c r="O395" s="462" t="n"/>
      <c r="P395" s="462" t="n"/>
      <c r="Q395" s="462" t="n"/>
      <c r="R395" s="462" t="n"/>
      <c r="S395" s="462" t="n"/>
      <c r="T395" s="462" t="n"/>
      <c r="U395" s="462" t="n"/>
      <c r="V395" s="462" t="n"/>
      <c r="W395" s="462" t="n"/>
      <c r="X395" s="462" t="n"/>
      <c r="Y395" s="462" t="n"/>
      <c r="Z395" s="462" t="n"/>
      <c r="AA395" s="462" t="n"/>
    </row>
    <row r="396" ht="15" customHeight="1" s="1883">
      <c r="B396" s="383" t="n"/>
      <c r="C396" s="385" t="inlineStr">
        <is>
          <t>Expense Category</t>
        </is>
      </c>
      <c r="D396" s="383" t="n"/>
      <c r="E396" s="383" t="n"/>
      <c r="F396" s="383" t="n"/>
      <c r="G396" s="383" t="n"/>
      <c r="H396" s="383" t="n"/>
      <c r="I396" s="383" t="n"/>
      <c r="J396" s="386" t="inlineStr">
        <is>
          <t>Expense Driver</t>
        </is>
      </c>
      <c r="K396" s="383" t="n"/>
      <c r="L396" s="462" t="n"/>
      <c r="M396" s="462" t="n"/>
      <c r="N396" s="462" t="n"/>
      <c r="O396" s="462" t="n"/>
      <c r="P396" s="462" t="n"/>
      <c r="Q396" s="462" t="n"/>
      <c r="R396" s="462" t="n"/>
      <c r="S396" s="462" t="n"/>
      <c r="T396" s="462" t="n"/>
      <c r="U396" s="462" t="n"/>
      <c r="V396" s="462" t="n"/>
      <c r="W396" s="462" t="n"/>
      <c r="X396" s="462" t="n"/>
      <c r="Y396" s="462" t="n"/>
      <c r="Z396" s="462" t="n"/>
      <c r="AA396" s="462" t="n"/>
    </row>
    <row r="397" ht="3" customHeight="1" s="1883">
      <c r="B397" s="383" t="n"/>
      <c r="C397" s="392" t="n"/>
      <c r="D397" s="387" t="n"/>
      <c r="E397" s="387" t="n"/>
      <c r="F397" s="387" t="n"/>
      <c r="G397" s="387" t="n"/>
      <c r="H397" s="387" t="n"/>
      <c r="I397" s="387" t="n"/>
      <c r="J397" s="387" t="n"/>
      <c r="K397" s="383" t="n"/>
      <c r="L397" s="462" t="n"/>
      <c r="M397" s="462" t="n"/>
      <c r="N397" s="462" t="n"/>
      <c r="O397" s="462" t="n"/>
      <c r="P397" s="462" t="n"/>
      <c r="Q397" s="462" t="n"/>
      <c r="R397" s="462" t="n"/>
      <c r="S397" s="462" t="n"/>
      <c r="T397" s="462" t="n"/>
      <c r="U397" s="462" t="n"/>
      <c r="V397" s="462" t="n"/>
      <c r="W397" s="462" t="n"/>
      <c r="X397" s="462" t="n"/>
      <c r="Y397" s="462" t="n"/>
      <c r="Z397" s="462" t="n"/>
      <c r="AA397" s="462" t="n"/>
    </row>
    <row r="398" ht="3" customHeight="1" s="1883">
      <c r="B398" s="383" t="n"/>
      <c r="C398" s="385" t="n"/>
      <c r="D398" s="383" t="n"/>
      <c r="E398" s="383" t="n"/>
      <c r="F398" s="383" t="n"/>
      <c r="G398" s="383" t="n"/>
      <c r="H398" s="383" t="n"/>
      <c r="I398" s="383" t="n"/>
      <c r="J398" s="383" t="n"/>
      <c r="K398" s="383" t="n"/>
      <c r="L398" s="462" t="n"/>
      <c r="M398" s="462" t="n"/>
      <c r="N398" s="462" t="n"/>
      <c r="O398" s="462" t="n"/>
      <c r="P398" s="462" t="n"/>
      <c r="Q398" s="462" t="n"/>
      <c r="R398" s="462" t="n"/>
      <c r="S398" s="462" t="n"/>
      <c r="T398" s="462" t="n"/>
      <c r="U398" s="462" t="n"/>
      <c r="V398" s="462" t="n"/>
      <c r="W398" s="462" t="n"/>
      <c r="X398" s="462" t="n"/>
      <c r="Y398" s="462" t="n"/>
      <c r="Z398" s="462" t="n"/>
      <c r="AA398" s="462" t="n"/>
    </row>
    <row r="399" ht="15" customHeight="1" s="1883">
      <c r="B399" s="383" t="n"/>
      <c r="C399" s="383" t="n"/>
      <c r="D399" s="383" t="n"/>
      <c r="E399" s="383" t="n"/>
      <c r="F399" s="383" t="n"/>
      <c r="G399" s="383" t="n"/>
      <c r="H399" s="383" t="n"/>
      <c r="I399" s="383" t="n"/>
      <c r="J399" s="383" t="n"/>
      <c r="K399" s="383" t="n"/>
      <c r="L399" s="462" t="n"/>
      <c r="M399" s="462" t="n"/>
      <c r="N399" s="462" t="n"/>
      <c r="O399" s="462" t="n"/>
      <c r="P399" s="462" t="n"/>
      <c r="Q399" s="462" t="n"/>
      <c r="R399" s="462" t="n"/>
      <c r="S399" s="462" t="n"/>
      <c r="T399" s="462" t="n"/>
      <c r="U399" s="462" t="n"/>
      <c r="V399" s="462" t="n"/>
      <c r="W399" s="462" t="n"/>
      <c r="X399" s="462" t="n"/>
      <c r="Y399" s="462" t="n"/>
      <c r="Z399" s="462" t="n"/>
      <c r="AA399" s="462" t="n"/>
    </row>
    <row r="400" ht="15" customHeight="1" s="1883">
      <c r="B400" s="383" t="n"/>
      <c r="C400" s="385" t="inlineStr">
        <is>
          <t>People Cost</t>
        </is>
      </c>
      <c r="D400" s="383" t="n"/>
      <c r="E400" s="383" t="n"/>
      <c r="F400" s="383" t="n"/>
      <c r="G400" s="383" t="n"/>
      <c r="H400" s="383" t="n"/>
      <c r="I400" s="383" t="n"/>
      <c r="J400" s="383" t="n"/>
      <c r="K400" s="383" t="n"/>
      <c r="L400" s="462" t="n"/>
      <c r="M400" s="462" t="n"/>
      <c r="N400" s="462" t="n"/>
      <c r="O400" s="462" t="n"/>
      <c r="P400" s="462" t="n"/>
      <c r="Q400" s="462" t="n"/>
      <c r="R400" s="462" t="n"/>
      <c r="S400" s="462" t="n"/>
      <c r="T400" s="462" t="n"/>
      <c r="U400" s="462" t="n"/>
      <c r="V400" s="462" t="n"/>
      <c r="W400" s="462" t="n"/>
      <c r="X400" s="462" t="n"/>
      <c r="Y400" s="462" t="n"/>
      <c r="Z400" s="462" t="n"/>
      <c r="AA400" s="462" t="n"/>
    </row>
    <row r="403" ht="15" customHeight="1" s="1883">
      <c r="C403" s="590" t="inlineStr">
        <is>
          <t>●</t>
        </is>
      </c>
      <c r="D403" s="583" t="inlineStr">
        <is>
          <t>Total Headcount</t>
        </is>
      </c>
      <c r="E403" s="383" t="n"/>
      <c r="F403" s="383" t="n"/>
      <c r="G403" s="383" t="n"/>
      <c r="H403" s="383" t="n"/>
      <c r="I403" s="383" t="n"/>
      <c r="J403" s="383" t="n"/>
      <c r="K403" s="383" t="n"/>
      <c r="L403" s="584">
        <f>('5A. People Cost Roll-Up'!CQ19)</f>
        <v/>
      </c>
      <c r="M403" s="584">
        <f>('5A. People Cost Roll-Up'!CR19)</f>
        <v/>
      </c>
      <c r="N403" s="584">
        <f>('5A. People Cost Roll-Up'!CS19)</f>
        <v/>
      </c>
      <c r="O403" s="584">
        <f>('5A. People Cost Roll-Up'!CT19)</f>
        <v/>
      </c>
      <c r="P403" s="584">
        <f>('5A. People Cost Roll-Up'!CU19)</f>
        <v/>
      </c>
      <c r="Q403" s="584">
        <f>('5A. People Cost Roll-Up'!CV19)</f>
        <v/>
      </c>
      <c r="R403" s="584">
        <f>('5A. People Cost Roll-Up'!CW19)</f>
        <v/>
      </c>
      <c r="S403" s="584">
        <f>('5A. People Cost Roll-Up'!CX19)</f>
        <v/>
      </c>
      <c r="T403" s="584">
        <f>('5A. People Cost Roll-Up'!CY19)</f>
        <v/>
      </c>
      <c r="U403" s="584">
        <f>('5A. People Cost Roll-Up'!CZ19)</f>
        <v/>
      </c>
      <c r="V403" s="584">
        <f>('5A. People Cost Roll-Up'!DA19)</f>
        <v/>
      </c>
      <c r="W403" s="584">
        <f>('5A. People Cost Roll-Up'!DB19)</f>
        <v/>
      </c>
      <c r="X403" s="462" t="n"/>
      <c r="Y403" s="584">
        <f>AVERAGE(L403:W403)</f>
        <v/>
      </c>
      <c r="Z403" s="462" t="n"/>
      <c r="AA403" s="462" t="n"/>
    </row>
    <row r="404" ht="15" customHeight="1" s="1883">
      <c r="C404" s="390" t="inlineStr">
        <is>
          <t>●</t>
        </is>
      </c>
      <c r="D404" s="383" t="inlineStr">
        <is>
          <t>Employee Payroll</t>
        </is>
      </c>
      <c r="E404" s="383" t="n"/>
      <c r="F404" s="383" t="n"/>
      <c r="G404" s="383" t="n"/>
      <c r="H404" s="383" t="n"/>
      <c r="I404" s="383" t="n"/>
      <c r="J404" s="383" t="n"/>
      <c r="K404" s="383" t="n"/>
      <c r="L404" s="462">
        <f>'5A. People Cost Roll-Up'!CQ47</f>
        <v/>
      </c>
      <c r="M404" s="462">
        <f>'5A. People Cost Roll-Up'!CR47</f>
        <v/>
      </c>
      <c r="N404" s="462">
        <f>'5A. People Cost Roll-Up'!CS47</f>
        <v/>
      </c>
      <c r="O404" s="462">
        <f>'5A. People Cost Roll-Up'!CT47</f>
        <v/>
      </c>
      <c r="P404" s="462">
        <f>'5A. People Cost Roll-Up'!CU47</f>
        <v/>
      </c>
      <c r="Q404" s="462">
        <f>'5A. People Cost Roll-Up'!CV47</f>
        <v/>
      </c>
      <c r="R404" s="462">
        <f>'5A. People Cost Roll-Up'!CW47</f>
        <v/>
      </c>
      <c r="S404" s="462">
        <f>'5A. People Cost Roll-Up'!CX47</f>
        <v/>
      </c>
      <c r="T404" s="462">
        <f>'5A. People Cost Roll-Up'!CY47</f>
        <v/>
      </c>
      <c r="U404" s="462">
        <f>'5A. People Cost Roll-Up'!CZ47</f>
        <v/>
      </c>
      <c r="V404" s="462">
        <f>'5A. People Cost Roll-Up'!DA47</f>
        <v/>
      </c>
      <c r="W404" s="462">
        <f>'5A. People Cost Roll-Up'!DB47</f>
        <v/>
      </c>
      <c r="X404" s="462" t="n"/>
      <c r="Y404" s="396">
        <f>((L404)+(M404)+(N404)+(O404)+(P404)+(Q404)+(R404)+(S404)+(T404)+(U404)+(V404)+(W404))</f>
        <v/>
      </c>
      <c r="Z404" s="462" t="n"/>
      <c r="AA404" s="462">
        <f>'5A. People Cost Roll-Up'!DC47</f>
        <v/>
      </c>
    </row>
    <row r="405" ht="15" customHeight="1" s="1883">
      <c r="C405" s="390" t="inlineStr">
        <is>
          <t>●</t>
        </is>
      </c>
      <c r="D405" s="383" t="inlineStr">
        <is>
          <t>Employer Payroll Taxes</t>
        </is>
      </c>
      <c r="E405" s="383" t="n"/>
      <c r="F405" s="383" t="n"/>
      <c r="G405" s="383" t="n"/>
      <c r="H405" s="383" t="n"/>
      <c r="I405" s="383" t="n"/>
      <c r="J405" s="383" t="n"/>
      <c r="K405" s="383" t="n"/>
      <c r="L405" s="462">
        <f>'5A. People Cost Roll-Up'!CQ66</f>
        <v/>
      </c>
      <c r="M405" s="462">
        <f>'5A. People Cost Roll-Up'!CR66</f>
        <v/>
      </c>
      <c r="N405" s="462">
        <f>'5A. People Cost Roll-Up'!CS66</f>
        <v/>
      </c>
      <c r="O405" s="462">
        <f>'5A. People Cost Roll-Up'!CT66</f>
        <v/>
      </c>
      <c r="P405" s="462">
        <f>'5A. People Cost Roll-Up'!CU66</f>
        <v/>
      </c>
      <c r="Q405" s="462">
        <f>'5A. People Cost Roll-Up'!CV66</f>
        <v/>
      </c>
      <c r="R405" s="462">
        <f>'5A. People Cost Roll-Up'!CW66</f>
        <v/>
      </c>
      <c r="S405" s="462">
        <f>'5A. People Cost Roll-Up'!CX66</f>
        <v/>
      </c>
      <c r="T405" s="462">
        <f>'5A. People Cost Roll-Up'!CY66</f>
        <v/>
      </c>
      <c r="U405" s="462">
        <f>'5A. People Cost Roll-Up'!CZ66</f>
        <v/>
      </c>
      <c r="V405" s="462">
        <f>'5A. People Cost Roll-Up'!DA66</f>
        <v/>
      </c>
      <c r="W405" s="462">
        <f>'5A. People Cost Roll-Up'!DB66</f>
        <v/>
      </c>
      <c r="X405" s="462" t="n"/>
      <c r="Y405" s="494">
        <f>((L405)+(M405)+(N405)+(O405)+(P405)+(Q405)+(R405)+(S405)+(T405)+(U405)+(V405)+(W405))</f>
        <v/>
      </c>
      <c r="Z405" s="462" t="n"/>
      <c r="AA405" s="462">
        <f>'5A. People Cost Roll-Up'!DC66</f>
        <v/>
      </c>
    </row>
    <row r="406" ht="15" customHeight="1" s="1883">
      <c r="C406" s="390" t="inlineStr">
        <is>
          <t>●</t>
        </is>
      </c>
      <c r="D406" s="383" t="inlineStr">
        <is>
          <t>Employee Benefits</t>
        </is>
      </c>
      <c r="E406" s="383" t="n"/>
      <c r="F406" s="383" t="n"/>
      <c r="G406" s="383" t="n"/>
      <c r="H406" s="383" t="n"/>
      <c r="I406" s="383" t="n"/>
      <c r="J406" s="383" t="n"/>
      <c r="K406" s="383" t="n"/>
      <c r="L406" s="462">
        <f>'5A. People Cost Roll-Up'!CQ88</f>
        <v/>
      </c>
      <c r="M406" s="462">
        <f>'5A. People Cost Roll-Up'!CR88</f>
        <v/>
      </c>
      <c r="N406" s="462">
        <f>'5A. People Cost Roll-Up'!CS88</f>
        <v/>
      </c>
      <c r="O406" s="462">
        <f>'5A. People Cost Roll-Up'!CT88</f>
        <v/>
      </c>
      <c r="P406" s="462">
        <f>'5A. People Cost Roll-Up'!CU88</f>
        <v/>
      </c>
      <c r="Q406" s="462">
        <f>'5A. People Cost Roll-Up'!CV88</f>
        <v/>
      </c>
      <c r="R406" s="462">
        <f>'5A. People Cost Roll-Up'!CW88</f>
        <v/>
      </c>
      <c r="S406" s="462">
        <f>'5A. People Cost Roll-Up'!CX88</f>
        <v/>
      </c>
      <c r="T406" s="462">
        <f>'5A. People Cost Roll-Up'!CY88</f>
        <v/>
      </c>
      <c r="U406" s="462">
        <f>'5A. People Cost Roll-Up'!CZ88</f>
        <v/>
      </c>
      <c r="V406" s="462">
        <f>'5A. People Cost Roll-Up'!DA88</f>
        <v/>
      </c>
      <c r="W406" s="462">
        <f>'5A. People Cost Roll-Up'!DB88</f>
        <v/>
      </c>
      <c r="X406" s="462" t="n"/>
      <c r="Y406" s="494">
        <f>((L406)+(M406)+(N406)+(O406)+(P406)+(Q406)+(R406)+(S406)+(T406)+(U406)+(V406)+(W406))</f>
        <v/>
      </c>
      <c r="Z406" s="462" t="n"/>
      <c r="AA406" s="462">
        <f>'5A. People Cost Roll-Up'!DC88</f>
        <v/>
      </c>
    </row>
    <row r="407" ht="3" customHeight="1" s="1883">
      <c r="C407" s="383" t="n"/>
      <c r="D407" s="383" t="n"/>
      <c r="E407" s="383" t="n"/>
      <c r="F407" s="383" t="n"/>
      <c r="G407" s="383" t="n"/>
      <c r="H407" s="383" t="n"/>
      <c r="I407" s="383" t="n"/>
      <c r="J407" s="383" t="n"/>
      <c r="K407" s="383" t="n"/>
      <c r="L407" s="387" t="n"/>
      <c r="M407" s="387" t="n"/>
      <c r="N407" s="387" t="n"/>
      <c r="O407" s="387" t="n"/>
      <c r="P407" s="387" t="n"/>
      <c r="Q407" s="387" t="n"/>
      <c r="R407" s="387" t="n"/>
      <c r="S407" s="387" t="n"/>
      <c r="T407" s="387" t="n"/>
      <c r="U407" s="387" t="n"/>
      <c r="V407" s="387" t="n"/>
      <c r="W407" s="387" t="n"/>
      <c r="X407" s="383" t="n"/>
      <c r="Y407" s="387" t="n"/>
      <c r="Z407" s="383" t="n"/>
      <c r="AA407" s="387" t="n"/>
    </row>
    <row r="408" ht="3" customHeight="1" s="1883">
      <c r="C408" s="383" t="n"/>
      <c r="D408" s="383" t="n"/>
      <c r="E408" s="383" t="n"/>
      <c r="F408" s="383" t="n"/>
      <c r="G408" s="383" t="n"/>
      <c r="H408" s="383" t="n"/>
      <c r="I408" s="383" t="n"/>
      <c r="J408" s="383" t="n"/>
      <c r="K408" s="383" t="n"/>
      <c r="L408" s="383" t="n"/>
      <c r="M408" s="383" t="n"/>
      <c r="N408" s="383" t="n"/>
      <c r="O408" s="383" t="n"/>
      <c r="P408" s="383" t="n"/>
      <c r="Q408" s="383" t="n"/>
      <c r="R408" s="383" t="n"/>
      <c r="S408" s="383" t="n"/>
      <c r="T408" s="383" t="n"/>
      <c r="U408" s="383" t="n"/>
      <c r="V408" s="383" t="n"/>
      <c r="W408" s="383" t="n"/>
      <c r="X408" s="383" t="n"/>
      <c r="Y408" s="383" t="n"/>
      <c r="Z408" s="383" t="n"/>
      <c r="AA408" s="383" t="n"/>
    </row>
    <row r="409" ht="15" customHeight="1" s="1883">
      <c r="C409" s="383" t="n"/>
      <c r="E409" s="385" t="inlineStr">
        <is>
          <t>Total People Cost</t>
        </is>
      </c>
      <c r="F409" s="383" t="n"/>
      <c r="G409" s="383" t="n"/>
      <c r="H409" s="383" t="n"/>
      <c r="I409" s="383" t="n"/>
      <c r="J409" s="383" t="n"/>
      <c r="K409" s="383" t="n"/>
      <c r="L409" s="396">
        <f>SUM(L404:L406)</f>
        <v/>
      </c>
      <c r="M409" s="396">
        <f>SUM(M404:M406)</f>
        <v/>
      </c>
      <c r="N409" s="396">
        <f>SUM(N404:N406)</f>
        <v/>
      </c>
      <c r="O409" s="396">
        <f>SUM(O404:O406)</f>
        <v/>
      </c>
      <c r="P409" s="396">
        <f>SUM(P404:P406)</f>
        <v/>
      </c>
      <c r="Q409" s="396">
        <f>SUM(Q404:Q406)</f>
        <v/>
      </c>
      <c r="R409" s="396">
        <f>SUM(R404:R406)</f>
        <v/>
      </c>
      <c r="S409" s="396">
        <f>SUM(S404:S406)</f>
        <v/>
      </c>
      <c r="T409" s="396">
        <f>SUM(T404:T406)</f>
        <v/>
      </c>
      <c r="U409" s="396">
        <f>SUM(U404:U406)</f>
        <v/>
      </c>
      <c r="V409" s="396">
        <f>SUM(V404:V406)</f>
        <v/>
      </c>
      <c r="W409" s="396">
        <f>SUM(W404:W406)</f>
        <v/>
      </c>
      <c r="X409" s="396">
        <f>SUM(X404:X406)</f>
        <v/>
      </c>
      <c r="Y409" s="396">
        <f>SUM(Y404:Y406)</f>
        <v/>
      </c>
      <c r="Z409" s="396" t="n"/>
      <c r="AA409" s="396">
        <f>SUM(AA404:AA406)</f>
        <v/>
      </c>
      <c r="AC409" s="1458">
        <f>SUM(L409:W409)</f>
        <v/>
      </c>
      <c r="AD409" s="1917" t="inlineStr">
        <is>
          <t>checked</t>
        </is>
      </c>
    </row>
    <row r="410" ht="3" customHeight="1" s="1883">
      <c r="C410" s="383" t="n"/>
      <c r="D410" s="383" t="n"/>
      <c r="E410" s="383" t="n"/>
      <c r="F410" s="383" t="n"/>
      <c r="G410" s="383" t="n"/>
      <c r="H410" s="383" t="n"/>
      <c r="I410" s="383" t="n"/>
      <c r="J410" s="383" t="n"/>
      <c r="K410" s="383" t="n"/>
      <c r="L410" s="387" t="n"/>
      <c r="M410" s="387" t="n"/>
      <c r="N410" s="387" t="n"/>
      <c r="O410" s="387" t="n"/>
      <c r="P410" s="387" t="n"/>
      <c r="Q410" s="387" t="n"/>
      <c r="R410" s="387" t="n"/>
      <c r="S410" s="387" t="n"/>
      <c r="T410" s="387" t="n"/>
      <c r="U410" s="387" t="n"/>
      <c r="V410" s="387" t="n"/>
      <c r="W410" s="387" t="n"/>
      <c r="X410" s="383" t="n"/>
      <c r="Y410" s="387" t="n"/>
      <c r="Z410" s="383" t="n"/>
      <c r="AA410" s="387" t="n"/>
    </row>
    <row r="411" ht="3" customHeight="1" s="1883">
      <c r="C411" s="383" t="n"/>
      <c r="D411" s="383" t="n"/>
      <c r="E411" s="383" t="n"/>
      <c r="F411" s="383" t="n"/>
      <c r="G411" s="383" t="n"/>
      <c r="H411" s="383" t="n"/>
      <c r="I411" s="383" t="n"/>
      <c r="J411" s="383" t="n"/>
      <c r="K411" s="383" t="n"/>
      <c r="L411" s="383" t="n"/>
      <c r="M411" s="383" t="n"/>
      <c r="N411" s="383" t="n"/>
      <c r="O411" s="383" t="n"/>
      <c r="P411" s="383" t="n"/>
      <c r="Q411" s="383" t="n"/>
      <c r="R411" s="383" t="n"/>
      <c r="S411" s="383" t="n"/>
      <c r="T411" s="383" t="n"/>
      <c r="U411" s="383" t="n"/>
      <c r="V411" s="383" t="n"/>
      <c r="W411" s="383" t="n"/>
      <c r="X411" s="383" t="n"/>
      <c r="Y411" s="383" t="n"/>
      <c r="Z411" s="383" t="n"/>
      <c r="AA411" s="383" t="n"/>
    </row>
    <row r="412" ht="15" customHeight="1" s="1883">
      <c r="C412" s="383" t="n"/>
      <c r="D412" s="383" t="n"/>
      <c r="E412" s="383" t="n"/>
      <c r="F412" s="383" t="n"/>
      <c r="G412" s="383" t="n"/>
      <c r="H412" s="383" t="n"/>
      <c r="I412" s="383" t="n"/>
      <c r="J412" s="383" t="n"/>
      <c r="K412" s="383" t="n"/>
      <c r="L412" s="462" t="n"/>
      <c r="M412" s="462" t="n"/>
      <c r="N412" s="462" t="n"/>
      <c r="O412" s="462" t="n"/>
      <c r="P412" s="462" t="n"/>
      <c r="Q412" s="462" t="n"/>
      <c r="R412" s="462" t="n"/>
      <c r="S412" s="462" t="n"/>
      <c r="T412" s="462" t="n"/>
      <c r="U412" s="462" t="n"/>
      <c r="V412" s="462" t="n"/>
      <c r="W412" s="462" t="n"/>
      <c r="X412" s="462" t="n"/>
      <c r="Y412" s="462" t="n"/>
      <c r="Z412" s="462" t="n"/>
      <c r="AA412" s="462" t="n"/>
    </row>
    <row r="413" ht="15" customHeight="1" s="1883">
      <c r="C413" s="385" t="inlineStr">
        <is>
          <t>Research and Development</t>
        </is>
      </c>
      <c r="D413" s="383" t="n"/>
      <c r="E413" s="383" t="n"/>
      <c r="F413" s="383" t="n"/>
      <c r="G413" s="383" t="n"/>
      <c r="H413" s="383" t="n"/>
      <c r="I413" s="383" t="n"/>
      <c r="J413" s="592" t="inlineStr">
        <is>
          <t>7.5% of Realized Revenue from Market Research Svs.</t>
        </is>
      </c>
      <c r="K413" s="383" t="n"/>
      <c r="L413" s="396">
        <f>(('3B. Tel. - Rev. Detail x Month'!J424)*(0.075))</f>
        <v/>
      </c>
      <c r="M413" s="396">
        <f>(('3B. Tel. - Rev. Detail x Month'!K424)*(0.075))</f>
        <v/>
      </c>
      <c r="N413" s="396">
        <f>(('3B. Tel. - Rev. Detail x Month'!L424)*(0.075))</f>
        <v/>
      </c>
      <c r="O413" s="396">
        <f>(('3B. Tel. - Rev. Detail x Month'!M424)*(0.075))</f>
        <v/>
      </c>
      <c r="P413" s="396">
        <f>(('3B. Tel. - Rev. Detail x Month'!N424)*(0.075))</f>
        <v/>
      </c>
      <c r="Q413" s="396">
        <f>(('3B. Tel. - Rev. Detail x Month'!O424)*(0.075))</f>
        <v/>
      </c>
      <c r="R413" s="396">
        <f>(('3B. Tel. - Rev. Detail x Month'!P424)*(0.075))</f>
        <v/>
      </c>
      <c r="S413" s="396">
        <f>(('3B. Tel. - Rev. Detail x Month'!Q424)*(0.075))</f>
        <v/>
      </c>
      <c r="T413" s="396">
        <f>(('3B. Tel. - Rev. Detail x Month'!R424)*(0.075))</f>
        <v/>
      </c>
      <c r="U413" s="396">
        <f>(('3B. Tel. - Rev. Detail x Month'!S424)*(0.075))</f>
        <v/>
      </c>
      <c r="V413" s="396">
        <f>(('3B. Tel. - Rev. Detail x Month'!T424)*(0.075))</f>
        <v/>
      </c>
      <c r="W413" s="396">
        <f>(('3B. Tel. - Rev. Detail x Month'!U424)*(0.075))</f>
        <v/>
      </c>
      <c r="X413" s="462" t="n"/>
      <c r="Y413" s="396">
        <f>((L413)+(M413)+(N413)+(O413)+(P413)+(Q413)+(R413)+(S413)+(T413)+(U413)+(V413)+(W413))</f>
        <v/>
      </c>
      <c r="Z413" s="462" t="n"/>
      <c r="AA413" s="494">
        <f>((('3B. Tel. - Rev. Detail x Month'!W207)+('3B. Tel. - Rev. Detail x Month'!W424))*(0.11))</f>
        <v/>
      </c>
    </row>
    <row r="414" ht="15" customHeight="1" s="1883">
      <c r="C414" s="383" t="n"/>
      <c r="D414" s="383" t="n"/>
      <c r="E414" s="383" t="n"/>
      <c r="F414" s="383" t="n"/>
      <c r="G414" s="383" t="n"/>
      <c r="H414" s="383" t="n"/>
      <c r="I414" s="383" t="n"/>
      <c r="J414" s="383" t="n"/>
      <c r="K414" s="383" t="n"/>
      <c r="L414" s="462" t="n"/>
      <c r="M414" s="462" t="n"/>
      <c r="N414" s="462" t="n"/>
      <c r="O414" s="462" t="n"/>
      <c r="P414" s="462" t="n"/>
      <c r="Q414" s="462" t="n"/>
      <c r="R414" s="462" t="n"/>
      <c r="S414" s="462" t="n"/>
      <c r="T414" s="462" t="n"/>
      <c r="U414" s="462" t="n"/>
      <c r="V414" s="462" t="n"/>
      <c r="W414" s="462" t="n"/>
      <c r="X414" s="462" t="n"/>
      <c r="Y414" s="462" t="n"/>
      <c r="Z414" s="462" t="n"/>
      <c r="AA414" s="462" t="n"/>
    </row>
    <row r="415" ht="15" customHeight="1" s="1883">
      <c r="C415" s="385" t="inlineStr">
        <is>
          <t>Sales and Marketing</t>
        </is>
      </c>
      <c r="D415" s="383" t="n"/>
      <c r="E415" s="383" t="n"/>
      <c r="F415" s="383" t="n"/>
      <c r="G415" s="383" t="n"/>
      <c r="H415" s="383" t="n"/>
      <c r="I415" s="383" t="n"/>
      <c r="J415" s="383" t="n"/>
      <c r="K415" s="383" t="n"/>
      <c r="L415" s="462" t="n"/>
      <c r="M415" s="462" t="n"/>
      <c r="N415" s="462" t="n"/>
      <c r="O415" s="462" t="n"/>
      <c r="P415" s="462" t="n"/>
      <c r="Q415" s="462" t="n"/>
      <c r="R415" s="462" t="n"/>
      <c r="S415" s="462" t="n"/>
      <c r="T415" s="462" t="n"/>
      <c r="U415" s="462" t="n"/>
      <c r="V415" s="462" t="n"/>
      <c r="W415" s="462" t="n"/>
      <c r="X415" s="462" t="n"/>
      <c r="Y415" s="462" t="n"/>
      <c r="Z415" s="462" t="n"/>
      <c r="AA415" s="462" t="n"/>
    </row>
    <row r="416" ht="15" customHeight="1" s="1883">
      <c r="C416" s="590" t="inlineStr">
        <is>
          <t>●</t>
        </is>
      </c>
      <c r="D416" s="583" t="inlineStr">
        <is>
          <t>Sales and Marketing Headcount</t>
        </is>
      </c>
      <c r="E416" s="383" t="n"/>
      <c r="F416" s="383" t="n"/>
      <c r="G416" s="383" t="n"/>
      <c r="H416" s="383" t="n"/>
      <c r="I416" s="383" t="n"/>
      <c r="J416" s="383" t="n"/>
      <c r="K416" s="383" t="n"/>
      <c r="L416" s="584">
        <f>('5A. People Cost Roll-Up'!CQ21)</f>
        <v/>
      </c>
      <c r="M416" s="584">
        <f>('5A. People Cost Roll-Up'!CR21)</f>
        <v/>
      </c>
      <c r="N416" s="584">
        <f>('5A. People Cost Roll-Up'!CS21)</f>
        <v/>
      </c>
      <c r="O416" s="584">
        <f>('5A. People Cost Roll-Up'!CT21)</f>
        <v/>
      </c>
      <c r="P416" s="584">
        <f>('5A. People Cost Roll-Up'!CU21)</f>
        <v/>
      </c>
      <c r="Q416" s="584">
        <f>('5A. People Cost Roll-Up'!CV21)</f>
        <v/>
      </c>
      <c r="R416" s="584">
        <f>('5A. People Cost Roll-Up'!CW21)</f>
        <v/>
      </c>
      <c r="S416" s="584">
        <f>('5A. People Cost Roll-Up'!CX21)</f>
        <v/>
      </c>
      <c r="T416" s="584">
        <f>('5A. People Cost Roll-Up'!CY21)</f>
        <v/>
      </c>
      <c r="U416" s="584">
        <f>('5A. People Cost Roll-Up'!CZ21)</f>
        <v/>
      </c>
      <c r="V416" s="584">
        <f>('5A. People Cost Roll-Up'!DA21)</f>
        <v/>
      </c>
      <c r="W416" s="584">
        <f>('5A. People Cost Roll-Up'!DC21)</f>
        <v/>
      </c>
      <c r="X416" s="462" t="n"/>
      <c r="Y416" s="584">
        <f>AVERAGE(L416:W416)</f>
        <v/>
      </c>
      <c r="Z416" s="462" t="n"/>
      <c r="AA416" s="462" t="n"/>
    </row>
    <row r="417" ht="15" customHeight="1" s="1883">
      <c r="C417" s="390" t="inlineStr">
        <is>
          <t>●</t>
        </is>
      </c>
      <c r="D417" s="383" t="inlineStr">
        <is>
          <t>Advertising and Marketing</t>
        </is>
      </c>
      <c r="E417" s="383" t="n"/>
      <c r="F417" s="383" t="n"/>
      <c r="G417" s="383" t="n"/>
      <c r="H417" s="383" t="n"/>
      <c r="I417" s="383" t="n"/>
      <c r="J417" s="592" t="inlineStr">
        <is>
          <t>9.00% of Gross Revenue</t>
        </is>
      </c>
      <c r="K417" s="383" t="n"/>
      <c r="L417" s="396">
        <f>((('3B. Tel. - Rev. Detail x Month'!J207)+('3B. Tel. - Rev. Detail x Month'!J424))*(0.09))</f>
        <v/>
      </c>
      <c r="M417" s="396">
        <f>((('3B. Tel. - Rev. Detail x Month'!K207)+('3B. Tel. - Rev. Detail x Month'!K424))*(0.09))</f>
        <v/>
      </c>
      <c r="N417" s="396">
        <f>((('3B. Tel. - Rev. Detail x Month'!L207)+('3B. Tel. - Rev. Detail x Month'!L424))*(0.09))</f>
        <v/>
      </c>
      <c r="O417" s="396">
        <f>((('3B. Tel. - Rev. Detail x Month'!M207)+('3B. Tel. - Rev. Detail x Month'!M424))*(0.09))</f>
        <v/>
      </c>
      <c r="P417" s="396">
        <f>((('3B. Tel. - Rev. Detail x Month'!N207)+('3B. Tel. - Rev. Detail x Month'!N424))*(0.09))</f>
        <v/>
      </c>
      <c r="Q417" s="396">
        <f>((('3B. Tel. - Rev. Detail x Month'!O207)+('3B. Tel. - Rev. Detail x Month'!O424))*(0.09))</f>
        <v/>
      </c>
      <c r="R417" s="396">
        <f>((('3B. Tel. - Rev. Detail x Month'!P207)+('3B. Tel. - Rev. Detail x Month'!P424))*(0.09))</f>
        <v/>
      </c>
      <c r="S417" s="396">
        <f>((('3B. Tel. - Rev. Detail x Month'!Q207)+('3B. Tel. - Rev. Detail x Month'!Q424))*(0.09))</f>
        <v/>
      </c>
      <c r="T417" s="396">
        <f>((('3B. Tel. - Rev. Detail x Month'!R207)+('3B. Tel. - Rev. Detail x Month'!R424))*(0.09))</f>
        <v/>
      </c>
      <c r="U417" s="396">
        <f>((('3B. Tel. - Rev. Detail x Month'!S207)+('3B. Tel. - Rev. Detail x Month'!S424))*(0.09))</f>
        <v/>
      </c>
      <c r="V417" s="396">
        <f>((('3B. Tel. - Rev. Detail x Month'!T207)+('3B. Tel. - Rev. Detail x Month'!T424))*(0.09))</f>
        <v/>
      </c>
      <c r="W417" s="396">
        <f>((('3B. Tel. - Rev. Detail x Month'!U207)+('3B. Tel. - Rev. Detail x Month'!U424))*(0.09))</f>
        <v/>
      </c>
      <c r="X417" s="462" t="n"/>
      <c r="Y417" s="396">
        <f>((L417)+(M417)+(N417)+(O417)+(P417)+(Q417)+(R417)+(S417)+(T417)+(U417)+(V417)+(W417))</f>
        <v/>
      </c>
      <c r="Z417" s="462" t="n"/>
      <c r="AA417" s="462">
        <f>((('3B. Tel. - Rev. Detail x Month'!W207)+('3B. Tel. - Rev. Detail x Month'!W424))*(0.09))</f>
        <v/>
      </c>
    </row>
    <row r="418" ht="15" customHeight="1" s="1883">
      <c r="C418" s="390" t="inlineStr">
        <is>
          <t>●</t>
        </is>
      </c>
      <c r="D418" s="383" t="inlineStr">
        <is>
          <t>Travel</t>
        </is>
      </c>
      <c r="E418" s="383" t="n"/>
      <c r="F418" s="383" t="n"/>
      <c r="G418" s="383" t="n"/>
      <c r="H418" s="383" t="n"/>
      <c r="I418" s="383" t="n"/>
      <c r="J418" s="384" t="inlineStr">
        <is>
          <t>20% increase vs. Year 4</t>
        </is>
      </c>
      <c r="K418" s="383" t="n"/>
      <c r="L418" s="462">
        <f>'4B. Tel. Expense Assumptions'!BC48</f>
        <v/>
      </c>
      <c r="M418" s="462">
        <f>'4B. Tel. Expense Assumptions'!BD48</f>
        <v/>
      </c>
      <c r="N418" s="462">
        <f>'4B. Tel. Expense Assumptions'!BE48</f>
        <v/>
      </c>
      <c r="O418" s="462">
        <f>'4B. Tel. Expense Assumptions'!BF48</f>
        <v/>
      </c>
      <c r="P418" s="462">
        <f>'4B. Tel. Expense Assumptions'!BG48</f>
        <v/>
      </c>
      <c r="Q418" s="462">
        <f>'4B. Tel. Expense Assumptions'!BH48</f>
        <v/>
      </c>
      <c r="R418" s="462">
        <f>'4B. Tel. Expense Assumptions'!BI48</f>
        <v/>
      </c>
      <c r="S418" s="462">
        <f>'4B. Tel. Expense Assumptions'!BJ48</f>
        <v/>
      </c>
      <c r="T418" s="462">
        <f>'4B. Tel. Expense Assumptions'!BK48</f>
        <v/>
      </c>
      <c r="U418" s="462">
        <f>'4B. Tel. Expense Assumptions'!BL48</f>
        <v/>
      </c>
      <c r="V418" s="462">
        <f>'4B. Tel. Expense Assumptions'!BM48</f>
        <v/>
      </c>
      <c r="W418" s="462">
        <f>'4B. Tel. Expense Assumptions'!BN48</f>
        <v/>
      </c>
      <c r="X418" s="462" t="n"/>
      <c r="Y418" s="494">
        <f>((L418)+(M418)+(N418)+(O418)+(P418)+(Q418)+(R418)+(S418)+(T418)+(U418)+(V418)+(W418))</f>
        <v/>
      </c>
      <c r="Z418" s="462" t="n"/>
      <c r="AA418" s="462">
        <f>SUM('4B. Tel. Expense Assumptions'!BC48:BN48)</f>
        <v/>
      </c>
    </row>
    <row r="419" ht="15" customHeight="1" s="1883">
      <c r="C419" s="390" t="inlineStr">
        <is>
          <t>●</t>
        </is>
      </c>
      <c r="D419" s="383" t="inlineStr">
        <is>
          <t>Telephone</t>
        </is>
      </c>
      <c r="E419" s="383" t="n"/>
      <c r="F419" s="383" t="n"/>
      <c r="G419" s="383" t="n"/>
      <c r="H419" s="383" t="n"/>
      <c r="I419" s="383" t="n"/>
      <c r="J419" s="384" t="inlineStr">
        <is>
          <t>$150/employee/month</t>
        </is>
      </c>
      <c r="K419" s="383" t="n"/>
      <c r="L419" s="462">
        <f>'4B. Tel. Expense Assumptions'!BC29</f>
        <v/>
      </c>
      <c r="M419" s="462">
        <f>'4B. Tel. Expense Assumptions'!BD29</f>
        <v/>
      </c>
      <c r="N419" s="462">
        <f>'4B. Tel. Expense Assumptions'!BE29</f>
        <v/>
      </c>
      <c r="O419" s="462">
        <f>'4B. Tel. Expense Assumptions'!BF29</f>
        <v/>
      </c>
      <c r="P419" s="462">
        <f>'4B. Tel. Expense Assumptions'!BG29</f>
        <v/>
      </c>
      <c r="Q419" s="462">
        <f>'4B. Tel. Expense Assumptions'!BH29</f>
        <v/>
      </c>
      <c r="R419" s="462">
        <f>'4B. Tel. Expense Assumptions'!BI29</f>
        <v/>
      </c>
      <c r="S419" s="462">
        <f>'4B. Tel. Expense Assumptions'!BJ29</f>
        <v/>
      </c>
      <c r="T419" s="462">
        <f>'4B. Tel. Expense Assumptions'!BK29</f>
        <v/>
      </c>
      <c r="U419" s="462">
        <f>'4B. Tel. Expense Assumptions'!BL29</f>
        <v/>
      </c>
      <c r="V419" s="462">
        <f>'4B. Tel. Expense Assumptions'!BM29</f>
        <v/>
      </c>
      <c r="W419" s="462">
        <f>'4B. Tel. Expense Assumptions'!BN29</f>
        <v/>
      </c>
      <c r="X419" s="462" t="n"/>
      <c r="Y419" s="494">
        <f>((L419)+(M419)+(N419)+(O419)+(P419)+(Q419)+(R419)+(S419)+(T419)+(U419)+(V419)+(W419))</f>
        <v/>
      </c>
      <c r="Z419" s="462" t="n"/>
      <c r="AA419" s="462">
        <f>SUM('4B. Tel. Expense Assumptions'!BC29:BN29)</f>
        <v/>
      </c>
    </row>
    <row r="420" ht="3" customHeight="1" s="1883">
      <c r="C420" s="390" t="n"/>
      <c r="D420" s="383" t="n"/>
      <c r="E420" s="383" t="n"/>
      <c r="F420" s="383" t="n"/>
      <c r="G420" s="383" t="n"/>
      <c r="H420" s="383" t="n"/>
      <c r="I420" s="383" t="n"/>
      <c r="J420" s="383" t="n"/>
      <c r="K420" s="383" t="n"/>
      <c r="L420" s="508" t="n"/>
      <c r="M420" s="508" t="n"/>
      <c r="N420" s="508" t="n"/>
      <c r="O420" s="508" t="n"/>
      <c r="P420" s="508" t="n"/>
      <c r="Q420" s="508" t="n"/>
      <c r="R420" s="508" t="n"/>
      <c r="S420" s="508" t="n"/>
      <c r="T420" s="508" t="n"/>
      <c r="U420" s="508" t="n"/>
      <c r="V420" s="508" t="n"/>
      <c r="W420" s="508" t="n"/>
      <c r="X420" s="462" t="n"/>
      <c r="Y420" s="508" t="n"/>
      <c r="Z420" s="462" t="n"/>
      <c r="AA420" s="462" t="n"/>
    </row>
    <row r="421" ht="3" customHeight="1" s="1883">
      <c r="C421" s="390" t="n"/>
      <c r="D421" s="383" t="n"/>
      <c r="E421" s="383" t="n"/>
      <c r="F421" s="383" t="n"/>
      <c r="G421" s="383" t="n"/>
      <c r="H421" s="383" t="n"/>
      <c r="I421" s="383" t="n"/>
      <c r="J421" s="383" t="n"/>
      <c r="K421" s="383" t="n"/>
      <c r="L421" s="462" t="n"/>
      <c r="M421" s="462" t="n"/>
      <c r="N421" s="462" t="n"/>
      <c r="O421" s="462" t="n"/>
      <c r="P421" s="462" t="n"/>
      <c r="Q421" s="462" t="n"/>
      <c r="R421" s="462" t="n"/>
      <c r="S421" s="462" t="n"/>
      <c r="T421" s="462" t="n"/>
      <c r="U421" s="462" t="n"/>
      <c r="V421" s="462" t="n"/>
      <c r="W421" s="462" t="n"/>
      <c r="X421" s="462" t="n"/>
      <c r="Y421" s="462" t="n"/>
      <c r="Z421" s="462" t="n"/>
      <c r="AA421" s="462" t="n"/>
    </row>
    <row r="422" ht="15" customHeight="1" s="1883">
      <c r="C422" s="390" t="n"/>
      <c r="D422" s="383" t="n"/>
      <c r="E422" s="385" t="inlineStr">
        <is>
          <t>Total, Sales and Marketing</t>
        </is>
      </c>
      <c r="F422" s="383" t="n"/>
      <c r="G422" s="383" t="n"/>
      <c r="H422" s="383" t="n"/>
      <c r="I422" s="383" t="n"/>
      <c r="J422" s="383" t="n"/>
      <c r="K422" s="383" t="n"/>
      <c r="L422" s="396">
        <f>SUM(L417:L419)</f>
        <v/>
      </c>
      <c r="M422" s="396">
        <f>SUM(M417:M419)</f>
        <v/>
      </c>
      <c r="N422" s="396">
        <f>SUM(N417:N419)</f>
        <v/>
      </c>
      <c r="O422" s="396">
        <f>SUM(O417:O419)</f>
        <v/>
      </c>
      <c r="P422" s="396">
        <f>SUM(P417:P419)</f>
        <v/>
      </c>
      <c r="Q422" s="396">
        <f>SUM(Q417:Q419)</f>
        <v/>
      </c>
      <c r="R422" s="396">
        <f>SUM(R417:R419)</f>
        <v/>
      </c>
      <c r="S422" s="396">
        <f>SUM(S417:S419)</f>
        <v/>
      </c>
      <c r="T422" s="396">
        <f>SUM(T417:T419)</f>
        <v/>
      </c>
      <c r="U422" s="396">
        <f>SUM(U417:U419)</f>
        <v/>
      </c>
      <c r="V422" s="396">
        <f>SUM(V417:V419)</f>
        <v/>
      </c>
      <c r="W422" s="396">
        <f>SUM(W417:W419)</f>
        <v/>
      </c>
      <c r="X422" s="462" t="n"/>
      <c r="Y422" s="396">
        <f>SUM(Y417:Y419)</f>
        <v/>
      </c>
      <c r="Z422" s="462" t="n"/>
      <c r="AA422" s="462" t="n"/>
    </row>
    <row r="423" ht="3" customHeight="1" s="1883">
      <c r="C423" s="390" t="n"/>
      <c r="D423" s="383" t="n"/>
      <c r="E423" s="383" t="n"/>
      <c r="F423" s="383" t="n"/>
      <c r="G423" s="383" t="n"/>
      <c r="H423" s="383" t="n"/>
      <c r="I423" s="383" t="n"/>
      <c r="J423" s="383" t="n"/>
      <c r="K423" s="383" t="n"/>
      <c r="L423" s="508" t="n"/>
      <c r="M423" s="508" t="n"/>
      <c r="N423" s="508" t="n"/>
      <c r="O423" s="508" t="n"/>
      <c r="P423" s="508" t="n"/>
      <c r="Q423" s="508" t="n"/>
      <c r="R423" s="508" t="n"/>
      <c r="S423" s="508" t="n"/>
      <c r="T423" s="508" t="n"/>
      <c r="U423" s="508" t="n"/>
      <c r="V423" s="508" t="n"/>
      <c r="W423" s="508" t="n"/>
      <c r="X423" s="462" t="n"/>
      <c r="Y423" s="508" t="n"/>
      <c r="Z423" s="462" t="n"/>
      <c r="AA423" s="462" t="n"/>
    </row>
    <row r="424" ht="3" customHeight="1" s="1883">
      <c r="C424" s="390" t="n"/>
      <c r="D424" s="383" t="n"/>
      <c r="E424" s="383" t="n"/>
      <c r="F424" s="383" t="n"/>
      <c r="G424" s="383" t="n"/>
      <c r="H424" s="383" t="n"/>
      <c r="I424" s="383" t="n"/>
      <c r="J424" s="383" t="n"/>
      <c r="K424" s="383" t="n"/>
      <c r="L424" s="462" t="n"/>
      <c r="M424" s="462" t="n"/>
      <c r="N424" s="462" t="n"/>
      <c r="O424" s="462" t="n"/>
      <c r="P424" s="462" t="n"/>
      <c r="Q424" s="462" t="n"/>
      <c r="R424" s="462" t="n"/>
      <c r="S424" s="462" t="n"/>
      <c r="T424" s="462" t="n"/>
      <c r="U424" s="462" t="n"/>
      <c r="V424" s="462" t="n"/>
      <c r="W424" s="462" t="n"/>
      <c r="X424" s="462" t="n"/>
      <c r="Y424" s="462" t="n"/>
      <c r="Z424" s="462" t="n"/>
      <c r="AA424" s="462" t="n"/>
    </row>
    <row r="425" ht="15" customHeight="1" s="1883">
      <c r="D425" s="383" t="n"/>
      <c r="E425" s="383" t="n"/>
      <c r="F425" s="383" t="n"/>
      <c r="G425" s="383" t="n"/>
      <c r="H425" s="383" t="n"/>
      <c r="I425" s="383" t="n"/>
      <c r="J425" s="383" t="n"/>
      <c r="K425" s="383" t="n"/>
      <c r="L425" s="462" t="n"/>
      <c r="M425" s="462" t="n"/>
      <c r="N425" s="462" t="n"/>
      <c r="O425" s="462" t="n"/>
      <c r="P425" s="462" t="n"/>
      <c r="Q425" s="462" t="n"/>
      <c r="R425" s="462" t="n"/>
      <c r="S425" s="462" t="n"/>
      <c r="T425" s="462" t="n"/>
      <c r="U425" s="462" t="n"/>
      <c r="V425" s="462" t="n"/>
      <c r="W425" s="462" t="n"/>
      <c r="X425" s="462" t="n"/>
      <c r="Y425" s="462" t="n"/>
      <c r="Z425" s="462" t="n"/>
      <c r="AA425" s="462" t="n"/>
    </row>
    <row r="426" ht="15" customHeight="1" s="1883">
      <c r="C426" s="385" t="inlineStr">
        <is>
          <t>Occupancy</t>
        </is>
      </c>
      <c r="D426" s="383" t="n"/>
      <c r="E426" s="383" t="n"/>
      <c r="F426" s="383" t="n"/>
      <c r="G426" s="383" t="n"/>
      <c r="H426" s="383" t="n"/>
      <c r="I426" s="383" t="n"/>
      <c r="J426" s="383" t="n"/>
      <c r="K426" s="383" t="n"/>
      <c r="L426" s="462" t="n"/>
      <c r="M426" s="462" t="n"/>
      <c r="N426" s="462" t="n"/>
      <c r="O426" s="462" t="n"/>
      <c r="P426" s="462" t="n"/>
      <c r="Q426" s="462" t="n"/>
      <c r="R426" s="462" t="n"/>
      <c r="S426" s="462" t="n"/>
      <c r="T426" s="462" t="n"/>
      <c r="U426" s="462" t="n"/>
      <c r="V426" s="462" t="n"/>
      <c r="W426" s="462" t="n"/>
      <c r="X426" s="462" t="n"/>
      <c r="Y426" s="462" t="n"/>
      <c r="Z426" s="462" t="n"/>
      <c r="AA426" s="462" t="n"/>
    </row>
    <row r="427" ht="15" customHeight="1" s="1883">
      <c r="C427" s="390" t="inlineStr">
        <is>
          <t>●</t>
        </is>
      </c>
      <c r="D427" s="383" t="inlineStr">
        <is>
          <t>Rent</t>
        </is>
      </c>
      <c r="E427" s="383" t="n"/>
      <c r="F427" s="383" t="n"/>
      <c r="G427" s="383" t="n"/>
      <c r="H427" s="383" t="n"/>
      <c r="I427" s="383" t="n"/>
      <c r="J427" s="383" t="n"/>
      <c r="K427" s="383" t="n"/>
      <c r="L427" s="395">
        <f>'4B. Tel. Expense Assumptions'!BC12</f>
        <v/>
      </c>
      <c r="M427" s="395">
        <f>'4B. Tel. Expense Assumptions'!BD12</f>
        <v/>
      </c>
      <c r="N427" s="395">
        <f>'4B. Tel. Expense Assumptions'!BE12</f>
        <v/>
      </c>
      <c r="O427" s="395">
        <f>'4B. Tel. Expense Assumptions'!BF12</f>
        <v/>
      </c>
      <c r="P427" s="395">
        <f>'4B. Tel. Expense Assumptions'!BG12</f>
        <v/>
      </c>
      <c r="Q427" s="395">
        <f>'4B. Tel. Expense Assumptions'!BH12</f>
        <v/>
      </c>
      <c r="R427" s="395">
        <f>'4B. Tel. Expense Assumptions'!BI12</f>
        <v/>
      </c>
      <c r="S427" s="395">
        <f>'4B. Tel. Expense Assumptions'!BJ12</f>
        <v/>
      </c>
      <c r="T427" s="395">
        <f>'4B. Tel. Expense Assumptions'!BK12</f>
        <v/>
      </c>
      <c r="U427" s="395">
        <f>'4B. Tel. Expense Assumptions'!BL12</f>
        <v/>
      </c>
      <c r="V427" s="395">
        <f>'4B. Tel. Expense Assumptions'!BM12</f>
        <v/>
      </c>
      <c r="W427" s="395">
        <f>'4B. Tel. Expense Assumptions'!BN12</f>
        <v/>
      </c>
      <c r="X427" s="462" t="n"/>
      <c r="Y427" s="396">
        <f>((L427)+(M427)+(N427)+(O427)+(P427)+(Q427)+(R427)+(S427)+(T427)+(U427)+(V427)+(W427))</f>
        <v/>
      </c>
      <c r="Z427" s="462" t="n"/>
      <c r="AA427" s="462">
        <f>SUM('4B. Tel. Expense Assumptions'!BC12:BM12)</f>
        <v/>
      </c>
    </row>
    <row r="428" ht="15" customHeight="1" s="1883">
      <c r="C428" s="390" t="inlineStr">
        <is>
          <t>●</t>
        </is>
      </c>
      <c r="D428" s="383" t="inlineStr">
        <is>
          <t>Utilities</t>
        </is>
      </c>
      <c r="E428" s="383" t="n"/>
      <c r="F428" s="383" t="n"/>
      <c r="G428" s="383" t="n"/>
      <c r="H428" s="383" t="n"/>
      <c r="I428" s="383" t="n"/>
      <c r="J428" s="383" t="n"/>
      <c r="K428" s="383" t="n"/>
      <c r="L428" s="462">
        <f>'4B. Tel. Expense Assumptions'!BC17</f>
        <v/>
      </c>
      <c r="M428" s="462">
        <f>'4B. Tel. Expense Assumptions'!BD17</f>
        <v/>
      </c>
      <c r="N428" s="462">
        <f>'4B. Tel. Expense Assumptions'!BE17</f>
        <v/>
      </c>
      <c r="O428" s="462">
        <f>'4B. Tel. Expense Assumptions'!BF17</f>
        <v/>
      </c>
      <c r="P428" s="462">
        <f>'4B. Tel. Expense Assumptions'!BG17</f>
        <v/>
      </c>
      <c r="Q428" s="462">
        <f>'4B. Tel. Expense Assumptions'!BH17</f>
        <v/>
      </c>
      <c r="R428" s="462">
        <f>'4B. Tel. Expense Assumptions'!BI17</f>
        <v/>
      </c>
      <c r="S428" s="462">
        <f>'4B. Tel. Expense Assumptions'!BJ17</f>
        <v/>
      </c>
      <c r="T428" s="462">
        <f>'4B. Tel. Expense Assumptions'!BK17</f>
        <v/>
      </c>
      <c r="U428" s="462">
        <f>'4B. Tel. Expense Assumptions'!BL17</f>
        <v/>
      </c>
      <c r="V428" s="462">
        <f>'4B. Tel. Expense Assumptions'!BM17</f>
        <v/>
      </c>
      <c r="W428" s="462">
        <f>'4B. Tel. Expense Assumptions'!BN17</f>
        <v/>
      </c>
      <c r="X428" s="462" t="n"/>
      <c r="Y428" s="494">
        <f>((L428)+(M428)+(N428)+(O428)+(P428)+(Q428)+(R428)+(S428)+(T428)+(U428)+(V428)+(W428))</f>
        <v/>
      </c>
      <c r="Z428" s="462" t="n"/>
      <c r="AA428" s="462">
        <f>SUM('4B. Tel. Expense Assumptions'!BC17:BN17)</f>
        <v/>
      </c>
    </row>
    <row r="429" ht="3" customHeight="1" s="1883">
      <c r="C429" s="390" t="n"/>
      <c r="D429" s="383" t="n"/>
      <c r="E429" s="383" t="n"/>
      <c r="F429" s="383" t="n"/>
      <c r="G429" s="383" t="n"/>
      <c r="H429" s="383" t="n"/>
      <c r="I429" s="383" t="n"/>
      <c r="J429" s="383" t="n"/>
      <c r="K429" s="383" t="n"/>
      <c r="L429" s="508" t="n"/>
      <c r="M429" s="508" t="n"/>
      <c r="N429" s="508" t="n"/>
      <c r="O429" s="508" t="n"/>
      <c r="P429" s="508" t="n"/>
      <c r="Q429" s="508" t="n"/>
      <c r="R429" s="508" t="n"/>
      <c r="S429" s="508" t="n"/>
      <c r="T429" s="508" t="n"/>
      <c r="U429" s="508" t="n"/>
      <c r="V429" s="508" t="n"/>
      <c r="W429" s="508" t="n"/>
      <c r="X429" s="462" t="n"/>
      <c r="Y429" s="508" t="n"/>
      <c r="Z429" s="462" t="n"/>
      <c r="AA429" s="462" t="n"/>
    </row>
    <row r="430" ht="3" customHeight="1" s="1883">
      <c r="C430" s="390" t="n"/>
      <c r="D430" s="383" t="n"/>
      <c r="E430" s="383" t="n"/>
      <c r="F430" s="383" t="n"/>
      <c r="G430" s="383" t="n"/>
      <c r="H430" s="383" t="n"/>
      <c r="I430" s="383" t="n"/>
      <c r="J430" s="383" t="n"/>
      <c r="K430" s="383" t="n"/>
      <c r="L430" s="462" t="n"/>
      <c r="M430" s="462" t="n"/>
      <c r="N430" s="462" t="n"/>
      <c r="O430" s="462" t="n"/>
      <c r="P430" s="462" t="n"/>
      <c r="Q430" s="462" t="n"/>
      <c r="R430" s="462" t="n"/>
      <c r="S430" s="462" t="n"/>
      <c r="T430" s="462" t="n"/>
      <c r="U430" s="462" t="n"/>
      <c r="V430" s="462" t="n"/>
      <c r="W430" s="462" t="n"/>
      <c r="X430" s="462" t="n"/>
      <c r="Y430" s="462" t="n"/>
      <c r="Z430" s="462" t="n"/>
      <c r="AA430" s="462" t="n"/>
    </row>
    <row r="431" ht="15" customHeight="1" s="1883">
      <c r="C431" s="390" t="n"/>
      <c r="D431" s="383" t="n"/>
      <c r="E431" s="385" t="inlineStr">
        <is>
          <t>Total, Occupancy</t>
        </is>
      </c>
      <c r="F431" s="383" t="n"/>
      <c r="G431" s="383" t="n"/>
      <c r="H431" s="383" t="n"/>
      <c r="I431" s="383" t="n"/>
      <c r="J431" s="383" t="n"/>
      <c r="K431" s="383" t="n"/>
      <c r="L431" s="396">
        <f>SUM(L427:L428)</f>
        <v/>
      </c>
      <c r="M431" s="396">
        <f>SUM(M427:M428)</f>
        <v/>
      </c>
      <c r="N431" s="396">
        <f>SUM(N427:N428)</f>
        <v/>
      </c>
      <c r="O431" s="396">
        <f>SUM(O427:O428)</f>
        <v/>
      </c>
      <c r="P431" s="396">
        <f>SUM(P427:P428)</f>
        <v/>
      </c>
      <c r="Q431" s="396">
        <f>SUM(Q427:Q428)</f>
        <v/>
      </c>
      <c r="R431" s="396">
        <f>SUM(R427:R428)</f>
        <v/>
      </c>
      <c r="S431" s="396">
        <f>SUM(S427:S428)</f>
        <v/>
      </c>
      <c r="T431" s="396">
        <f>SUM(T427:T428)</f>
        <v/>
      </c>
      <c r="U431" s="396">
        <f>SUM(U427:U428)</f>
        <v/>
      </c>
      <c r="V431" s="396">
        <f>SUM(V427:V428)</f>
        <v/>
      </c>
      <c r="W431" s="396">
        <f>SUM(W427:W428)</f>
        <v/>
      </c>
      <c r="X431" s="462" t="n"/>
      <c r="Y431" s="396">
        <f>SUM(Y427:Y428)</f>
        <v/>
      </c>
      <c r="Z431" s="462" t="n"/>
      <c r="AA431" s="462" t="n"/>
    </row>
    <row r="435" ht="15" customHeight="1" s="1883">
      <c r="C435" s="385" t="inlineStr">
        <is>
          <t>General and Administrative</t>
        </is>
      </c>
      <c r="D435" s="383" t="n"/>
      <c r="E435" s="383" t="n"/>
      <c r="F435" s="383" t="n"/>
      <c r="G435" s="383" t="n"/>
      <c r="H435" s="383" t="n"/>
      <c r="I435" s="383" t="n"/>
      <c r="J435" s="383" t="n"/>
      <c r="K435" s="383" t="n"/>
      <c r="L435" s="462" t="n"/>
      <c r="M435" s="462" t="n"/>
      <c r="N435" s="462" t="n"/>
      <c r="O435" s="462" t="n"/>
      <c r="P435" s="462" t="n"/>
      <c r="Q435" s="462" t="n"/>
      <c r="R435" s="462" t="n"/>
      <c r="S435" s="462" t="n"/>
      <c r="T435" s="462" t="n"/>
      <c r="U435" s="462" t="n"/>
      <c r="V435" s="462" t="n"/>
      <c r="W435" s="462" t="n"/>
      <c r="X435" s="462" t="n"/>
      <c r="Y435" s="462" t="n"/>
      <c r="Z435" s="462" t="n"/>
      <c r="AA435" s="462" t="n"/>
    </row>
    <row r="436" ht="15" customHeight="1" s="1883">
      <c r="C436" s="390" t="inlineStr">
        <is>
          <t>●</t>
        </is>
      </c>
      <c r="D436" s="383" t="inlineStr">
        <is>
          <t>Insurance - Product Liability</t>
        </is>
      </c>
      <c r="E436" s="383" t="n"/>
      <c r="F436" s="383" t="n"/>
      <c r="G436" s="383" t="n"/>
      <c r="H436" s="383" t="n"/>
      <c r="I436" s="383" t="n"/>
      <c r="J436" s="384" t="inlineStr">
        <is>
          <t>0.30% of ∑ Gross Revenue</t>
        </is>
      </c>
      <c r="K436" s="383" t="n"/>
      <c r="L436" s="395">
        <f>((('3B. Tel. - Rev. Detail x Month'!J207)+('3B. Tel. - Rev. Detail x Month'!J424))*(0.003))</f>
        <v/>
      </c>
      <c r="M436" s="395">
        <f>((('3B. Tel. - Rev. Detail x Month'!K207)+('3B. Tel. - Rev. Detail x Month'!K424))*(0.003))</f>
        <v/>
      </c>
      <c r="N436" s="395">
        <f>((('3B. Tel. - Rev. Detail x Month'!L207)+('3B. Tel. - Rev. Detail x Month'!L424))*(0.003))</f>
        <v/>
      </c>
      <c r="O436" s="395">
        <f>((('3B. Tel. - Rev. Detail x Month'!M207)+('3B. Tel. - Rev. Detail x Month'!M424))*(0.003))</f>
        <v/>
      </c>
      <c r="P436" s="395">
        <f>((('3B. Tel. - Rev. Detail x Month'!N207)+('3B. Tel. - Rev. Detail x Month'!N424))*(0.003))</f>
        <v/>
      </c>
      <c r="Q436" s="395">
        <f>((('3B. Tel. - Rev. Detail x Month'!O207)+('3B. Tel. - Rev. Detail x Month'!O424))*(0.003))</f>
        <v/>
      </c>
      <c r="R436" s="395">
        <f>((('3B. Tel. - Rev. Detail x Month'!P207)+('3B. Tel. - Rev. Detail x Month'!P424))*(0.003))</f>
        <v/>
      </c>
      <c r="S436" s="395">
        <f>((('3B. Tel. - Rev. Detail x Month'!Q207)+('3B. Tel. - Rev. Detail x Month'!Q424))*(0.003))</f>
        <v/>
      </c>
      <c r="T436" s="395">
        <f>((('3B. Tel. - Rev. Detail x Month'!R207)+('3B. Tel. - Rev. Detail x Month'!R424))*(0.003))</f>
        <v/>
      </c>
      <c r="U436" s="395">
        <f>((('3B. Tel. - Rev. Detail x Month'!S207)+('3B. Tel. - Rev. Detail x Month'!S424))*(0.003))</f>
        <v/>
      </c>
      <c r="V436" s="395">
        <f>((('3B. Tel. - Rev. Detail x Month'!T207)+('3B. Tel. - Rev. Detail x Month'!T424))*(0.003))</f>
        <v/>
      </c>
      <c r="W436" s="395">
        <f>((('3B. Tel. - Rev. Detail x Month'!U207)+('3B. Tel. - Rev. Detail x Month'!U424))*(0.003))</f>
        <v/>
      </c>
      <c r="X436" s="462" t="n"/>
      <c r="Y436" s="396">
        <f>((L436)+(M436)+(N436)+(O436)+(P436)+(Q436)+(R436)+(S436)+(T436)+(U436)+(V436)+(W436))</f>
        <v/>
      </c>
      <c r="Z436" s="462" t="n"/>
      <c r="AA436" s="462">
        <f>((('3B. Tel. - Rev. Detail x Month'!W207)+('3B. Tel. - Rev. Detail x Month'!W424))*(0.005))</f>
        <v/>
      </c>
    </row>
    <row r="437" ht="15" customHeight="1" s="1883">
      <c r="C437" s="390" t="inlineStr">
        <is>
          <t>●</t>
        </is>
      </c>
      <c r="D437" s="383" t="inlineStr">
        <is>
          <t>Insurance - General Liability</t>
        </is>
      </c>
      <c r="E437" s="383" t="n"/>
      <c r="F437" s="383" t="n"/>
      <c r="G437" s="383" t="n"/>
      <c r="H437" s="383" t="n"/>
      <c r="I437" s="383" t="n"/>
      <c r="J437" s="383" t="n"/>
      <c r="K437" s="383" t="n"/>
      <c r="L437" s="462">
        <f>'4B. Tel. Expense Assumptions'!BC35</f>
        <v/>
      </c>
      <c r="M437" s="462">
        <f>'4B. Tel. Expense Assumptions'!BD35</f>
        <v/>
      </c>
      <c r="N437" s="462">
        <f>'4B. Tel. Expense Assumptions'!BE35</f>
        <v/>
      </c>
      <c r="O437" s="462">
        <f>'4B. Tel. Expense Assumptions'!BF35</f>
        <v/>
      </c>
      <c r="P437" s="462">
        <f>'4B. Tel. Expense Assumptions'!BG35</f>
        <v/>
      </c>
      <c r="Q437" s="462">
        <f>'4B. Tel. Expense Assumptions'!BH35</f>
        <v/>
      </c>
      <c r="R437" s="462">
        <f>'4B. Tel. Expense Assumptions'!BI35</f>
        <v/>
      </c>
      <c r="S437" s="462">
        <f>'4B. Tel. Expense Assumptions'!BJ35</f>
        <v/>
      </c>
      <c r="T437" s="462">
        <f>'4B. Tel. Expense Assumptions'!BK35</f>
        <v/>
      </c>
      <c r="U437" s="462">
        <f>'4B. Tel. Expense Assumptions'!BL35</f>
        <v/>
      </c>
      <c r="V437" s="462">
        <f>'4B. Tel. Expense Assumptions'!BM35</f>
        <v/>
      </c>
      <c r="W437" s="462">
        <f>'4B. Tel. Expense Assumptions'!BN35</f>
        <v/>
      </c>
      <c r="X437" s="462" t="n"/>
      <c r="Y437" s="494">
        <f>((L437)+(M437)+(N437)+(O437)+(P437)+(Q437)+(R437)+(S437)+(T437)+(U437)+(V437)+(W437))</f>
        <v/>
      </c>
      <c r="Z437" s="462" t="n"/>
      <c r="AA437" s="462">
        <f>SUM('4B. Tel. Expense Assumptions'!BC35:BN35)</f>
        <v/>
      </c>
    </row>
    <row r="438" ht="15" customHeight="1" s="1883">
      <c r="C438" s="390" t="inlineStr">
        <is>
          <t>●</t>
        </is>
      </c>
      <c r="D438" s="383" t="inlineStr">
        <is>
          <t xml:space="preserve">Professional Fees </t>
        </is>
      </c>
      <c r="E438" s="383" t="n"/>
      <c r="F438" s="383" t="n"/>
      <c r="G438" s="383" t="n"/>
      <c r="H438" s="383" t="n"/>
      <c r="I438" s="383" t="n"/>
      <c r="J438" s="383" t="n"/>
      <c r="K438" s="383" t="n"/>
      <c r="L438" s="462" t="n"/>
      <c r="M438" s="462" t="n"/>
      <c r="N438" s="462" t="n"/>
      <c r="O438" s="462" t="n"/>
      <c r="P438" s="462" t="n"/>
      <c r="Q438" s="462" t="n"/>
      <c r="R438" s="462" t="n"/>
      <c r="S438" s="462" t="n"/>
      <c r="T438" s="462" t="n"/>
      <c r="U438" s="462" t="n"/>
      <c r="V438" s="462" t="n"/>
      <c r="W438" s="462" t="n"/>
      <c r="X438" s="462" t="n"/>
      <c r="Y438" s="462" t="n"/>
      <c r="Z438" s="462" t="n"/>
      <c r="AA438" s="462" t="n"/>
    </row>
    <row r="439" ht="15" customHeight="1" s="1883">
      <c r="C439" s="383" t="n"/>
      <c r="D439" s="390" t="inlineStr">
        <is>
          <t>●</t>
        </is>
      </c>
      <c r="E439" s="383" t="inlineStr">
        <is>
          <t>Legal</t>
        </is>
      </c>
      <c r="F439" s="383" t="n"/>
      <c r="G439" s="383" t="n"/>
      <c r="H439" s="383" t="n"/>
      <c r="I439" s="383" t="n"/>
      <c r="J439" s="384" t="inlineStr">
        <is>
          <t>25% increase vs. Year 3</t>
        </is>
      </c>
      <c r="K439" s="383" t="n"/>
      <c r="L439" s="462">
        <f>'4B. Tel. Expense Assumptions'!BC41</f>
        <v/>
      </c>
      <c r="M439" s="462">
        <f>'4B. Tel. Expense Assumptions'!BD41</f>
        <v/>
      </c>
      <c r="N439" s="462">
        <f>'4B. Tel. Expense Assumptions'!BE41</f>
        <v/>
      </c>
      <c r="O439" s="462">
        <f>'4B. Tel. Expense Assumptions'!BF41</f>
        <v/>
      </c>
      <c r="P439" s="462">
        <f>'4B. Tel. Expense Assumptions'!BG41</f>
        <v/>
      </c>
      <c r="Q439" s="462">
        <f>'4B. Tel. Expense Assumptions'!BH41</f>
        <v/>
      </c>
      <c r="R439" s="462">
        <f>'4B. Tel. Expense Assumptions'!BI41</f>
        <v/>
      </c>
      <c r="S439" s="462">
        <f>'4B. Tel. Expense Assumptions'!BJ41</f>
        <v/>
      </c>
      <c r="T439" s="462">
        <f>'4B. Tel. Expense Assumptions'!BK41</f>
        <v/>
      </c>
      <c r="U439" s="462">
        <f>'4B. Tel. Expense Assumptions'!BL41</f>
        <v/>
      </c>
      <c r="V439" s="462">
        <f>'4B. Tel. Expense Assumptions'!BM41</f>
        <v/>
      </c>
      <c r="W439" s="462">
        <f>'4B. Tel. Expense Assumptions'!BN41</f>
        <v/>
      </c>
      <c r="X439" s="462" t="n"/>
      <c r="Y439" s="494">
        <f>((L439)+(M439)+(N439)+(O439)+(P439)+(Q439)+(R439)+(S439)+(T439)+(U439)+(V439)+(W439))</f>
        <v/>
      </c>
      <c r="Z439" s="462" t="n"/>
      <c r="AA439" s="462">
        <f>SUM('4B. Tel. Expense Assumptions'!BC41:BN41)</f>
        <v/>
      </c>
    </row>
    <row r="440" ht="15" customHeight="1" s="1883">
      <c r="C440" s="383" t="n"/>
      <c r="D440" s="390" t="inlineStr">
        <is>
          <t>●</t>
        </is>
      </c>
      <c r="E440" s="383" t="inlineStr">
        <is>
          <t>Accounting and Tax</t>
        </is>
      </c>
      <c r="F440" s="383" t="n"/>
      <c r="G440" s="383" t="n"/>
      <c r="H440" s="383" t="n"/>
      <c r="I440" s="383" t="n"/>
      <c r="J440" s="384" t="inlineStr">
        <is>
          <t>50% increase vs. Year 4</t>
        </is>
      </c>
      <c r="K440" s="383" t="n"/>
      <c r="L440" s="462" t="n">
        <v>75000</v>
      </c>
      <c r="M440" s="462" t="n">
        <v>75000</v>
      </c>
      <c r="N440" s="462" t="n">
        <v>75000</v>
      </c>
      <c r="O440" s="462" t="n">
        <v>75000</v>
      </c>
      <c r="P440" s="462" t="n">
        <v>75000</v>
      </c>
      <c r="Q440" s="462" t="n">
        <v>75000</v>
      </c>
      <c r="R440" s="462" t="n">
        <v>75000</v>
      </c>
      <c r="S440" s="462" t="n">
        <v>75000</v>
      </c>
      <c r="T440" s="462" t="n">
        <v>75000</v>
      </c>
      <c r="U440" s="462" t="n">
        <v>75000</v>
      </c>
      <c r="V440" s="462" t="n">
        <v>75000</v>
      </c>
      <c r="W440" s="462" t="n">
        <v>75000</v>
      </c>
      <c r="X440" s="462" t="n"/>
      <c r="Y440" s="494">
        <f>((L440)+(M440)+(N440)+(O440)+(P440)+(Q440)+(R440)+(S440)+(T440)+(U440)+(V440)+(W440))</f>
        <v/>
      </c>
      <c r="Z440" s="462" t="n"/>
      <c r="AA440" s="462" t="n"/>
    </row>
    <row r="441" ht="15" customHeight="1" s="1883">
      <c r="C441" s="383" t="n"/>
      <c r="D441" s="390" t="inlineStr">
        <is>
          <t>●</t>
        </is>
      </c>
      <c r="E441" s="383" t="inlineStr">
        <is>
          <t>Consulting</t>
        </is>
      </c>
      <c r="F441" s="383" t="n"/>
      <c r="G441" s="383" t="n"/>
      <c r="H441" s="383" t="n"/>
      <c r="I441" s="383" t="n"/>
      <c r="J441" s="384" t="inlineStr">
        <is>
          <t>50% increase vs. Year 5</t>
        </is>
      </c>
      <c r="K441" s="383" t="n"/>
      <c r="L441" s="462" t="n">
        <v>75000</v>
      </c>
      <c r="M441" s="462" t="n">
        <v>75000</v>
      </c>
      <c r="N441" s="462" t="n">
        <v>75000</v>
      </c>
      <c r="O441" s="462" t="n">
        <v>75000</v>
      </c>
      <c r="P441" s="462" t="n">
        <v>75000</v>
      </c>
      <c r="Q441" s="462" t="n">
        <v>75000</v>
      </c>
      <c r="R441" s="462" t="n">
        <v>75000</v>
      </c>
      <c r="S441" s="462" t="n">
        <v>75000</v>
      </c>
      <c r="T441" s="462" t="n">
        <v>75000</v>
      </c>
      <c r="U441" s="462" t="n">
        <v>75000</v>
      </c>
      <c r="V441" s="462" t="n">
        <v>75000</v>
      </c>
      <c r="W441" s="462" t="n">
        <v>75000</v>
      </c>
      <c r="X441" s="462" t="n"/>
      <c r="Y441" s="494">
        <f>((L441)+(M441)+(N441)+(O441)+(P441)+(Q441)+(R441)+(S441)+(T441)+(U441)+(V441)+(W441))</f>
        <v/>
      </c>
      <c r="Z441" s="462" t="n"/>
      <c r="AA441" s="462" t="n"/>
    </row>
    <row r="442" ht="15" customHeight="1" s="1883">
      <c r="C442" s="390" t="inlineStr">
        <is>
          <t>●</t>
        </is>
      </c>
      <c r="D442" s="383" t="inlineStr">
        <is>
          <t>Website Hosting and Data Storage</t>
        </is>
      </c>
      <c r="E442" s="383" t="n"/>
      <c r="F442" s="383" t="n"/>
      <c r="G442" s="383" t="n"/>
      <c r="H442" s="383" t="n"/>
      <c r="I442" s="383" t="n"/>
      <c r="J442" s="383" t="n"/>
      <c r="K442" s="383" t="n"/>
      <c r="L442" s="462">
        <f>'4B. Tel. Expense Assumptions'!BC51</f>
        <v/>
      </c>
      <c r="M442" s="462">
        <f>'4B. Tel. Expense Assumptions'!BD51</f>
        <v/>
      </c>
      <c r="N442" s="462">
        <f>'4B. Tel. Expense Assumptions'!BE51</f>
        <v/>
      </c>
      <c r="O442" s="462">
        <f>'4B. Tel. Expense Assumptions'!BF51</f>
        <v/>
      </c>
      <c r="P442" s="462">
        <f>'4B. Tel. Expense Assumptions'!BG51</f>
        <v/>
      </c>
      <c r="Q442" s="462">
        <f>'4B. Tel. Expense Assumptions'!BH51</f>
        <v/>
      </c>
      <c r="R442" s="462">
        <f>'4B. Tel. Expense Assumptions'!BI51</f>
        <v/>
      </c>
      <c r="S442" s="462">
        <f>'4B. Tel. Expense Assumptions'!BJ51</f>
        <v/>
      </c>
      <c r="T442" s="462">
        <f>'4B. Tel. Expense Assumptions'!BK51</f>
        <v/>
      </c>
      <c r="U442" s="462">
        <f>'4B. Tel. Expense Assumptions'!BL51</f>
        <v/>
      </c>
      <c r="V442" s="462">
        <f>'4B. Tel. Expense Assumptions'!BM51</f>
        <v/>
      </c>
      <c r="W442" s="462">
        <f>'4B. Tel. Expense Assumptions'!BN51</f>
        <v/>
      </c>
      <c r="X442" s="462" t="n"/>
      <c r="Y442" s="494">
        <f>((L442)+(M442)+(N442)+(O442)+(P442)+(Q442)+(R442)+(S442)+(T442)+(U442)+(V442)+(W442))</f>
        <v/>
      </c>
      <c r="Z442" s="462" t="n"/>
      <c r="AA442" s="462" t="n"/>
    </row>
    <row r="443" ht="15" customHeight="1" s="1883">
      <c r="C443" s="390" t="inlineStr">
        <is>
          <t>●</t>
        </is>
      </c>
      <c r="D443" s="383" t="inlineStr">
        <is>
          <t>Customer Service and Support</t>
        </is>
      </c>
      <c r="E443" s="383" t="n"/>
      <c r="F443" s="383" t="n"/>
      <c r="G443" s="383" t="n"/>
      <c r="H443" s="383" t="n"/>
      <c r="I443" s="383" t="n"/>
      <c r="J443" s="384" t="inlineStr">
        <is>
          <t>0.60% of ∑ Gross Revenue</t>
        </is>
      </c>
      <c r="K443" s="383" t="n"/>
      <c r="L443" s="395">
        <f>((('3B. Tel. - Rev. Detail x Month'!J207)+('3B. Tel. - Rev. Detail x Month'!J424))*(0.006))</f>
        <v/>
      </c>
      <c r="M443" s="395">
        <f>((('3B. Tel. - Rev. Detail x Month'!K207)+('3B. Tel. - Rev. Detail x Month'!K424))*(0.006))</f>
        <v/>
      </c>
      <c r="N443" s="395">
        <f>((('3B. Tel. - Rev. Detail x Month'!L207)+('3B. Tel. - Rev. Detail x Month'!L424))*(0.006))</f>
        <v/>
      </c>
      <c r="O443" s="395">
        <f>((('3B. Tel. - Rev. Detail x Month'!M207)+('3B. Tel. - Rev. Detail x Month'!M424))*(0.006))</f>
        <v/>
      </c>
      <c r="P443" s="395">
        <f>((('3B. Tel. - Rev. Detail x Month'!N207)+('3B. Tel. - Rev. Detail x Month'!N424))*(0.006))</f>
        <v/>
      </c>
      <c r="Q443" s="395">
        <f>((('3B. Tel. - Rev. Detail x Month'!O207)+('3B. Tel. - Rev. Detail x Month'!O424))*(0.006))</f>
        <v/>
      </c>
      <c r="R443" s="395">
        <f>((('3B. Tel. - Rev. Detail x Month'!P207)+('3B. Tel. - Rev. Detail x Month'!P424))*(0.006))</f>
        <v/>
      </c>
      <c r="S443" s="395">
        <f>((('3B. Tel. - Rev. Detail x Month'!Q207)+('3B. Tel. - Rev. Detail x Month'!Q424))*(0.006))</f>
        <v/>
      </c>
      <c r="T443" s="395">
        <f>((('3B. Tel. - Rev. Detail x Month'!R207)+('3B. Tel. - Rev. Detail x Month'!R424))*(0.006))</f>
        <v/>
      </c>
      <c r="U443" s="395">
        <f>((('3B. Tel. - Rev. Detail x Month'!S207)+('3B. Tel. - Rev. Detail x Month'!S424))*(0.006))</f>
        <v/>
      </c>
      <c r="V443" s="395">
        <f>((('3B. Tel. - Rev. Detail x Month'!T207)+('3B. Tel. - Rev. Detail x Month'!T424))*(0.006))</f>
        <v/>
      </c>
      <c r="W443" s="395">
        <f>((('3B. Tel. - Rev. Detail x Month'!U207)+('3B. Tel. - Rev. Detail x Month'!U424))*(0.006))</f>
        <v/>
      </c>
      <c r="X443" s="462" t="n"/>
      <c r="Y443" s="494">
        <f>((L443)+(M443)+(N443)+(O443)+(P443)+(Q443)+(R443)+(S443)+(T443)+(U443)+(V443)+(W443))</f>
        <v/>
      </c>
      <c r="Z443" s="462" t="n"/>
      <c r="AA443" s="462">
        <f>((('3B. Tel. - Rev. Detail x Month'!W207)+('3B. Tel. - Rev. Detail x Month'!W424))*(0.0075))</f>
        <v/>
      </c>
    </row>
    <row r="444" ht="15" customHeight="1" s="1883">
      <c r="C444" s="390" t="inlineStr">
        <is>
          <t>●</t>
        </is>
      </c>
      <c r="D444" s="383" t="inlineStr">
        <is>
          <t>Software License Fees</t>
        </is>
      </c>
      <c r="E444" s="383" t="n"/>
      <c r="F444" s="383" t="n"/>
      <c r="G444" s="383" t="n"/>
      <c r="H444" s="383" t="n"/>
      <c r="I444" s="383" t="n"/>
      <c r="J444" s="384" t="inlineStr">
        <is>
          <t>$55/employee/month</t>
        </is>
      </c>
      <c r="K444" s="383" t="n"/>
      <c r="L444" s="462">
        <f>((55)*(L$403))</f>
        <v/>
      </c>
      <c r="M444" s="462">
        <f>((55)*(M$403))</f>
        <v/>
      </c>
      <c r="N444" s="462">
        <f>((55)*(N$403))</f>
        <v/>
      </c>
      <c r="O444" s="462">
        <f>((55)*(O$403))</f>
        <v/>
      </c>
      <c r="P444" s="462">
        <f>((55)*(P$403))</f>
        <v/>
      </c>
      <c r="Q444" s="462">
        <f>((55)*(Q$403))</f>
        <v/>
      </c>
      <c r="R444" s="462">
        <f>((55)*(R$403))</f>
        <v/>
      </c>
      <c r="S444" s="462">
        <f>((55)*(S$403))</f>
        <v/>
      </c>
      <c r="T444" s="462">
        <f>((55)*(T$403))</f>
        <v/>
      </c>
      <c r="U444" s="462">
        <f>((55)*(U$403))</f>
        <v/>
      </c>
      <c r="V444" s="462">
        <f>((55)*(V$403))</f>
        <v/>
      </c>
      <c r="W444" s="462">
        <f>((55)*(W$403))</f>
        <v/>
      </c>
      <c r="X444" s="462" t="n"/>
      <c r="Y444" s="494">
        <f>((L444)+(M444)+(N444)+(O444)+(P444)+(Q444)+(R444)+(S444)+(T444)+(U444)+(V444)+(W444))</f>
        <v/>
      </c>
      <c r="Z444" s="462" t="n"/>
      <c r="AA444" s="462" t="n"/>
    </row>
    <row r="445" ht="15" customHeight="1" s="1883">
      <c r="C445" s="390" t="inlineStr">
        <is>
          <t>●</t>
        </is>
      </c>
      <c r="D445" s="383" t="inlineStr">
        <is>
          <t>Office Supplies</t>
        </is>
      </c>
      <c r="E445" s="383" t="n"/>
      <c r="F445" s="383" t="n"/>
      <c r="G445" s="383" t="n"/>
      <c r="H445" s="383" t="n"/>
      <c r="I445" s="383" t="n"/>
      <c r="J445" s="384" t="inlineStr">
        <is>
          <t>$50/employee/month</t>
        </is>
      </c>
      <c r="K445" s="383" t="n"/>
      <c r="L445" s="462">
        <f>((50)*(L$403))</f>
        <v/>
      </c>
      <c r="M445" s="462">
        <f>((50)*(M$403))</f>
        <v/>
      </c>
      <c r="N445" s="462">
        <f>((50)*(N$403))</f>
        <v/>
      </c>
      <c r="O445" s="462">
        <f>((50)*(O$403))</f>
        <v/>
      </c>
      <c r="P445" s="462">
        <f>((50)*(P$403))</f>
        <v/>
      </c>
      <c r="Q445" s="462">
        <f>((50)*(Q$403))</f>
        <v/>
      </c>
      <c r="R445" s="462">
        <f>((50)*(R$403))</f>
        <v/>
      </c>
      <c r="S445" s="462">
        <f>((50)*(S$403))</f>
        <v/>
      </c>
      <c r="T445" s="462">
        <f>((50)*(T$403))</f>
        <v/>
      </c>
      <c r="U445" s="462">
        <f>((50)*(U$403))</f>
        <v/>
      </c>
      <c r="V445" s="462">
        <f>((50)*(V$403))</f>
        <v/>
      </c>
      <c r="W445" s="462">
        <f>((50)*(W$403))</f>
        <v/>
      </c>
      <c r="X445" s="462" t="n"/>
      <c r="Y445" s="494">
        <f>((L445)+(M445)+(N445)+(O445)+(P445)+(Q445)+(R445)+(S445)+(T445)+(U445)+(V445)+(W445))</f>
        <v/>
      </c>
      <c r="Z445" s="462" t="n"/>
      <c r="AA445" s="462" t="n"/>
    </row>
    <row r="446" ht="15" customHeight="1" s="1883">
      <c r="C446" s="390" t="inlineStr">
        <is>
          <t>●</t>
        </is>
      </c>
      <c r="D446" s="383" t="inlineStr">
        <is>
          <t>Office Expense</t>
        </is>
      </c>
      <c r="E446" s="383" t="n"/>
      <c r="F446" s="383" t="n"/>
      <c r="G446" s="383" t="n"/>
      <c r="H446" s="383" t="n"/>
      <c r="I446" s="383" t="n"/>
      <c r="J446" s="384" t="inlineStr">
        <is>
          <t>$15/employee/month</t>
        </is>
      </c>
      <c r="K446" s="383" t="n"/>
      <c r="L446" s="462">
        <f>((15)*(L$403))</f>
        <v/>
      </c>
      <c r="M446" s="462">
        <f>((15)*(M$403))</f>
        <v/>
      </c>
      <c r="N446" s="462">
        <f>((15)*(N$403))</f>
        <v/>
      </c>
      <c r="O446" s="462">
        <f>((15)*(O$403))</f>
        <v/>
      </c>
      <c r="P446" s="462">
        <f>((15)*(P$403))</f>
        <v/>
      </c>
      <c r="Q446" s="462">
        <f>((15)*(Q$403))</f>
        <v/>
      </c>
      <c r="R446" s="462">
        <f>((15)*(R$403))</f>
        <v/>
      </c>
      <c r="S446" s="462">
        <f>((15)*(S$403))</f>
        <v/>
      </c>
      <c r="T446" s="462">
        <f>((15)*(T$403))</f>
        <v/>
      </c>
      <c r="U446" s="462">
        <f>((15)*(U$403))</f>
        <v/>
      </c>
      <c r="V446" s="462">
        <f>((15)*(V$403))</f>
        <v/>
      </c>
      <c r="W446" s="462">
        <f>((15)*(W$403))</f>
        <v/>
      </c>
      <c r="X446" s="462" t="n"/>
      <c r="Y446" s="494">
        <f>((L446)+(M446)+(N446)+(O446)+(P446)+(Q446)+(R446)+(S446)+(T446)+(U446)+(V446)+(W446))</f>
        <v/>
      </c>
      <c r="Z446" s="462" t="n"/>
      <c r="AA446" s="462" t="n"/>
    </row>
    <row r="447" ht="15" customHeight="1" s="1883">
      <c r="C447" s="390" t="inlineStr">
        <is>
          <t>●</t>
        </is>
      </c>
      <c r="D447" s="383" t="inlineStr">
        <is>
          <t>Telephone</t>
        </is>
      </c>
      <c r="E447" s="383" t="n"/>
      <c r="F447" s="383" t="n"/>
      <c r="G447" s="383" t="n"/>
      <c r="H447" s="383" t="n"/>
      <c r="I447" s="383" t="n"/>
      <c r="J447" s="384" t="n"/>
      <c r="K447" s="383" t="n"/>
      <c r="L447" s="462">
        <f>'4B. Tel. Expense Assumptions'!BC27</f>
        <v/>
      </c>
      <c r="M447" s="462">
        <f>'4B. Tel. Expense Assumptions'!BD27</f>
        <v/>
      </c>
      <c r="N447" s="462">
        <f>'4B. Tel. Expense Assumptions'!BE27</f>
        <v/>
      </c>
      <c r="O447" s="462">
        <f>'4B. Tel. Expense Assumptions'!BF27</f>
        <v/>
      </c>
      <c r="P447" s="462">
        <f>'4B. Tel. Expense Assumptions'!BG27</f>
        <v/>
      </c>
      <c r="Q447" s="462">
        <f>'4B. Tel. Expense Assumptions'!BH27</f>
        <v/>
      </c>
      <c r="R447" s="462">
        <f>'4B. Tel. Expense Assumptions'!BI27</f>
        <v/>
      </c>
      <c r="S447" s="462">
        <f>'4B. Tel. Expense Assumptions'!BJ27</f>
        <v/>
      </c>
      <c r="T447" s="462">
        <f>'4B. Tel. Expense Assumptions'!BK27</f>
        <v/>
      </c>
      <c r="U447" s="462">
        <f>'4B. Tel. Expense Assumptions'!BL27</f>
        <v/>
      </c>
      <c r="V447" s="462">
        <f>'4B. Tel. Expense Assumptions'!BM27</f>
        <v/>
      </c>
      <c r="W447" s="462">
        <f>'4B. Tel. Expense Assumptions'!BN27</f>
        <v/>
      </c>
      <c r="X447" s="462" t="n"/>
      <c r="Y447" s="494">
        <f>((L447)+(M447)+(N447)+(O447)+(P447)+(Q447)+(R447)+(S447)+(T447)+(U447)+(V447)+(W447))</f>
        <v/>
      </c>
      <c r="Z447" s="462" t="n"/>
      <c r="AA447" s="462">
        <f>SUM('4B. Tel. Expense Assumptions'!BC27:BN27)</f>
        <v/>
      </c>
    </row>
    <row r="448" ht="15" customHeight="1" s="1883">
      <c r="C448" s="390" t="inlineStr">
        <is>
          <t>●</t>
        </is>
      </c>
      <c r="D448" s="383" t="inlineStr">
        <is>
          <t>Meetings and Refreshments</t>
        </is>
      </c>
      <c r="E448" s="383" t="n"/>
      <c r="F448" s="383" t="n"/>
      <c r="G448" s="383" t="n"/>
      <c r="H448" s="383" t="n"/>
      <c r="I448" s="383" t="n"/>
      <c r="J448" s="384" t="inlineStr">
        <is>
          <t>$50/employee/month</t>
        </is>
      </c>
      <c r="K448" s="383" t="n"/>
      <c r="L448" s="462">
        <f>((50)*(L$403))</f>
        <v/>
      </c>
      <c r="M448" s="462">
        <f>((50)*(M$403))</f>
        <v/>
      </c>
      <c r="N448" s="462">
        <f>((50)*(N$403))</f>
        <v/>
      </c>
      <c r="O448" s="462">
        <f>((50)*(O$403))</f>
        <v/>
      </c>
      <c r="P448" s="462">
        <f>((50)*(P$403))</f>
        <v/>
      </c>
      <c r="Q448" s="462">
        <f>((50)*(Q$403))</f>
        <v/>
      </c>
      <c r="R448" s="462">
        <f>((50)*(R$403))</f>
        <v/>
      </c>
      <c r="S448" s="462">
        <f>((50)*(S$403))</f>
        <v/>
      </c>
      <c r="T448" s="462">
        <f>((50)*(T$403))</f>
        <v/>
      </c>
      <c r="U448" s="462">
        <f>((50)*(U$403))</f>
        <v/>
      </c>
      <c r="V448" s="462">
        <f>((50)*(V$403))</f>
        <v/>
      </c>
      <c r="W448" s="462">
        <f>((50)*(W$403))</f>
        <v/>
      </c>
      <c r="X448" s="462" t="n"/>
      <c r="Y448" s="494">
        <f>((L448)+(M448)+(N448)+(O448)+(P448)+(Q448)+(R448)+(S448)+(T448)+(U448)+(V448)+(W448))</f>
        <v/>
      </c>
      <c r="Z448" s="462" t="n"/>
      <c r="AA448" s="462" t="n"/>
    </row>
    <row r="449" ht="15" customHeight="1" s="1883">
      <c r="C449" s="390" t="inlineStr">
        <is>
          <t>●</t>
        </is>
      </c>
      <c r="D449" s="383" t="inlineStr">
        <is>
          <t>Miscellaneous/Contingency</t>
        </is>
      </c>
      <c r="E449" s="383" t="n"/>
      <c r="F449" s="383" t="n"/>
      <c r="G449" s="383" t="n"/>
      <c r="H449" s="383" t="n"/>
      <c r="I449" s="383" t="n"/>
      <c r="J449" s="384" t="inlineStr">
        <is>
          <t>5% of G&amp;A Expense</t>
        </is>
      </c>
      <c r="K449" s="383" t="n"/>
      <c r="L449" s="462">
        <f>(SUM(L436:L448)*(0.05))</f>
        <v/>
      </c>
      <c r="M449" s="462">
        <f>(SUM(M436:M448)*(0.05))</f>
        <v/>
      </c>
      <c r="N449" s="462">
        <f>(SUM(N436:N448)*(0.05))</f>
        <v/>
      </c>
      <c r="O449" s="462">
        <f>(SUM(O436:O448)*(0.05))</f>
        <v/>
      </c>
      <c r="P449" s="462">
        <f>(SUM(P436:P448)*(0.05))</f>
        <v/>
      </c>
      <c r="Q449" s="462">
        <f>(SUM(Q436:Q448)*(0.05))</f>
        <v/>
      </c>
      <c r="R449" s="462">
        <f>(SUM(R436:R448)*(0.05))</f>
        <v/>
      </c>
      <c r="S449" s="462">
        <f>(SUM(S436:S448)*(0.05))</f>
        <v/>
      </c>
      <c r="T449" s="462">
        <f>(SUM(T436:T448)*(0.055))</f>
        <v/>
      </c>
      <c r="U449" s="462">
        <f>(SUM(U436:U448)*(0.05))</f>
        <v/>
      </c>
      <c r="V449" s="462">
        <f>(SUM(V436:V448)*(0.05))</f>
        <v/>
      </c>
      <c r="W449" s="462">
        <f>(SUM(W436:W448)*(0.05))</f>
        <v/>
      </c>
      <c r="X449" s="462" t="n"/>
      <c r="Y449" s="494">
        <f>((L449)+(M449)+(N449)+(O449)+(P449)+(Q449)+(R449)+(S449)+(T449)+(U449)+(V449)+(W449))</f>
        <v/>
      </c>
    </row>
    <row r="450" ht="3" customHeight="1" s="1883">
      <c r="C450" s="383" t="n"/>
      <c r="D450" s="383" t="n"/>
      <c r="E450" s="383" t="n"/>
      <c r="F450" s="383" t="n"/>
      <c r="G450" s="383" t="n"/>
      <c r="H450" s="383" t="n"/>
      <c r="I450" s="383" t="n"/>
      <c r="J450" s="383" t="n"/>
      <c r="K450" s="383" t="n"/>
      <c r="L450" s="508" t="n"/>
      <c r="M450" s="508" t="n"/>
      <c r="N450" s="508" t="n"/>
      <c r="O450" s="508" t="n"/>
      <c r="P450" s="508" t="n"/>
      <c r="Q450" s="508" t="n"/>
      <c r="R450" s="508" t="n"/>
      <c r="S450" s="508" t="n"/>
      <c r="T450" s="508" t="n"/>
      <c r="U450" s="508" t="n"/>
      <c r="V450" s="508" t="n"/>
      <c r="W450" s="508" t="n"/>
      <c r="X450" s="462" t="n"/>
      <c r="Y450" s="508" t="n"/>
    </row>
    <row r="451" ht="3" customHeight="1" s="1883">
      <c r="C451" s="383" t="n"/>
      <c r="D451" s="383" t="n"/>
      <c r="E451" s="383" t="n"/>
      <c r="F451" s="383" t="n"/>
      <c r="G451" s="383" t="n"/>
      <c r="H451" s="383" t="n"/>
      <c r="I451" s="383" t="n"/>
      <c r="J451" s="383" t="n"/>
      <c r="K451" s="383" t="n"/>
      <c r="L451" s="462" t="n"/>
      <c r="M451" s="462" t="n"/>
      <c r="N451" s="462" t="n"/>
      <c r="O451" s="462" t="n"/>
      <c r="P451" s="462" t="n"/>
      <c r="Q451" s="462" t="n"/>
      <c r="R451" s="462" t="n"/>
      <c r="S451" s="462" t="n"/>
      <c r="T451" s="462" t="n"/>
      <c r="U451" s="462" t="n"/>
      <c r="V451" s="462" t="n"/>
      <c r="W451" s="462" t="n"/>
      <c r="X451" s="462" t="n"/>
      <c r="Y451" s="462" t="n"/>
    </row>
    <row r="452" ht="15" customHeight="1" s="1883">
      <c r="C452" s="383" t="n"/>
      <c r="D452" s="383" t="n"/>
      <c r="E452" s="385" t="inlineStr">
        <is>
          <t>Total, General and Administrative</t>
        </is>
      </c>
      <c r="F452" s="383" t="n"/>
      <c r="G452" s="383" t="n"/>
      <c r="H452" s="383" t="n"/>
      <c r="I452" s="383" t="n"/>
      <c r="J452" s="383" t="n"/>
      <c r="K452" s="383" t="n"/>
      <c r="L452" s="396">
        <f>SUM(L436:L449)</f>
        <v/>
      </c>
      <c r="M452" s="396">
        <f>SUM(M436:M449)</f>
        <v/>
      </c>
      <c r="N452" s="396">
        <f>SUM(N436:N449)</f>
        <v/>
      </c>
      <c r="O452" s="396">
        <f>SUM(O436:O449)</f>
        <v/>
      </c>
      <c r="P452" s="396">
        <f>SUM(P436:P449)</f>
        <v/>
      </c>
      <c r="Q452" s="396">
        <f>SUM(Q436:Q449)</f>
        <v/>
      </c>
      <c r="R452" s="396">
        <f>SUM(R436:R449)</f>
        <v/>
      </c>
      <c r="S452" s="396">
        <f>SUM(S436:S449)</f>
        <v/>
      </c>
      <c r="T452" s="396">
        <f>SUM(T436:T449)</f>
        <v/>
      </c>
      <c r="U452" s="396">
        <f>SUM(U436:U449)</f>
        <v/>
      </c>
      <c r="V452" s="396">
        <f>SUM(V436:V449)</f>
        <v/>
      </c>
      <c r="W452" s="396">
        <f>SUM(W436:W449)</f>
        <v/>
      </c>
      <c r="X452" s="462" t="n"/>
      <c r="Y452" s="396">
        <f>SUM(Y436:Y449)</f>
        <v/>
      </c>
    </row>
    <row r="453" ht="3" customHeight="1" s="1883">
      <c r="C453" s="383" t="n"/>
      <c r="D453" s="383" t="n"/>
      <c r="E453" s="383" t="n"/>
      <c r="F453" s="383" t="n"/>
      <c r="G453" s="383" t="n"/>
      <c r="H453" s="383" t="n"/>
      <c r="I453" s="383" t="n"/>
      <c r="J453" s="383" t="n"/>
      <c r="K453" s="383" t="n"/>
      <c r="L453" s="508" t="n"/>
      <c r="M453" s="508" t="n"/>
      <c r="N453" s="508" t="n"/>
      <c r="O453" s="508" t="n"/>
      <c r="P453" s="508" t="n"/>
      <c r="Q453" s="508" t="n"/>
      <c r="R453" s="508" t="n"/>
      <c r="S453" s="508" t="n"/>
      <c r="T453" s="508" t="n"/>
      <c r="U453" s="508" t="n"/>
      <c r="V453" s="508" t="n"/>
      <c r="W453" s="508" t="n"/>
      <c r="X453" s="462" t="n"/>
      <c r="Y453" s="508" t="n"/>
    </row>
    <row r="454" ht="3" customHeight="1" s="1883">
      <c r="C454" s="383" t="n"/>
      <c r="D454" s="383" t="n"/>
      <c r="E454" s="383" t="n"/>
      <c r="F454" s="383" t="n"/>
      <c r="G454" s="383" t="n"/>
      <c r="H454" s="383" t="n"/>
      <c r="I454" s="383" t="n"/>
      <c r="J454" s="383" t="n"/>
      <c r="K454" s="383" t="n"/>
      <c r="L454" s="462" t="n"/>
      <c r="M454" s="462" t="n"/>
      <c r="N454" s="462" t="n"/>
      <c r="O454" s="462" t="n"/>
      <c r="P454" s="462" t="n"/>
      <c r="Q454" s="462" t="n"/>
      <c r="R454" s="462" t="n"/>
      <c r="S454" s="462" t="n"/>
      <c r="T454" s="462" t="n"/>
      <c r="U454" s="462" t="n"/>
      <c r="V454" s="462" t="n"/>
      <c r="W454" s="462" t="n"/>
      <c r="X454" s="462" t="n"/>
      <c r="Y454" s="462" t="n"/>
    </row>
    <row r="455" ht="15" customHeight="1" s="1883">
      <c r="C455" s="383" t="n"/>
      <c r="D455" s="383" t="n"/>
      <c r="E455" s="383" t="n"/>
      <c r="F455" s="383" t="n"/>
      <c r="G455" s="383" t="n"/>
      <c r="H455" s="383" t="n"/>
      <c r="I455" s="383" t="n"/>
      <c r="J455" s="383" t="n"/>
      <c r="K455" s="383" t="n"/>
      <c r="L455" s="462" t="n"/>
      <c r="M455" s="462" t="n"/>
      <c r="N455" s="462" t="n"/>
      <c r="O455" s="462" t="n"/>
      <c r="P455" s="462" t="n"/>
      <c r="Q455" s="462" t="n"/>
      <c r="R455" s="462" t="n"/>
      <c r="S455" s="462" t="n"/>
      <c r="T455" s="462" t="n"/>
      <c r="U455" s="462" t="n"/>
      <c r="V455" s="462" t="n"/>
      <c r="W455" s="462" t="n"/>
      <c r="X455" s="462" t="n"/>
      <c r="Y455" s="462" t="n"/>
    </row>
    <row r="456" ht="15" customHeight="1" s="1883">
      <c r="C456" s="383" t="n"/>
      <c r="D456" s="383" t="n"/>
      <c r="E456" s="383" t="n"/>
      <c r="F456" s="383" t="n"/>
      <c r="G456" s="383" t="n"/>
      <c r="H456" s="383" t="n"/>
      <c r="I456" s="383" t="n"/>
      <c r="J456" s="383" t="n"/>
      <c r="K456" s="383" t="n"/>
      <c r="L456" s="462" t="n"/>
      <c r="M456" s="462" t="n"/>
      <c r="N456" s="462" t="n"/>
      <c r="O456" s="462" t="n"/>
      <c r="P456" s="462" t="n"/>
      <c r="Q456" s="462" t="n"/>
      <c r="R456" s="462" t="n"/>
      <c r="S456" s="462" t="n"/>
      <c r="T456" s="462" t="n"/>
      <c r="U456" s="462" t="n"/>
      <c r="V456" s="462" t="n"/>
      <c r="W456" s="462" t="n"/>
      <c r="X456" s="462" t="n"/>
      <c r="Y456" s="462" t="n"/>
    </row>
    <row r="457" ht="3" customHeight="1" s="1883">
      <c r="C457" s="383" t="n"/>
      <c r="D457" s="383" t="n"/>
      <c r="E457" s="383" t="n"/>
      <c r="F457" s="383" t="n"/>
      <c r="G457" s="383" t="n"/>
      <c r="H457" s="383" t="n"/>
      <c r="I457" s="383" t="n"/>
      <c r="J457" s="383" t="n"/>
      <c r="K457" s="383" t="n"/>
      <c r="L457" s="508" t="n"/>
      <c r="M457" s="508" t="n"/>
      <c r="N457" s="508" t="n"/>
      <c r="O457" s="508" t="n"/>
      <c r="P457" s="508" t="n"/>
      <c r="Q457" s="508" t="n"/>
      <c r="R457" s="508" t="n"/>
      <c r="S457" s="508" t="n"/>
      <c r="T457" s="508" t="n"/>
      <c r="U457" s="508" t="n"/>
      <c r="V457" s="508" t="n"/>
      <c r="W457" s="508" t="n"/>
      <c r="X457" s="462" t="n"/>
      <c r="Y457" s="508" t="n"/>
    </row>
    <row r="458" ht="3" customHeight="1" s="1883">
      <c r="C458" s="383" t="n"/>
      <c r="D458" s="383" t="n"/>
      <c r="E458" s="383" t="n"/>
      <c r="F458" s="383" t="n"/>
      <c r="G458" s="383" t="n"/>
      <c r="H458" s="383" t="n"/>
      <c r="I458" s="383" t="n"/>
      <c r="J458" s="383" t="n"/>
      <c r="K458" s="383" t="n"/>
      <c r="L458" s="462" t="n"/>
      <c r="M458" s="462" t="n"/>
      <c r="N458" s="462" t="n"/>
      <c r="O458" s="462" t="n"/>
      <c r="P458" s="462" t="n"/>
      <c r="Q458" s="462" t="n"/>
      <c r="R458" s="462" t="n"/>
      <c r="S458" s="462" t="n"/>
      <c r="T458" s="462" t="n"/>
      <c r="U458" s="462" t="n"/>
      <c r="V458" s="462" t="n"/>
      <c r="W458" s="462" t="n"/>
      <c r="X458" s="462" t="n"/>
      <c r="Y458" s="462" t="n"/>
    </row>
    <row r="459" ht="15" customHeight="1" s="1883">
      <c r="C459" s="383" t="n"/>
      <c r="D459" s="383" t="n"/>
      <c r="E459" s="383" t="n"/>
      <c r="F459" s="385" t="inlineStr">
        <is>
          <t>TOTAL OPERATING EXPENSES</t>
        </is>
      </c>
      <c r="G459" s="383" t="n"/>
      <c r="H459" s="383" t="n"/>
      <c r="I459" s="383" t="n"/>
      <c r="J459" s="383" t="n"/>
      <c r="K459" s="383" t="n"/>
      <c r="L459" s="396">
        <f>((L409)+(L413)+(L422)+(L431)+(L452))</f>
        <v/>
      </c>
      <c r="M459" s="396">
        <f>((M409)+(M413)+(M422)+(M431)+(M452))</f>
        <v/>
      </c>
      <c r="N459" s="396">
        <f>((N409)+(N413)+(N422)+(N431)+(N452))</f>
        <v/>
      </c>
      <c r="O459" s="396">
        <f>((O409)+(O413)+(O422)+(O431)+(O452))</f>
        <v/>
      </c>
      <c r="P459" s="396">
        <f>((P409)+(P413)+(P422)+(P431)+(P452))</f>
        <v/>
      </c>
      <c r="Q459" s="396">
        <f>((Q409)+(Q413)+(Q422)+(Q431)+(Q452))</f>
        <v/>
      </c>
      <c r="R459" s="396">
        <f>((R409)+(R413)+(R422)+(R431)+(R452))</f>
        <v/>
      </c>
      <c r="S459" s="396">
        <f>((S409)+(S413)+(S422)+(S431)+(S452))</f>
        <v/>
      </c>
      <c r="T459" s="396">
        <f>((T409)+(T413)+(T422)+(T431)+(T452))</f>
        <v/>
      </c>
      <c r="U459" s="396">
        <f>((U409)+(U413)+(U422)+(U431)+(U452))</f>
        <v/>
      </c>
      <c r="V459" s="396">
        <f>((V409)+(V413)+(V422)+(V431)+(V452))</f>
        <v/>
      </c>
      <c r="W459" s="396">
        <f>((W409)+(W413)+(W422)+(W431)+(W452))</f>
        <v/>
      </c>
      <c r="X459" s="462" t="n"/>
      <c r="Y459" s="396">
        <f>((L459)+(M459)+(N459)+(O459)+(P459)+(Q459)+(R459)+(S459)+(T459)+(U459)+(V459)+(W459))</f>
        <v/>
      </c>
    </row>
    <row r="466" ht="15" customHeight="1" s="1883">
      <c r="G466" s="385" t="inlineStr">
        <is>
          <t>OPERATING INCOME / (LOSS), %</t>
        </is>
      </c>
      <c r="H466" s="383" t="n"/>
      <c r="I466" s="383" t="n"/>
      <c r="J466" s="383" t="n"/>
      <c r="K466" s="383" t="n"/>
      <c r="L466" s="396">
        <f>((L390)-(L459))</f>
        <v/>
      </c>
      <c r="M466" s="396">
        <f>((M390)-(M459))</f>
        <v/>
      </c>
      <c r="N466" s="396">
        <f>((N390)-(N459))</f>
        <v/>
      </c>
      <c r="O466" s="396">
        <f>((O390)-(O459))</f>
        <v/>
      </c>
      <c r="P466" s="396">
        <f>((P390)-(P459))</f>
        <v/>
      </c>
      <c r="Q466" s="396">
        <f>((Q390)-(Q459))</f>
        <v/>
      </c>
      <c r="R466" s="396">
        <f>((R390)-(R459))</f>
        <v/>
      </c>
      <c r="S466" s="396">
        <f>((S390)-(S459))</f>
        <v/>
      </c>
      <c r="T466" s="396">
        <f>((T390)-(T459))</f>
        <v/>
      </c>
      <c r="U466" s="396">
        <f>((U390)-(U459))</f>
        <v/>
      </c>
      <c r="V466" s="396">
        <f>((V390)-(V459))</f>
        <v/>
      </c>
      <c r="W466" s="396">
        <f>((W390)-(W459))</f>
        <v/>
      </c>
      <c r="X466" s="462" t="n"/>
      <c r="Y466" s="396">
        <f>((L466)+(M466)+(N466)+(O466)+(P466)+(Q466)+(R466)+(S466)+(T466)+(U466)+(V466)+(W466))</f>
        <v/>
      </c>
    </row>
    <row r="467" ht="15" customHeight="1" s="1883">
      <c r="G467" s="385" t="inlineStr">
        <is>
          <t>OPERATING MARGIN, %</t>
        </is>
      </c>
      <c r="H467" s="383" t="n"/>
      <c r="I467" s="383" t="n"/>
      <c r="J467" s="383" t="n"/>
      <c r="K467" s="383" t="n"/>
      <c r="L467" s="574">
        <f>((L466)/(L390))</f>
        <v/>
      </c>
      <c r="M467" s="574">
        <f>((M466)/(M390))</f>
        <v/>
      </c>
      <c r="N467" s="574">
        <f>((N466)/(N390))</f>
        <v/>
      </c>
      <c r="O467" s="574">
        <f>((O466)/(O390))</f>
        <v/>
      </c>
      <c r="P467" s="574">
        <f>((P466)/(P390))</f>
        <v/>
      </c>
      <c r="Q467" s="574">
        <f>((Q466)/(Q390))</f>
        <v/>
      </c>
      <c r="R467" s="574">
        <f>((R466)/(R390))</f>
        <v/>
      </c>
      <c r="S467" s="574">
        <f>((S466)/(S390))</f>
        <v/>
      </c>
      <c r="T467" s="574">
        <f>((T466)/(T390))</f>
        <v/>
      </c>
      <c r="U467" s="574">
        <f>((U466)/(U390))</f>
        <v/>
      </c>
      <c r="V467" s="574">
        <f>((V466)/(V390))</f>
        <v/>
      </c>
      <c r="W467" s="574">
        <f>((W466)/(W390))</f>
        <v/>
      </c>
      <c r="X467" s="574" t="n"/>
      <c r="Y467" s="574">
        <f>((Y466)/(Y390))</f>
        <v/>
      </c>
    </row>
  </sheetData>
  <mergeCells count="5">
    <mergeCell ref="L15:Y15"/>
    <mergeCell ref="L107:Y107"/>
    <mergeCell ref="L383:Y383"/>
    <mergeCell ref="L199:Y199"/>
    <mergeCell ref="L291:Y291"/>
  </mergeCells>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tabColor rgb="FFCCFFCC"/>
    <outlinePr summaryBelow="0" summaryRight="0"/>
    <pageSetUpPr/>
  </sheetPr>
  <dimension ref="A1:BN1005"/>
  <sheetViews>
    <sheetView showGridLines="0" zoomScale="119" zoomScaleNormal="119" workbookViewId="0">
      <pane xSplit="2" ySplit="3" topLeftCell="C4" activePane="bottomRight" state="frozen"/>
      <selection pane="topRight" activeCell="Q67" sqref="Q67"/>
      <selection pane="bottomLeft" activeCell="Q67" sqref="Q67"/>
      <selection pane="bottomRight" activeCell="G21" sqref="G21"/>
    </sheetView>
  </sheetViews>
  <sheetFormatPr baseColWidth="10" defaultColWidth="17.33203125" defaultRowHeight="15" customHeight="1"/>
  <cols>
    <col width="4.6640625" customWidth="1" style="1883" min="1" max="1"/>
    <col width="6.6640625" customWidth="1" style="1883" min="2" max="2"/>
    <col width="26.5" customWidth="1" style="1883" min="3" max="3"/>
    <col width="14.33203125" customWidth="1" style="1883" min="4" max="4"/>
    <col width="13.33203125" customWidth="1" style="1883" min="5" max="5"/>
    <col width="17" customWidth="1" style="1883" min="6" max="6"/>
    <col width="16.5" customWidth="1" style="1883" min="7" max="7"/>
    <col width="16.33203125" customWidth="1" style="1883" min="8" max="18"/>
    <col width="15.5" customWidth="1" style="1883" min="19" max="30"/>
    <col width="16.33203125" customWidth="1" style="1883" min="31" max="41"/>
    <col width="16.5" customWidth="1" style="1883" min="42" max="44"/>
    <col width="16.33203125" customWidth="1" style="1883" min="45" max="60"/>
    <col width="17" customWidth="1" style="1883" min="61" max="61"/>
    <col width="16.5" customWidth="1" style="1883" min="62" max="63"/>
    <col width="16.33203125" customWidth="1" style="1883" min="64" max="66"/>
    <col width="8.6640625" customWidth="1" style="1883" min="67" max="76"/>
  </cols>
  <sheetData>
    <row r="1" ht="12.75" customHeight="1" s="1883">
      <c r="B1" s="1029" t="inlineStr">
        <is>
          <t xml:space="preserve"> </t>
        </is>
      </c>
      <c r="C1" s="1030" t="n"/>
      <c r="D1" s="1025" t="n"/>
      <c r="E1" s="1031" t="n"/>
      <c r="F1" s="1031" t="n"/>
      <c r="G1" s="1032" t="n"/>
      <c r="H1" s="1032" t="n"/>
      <c r="I1" s="1032" t="n"/>
      <c r="J1" s="1032" t="n"/>
      <c r="K1" s="1032" t="n"/>
      <c r="L1" s="153" t="n"/>
      <c r="M1" s="1032" t="n"/>
      <c r="N1" s="1032" t="n"/>
      <c r="O1" s="1032" t="n"/>
      <c r="P1" s="1032" t="n"/>
      <c r="Q1" s="1032" t="n"/>
      <c r="R1" s="153" t="n"/>
      <c r="S1" s="1032" t="n"/>
      <c r="T1" s="1032" t="n"/>
      <c r="U1" s="1032" t="n"/>
      <c r="V1" s="1032" t="n"/>
      <c r="W1" s="1032" t="n"/>
      <c r="X1" s="153" t="n"/>
      <c r="Y1" s="1032" t="n"/>
      <c r="Z1" s="1032" t="n"/>
      <c r="AA1" s="1032" t="n"/>
      <c r="AB1" s="1032" t="n"/>
      <c r="AC1" s="1032" t="n"/>
      <c r="AD1" s="153" t="n"/>
      <c r="AE1" s="1032" t="n"/>
      <c r="AF1" s="1032" t="n"/>
      <c r="AG1" s="1032" t="n"/>
      <c r="AH1" s="1032" t="n"/>
      <c r="AI1" s="1032" t="n"/>
      <c r="AJ1" s="153" t="n"/>
      <c r="AK1" s="1032" t="n"/>
      <c r="AL1" s="1032" t="n"/>
      <c r="AM1" s="1032" t="n"/>
      <c r="AN1" s="1032" t="n"/>
      <c r="AO1" s="1032" t="n"/>
      <c r="AP1" s="153" t="n"/>
      <c r="AQ1" s="1032" t="n"/>
      <c r="AR1" s="1032" t="n"/>
      <c r="AS1" s="1032" t="n"/>
      <c r="AT1" s="1032" t="n"/>
      <c r="AU1" s="1032" t="n"/>
      <c r="AV1" s="153" t="n"/>
      <c r="AW1" s="1032" t="n"/>
      <c r="AX1" s="1032" t="n"/>
      <c r="AY1" s="1032" t="n"/>
      <c r="AZ1" s="1032" t="n"/>
      <c r="BA1" s="1032" t="n"/>
      <c r="BB1" s="153" t="n"/>
      <c r="BC1" s="1032" t="n"/>
      <c r="BD1" s="1032" t="n"/>
      <c r="BE1" s="1032" t="n"/>
      <c r="BF1" s="1032" t="n"/>
      <c r="BG1" s="1032" t="n"/>
      <c r="BH1" s="153" t="n"/>
      <c r="BI1" s="1032" t="n"/>
      <c r="BJ1" s="1032" t="n"/>
      <c r="BK1" s="1032" t="n"/>
      <c r="BL1" s="1032" t="n"/>
      <c r="BM1" s="1032" t="n"/>
      <c r="BN1" s="153" t="n"/>
    </row>
    <row r="2" ht="12.75" customHeight="1" s="1883">
      <c r="B2" s="1029" t="n"/>
      <c r="C2" s="1030" t="n"/>
      <c r="D2" s="1025" t="n"/>
      <c r="E2" s="1031" t="n"/>
      <c r="F2" s="1031" t="n"/>
      <c r="G2" s="1032" t="n"/>
      <c r="H2" s="1032" t="n"/>
      <c r="I2" s="1032" t="n"/>
      <c r="J2" s="1032" t="n"/>
      <c r="K2" s="1032" t="n"/>
      <c r="L2" s="154" t="n"/>
      <c r="M2" s="1032" t="n"/>
      <c r="N2" s="1032" t="n"/>
      <c r="O2" s="1032" t="n"/>
      <c r="P2" s="1032" t="n"/>
      <c r="Q2" s="1032" t="n"/>
      <c r="R2" s="154" t="n"/>
      <c r="S2" s="1032" t="n"/>
      <c r="T2" s="1032" t="n"/>
      <c r="U2" s="1032" t="n"/>
      <c r="V2" s="1032" t="n"/>
      <c r="W2" s="1032" t="n"/>
      <c r="X2" s="154" t="n"/>
      <c r="Y2" s="1032" t="n"/>
      <c r="Z2" s="1032" t="n"/>
      <c r="AA2" s="1032" t="n"/>
      <c r="AB2" s="1032" t="n"/>
      <c r="AC2" s="1032" t="n"/>
      <c r="AD2" s="154" t="n"/>
      <c r="AE2" s="1032" t="n"/>
      <c r="AF2" s="1032" t="n"/>
      <c r="AG2" s="1032" t="n"/>
      <c r="AH2" s="1032" t="n"/>
      <c r="AI2" s="1032" t="n"/>
      <c r="AJ2" s="154" t="n"/>
      <c r="AK2" s="1032" t="n"/>
      <c r="AL2" s="1032" t="n"/>
      <c r="AM2" s="1032" t="n"/>
      <c r="AN2" s="1032" t="n"/>
      <c r="AO2" s="1032" t="n"/>
      <c r="AP2" s="154" t="n"/>
      <c r="AQ2" s="1032" t="n"/>
      <c r="AR2" s="1032" t="n"/>
      <c r="AS2" s="1032" t="n"/>
      <c r="AT2" s="1032" t="n"/>
      <c r="AU2" s="1032" t="n"/>
      <c r="AV2" s="154" t="n"/>
      <c r="AW2" s="1032" t="n"/>
      <c r="AX2" s="1032" t="n"/>
      <c r="AY2" s="1032" t="n"/>
      <c r="AZ2" s="1032" t="n"/>
      <c r="BA2" s="1032" t="n"/>
      <c r="BB2" s="154" t="n"/>
      <c r="BC2" s="1032" t="n"/>
      <c r="BD2" s="1032" t="n"/>
      <c r="BE2" s="1032" t="n"/>
      <c r="BF2" s="1032" t="n"/>
      <c r="BG2" s="1032" t="n"/>
      <c r="BH2" s="154" t="n"/>
      <c r="BI2" s="1032" t="n"/>
      <c r="BJ2" s="1032" t="n"/>
      <c r="BK2" s="1032" t="n"/>
      <c r="BL2" s="1032" t="n"/>
      <c r="BM2" s="1032" t="n"/>
      <c r="BN2" s="154" t="n"/>
    </row>
    <row r="3" ht="24" customHeight="1" s="1883">
      <c r="B3" s="1025" t="n"/>
      <c r="C3" s="1033" t="inlineStr">
        <is>
          <t>Assumptions</t>
        </is>
      </c>
      <c r="D3" s="1034" t="n"/>
      <c r="E3" s="1035" t="n">
        <v>-2</v>
      </c>
      <c r="F3" s="1035" t="n">
        <v>-1</v>
      </c>
      <c r="G3" s="1036" t="inlineStr">
        <is>
          <t>M1</t>
        </is>
      </c>
      <c r="H3" s="1036" t="inlineStr">
        <is>
          <t>M2</t>
        </is>
      </c>
      <c r="I3" s="1036" t="inlineStr">
        <is>
          <t>M3</t>
        </is>
      </c>
      <c r="J3" s="1036" t="inlineStr">
        <is>
          <t>M4</t>
        </is>
      </c>
      <c r="K3" s="1036" t="inlineStr">
        <is>
          <t>M5</t>
        </is>
      </c>
      <c r="L3" s="155" t="inlineStr">
        <is>
          <t>M6</t>
        </is>
      </c>
      <c r="M3" s="1036" t="inlineStr">
        <is>
          <t>M7</t>
        </is>
      </c>
      <c r="N3" s="1036" t="inlineStr">
        <is>
          <t>M8</t>
        </is>
      </c>
      <c r="O3" s="1036" t="inlineStr">
        <is>
          <t>M9</t>
        </is>
      </c>
      <c r="P3" s="1036" t="inlineStr">
        <is>
          <t>M10</t>
        </is>
      </c>
      <c r="Q3" s="1036" t="inlineStr">
        <is>
          <t>M11</t>
        </is>
      </c>
      <c r="R3" s="155" t="inlineStr">
        <is>
          <t>M12</t>
        </is>
      </c>
      <c r="S3" s="1036" t="inlineStr">
        <is>
          <t>M13</t>
        </is>
      </c>
      <c r="T3" s="1036" t="inlineStr">
        <is>
          <t>M14</t>
        </is>
      </c>
      <c r="U3" s="1036" t="inlineStr">
        <is>
          <t>M15</t>
        </is>
      </c>
      <c r="V3" s="1036" t="inlineStr">
        <is>
          <t>M16</t>
        </is>
      </c>
      <c r="W3" s="1036" t="inlineStr">
        <is>
          <t>M17</t>
        </is>
      </c>
      <c r="X3" s="155" t="inlineStr">
        <is>
          <t>M18</t>
        </is>
      </c>
      <c r="Y3" s="1036" t="inlineStr">
        <is>
          <t>M19</t>
        </is>
      </c>
      <c r="Z3" s="1036" t="inlineStr">
        <is>
          <t>M20</t>
        </is>
      </c>
      <c r="AA3" s="1036" t="inlineStr">
        <is>
          <t>M21</t>
        </is>
      </c>
      <c r="AB3" s="1036" t="inlineStr">
        <is>
          <t>M22</t>
        </is>
      </c>
      <c r="AC3" s="1036" t="inlineStr">
        <is>
          <t>M23</t>
        </is>
      </c>
      <c r="AD3" s="155" t="inlineStr">
        <is>
          <t>M24</t>
        </is>
      </c>
      <c r="AE3" s="1036" t="inlineStr">
        <is>
          <t>M25</t>
        </is>
      </c>
      <c r="AF3" s="1036" t="inlineStr">
        <is>
          <t>M26</t>
        </is>
      </c>
      <c r="AG3" s="1036" t="inlineStr">
        <is>
          <t>M27</t>
        </is>
      </c>
      <c r="AH3" s="1036" t="inlineStr">
        <is>
          <t>M28</t>
        </is>
      </c>
      <c r="AI3" s="1036" t="inlineStr">
        <is>
          <t>M29</t>
        </is>
      </c>
      <c r="AJ3" s="155" t="inlineStr">
        <is>
          <t>M30</t>
        </is>
      </c>
      <c r="AK3" s="1036" t="inlineStr">
        <is>
          <t>M31</t>
        </is>
      </c>
      <c r="AL3" s="1036" t="inlineStr">
        <is>
          <t>M32</t>
        </is>
      </c>
      <c r="AM3" s="1036" t="inlineStr">
        <is>
          <t>M33</t>
        </is>
      </c>
      <c r="AN3" s="1036" t="inlineStr">
        <is>
          <t>M34</t>
        </is>
      </c>
      <c r="AO3" s="1036" t="inlineStr">
        <is>
          <t>M35</t>
        </is>
      </c>
      <c r="AP3" s="155" t="inlineStr">
        <is>
          <t>M36</t>
        </is>
      </c>
      <c r="AQ3" s="1036" t="inlineStr">
        <is>
          <t>M37</t>
        </is>
      </c>
      <c r="AR3" s="1036" t="inlineStr">
        <is>
          <t>M38</t>
        </is>
      </c>
      <c r="AS3" s="1036" t="inlineStr">
        <is>
          <t>M39</t>
        </is>
      </c>
      <c r="AT3" s="1036" t="inlineStr">
        <is>
          <t>M40</t>
        </is>
      </c>
      <c r="AU3" s="1036" t="inlineStr">
        <is>
          <t>M41</t>
        </is>
      </c>
      <c r="AV3" s="155" t="inlineStr">
        <is>
          <t>M42</t>
        </is>
      </c>
      <c r="AW3" s="1036" t="inlineStr">
        <is>
          <t>M43</t>
        </is>
      </c>
      <c r="AX3" s="1036" t="inlineStr">
        <is>
          <t>M44</t>
        </is>
      </c>
      <c r="AY3" s="1036" t="inlineStr">
        <is>
          <t>M45</t>
        </is>
      </c>
      <c r="AZ3" s="1036" t="inlineStr">
        <is>
          <t>M46</t>
        </is>
      </c>
      <c r="BA3" s="1036" t="inlineStr">
        <is>
          <t>M47</t>
        </is>
      </c>
      <c r="BB3" s="155" t="inlineStr">
        <is>
          <t>M48</t>
        </is>
      </c>
      <c r="BC3" s="1036" t="inlineStr">
        <is>
          <t>M49</t>
        </is>
      </c>
      <c r="BD3" s="1036" t="inlineStr">
        <is>
          <t>M50</t>
        </is>
      </c>
      <c r="BE3" s="1036" t="inlineStr">
        <is>
          <t>M51</t>
        </is>
      </c>
      <c r="BF3" s="1036" t="inlineStr">
        <is>
          <t>M52</t>
        </is>
      </c>
      <c r="BG3" s="1036" t="inlineStr">
        <is>
          <t>M53</t>
        </is>
      </c>
      <c r="BH3" s="155" t="inlineStr">
        <is>
          <t>M54</t>
        </is>
      </c>
      <c r="BI3" s="1036" t="inlineStr">
        <is>
          <t>M55</t>
        </is>
      </c>
      <c r="BJ3" s="1036" t="inlineStr">
        <is>
          <t>M56</t>
        </is>
      </c>
      <c r="BK3" s="1036" t="inlineStr">
        <is>
          <t>M57</t>
        </is>
      </c>
      <c r="BL3" s="1036" t="inlineStr">
        <is>
          <t>M58</t>
        </is>
      </c>
      <c r="BM3" s="1036" t="inlineStr">
        <is>
          <t>M59</t>
        </is>
      </c>
      <c r="BN3" s="155" t="inlineStr">
        <is>
          <t>M60</t>
        </is>
      </c>
    </row>
    <row r="4" ht="12.75" customHeight="1" s="1883">
      <c r="B4" s="1928" t="inlineStr">
        <is>
          <t xml:space="preserve">General &amp; Administrative Expenses </t>
        </is>
      </c>
      <c r="C4" s="1038" t="n"/>
      <c r="D4" s="55" t="n"/>
      <c r="E4" s="57" t="n"/>
      <c r="F4" s="57" t="n"/>
      <c r="G4" s="58" t="n"/>
      <c r="H4" s="59" t="n"/>
      <c r="I4" s="59" t="n"/>
      <c r="J4" s="59" t="n"/>
      <c r="K4" s="59" t="n"/>
      <c r="L4" s="1039" t="n"/>
      <c r="M4" s="59" t="n"/>
      <c r="N4" s="59" t="n"/>
      <c r="O4" s="59" t="n"/>
      <c r="P4" s="59" t="n"/>
      <c r="Q4" s="59" t="n"/>
      <c r="R4" s="1039" t="n"/>
      <c r="S4" s="59" t="n"/>
      <c r="T4" s="59" t="n"/>
      <c r="U4" s="59" t="n"/>
      <c r="V4" s="59" t="n"/>
      <c r="W4" s="59" t="n"/>
      <c r="X4" s="1039" t="n"/>
      <c r="Y4" s="59" t="n"/>
      <c r="Z4" s="59" t="n"/>
      <c r="AA4" s="59" t="n"/>
      <c r="AB4" s="59" t="n"/>
      <c r="AC4" s="59" t="n"/>
      <c r="AD4" s="1039" t="n"/>
      <c r="AE4" s="59" t="n"/>
      <c r="AF4" s="59" t="n"/>
      <c r="AG4" s="59" t="n"/>
      <c r="AH4" s="59" t="n"/>
      <c r="AI4" s="59" t="n"/>
      <c r="AJ4" s="1039" t="n"/>
      <c r="AK4" s="59" t="n"/>
      <c r="AL4" s="59" t="n"/>
      <c r="AM4" s="59" t="n"/>
      <c r="AN4" s="59" t="n"/>
      <c r="AO4" s="59" t="n"/>
      <c r="AP4" s="1039" t="n"/>
      <c r="AQ4" s="59" t="n"/>
      <c r="AR4" s="59" t="n"/>
      <c r="AS4" s="59" t="n"/>
      <c r="AT4" s="59" t="n"/>
      <c r="AU4" s="59" t="n"/>
      <c r="AV4" s="1039" t="n"/>
      <c r="AW4" s="59" t="n"/>
      <c r="AX4" s="59" t="n"/>
      <c r="AY4" s="59" t="n"/>
      <c r="AZ4" s="59" t="n"/>
      <c r="BA4" s="59" t="n"/>
      <c r="BB4" s="1039" t="n"/>
      <c r="BC4" s="59" t="n"/>
      <c r="BD4" s="59" t="n"/>
      <c r="BE4" s="59" t="n"/>
      <c r="BF4" s="59" t="n"/>
      <c r="BG4" s="59" t="n"/>
      <c r="BH4" s="1039" t="n"/>
      <c r="BI4" s="59" t="n"/>
      <c r="BJ4" s="59" t="n"/>
      <c r="BK4" s="59" t="n"/>
      <c r="BL4" s="59" t="n"/>
      <c r="BM4" s="59" t="n"/>
      <c r="BN4" s="1039" t="n"/>
    </row>
    <row r="5" ht="12.75" customHeight="1" s="1883">
      <c r="B5" s="672" t="n"/>
      <c r="C5" s="1040" t="n"/>
      <c r="D5" s="672" t="n"/>
      <c r="E5" s="1041" t="n"/>
      <c r="F5" s="1041" t="n"/>
      <c r="G5" s="1042" t="n"/>
      <c r="H5" s="1042" t="n"/>
      <c r="I5" s="1042" t="n"/>
      <c r="J5" s="1042" t="n"/>
      <c r="K5" s="1042" t="n"/>
      <c r="L5" s="156" t="n"/>
      <c r="M5" s="1042" t="n"/>
      <c r="N5" s="1042" t="n"/>
      <c r="O5" s="1042" t="n"/>
      <c r="P5" s="1042" t="n"/>
      <c r="Q5" s="1042" t="n"/>
      <c r="R5" s="156" t="n"/>
      <c r="S5" s="1042" t="n"/>
      <c r="T5" s="1042" t="n"/>
      <c r="U5" s="1042" t="n"/>
      <c r="V5" s="1042" t="n"/>
      <c r="W5" s="1042" t="n"/>
      <c r="X5" s="156" t="n"/>
      <c r="Y5" s="1042" t="n"/>
      <c r="Z5" s="1042" t="n"/>
      <c r="AA5" s="1042" t="n"/>
      <c r="AB5" s="1042" t="n"/>
      <c r="AC5" s="1042" t="n"/>
      <c r="AD5" s="156" t="n"/>
      <c r="AE5" s="1042" t="n"/>
      <c r="AF5" s="1042" t="n"/>
      <c r="AG5" s="1042" t="n"/>
      <c r="AH5" s="1042" t="n"/>
      <c r="AI5" s="1042" t="n"/>
      <c r="AJ5" s="156" t="n"/>
      <c r="AK5" s="1042" t="n"/>
      <c r="AL5" s="1042" t="n"/>
      <c r="AM5" s="1042" t="n"/>
      <c r="AN5" s="1042" t="n"/>
      <c r="AO5" s="1042" t="n"/>
      <c r="AP5" s="156" t="n"/>
      <c r="AQ5" s="1042" t="n"/>
      <c r="AR5" s="1042" t="n"/>
      <c r="AS5" s="1042" t="n"/>
      <c r="AT5" s="1042" t="n"/>
      <c r="AU5" s="1042" t="n"/>
      <c r="AV5" s="156" t="n"/>
      <c r="AW5" s="1042" t="n"/>
      <c r="AX5" s="1042" t="n"/>
      <c r="AY5" s="1042" t="n"/>
      <c r="AZ5" s="1042" t="n"/>
      <c r="BA5" s="1042" t="n"/>
      <c r="BB5" s="156" t="n"/>
      <c r="BC5" s="1042" t="n"/>
      <c r="BD5" s="1042" t="n"/>
      <c r="BE5" s="1042" t="n"/>
      <c r="BF5" s="1042" t="n"/>
      <c r="BG5" s="1042" t="n"/>
      <c r="BH5" s="156" t="n"/>
      <c r="BI5" s="1042" t="n"/>
      <c r="BJ5" s="1042" t="n"/>
      <c r="BK5" s="1042" t="n"/>
      <c r="BL5" s="1042" t="n"/>
      <c r="BM5" s="1042" t="n"/>
      <c r="BN5" s="156" t="n"/>
    </row>
    <row r="6" ht="12.75" customHeight="1" s="1883">
      <c r="B6" s="1043" t="inlineStr">
        <is>
          <t>G&amp;A</t>
        </is>
      </c>
      <c r="C6" s="1918" t="inlineStr">
        <is>
          <t>Rent</t>
        </is>
      </c>
      <c r="D6" s="1045" t="inlineStr">
        <is>
          <t>What is Office Strategy - locations, what for (sales office, full admin office etc), when etc</t>
        </is>
      </c>
      <c r="E6" s="1041" t="n"/>
      <c r="F6" s="1041" t="n"/>
      <c r="G6" s="1042" t="n"/>
      <c r="H6" s="1042" t="n"/>
      <c r="I6" s="1042" t="n"/>
      <c r="J6" s="1042" t="n"/>
      <c r="K6" s="1042" t="n"/>
      <c r="L6" s="156" t="n"/>
      <c r="M6" s="1042" t="n"/>
      <c r="N6" s="1042" t="n"/>
      <c r="O6" s="1042" t="n"/>
      <c r="P6" s="1042" t="n"/>
      <c r="Q6" s="1042" t="n"/>
      <c r="R6" s="156" t="n"/>
      <c r="S6" s="1042" t="n"/>
      <c r="T6" s="1042" t="n"/>
      <c r="U6" s="1042" t="n"/>
      <c r="V6" s="1042" t="n"/>
      <c r="W6" s="1042" t="n"/>
      <c r="X6" s="156" t="n"/>
      <c r="Y6" s="1042" t="n"/>
      <c r="Z6" s="1042" t="n"/>
      <c r="AA6" s="1042" t="n"/>
      <c r="AB6" s="1042" t="n"/>
      <c r="AC6" s="1042" t="n"/>
      <c r="AD6" s="156" t="n"/>
      <c r="AE6" s="1042" t="n"/>
      <c r="AF6" s="1042" t="n"/>
      <c r="AG6" s="1042" t="n"/>
      <c r="AH6" s="1042" t="n"/>
      <c r="AI6" s="1042" t="n"/>
      <c r="AJ6" s="156" t="n"/>
      <c r="AK6" s="1042" t="n"/>
      <c r="AL6" s="1042" t="n"/>
      <c r="AM6" s="1042" t="n"/>
      <c r="AN6" s="1042" t="n"/>
      <c r="AO6" s="1042" t="n"/>
      <c r="AP6" s="156" t="n"/>
      <c r="AQ6" s="1042" t="n"/>
      <c r="AR6" s="1042" t="n"/>
      <c r="AS6" s="1042" t="n"/>
      <c r="AT6" s="1042" t="n"/>
      <c r="AU6" s="1042" t="n"/>
      <c r="AV6" s="156" t="n"/>
      <c r="AW6" s="1042" t="n"/>
      <c r="AX6" s="1042" t="n"/>
      <c r="AY6" s="1042" t="n"/>
      <c r="AZ6" s="1042" t="n"/>
      <c r="BA6" s="1042" t="n"/>
      <c r="BB6" s="156" t="n"/>
      <c r="BC6" s="1042" t="n"/>
      <c r="BD6" s="1042" t="n"/>
      <c r="BE6" s="1042" t="n"/>
      <c r="BF6" s="1042" t="n"/>
      <c r="BG6" s="1042" t="n"/>
      <c r="BH6" s="156" t="n"/>
      <c r="BI6" s="1042" t="n"/>
      <c r="BJ6" s="1042" t="n"/>
      <c r="BK6" s="1042" t="n"/>
      <c r="BL6" s="1042" t="n"/>
      <c r="BM6" s="1042" t="n"/>
      <c r="BN6" s="156" t="n"/>
    </row>
    <row r="7" ht="12.75" customHeight="1" s="1883">
      <c r="B7" s="672" t="n"/>
      <c r="C7" s="1046" t="n"/>
      <c r="D7" s="1047" t="n"/>
      <c r="E7" s="671" t="n"/>
      <c r="F7" s="671" t="inlineStr">
        <is>
          <t>Headcount - Office</t>
        </is>
      </c>
      <c r="G7" s="1639">
        <f>'5A. People Cost Roll-Up'!AM19</f>
        <v/>
      </c>
      <c r="H7" s="1639">
        <f>'5A. People Cost Roll-Up'!AN19</f>
        <v/>
      </c>
      <c r="I7" s="1639">
        <f>'5A. People Cost Roll-Up'!AO19</f>
        <v/>
      </c>
      <c r="J7" s="1639">
        <f>'5A. People Cost Roll-Up'!AP19</f>
        <v/>
      </c>
      <c r="K7" s="1639">
        <f>'5A. People Cost Roll-Up'!AQ19</f>
        <v/>
      </c>
      <c r="L7" s="1639">
        <f>'5A. People Cost Roll-Up'!AR19</f>
        <v/>
      </c>
      <c r="M7" s="1639">
        <f>'5A. People Cost Roll-Up'!AS19</f>
        <v/>
      </c>
      <c r="N7" s="1639">
        <f>'5A. People Cost Roll-Up'!AT19</f>
        <v/>
      </c>
      <c r="O7" s="1639">
        <f>'5A. People Cost Roll-Up'!AU19</f>
        <v/>
      </c>
      <c r="P7" s="1639">
        <f>'5A. People Cost Roll-Up'!AV19</f>
        <v/>
      </c>
      <c r="Q7" s="1639">
        <f>'5A. People Cost Roll-Up'!AW19</f>
        <v/>
      </c>
      <c r="R7" s="1639">
        <f>'5A. People Cost Roll-Up'!AX19</f>
        <v/>
      </c>
      <c r="S7" s="1049">
        <f>'5A. People Cost Roll-Up'!BA19</f>
        <v/>
      </c>
      <c r="T7" s="1049">
        <f>'5A. People Cost Roll-Up'!BB19</f>
        <v/>
      </c>
      <c r="U7" s="1049">
        <f>'5A. People Cost Roll-Up'!BC19</f>
        <v/>
      </c>
      <c r="V7" s="1049">
        <f>'5A. People Cost Roll-Up'!BD19</f>
        <v/>
      </c>
      <c r="W7" s="1049">
        <f>'5A. People Cost Roll-Up'!BE19</f>
        <v/>
      </c>
      <c r="X7" s="1049">
        <f>'5A. People Cost Roll-Up'!BF19</f>
        <v/>
      </c>
      <c r="Y7" s="1049">
        <f>'5A. People Cost Roll-Up'!BG19</f>
        <v/>
      </c>
      <c r="Z7" s="1049">
        <f>'5A. People Cost Roll-Up'!BH19</f>
        <v/>
      </c>
      <c r="AA7" s="1049">
        <f>'5A. People Cost Roll-Up'!BI19</f>
        <v/>
      </c>
      <c r="AB7" s="1049">
        <f>'5A. People Cost Roll-Up'!BJ19</f>
        <v/>
      </c>
      <c r="AC7" s="1049">
        <f>'5A. People Cost Roll-Up'!BK19</f>
        <v/>
      </c>
      <c r="AD7" s="1049">
        <f>'5A. People Cost Roll-Up'!BL19</f>
        <v/>
      </c>
      <c r="AE7" s="1049">
        <f>'5A. People Cost Roll-Up'!BO19</f>
        <v/>
      </c>
      <c r="AF7" s="1049">
        <f>'5A. People Cost Roll-Up'!BP19</f>
        <v/>
      </c>
      <c r="AG7" s="1049">
        <f>'5A. People Cost Roll-Up'!BQ19</f>
        <v/>
      </c>
      <c r="AH7" s="1049">
        <f>'5A. People Cost Roll-Up'!BR19</f>
        <v/>
      </c>
      <c r="AI7" s="1049">
        <f>'5A. People Cost Roll-Up'!BS19</f>
        <v/>
      </c>
      <c r="AJ7" s="1049">
        <f>'5A. People Cost Roll-Up'!BT19</f>
        <v/>
      </c>
      <c r="AK7" s="1049">
        <f>'5A. People Cost Roll-Up'!BU19</f>
        <v/>
      </c>
      <c r="AL7" s="1049">
        <f>'5A. People Cost Roll-Up'!BV19</f>
        <v/>
      </c>
      <c r="AM7" s="1049">
        <f>'5A. People Cost Roll-Up'!BW19</f>
        <v/>
      </c>
      <c r="AN7" s="1049">
        <f>'5A. People Cost Roll-Up'!BX19</f>
        <v/>
      </c>
      <c r="AO7" s="1049">
        <f>'5A. People Cost Roll-Up'!BY19</f>
        <v/>
      </c>
      <c r="AP7" s="1049">
        <f>'5A. People Cost Roll-Up'!BZ19</f>
        <v/>
      </c>
      <c r="AQ7" s="1049">
        <f>'5A. People Cost Roll-Up'!CC19</f>
        <v/>
      </c>
      <c r="AR7" s="1049">
        <f>'5A. People Cost Roll-Up'!CD19</f>
        <v/>
      </c>
      <c r="AS7" s="1049">
        <f>'5A. People Cost Roll-Up'!CE19</f>
        <v/>
      </c>
      <c r="AT7" s="1049">
        <f>'5A. People Cost Roll-Up'!CF19</f>
        <v/>
      </c>
      <c r="AU7" s="1049">
        <f>'5A. People Cost Roll-Up'!CG19</f>
        <v/>
      </c>
      <c r="AV7" s="1049">
        <f>'5A. People Cost Roll-Up'!CH19</f>
        <v/>
      </c>
      <c r="AW7" s="1049">
        <f>'5A. People Cost Roll-Up'!CI19</f>
        <v/>
      </c>
      <c r="AX7" s="1049">
        <f>'5A. People Cost Roll-Up'!CJ19</f>
        <v/>
      </c>
      <c r="AY7" s="1049">
        <f>'5A. People Cost Roll-Up'!CK19</f>
        <v/>
      </c>
      <c r="AZ7" s="1049">
        <f>'5A. People Cost Roll-Up'!CL19</f>
        <v/>
      </c>
      <c r="BA7" s="1049">
        <f>'5A. People Cost Roll-Up'!CM19</f>
        <v/>
      </c>
      <c r="BB7" s="1049">
        <f>'5A. People Cost Roll-Up'!CN19</f>
        <v/>
      </c>
      <c r="BC7" s="1049">
        <f>'5A. People Cost Roll-Up'!CQ19</f>
        <v/>
      </c>
      <c r="BD7" s="1049">
        <f>'5A. People Cost Roll-Up'!CR19</f>
        <v/>
      </c>
      <c r="BE7" s="1049">
        <f>'5A. People Cost Roll-Up'!CS19</f>
        <v/>
      </c>
      <c r="BF7" s="1049">
        <f>'5A. People Cost Roll-Up'!CT19</f>
        <v/>
      </c>
      <c r="BG7" s="1049">
        <f>'5A. People Cost Roll-Up'!CU19</f>
        <v/>
      </c>
      <c r="BH7" s="1049">
        <f>'5A. People Cost Roll-Up'!CV19</f>
        <v/>
      </c>
      <c r="BI7" s="1049">
        <f>'5A. People Cost Roll-Up'!CW19</f>
        <v/>
      </c>
      <c r="BJ7" s="1049">
        <f>'5A. People Cost Roll-Up'!CX19</f>
        <v/>
      </c>
      <c r="BK7" s="1049">
        <f>'5A. People Cost Roll-Up'!CY19</f>
        <v/>
      </c>
      <c r="BL7" s="1049">
        <f>'5A. People Cost Roll-Up'!CZ19</f>
        <v/>
      </c>
      <c r="BM7" s="1049">
        <f>'5A. People Cost Roll-Up'!DA19</f>
        <v/>
      </c>
      <c r="BN7" s="1049">
        <f>'5A. People Cost Roll-Up'!DB19</f>
        <v/>
      </c>
    </row>
    <row r="8" ht="12.75" customHeight="1" s="1883">
      <c r="B8" s="672" t="n"/>
      <c r="C8" s="1046" t="n"/>
      <c r="D8" s="1047" t="n"/>
      <c r="E8" s="671" t="n"/>
      <c r="F8" s="671" t="inlineStr">
        <is>
          <t>sq.ft avg/employee</t>
        </is>
      </c>
      <c r="G8" s="1050" t="n">
        <v>150</v>
      </c>
      <c r="H8" s="62">
        <f>+G8</f>
        <v/>
      </c>
      <c r="I8" s="62">
        <f>+H8</f>
        <v/>
      </c>
      <c r="J8" s="62">
        <f>+I8</f>
        <v/>
      </c>
      <c r="K8" s="62">
        <f>+J8</f>
        <v/>
      </c>
      <c r="L8" s="1051">
        <f>+K8</f>
        <v/>
      </c>
      <c r="M8" s="62">
        <f>+L8</f>
        <v/>
      </c>
      <c r="N8" s="62">
        <f>+M8</f>
        <v/>
      </c>
      <c r="O8" s="62">
        <f>+N8</f>
        <v/>
      </c>
      <c r="P8" s="62">
        <f>+O8</f>
        <v/>
      </c>
      <c r="Q8" s="62">
        <f>+P8</f>
        <v/>
      </c>
      <c r="R8" s="1051">
        <f>+Q8</f>
        <v/>
      </c>
      <c r="S8" s="62" t="n">
        <v>165</v>
      </c>
      <c r="T8" s="62">
        <f>+S8</f>
        <v/>
      </c>
      <c r="U8" s="62">
        <f>+T8</f>
        <v/>
      </c>
      <c r="V8" s="62">
        <f>+U8</f>
        <v/>
      </c>
      <c r="W8" s="62">
        <f>+V8</f>
        <v/>
      </c>
      <c r="X8" s="1051">
        <f>+W8</f>
        <v/>
      </c>
      <c r="Y8" s="62">
        <f>+X8</f>
        <v/>
      </c>
      <c r="Z8" s="62">
        <f>+Y8</f>
        <v/>
      </c>
      <c r="AA8" s="62">
        <f>+Z8</f>
        <v/>
      </c>
      <c r="AB8" s="62">
        <f>+AA8</f>
        <v/>
      </c>
      <c r="AC8" s="62">
        <f>+AB8</f>
        <v/>
      </c>
      <c r="AD8" s="1051">
        <f>+AC8</f>
        <v/>
      </c>
      <c r="AE8" s="62" t="n">
        <v>175</v>
      </c>
      <c r="AF8" s="62">
        <f>+AE8</f>
        <v/>
      </c>
      <c r="AG8" s="62">
        <f>+AF8</f>
        <v/>
      </c>
      <c r="AH8" s="62">
        <f>+AG8</f>
        <v/>
      </c>
      <c r="AI8" s="62">
        <f>+AH8</f>
        <v/>
      </c>
      <c r="AJ8" s="1051">
        <f>+AI8</f>
        <v/>
      </c>
      <c r="AK8" s="62">
        <f>+AJ8</f>
        <v/>
      </c>
      <c r="AL8" s="62">
        <f>+AK8</f>
        <v/>
      </c>
      <c r="AM8" s="62">
        <f>+AL8</f>
        <v/>
      </c>
      <c r="AN8" s="62">
        <f>+AM8</f>
        <v/>
      </c>
      <c r="AO8" s="62">
        <f>+AN8</f>
        <v/>
      </c>
      <c r="AP8" s="1051">
        <f>+AO8</f>
        <v/>
      </c>
      <c r="AQ8" s="62" t="n">
        <v>195</v>
      </c>
      <c r="AR8" s="62">
        <f>+AQ8</f>
        <v/>
      </c>
      <c r="AS8" s="62">
        <f>+AR8</f>
        <v/>
      </c>
      <c r="AT8" s="62">
        <f>+AS8</f>
        <v/>
      </c>
      <c r="AU8" s="62">
        <f>+AT8</f>
        <v/>
      </c>
      <c r="AV8" s="1051">
        <f>+AU8</f>
        <v/>
      </c>
      <c r="AW8" s="62">
        <f>+AV8</f>
        <v/>
      </c>
      <c r="AX8" s="62">
        <f>+AW8</f>
        <v/>
      </c>
      <c r="AY8" s="62">
        <f>+AX8</f>
        <v/>
      </c>
      <c r="AZ8" s="62">
        <f>+AY8</f>
        <v/>
      </c>
      <c r="BA8" s="62">
        <f>+AZ8</f>
        <v/>
      </c>
      <c r="BB8" s="1051">
        <f>+BA8</f>
        <v/>
      </c>
      <c r="BC8" s="62" t="n">
        <v>214</v>
      </c>
      <c r="BD8" s="62">
        <f>+BC8</f>
        <v/>
      </c>
      <c r="BE8" s="62">
        <f>+BD8</f>
        <v/>
      </c>
      <c r="BF8" s="62">
        <f>+BE8</f>
        <v/>
      </c>
      <c r="BG8" s="62">
        <f>+BF8</f>
        <v/>
      </c>
      <c r="BH8" s="1051">
        <f>+BG8</f>
        <v/>
      </c>
      <c r="BI8" s="62">
        <f>+BH8</f>
        <v/>
      </c>
      <c r="BJ8" s="62">
        <f>+BI8</f>
        <v/>
      </c>
      <c r="BK8" s="62">
        <f>+BJ8</f>
        <v/>
      </c>
      <c r="BL8" s="62">
        <f>+BK8</f>
        <v/>
      </c>
      <c r="BM8" s="62">
        <f>+BL8</f>
        <v/>
      </c>
      <c r="BN8" s="1051">
        <f>+BM8</f>
        <v/>
      </c>
    </row>
    <row r="9" ht="12.75" customHeight="1" s="1883">
      <c r="B9" s="672" t="n"/>
      <c r="C9" s="1046" t="n"/>
      <c r="D9" s="1047" t="n"/>
      <c r="E9" s="671" t="n"/>
      <c r="F9" s="671" t="inlineStr">
        <is>
          <t>Sq Ft Required</t>
        </is>
      </c>
      <c r="G9" s="1052">
        <f>+'4B. Tel. Expense Assumptions'!R9</f>
        <v/>
      </c>
      <c r="H9" s="1052">
        <f>+'4B. Tel. Expense Assumptions'!R9</f>
        <v/>
      </c>
      <c r="I9" s="1052">
        <f>+'4B. Tel. Expense Assumptions'!R9</f>
        <v/>
      </c>
      <c r="J9" s="1052">
        <f>+'4B. Tel. Expense Assumptions'!R9</f>
        <v/>
      </c>
      <c r="K9" s="1052">
        <f>+'4B. Tel. Expense Assumptions'!R9</f>
        <v/>
      </c>
      <c r="L9" s="159">
        <f>+'4B. Tel. Expense Assumptions'!R9</f>
        <v/>
      </c>
      <c r="M9" s="1052">
        <f>+'4B. Tel. Expense Assumptions'!R9</f>
        <v/>
      </c>
      <c r="N9" s="1052">
        <f>+'4B. Tel. Expense Assumptions'!R9</f>
        <v/>
      </c>
      <c r="O9" s="1052">
        <f>+'4B. Tel. Expense Assumptions'!R9</f>
        <v/>
      </c>
      <c r="P9" s="1052">
        <f>+'4B. Tel. Expense Assumptions'!R9</f>
        <v/>
      </c>
      <c r="Q9" s="1052">
        <f>+'4B. Tel. Expense Assumptions'!R9</f>
        <v/>
      </c>
      <c r="R9" s="159">
        <f>+R7*R8</f>
        <v/>
      </c>
      <c r="S9" s="1052">
        <f>+X9</f>
        <v/>
      </c>
      <c r="T9" s="1052">
        <f>+X9</f>
        <v/>
      </c>
      <c r="U9" s="1052">
        <f>X9</f>
        <v/>
      </c>
      <c r="V9" s="1052">
        <f>X9</f>
        <v/>
      </c>
      <c r="W9" s="1052">
        <f>+W7*W8</f>
        <v/>
      </c>
      <c r="X9" s="159">
        <f>+X7*X8</f>
        <v/>
      </c>
      <c r="Y9" s="1052">
        <f>AD9</f>
        <v/>
      </c>
      <c r="Z9" s="1052">
        <f>AD9</f>
        <v/>
      </c>
      <c r="AA9" s="1052">
        <f>+AD9</f>
        <v/>
      </c>
      <c r="AB9" s="1052">
        <f>+AB7*AB8</f>
        <v/>
      </c>
      <c r="AC9" s="1052">
        <f>+AC7*AC8</f>
        <v/>
      </c>
      <c r="AD9" s="159">
        <f>AD7*AD8</f>
        <v/>
      </c>
      <c r="AE9" s="1052">
        <f>+AE7*AE8</f>
        <v/>
      </c>
      <c r="AF9" s="1052">
        <f>+AF7*AF8</f>
        <v/>
      </c>
      <c r="AG9" s="1052">
        <f>+AG7*AG8</f>
        <v/>
      </c>
      <c r="AH9" s="1052">
        <f>+AH7*AH8</f>
        <v/>
      </c>
      <c r="AI9" s="1052">
        <f>+AI7*AI8</f>
        <v/>
      </c>
      <c r="AJ9" s="159">
        <f>+AJ7*AJ8</f>
        <v/>
      </c>
      <c r="AK9" s="1052">
        <f>+AK7*AK8</f>
        <v/>
      </c>
      <c r="AL9" s="1052">
        <f>+AL7*AL8</f>
        <v/>
      </c>
      <c r="AM9" s="1052">
        <f>+AM7*AM8</f>
        <v/>
      </c>
      <c r="AN9" s="1052">
        <f>+AN7*AN8</f>
        <v/>
      </c>
      <c r="AO9" s="1052">
        <f>+AO7*AO8</f>
        <v/>
      </c>
      <c r="AP9" s="159">
        <f>+AP7*AP8</f>
        <v/>
      </c>
      <c r="AQ9" s="1052">
        <f>+AQ7*AQ8</f>
        <v/>
      </c>
      <c r="AR9" s="1052">
        <f>+AR7*AR8</f>
        <v/>
      </c>
      <c r="AS9" s="1052">
        <f>+AS7*AS8</f>
        <v/>
      </c>
      <c r="AT9" s="1052">
        <f>+AT7*AT8</f>
        <v/>
      </c>
      <c r="AU9" s="1052">
        <f>+AU7*AU8</f>
        <v/>
      </c>
      <c r="AV9" s="159">
        <f>+AV7*AV8</f>
        <v/>
      </c>
      <c r="AW9" s="1052">
        <f>+AW7*AW8</f>
        <v/>
      </c>
      <c r="AX9" s="1052">
        <f>+AX7*AX8</f>
        <v/>
      </c>
      <c r="AY9" s="1052">
        <f>+AY7*AY8</f>
        <v/>
      </c>
      <c r="AZ9" s="1052">
        <f>+AZ7*AZ8</f>
        <v/>
      </c>
      <c r="BA9" s="1052">
        <f>+BA7*BA8</f>
        <v/>
      </c>
      <c r="BB9" s="159">
        <f>+BB7*BB8</f>
        <v/>
      </c>
      <c r="BC9" s="1052">
        <f>+BC7*BC8</f>
        <v/>
      </c>
      <c r="BD9" s="1052">
        <f>+BD7*BD8</f>
        <v/>
      </c>
      <c r="BE9" s="1052">
        <f>+BE7*BE8</f>
        <v/>
      </c>
      <c r="BF9" s="1052">
        <f>+BF7*BF8</f>
        <v/>
      </c>
      <c r="BG9" s="1052">
        <f>+BG7*BG8</f>
        <v/>
      </c>
      <c r="BH9" s="159">
        <f>+BH7*BH8</f>
        <v/>
      </c>
      <c r="BI9" s="1052">
        <f>+BI7*BI8</f>
        <v/>
      </c>
      <c r="BJ9" s="1052">
        <f>+BJ7*BJ8</f>
        <v/>
      </c>
      <c r="BK9" s="1052">
        <f>+BK7*BK8</f>
        <v/>
      </c>
      <c r="BL9" s="1052">
        <f>+BL7*BL8</f>
        <v/>
      </c>
      <c r="BM9" s="1052">
        <f>+BM7*BM8</f>
        <v/>
      </c>
      <c r="BN9" s="159">
        <f>+BN7*BN8</f>
        <v/>
      </c>
    </row>
    <row r="10" ht="12.75" customHeight="1" s="1883">
      <c r="B10" s="672" t="n"/>
      <c r="C10" s="1046" t="n"/>
      <c r="D10" s="1047" t="n"/>
      <c r="E10" s="671" t="n"/>
      <c r="F10" s="671" t="inlineStr">
        <is>
          <t>Avg Rent in Area (NNN)</t>
        </is>
      </c>
      <c r="G10" s="1053" t="n">
        <v>34.5</v>
      </c>
      <c r="H10" s="2031">
        <f>+G10</f>
        <v/>
      </c>
      <c r="I10" s="2031">
        <f>+H10</f>
        <v/>
      </c>
      <c r="J10" s="2031">
        <f>+I10</f>
        <v/>
      </c>
      <c r="K10" s="2031">
        <f>+J10</f>
        <v/>
      </c>
      <c r="L10" s="2032">
        <f>+K10</f>
        <v/>
      </c>
      <c r="M10" s="2031">
        <f>+L10</f>
        <v/>
      </c>
      <c r="N10" s="2031">
        <f>+M10</f>
        <v/>
      </c>
      <c r="O10" s="2031">
        <f>+N10</f>
        <v/>
      </c>
      <c r="P10" s="2031">
        <f>+O10</f>
        <v/>
      </c>
      <c r="Q10" s="2031">
        <f>+P10</f>
        <v/>
      </c>
      <c r="R10" s="2032">
        <f>+Q10</f>
        <v/>
      </c>
      <c r="S10" s="2031">
        <f>+R10*S11</f>
        <v/>
      </c>
      <c r="T10" s="2031">
        <f>+S10</f>
        <v/>
      </c>
      <c r="U10" s="2031">
        <f>+T10</f>
        <v/>
      </c>
      <c r="V10" s="2031">
        <f>+U10</f>
        <v/>
      </c>
      <c r="W10" s="2031">
        <f>+V10</f>
        <v/>
      </c>
      <c r="X10" s="2032">
        <f>+W10</f>
        <v/>
      </c>
      <c r="Y10" s="2031">
        <f>+X10</f>
        <v/>
      </c>
      <c r="Z10" s="2031">
        <f>+Y10</f>
        <v/>
      </c>
      <c r="AA10" s="2031">
        <f>+Z10</f>
        <v/>
      </c>
      <c r="AB10" s="2031">
        <f>+AA10</f>
        <v/>
      </c>
      <c r="AC10" s="2031">
        <f>+AB10</f>
        <v/>
      </c>
      <c r="AD10" s="2032">
        <f>+AC10</f>
        <v/>
      </c>
      <c r="AE10" s="2031">
        <f>+AD10*AE11</f>
        <v/>
      </c>
      <c r="AF10" s="2031">
        <f>+AE10</f>
        <v/>
      </c>
      <c r="AG10" s="2031">
        <f>+AF10</f>
        <v/>
      </c>
      <c r="AH10" s="2031">
        <f>+AG10</f>
        <v/>
      </c>
      <c r="AI10" s="2031">
        <f>+AH10</f>
        <v/>
      </c>
      <c r="AJ10" s="2032">
        <f>+AI10</f>
        <v/>
      </c>
      <c r="AK10" s="2031">
        <f>+AJ10</f>
        <v/>
      </c>
      <c r="AL10" s="2031">
        <f>+AK10</f>
        <v/>
      </c>
      <c r="AM10" s="2031">
        <f>+AL10</f>
        <v/>
      </c>
      <c r="AN10" s="2031">
        <f>+AM10</f>
        <v/>
      </c>
      <c r="AO10" s="2031">
        <f>+AN10</f>
        <v/>
      </c>
      <c r="AP10" s="2032">
        <f>+AO10</f>
        <v/>
      </c>
      <c r="AQ10" s="2031">
        <f>+AP10*AQ11</f>
        <v/>
      </c>
      <c r="AR10" s="2031">
        <f>+AQ10</f>
        <v/>
      </c>
      <c r="AS10" s="2031">
        <f>+AR10</f>
        <v/>
      </c>
      <c r="AT10" s="2031">
        <f>+AS10</f>
        <v/>
      </c>
      <c r="AU10" s="2031">
        <f>+AT10</f>
        <v/>
      </c>
      <c r="AV10" s="2032">
        <f>+AU10</f>
        <v/>
      </c>
      <c r="AW10" s="2031">
        <f>+AV10</f>
        <v/>
      </c>
      <c r="AX10" s="2031">
        <f>+AW10</f>
        <v/>
      </c>
      <c r="AY10" s="2031">
        <f>+AX10</f>
        <v/>
      </c>
      <c r="AZ10" s="2031">
        <f>+AY10</f>
        <v/>
      </c>
      <c r="BA10" s="2031">
        <f>+AZ10</f>
        <v/>
      </c>
      <c r="BB10" s="2032">
        <f>+BA10</f>
        <v/>
      </c>
      <c r="BC10" s="2031">
        <f>+BB10*BC11</f>
        <v/>
      </c>
      <c r="BD10" s="2031">
        <f>+BC10</f>
        <v/>
      </c>
      <c r="BE10" s="2031">
        <f>+BD10</f>
        <v/>
      </c>
      <c r="BF10" s="2031">
        <f>+BE10</f>
        <v/>
      </c>
      <c r="BG10" s="2031">
        <f>+BF10</f>
        <v/>
      </c>
      <c r="BH10" s="2032">
        <f>+BG10</f>
        <v/>
      </c>
      <c r="BI10" s="2031">
        <f>+BH10</f>
        <v/>
      </c>
      <c r="BJ10" s="2031">
        <f>+BI10</f>
        <v/>
      </c>
      <c r="BK10" s="2031">
        <f>+BJ10</f>
        <v/>
      </c>
      <c r="BL10" s="2031">
        <f>+BK10</f>
        <v/>
      </c>
      <c r="BM10" s="2031">
        <f>+BL10</f>
        <v/>
      </c>
      <c r="BN10" s="2032">
        <f>+BM10</f>
        <v/>
      </c>
    </row>
    <row r="11" ht="12.75" customHeight="1" s="1883">
      <c r="B11" s="672" t="n"/>
      <c r="C11" s="1046" t="n"/>
      <c r="D11" s="1047" t="n"/>
      <c r="E11" s="671" t="n"/>
      <c r="F11" s="671" t="inlineStr">
        <is>
          <t>CPI Adjustment</t>
        </is>
      </c>
      <c r="G11" s="1055" t="n">
        <v>1</v>
      </c>
      <c r="H11" s="1048" t="n"/>
      <c r="I11" s="1048" t="n"/>
      <c r="J11" s="1048" t="n"/>
      <c r="K11" s="1048" t="n"/>
      <c r="L11" s="157" t="n"/>
      <c r="M11" s="1048" t="n"/>
      <c r="N11" s="1048" t="n"/>
      <c r="O11" s="1048" t="n"/>
      <c r="P11" s="1048" t="n"/>
      <c r="Q11" s="1048" t="n"/>
      <c r="R11" s="157" t="n"/>
      <c r="S11" s="1050" t="n">
        <v>1.13</v>
      </c>
      <c r="T11" s="1048" t="n"/>
      <c r="U11" s="1048" t="n"/>
      <c r="V11" s="1048" t="n"/>
      <c r="W11" s="1048" t="n"/>
      <c r="X11" s="157" t="n"/>
      <c r="Y11" s="1048" t="n"/>
      <c r="Z11" s="1048" t="n"/>
      <c r="AA11" s="1048" t="n"/>
      <c r="AB11" s="1048" t="n"/>
      <c r="AC11" s="1048" t="n"/>
      <c r="AD11" s="157" t="n"/>
      <c r="AE11" s="1050" t="n">
        <v>1.1</v>
      </c>
      <c r="AF11" s="1048" t="n"/>
      <c r="AG11" s="1048" t="n"/>
      <c r="AH11" s="1048" t="n"/>
      <c r="AI11" s="1048" t="n"/>
      <c r="AJ11" s="157" t="n"/>
      <c r="AK11" s="1048" t="n"/>
      <c r="AL11" s="1048" t="n"/>
      <c r="AM11" s="1048" t="n"/>
      <c r="AN11" s="1048" t="n"/>
      <c r="AO11" s="1048" t="n"/>
      <c r="AP11" s="157" t="n"/>
      <c r="AQ11" s="1050" t="n">
        <v>1.1</v>
      </c>
      <c r="AR11" s="1048" t="n"/>
      <c r="AS11" s="1048" t="n"/>
      <c r="AT11" s="1048" t="n"/>
      <c r="AU11" s="1048" t="n"/>
      <c r="AV11" s="157" t="n"/>
      <c r="AW11" s="1048" t="n"/>
      <c r="AX11" s="1048" t="n"/>
      <c r="AY11" s="1048" t="n"/>
      <c r="AZ11" s="1048" t="n"/>
      <c r="BA11" s="1048" t="n"/>
      <c r="BB11" s="157" t="n"/>
      <c r="BC11" s="1050" t="n">
        <v>1.12</v>
      </c>
      <c r="BD11" s="1048" t="n"/>
      <c r="BE11" s="1048" t="n"/>
      <c r="BF11" s="1048" t="n"/>
      <c r="BG11" s="1048" t="n"/>
      <c r="BH11" s="157" t="n"/>
      <c r="BI11" s="1048" t="n"/>
      <c r="BJ11" s="1048" t="n"/>
      <c r="BK11" s="1048" t="n"/>
      <c r="BL11" s="1048" t="n"/>
      <c r="BM11" s="1048" t="n"/>
      <c r="BN11" s="157" t="n"/>
    </row>
    <row r="12" ht="12.75" customHeight="1" s="1883">
      <c r="B12" s="1043" t="n"/>
      <c r="C12" s="1928" t="n"/>
      <c r="D12" s="1056" t="n"/>
      <c r="E12" s="1057" t="n"/>
      <c r="F12" s="1058" t="n"/>
      <c r="G12" s="162">
        <f>+(G9*G10)/12</f>
        <v/>
      </c>
      <c r="H12" s="162">
        <f>+(H9*H10)/12</f>
        <v/>
      </c>
      <c r="I12" s="162">
        <f>+(I9*I10)/12</f>
        <v/>
      </c>
      <c r="J12" s="162">
        <f>+(J9*J10)/12</f>
        <v/>
      </c>
      <c r="K12" s="162">
        <f>+(K9*K10)/12</f>
        <v/>
      </c>
      <c r="L12" s="161">
        <f>+(L9*L10)/12</f>
        <v/>
      </c>
      <c r="M12" s="162">
        <f>+(M9*M10)/12</f>
        <v/>
      </c>
      <c r="N12" s="162">
        <f>+(N9*N10)/12</f>
        <v/>
      </c>
      <c r="O12" s="162">
        <f>+(O9*O10)/12</f>
        <v/>
      </c>
      <c r="P12" s="162">
        <f>+(P9*P10)/12</f>
        <v/>
      </c>
      <c r="Q12" s="162">
        <f>+(Q9*Q10)/12</f>
        <v/>
      </c>
      <c r="R12" s="161">
        <f>+(R9*R10)/12</f>
        <v/>
      </c>
      <c r="S12" s="162">
        <f>+(S9*S10)/12</f>
        <v/>
      </c>
      <c r="T12" s="162">
        <f>+(T9*T10)/12</f>
        <v/>
      </c>
      <c r="U12" s="162">
        <f>+(U9*U10)/12</f>
        <v/>
      </c>
      <c r="V12" s="162">
        <f>+(V9*V10)/12</f>
        <v/>
      </c>
      <c r="W12" s="162">
        <f>+(W9*W10)/12</f>
        <v/>
      </c>
      <c r="X12" s="161">
        <f>+(X9*X10)/12</f>
        <v/>
      </c>
      <c r="Y12" s="162">
        <f>+(Y9*Y10)/12</f>
        <v/>
      </c>
      <c r="Z12" s="162">
        <f>+(Z9*Z10)/12</f>
        <v/>
      </c>
      <c r="AA12" s="162">
        <f>+(AA9*AA10)/12</f>
        <v/>
      </c>
      <c r="AB12" s="162">
        <f>+(AB9*AB10)/12</f>
        <v/>
      </c>
      <c r="AC12" s="162">
        <f>+(AC9*AC10)/12</f>
        <v/>
      </c>
      <c r="AD12" s="161">
        <f>+(AD9*AD10)/12</f>
        <v/>
      </c>
      <c r="AE12" s="162">
        <f>+(AE9*AE10)/12</f>
        <v/>
      </c>
      <c r="AF12" s="162">
        <f>+(AF9*AF10)/12</f>
        <v/>
      </c>
      <c r="AG12" s="162">
        <f>+(AG9*AG10)/12</f>
        <v/>
      </c>
      <c r="AH12" s="162">
        <f>+(AH9*AH10)/12</f>
        <v/>
      </c>
      <c r="AI12" s="162">
        <f>+(AI9*AI10)/12</f>
        <v/>
      </c>
      <c r="AJ12" s="161">
        <f>+(AJ9*AJ10)/12</f>
        <v/>
      </c>
      <c r="AK12" s="162">
        <f>+(AK9*AK10)/12</f>
        <v/>
      </c>
      <c r="AL12" s="162">
        <f>+(AL9*AL10)/12</f>
        <v/>
      </c>
      <c r="AM12" s="162">
        <f>+(AM9*AM10)/12</f>
        <v/>
      </c>
      <c r="AN12" s="162">
        <f>+(AN9*AN10)/12</f>
        <v/>
      </c>
      <c r="AO12" s="162">
        <f>+(AO9*AO10)/12</f>
        <v/>
      </c>
      <c r="AP12" s="161">
        <f>+(AP9*AP10)/12</f>
        <v/>
      </c>
      <c r="AQ12" s="162">
        <f>+(AQ9*AQ10)/12</f>
        <v/>
      </c>
      <c r="AR12" s="162">
        <f>+(AR9*AR10)/12</f>
        <v/>
      </c>
      <c r="AS12" s="162">
        <f>+(AS9*AS10)/12</f>
        <v/>
      </c>
      <c r="AT12" s="162">
        <f>+(AT9*AT10)/12</f>
        <v/>
      </c>
      <c r="AU12" s="162">
        <f>+(AU9*AU10)/12</f>
        <v/>
      </c>
      <c r="AV12" s="161">
        <f>+(AV9*AV10)/12</f>
        <v/>
      </c>
      <c r="AW12" s="162">
        <f>+(AW9*AW10)/12</f>
        <v/>
      </c>
      <c r="AX12" s="162">
        <f>+(AX9*AX10)/12</f>
        <v/>
      </c>
      <c r="AY12" s="162">
        <f>+(AY9*AY10)/12</f>
        <v/>
      </c>
      <c r="AZ12" s="162">
        <f>+(AZ9*AZ10)/12</f>
        <v/>
      </c>
      <c r="BA12" s="162">
        <f>+(BA9*BA10)/12</f>
        <v/>
      </c>
      <c r="BB12" s="161">
        <f>+(BB9*BB10)/12</f>
        <v/>
      </c>
      <c r="BC12" s="162">
        <f>+(BC9*BC10)/12</f>
        <v/>
      </c>
      <c r="BD12" s="162">
        <f>+(BD9*BD10)/12</f>
        <v/>
      </c>
      <c r="BE12" s="162">
        <f>+(BE9*BE10)/12</f>
        <v/>
      </c>
      <c r="BF12" s="162">
        <f>+(BF9*BF10)/12</f>
        <v/>
      </c>
      <c r="BG12" s="162">
        <f>+(BG9*BG10)/12</f>
        <v/>
      </c>
      <c r="BH12" s="161">
        <f>+(BH9*BH10)/12</f>
        <v/>
      </c>
      <c r="BI12" s="162">
        <f>+(BI9*BI10)/12</f>
        <v/>
      </c>
      <c r="BJ12" s="162">
        <f>+(BJ9*BJ10)/12</f>
        <v/>
      </c>
      <c r="BK12" s="162">
        <f>+(BK9*BK10)/12</f>
        <v/>
      </c>
      <c r="BL12" s="162">
        <f>+(BL9*BL10)/12</f>
        <v/>
      </c>
      <c r="BM12" s="162">
        <f>+(BM9*BM10)/12</f>
        <v/>
      </c>
      <c r="BN12" s="161">
        <f>+(BN9*BN10)/12</f>
        <v/>
      </c>
    </row>
    <row r="13" ht="12.75" customHeight="1" s="1883">
      <c r="B13" s="672" t="n"/>
      <c r="C13" s="1059" t="n"/>
      <c r="D13" s="1060" t="n"/>
      <c r="E13" s="1061" t="n"/>
      <c r="F13" s="1061" t="n"/>
      <c r="G13" s="1062" t="n"/>
      <c r="H13" s="1062" t="n"/>
      <c r="I13" s="1062" t="n"/>
      <c r="J13" s="1062" t="n"/>
      <c r="K13" s="1062" t="n"/>
      <c r="L13" s="163" t="n"/>
      <c r="M13" s="1062" t="n"/>
      <c r="N13" s="1062" t="n"/>
      <c r="O13" s="1062" t="n"/>
      <c r="P13" s="1062" t="n"/>
      <c r="Q13" s="1062" t="n"/>
      <c r="R13" s="163" t="n"/>
      <c r="S13" s="1063" t="n"/>
      <c r="T13" s="1063" t="n"/>
      <c r="U13" s="1063" t="n"/>
      <c r="V13" s="1063" t="n"/>
      <c r="W13" s="1063" t="n"/>
      <c r="X13" s="164" t="n"/>
      <c r="Y13" s="1063" t="n"/>
      <c r="Z13" s="1063" t="n"/>
      <c r="AA13" s="1063" t="n"/>
      <c r="AB13" s="1063" t="n"/>
      <c r="AC13" s="1063" t="n"/>
      <c r="AD13" s="164" t="n"/>
      <c r="AE13" s="1063" t="n"/>
      <c r="AF13" s="1063" t="n"/>
      <c r="AG13" s="1063" t="n"/>
      <c r="AH13" s="1063" t="n"/>
      <c r="AI13" s="1063" t="n"/>
      <c r="AJ13" s="164" t="n"/>
      <c r="AK13" s="1063" t="n"/>
      <c r="AL13" s="1063" t="n"/>
      <c r="AM13" s="1063" t="n"/>
      <c r="AN13" s="1063" t="n"/>
      <c r="AO13" s="1063" t="n"/>
      <c r="AP13" s="164" t="n"/>
      <c r="AQ13" s="1063" t="n"/>
      <c r="AR13" s="1063" t="n"/>
      <c r="AS13" s="1063" t="n"/>
      <c r="AT13" s="1063" t="n"/>
      <c r="AU13" s="1063" t="n"/>
      <c r="AV13" s="164" t="n"/>
      <c r="AW13" s="1063" t="n"/>
      <c r="AX13" s="1063" t="n"/>
      <c r="AY13" s="1063" t="n"/>
      <c r="AZ13" s="1063" t="n"/>
      <c r="BA13" s="1063" t="n"/>
      <c r="BB13" s="164" t="n"/>
      <c r="BC13" s="1063" t="n"/>
      <c r="BD13" s="1063" t="n"/>
      <c r="BE13" s="1063" t="n"/>
      <c r="BF13" s="1063" t="n"/>
      <c r="BG13" s="1063" t="n"/>
      <c r="BH13" s="164" t="n"/>
      <c r="BI13" s="1063" t="n"/>
      <c r="BJ13" s="1063" t="n"/>
      <c r="BK13" s="1063" t="n"/>
      <c r="BL13" s="1063" t="n"/>
      <c r="BM13" s="1063" t="n"/>
      <c r="BN13" s="164" t="n"/>
    </row>
    <row r="14" ht="12.75" customHeight="1" s="1883">
      <c r="B14" s="1043" t="inlineStr">
        <is>
          <t>G&amp;A</t>
        </is>
      </c>
      <c r="C14" s="1918" t="inlineStr">
        <is>
          <t>Utilities</t>
        </is>
      </c>
      <c r="D14" s="670" t="n"/>
      <c r="E14" s="671" t="n"/>
      <c r="F14" s="671" t="n"/>
      <c r="G14" s="1048" t="n"/>
      <c r="H14" s="1048" t="n"/>
      <c r="I14" s="1048" t="n"/>
      <c r="J14" s="1048" t="n"/>
      <c r="K14" s="1048" t="n"/>
      <c r="L14" s="157" t="n"/>
      <c r="M14" s="1048" t="n"/>
      <c r="N14" s="1048" t="n"/>
      <c r="O14" s="1048" t="n"/>
      <c r="P14" s="1048" t="n"/>
      <c r="Q14" s="1048" t="n"/>
      <c r="R14" s="157" t="n"/>
      <c r="S14" s="1042" t="n"/>
      <c r="T14" s="1042" t="n"/>
      <c r="U14" s="1042" t="n"/>
      <c r="V14" s="1042" t="n"/>
      <c r="W14" s="1042" t="n"/>
      <c r="X14" s="156" t="n"/>
      <c r="Y14" s="1042" t="n"/>
      <c r="Z14" s="1042" t="n"/>
      <c r="AA14" s="1042" t="n"/>
      <c r="AB14" s="1042" t="n"/>
      <c r="AC14" s="1042" t="n"/>
      <c r="AD14" s="156" t="n"/>
      <c r="AE14" s="1042" t="n"/>
      <c r="AF14" s="1042" t="n"/>
      <c r="AG14" s="1042" t="n"/>
      <c r="AH14" s="1042" t="n"/>
      <c r="AI14" s="1042" t="n"/>
      <c r="AJ14" s="156" t="n"/>
      <c r="AK14" s="1042" t="n"/>
      <c r="AL14" s="1042" t="n"/>
      <c r="AM14" s="1042" t="n"/>
      <c r="AN14" s="1042" t="n"/>
      <c r="AO14" s="1042" t="n"/>
      <c r="AP14" s="156" t="n"/>
      <c r="AQ14" s="1042" t="n"/>
      <c r="AR14" s="1042" t="n"/>
      <c r="AS14" s="1042" t="n"/>
      <c r="AT14" s="1042" t="n"/>
      <c r="AU14" s="1042" t="n"/>
      <c r="AV14" s="156" t="n"/>
      <c r="AW14" s="1042" t="n"/>
      <c r="AX14" s="1042" t="n"/>
      <c r="AY14" s="1042" t="n"/>
      <c r="AZ14" s="1042" t="n"/>
      <c r="BA14" s="1042" t="n"/>
      <c r="BB14" s="156" t="n"/>
      <c r="BC14" s="1042" t="n"/>
      <c r="BD14" s="1042" t="n"/>
      <c r="BE14" s="1042" t="n"/>
      <c r="BF14" s="1042" t="n"/>
      <c r="BG14" s="1042" t="n"/>
      <c r="BH14" s="156" t="n"/>
      <c r="BI14" s="1042" t="n"/>
      <c r="BJ14" s="1042" t="n"/>
      <c r="BK14" s="1042" t="n"/>
      <c r="BL14" s="1042" t="n"/>
      <c r="BM14" s="1042" t="n"/>
      <c r="BN14" s="156" t="n"/>
    </row>
    <row r="15" ht="12.75" customHeight="1" s="1883">
      <c r="B15" s="672" t="n"/>
      <c r="C15" s="1064" t="n"/>
      <c r="D15" s="670" t="n"/>
      <c r="E15" s="671" t="n"/>
      <c r="F15" s="671" t="inlineStr">
        <is>
          <t>Office Space</t>
        </is>
      </c>
      <c r="G15" s="1052">
        <f>+G9</f>
        <v/>
      </c>
      <c r="H15" s="1052">
        <f>+H9</f>
        <v/>
      </c>
      <c r="I15" s="1052">
        <f>+I9</f>
        <v/>
      </c>
      <c r="J15" s="1052">
        <f>+J9</f>
        <v/>
      </c>
      <c r="K15" s="1052">
        <f>+K9</f>
        <v/>
      </c>
      <c r="L15" s="159">
        <f>+L9</f>
        <v/>
      </c>
      <c r="M15" s="1052">
        <f>+M9</f>
        <v/>
      </c>
      <c r="N15" s="1052">
        <f>+N9</f>
        <v/>
      </c>
      <c r="O15" s="1052">
        <f>+O9</f>
        <v/>
      </c>
      <c r="P15" s="1052">
        <f>+P9</f>
        <v/>
      </c>
      <c r="Q15" s="1052">
        <f>+Q9</f>
        <v/>
      </c>
      <c r="R15" s="159">
        <f>+R9</f>
        <v/>
      </c>
      <c r="S15" s="1052">
        <f>+S9</f>
        <v/>
      </c>
      <c r="T15" s="1052">
        <f>+T9</f>
        <v/>
      </c>
      <c r="U15" s="1052">
        <f>+U9</f>
        <v/>
      </c>
      <c r="V15" s="1052">
        <f>+V9</f>
        <v/>
      </c>
      <c r="W15" s="1052">
        <f>+W9</f>
        <v/>
      </c>
      <c r="X15" s="159">
        <f>+X9</f>
        <v/>
      </c>
      <c r="Y15" s="1052">
        <f>+Y9</f>
        <v/>
      </c>
      <c r="Z15" s="1052">
        <f>+Z9</f>
        <v/>
      </c>
      <c r="AA15" s="1052">
        <f>+AA9</f>
        <v/>
      </c>
      <c r="AB15" s="1052">
        <f>+AB9</f>
        <v/>
      </c>
      <c r="AC15" s="1052">
        <f>+AC9</f>
        <v/>
      </c>
      <c r="AD15" s="159">
        <f>+AD9</f>
        <v/>
      </c>
      <c r="AE15" s="1052">
        <f>+AE9</f>
        <v/>
      </c>
      <c r="AF15" s="1052">
        <f>+AF9</f>
        <v/>
      </c>
      <c r="AG15" s="1052">
        <f>+AG9</f>
        <v/>
      </c>
      <c r="AH15" s="1052">
        <f>+AH9</f>
        <v/>
      </c>
      <c r="AI15" s="1052">
        <f>+AI9</f>
        <v/>
      </c>
      <c r="AJ15" s="159">
        <f>+AJ9</f>
        <v/>
      </c>
      <c r="AK15" s="1052">
        <f>+AK9</f>
        <v/>
      </c>
      <c r="AL15" s="1052">
        <f>+AL9</f>
        <v/>
      </c>
      <c r="AM15" s="1052">
        <f>+AM9</f>
        <v/>
      </c>
      <c r="AN15" s="1052">
        <f>+AN9</f>
        <v/>
      </c>
      <c r="AO15" s="1052">
        <f>+AO9</f>
        <v/>
      </c>
      <c r="AP15" s="159">
        <f>+AP9</f>
        <v/>
      </c>
      <c r="AQ15" s="1052">
        <f>+AQ9</f>
        <v/>
      </c>
      <c r="AR15" s="1052">
        <f>+AR9</f>
        <v/>
      </c>
      <c r="AS15" s="1052">
        <f>+AS9</f>
        <v/>
      </c>
      <c r="AT15" s="1052">
        <f>+AT9</f>
        <v/>
      </c>
      <c r="AU15" s="1052">
        <f>+AU9</f>
        <v/>
      </c>
      <c r="AV15" s="159">
        <f>+AV9</f>
        <v/>
      </c>
      <c r="AW15" s="1052">
        <f>+AW9</f>
        <v/>
      </c>
      <c r="AX15" s="1052">
        <f>+AX9</f>
        <v/>
      </c>
      <c r="AY15" s="1052">
        <f>+AY9</f>
        <v/>
      </c>
      <c r="AZ15" s="1052">
        <f>+AZ9</f>
        <v/>
      </c>
      <c r="BA15" s="1052">
        <f>+BA9</f>
        <v/>
      </c>
      <c r="BB15" s="159">
        <f>+BB9</f>
        <v/>
      </c>
      <c r="BC15" s="1052">
        <f>+BC9</f>
        <v/>
      </c>
      <c r="BD15" s="1052">
        <f>+BD9</f>
        <v/>
      </c>
      <c r="BE15" s="1052">
        <f>+BE9</f>
        <v/>
      </c>
      <c r="BF15" s="1052">
        <f>+BF9</f>
        <v/>
      </c>
      <c r="BG15" s="1052">
        <f>+BG9</f>
        <v/>
      </c>
      <c r="BH15" s="159">
        <f>+BH9</f>
        <v/>
      </c>
      <c r="BI15" s="1052">
        <f>+BI9</f>
        <v/>
      </c>
      <c r="BJ15" s="1052">
        <f>+BJ9</f>
        <v/>
      </c>
      <c r="BK15" s="1052">
        <f>+BK9</f>
        <v/>
      </c>
      <c r="BL15" s="1052">
        <f>+BL9</f>
        <v/>
      </c>
      <c r="BM15" s="1052">
        <f>+BM9</f>
        <v/>
      </c>
      <c r="BN15" s="159">
        <f>+BN9</f>
        <v/>
      </c>
    </row>
    <row r="16" ht="12.75" customHeight="1" s="1883">
      <c r="B16" s="672" t="n"/>
      <c r="C16" s="1064" t="n"/>
      <c r="D16" s="670" t="n"/>
      <c r="E16" s="671" t="n"/>
      <c r="F16" s="671" t="inlineStr">
        <is>
          <t>Avg Utilities /sq.ft.</t>
        </is>
      </c>
      <c r="G16" s="1050" t="n">
        <v>0.1</v>
      </c>
      <c r="H16" s="65">
        <f>+G16</f>
        <v/>
      </c>
      <c r="I16" s="65">
        <f>+H16</f>
        <v/>
      </c>
      <c r="J16" s="65">
        <f>+I16</f>
        <v/>
      </c>
      <c r="K16" s="65">
        <f>+J16</f>
        <v/>
      </c>
      <c r="L16" s="1065">
        <f>+K16</f>
        <v/>
      </c>
      <c r="M16" s="65">
        <f>+L16</f>
        <v/>
      </c>
      <c r="N16" s="65">
        <f>+M16</f>
        <v/>
      </c>
      <c r="O16" s="65">
        <f>+N16</f>
        <v/>
      </c>
      <c r="P16" s="65">
        <f>+O16</f>
        <v/>
      </c>
      <c r="Q16" s="65">
        <f>+P16</f>
        <v/>
      </c>
      <c r="R16" s="1065">
        <f>+Q16</f>
        <v/>
      </c>
      <c r="S16" s="65">
        <f>+R16</f>
        <v/>
      </c>
      <c r="T16" s="65">
        <f>+S16</f>
        <v/>
      </c>
      <c r="U16" s="65">
        <f>+T16</f>
        <v/>
      </c>
      <c r="V16" s="65">
        <f>+U16</f>
        <v/>
      </c>
      <c r="W16" s="65">
        <f>+V16</f>
        <v/>
      </c>
      <c r="X16" s="1065">
        <f>+W16</f>
        <v/>
      </c>
      <c r="Y16" s="65">
        <f>+X16</f>
        <v/>
      </c>
      <c r="Z16" s="65">
        <f>+Y16</f>
        <v/>
      </c>
      <c r="AA16" s="65">
        <f>+Z16</f>
        <v/>
      </c>
      <c r="AB16" s="65">
        <f>+AA16</f>
        <v/>
      </c>
      <c r="AC16" s="65">
        <f>+AB16</f>
        <v/>
      </c>
      <c r="AD16" s="1065">
        <f>+AC16</f>
        <v/>
      </c>
      <c r="AE16" s="65">
        <f>+AD16</f>
        <v/>
      </c>
      <c r="AF16" s="65">
        <f>+AE16</f>
        <v/>
      </c>
      <c r="AG16" s="65">
        <f>+AF16</f>
        <v/>
      </c>
      <c r="AH16" s="65">
        <f>+AG16</f>
        <v/>
      </c>
      <c r="AI16" s="65">
        <f>+AH16</f>
        <v/>
      </c>
      <c r="AJ16" s="1065">
        <f>+AI16</f>
        <v/>
      </c>
      <c r="AK16" s="65">
        <f>+AJ16</f>
        <v/>
      </c>
      <c r="AL16" s="65">
        <f>+AK16</f>
        <v/>
      </c>
      <c r="AM16" s="65">
        <f>+AL16</f>
        <v/>
      </c>
      <c r="AN16" s="65">
        <f>+AM16</f>
        <v/>
      </c>
      <c r="AO16" s="65">
        <f>+AN16</f>
        <v/>
      </c>
      <c r="AP16" s="1065">
        <f>+AO16</f>
        <v/>
      </c>
      <c r="AQ16" s="65">
        <f>+AP16</f>
        <v/>
      </c>
      <c r="AR16" s="65">
        <f>+AQ16</f>
        <v/>
      </c>
      <c r="AS16" s="65">
        <f>+AR16</f>
        <v/>
      </c>
      <c r="AT16" s="65">
        <f>+AS16</f>
        <v/>
      </c>
      <c r="AU16" s="65">
        <f>+AT16</f>
        <v/>
      </c>
      <c r="AV16" s="1065">
        <f>+AU16</f>
        <v/>
      </c>
      <c r="AW16" s="65">
        <f>+AV16</f>
        <v/>
      </c>
      <c r="AX16" s="65">
        <f>+AW16</f>
        <v/>
      </c>
      <c r="AY16" s="65">
        <f>+AX16</f>
        <v/>
      </c>
      <c r="AZ16" s="65">
        <f>+AY16</f>
        <v/>
      </c>
      <c r="BA16" s="65">
        <f>+AZ16</f>
        <v/>
      </c>
      <c r="BB16" s="1065">
        <f>+BA16</f>
        <v/>
      </c>
      <c r="BC16" s="65">
        <f>+BB16</f>
        <v/>
      </c>
      <c r="BD16" s="65">
        <f>+BC16</f>
        <v/>
      </c>
      <c r="BE16" s="65">
        <f>+BD16</f>
        <v/>
      </c>
      <c r="BF16" s="65">
        <f>+BE16</f>
        <v/>
      </c>
      <c r="BG16" s="65">
        <f>+BF16</f>
        <v/>
      </c>
      <c r="BH16" s="1065">
        <f>+BG16</f>
        <v/>
      </c>
      <c r="BI16" s="65">
        <f>+BH16</f>
        <v/>
      </c>
      <c r="BJ16" s="65">
        <f>+BI16</f>
        <v/>
      </c>
      <c r="BK16" s="65">
        <f>+BJ16</f>
        <v/>
      </c>
      <c r="BL16" s="65">
        <f>+BK16</f>
        <v/>
      </c>
      <c r="BM16" s="65">
        <f>+BL16</f>
        <v/>
      </c>
      <c r="BN16" s="1065">
        <f>+BM16</f>
        <v/>
      </c>
    </row>
    <row r="17" ht="12.75" customHeight="1" s="1883">
      <c r="B17" s="1043" t="n"/>
      <c r="C17" s="1928" t="n"/>
      <c r="D17" s="1056" t="n"/>
      <c r="E17" s="1057" t="n"/>
      <c r="F17" s="1058" t="n"/>
      <c r="G17" s="166">
        <f>+G15*G16</f>
        <v/>
      </c>
      <c r="H17" s="166">
        <f>+H15*H16</f>
        <v/>
      </c>
      <c r="I17" s="166">
        <f>+I15*I16</f>
        <v/>
      </c>
      <c r="J17" s="166">
        <f>+J15*J16</f>
        <v/>
      </c>
      <c r="K17" s="166">
        <f>+K15*K16</f>
        <v/>
      </c>
      <c r="L17" s="165">
        <f>+L15*L16</f>
        <v/>
      </c>
      <c r="M17" s="166">
        <f>+M15*M16</f>
        <v/>
      </c>
      <c r="N17" s="166">
        <f>+N15*N16</f>
        <v/>
      </c>
      <c r="O17" s="166">
        <f>+O15*O16</f>
        <v/>
      </c>
      <c r="P17" s="166">
        <f>+P15*P16</f>
        <v/>
      </c>
      <c r="Q17" s="166">
        <f>+Q15*Q16</f>
        <v/>
      </c>
      <c r="R17" s="165">
        <f>+R15*R16</f>
        <v/>
      </c>
      <c r="S17" s="166">
        <f>+S15*S16</f>
        <v/>
      </c>
      <c r="T17" s="166">
        <f>+T15*T16</f>
        <v/>
      </c>
      <c r="U17" s="166">
        <f>+U15*U16</f>
        <v/>
      </c>
      <c r="V17" s="166">
        <f>+V15*V16</f>
        <v/>
      </c>
      <c r="W17" s="166">
        <f>+W15*W16</f>
        <v/>
      </c>
      <c r="X17" s="165">
        <f>+X15*X16</f>
        <v/>
      </c>
      <c r="Y17" s="166">
        <f>+Y15*Y16</f>
        <v/>
      </c>
      <c r="Z17" s="166">
        <f>+Z15*Z16</f>
        <v/>
      </c>
      <c r="AA17" s="166">
        <f>+AA15*AA16</f>
        <v/>
      </c>
      <c r="AB17" s="166">
        <f>+AB15*AB16</f>
        <v/>
      </c>
      <c r="AC17" s="166">
        <f>+AC15*AC16</f>
        <v/>
      </c>
      <c r="AD17" s="165">
        <f>+AD15*AD16</f>
        <v/>
      </c>
      <c r="AE17" s="166">
        <f>+AE15*AE16</f>
        <v/>
      </c>
      <c r="AF17" s="166">
        <f>+AF15*AF16</f>
        <v/>
      </c>
      <c r="AG17" s="166">
        <f>+AG15*AG16</f>
        <v/>
      </c>
      <c r="AH17" s="166">
        <f>+AH15*AH16</f>
        <v/>
      </c>
      <c r="AI17" s="166">
        <f>+AI15*AI16</f>
        <v/>
      </c>
      <c r="AJ17" s="165">
        <f>+AJ15*AJ16</f>
        <v/>
      </c>
      <c r="AK17" s="166">
        <f>+AK15*AK16</f>
        <v/>
      </c>
      <c r="AL17" s="166">
        <f>+AL15*AL16</f>
        <v/>
      </c>
      <c r="AM17" s="166">
        <f>+AM15*AM16</f>
        <v/>
      </c>
      <c r="AN17" s="166">
        <f>+AN15*AN16</f>
        <v/>
      </c>
      <c r="AO17" s="166">
        <f>+AO15*AO16</f>
        <v/>
      </c>
      <c r="AP17" s="165">
        <f>+AP15*AP16</f>
        <v/>
      </c>
      <c r="AQ17" s="166">
        <f>+AQ15*AQ16</f>
        <v/>
      </c>
      <c r="AR17" s="166">
        <f>+AR15*AR16</f>
        <v/>
      </c>
      <c r="AS17" s="166">
        <f>+AS15*AS16</f>
        <v/>
      </c>
      <c r="AT17" s="166">
        <f>+AT15*AT16</f>
        <v/>
      </c>
      <c r="AU17" s="166">
        <f>+AU15*AU16</f>
        <v/>
      </c>
      <c r="AV17" s="165">
        <f>+AV15*AV16</f>
        <v/>
      </c>
      <c r="AW17" s="166">
        <f>+AW15*AW16</f>
        <v/>
      </c>
      <c r="AX17" s="166">
        <f>+AX15*AX16</f>
        <v/>
      </c>
      <c r="AY17" s="166">
        <f>+AY15*AY16</f>
        <v/>
      </c>
      <c r="AZ17" s="166">
        <f>+AZ15*AZ16</f>
        <v/>
      </c>
      <c r="BA17" s="166">
        <f>+BA15*BA16</f>
        <v/>
      </c>
      <c r="BB17" s="165">
        <f>+BB15*BB16</f>
        <v/>
      </c>
      <c r="BC17" s="166">
        <f>+BC15*BC16</f>
        <v/>
      </c>
      <c r="BD17" s="166">
        <f>+BD15*BD16</f>
        <v/>
      </c>
      <c r="BE17" s="166">
        <f>+BE15*BE16</f>
        <v/>
      </c>
      <c r="BF17" s="166">
        <f>+BF15*BF16</f>
        <v/>
      </c>
      <c r="BG17" s="166">
        <f>+BG15*BG16</f>
        <v/>
      </c>
      <c r="BH17" s="165">
        <f>+BH15*BH16</f>
        <v/>
      </c>
      <c r="BI17" s="166">
        <f>+BI15*BI16</f>
        <v/>
      </c>
      <c r="BJ17" s="166">
        <f>+BJ15*BJ16</f>
        <v/>
      </c>
      <c r="BK17" s="166">
        <f>+BK15*BK16</f>
        <v/>
      </c>
      <c r="BL17" s="166">
        <f>+BL15*BL16</f>
        <v/>
      </c>
      <c r="BM17" s="166">
        <f>+BM15*BM16</f>
        <v/>
      </c>
      <c r="BN17" s="165">
        <f>+BN15*BN16</f>
        <v/>
      </c>
    </row>
    <row r="18" ht="12.75" customHeight="1" s="1883">
      <c r="B18" s="672" t="n"/>
      <c r="C18" s="1059" t="n"/>
      <c r="D18" s="1060" t="n"/>
      <c r="E18" s="1061" t="n"/>
      <c r="F18" s="1061" t="n"/>
      <c r="G18" s="1062" t="n"/>
      <c r="H18" s="1062" t="n"/>
      <c r="I18" s="1062" t="n"/>
      <c r="J18" s="1062" t="n"/>
      <c r="K18" s="1062" t="n"/>
      <c r="L18" s="163" t="n"/>
      <c r="M18" s="1062" t="n"/>
      <c r="N18" s="1062" t="n"/>
      <c r="O18" s="1062" t="n"/>
      <c r="P18" s="1062" t="n"/>
      <c r="Q18" s="1062" t="n"/>
      <c r="R18" s="163" t="n"/>
      <c r="S18" s="1063" t="n"/>
      <c r="T18" s="1063" t="n"/>
      <c r="U18" s="1063" t="n"/>
      <c r="V18" s="1063" t="n"/>
      <c r="W18" s="1063" t="n"/>
      <c r="X18" s="164" t="n"/>
      <c r="Y18" s="1063" t="n"/>
      <c r="Z18" s="1063" t="n"/>
      <c r="AA18" s="1063" t="n"/>
      <c r="AB18" s="1063" t="n"/>
      <c r="AC18" s="1063" t="n"/>
      <c r="AD18" s="164" t="n"/>
      <c r="AE18" s="1063" t="n"/>
      <c r="AF18" s="1063" t="n"/>
      <c r="AG18" s="1063" t="n"/>
      <c r="AH18" s="1063" t="n"/>
      <c r="AI18" s="1063" t="n"/>
      <c r="AJ18" s="164" t="n"/>
      <c r="AK18" s="1063" t="n"/>
      <c r="AL18" s="1063" t="n"/>
      <c r="AM18" s="1063" t="n"/>
      <c r="AN18" s="1063" t="n"/>
      <c r="AO18" s="1063" t="n"/>
      <c r="AP18" s="164" t="n"/>
      <c r="AQ18" s="1063" t="n"/>
      <c r="AR18" s="1063" t="n"/>
      <c r="AS18" s="1063" t="n"/>
      <c r="AT18" s="1063" t="n"/>
      <c r="AU18" s="1063" t="n"/>
      <c r="AV18" s="164" t="n"/>
      <c r="AW18" s="1063" t="n"/>
      <c r="AX18" s="1063" t="n"/>
      <c r="AY18" s="1063" t="n"/>
      <c r="AZ18" s="1063" t="n"/>
      <c r="BA18" s="1063" t="n"/>
      <c r="BB18" s="164" t="n"/>
      <c r="BC18" s="1063" t="n"/>
      <c r="BD18" s="1063" t="n"/>
      <c r="BE18" s="1063" t="n"/>
      <c r="BF18" s="1063" t="n"/>
      <c r="BG18" s="1063" t="n"/>
      <c r="BH18" s="164" t="n"/>
      <c r="BI18" s="1063" t="n"/>
      <c r="BJ18" s="1063" t="n"/>
      <c r="BK18" s="1063" t="n"/>
      <c r="BL18" s="1063" t="n"/>
      <c r="BM18" s="1063" t="n"/>
      <c r="BN18" s="164" t="n"/>
    </row>
    <row r="19" ht="12.75" customHeight="1" s="1883">
      <c r="B19" s="672" t="n"/>
      <c r="C19" s="1918" t="inlineStr">
        <is>
          <t>Telephone</t>
        </is>
      </c>
      <c r="D19" s="670" t="n"/>
      <c r="E19" s="671" t="n"/>
      <c r="F19" s="671" t="n"/>
      <c r="G19" s="1048" t="n"/>
      <c r="H19" s="1048" t="n"/>
      <c r="I19" s="1048" t="n"/>
      <c r="J19" s="1048" t="n"/>
      <c r="K19" s="1048" t="n"/>
      <c r="L19" s="157" t="n"/>
      <c r="M19" s="1048" t="n"/>
      <c r="N19" s="1048" t="n"/>
      <c r="O19" s="1048" t="n"/>
      <c r="P19" s="1048" t="n"/>
      <c r="Q19" s="1048" t="n"/>
      <c r="R19" s="157" t="n"/>
      <c r="S19" s="1042" t="n"/>
      <c r="T19" s="1042" t="n"/>
      <c r="U19" s="1042" t="n"/>
      <c r="V19" s="1042" t="n"/>
      <c r="W19" s="1042" t="n"/>
      <c r="X19" s="156" t="n"/>
      <c r="Y19" s="1042" t="n"/>
      <c r="Z19" s="1042" t="n"/>
      <c r="AA19" s="1042" t="n"/>
      <c r="AB19" s="1042" t="n"/>
      <c r="AC19" s="1042" t="n"/>
      <c r="AD19" s="156" t="n"/>
      <c r="AE19" s="1042" t="n"/>
      <c r="AF19" s="1042" t="n"/>
      <c r="AG19" s="1042" t="n"/>
      <c r="AH19" s="1042" t="n"/>
      <c r="AI19" s="1042" t="n"/>
      <c r="AJ19" s="156" t="n"/>
      <c r="AK19" s="1042" t="n"/>
      <c r="AL19" s="1042" t="n"/>
      <c r="AM19" s="1042" t="n"/>
      <c r="AN19" s="1042" t="n"/>
      <c r="AO19" s="1042" t="n"/>
      <c r="AP19" s="156" t="n"/>
      <c r="AQ19" s="1042" t="n"/>
      <c r="AR19" s="1042" t="n"/>
      <c r="AS19" s="1042" t="n"/>
      <c r="AT19" s="1042" t="n"/>
      <c r="AU19" s="1042" t="n"/>
      <c r="AV19" s="156" t="n"/>
      <c r="AW19" s="1042" t="n"/>
      <c r="AX19" s="1042" t="n"/>
      <c r="AY19" s="1042" t="n"/>
      <c r="AZ19" s="1042" t="n"/>
      <c r="BA19" s="1042" t="n"/>
      <c r="BB19" s="156" t="n"/>
      <c r="BC19" s="1042" t="n"/>
      <c r="BD19" s="1042" t="n"/>
      <c r="BE19" s="1042" t="n"/>
      <c r="BF19" s="1042" t="n"/>
      <c r="BG19" s="1042" t="n"/>
      <c r="BH19" s="156" t="n"/>
      <c r="BI19" s="1042" t="n"/>
      <c r="BJ19" s="1042" t="n"/>
      <c r="BK19" s="1042" t="n"/>
      <c r="BL19" s="1042" t="n"/>
      <c r="BM19" s="1042" t="n"/>
      <c r="BN19" s="156" t="n"/>
    </row>
    <row r="20" ht="12.75" customHeight="1" s="1883">
      <c r="B20" s="672" t="n"/>
      <c r="C20" s="1040" t="n"/>
      <c r="D20" s="670" t="n"/>
      <c r="E20" s="671" t="n"/>
      <c r="F20" s="1066" t="inlineStr">
        <is>
          <t>Headcount - Office</t>
        </is>
      </c>
      <c r="G20" s="1048">
        <f>+'Headcount &amp; Salaries - 2'!X43+'Headcount &amp; Salaries - 2'!X47+'Headcount &amp; Salaries - 2'!X48+'Headcount &amp; Salaries - 2'!X50+'Headcount &amp; Salaries - 2'!X49</f>
        <v/>
      </c>
      <c r="H20" s="1048">
        <f>+'Headcount &amp; Salaries - 2'!Y43+'Headcount &amp; Salaries - 2'!Y47+'Headcount &amp; Salaries - 2'!Y48+'Headcount &amp; Salaries - 2'!Y50+'Headcount &amp; Salaries - 2'!Y49</f>
        <v/>
      </c>
      <c r="I20" s="1048">
        <f>+'Headcount &amp; Salaries - 2'!Z43+'Headcount &amp; Salaries - 2'!Z47+'Headcount &amp; Salaries - 2'!Z48+'Headcount &amp; Salaries - 2'!Z50+'Headcount &amp; Salaries - 2'!Z49</f>
        <v/>
      </c>
      <c r="J20" s="1048">
        <f>+'Headcount &amp; Salaries - 2'!AA43+'Headcount &amp; Salaries - 2'!AA47+'Headcount &amp; Salaries - 2'!AA48+'Headcount &amp; Salaries - 2'!AA50+'Headcount &amp; Salaries - 2'!AA49</f>
        <v/>
      </c>
      <c r="K20" s="1048">
        <f>+'Headcount &amp; Salaries - 2'!AB43+'Headcount &amp; Salaries - 2'!AB47+'Headcount &amp; Salaries - 2'!AB48+'Headcount &amp; Salaries - 2'!AB50+'Headcount &amp; Salaries - 2'!AB49</f>
        <v/>
      </c>
      <c r="L20" s="157">
        <f>+'Headcount &amp; Salaries - 2'!AC43+'Headcount &amp; Salaries - 2'!AC47+'Headcount &amp; Salaries - 2'!AC48+'Headcount &amp; Salaries - 2'!AC50+'Headcount &amp; Salaries - 2'!AC49</f>
        <v/>
      </c>
      <c r="M20" s="1048">
        <f>+'Headcount &amp; Salaries - 2'!AD43+'Headcount &amp; Salaries - 2'!AD47+'Headcount &amp; Salaries - 2'!AD48+'Headcount &amp; Salaries - 2'!AD50+'Headcount &amp; Salaries - 2'!AD49</f>
        <v/>
      </c>
      <c r="N20" s="1048">
        <f>+'Headcount &amp; Salaries - 2'!AE43+'Headcount &amp; Salaries - 2'!AE47+'Headcount &amp; Salaries - 2'!AE48+'Headcount &amp; Salaries - 2'!AE50+'Headcount &amp; Salaries - 2'!AE49</f>
        <v/>
      </c>
      <c r="O20" s="1048">
        <f>+'Headcount &amp; Salaries - 2'!AF43+'Headcount &amp; Salaries - 2'!AF47+'Headcount &amp; Salaries - 2'!AF48+'Headcount &amp; Salaries - 2'!AF50+'Headcount &amp; Salaries - 2'!AF49</f>
        <v/>
      </c>
      <c r="P20" s="1048">
        <f>+'Headcount &amp; Salaries - 2'!AG43+'Headcount &amp; Salaries - 2'!AG47+'Headcount &amp; Salaries - 2'!AG48+'Headcount &amp; Salaries - 2'!AG50+'Headcount &amp; Salaries - 2'!AG49</f>
        <v/>
      </c>
      <c r="Q20" s="1048">
        <f>+'Headcount &amp; Salaries - 2'!AH43+'Headcount &amp; Salaries - 2'!AH47+'Headcount &amp; Salaries - 2'!AH48+'Headcount &amp; Salaries - 2'!AH50+'Headcount &amp; Salaries - 2'!AH49</f>
        <v/>
      </c>
      <c r="R20" s="157">
        <f>+'Headcount &amp; Salaries - 2'!AI43+'Headcount &amp; Salaries - 2'!AI47+'Headcount &amp; Salaries - 2'!AI48+'Headcount &amp; Salaries - 2'!AI50+'Headcount &amp; Salaries - 2'!AI49</f>
        <v/>
      </c>
      <c r="S20" s="1049">
        <f>+'Headcount &amp; Salaries - 2'!AJ43+'Headcount &amp; Salaries - 2'!AJ47+'Headcount &amp; Salaries - 2'!AJ48+'Headcount &amp; Salaries - 2'!AJ50+'Headcount &amp; Salaries - 2'!AJ49</f>
        <v/>
      </c>
      <c r="T20" s="1049">
        <f>+'Headcount &amp; Salaries - 2'!AK43+'Headcount &amp; Salaries - 2'!AK47+'Headcount &amp; Salaries - 2'!AK48+'Headcount &amp; Salaries - 2'!AK50+'Headcount &amp; Salaries - 2'!AK49</f>
        <v/>
      </c>
      <c r="U20" s="1049">
        <f>+'Headcount &amp; Salaries - 2'!AL43+'Headcount &amp; Salaries - 2'!AL47+'Headcount &amp; Salaries - 2'!AL48+'Headcount &amp; Salaries - 2'!AL50+'Headcount &amp; Salaries - 2'!AL49</f>
        <v/>
      </c>
      <c r="V20" s="1049">
        <f>+'Headcount &amp; Salaries - 2'!AM43+'Headcount &amp; Salaries - 2'!AM47+'Headcount &amp; Salaries - 2'!AM48+'Headcount &amp; Salaries - 2'!AM50+'Headcount &amp; Salaries - 2'!AM49</f>
        <v/>
      </c>
      <c r="W20" s="1049">
        <f>+'Headcount &amp; Salaries - 2'!AN43+'Headcount &amp; Salaries - 2'!AN47+'Headcount &amp; Salaries - 2'!AN48+'Headcount &amp; Salaries - 2'!AN50+'Headcount &amp; Salaries - 2'!AN49</f>
        <v/>
      </c>
      <c r="X20" s="158">
        <f>+'Headcount &amp; Salaries - 2'!AO43+'Headcount &amp; Salaries - 2'!AO47+'Headcount &amp; Salaries - 2'!AO48+'Headcount &amp; Salaries - 2'!AO50+'Headcount &amp; Salaries - 2'!AO49</f>
        <v/>
      </c>
      <c r="Y20" s="1049">
        <f>+'Headcount &amp; Salaries - 2'!AP43+'Headcount &amp; Salaries - 2'!AP47+'Headcount &amp; Salaries - 2'!AP48+'Headcount &amp; Salaries - 2'!AP50+'Headcount &amp; Salaries - 2'!AP49</f>
        <v/>
      </c>
      <c r="Z20" s="1049">
        <f>+'Headcount &amp; Salaries - 2'!AQ43+'Headcount &amp; Salaries - 2'!AQ47+'Headcount &amp; Salaries - 2'!AQ48+'Headcount &amp; Salaries - 2'!AQ50+'Headcount &amp; Salaries - 2'!AQ49</f>
        <v/>
      </c>
      <c r="AA20" s="1049">
        <f>+'Headcount &amp; Salaries - 2'!AR43+'Headcount &amp; Salaries - 2'!AR47+'Headcount &amp; Salaries - 2'!AR48+'Headcount &amp; Salaries - 2'!AR50+'Headcount &amp; Salaries - 2'!AR49</f>
        <v/>
      </c>
      <c r="AB20" s="1049">
        <f>+'Headcount &amp; Salaries - 2'!AS43+'Headcount &amp; Salaries - 2'!AS47+'Headcount &amp; Salaries - 2'!AS48+'Headcount &amp; Salaries - 2'!AS50+'Headcount &amp; Salaries - 2'!AS49</f>
        <v/>
      </c>
      <c r="AC20" s="1049">
        <f>+'Headcount &amp; Salaries - 2'!AT43+'Headcount &amp; Salaries - 2'!AT47+'Headcount &amp; Salaries - 2'!AT48+'Headcount &amp; Salaries - 2'!AT50+'Headcount &amp; Salaries - 2'!AT49</f>
        <v/>
      </c>
      <c r="AD20" s="158">
        <f>+'Headcount &amp; Salaries - 2'!AU43+'Headcount &amp; Salaries - 2'!AU47+'Headcount &amp; Salaries - 2'!AU48+'Headcount &amp; Salaries - 2'!AU50+'Headcount &amp; Salaries - 2'!AU49</f>
        <v/>
      </c>
      <c r="AE20" s="1049">
        <f>+'Headcount &amp; Salaries - 2'!AV43+'Headcount &amp; Salaries - 2'!AV47+'Headcount &amp; Salaries - 2'!AV48+'Headcount &amp; Salaries - 2'!AV50+'Headcount &amp; Salaries - 2'!AV49</f>
        <v/>
      </c>
      <c r="AF20" s="1049">
        <f>+'Headcount &amp; Salaries - 2'!AW43+'Headcount &amp; Salaries - 2'!AW47+'Headcount &amp; Salaries - 2'!AW48+'Headcount &amp; Salaries - 2'!AW50+'Headcount &amp; Salaries - 2'!AW49</f>
        <v/>
      </c>
      <c r="AG20" s="1049">
        <f>+'Headcount &amp; Salaries - 2'!AX43+'Headcount &amp; Salaries - 2'!AX47+'Headcount &amp; Salaries - 2'!AX48+'Headcount &amp; Salaries - 2'!AX50+'Headcount &amp; Salaries - 2'!AX49</f>
        <v/>
      </c>
      <c r="AH20" s="1049">
        <f>+'Headcount &amp; Salaries - 2'!AY43+'Headcount &amp; Salaries - 2'!AY47+'Headcount &amp; Salaries - 2'!AY48+'Headcount &amp; Salaries - 2'!AY50+'Headcount &amp; Salaries - 2'!AY49</f>
        <v/>
      </c>
      <c r="AI20" s="1049">
        <f>+'Headcount &amp; Salaries - 2'!AZ43+'Headcount &amp; Salaries - 2'!AZ47+'Headcount &amp; Salaries - 2'!AZ48+'Headcount &amp; Salaries - 2'!AZ50+'Headcount &amp; Salaries - 2'!AZ49</f>
        <v/>
      </c>
      <c r="AJ20" s="158">
        <f>+'Headcount &amp; Salaries - 2'!BA43+'Headcount &amp; Salaries - 2'!BA47+'Headcount &amp; Salaries - 2'!BA48+'Headcount &amp; Salaries - 2'!BA50+'Headcount &amp; Salaries - 2'!BA49</f>
        <v/>
      </c>
      <c r="AK20" s="1049">
        <f>+'Headcount &amp; Salaries - 2'!BB43+'Headcount &amp; Salaries - 2'!BB47+'Headcount &amp; Salaries - 2'!BB48+'Headcount &amp; Salaries - 2'!BB50+'Headcount &amp; Salaries - 2'!BB49</f>
        <v/>
      </c>
      <c r="AL20" s="1049">
        <f>+'Headcount &amp; Salaries - 2'!BC43+'Headcount &amp; Salaries - 2'!BC47+'Headcount &amp; Salaries - 2'!BC48+'Headcount &amp; Salaries - 2'!BC50+'Headcount &amp; Salaries - 2'!BC49</f>
        <v/>
      </c>
      <c r="AM20" s="1049">
        <f>+'Headcount &amp; Salaries - 2'!BD43+'Headcount &amp; Salaries - 2'!BD47+'Headcount &amp; Salaries - 2'!BD48+'Headcount &amp; Salaries - 2'!BD50+'Headcount &amp; Salaries - 2'!BD49</f>
        <v/>
      </c>
      <c r="AN20" s="1049">
        <f>+'Headcount &amp; Salaries - 2'!BE43+'Headcount &amp; Salaries - 2'!BE47+'Headcount &amp; Salaries - 2'!BE48+'Headcount &amp; Salaries - 2'!BE50+'Headcount &amp; Salaries - 2'!BE49</f>
        <v/>
      </c>
      <c r="AO20" s="1049">
        <f>+'Headcount &amp; Salaries - 2'!BF43+'Headcount &amp; Salaries - 2'!BF47+'Headcount &amp; Salaries - 2'!BF48+'Headcount &amp; Salaries - 2'!BF50+'Headcount &amp; Salaries - 2'!BF49</f>
        <v/>
      </c>
      <c r="AP20" s="158">
        <f>+'Headcount &amp; Salaries - 2'!BG43+'Headcount &amp; Salaries - 2'!BG47+'Headcount &amp; Salaries - 2'!BG48+'Headcount &amp; Salaries - 2'!BG50+'Headcount &amp; Salaries - 2'!BG49</f>
        <v/>
      </c>
      <c r="AQ20" s="1049">
        <f>+'Headcount &amp; Salaries - 2'!BH43+'Headcount &amp; Salaries - 2'!BH47+'Headcount &amp; Salaries - 2'!BH48+'Headcount &amp; Salaries - 2'!BH50+'Headcount &amp; Salaries - 2'!BH49</f>
        <v/>
      </c>
      <c r="AR20" s="1049">
        <f>+'Headcount &amp; Salaries - 2'!BI43+'Headcount &amp; Salaries - 2'!BI47+'Headcount &amp; Salaries - 2'!BI48+'Headcount &amp; Salaries - 2'!BI50+'Headcount &amp; Salaries - 2'!BI49</f>
        <v/>
      </c>
      <c r="AS20" s="1049">
        <f>+'Headcount &amp; Salaries - 2'!BJ43+'Headcount &amp; Salaries - 2'!BJ47+'Headcount &amp; Salaries - 2'!BJ48+'Headcount &amp; Salaries - 2'!BJ50+'Headcount &amp; Salaries - 2'!BJ49</f>
        <v/>
      </c>
      <c r="AT20" s="1049">
        <f>+'Headcount &amp; Salaries - 2'!BK43+'Headcount &amp; Salaries - 2'!BK47+'Headcount &amp; Salaries - 2'!BK48+'Headcount &amp; Salaries - 2'!BK50+'Headcount &amp; Salaries - 2'!BK49</f>
        <v/>
      </c>
      <c r="AU20" s="1049">
        <f>+'Headcount &amp; Salaries - 2'!BL43+'Headcount &amp; Salaries - 2'!BL47+'Headcount &amp; Salaries - 2'!BL48+'Headcount &amp; Salaries - 2'!BL50+'Headcount &amp; Salaries - 2'!BL49</f>
        <v/>
      </c>
      <c r="AV20" s="158">
        <f>+'Headcount &amp; Salaries - 2'!BM43+'Headcount &amp; Salaries - 2'!BM47+'Headcount &amp; Salaries - 2'!BM48+'Headcount &amp; Salaries - 2'!BM50+'Headcount &amp; Salaries - 2'!BM49</f>
        <v/>
      </c>
      <c r="AW20" s="1049">
        <f>+'Headcount &amp; Salaries - 2'!BN43+'Headcount &amp; Salaries - 2'!BN47+'Headcount &amp; Salaries - 2'!BN48+'Headcount &amp; Salaries - 2'!BN50+'Headcount &amp; Salaries - 2'!BN49</f>
        <v/>
      </c>
      <c r="AX20" s="1049">
        <f>+'Headcount &amp; Salaries - 2'!BO43+'Headcount &amp; Salaries - 2'!BO47+'Headcount &amp; Salaries - 2'!BO48+'Headcount &amp; Salaries - 2'!BO50+'Headcount &amp; Salaries - 2'!BO49</f>
        <v/>
      </c>
      <c r="AY20" s="1049">
        <f>+'Headcount &amp; Salaries - 2'!BP43+'Headcount &amp; Salaries - 2'!BP47+'Headcount &amp; Salaries - 2'!BP48+'Headcount &amp; Salaries - 2'!BP50+'Headcount &amp; Salaries - 2'!BP49</f>
        <v/>
      </c>
      <c r="AZ20" s="1049">
        <f>+'Headcount &amp; Salaries - 2'!BQ43+'Headcount &amp; Salaries - 2'!BQ47+'Headcount &amp; Salaries - 2'!BQ48+'Headcount &amp; Salaries - 2'!BQ50+'Headcount &amp; Salaries - 2'!BQ49</f>
        <v/>
      </c>
      <c r="BA20" s="1049">
        <f>+'Headcount &amp; Salaries - 2'!BR43+'Headcount &amp; Salaries - 2'!BR47+'Headcount &amp; Salaries - 2'!BR48+'Headcount &amp; Salaries - 2'!BR50+'Headcount &amp; Salaries - 2'!BR49</f>
        <v/>
      </c>
      <c r="BB20" s="158">
        <f>+'Headcount &amp; Salaries - 2'!BS43+'Headcount &amp; Salaries - 2'!BS47+'Headcount &amp; Salaries - 2'!BS48+'Headcount &amp; Salaries - 2'!BS50+'Headcount &amp; Salaries - 2'!BS49</f>
        <v/>
      </c>
      <c r="BC20" s="1049">
        <f>+'Headcount &amp; Salaries - 2'!BT43+'Headcount &amp; Salaries - 2'!BT47+'Headcount &amp; Salaries - 2'!BT48+'Headcount &amp; Salaries - 2'!BT50+'Headcount &amp; Salaries - 2'!BT49</f>
        <v/>
      </c>
      <c r="BD20" s="1049">
        <f>+'Headcount &amp; Salaries - 2'!BU43+'Headcount &amp; Salaries - 2'!BU47+'Headcount &amp; Salaries - 2'!BU48+'Headcount &amp; Salaries - 2'!BU50+'Headcount &amp; Salaries - 2'!BU49</f>
        <v/>
      </c>
      <c r="BE20" s="1049">
        <f>+'Headcount &amp; Salaries - 2'!BV43+'Headcount &amp; Salaries - 2'!BV47+'Headcount &amp; Salaries - 2'!BV48+'Headcount &amp; Salaries - 2'!BV50+'Headcount &amp; Salaries - 2'!BV49</f>
        <v/>
      </c>
      <c r="BF20" s="1049">
        <f>+'Headcount &amp; Salaries - 2'!BW43+'Headcount &amp; Salaries - 2'!BW47+'Headcount &amp; Salaries - 2'!BW48+'Headcount &amp; Salaries - 2'!BW50+'Headcount &amp; Salaries - 2'!BW49</f>
        <v/>
      </c>
      <c r="BG20" s="1049">
        <f>+'Headcount &amp; Salaries - 2'!BX43+'Headcount &amp; Salaries - 2'!BX47+'Headcount &amp; Salaries - 2'!BX48+'Headcount &amp; Salaries - 2'!BX50+'Headcount &amp; Salaries - 2'!BX49</f>
        <v/>
      </c>
      <c r="BH20" s="158">
        <f>+'Headcount &amp; Salaries - 2'!BY43+'Headcount &amp; Salaries - 2'!BY47+'Headcount &amp; Salaries - 2'!BY48+'Headcount &amp; Salaries - 2'!BY50+'Headcount &amp; Salaries - 2'!BY49</f>
        <v/>
      </c>
      <c r="BI20" s="1049">
        <f>+'Headcount &amp; Salaries - 2'!BZ43+'Headcount &amp; Salaries - 2'!BZ47+'Headcount &amp; Salaries - 2'!BZ48+'Headcount &amp; Salaries - 2'!BZ50+'Headcount &amp; Salaries - 2'!BZ49</f>
        <v/>
      </c>
      <c r="BJ20" s="1049">
        <f>+'Headcount &amp; Salaries - 2'!CA43+'Headcount &amp; Salaries - 2'!CA47+'Headcount &amp; Salaries - 2'!CA48+'Headcount &amp; Salaries - 2'!CA50+'Headcount &amp; Salaries - 2'!CA49</f>
        <v/>
      </c>
      <c r="BK20" s="1049">
        <f>+'Headcount &amp; Salaries - 2'!CB43+'Headcount &amp; Salaries - 2'!CB47+'Headcount &amp; Salaries - 2'!CB48+'Headcount &amp; Salaries - 2'!CB50+'Headcount &amp; Salaries - 2'!CB49</f>
        <v/>
      </c>
      <c r="BL20" s="1049">
        <f>+'Headcount &amp; Salaries - 2'!CC43+'Headcount &amp; Salaries - 2'!CC47+'Headcount &amp; Salaries - 2'!CC48+'Headcount &amp; Salaries - 2'!CC50+'Headcount &amp; Salaries - 2'!CC49</f>
        <v/>
      </c>
      <c r="BM20" s="1049">
        <f>+'Headcount &amp; Salaries - 2'!CD43+'Headcount &amp; Salaries - 2'!CD47+'Headcount &amp; Salaries - 2'!CD48+'Headcount &amp; Salaries - 2'!CD50+'Headcount &amp; Salaries - 2'!CD49</f>
        <v/>
      </c>
      <c r="BN20" s="158">
        <f>+'Headcount &amp; Salaries - 2'!CE43+'Headcount &amp; Salaries - 2'!CE47+'Headcount &amp; Salaries - 2'!CE48+'Headcount &amp; Salaries - 2'!CE50+'Headcount &amp; Salaries - 2'!CE49</f>
        <v/>
      </c>
    </row>
    <row r="21" ht="12.75" customHeight="1" s="1883">
      <c r="B21" s="672" t="n"/>
      <c r="C21" s="1040" t="n"/>
      <c r="D21" s="670" t="n"/>
      <c r="E21" s="671" t="n"/>
      <c r="F21" s="1066" t="inlineStr">
        <is>
          <t>Headcount - Sales</t>
        </is>
      </c>
      <c r="G21" s="1048">
        <f>+'Headcount &amp; Salaries - 2'!X45+'Headcount &amp; Salaries - 2'!X14</f>
        <v/>
      </c>
      <c r="H21" s="1048">
        <f>+'Headcount &amp; Salaries - 2'!Y45+'Headcount &amp; Salaries - 2'!Y14</f>
        <v/>
      </c>
      <c r="I21" s="1048">
        <f>+'Headcount &amp; Salaries - 2'!Z45+'Headcount &amp; Salaries - 2'!Z14</f>
        <v/>
      </c>
      <c r="J21" s="1048">
        <f>+'Headcount &amp; Salaries - 2'!AA45+'Headcount &amp; Salaries - 2'!AA14</f>
        <v/>
      </c>
      <c r="K21" s="1048">
        <f>+'Headcount &amp; Salaries - 2'!AB45+'Headcount &amp; Salaries - 2'!AB14</f>
        <v/>
      </c>
      <c r="L21" s="157">
        <f>+'Headcount &amp; Salaries - 2'!AC45+'Headcount &amp; Salaries - 2'!AC14</f>
        <v/>
      </c>
      <c r="M21" s="1048">
        <f>+'Headcount &amp; Salaries - 2'!AD45+'Headcount &amp; Salaries - 2'!AD14</f>
        <v/>
      </c>
      <c r="N21" s="1048">
        <f>+'Headcount &amp; Salaries - 2'!AE45+'Headcount &amp; Salaries - 2'!AE14</f>
        <v/>
      </c>
      <c r="O21" s="1048">
        <f>+'Headcount &amp; Salaries - 2'!AF45+'Headcount &amp; Salaries - 2'!AF14</f>
        <v/>
      </c>
      <c r="P21" s="1048">
        <f>+'Headcount &amp; Salaries - 2'!AG45+'Headcount &amp; Salaries - 2'!AG14</f>
        <v/>
      </c>
      <c r="Q21" s="1048">
        <f>+'Headcount &amp; Salaries - 2'!AH45+'Headcount &amp; Salaries - 2'!AH14</f>
        <v/>
      </c>
      <c r="R21" s="157">
        <f>+'Headcount &amp; Salaries - 2'!AI45+'Headcount &amp; Salaries - 2'!AI14</f>
        <v/>
      </c>
      <c r="S21" s="1049">
        <f>+'Headcount &amp; Salaries - 2'!AJ45+'Headcount &amp; Salaries - 2'!AJ14</f>
        <v/>
      </c>
      <c r="T21" s="1049">
        <f>+'Headcount &amp; Salaries - 2'!AK45+'Headcount &amp; Salaries - 2'!AK14</f>
        <v/>
      </c>
      <c r="U21" s="1049">
        <f>+'Headcount &amp; Salaries - 2'!AL45+'Headcount &amp; Salaries - 2'!AL14</f>
        <v/>
      </c>
      <c r="V21" s="1049">
        <f>+'Headcount &amp; Salaries - 2'!AM45+'Headcount &amp; Salaries - 2'!AM14</f>
        <v/>
      </c>
      <c r="W21" s="1049">
        <f>+'Headcount &amp; Salaries - 2'!AN45+'Headcount &amp; Salaries - 2'!AN14</f>
        <v/>
      </c>
      <c r="X21" s="158">
        <f>+'Headcount &amp; Salaries - 2'!AO45+'Headcount &amp; Salaries - 2'!AO14</f>
        <v/>
      </c>
      <c r="Y21" s="1049">
        <f>+'Headcount &amp; Salaries - 2'!AP45+'Headcount &amp; Salaries - 2'!AP14</f>
        <v/>
      </c>
      <c r="Z21" s="1049">
        <f>+'Headcount &amp; Salaries - 2'!AQ45+'Headcount &amp; Salaries - 2'!AQ14</f>
        <v/>
      </c>
      <c r="AA21" s="1049">
        <f>+'Headcount &amp; Salaries - 2'!AR45+'Headcount &amp; Salaries - 2'!AR14</f>
        <v/>
      </c>
      <c r="AB21" s="1049">
        <f>+'Headcount &amp; Salaries - 2'!AS45+'Headcount &amp; Salaries - 2'!AS14</f>
        <v/>
      </c>
      <c r="AC21" s="1049">
        <f>+'Headcount &amp; Salaries - 2'!AT45+'Headcount &amp; Salaries - 2'!AT14</f>
        <v/>
      </c>
      <c r="AD21" s="158">
        <f>+'Headcount &amp; Salaries - 2'!AU45+'Headcount &amp; Salaries - 2'!AU14</f>
        <v/>
      </c>
      <c r="AE21" s="1049">
        <f>+'Headcount &amp; Salaries - 2'!AV45+'Headcount &amp; Salaries - 2'!AV14</f>
        <v/>
      </c>
      <c r="AF21" s="1049">
        <f>+'Headcount &amp; Salaries - 2'!AW45+'Headcount &amp; Salaries - 2'!AW14</f>
        <v/>
      </c>
      <c r="AG21" s="1049">
        <f>+'Headcount &amp; Salaries - 2'!AX45+'Headcount &amp; Salaries - 2'!AX14</f>
        <v/>
      </c>
      <c r="AH21" s="1049">
        <f>+'Headcount &amp; Salaries - 2'!AY45+'Headcount &amp; Salaries - 2'!AY14</f>
        <v/>
      </c>
      <c r="AI21" s="1049">
        <f>+'Headcount &amp; Salaries - 2'!AZ45+'Headcount &amp; Salaries - 2'!AZ14</f>
        <v/>
      </c>
      <c r="AJ21" s="158">
        <f>+'Headcount &amp; Salaries - 2'!BA45+'Headcount &amp; Salaries - 2'!BA14</f>
        <v/>
      </c>
      <c r="AK21" s="1049">
        <f>+'Headcount &amp; Salaries - 2'!BB45+'Headcount &amp; Salaries - 2'!BB14</f>
        <v/>
      </c>
      <c r="AL21" s="1049">
        <f>+'Headcount &amp; Salaries - 2'!BC45+'Headcount &amp; Salaries - 2'!BC14</f>
        <v/>
      </c>
      <c r="AM21" s="1049">
        <f>+'Headcount &amp; Salaries - 2'!BD45+'Headcount &amp; Salaries - 2'!BD14</f>
        <v/>
      </c>
      <c r="AN21" s="1049">
        <f>+'Headcount &amp; Salaries - 2'!BE45+'Headcount &amp; Salaries - 2'!BE14</f>
        <v/>
      </c>
      <c r="AO21" s="1049">
        <f>+'Headcount &amp; Salaries - 2'!BF45+'Headcount &amp; Salaries - 2'!BF14</f>
        <v/>
      </c>
      <c r="AP21" s="158">
        <f>+'Headcount &amp; Salaries - 2'!BG45+'Headcount &amp; Salaries - 2'!BG14</f>
        <v/>
      </c>
      <c r="AQ21" s="1049">
        <f>+'Headcount &amp; Salaries - 2'!BH45+'Headcount &amp; Salaries - 2'!BH14</f>
        <v/>
      </c>
      <c r="AR21" s="1049">
        <f>+'Headcount &amp; Salaries - 2'!BI45+'Headcount &amp; Salaries - 2'!BI14</f>
        <v/>
      </c>
      <c r="AS21" s="1049">
        <f>+'Headcount &amp; Salaries - 2'!BJ45+'Headcount &amp; Salaries - 2'!BJ14</f>
        <v/>
      </c>
      <c r="AT21" s="1049">
        <f>+'Headcount &amp; Salaries - 2'!BK45+'Headcount &amp; Salaries - 2'!BK14</f>
        <v/>
      </c>
      <c r="AU21" s="1049">
        <f>+'Headcount &amp; Salaries - 2'!BL45+'Headcount &amp; Salaries - 2'!BL14</f>
        <v/>
      </c>
      <c r="AV21" s="158">
        <f>+'Headcount &amp; Salaries - 2'!BM45+'Headcount &amp; Salaries - 2'!BM14</f>
        <v/>
      </c>
      <c r="AW21" s="1049">
        <f>+'Headcount &amp; Salaries - 2'!BN45+'Headcount &amp; Salaries - 2'!BN14</f>
        <v/>
      </c>
      <c r="AX21" s="1049">
        <f>+'Headcount &amp; Salaries - 2'!BO45+'Headcount &amp; Salaries - 2'!BO14</f>
        <v/>
      </c>
      <c r="AY21" s="1049">
        <f>+'Headcount &amp; Salaries - 2'!BP45+'Headcount &amp; Salaries - 2'!BP14</f>
        <v/>
      </c>
      <c r="AZ21" s="1049">
        <f>+'Headcount &amp; Salaries - 2'!BQ45+'Headcount &amp; Salaries - 2'!BQ14</f>
        <v/>
      </c>
      <c r="BA21" s="1049">
        <f>+'Headcount &amp; Salaries - 2'!BR45+'Headcount &amp; Salaries - 2'!BR14</f>
        <v/>
      </c>
      <c r="BB21" s="158">
        <f>+'Headcount &amp; Salaries - 2'!BS45+'Headcount &amp; Salaries - 2'!BS14</f>
        <v/>
      </c>
      <c r="BC21" s="1049">
        <f>+'Headcount &amp; Salaries - 2'!BT45+'Headcount &amp; Salaries - 2'!BT14</f>
        <v/>
      </c>
      <c r="BD21" s="1049">
        <f>+'Headcount &amp; Salaries - 2'!BU45+'Headcount &amp; Salaries - 2'!BU14</f>
        <v/>
      </c>
      <c r="BE21" s="1049">
        <f>+'Headcount &amp; Salaries - 2'!BV45+'Headcount &amp; Salaries - 2'!BV14</f>
        <v/>
      </c>
      <c r="BF21" s="1049">
        <f>+'Headcount &amp; Salaries - 2'!BW45+'Headcount &amp; Salaries - 2'!BW14</f>
        <v/>
      </c>
      <c r="BG21" s="1049">
        <f>+'Headcount &amp; Salaries - 2'!BX45+'Headcount &amp; Salaries - 2'!BX14</f>
        <v/>
      </c>
      <c r="BH21" s="158">
        <f>+'Headcount &amp; Salaries - 2'!BY45+'Headcount &amp; Salaries - 2'!BY14</f>
        <v/>
      </c>
      <c r="BI21" s="1049">
        <f>+'Headcount &amp; Salaries - 2'!BZ45+'Headcount &amp; Salaries - 2'!BZ14</f>
        <v/>
      </c>
      <c r="BJ21" s="1049">
        <f>+'Headcount &amp; Salaries - 2'!CA45+'Headcount &amp; Salaries - 2'!CA14</f>
        <v/>
      </c>
      <c r="BK21" s="1049">
        <f>+'Headcount &amp; Salaries - 2'!CB45+'Headcount &amp; Salaries - 2'!CB14</f>
        <v/>
      </c>
      <c r="BL21" s="1049">
        <f>+'Headcount &amp; Salaries - 2'!CC45+'Headcount &amp; Salaries - 2'!CC14</f>
        <v/>
      </c>
      <c r="BM21" s="1049">
        <f>+'Headcount &amp; Salaries - 2'!CD45+'Headcount &amp; Salaries - 2'!CD14</f>
        <v/>
      </c>
      <c r="BN21" s="158">
        <f>+'Headcount &amp; Salaries - 2'!CE45+'Headcount &amp; Salaries - 2'!CE14</f>
        <v/>
      </c>
    </row>
    <row r="22" ht="12.75" customHeight="1" s="1883">
      <c r="B22" s="672" t="n"/>
      <c r="C22" s="1040" t="n"/>
      <c r="D22" s="670" t="n"/>
      <c r="E22" s="671" t="n"/>
      <c r="F22" s="1066" t="inlineStr">
        <is>
          <t>Headcount - Management</t>
        </is>
      </c>
      <c r="G22" s="1048">
        <f>+SUM('Headcount &amp; Salaries - 2'!X10:X32)</f>
        <v/>
      </c>
      <c r="H22" s="1048">
        <f>+SUM('Headcount &amp; Salaries - 2'!Y10:Y32)</f>
        <v/>
      </c>
      <c r="I22" s="1048">
        <f>+SUM('Headcount &amp; Salaries - 2'!Z10:Z32)</f>
        <v/>
      </c>
      <c r="J22" s="1048">
        <f>+SUM('Headcount &amp; Salaries - 2'!AA10:AA32)</f>
        <v/>
      </c>
      <c r="K22" s="1048">
        <f>+SUM('Headcount &amp; Salaries - 2'!AB10:AB32)</f>
        <v/>
      </c>
      <c r="L22" s="157">
        <f>+SUM('Headcount &amp; Salaries - 2'!AC10:AC32)</f>
        <v/>
      </c>
      <c r="M22" s="1048">
        <f>+SUM('Headcount &amp; Salaries - 2'!AD10:AD32)</f>
        <v/>
      </c>
      <c r="N22" s="1048">
        <f>+SUM('Headcount &amp; Salaries - 2'!AE10:AE32)</f>
        <v/>
      </c>
      <c r="O22" s="1048">
        <f>+SUM('Headcount &amp; Salaries - 2'!AF10:AF32)</f>
        <v/>
      </c>
      <c r="P22" s="1048">
        <f>+SUM('Headcount &amp; Salaries - 2'!AG10:AG32)</f>
        <v/>
      </c>
      <c r="Q22" s="1048">
        <f>+SUM('Headcount &amp; Salaries - 2'!AH10:AH32)</f>
        <v/>
      </c>
      <c r="R22" s="157">
        <f>+SUM('Headcount &amp; Salaries - 2'!AI10:AI32)</f>
        <v/>
      </c>
      <c r="S22" s="1049">
        <f>+SUM('Headcount &amp; Salaries - 2'!AJ10:AJ32)</f>
        <v/>
      </c>
      <c r="T22" s="1049">
        <f>+SUM('Headcount &amp; Salaries - 2'!AK10:AK32)</f>
        <v/>
      </c>
      <c r="U22" s="1049">
        <f>+SUM('Headcount &amp; Salaries - 2'!AL10:AL32)</f>
        <v/>
      </c>
      <c r="V22" s="1049">
        <f>+SUM('Headcount &amp; Salaries - 2'!AM10:AM32)</f>
        <v/>
      </c>
      <c r="W22" s="1049">
        <f>+SUM('Headcount &amp; Salaries - 2'!AN10:AN32)</f>
        <v/>
      </c>
      <c r="X22" s="158">
        <f>+SUM('Headcount &amp; Salaries - 2'!AO10:AO32)</f>
        <v/>
      </c>
      <c r="Y22" s="1049">
        <f>+SUM('Headcount &amp; Salaries - 2'!AP10:AP32)</f>
        <v/>
      </c>
      <c r="Z22" s="1049">
        <f>+SUM('Headcount &amp; Salaries - 2'!AQ10:AQ32)</f>
        <v/>
      </c>
      <c r="AA22" s="1049">
        <f>+SUM('Headcount &amp; Salaries - 2'!AR10:AR32)</f>
        <v/>
      </c>
      <c r="AB22" s="1049">
        <f>+SUM('Headcount &amp; Salaries - 2'!AS10:AS32)</f>
        <v/>
      </c>
      <c r="AC22" s="1049">
        <f>+SUM('Headcount &amp; Salaries - 2'!AT10:AT32)</f>
        <v/>
      </c>
      <c r="AD22" s="158">
        <f>+SUM('Headcount &amp; Salaries - 2'!AU10:AU32)</f>
        <v/>
      </c>
      <c r="AE22" s="1049">
        <f>+SUM('Headcount &amp; Salaries - 2'!AV10:AV32)</f>
        <v/>
      </c>
      <c r="AF22" s="1049">
        <f>+SUM('Headcount &amp; Salaries - 2'!AW10:AW32)</f>
        <v/>
      </c>
      <c r="AG22" s="1049">
        <f>+SUM('Headcount &amp; Salaries - 2'!AX10:AX32)</f>
        <v/>
      </c>
      <c r="AH22" s="1049">
        <f>+SUM('Headcount &amp; Salaries - 2'!AY10:AY32)</f>
        <v/>
      </c>
      <c r="AI22" s="1049">
        <f>+SUM('Headcount &amp; Salaries - 2'!AZ10:AZ32)</f>
        <v/>
      </c>
      <c r="AJ22" s="158">
        <f>+SUM('Headcount &amp; Salaries - 2'!BA10:BA32)</f>
        <v/>
      </c>
      <c r="AK22" s="1049">
        <f>+SUM('Headcount &amp; Salaries - 2'!BB10:BB32)</f>
        <v/>
      </c>
      <c r="AL22" s="1049">
        <f>+SUM('Headcount &amp; Salaries - 2'!BC10:BC32)</f>
        <v/>
      </c>
      <c r="AM22" s="1049">
        <f>+SUM('Headcount &amp; Salaries - 2'!BD10:BD32)</f>
        <v/>
      </c>
      <c r="AN22" s="1049">
        <f>+SUM('Headcount &amp; Salaries - 2'!BE10:BE32)</f>
        <v/>
      </c>
      <c r="AO22" s="1049">
        <f>+SUM('Headcount &amp; Salaries - 2'!BF10:BF32)</f>
        <v/>
      </c>
      <c r="AP22" s="158">
        <f>+SUM('Headcount &amp; Salaries - 2'!BG10:BG32)</f>
        <v/>
      </c>
      <c r="AQ22" s="1049">
        <f>+SUM('Headcount &amp; Salaries - 2'!BH10:BH32)</f>
        <v/>
      </c>
      <c r="AR22" s="1049">
        <f>+SUM('Headcount &amp; Salaries - 2'!BI10:BI32)</f>
        <v/>
      </c>
      <c r="AS22" s="1049">
        <f>+SUM('Headcount &amp; Salaries - 2'!BJ10:BJ32)</f>
        <v/>
      </c>
      <c r="AT22" s="1049">
        <f>+SUM('Headcount &amp; Salaries - 2'!BK10:BK32)</f>
        <v/>
      </c>
      <c r="AU22" s="1049">
        <f>+SUM('Headcount &amp; Salaries - 2'!BL10:BL32)</f>
        <v/>
      </c>
      <c r="AV22" s="158">
        <f>+SUM('Headcount &amp; Salaries - 2'!BM10:BM32)</f>
        <v/>
      </c>
      <c r="AW22" s="1049">
        <f>+SUM('Headcount &amp; Salaries - 2'!BN10:BN32)</f>
        <v/>
      </c>
      <c r="AX22" s="1049">
        <f>+SUM('Headcount &amp; Salaries - 2'!BO10:BO32)</f>
        <v/>
      </c>
      <c r="AY22" s="1049">
        <f>+SUM('Headcount &amp; Salaries - 2'!BP10:BP32)</f>
        <v/>
      </c>
      <c r="AZ22" s="1049">
        <f>+SUM('Headcount &amp; Salaries - 2'!BQ10:BQ32)</f>
        <v/>
      </c>
      <c r="BA22" s="1049">
        <f>+SUM('Headcount &amp; Salaries - 2'!BR10:BR32)</f>
        <v/>
      </c>
      <c r="BB22" s="158">
        <f>+SUM('Headcount &amp; Salaries - 2'!BS10:BS32)</f>
        <v/>
      </c>
      <c r="BC22" s="1049">
        <f>+SUM('Headcount &amp; Salaries - 2'!BT10:BT32)</f>
        <v/>
      </c>
      <c r="BD22" s="1049">
        <f>+SUM('Headcount &amp; Salaries - 2'!BU10:BU32)</f>
        <v/>
      </c>
      <c r="BE22" s="1049">
        <f>+SUM('Headcount &amp; Salaries - 2'!BV10:BV32)</f>
        <v/>
      </c>
      <c r="BF22" s="1049">
        <f>+SUM('Headcount &amp; Salaries - 2'!BW10:BW32)</f>
        <v/>
      </c>
      <c r="BG22" s="1049">
        <f>+SUM('Headcount &amp; Salaries - 2'!BX10:BX32)</f>
        <v/>
      </c>
      <c r="BH22" s="158">
        <f>+SUM('Headcount &amp; Salaries - 2'!BY10:BY32)</f>
        <v/>
      </c>
      <c r="BI22" s="1049">
        <f>+SUM('Headcount &amp; Salaries - 2'!BZ10:BZ32)</f>
        <v/>
      </c>
      <c r="BJ22" s="1049">
        <f>+SUM('Headcount &amp; Salaries - 2'!CA10:CA32)</f>
        <v/>
      </c>
      <c r="BK22" s="1049">
        <f>+SUM('Headcount &amp; Salaries - 2'!CB10:CB32)</f>
        <v/>
      </c>
      <c r="BL22" s="1049">
        <f>+SUM('Headcount &amp; Salaries - 2'!CC10:CC32)</f>
        <v/>
      </c>
      <c r="BM22" s="1049">
        <f>+SUM('Headcount &amp; Salaries - 2'!CD10:CD32)</f>
        <v/>
      </c>
      <c r="BN22" s="158">
        <f>+SUM('Headcount &amp; Salaries - 2'!CE10:CE32)</f>
        <v/>
      </c>
    </row>
    <row r="23" ht="12.75" customHeight="1" s="1883">
      <c r="B23" s="672" t="n"/>
      <c r="C23" s="1040" t="n"/>
      <c r="D23" s="670" t="n"/>
      <c r="E23" s="671" t="n"/>
      <c r="F23" s="1066" t="inlineStr">
        <is>
          <t>Avg Cost - Office</t>
        </is>
      </c>
      <c r="G23" s="1053" t="n">
        <v>50</v>
      </c>
      <c r="H23" s="1067">
        <f>+G23</f>
        <v/>
      </c>
      <c r="I23" s="1067">
        <f>+H23</f>
        <v/>
      </c>
      <c r="J23" s="1067">
        <f>+I23</f>
        <v/>
      </c>
      <c r="K23" s="1067">
        <f>+J23</f>
        <v/>
      </c>
      <c r="L23" s="167">
        <f>+K23</f>
        <v/>
      </c>
      <c r="M23" s="1067">
        <f>+L23</f>
        <v/>
      </c>
      <c r="N23" s="1067">
        <f>+M23</f>
        <v/>
      </c>
      <c r="O23" s="1067">
        <f>+N23</f>
        <v/>
      </c>
      <c r="P23" s="1067">
        <f>+O23</f>
        <v/>
      </c>
      <c r="Q23" s="1067">
        <f>+P23</f>
        <v/>
      </c>
      <c r="R23" s="167">
        <f>+Q23</f>
        <v/>
      </c>
      <c r="S23" s="1067">
        <f>+R23</f>
        <v/>
      </c>
      <c r="T23" s="1067">
        <f>+S23</f>
        <v/>
      </c>
      <c r="U23" s="1067">
        <f>+T23</f>
        <v/>
      </c>
      <c r="V23" s="1067">
        <f>+U23</f>
        <v/>
      </c>
      <c r="W23" s="1067">
        <f>+V23</f>
        <v/>
      </c>
      <c r="X23" s="167">
        <f>+W23</f>
        <v/>
      </c>
      <c r="Y23" s="1067">
        <f>+X23</f>
        <v/>
      </c>
      <c r="Z23" s="1067">
        <f>+Y23</f>
        <v/>
      </c>
      <c r="AA23" s="1067">
        <f>+Z23</f>
        <v/>
      </c>
      <c r="AB23" s="1067">
        <f>+AA23</f>
        <v/>
      </c>
      <c r="AC23" s="1067">
        <f>+AB23</f>
        <v/>
      </c>
      <c r="AD23" s="167">
        <f>+AC23</f>
        <v/>
      </c>
      <c r="AE23" s="1067">
        <f>+AD23</f>
        <v/>
      </c>
      <c r="AF23" s="1067">
        <f>+AE23</f>
        <v/>
      </c>
      <c r="AG23" s="1067">
        <f>+AF23</f>
        <v/>
      </c>
      <c r="AH23" s="1067">
        <f>+AG23</f>
        <v/>
      </c>
      <c r="AI23" s="1067">
        <f>+AH23</f>
        <v/>
      </c>
      <c r="AJ23" s="167">
        <f>+AI23</f>
        <v/>
      </c>
      <c r="AK23" s="1067">
        <f>+AJ23</f>
        <v/>
      </c>
      <c r="AL23" s="1067">
        <f>+AK23</f>
        <v/>
      </c>
      <c r="AM23" s="1067">
        <f>+AL23</f>
        <v/>
      </c>
      <c r="AN23" s="1067">
        <f>+AM23</f>
        <v/>
      </c>
      <c r="AO23" s="1067">
        <f>+AN23</f>
        <v/>
      </c>
      <c r="AP23" s="167">
        <f>+AO23</f>
        <v/>
      </c>
      <c r="AQ23" s="1067">
        <f>+AP23</f>
        <v/>
      </c>
      <c r="AR23" s="1067">
        <f>+AQ23</f>
        <v/>
      </c>
      <c r="AS23" s="1067">
        <f>+AR23</f>
        <v/>
      </c>
      <c r="AT23" s="1067">
        <f>+AS23</f>
        <v/>
      </c>
      <c r="AU23" s="1067">
        <f>+AT23</f>
        <v/>
      </c>
      <c r="AV23" s="167">
        <f>+AU23</f>
        <v/>
      </c>
      <c r="AW23" s="1067">
        <f>+AV23</f>
        <v/>
      </c>
      <c r="AX23" s="1067">
        <f>+AW23</f>
        <v/>
      </c>
      <c r="AY23" s="1067">
        <f>+AX23</f>
        <v/>
      </c>
      <c r="AZ23" s="1067">
        <f>+AY23</f>
        <v/>
      </c>
      <c r="BA23" s="1067">
        <f>+AZ23</f>
        <v/>
      </c>
      <c r="BB23" s="167">
        <f>+BA23</f>
        <v/>
      </c>
      <c r="BC23" s="1067">
        <f>+BB23</f>
        <v/>
      </c>
      <c r="BD23" s="1067">
        <f>+BC23</f>
        <v/>
      </c>
      <c r="BE23" s="1067">
        <f>+BD23</f>
        <v/>
      </c>
      <c r="BF23" s="1067">
        <f>+BE23</f>
        <v/>
      </c>
      <c r="BG23" s="1067">
        <f>+BF23</f>
        <v/>
      </c>
      <c r="BH23" s="167">
        <f>+BG23</f>
        <v/>
      </c>
      <c r="BI23" s="1067">
        <f>+BH23</f>
        <v/>
      </c>
      <c r="BJ23" s="1067">
        <f>+BI23</f>
        <v/>
      </c>
      <c r="BK23" s="1067">
        <f>+BJ23</f>
        <v/>
      </c>
      <c r="BL23" s="1067">
        <f>+BK23</f>
        <v/>
      </c>
      <c r="BM23" s="1067">
        <f>+BL23</f>
        <v/>
      </c>
      <c r="BN23" s="167">
        <f>+BM23</f>
        <v/>
      </c>
    </row>
    <row r="24" ht="12.75" customHeight="1" s="1883">
      <c r="B24" s="672" t="n"/>
      <c r="C24" s="1040" t="n"/>
      <c r="D24" s="670" t="n"/>
      <c r="E24" s="671" t="n"/>
      <c r="F24" s="1066" t="inlineStr">
        <is>
          <t>Avg Cost - Sales</t>
        </is>
      </c>
      <c r="G24" s="1053" t="n">
        <v>150</v>
      </c>
      <c r="H24" s="1067">
        <f>+G24</f>
        <v/>
      </c>
      <c r="I24" s="1067">
        <f>+H24</f>
        <v/>
      </c>
      <c r="J24" s="1067">
        <f>+I24</f>
        <v/>
      </c>
      <c r="K24" s="1067">
        <f>+J24</f>
        <v/>
      </c>
      <c r="L24" s="167">
        <f>+K24</f>
        <v/>
      </c>
      <c r="M24" s="1067">
        <f>+L24</f>
        <v/>
      </c>
      <c r="N24" s="1067">
        <f>+M24</f>
        <v/>
      </c>
      <c r="O24" s="1067">
        <f>+N24</f>
        <v/>
      </c>
      <c r="P24" s="1067">
        <f>+O24</f>
        <v/>
      </c>
      <c r="Q24" s="1067">
        <f>+P24</f>
        <v/>
      </c>
      <c r="R24" s="167">
        <f>+Q24</f>
        <v/>
      </c>
      <c r="S24" s="1067">
        <f>+R24</f>
        <v/>
      </c>
      <c r="T24" s="1067">
        <f>+S24</f>
        <v/>
      </c>
      <c r="U24" s="1067">
        <f>+T24</f>
        <v/>
      </c>
      <c r="V24" s="1067">
        <f>+U24</f>
        <v/>
      </c>
      <c r="W24" s="1067">
        <f>+V24</f>
        <v/>
      </c>
      <c r="X24" s="167">
        <f>+W24</f>
        <v/>
      </c>
      <c r="Y24" s="1067">
        <f>+X24</f>
        <v/>
      </c>
      <c r="Z24" s="1067">
        <f>+Y24</f>
        <v/>
      </c>
      <c r="AA24" s="1067">
        <f>+Z24</f>
        <v/>
      </c>
      <c r="AB24" s="1067">
        <f>+AA24</f>
        <v/>
      </c>
      <c r="AC24" s="1067">
        <f>+AB24</f>
        <v/>
      </c>
      <c r="AD24" s="167">
        <f>+AC24</f>
        <v/>
      </c>
      <c r="AE24" s="1067">
        <f>+AD24</f>
        <v/>
      </c>
      <c r="AF24" s="1067">
        <f>+AE24</f>
        <v/>
      </c>
      <c r="AG24" s="1067">
        <f>+AF24</f>
        <v/>
      </c>
      <c r="AH24" s="1067">
        <f>+AG24</f>
        <v/>
      </c>
      <c r="AI24" s="1067">
        <f>+AH24</f>
        <v/>
      </c>
      <c r="AJ24" s="167">
        <f>+AI24</f>
        <v/>
      </c>
      <c r="AK24" s="1067">
        <f>+AJ24</f>
        <v/>
      </c>
      <c r="AL24" s="1067">
        <f>+AK24</f>
        <v/>
      </c>
      <c r="AM24" s="1067">
        <f>+AL24</f>
        <v/>
      </c>
      <c r="AN24" s="1067">
        <f>+AM24</f>
        <v/>
      </c>
      <c r="AO24" s="1067">
        <f>+AN24</f>
        <v/>
      </c>
      <c r="AP24" s="167">
        <f>+AO24</f>
        <v/>
      </c>
      <c r="AQ24" s="1067">
        <f>+AP24</f>
        <v/>
      </c>
      <c r="AR24" s="1067">
        <f>+AQ24</f>
        <v/>
      </c>
      <c r="AS24" s="1067">
        <f>+AR24</f>
        <v/>
      </c>
      <c r="AT24" s="1067">
        <f>+AS24</f>
        <v/>
      </c>
      <c r="AU24" s="1067">
        <f>+AT24</f>
        <v/>
      </c>
      <c r="AV24" s="167">
        <f>+AU24</f>
        <v/>
      </c>
      <c r="AW24" s="1067">
        <f>+AV24</f>
        <v/>
      </c>
      <c r="AX24" s="1067">
        <f>+AW24</f>
        <v/>
      </c>
      <c r="AY24" s="1067">
        <f>+AX24</f>
        <v/>
      </c>
      <c r="AZ24" s="1067">
        <f>+AY24</f>
        <v/>
      </c>
      <c r="BA24" s="1067">
        <f>+AZ24</f>
        <v/>
      </c>
      <c r="BB24" s="167">
        <f>+BA24</f>
        <v/>
      </c>
      <c r="BC24" s="1067">
        <f>+BB24</f>
        <v/>
      </c>
      <c r="BD24" s="1067">
        <f>+BC24</f>
        <v/>
      </c>
      <c r="BE24" s="1067">
        <f>+BD24</f>
        <v/>
      </c>
      <c r="BF24" s="1067">
        <f>+BE24</f>
        <v/>
      </c>
      <c r="BG24" s="1067">
        <f>+BF24</f>
        <v/>
      </c>
      <c r="BH24" s="167">
        <f>+BG24</f>
        <v/>
      </c>
      <c r="BI24" s="1067">
        <f>+BH24</f>
        <v/>
      </c>
      <c r="BJ24" s="1067">
        <f>+BI24</f>
        <v/>
      </c>
      <c r="BK24" s="1067">
        <f>+BJ24</f>
        <v/>
      </c>
      <c r="BL24" s="1067">
        <f>+BK24</f>
        <v/>
      </c>
      <c r="BM24" s="1067">
        <f>+BL24</f>
        <v/>
      </c>
      <c r="BN24" s="167">
        <f>+BM24</f>
        <v/>
      </c>
    </row>
    <row r="25" ht="12.75" customHeight="1" s="1883">
      <c r="B25" s="672" t="n"/>
      <c r="C25" s="1040" t="n"/>
      <c r="D25" s="670" t="n"/>
      <c r="E25" s="671" t="n"/>
      <c r="F25" s="1066" t="inlineStr">
        <is>
          <t>Avg Cost - Management</t>
        </is>
      </c>
      <c r="G25" s="1053" t="n">
        <v>150</v>
      </c>
      <c r="H25" s="1067">
        <f>+G25</f>
        <v/>
      </c>
      <c r="I25" s="1067">
        <f>+H25</f>
        <v/>
      </c>
      <c r="J25" s="1067">
        <f>+I25</f>
        <v/>
      </c>
      <c r="K25" s="1067">
        <f>+J25</f>
        <v/>
      </c>
      <c r="L25" s="167">
        <f>+K25</f>
        <v/>
      </c>
      <c r="M25" s="1067">
        <f>+L25</f>
        <v/>
      </c>
      <c r="N25" s="1067">
        <f>+M25</f>
        <v/>
      </c>
      <c r="O25" s="1067">
        <f>+N25</f>
        <v/>
      </c>
      <c r="P25" s="1067">
        <f>+O25</f>
        <v/>
      </c>
      <c r="Q25" s="1067">
        <f>+P25</f>
        <v/>
      </c>
      <c r="R25" s="167">
        <f>+Q25</f>
        <v/>
      </c>
      <c r="S25" s="1067">
        <f>+R25</f>
        <v/>
      </c>
      <c r="T25" s="1067">
        <f>+S25</f>
        <v/>
      </c>
      <c r="U25" s="1067">
        <f>+T25</f>
        <v/>
      </c>
      <c r="V25" s="1067">
        <f>+U25</f>
        <v/>
      </c>
      <c r="W25" s="1067">
        <f>+V25</f>
        <v/>
      </c>
      <c r="X25" s="167">
        <f>+W25</f>
        <v/>
      </c>
      <c r="Y25" s="1067">
        <f>+X25</f>
        <v/>
      </c>
      <c r="Z25" s="1067">
        <f>+Y25</f>
        <v/>
      </c>
      <c r="AA25" s="1067">
        <f>+Z25</f>
        <v/>
      </c>
      <c r="AB25" s="1067">
        <f>+AA25</f>
        <v/>
      </c>
      <c r="AC25" s="1067">
        <f>+AB25</f>
        <v/>
      </c>
      <c r="AD25" s="167">
        <f>+AC25</f>
        <v/>
      </c>
      <c r="AE25" s="1067">
        <f>+AD25</f>
        <v/>
      </c>
      <c r="AF25" s="1067">
        <f>+AE25</f>
        <v/>
      </c>
      <c r="AG25" s="1067">
        <f>+AF25</f>
        <v/>
      </c>
      <c r="AH25" s="1067">
        <f>+AG25</f>
        <v/>
      </c>
      <c r="AI25" s="1067">
        <f>+AH25</f>
        <v/>
      </c>
      <c r="AJ25" s="167">
        <f>+AI25</f>
        <v/>
      </c>
      <c r="AK25" s="1067">
        <f>+AJ25</f>
        <v/>
      </c>
      <c r="AL25" s="1067">
        <f>+AK25</f>
        <v/>
      </c>
      <c r="AM25" s="1067">
        <f>+AL25</f>
        <v/>
      </c>
      <c r="AN25" s="1067">
        <f>+AM25</f>
        <v/>
      </c>
      <c r="AO25" s="1067">
        <f>+AN25</f>
        <v/>
      </c>
      <c r="AP25" s="167">
        <f>+AO25</f>
        <v/>
      </c>
      <c r="AQ25" s="1067">
        <f>+AP25</f>
        <v/>
      </c>
      <c r="AR25" s="1067">
        <f>+AQ25</f>
        <v/>
      </c>
      <c r="AS25" s="1067">
        <f>+AR25</f>
        <v/>
      </c>
      <c r="AT25" s="1067">
        <f>+AS25</f>
        <v/>
      </c>
      <c r="AU25" s="1067">
        <f>+AT25</f>
        <v/>
      </c>
      <c r="AV25" s="167">
        <f>+AU25</f>
        <v/>
      </c>
      <c r="AW25" s="1067">
        <f>+AV25</f>
        <v/>
      </c>
      <c r="AX25" s="1067">
        <f>+AW25</f>
        <v/>
      </c>
      <c r="AY25" s="1067">
        <f>+AX25</f>
        <v/>
      </c>
      <c r="AZ25" s="1067">
        <f>+AY25</f>
        <v/>
      </c>
      <c r="BA25" s="1067">
        <f>+AZ25</f>
        <v/>
      </c>
      <c r="BB25" s="167">
        <f>+BA25</f>
        <v/>
      </c>
      <c r="BC25" s="1067">
        <f>+BB25</f>
        <v/>
      </c>
      <c r="BD25" s="1067">
        <f>+BC25</f>
        <v/>
      </c>
      <c r="BE25" s="1067">
        <f>+BD25</f>
        <v/>
      </c>
      <c r="BF25" s="1067">
        <f>+BE25</f>
        <v/>
      </c>
      <c r="BG25" s="1067">
        <f>+BF25</f>
        <v/>
      </c>
      <c r="BH25" s="167">
        <f>+BG25</f>
        <v/>
      </c>
      <c r="BI25" s="1067">
        <f>+BH25</f>
        <v/>
      </c>
      <c r="BJ25" s="1067">
        <f>+BI25</f>
        <v/>
      </c>
      <c r="BK25" s="1067">
        <f>+BJ25</f>
        <v/>
      </c>
      <c r="BL25" s="1067">
        <f>+BK25</f>
        <v/>
      </c>
      <c r="BM25" s="1067">
        <f>+BL25</f>
        <v/>
      </c>
      <c r="BN25" s="167">
        <f>+BM25</f>
        <v/>
      </c>
    </row>
    <row r="26" ht="12.75" customHeight="1" s="1883">
      <c r="B26" s="672" t="n"/>
      <c r="C26" s="1040" t="n"/>
      <c r="D26" s="670" t="n"/>
      <c r="E26" s="671" t="n"/>
      <c r="F26" s="671" t="n"/>
      <c r="G26" s="1048" t="n"/>
      <c r="H26" s="1048" t="n"/>
      <c r="I26" s="1048" t="n"/>
      <c r="J26" s="1048" t="n"/>
      <c r="K26" s="1048" t="n"/>
      <c r="L26" s="157" t="n"/>
      <c r="M26" s="1048" t="n"/>
      <c r="N26" s="1048" t="n"/>
      <c r="O26" s="1048" t="n"/>
      <c r="P26" s="1048" t="n"/>
      <c r="Q26" s="1048" t="n"/>
      <c r="R26" s="157" t="n"/>
      <c r="S26" s="1042" t="n"/>
      <c r="T26" s="1042" t="n"/>
      <c r="U26" s="1042" t="n"/>
      <c r="V26" s="1042" t="n"/>
      <c r="W26" s="1042" t="n"/>
      <c r="X26" s="156" t="n"/>
      <c r="Y26" s="1042" t="n"/>
      <c r="Z26" s="1042" t="n"/>
      <c r="AA26" s="1042" t="n"/>
      <c r="AB26" s="1042" t="n"/>
      <c r="AC26" s="1042" t="n"/>
      <c r="AD26" s="156" t="n"/>
      <c r="AE26" s="1042" t="n"/>
      <c r="AF26" s="1042" t="n"/>
      <c r="AG26" s="1042" t="n"/>
      <c r="AH26" s="1042" t="n"/>
      <c r="AI26" s="1042" t="n"/>
      <c r="AJ26" s="156" t="n"/>
      <c r="AK26" s="1042" t="n"/>
      <c r="AL26" s="1042" t="n"/>
      <c r="AM26" s="1042" t="n"/>
      <c r="AN26" s="1042" t="n"/>
      <c r="AO26" s="1042" t="n"/>
      <c r="AP26" s="156" t="n"/>
      <c r="AQ26" s="1042" t="n"/>
      <c r="AR26" s="1042" t="n"/>
      <c r="AS26" s="1042" t="n"/>
      <c r="AT26" s="1042" t="n"/>
      <c r="AU26" s="1042" t="n"/>
      <c r="AV26" s="156" t="n"/>
      <c r="AW26" s="1042" t="n"/>
      <c r="AX26" s="1042" t="n"/>
      <c r="AY26" s="1042" t="n"/>
      <c r="AZ26" s="1042" t="n"/>
      <c r="BA26" s="1042" t="n"/>
      <c r="BB26" s="156" t="n"/>
      <c r="BC26" s="1042" t="n"/>
      <c r="BD26" s="1042" t="n"/>
      <c r="BE26" s="1042" t="n"/>
      <c r="BF26" s="1042" t="n"/>
      <c r="BG26" s="1042" t="n"/>
      <c r="BH26" s="156" t="n"/>
      <c r="BI26" s="1042" t="n"/>
      <c r="BJ26" s="1042" t="n"/>
      <c r="BK26" s="1042" t="n"/>
      <c r="BL26" s="1042" t="n"/>
      <c r="BM26" s="1042" t="n"/>
      <c r="BN26" s="156" t="n"/>
    </row>
    <row r="27" ht="12.75" customHeight="1" s="1883">
      <c r="B27" s="1043" t="inlineStr">
        <is>
          <t>G&amp;A</t>
        </is>
      </c>
      <c r="C27" s="1918" t="inlineStr">
        <is>
          <t>G&amp;A - Telephone</t>
        </is>
      </c>
      <c r="D27" s="1056" t="n"/>
      <c r="E27" s="1057" t="n"/>
      <c r="F27" s="1057" t="n"/>
      <c r="G27" s="1068">
        <f>+(G20*G23)+(G22*G25)</f>
        <v/>
      </c>
      <c r="H27" s="1068">
        <f>+(H20*H23)+(H22*H25)</f>
        <v/>
      </c>
      <c r="I27" s="1068">
        <f>+(I20*I23)+(I22*I25)</f>
        <v/>
      </c>
      <c r="J27" s="1068">
        <f>+(J20*J23)+(J22*J25)</f>
        <v/>
      </c>
      <c r="K27" s="1068">
        <f>+(K20*K23)+(K22*K25)</f>
        <v/>
      </c>
      <c r="L27" s="168">
        <f>+(L20*L23)+(L22*L25)</f>
        <v/>
      </c>
      <c r="M27" s="1068">
        <f>+(M20*M23)+(M22*M25)</f>
        <v/>
      </c>
      <c r="N27" s="1068">
        <f>+(N20*N23)+(N22*N25)</f>
        <v/>
      </c>
      <c r="O27" s="1068">
        <f>+(O20*O23)+(O22*O25)</f>
        <v/>
      </c>
      <c r="P27" s="1068">
        <f>+(P20*P23)+(P22*P25)</f>
        <v/>
      </c>
      <c r="Q27" s="1068">
        <f>+(Q20*Q23)+(Q22*Q25)</f>
        <v/>
      </c>
      <c r="R27" s="168">
        <f>+(R20*R23)+(R22*R25)</f>
        <v/>
      </c>
      <c r="S27" s="1068">
        <f>+(S20*S23)+(S22*S25)</f>
        <v/>
      </c>
      <c r="T27" s="1068">
        <f>+(T20*T23)+(T22*T25)</f>
        <v/>
      </c>
      <c r="U27" s="1068">
        <f>+(U20*U23)+(U22*U25)</f>
        <v/>
      </c>
      <c r="V27" s="1068">
        <f>+(V20*V23)+(V22*V25)</f>
        <v/>
      </c>
      <c r="W27" s="1068">
        <f>+(W20*W23)+(W22*W25)</f>
        <v/>
      </c>
      <c r="X27" s="168">
        <f>+(X20*X23)+(X22*X25)</f>
        <v/>
      </c>
      <c r="Y27" s="1068">
        <f>+(Y20*Y23)+(Y22*Y25)</f>
        <v/>
      </c>
      <c r="Z27" s="1068">
        <f>+(Z20*Z23)+(Z22*Z25)</f>
        <v/>
      </c>
      <c r="AA27" s="1068">
        <f>+(AA20*AA23)+(AA22*AA25)</f>
        <v/>
      </c>
      <c r="AB27" s="1068">
        <f>+(AB20*AB23)+(AB22*AB25)</f>
        <v/>
      </c>
      <c r="AC27" s="1068">
        <f>+(AC20*AC23)+(AC22*AC25)</f>
        <v/>
      </c>
      <c r="AD27" s="168">
        <f>+(AD20*AD23)+(AD22*AD25)</f>
        <v/>
      </c>
      <c r="AE27" s="1068">
        <f>+(AE20*AE23)+(AE22*AE25)</f>
        <v/>
      </c>
      <c r="AF27" s="1068">
        <f>+(AF20*AF23)+(AF22*AF25)</f>
        <v/>
      </c>
      <c r="AG27" s="1068">
        <f>+(AG20*AG23)+(AG22*AG25)</f>
        <v/>
      </c>
      <c r="AH27" s="1068">
        <f>+(AH20*AH23)+(AH22*AH25)</f>
        <v/>
      </c>
      <c r="AI27" s="1068">
        <f>+(AI20*AI23)+(AI22*AI25)</f>
        <v/>
      </c>
      <c r="AJ27" s="168">
        <f>+(AJ20*AJ23)+(AJ22*AJ25)</f>
        <v/>
      </c>
      <c r="AK27" s="1068">
        <f>+(AK20*AK23)+(AK22*AK25)</f>
        <v/>
      </c>
      <c r="AL27" s="1068">
        <f>+(AL20*AL23)+(AL22*AL25)</f>
        <v/>
      </c>
      <c r="AM27" s="1068">
        <f>+(AM20*AM23)+(AM22*AM25)</f>
        <v/>
      </c>
      <c r="AN27" s="1068">
        <f>+(AN20*AN23)+(AN22*AN25)</f>
        <v/>
      </c>
      <c r="AO27" s="1068">
        <f>+(AO20*AO23)+(AO22*AO25)</f>
        <v/>
      </c>
      <c r="AP27" s="168">
        <f>+(AP20*AP23)+(AP22*AP25)</f>
        <v/>
      </c>
      <c r="AQ27" s="1068">
        <f>+(AQ20*AQ23)+(AQ22*AQ25)</f>
        <v/>
      </c>
      <c r="AR27" s="1068">
        <f>+(AR20*AR23)+(AR22*AR25)</f>
        <v/>
      </c>
      <c r="AS27" s="1068">
        <f>+(AS20*AS23)+(AS22*AS25)</f>
        <v/>
      </c>
      <c r="AT27" s="1068">
        <f>+(AT20*AT23)+(AT22*AT25)</f>
        <v/>
      </c>
      <c r="AU27" s="1068">
        <f>+(AU20*AU23)+(AU22*AU25)</f>
        <v/>
      </c>
      <c r="AV27" s="168">
        <f>+(AV20*AV23)+(AV22*AV25)</f>
        <v/>
      </c>
      <c r="AW27" s="1068">
        <f>+(AW20*AW23)+(AW22*AW25)</f>
        <v/>
      </c>
      <c r="AX27" s="1068">
        <f>+(AX20*AX23)+(AX22*AX25)</f>
        <v/>
      </c>
      <c r="AY27" s="1068">
        <f>+(AY20*AY23)+(AY22*AY25)</f>
        <v/>
      </c>
      <c r="AZ27" s="1068">
        <f>+(AZ20*AZ23)+(AZ22*AZ25)</f>
        <v/>
      </c>
      <c r="BA27" s="1068">
        <f>+(BA20*BA23)+(BA22*BA25)</f>
        <v/>
      </c>
      <c r="BB27" s="168">
        <f>+(BB20*BB23)+(BB22*BB25)</f>
        <v/>
      </c>
      <c r="BC27" s="1068">
        <f>+(BC20*BC23)+(BC22*BC25)</f>
        <v/>
      </c>
      <c r="BD27" s="1068">
        <f>+(BD20*BD23)+(BD22*BD25)</f>
        <v/>
      </c>
      <c r="BE27" s="1068">
        <f>+(BE20*BE23)+(BE22*BE25)</f>
        <v/>
      </c>
      <c r="BF27" s="1068">
        <f>+(BF20*BF23)+(BF22*BF25)</f>
        <v/>
      </c>
      <c r="BG27" s="1068">
        <f>+(BG20*BG23)+(BG22*BG25)</f>
        <v/>
      </c>
      <c r="BH27" s="168">
        <f>+(BH20*BH23)+(BH22*BH25)</f>
        <v/>
      </c>
      <c r="BI27" s="1068">
        <f>+(BI20*BI23)+(BI22*BI25)</f>
        <v/>
      </c>
      <c r="BJ27" s="1068">
        <f>+(BJ20*BJ23)+(BJ22*BJ25)</f>
        <v/>
      </c>
      <c r="BK27" s="1068">
        <f>+(BK20*BK23)+(BK22*BK25)</f>
        <v/>
      </c>
      <c r="BL27" s="1068">
        <f>+(BL20*BL23)+(BL22*BL25)</f>
        <v/>
      </c>
      <c r="BM27" s="1068">
        <f>+(BM20*BM23)+(BM22*BM25)</f>
        <v/>
      </c>
      <c r="BN27" s="168">
        <f>+(BN20*BN23)+(BN22*BN25)</f>
        <v/>
      </c>
    </row>
    <row r="28" ht="12.75" customHeight="1" s="1883">
      <c r="B28" s="88" t="n"/>
      <c r="C28" s="1069" t="n"/>
      <c r="D28" s="70" t="n"/>
      <c r="E28" s="169" t="n"/>
      <c r="F28" s="169" t="n"/>
      <c r="G28" s="69" t="n"/>
      <c r="H28" s="69" t="n"/>
      <c r="I28" s="69" t="n"/>
      <c r="J28" s="69" t="n"/>
      <c r="K28" s="69" t="n"/>
      <c r="L28" s="1070" t="n"/>
      <c r="M28" s="69" t="n"/>
      <c r="N28" s="69" t="n"/>
      <c r="O28" s="69" t="n"/>
      <c r="P28" s="69" t="n"/>
      <c r="Q28" s="69" t="n"/>
      <c r="R28" s="1070" t="n"/>
      <c r="S28" s="73" t="n"/>
      <c r="T28" s="73" t="n"/>
      <c r="U28" s="73" t="n"/>
      <c r="V28" s="73" t="n"/>
      <c r="W28" s="73" t="n"/>
      <c r="X28" s="1071" t="n"/>
      <c r="Y28" s="73" t="n"/>
      <c r="Z28" s="73" t="n"/>
      <c r="AA28" s="73" t="n"/>
      <c r="AB28" s="73" t="n"/>
      <c r="AC28" s="73" t="n"/>
      <c r="AD28" s="1071" t="n"/>
      <c r="AE28" s="73" t="n"/>
      <c r="AF28" s="73" t="n"/>
      <c r="AG28" s="73" t="n"/>
      <c r="AH28" s="73" t="n"/>
      <c r="AI28" s="73" t="n"/>
      <c r="AJ28" s="1071" t="n"/>
      <c r="AK28" s="73" t="n"/>
      <c r="AL28" s="73" t="n"/>
      <c r="AM28" s="73" t="n"/>
      <c r="AN28" s="73" t="n"/>
      <c r="AO28" s="73" t="n"/>
      <c r="AP28" s="1071" t="n"/>
      <c r="AQ28" s="73" t="n"/>
      <c r="AR28" s="73" t="n"/>
      <c r="AS28" s="73" t="n"/>
      <c r="AT28" s="73" t="n"/>
      <c r="AU28" s="73" t="n"/>
      <c r="AV28" s="1071" t="n"/>
      <c r="AW28" s="73" t="n"/>
      <c r="AX28" s="73" t="n"/>
      <c r="AY28" s="73" t="n"/>
      <c r="AZ28" s="73" t="n"/>
      <c r="BA28" s="73" t="n"/>
      <c r="BB28" s="1071" t="n"/>
      <c r="BC28" s="73" t="n"/>
      <c r="BD28" s="73" t="n"/>
      <c r="BE28" s="73" t="n"/>
      <c r="BF28" s="73" t="n"/>
      <c r="BG28" s="73" t="n"/>
      <c r="BH28" s="1071" t="n"/>
      <c r="BI28" s="73" t="n"/>
      <c r="BJ28" s="73" t="n"/>
      <c r="BK28" s="73" t="n"/>
      <c r="BL28" s="73" t="n"/>
      <c r="BM28" s="73" t="n"/>
      <c r="BN28" s="1071" t="n"/>
    </row>
    <row r="29" ht="12.75" customHeight="1" s="1883">
      <c r="B29" s="1043" t="inlineStr">
        <is>
          <t>S&amp;M</t>
        </is>
      </c>
      <c r="C29" s="1918" t="inlineStr">
        <is>
          <t>S&amp;M - Telephone</t>
        </is>
      </c>
      <c r="D29" s="1056" t="n"/>
      <c r="E29" s="1057" t="n"/>
      <c r="F29" s="1057" t="n"/>
      <c r="G29" s="1068">
        <f>+G21*G24</f>
        <v/>
      </c>
      <c r="H29" s="1068">
        <f>+H21*H24</f>
        <v/>
      </c>
      <c r="I29" s="1068">
        <f>+I21*I24</f>
        <v/>
      </c>
      <c r="J29" s="1068">
        <f>+J21*J24</f>
        <v/>
      </c>
      <c r="K29" s="1068">
        <f>+K21*K24</f>
        <v/>
      </c>
      <c r="L29" s="168">
        <f>+L21*L24</f>
        <v/>
      </c>
      <c r="M29" s="1068">
        <f>+M21*M24</f>
        <v/>
      </c>
      <c r="N29" s="1068">
        <f>+N21*N24</f>
        <v/>
      </c>
      <c r="O29" s="1068">
        <f>+O21*O24</f>
        <v/>
      </c>
      <c r="P29" s="1068">
        <f>+P21*P24</f>
        <v/>
      </c>
      <c r="Q29" s="1068">
        <f>+Q21*Q24</f>
        <v/>
      </c>
      <c r="R29" s="168">
        <f>+R21*R24</f>
        <v/>
      </c>
      <c r="S29" s="1068">
        <f>+S21*S24</f>
        <v/>
      </c>
      <c r="T29" s="1068">
        <f>+T21*T24</f>
        <v/>
      </c>
      <c r="U29" s="1068">
        <f>+U21*U24</f>
        <v/>
      </c>
      <c r="V29" s="1068">
        <f>+V21*V24</f>
        <v/>
      </c>
      <c r="W29" s="1068">
        <f>+W21*W24</f>
        <v/>
      </c>
      <c r="X29" s="168">
        <f>+X21*X24</f>
        <v/>
      </c>
      <c r="Y29" s="1068">
        <f>+Y21*Y24</f>
        <v/>
      </c>
      <c r="Z29" s="1068">
        <f>+Z21*Z24</f>
        <v/>
      </c>
      <c r="AA29" s="1068">
        <f>+AA21*AA24</f>
        <v/>
      </c>
      <c r="AB29" s="1068">
        <f>+AB21*AB24</f>
        <v/>
      </c>
      <c r="AC29" s="1068">
        <f>+AC21*AC24</f>
        <v/>
      </c>
      <c r="AD29" s="168">
        <f>+AD21*AD24</f>
        <v/>
      </c>
      <c r="AE29" s="1068">
        <f>+AE21*AE24</f>
        <v/>
      </c>
      <c r="AF29" s="1068">
        <f>+AF21*AF24</f>
        <v/>
      </c>
      <c r="AG29" s="1068">
        <f>+AG21*AG24</f>
        <v/>
      </c>
      <c r="AH29" s="1068">
        <f>+AH21*AH24</f>
        <v/>
      </c>
      <c r="AI29" s="1068">
        <f>+AI21*AI24</f>
        <v/>
      </c>
      <c r="AJ29" s="168">
        <f>+AJ21*AJ24</f>
        <v/>
      </c>
      <c r="AK29" s="1068">
        <f>+AK21*AK24</f>
        <v/>
      </c>
      <c r="AL29" s="1068">
        <f>+AL21*AL24</f>
        <v/>
      </c>
      <c r="AM29" s="1068">
        <f>+AM21*AM24</f>
        <v/>
      </c>
      <c r="AN29" s="1068">
        <f>+AN21*AN24</f>
        <v/>
      </c>
      <c r="AO29" s="1068">
        <f>+AO21*AO24</f>
        <v/>
      </c>
      <c r="AP29" s="168">
        <f>+AP21*AP24</f>
        <v/>
      </c>
      <c r="AQ29" s="1068">
        <f>+AQ21*AQ24</f>
        <v/>
      </c>
      <c r="AR29" s="1068">
        <f>+AR21*AR24</f>
        <v/>
      </c>
      <c r="AS29" s="1068">
        <f>+AS21*AS24</f>
        <v/>
      </c>
      <c r="AT29" s="1068">
        <f>+AT21*AT24</f>
        <v/>
      </c>
      <c r="AU29" s="1068">
        <f>+AU21*AU24</f>
        <v/>
      </c>
      <c r="AV29" s="168">
        <f>+AV21*AV24</f>
        <v/>
      </c>
      <c r="AW29" s="1068">
        <f>+AW21*AW24</f>
        <v/>
      </c>
      <c r="AX29" s="1068">
        <f>+AX21*AX24</f>
        <v/>
      </c>
      <c r="AY29" s="1068">
        <f>+AY21*AY24</f>
        <v/>
      </c>
      <c r="AZ29" s="1068">
        <f>+AZ21*AZ24</f>
        <v/>
      </c>
      <c r="BA29" s="1068">
        <f>+BA21*BA24</f>
        <v/>
      </c>
      <c r="BB29" s="168">
        <f>+BB21*BB24</f>
        <v/>
      </c>
      <c r="BC29" s="1068">
        <f>+BC21*BC24</f>
        <v/>
      </c>
      <c r="BD29" s="1068">
        <f>+BD21*BD24</f>
        <v/>
      </c>
      <c r="BE29" s="1068">
        <f>+BE21*BE24</f>
        <v/>
      </c>
      <c r="BF29" s="1068">
        <f>+BF21*BF24</f>
        <v/>
      </c>
      <c r="BG29" s="1068">
        <f>+BG21*BG24</f>
        <v/>
      </c>
      <c r="BH29" s="168">
        <f>+BH21*BH24</f>
        <v/>
      </c>
      <c r="BI29" s="1068">
        <f>+BI21*BI24</f>
        <v/>
      </c>
      <c r="BJ29" s="1068">
        <f>+BJ21*BJ24</f>
        <v/>
      </c>
      <c r="BK29" s="1068">
        <f>+BK21*BK24</f>
        <v/>
      </c>
      <c r="BL29" s="1068">
        <f>+BL21*BL24</f>
        <v/>
      </c>
      <c r="BM29" s="1068">
        <f>+BM21*BM24</f>
        <v/>
      </c>
      <c r="BN29" s="168">
        <f>+BN21*BN24</f>
        <v/>
      </c>
    </row>
    <row r="30" ht="12.75" customHeight="1" s="1883">
      <c r="B30" s="672" t="n"/>
      <c r="C30" s="1059" t="n"/>
      <c r="D30" s="1060" t="n"/>
      <c r="E30" s="1061" t="n"/>
      <c r="F30" s="1061" t="n"/>
      <c r="G30" s="1062" t="n"/>
      <c r="H30" s="1062" t="n"/>
      <c r="I30" s="1062" t="n"/>
      <c r="J30" s="1062" t="n"/>
      <c r="K30" s="1062" t="n"/>
      <c r="L30" s="163" t="n"/>
      <c r="M30" s="1062" t="n"/>
      <c r="N30" s="1062" t="n"/>
      <c r="O30" s="1062" t="n"/>
      <c r="P30" s="1062" t="n"/>
      <c r="Q30" s="1062" t="n"/>
      <c r="R30" s="163" t="n"/>
      <c r="S30" s="1063" t="n"/>
      <c r="T30" s="1063" t="n"/>
      <c r="U30" s="1063" t="n"/>
      <c r="V30" s="1063" t="n"/>
      <c r="W30" s="1063" t="n"/>
      <c r="X30" s="164" t="n"/>
      <c r="Y30" s="1063" t="n"/>
      <c r="Z30" s="1063" t="n"/>
      <c r="AA30" s="1063" t="n"/>
      <c r="AB30" s="1063" t="n"/>
      <c r="AC30" s="1063" t="n"/>
      <c r="AD30" s="164" t="n"/>
      <c r="AE30" s="1063" t="n"/>
      <c r="AF30" s="1063" t="n"/>
      <c r="AG30" s="1063" t="n"/>
      <c r="AH30" s="1063" t="n"/>
      <c r="AI30" s="1063" t="n"/>
      <c r="AJ30" s="164" t="n"/>
      <c r="AK30" s="1063" t="n"/>
      <c r="AL30" s="1063" t="n"/>
      <c r="AM30" s="1063" t="n"/>
      <c r="AN30" s="1063" t="n"/>
      <c r="AO30" s="1063" t="n"/>
      <c r="AP30" s="164" t="n"/>
      <c r="AQ30" s="1063" t="n"/>
      <c r="AR30" s="1063" t="n"/>
      <c r="AS30" s="1063" t="n"/>
      <c r="AT30" s="1063" t="n"/>
      <c r="AU30" s="1063" t="n"/>
      <c r="AV30" s="164" t="n"/>
      <c r="AW30" s="1063" t="n"/>
      <c r="AX30" s="1063" t="n"/>
      <c r="AY30" s="1063" t="n"/>
      <c r="AZ30" s="1063" t="n"/>
      <c r="BA30" s="1063" t="n"/>
      <c r="BB30" s="164" t="n"/>
      <c r="BC30" s="1063" t="n"/>
      <c r="BD30" s="1063" t="n"/>
      <c r="BE30" s="1063" t="n"/>
      <c r="BF30" s="1063" t="n"/>
      <c r="BG30" s="1063" t="n"/>
      <c r="BH30" s="164" t="n"/>
      <c r="BI30" s="1063" t="n"/>
      <c r="BJ30" s="1063" t="n"/>
      <c r="BK30" s="1063" t="n"/>
      <c r="BL30" s="1063" t="n"/>
      <c r="BM30" s="1063" t="n"/>
      <c r="BN30" s="164" t="n"/>
    </row>
    <row r="31" ht="12.75" customHeight="1" s="1883">
      <c r="B31" s="672" t="inlineStr">
        <is>
          <t>G&amp;A</t>
        </is>
      </c>
      <c r="C31" s="1918" t="inlineStr">
        <is>
          <t>Product Liability Insurance</t>
        </is>
      </c>
      <c r="D31" s="670" t="n"/>
      <c r="E31" s="671" t="n"/>
      <c r="F31" s="671" t="inlineStr">
        <is>
          <t>% of Revenue</t>
        </is>
      </c>
      <c r="G31" s="1072" t="n">
        <v>0.0005</v>
      </c>
      <c r="H31" s="1048" t="n"/>
      <c r="I31" s="1048" t="n"/>
      <c r="J31" s="1048" t="n"/>
      <c r="K31" s="1048" t="n"/>
      <c r="L31" s="157" t="n"/>
      <c r="M31" s="1048" t="n"/>
      <c r="N31" s="1048" t="n"/>
      <c r="O31" s="1048" t="n"/>
      <c r="P31" s="1048" t="n"/>
      <c r="Q31" s="1048" t="n"/>
      <c r="R31" s="157" t="n"/>
      <c r="S31" s="1072" t="n">
        <v>0.0009</v>
      </c>
      <c r="T31" s="1042" t="n"/>
      <c r="U31" s="1042" t="n"/>
      <c r="V31" s="1042" t="n"/>
      <c r="W31" s="1042" t="n"/>
      <c r="X31" s="156" t="n"/>
      <c r="Y31" s="1042" t="n"/>
      <c r="Z31" s="1042" t="n"/>
      <c r="AA31" s="1042" t="n"/>
      <c r="AB31" s="1042" t="n"/>
      <c r="AC31" s="1042" t="n"/>
      <c r="AD31" s="156" t="n"/>
      <c r="AE31" s="1072" t="n">
        <v>0.0009</v>
      </c>
      <c r="AF31" s="1042" t="n"/>
      <c r="AG31" s="1042" t="n"/>
      <c r="AH31" s="1042" t="n"/>
      <c r="AI31" s="1042" t="n"/>
      <c r="AJ31" s="156" t="n"/>
      <c r="AK31" s="1042" t="n"/>
      <c r="AL31" s="1042" t="n"/>
      <c r="AM31" s="1042" t="n"/>
      <c r="AN31" s="1042" t="n"/>
      <c r="AO31" s="1042" t="n"/>
      <c r="AP31" s="156" t="n"/>
      <c r="AQ31" s="1072" t="n">
        <v>0.0009</v>
      </c>
      <c r="AR31" s="1042" t="n"/>
      <c r="AS31" s="1042" t="n"/>
      <c r="AT31" s="1042" t="n"/>
      <c r="AU31" s="1042" t="n"/>
      <c r="AV31" s="156" t="n"/>
      <c r="AW31" s="1042" t="n"/>
      <c r="AX31" s="1042" t="n"/>
      <c r="AY31" s="1042" t="n"/>
      <c r="AZ31" s="1042" t="n"/>
      <c r="BA31" s="1042" t="n"/>
      <c r="BB31" s="156" t="n"/>
      <c r="BC31" s="1072" t="n">
        <v>0.0009</v>
      </c>
      <c r="BD31" s="1042" t="n"/>
      <c r="BE31" s="1042" t="n"/>
      <c r="BF31" s="1042" t="n"/>
      <c r="BG31" s="1042" t="n"/>
      <c r="BH31" s="156" t="n"/>
      <c r="BI31" s="1042" t="n"/>
      <c r="BJ31" s="1042" t="n"/>
      <c r="BK31" s="1042" t="n"/>
      <c r="BL31" s="1042" t="n"/>
      <c r="BM31" s="1042" t="n"/>
      <c r="BN31" s="156" t="n"/>
    </row>
    <row r="32" ht="12.75" customHeight="1" s="1883">
      <c r="B32" s="672" t="n"/>
      <c r="C32" s="1046" t="n"/>
      <c r="D32" s="670" t="n"/>
      <c r="E32" s="671" t="n"/>
      <c r="F32" s="1041" t="n"/>
      <c r="G32" s="69">
        <f>'3F. Revenue &amp; COGS Assumptions'!G65*$G31</f>
        <v/>
      </c>
      <c r="H32" s="69">
        <f>'3F. Revenue &amp; COGS Assumptions'!H65*$G31</f>
        <v/>
      </c>
      <c r="I32" s="69">
        <f>'3F. Revenue &amp; COGS Assumptions'!I65*$G31</f>
        <v/>
      </c>
      <c r="J32" s="69">
        <f>'3F. Revenue &amp; COGS Assumptions'!J65*$G31</f>
        <v/>
      </c>
      <c r="K32" s="69">
        <f>'3F. Revenue &amp; COGS Assumptions'!K65*$G31</f>
        <v/>
      </c>
      <c r="L32" s="1070">
        <f>'3F. Revenue &amp; COGS Assumptions'!L65*$G31</f>
        <v/>
      </c>
      <c r="M32" s="69">
        <f>'3F. Revenue &amp; COGS Assumptions'!M65*$G31</f>
        <v/>
      </c>
      <c r="N32" s="69">
        <f>'3F. Revenue &amp; COGS Assumptions'!N65*$G31</f>
        <v/>
      </c>
      <c r="O32" s="69">
        <f>'3F. Revenue &amp; COGS Assumptions'!O65*$G31</f>
        <v/>
      </c>
      <c r="P32" s="69">
        <f>'3F. Revenue &amp; COGS Assumptions'!P65*$G31</f>
        <v/>
      </c>
      <c r="Q32" s="69">
        <f>'3F. Revenue &amp; COGS Assumptions'!Q65*$G31</f>
        <v/>
      </c>
      <c r="R32" s="1070">
        <f>'3F. Revenue &amp; COGS Assumptions'!R65*$G31</f>
        <v/>
      </c>
      <c r="S32" s="69">
        <f>'3F. Revenue &amp; COGS Assumptions'!S65*$S31</f>
        <v/>
      </c>
      <c r="T32" s="69">
        <f>'3F. Revenue &amp; COGS Assumptions'!T65*$S31</f>
        <v/>
      </c>
      <c r="U32" s="69">
        <f>'3F. Revenue &amp; COGS Assumptions'!U65*$S31</f>
        <v/>
      </c>
      <c r="V32" s="69">
        <f>'3F. Revenue &amp; COGS Assumptions'!V65*$S31</f>
        <v/>
      </c>
      <c r="W32" s="69">
        <f>'3F. Revenue &amp; COGS Assumptions'!W65*$S31</f>
        <v/>
      </c>
      <c r="X32" s="1070">
        <f>'3F. Revenue &amp; COGS Assumptions'!X65*$S31</f>
        <v/>
      </c>
      <c r="Y32" s="69">
        <f>'3F. Revenue &amp; COGS Assumptions'!Y65*$S31</f>
        <v/>
      </c>
      <c r="Z32" s="69">
        <f>'3F. Revenue &amp; COGS Assumptions'!Z65*$S31</f>
        <v/>
      </c>
      <c r="AA32" s="69">
        <f>'3F. Revenue &amp; COGS Assumptions'!AA65*$S31</f>
        <v/>
      </c>
      <c r="AB32" s="69">
        <f>'3F. Revenue &amp; COGS Assumptions'!AB65*$S31</f>
        <v/>
      </c>
      <c r="AC32" s="69">
        <f>'3F. Revenue &amp; COGS Assumptions'!AC65*$S31</f>
        <v/>
      </c>
      <c r="AD32" s="1070">
        <f>'3F. Revenue &amp; COGS Assumptions'!AD65*$S31</f>
        <v/>
      </c>
      <c r="AE32" s="69">
        <f>'3F. Revenue &amp; COGS Assumptions'!AE65*$AE31</f>
        <v/>
      </c>
      <c r="AF32" s="69">
        <f>'3F. Revenue &amp; COGS Assumptions'!AF65*$AE31</f>
        <v/>
      </c>
      <c r="AG32" s="69">
        <f>'3F. Revenue &amp; COGS Assumptions'!AG65*$AE31</f>
        <v/>
      </c>
      <c r="AH32" s="69">
        <f>'3F. Revenue &amp; COGS Assumptions'!AH65*$AE31</f>
        <v/>
      </c>
      <c r="AI32" s="69">
        <f>'3F. Revenue &amp; COGS Assumptions'!AI65*$AE31</f>
        <v/>
      </c>
      <c r="AJ32" s="1070">
        <f>'3F. Revenue &amp; COGS Assumptions'!AJ65*$AE31</f>
        <v/>
      </c>
      <c r="AK32" s="69">
        <f>'3F. Revenue &amp; COGS Assumptions'!AK65*$AE31</f>
        <v/>
      </c>
      <c r="AL32" s="69">
        <f>'3F. Revenue &amp; COGS Assumptions'!AL65*$AE31</f>
        <v/>
      </c>
      <c r="AM32" s="69">
        <f>'3F. Revenue &amp; COGS Assumptions'!AM65*$AE31</f>
        <v/>
      </c>
      <c r="AN32" s="69">
        <f>'3F. Revenue &amp; COGS Assumptions'!AN65*$AE31</f>
        <v/>
      </c>
      <c r="AO32" s="69">
        <f>'3F. Revenue &amp; COGS Assumptions'!AO65*$AE31</f>
        <v/>
      </c>
      <c r="AP32" s="1070">
        <f>'3F. Revenue &amp; COGS Assumptions'!AP65*$AE31</f>
        <v/>
      </c>
      <c r="AQ32" s="69">
        <f>'3F. Revenue &amp; COGS Assumptions'!AQ65*$AQ31</f>
        <v/>
      </c>
      <c r="AR32" s="69">
        <f>'3F. Revenue &amp; COGS Assumptions'!AR65*$AQ31</f>
        <v/>
      </c>
      <c r="AS32" s="69">
        <f>'3F. Revenue &amp; COGS Assumptions'!AS65*$AQ31</f>
        <v/>
      </c>
      <c r="AT32" s="69">
        <f>'3F. Revenue &amp; COGS Assumptions'!AT65*$AQ31</f>
        <v/>
      </c>
      <c r="AU32" s="69">
        <f>'3F. Revenue &amp; COGS Assumptions'!AU65*$AQ31</f>
        <v/>
      </c>
      <c r="AV32" s="1070">
        <f>'3F. Revenue &amp; COGS Assumptions'!AV65*$AQ31</f>
        <v/>
      </c>
      <c r="AW32" s="69">
        <f>'3F. Revenue &amp; COGS Assumptions'!AW65*$AQ31</f>
        <v/>
      </c>
      <c r="AX32" s="69">
        <f>'3F. Revenue &amp; COGS Assumptions'!AX65*$AQ31</f>
        <v/>
      </c>
      <c r="AY32" s="69">
        <f>'3F. Revenue &amp; COGS Assumptions'!AY65*$AQ31</f>
        <v/>
      </c>
      <c r="AZ32" s="69">
        <f>'3F. Revenue &amp; COGS Assumptions'!AZ65*$AQ31</f>
        <v/>
      </c>
      <c r="BA32" s="69">
        <f>'3F. Revenue &amp; COGS Assumptions'!BA65*$AQ31</f>
        <v/>
      </c>
      <c r="BB32" s="1070">
        <f>'3F. Revenue &amp; COGS Assumptions'!BB65*$AQ31</f>
        <v/>
      </c>
      <c r="BC32" s="69">
        <f>'3F. Revenue &amp; COGS Assumptions'!BC65*$BC31</f>
        <v/>
      </c>
      <c r="BD32" s="69">
        <f>'3F. Revenue &amp; COGS Assumptions'!BD65*$BC31</f>
        <v/>
      </c>
      <c r="BE32" s="69">
        <f>'3F. Revenue &amp; COGS Assumptions'!BE65*$BC31</f>
        <v/>
      </c>
      <c r="BF32" s="69">
        <f>'3F. Revenue &amp; COGS Assumptions'!BF65*$BC31</f>
        <v/>
      </c>
      <c r="BG32" s="69">
        <f>'3F. Revenue &amp; COGS Assumptions'!BG65*$BC31</f>
        <v/>
      </c>
      <c r="BH32" s="1070">
        <f>'3F. Revenue &amp; COGS Assumptions'!BH65*$BC31</f>
        <v/>
      </c>
      <c r="BI32" s="69">
        <f>'3F. Revenue &amp; COGS Assumptions'!BI65*$BC31</f>
        <v/>
      </c>
      <c r="BJ32" s="69">
        <f>'3F. Revenue &amp; COGS Assumptions'!BJ65*$BC31</f>
        <v/>
      </c>
      <c r="BK32" s="69">
        <f>'3F. Revenue &amp; COGS Assumptions'!BK65*$BC31</f>
        <v/>
      </c>
      <c r="BL32" s="69">
        <f>'3F. Revenue &amp; COGS Assumptions'!BL65*$BC31</f>
        <v/>
      </c>
      <c r="BM32" s="69">
        <f>'3F. Revenue &amp; COGS Assumptions'!BM65*$BC31</f>
        <v/>
      </c>
      <c r="BN32" s="1070">
        <f>'3F. Revenue &amp; COGS Assumptions'!BN65*$BC31</f>
        <v/>
      </c>
    </row>
    <row r="33" ht="12.75" customHeight="1" s="1883">
      <c r="B33" s="672" t="n"/>
      <c r="C33" s="1059" t="n"/>
      <c r="D33" s="1060" t="n"/>
      <c r="E33" s="1061" t="n"/>
      <c r="F33" s="1061" t="n"/>
      <c r="G33" s="1062" t="n"/>
      <c r="H33" s="1062" t="n"/>
      <c r="I33" s="1062" t="n"/>
      <c r="J33" s="1062" t="n"/>
      <c r="K33" s="1062" t="n"/>
      <c r="L33" s="163" t="n"/>
      <c r="M33" s="1062" t="n"/>
      <c r="N33" s="1062" t="n"/>
      <c r="O33" s="1062" t="n"/>
      <c r="P33" s="1062" t="n"/>
      <c r="Q33" s="1062" t="n"/>
      <c r="R33" s="163" t="n"/>
      <c r="S33" s="1063" t="n"/>
      <c r="T33" s="1063" t="n"/>
      <c r="U33" s="1063" t="n"/>
      <c r="V33" s="1063" t="n"/>
      <c r="W33" s="1063" t="n"/>
      <c r="X33" s="164" t="n"/>
      <c r="Y33" s="1063" t="n"/>
      <c r="Z33" s="1063" t="n"/>
      <c r="AA33" s="1063" t="n"/>
      <c r="AB33" s="1063" t="n"/>
      <c r="AC33" s="1063" t="n"/>
      <c r="AD33" s="164" t="n"/>
      <c r="AE33" s="1063" t="n"/>
      <c r="AF33" s="1063" t="n"/>
      <c r="AG33" s="1063" t="n"/>
      <c r="AH33" s="1063" t="n"/>
      <c r="AI33" s="1063" t="n"/>
      <c r="AJ33" s="164" t="n"/>
      <c r="AK33" s="1063" t="n"/>
      <c r="AL33" s="1063" t="n"/>
      <c r="AM33" s="1063" t="n"/>
      <c r="AN33" s="1063" t="n"/>
      <c r="AO33" s="1063" t="n"/>
      <c r="AP33" s="164" t="n"/>
      <c r="AQ33" s="1063" t="n"/>
      <c r="AR33" s="1063" t="n"/>
      <c r="AS33" s="1063" t="n"/>
      <c r="AT33" s="1063" t="n"/>
      <c r="AU33" s="1063" t="n"/>
      <c r="AV33" s="164" t="n"/>
      <c r="AW33" s="1063" t="n"/>
      <c r="AX33" s="1063" t="n"/>
      <c r="AY33" s="1063" t="n"/>
      <c r="AZ33" s="1063" t="n"/>
      <c r="BA33" s="1063" t="n"/>
      <c r="BB33" s="164" t="n"/>
      <c r="BC33" s="1063" t="n"/>
      <c r="BD33" s="1063" t="n"/>
      <c r="BE33" s="1063" t="n"/>
      <c r="BF33" s="1063" t="n"/>
      <c r="BG33" s="1063" t="n"/>
      <c r="BH33" s="164" t="n"/>
      <c r="BI33" s="1063" t="n"/>
      <c r="BJ33" s="1063" t="n"/>
      <c r="BK33" s="1063" t="n"/>
      <c r="BL33" s="1063" t="n"/>
      <c r="BM33" s="1063" t="n"/>
      <c r="BN33" s="164" t="n"/>
    </row>
    <row r="34" ht="12.75" customHeight="1" s="1883">
      <c r="B34" s="55" t="inlineStr">
        <is>
          <t>G&amp;A</t>
        </is>
      </c>
      <c r="C34" s="1069" t="inlineStr">
        <is>
          <t>General Insurance</t>
        </is>
      </c>
      <c r="D34" s="66" t="n"/>
      <c r="E34" s="67" t="n"/>
      <c r="F34" s="671" t="inlineStr">
        <is>
          <t>Growth (y-o-y)</t>
        </is>
      </c>
      <c r="G34" s="65" t="n"/>
      <c r="H34" s="65" t="n"/>
      <c r="I34" s="65" t="n"/>
      <c r="J34" s="65" t="n"/>
      <c r="K34" s="65" t="n"/>
      <c r="L34" s="1065" t="n"/>
      <c r="M34" s="65" t="n"/>
      <c r="N34" s="65" t="n"/>
      <c r="O34" s="65" t="n"/>
      <c r="P34" s="65" t="n"/>
      <c r="Q34" s="65" t="n"/>
      <c r="R34" s="1065" t="n"/>
      <c r="S34" s="873" t="n">
        <v>0.5</v>
      </c>
      <c r="T34" s="59" t="n"/>
      <c r="U34" s="59" t="n"/>
      <c r="V34" s="59" t="n"/>
      <c r="W34" s="59" t="n"/>
      <c r="X34" s="1039" t="n"/>
      <c r="Y34" s="59" t="n"/>
      <c r="Z34" s="59" t="n"/>
      <c r="AA34" s="59" t="n"/>
      <c r="AB34" s="59" t="n"/>
      <c r="AC34" s="59" t="n"/>
      <c r="AD34" s="1039" t="n"/>
      <c r="AE34" s="873" t="n">
        <v>1</v>
      </c>
      <c r="AF34" s="59" t="n"/>
      <c r="AG34" s="59" t="n"/>
      <c r="AH34" s="59" t="n"/>
      <c r="AI34" s="59" t="n"/>
      <c r="AJ34" s="1039" t="n"/>
      <c r="AK34" s="59" t="n"/>
      <c r="AL34" s="59" t="n"/>
      <c r="AM34" s="59" t="n"/>
      <c r="AN34" s="59" t="n"/>
      <c r="AO34" s="59" t="n"/>
      <c r="AP34" s="1039" t="n"/>
      <c r="AQ34" s="873" t="n">
        <v>0.35</v>
      </c>
      <c r="AR34" s="59" t="n"/>
      <c r="AS34" s="59" t="n"/>
      <c r="AT34" s="59" t="n"/>
      <c r="AU34" s="59" t="n"/>
      <c r="AV34" s="1039" t="n"/>
      <c r="AW34" s="59" t="n"/>
      <c r="AX34" s="59" t="n"/>
      <c r="AY34" s="59" t="n"/>
      <c r="AZ34" s="59" t="n"/>
      <c r="BA34" s="59" t="n"/>
      <c r="BB34" s="1039" t="n"/>
      <c r="BC34" s="873" t="n">
        <v>0.25</v>
      </c>
      <c r="BD34" s="59" t="n"/>
      <c r="BE34" s="59" t="n"/>
      <c r="BF34" s="59" t="n"/>
      <c r="BG34" s="59" t="n"/>
      <c r="BH34" s="1039" t="n"/>
      <c r="BI34" s="59" t="n"/>
      <c r="BJ34" s="59" t="n"/>
      <c r="BK34" s="59" t="n"/>
      <c r="BL34" s="59" t="n"/>
      <c r="BM34" s="59" t="n"/>
      <c r="BN34" s="1039" t="n"/>
    </row>
    <row r="35" ht="12.75" customHeight="1" s="1883">
      <c r="B35" s="55" t="n"/>
      <c r="C35" s="1046" t="n"/>
      <c r="D35" s="66" t="n"/>
      <c r="E35" s="67" t="n"/>
      <c r="F35" s="170" t="n"/>
      <c r="G35" s="1073" t="n">
        <v>10000</v>
      </c>
      <c r="H35" s="69">
        <f>+G35</f>
        <v/>
      </c>
      <c r="I35" s="69">
        <f>+H35</f>
        <v/>
      </c>
      <c r="J35" s="69">
        <f>+I35</f>
        <v/>
      </c>
      <c r="K35" s="69">
        <f>+J35</f>
        <v/>
      </c>
      <c r="L35" s="1070">
        <f>+K35</f>
        <v/>
      </c>
      <c r="M35" s="69">
        <f>+L35</f>
        <v/>
      </c>
      <c r="N35" s="69">
        <f>+M35</f>
        <v/>
      </c>
      <c r="O35" s="69">
        <f>+N35</f>
        <v/>
      </c>
      <c r="P35" s="69">
        <f>+O35</f>
        <v/>
      </c>
      <c r="Q35" s="69">
        <f>+P35</f>
        <v/>
      </c>
      <c r="R35" s="1070">
        <f>+Q35</f>
        <v/>
      </c>
      <c r="S35" s="69">
        <f>R35*(1+$S34)</f>
        <v/>
      </c>
      <c r="T35" s="69">
        <f>+S35</f>
        <v/>
      </c>
      <c r="U35" s="69">
        <f>+T35</f>
        <v/>
      </c>
      <c r="V35" s="69">
        <f>+U35</f>
        <v/>
      </c>
      <c r="W35" s="69">
        <f>+V35</f>
        <v/>
      </c>
      <c r="X35" s="1070">
        <f>+W35</f>
        <v/>
      </c>
      <c r="Y35" s="69">
        <f>+X35</f>
        <v/>
      </c>
      <c r="Z35" s="69">
        <f>+Y35</f>
        <v/>
      </c>
      <c r="AA35" s="69">
        <f>+Z35</f>
        <v/>
      </c>
      <c r="AB35" s="69">
        <f>+AA35</f>
        <v/>
      </c>
      <c r="AC35" s="69">
        <f>+AB35</f>
        <v/>
      </c>
      <c r="AD35" s="1070">
        <f>+AC35</f>
        <v/>
      </c>
      <c r="AE35" s="69">
        <f>AD35*(1+$AE34)</f>
        <v/>
      </c>
      <c r="AF35" s="69">
        <f>+AE35</f>
        <v/>
      </c>
      <c r="AG35" s="69">
        <f>+AF35</f>
        <v/>
      </c>
      <c r="AH35" s="69">
        <f>+AG35</f>
        <v/>
      </c>
      <c r="AI35" s="69">
        <f>+AH35</f>
        <v/>
      </c>
      <c r="AJ35" s="1070">
        <f>+AI35</f>
        <v/>
      </c>
      <c r="AK35" s="69">
        <f>+AJ35</f>
        <v/>
      </c>
      <c r="AL35" s="69">
        <f>+AK35</f>
        <v/>
      </c>
      <c r="AM35" s="69">
        <f>+AL35</f>
        <v/>
      </c>
      <c r="AN35" s="69">
        <f>+AM35</f>
        <v/>
      </c>
      <c r="AO35" s="69">
        <f>+AN35</f>
        <v/>
      </c>
      <c r="AP35" s="1070">
        <f>+AO35</f>
        <v/>
      </c>
      <c r="AQ35" s="69">
        <f>AP35*(1+$AQ34)</f>
        <v/>
      </c>
      <c r="AR35" s="69">
        <f>+AQ35</f>
        <v/>
      </c>
      <c r="AS35" s="69">
        <f>+AR35</f>
        <v/>
      </c>
      <c r="AT35" s="69">
        <f>+AS35</f>
        <v/>
      </c>
      <c r="AU35" s="69">
        <f>+AT35</f>
        <v/>
      </c>
      <c r="AV35" s="1070">
        <f>+AU35</f>
        <v/>
      </c>
      <c r="AW35" s="69">
        <f>+AV35</f>
        <v/>
      </c>
      <c r="AX35" s="69">
        <f>+AW35</f>
        <v/>
      </c>
      <c r="AY35" s="69">
        <f>+AX35</f>
        <v/>
      </c>
      <c r="AZ35" s="69">
        <f>+AY35</f>
        <v/>
      </c>
      <c r="BA35" s="69">
        <f>+AZ35</f>
        <v/>
      </c>
      <c r="BB35" s="1070">
        <f>+BA35</f>
        <v/>
      </c>
      <c r="BC35" s="69">
        <f>BB35*(1+$BC34)</f>
        <v/>
      </c>
      <c r="BD35" s="69">
        <f>+BC35</f>
        <v/>
      </c>
      <c r="BE35" s="69">
        <f>+BD35</f>
        <v/>
      </c>
      <c r="BF35" s="69">
        <f>+BE35</f>
        <v/>
      </c>
      <c r="BG35" s="69">
        <f>+BF35</f>
        <v/>
      </c>
      <c r="BH35" s="1070">
        <f>+BG35</f>
        <v/>
      </c>
      <c r="BI35" s="69">
        <f>+BH35</f>
        <v/>
      </c>
      <c r="BJ35" s="69">
        <f>+BI35</f>
        <v/>
      </c>
      <c r="BK35" s="69">
        <f>+BJ35</f>
        <v/>
      </c>
      <c r="BL35" s="69">
        <f>+BK35</f>
        <v/>
      </c>
      <c r="BM35" s="69">
        <f>+BL35</f>
        <v/>
      </c>
      <c r="BN35" s="1070">
        <f>+BM35</f>
        <v/>
      </c>
    </row>
    <row r="36" ht="12.75" customHeight="1" s="1883">
      <c r="B36" s="55" t="n"/>
      <c r="C36" s="1059" t="n"/>
      <c r="D36" s="1060" t="n"/>
      <c r="E36" s="1061" t="n"/>
      <c r="F36" s="1061" t="n"/>
      <c r="G36" s="1062" t="n"/>
      <c r="H36" s="1062" t="n"/>
      <c r="I36" s="1062" t="n"/>
      <c r="J36" s="1062" t="n"/>
      <c r="K36" s="1062" t="n"/>
      <c r="L36" s="163" t="n"/>
      <c r="M36" s="1062" t="n"/>
      <c r="N36" s="1062" t="n"/>
      <c r="O36" s="1062" t="n"/>
      <c r="P36" s="1062" t="n"/>
      <c r="Q36" s="1062" t="n"/>
      <c r="R36" s="163" t="n"/>
      <c r="S36" s="1062" t="n"/>
      <c r="T36" s="1062" t="n"/>
      <c r="U36" s="1062" t="n"/>
      <c r="V36" s="1062" t="n"/>
      <c r="W36" s="1062" t="n"/>
      <c r="X36" s="163" t="n"/>
      <c r="Y36" s="1062" t="n"/>
      <c r="Z36" s="1062" t="n"/>
      <c r="AA36" s="1062" t="n"/>
      <c r="AB36" s="1062" t="n"/>
      <c r="AC36" s="1062" t="n"/>
      <c r="AD36" s="163" t="n"/>
      <c r="AE36" s="1062" t="n"/>
      <c r="AF36" s="1062" t="n"/>
      <c r="AG36" s="1062" t="n"/>
      <c r="AH36" s="1062" t="n"/>
      <c r="AI36" s="1062" t="n"/>
      <c r="AJ36" s="163" t="n"/>
      <c r="AK36" s="1062" t="n"/>
      <c r="AL36" s="1062" t="n"/>
      <c r="AM36" s="1062" t="n"/>
      <c r="AN36" s="1062" t="n"/>
      <c r="AO36" s="1062" t="n"/>
      <c r="AP36" s="163" t="n"/>
      <c r="AQ36" s="1062" t="n"/>
      <c r="AR36" s="1062" t="n"/>
      <c r="AS36" s="1062" t="n"/>
      <c r="AT36" s="1062" t="n"/>
      <c r="AU36" s="1062" t="n"/>
      <c r="AV36" s="163" t="n"/>
      <c r="AW36" s="1062" t="n"/>
      <c r="AX36" s="1062" t="n"/>
      <c r="AY36" s="1062" t="n"/>
      <c r="AZ36" s="1062" t="n"/>
      <c r="BA36" s="1062" t="n"/>
      <c r="BB36" s="163" t="n"/>
      <c r="BC36" s="1062" t="n"/>
      <c r="BD36" s="1062" t="n"/>
      <c r="BE36" s="1062" t="n"/>
      <c r="BF36" s="1062" t="n"/>
      <c r="BG36" s="1062" t="n"/>
      <c r="BH36" s="163" t="n"/>
      <c r="BI36" s="1062" t="n"/>
      <c r="BJ36" s="1062" t="n"/>
      <c r="BK36" s="1062" t="n"/>
      <c r="BL36" s="1062" t="n"/>
      <c r="BM36" s="1062" t="n"/>
      <c r="BN36" s="163" t="n"/>
    </row>
    <row r="37" ht="12.75" customHeight="1" s="1883">
      <c r="B37" s="672" t="inlineStr">
        <is>
          <t>S&amp;M</t>
        </is>
      </c>
      <c r="C37" s="1918" t="inlineStr">
        <is>
          <t>Marketing &amp; Advertising</t>
        </is>
      </c>
      <c r="D37" s="670" t="n"/>
      <c r="E37" s="671" t="n"/>
      <c r="F37" s="671" t="inlineStr">
        <is>
          <t>% of Revenue</t>
        </is>
      </c>
      <c r="G37" s="1074" t="n">
        <v>0.07000000000000001</v>
      </c>
      <c r="H37" s="1074">
        <f>G37</f>
        <v/>
      </c>
      <c r="I37" s="1074">
        <f>H37</f>
        <v/>
      </c>
      <c r="J37" s="1074">
        <f>I37</f>
        <v/>
      </c>
      <c r="K37" s="1074">
        <f>J37</f>
        <v/>
      </c>
      <c r="L37" s="1074">
        <f>K37</f>
        <v/>
      </c>
      <c r="M37" s="1072" t="n">
        <v>0.061</v>
      </c>
      <c r="N37" s="1072">
        <f>M37</f>
        <v/>
      </c>
      <c r="O37" s="1072">
        <f>N37</f>
        <v/>
      </c>
      <c r="P37" s="1072">
        <f>O37</f>
        <v/>
      </c>
      <c r="Q37" s="1072">
        <f>P37</f>
        <v/>
      </c>
      <c r="R37" s="1072">
        <f>Q37</f>
        <v/>
      </c>
      <c r="S37" s="1075" t="n">
        <v>0.061</v>
      </c>
      <c r="T37" s="1042" t="n"/>
      <c r="U37" s="1042" t="n"/>
      <c r="V37" s="1042" t="n"/>
      <c r="W37" s="1042" t="n"/>
      <c r="X37" s="156" t="n"/>
      <c r="Y37" s="1042" t="n"/>
      <c r="Z37" s="1042" t="n"/>
      <c r="AA37" s="1042" t="n"/>
      <c r="AB37" s="1042" t="n"/>
      <c r="AC37" s="1042" t="n"/>
      <c r="AD37" s="156" t="n"/>
      <c r="AE37" s="1075" t="n">
        <v>0.052</v>
      </c>
      <c r="AF37" s="1042" t="n"/>
      <c r="AG37" s="1042" t="n"/>
      <c r="AH37" s="1042" t="n"/>
      <c r="AI37" s="1042" t="n"/>
      <c r="AJ37" s="156" t="n"/>
      <c r="AK37" s="1042" t="n"/>
      <c r="AL37" s="1042" t="n"/>
      <c r="AM37" s="1042" t="n"/>
      <c r="AN37" s="1042" t="n"/>
      <c r="AO37" s="1042" t="n"/>
      <c r="AP37" s="156" t="n"/>
      <c r="AQ37" s="1075" t="n">
        <v>0.043</v>
      </c>
      <c r="AR37" s="1042" t="n"/>
      <c r="AS37" s="1042" t="n"/>
      <c r="AT37" s="1042" t="n"/>
      <c r="AU37" s="1042" t="n"/>
      <c r="AV37" s="156" t="n"/>
      <c r="AW37" s="1042" t="n"/>
      <c r="AX37" s="1042" t="n"/>
      <c r="AY37" s="1042" t="n"/>
      <c r="AZ37" s="1042" t="n"/>
      <c r="BA37" s="1042" t="n"/>
      <c r="BB37" s="156" t="n"/>
      <c r="BC37" s="1075" t="n">
        <v>0.043</v>
      </c>
      <c r="BD37" s="1042" t="n"/>
      <c r="BE37" s="1042" t="n"/>
      <c r="BF37" s="1042" t="n"/>
      <c r="BG37" s="1042" t="n"/>
      <c r="BH37" s="156" t="n"/>
      <c r="BI37" s="1042" t="n"/>
      <c r="BJ37" s="1042" t="n"/>
      <c r="BK37" s="1042" t="n"/>
      <c r="BL37" s="1042" t="n"/>
      <c r="BM37" s="1042" t="n"/>
      <c r="BN37" s="156" t="n"/>
    </row>
    <row r="38" ht="12.75" customHeight="1" s="1883">
      <c r="B38" s="672" t="n"/>
      <c r="C38" s="1046" t="n"/>
      <c r="D38" s="670" t="n"/>
      <c r="E38" s="671" t="n"/>
      <c r="F38" s="1076" t="inlineStr">
        <is>
          <t>includes launch party</t>
        </is>
      </c>
      <c r="G38" s="69">
        <f>'3F. Revenue &amp; COGS Assumptions'!G65*$G37+150000</f>
        <v/>
      </c>
      <c r="H38" s="69">
        <f>'3F. Revenue &amp; COGS Assumptions'!H65*$H37</f>
        <v/>
      </c>
      <c r="I38" s="69">
        <f>'3F. Revenue &amp; COGS Assumptions'!I65*$I37</f>
        <v/>
      </c>
      <c r="J38" s="69">
        <f>'3F. Revenue &amp; COGS Assumptions'!J65*$J37</f>
        <v/>
      </c>
      <c r="K38" s="69">
        <f>'3F. Revenue &amp; COGS Assumptions'!K65*$K37</f>
        <v/>
      </c>
      <c r="L38" s="1070">
        <f>'3F. Revenue &amp; COGS Assumptions'!L65*$L37</f>
        <v/>
      </c>
      <c r="M38" s="69">
        <f>'3F. Revenue &amp; COGS Assumptions'!M65*$M37</f>
        <v/>
      </c>
      <c r="N38" s="69">
        <f>'3F. Revenue &amp; COGS Assumptions'!N65*$N37</f>
        <v/>
      </c>
      <c r="O38" s="69">
        <f>'3F. Revenue &amp; COGS Assumptions'!O65*$O37</f>
        <v/>
      </c>
      <c r="P38" s="69">
        <f>'3F. Revenue &amp; COGS Assumptions'!P65*$P37</f>
        <v/>
      </c>
      <c r="Q38" s="69">
        <f>'3F. Revenue &amp; COGS Assumptions'!Q65*$Q37</f>
        <v/>
      </c>
      <c r="R38" s="1070">
        <f>'3F. Revenue &amp; COGS Assumptions'!R65*$R37</f>
        <v/>
      </c>
      <c r="S38" s="69">
        <f>'3F. Revenue &amp; COGS Assumptions'!S65*$S37</f>
        <v/>
      </c>
      <c r="T38" s="69">
        <f>'3F. Revenue &amp; COGS Assumptions'!T65*$S37</f>
        <v/>
      </c>
      <c r="U38" s="69">
        <f>'3F. Revenue &amp; COGS Assumptions'!U65*$S37</f>
        <v/>
      </c>
      <c r="V38" s="69">
        <f>'3F. Revenue &amp; COGS Assumptions'!V65*$S37</f>
        <v/>
      </c>
      <c r="W38" s="69">
        <f>'3F. Revenue &amp; COGS Assumptions'!W65*$S37</f>
        <v/>
      </c>
      <c r="X38" s="1070">
        <f>'3F. Revenue &amp; COGS Assumptions'!X65*$S37</f>
        <v/>
      </c>
      <c r="Y38" s="69">
        <f>'3F. Revenue &amp; COGS Assumptions'!Y65*$S37</f>
        <v/>
      </c>
      <c r="Z38" s="69">
        <f>'3F. Revenue &amp; COGS Assumptions'!Z65*$S37</f>
        <v/>
      </c>
      <c r="AA38" s="69">
        <f>'3F. Revenue &amp; COGS Assumptions'!AA65*$S37</f>
        <v/>
      </c>
      <c r="AB38" s="69">
        <f>'3F. Revenue &amp; COGS Assumptions'!AB65*$S37</f>
        <v/>
      </c>
      <c r="AC38" s="69">
        <f>'3F. Revenue &amp; COGS Assumptions'!AC65*$S37</f>
        <v/>
      </c>
      <c r="AD38" s="1070">
        <f>'3F. Revenue &amp; COGS Assumptions'!AD65*$S37</f>
        <v/>
      </c>
      <c r="AE38" s="69">
        <f>'3F. Revenue &amp; COGS Assumptions'!AE65*$AE37</f>
        <v/>
      </c>
      <c r="AF38" s="69">
        <f>'3F. Revenue &amp; COGS Assumptions'!AF65*$AE37</f>
        <v/>
      </c>
      <c r="AG38" s="69">
        <f>'3F. Revenue &amp; COGS Assumptions'!AG65*$AE37</f>
        <v/>
      </c>
      <c r="AH38" s="69">
        <f>'3F. Revenue &amp; COGS Assumptions'!AH65*$AE37</f>
        <v/>
      </c>
      <c r="AI38" s="69">
        <f>'3F. Revenue &amp; COGS Assumptions'!AI65*$AE37</f>
        <v/>
      </c>
      <c r="AJ38" s="1070">
        <f>'3F. Revenue &amp; COGS Assumptions'!AJ65*$AE37</f>
        <v/>
      </c>
      <c r="AK38" s="69">
        <f>'3F. Revenue &amp; COGS Assumptions'!AK65*$AE37</f>
        <v/>
      </c>
      <c r="AL38" s="69">
        <f>'3F. Revenue &amp; COGS Assumptions'!AL65*$AE37</f>
        <v/>
      </c>
      <c r="AM38" s="69">
        <f>'3F. Revenue &amp; COGS Assumptions'!AM65*$AE37</f>
        <v/>
      </c>
      <c r="AN38" s="69">
        <f>'3F. Revenue &amp; COGS Assumptions'!AN65*$AE37</f>
        <v/>
      </c>
      <c r="AO38" s="69">
        <f>'3F. Revenue &amp; COGS Assumptions'!AO65*$AE37</f>
        <v/>
      </c>
      <c r="AP38" s="1070">
        <f>'3F. Revenue &amp; COGS Assumptions'!AP65*$AE37</f>
        <v/>
      </c>
      <c r="AQ38" s="69">
        <f>'3F. Revenue &amp; COGS Assumptions'!AQ65*$AQ37</f>
        <v/>
      </c>
      <c r="AR38" s="69">
        <f>'3F. Revenue &amp; COGS Assumptions'!AR65*$AQ37</f>
        <v/>
      </c>
      <c r="AS38" s="69">
        <f>'3F. Revenue &amp; COGS Assumptions'!AS65*$AQ37</f>
        <v/>
      </c>
      <c r="AT38" s="69">
        <f>'3F. Revenue &amp; COGS Assumptions'!AT65*$AQ37</f>
        <v/>
      </c>
      <c r="AU38" s="69">
        <f>'3F. Revenue &amp; COGS Assumptions'!AU65*$AQ37</f>
        <v/>
      </c>
      <c r="AV38" s="1070">
        <f>'3F. Revenue &amp; COGS Assumptions'!AV65*$AQ37</f>
        <v/>
      </c>
      <c r="AW38" s="69">
        <f>'3F. Revenue &amp; COGS Assumptions'!AW65*$AQ37</f>
        <v/>
      </c>
      <c r="AX38" s="69">
        <f>'3F. Revenue &amp; COGS Assumptions'!AX65*$AQ37</f>
        <v/>
      </c>
      <c r="AY38" s="69">
        <f>'3F. Revenue &amp; COGS Assumptions'!AY65*$AQ37</f>
        <v/>
      </c>
      <c r="AZ38" s="69">
        <f>'3F. Revenue &amp; COGS Assumptions'!AZ65*$AQ37</f>
        <v/>
      </c>
      <c r="BA38" s="69">
        <f>'3F. Revenue &amp; COGS Assumptions'!BA65*$AQ37</f>
        <v/>
      </c>
      <c r="BB38" s="1070">
        <f>'3F. Revenue &amp; COGS Assumptions'!BB65*$AQ37</f>
        <v/>
      </c>
      <c r="BC38" s="69">
        <f>'3F. Revenue &amp; COGS Assumptions'!BC65*$BC37</f>
        <v/>
      </c>
      <c r="BD38" s="69">
        <f>'3F. Revenue &amp; COGS Assumptions'!BD65*$BC37</f>
        <v/>
      </c>
      <c r="BE38" s="69">
        <f>'3F. Revenue &amp; COGS Assumptions'!BE65*$BC37</f>
        <v/>
      </c>
      <c r="BF38" s="69">
        <f>'3F. Revenue &amp; COGS Assumptions'!BF65*$BC37</f>
        <v/>
      </c>
      <c r="BG38" s="69">
        <f>'3F. Revenue &amp; COGS Assumptions'!BG65*$BC37</f>
        <v/>
      </c>
      <c r="BH38" s="1070">
        <f>'3F. Revenue &amp; COGS Assumptions'!BH65*$BC37</f>
        <v/>
      </c>
      <c r="BI38" s="69">
        <f>'3F. Revenue &amp; COGS Assumptions'!BI65*$BC37</f>
        <v/>
      </c>
      <c r="BJ38" s="69">
        <f>'3F. Revenue &amp; COGS Assumptions'!BJ65*$BC37</f>
        <v/>
      </c>
      <c r="BK38" s="69">
        <f>'3F. Revenue &amp; COGS Assumptions'!BK65*$BC37</f>
        <v/>
      </c>
      <c r="BL38" s="69">
        <f>'3F. Revenue &amp; COGS Assumptions'!BL65*$BC37</f>
        <v/>
      </c>
      <c r="BM38" s="69">
        <f>'3F. Revenue &amp; COGS Assumptions'!BM65*$BC37</f>
        <v/>
      </c>
      <c r="BN38" s="1070">
        <f>'3F. Revenue &amp; COGS Assumptions'!BN65*$BC37</f>
        <v/>
      </c>
    </row>
    <row r="39" ht="12.75" customHeight="1" s="1883">
      <c r="B39" s="672" t="n"/>
      <c r="C39" s="1059" t="n"/>
      <c r="D39" s="1060" t="n"/>
      <c r="E39" s="1061" t="n"/>
      <c r="F39" s="1061" t="n"/>
      <c r="G39" s="1062" t="n"/>
      <c r="H39" s="1062" t="n"/>
      <c r="I39" s="1062" t="n"/>
      <c r="J39" s="1062" t="n"/>
      <c r="K39" s="1062" t="n"/>
      <c r="L39" s="163" t="n"/>
      <c r="M39" s="1062" t="n"/>
      <c r="N39" s="1062" t="n"/>
      <c r="O39" s="1062" t="n"/>
      <c r="P39" s="1063" t="n"/>
      <c r="Q39" s="1062" t="n"/>
      <c r="R39" s="163" t="n"/>
      <c r="S39" s="1062" t="n"/>
      <c r="T39" s="1062" t="n"/>
      <c r="U39" s="1062" t="n"/>
      <c r="V39" s="1062" t="n"/>
      <c r="W39" s="1062" t="n"/>
      <c r="X39" s="163" t="n"/>
      <c r="Y39" s="1062" t="n"/>
      <c r="Z39" s="1062" t="n"/>
      <c r="AA39" s="1062" t="n"/>
      <c r="AB39" s="1062" t="n"/>
      <c r="AC39" s="1062" t="n"/>
      <c r="AD39" s="163" t="n"/>
      <c r="AE39" s="1062" t="n"/>
      <c r="AF39" s="1062" t="n"/>
      <c r="AG39" s="1062" t="n"/>
      <c r="AH39" s="1062" t="n"/>
      <c r="AI39" s="1062" t="n"/>
      <c r="AJ39" s="163" t="n"/>
      <c r="AK39" s="1062" t="n"/>
      <c r="AL39" s="1062" t="n"/>
      <c r="AM39" s="1062" t="n"/>
      <c r="AN39" s="1062" t="n"/>
      <c r="AO39" s="1062" t="n"/>
      <c r="AP39" s="163" t="n"/>
      <c r="AQ39" s="1062" t="n"/>
      <c r="AR39" s="1062" t="n"/>
      <c r="AS39" s="1062" t="n"/>
      <c r="AT39" s="1062" t="n"/>
      <c r="AU39" s="1062" t="n"/>
      <c r="AV39" s="163" t="n"/>
      <c r="AW39" s="1062" t="n"/>
      <c r="AX39" s="1062" t="n"/>
      <c r="AY39" s="1062" t="n"/>
      <c r="AZ39" s="1062" t="n"/>
      <c r="BA39" s="1062" t="n"/>
      <c r="BB39" s="163" t="n"/>
      <c r="BC39" s="1062" t="n"/>
      <c r="BD39" s="1062" t="n"/>
      <c r="BE39" s="1062" t="n"/>
      <c r="BF39" s="1062" t="n"/>
      <c r="BG39" s="1062" t="n"/>
      <c r="BH39" s="163" t="n"/>
      <c r="BI39" s="1062" t="n"/>
      <c r="BJ39" s="1062" t="n"/>
      <c r="BK39" s="1062" t="n"/>
      <c r="BL39" s="1062" t="n"/>
      <c r="BM39" s="1062" t="n"/>
      <c r="BN39" s="163" t="n"/>
    </row>
    <row r="40" ht="12.75" customHeight="1" s="1883">
      <c r="B40" s="672" t="inlineStr">
        <is>
          <t>G&amp;A</t>
        </is>
      </c>
      <c r="C40" s="1077" t="inlineStr">
        <is>
          <t>Professional Fees</t>
        </is>
      </c>
      <c r="D40" s="1922" t="n"/>
      <c r="E40" s="671" t="n"/>
      <c r="F40" s="671" t="inlineStr">
        <is>
          <t>Growth(y-o-y)</t>
        </is>
      </c>
      <c r="G40" s="1048" t="n"/>
      <c r="H40" s="1048" t="n"/>
      <c r="I40" s="1048" t="n"/>
      <c r="J40" s="1048" t="n"/>
      <c r="K40" s="1048" t="n"/>
      <c r="L40" s="157" t="n"/>
      <c r="M40" s="1048" t="n"/>
      <c r="N40" s="1048" t="n"/>
      <c r="O40" s="1048" t="n"/>
      <c r="P40" s="1048" t="n"/>
      <c r="Q40" s="1048" t="n"/>
      <c r="R40" s="157" t="n"/>
      <c r="S40" s="873" t="n">
        <v>0.5</v>
      </c>
      <c r="T40" s="1042" t="n"/>
      <c r="U40" s="1042" t="n"/>
      <c r="V40" s="1042" t="n"/>
      <c r="W40" s="1042" t="n"/>
      <c r="X40" s="156" t="n"/>
      <c r="Y40" s="1042" t="n"/>
      <c r="Z40" s="1042" t="n"/>
      <c r="AA40" s="1042" t="n"/>
      <c r="AB40" s="1042" t="n"/>
      <c r="AC40" s="1042" t="n"/>
      <c r="AD40" s="156" t="n"/>
      <c r="AE40" s="873" t="n">
        <v>1</v>
      </c>
      <c r="AF40" s="1042" t="n"/>
      <c r="AG40" s="1042" t="n"/>
      <c r="AH40" s="1042" t="n"/>
      <c r="AI40" s="1042" t="n"/>
      <c r="AJ40" s="156" t="n"/>
      <c r="AK40" s="1042" t="n"/>
      <c r="AL40" s="1042" t="n"/>
      <c r="AM40" s="1042" t="n"/>
      <c r="AN40" s="1042" t="n"/>
      <c r="AO40" s="1042" t="n"/>
      <c r="AP40" s="156" t="n"/>
      <c r="AQ40" s="873" t="n">
        <v>0.25</v>
      </c>
      <c r="AR40" s="1042" t="n"/>
      <c r="AS40" s="1042" t="n"/>
      <c r="AT40" s="1042" t="n"/>
      <c r="AU40" s="1042" t="n"/>
      <c r="AV40" s="156" t="n"/>
      <c r="AW40" s="1042" t="n"/>
      <c r="AX40" s="1042" t="n"/>
      <c r="AY40" s="1042" t="n"/>
      <c r="AZ40" s="1042" t="n"/>
      <c r="BA40" s="1042" t="n"/>
      <c r="BB40" s="156" t="n"/>
      <c r="BC40" s="873" t="n">
        <v>0.25</v>
      </c>
      <c r="BD40" s="1042" t="n"/>
      <c r="BE40" s="1042" t="n"/>
      <c r="BF40" s="1042" t="n"/>
      <c r="BG40" s="1042" t="n"/>
      <c r="BH40" s="156" t="n"/>
      <c r="BI40" s="1042" t="n"/>
      <c r="BJ40" s="1042" t="n"/>
      <c r="BK40" s="1042" t="n"/>
      <c r="BL40" s="1042" t="n"/>
      <c r="BM40" s="1042" t="n"/>
      <c r="BN40" s="156" t="n"/>
    </row>
    <row r="41" ht="12.75" customHeight="1" s="1883">
      <c r="B41" s="672" t="n"/>
      <c r="C41" s="1046" t="n"/>
      <c r="E41" s="671" t="n"/>
      <c r="F41" s="1078" t="n"/>
      <c r="G41" s="1985" t="n">
        <v>35000</v>
      </c>
      <c r="H41" s="1080">
        <f>G41</f>
        <v/>
      </c>
      <c r="I41" s="1080">
        <f>H41</f>
        <v/>
      </c>
      <c r="J41" s="1081">
        <f>I41</f>
        <v/>
      </c>
      <c r="K41" s="1080">
        <f>J41</f>
        <v/>
      </c>
      <c r="L41" s="171">
        <f>K41</f>
        <v/>
      </c>
      <c r="M41" s="1080">
        <f>L41</f>
        <v/>
      </c>
      <c r="N41" s="1080">
        <f>M41</f>
        <v/>
      </c>
      <c r="O41" s="1080">
        <f>N41</f>
        <v/>
      </c>
      <c r="P41" s="1081">
        <f>O41</f>
        <v/>
      </c>
      <c r="Q41" s="1080">
        <f>P41</f>
        <v/>
      </c>
      <c r="R41" s="171">
        <f>Q41</f>
        <v/>
      </c>
      <c r="S41" s="1080">
        <f>R41*(1+$S40)</f>
        <v/>
      </c>
      <c r="T41" s="1080">
        <f>S41</f>
        <v/>
      </c>
      <c r="U41" s="1080">
        <f>T41</f>
        <v/>
      </c>
      <c r="V41" s="1081">
        <f>U41</f>
        <v/>
      </c>
      <c r="W41" s="1080">
        <f>V41</f>
        <v/>
      </c>
      <c r="X41" s="171">
        <f>W41</f>
        <v/>
      </c>
      <c r="Y41" s="1080">
        <f>X41</f>
        <v/>
      </c>
      <c r="Z41" s="1080">
        <f>Y41</f>
        <v/>
      </c>
      <c r="AA41" s="1080">
        <f>Z41</f>
        <v/>
      </c>
      <c r="AB41" s="1080">
        <f>AA41</f>
        <v/>
      </c>
      <c r="AC41" s="1080">
        <f>AB41</f>
        <v/>
      </c>
      <c r="AD41" s="171">
        <f>AC41</f>
        <v/>
      </c>
      <c r="AE41" s="1080">
        <f>AD41*(1+$AE40)</f>
        <v/>
      </c>
      <c r="AF41" s="1080">
        <f>AE41</f>
        <v/>
      </c>
      <c r="AG41" s="1080">
        <f>AF41</f>
        <v/>
      </c>
      <c r="AH41" s="1081">
        <f>AG41</f>
        <v/>
      </c>
      <c r="AI41" s="1080">
        <f>AH41</f>
        <v/>
      </c>
      <c r="AJ41" s="171">
        <f>AI41</f>
        <v/>
      </c>
      <c r="AK41" s="1080">
        <f>AJ41</f>
        <v/>
      </c>
      <c r="AL41" s="1080">
        <f>AK41</f>
        <v/>
      </c>
      <c r="AM41" s="1080">
        <f>AL41</f>
        <v/>
      </c>
      <c r="AN41" s="1080">
        <f>AM41</f>
        <v/>
      </c>
      <c r="AO41" s="1080">
        <f>AN41</f>
        <v/>
      </c>
      <c r="AP41" s="171">
        <f>AO41</f>
        <v/>
      </c>
      <c r="AQ41" s="1080">
        <f>AP41*(1+$AQ40)</f>
        <v/>
      </c>
      <c r="AR41" s="1080">
        <f>AQ41</f>
        <v/>
      </c>
      <c r="AS41" s="1080">
        <f>AR41</f>
        <v/>
      </c>
      <c r="AT41" s="1081">
        <f>AS41</f>
        <v/>
      </c>
      <c r="AU41" s="1080">
        <f>AT41</f>
        <v/>
      </c>
      <c r="AV41" s="171">
        <f>AU41</f>
        <v/>
      </c>
      <c r="AW41" s="1080">
        <f>AV41</f>
        <v/>
      </c>
      <c r="AX41" s="1080">
        <f>AW41</f>
        <v/>
      </c>
      <c r="AY41" s="1080">
        <f>AX41</f>
        <v/>
      </c>
      <c r="AZ41" s="1080">
        <f>AY41</f>
        <v/>
      </c>
      <c r="BA41" s="1080">
        <f>AZ41</f>
        <v/>
      </c>
      <c r="BB41" s="171">
        <f>BA41</f>
        <v/>
      </c>
      <c r="BC41" s="1080">
        <f>BB41*(1+$BC40)</f>
        <v/>
      </c>
      <c r="BD41" s="1080">
        <f>BC41</f>
        <v/>
      </c>
      <c r="BE41" s="1080">
        <f>BD41</f>
        <v/>
      </c>
      <c r="BF41" s="1081">
        <f>BE41</f>
        <v/>
      </c>
      <c r="BG41" s="1080">
        <f>BF41</f>
        <v/>
      </c>
      <c r="BH41" s="171">
        <f>BG41</f>
        <v/>
      </c>
      <c r="BI41" s="1080">
        <f>BH41</f>
        <v/>
      </c>
      <c r="BJ41" s="1080">
        <f>BI41</f>
        <v/>
      </c>
      <c r="BK41" s="1080">
        <f>BJ41</f>
        <v/>
      </c>
      <c r="BL41" s="1080">
        <f>BK41</f>
        <v/>
      </c>
      <c r="BM41" s="1080">
        <f>BL41</f>
        <v/>
      </c>
      <c r="BN41" s="171">
        <f>BM41</f>
        <v/>
      </c>
    </row>
    <row r="42" ht="12.75" customHeight="1" s="1883">
      <c r="B42" s="672" t="n"/>
      <c r="C42" s="1059" t="n"/>
      <c r="D42" s="1060" t="n"/>
      <c r="E42" s="1061" t="n"/>
      <c r="F42" s="1061" t="n"/>
      <c r="G42" s="1062" t="n"/>
      <c r="H42" s="1062" t="n"/>
      <c r="I42" s="1062" t="n"/>
      <c r="J42" s="1062" t="n"/>
      <c r="K42" s="1062" t="n"/>
      <c r="L42" s="163" t="n"/>
      <c r="M42" s="1062" t="n"/>
      <c r="N42" s="1062" t="n"/>
      <c r="O42" s="1062" t="n"/>
      <c r="P42" s="1063" t="n"/>
      <c r="Q42" s="1062" t="n"/>
      <c r="R42" s="163" t="n"/>
      <c r="S42" s="1062" t="n"/>
      <c r="T42" s="1062" t="n"/>
      <c r="U42" s="1062" t="n"/>
      <c r="V42" s="1062" t="n"/>
      <c r="W42" s="1062" t="n"/>
      <c r="X42" s="163" t="n"/>
      <c r="Y42" s="1062" t="n"/>
      <c r="Z42" s="1062" t="n"/>
      <c r="AA42" s="1062" t="n"/>
      <c r="AB42" s="1062" t="n"/>
      <c r="AC42" s="1062" t="n"/>
      <c r="AD42" s="163" t="n"/>
      <c r="AE42" s="1062" t="n"/>
      <c r="AF42" s="1062" t="n"/>
      <c r="AG42" s="1062" t="n"/>
      <c r="AH42" s="1062" t="n"/>
      <c r="AI42" s="1062" t="n"/>
      <c r="AJ42" s="163" t="n"/>
      <c r="AK42" s="1062" t="n"/>
      <c r="AL42" s="1062" t="n"/>
      <c r="AM42" s="1062" t="n"/>
      <c r="AN42" s="1062" t="n"/>
      <c r="AO42" s="1062" t="n"/>
      <c r="AP42" s="163" t="n"/>
      <c r="AQ42" s="1062" t="n"/>
      <c r="AR42" s="1062" t="n"/>
      <c r="AS42" s="1062" t="n"/>
      <c r="AT42" s="1062" t="n"/>
      <c r="AU42" s="1062" t="n"/>
      <c r="AV42" s="163" t="n"/>
      <c r="AW42" s="1062" t="n"/>
      <c r="AX42" s="1062" t="n"/>
      <c r="AY42" s="1062" t="n"/>
      <c r="AZ42" s="1062" t="n"/>
      <c r="BA42" s="1062" t="n"/>
      <c r="BB42" s="163" t="n"/>
      <c r="BC42" s="1062" t="n"/>
      <c r="BD42" s="1062" t="n"/>
      <c r="BE42" s="1062" t="n"/>
      <c r="BF42" s="1062" t="n"/>
      <c r="BG42" s="1062" t="n"/>
      <c r="BH42" s="163" t="n"/>
      <c r="BI42" s="1062" t="n"/>
      <c r="BJ42" s="1062" t="n"/>
      <c r="BK42" s="1062" t="n"/>
      <c r="BL42" s="1062" t="n"/>
      <c r="BM42" s="1062" t="n"/>
      <c r="BN42" s="163" t="n"/>
    </row>
    <row r="43" ht="12.75" customHeight="1" s="1883">
      <c r="B43" s="672" t="n"/>
      <c r="C43" s="1046" t="n"/>
      <c r="D43" s="1922" t="n"/>
      <c r="E43" s="671" t="n"/>
      <c r="F43" s="1083" t="inlineStr">
        <is>
          <t>Ramp up in Year 1</t>
        </is>
      </c>
      <c r="G43" s="2033" t="n">
        <v>0.052</v>
      </c>
      <c r="H43" s="2033">
        <f>G43</f>
        <v/>
      </c>
      <c r="I43" s="2033">
        <f>H43</f>
        <v/>
      </c>
      <c r="J43" s="2033">
        <f>I43</f>
        <v/>
      </c>
      <c r="K43" s="2033">
        <f>J43</f>
        <v/>
      </c>
      <c r="L43" s="2033">
        <f>K43</f>
        <v/>
      </c>
      <c r="M43" s="2034" t="n">
        <v>0.05</v>
      </c>
      <c r="N43" s="2034" t="n">
        <v>0.05</v>
      </c>
      <c r="O43" s="2034" t="n">
        <v>0.05</v>
      </c>
      <c r="P43" s="2034" t="n">
        <v>0.05</v>
      </c>
      <c r="Q43" s="2034" t="n">
        <v>0.05</v>
      </c>
      <c r="R43" s="2035" t="n">
        <v>0.05</v>
      </c>
      <c r="S43" s="2036">
        <f>SUM(G43:R43)</f>
        <v/>
      </c>
      <c r="T43" s="2036">
        <f>SUM(G45:R45)</f>
        <v/>
      </c>
      <c r="U43" s="2036">
        <f>+'3F. Revenue &amp; COGS Assumptions'!S65*'4B. Tel. Expense Assumptions'!G44</f>
        <v/>
      </c>
      <c r="V43" s="2037">
        <f>+T43-U43</f>
        <v/>
      </c>
      <c r="W43" s="2037" t="n"/>
      <c r="X43" s="2038" t="n"/>
      <c r="Y43" s="2037" t="n"/>
      <c r="Z43" s="2037" t="n"/>
      <c r="AA43" s="2037" t="n"/>
      <c r="AB43" s="2037" t="n"/>
      <c r="AC43" s="2037" t="n"/>
      <c r="AD43" s="2038" t="n"/>
      <c r="AE43" s="2037" t="n"/>
      <c r="AF43" s="2037" t="n"/>
      <c r="AG43" s="2037" t="n"/>
      <c r="AH43" s="2037" t="n"/>
      <c r="AI43" s="2037" t="n"/>
      <c r="AJ43" s="2038" t="n"/>
      <c r="AK43" s="2037" t="n"/>
      <c r="AL43" s="2037" t="n"/>
      <c r="AM43" s="2037" t="n"/>
      <c r="AN43" s="2037" t="n"/>
      <c r="AO43" s="2037" t="n"/>
      <c r="AP43" s="2038" t="n"/>
      <c r="AQ43" s="2037" t="n"/>
      <c r="AR43" s="2037" t="n"/>
      <c r="AS43" s="2037" t="n"/>
      <c r="AT43" s="2037" t="n"/>
      <c r="AU43" s="2037" t="n"/>
      <c r="AV43" s="2038" t="n"/>
      <c r="AW43" s="2037" t="n"/>
      <c r="AX43" s="2037" t="n"/>
      <c r="AY43" s="2037" t="n"/>
      <c r="AZ43" s="2037" t="n"/>
      <c r="BA43" s="2037" t="n"/>
      <c r="BB43" s="2038" t="n"/>
      <c r="BC43" s="2037" t="n"/>
      <c r="BD43" s="2037" t="n"/>
      <c r="BE43" s="2037" t="n"/>
      <c r="BF43" s="2037" t="n"/>
      <c r="BG43" s="2037" t="n"/>
      <c r="BH43" s="2038" t="n"/>
      <c r="BI43" s="2037" t="n"/>
      <c r="BJ43" s="2037" t="n"/>
      <c r="BK43" s="2037" t="n"/>
      <c r="BL43" s="2037" t="n"/>
      <c r="BM43" s="2037" t="n"/>
      <c r="BN43" s="2038" t="n"/>
    </row>
    <row r="44" ht="12.75" customHeight="1" s="1883">
      <c r="B44" s="672" t="inlineStr">
        <is>
          <t>R&amp;D</t>
        </is>
      </c>
      <c r="C44" s="1918" t="inlineStr">
        <is>
          <t>Research &amp; Development</t>
        </is>
      </c>
      <c r="D44" s="670" t="n"/>
      <c r="E44" s="671" t="n"/>
      <c r="F44" s="1088" t="inlineStr">
        <is>
          <t>% of Sales</t>
        </is>
      </c>
      <c r="G44" s="1089" t="n">
        <v>0.025</v>
      </c>
      <c r="H44" s="1090" t="n"/>
      <c r="I44" s="1090" t="n"/>
      <c r="J44" s="1090" t="n"/>
      <c r="K44" s="1090" t="n"/>
      <c r="L44" s="588" t="n"/>
      <c r="M44" s="1042" t="n"/>
      <c r="N44" s="1042" t="n"/>
      <c r="O44" s="1042" t="n"/>
      <c r="P44" s="1042" t="n"/>
      <c r="Q44" s="1042" t="n"/>
      <c r="R44" s="156" t="n"/>
      <c r="S44" s="1072" t="n">
        <v>0.03</v>
      </c>
      <c r="T44" s="1042" t="n"/>
      <c r="U44" s="1042" t="n"/>
      <c r="V44" s="1042" t="n"/>
      <c r="W44" s="1042" t="n"/>
      <c r="X44" s="156" t="n"/>
      <c r="Y44" s="1042" t="n"/>
      <c r="Z44" s="1042" t="n"/>
      <c r="AA44" s="1042" t="n"/>
      <c r="AB44" s="1042" t="n"/>
      <c r="AC44" s="1042" t="n"/>
      <c r="AD44" s="156" t="n"/>
      <c r="AE44" s="1072" t="n">
        <v>0.04</v>
      </c>
      <c r="AF44" s="1042" t="n"/>
      <c r="AG44" s="1042" t="n"/>
      <c r="AH44" s="1042" t="n"/>
      <c r="AI44" s="1042" t="n"/>
      <c r="AJ44" s="156" t="n"/>
      <c r="AK44" s="1042" t="n"/>
      <c r="AL44" s="1042" t="n"/>
      <c r="AM44" s="1042" t="n"/>
      <c r="AN44" s="1042" t="n"/>
      <c r="AO44" s="1042" t="n"/>
      <c r="AP44" s="156" t="n"/>
      <c r="AQ44" s="1072" t="n">
        <v>0.034</v>
      </c>
      <c r="AR44" s="1042" t="n"/>
      <c r="AS44" s="1042" t="n"/>
      <c r="AT44" s="1042" t="n"/>
      <c r="AU44" s="1042" t="n"/>
      <c r="AV44" s="156" t="n"/>
      <c r="AW44" s="1042" t="n"/>
      <c r="AX44" s="1042" t="n"/>
      <c r="AY44" s="1042" t="n"/>
      <c r="AZ44" s="1042" t="n"/>
      <c r="BA44" s="1042" t="n"/>
      <c r="BB44" s="156" t="n"/>
      <c r="BC44" s="1072" t="n">
        <v>0.03</v>
      </c>
      <c r="BD44" s="1042" t="n"/>
      <c r="BE44" s="1042" t="n"/>
      <c r="BF44" s="1042" t="n"/>
      <c r="BG44" s="1042" t="n"/>
      <c r="BH44" s="156" t="n"/>
      <c r="BI44" s="1042" t="n"/>
      <c r="BJ44" s="1042" t="n"/>
      <c r="BK44" s="1042" t="n"/>
      <c r="BL44" s="1042" t="n"/>
      <c r="BM44" s="1042" t="n"/>
      <c r="BN44" s="156" t="n"/>
    </row>
    <row r="45" ht="12.75" customHeight="1" s="1883">
      <c r="B45" s="672" t="n"/>
      <c r="C45" s="1046" t="n"/>
      <c r="D45" s="670" t="n"/>
      <c r="E45" s="671" t="n"/>
      <c r="F45" s="1041" t="n"/>
      <c r="G45" s="69">
        <f>+$U$43*G43</f>
        <v/>
      </c>
      <c r="H45" s="69">
        <f>+$U$43*H43</f>
        <v/>
      </c>
      <c r="I45" s="69">
        <f>+$U$43*I43</f>
        <v/>
      </c>
      <c r="J45" s="69">
        <f>+$U$43*J43</f>
        <v/>
      </c>
      <c r="K45" s="69">
        <f>+$U$43*K43</f>
        <v/>
      </c>
      <c r="L45" s="1070">
        <f>+$U$43*L43</f>
        <v/>
      </c>
      <c r="M45" s="69">
        <f>+$U$43*M43</f>
        <v/>
      </c>
      <c r="N45" s="69">
        <f>+$U$43*N43</f>
        <v/>
      </c>
      <c r="O45" s="69">
        <f>+$U$43*O43</f>
        <v/>
      </c>
      <c r="P45" s="69">
        <f>+$U$43*P43</f>
        <v/>
      </c>
      <c r="Q45" s="69">
        <f>+$U$43*Q43</f>
        <v/>
      </c>
      <c r="R45" s="1070">
        <f>+$U$43*R43</f>
        <v/>
      </c>
      <c r="S45" s="69">
        <f>'3F. Revenue &amp; COGS Assumptions'!G65*$S44</f>
        <v/>
      </c>
      <c r="T45" s="69">
        <f>'3F. Revenue &amp; COGS Assumptions'!H65*$S44</f>
        <v/>
      </c>
      <c r="U45" s="69">
        <f>'3F. Revenue &amp; COGS Assumptions'!I65*$S44</f>
        <v/>
      </c>
      <c r="V45" s="69">
        <f>'3F. Revenue &amp; COGS Assumptions'!J65*$S44</f>
        <v/>
      </c>
      <c r="W45" s="69">
        <f>'3F. Revenue &amp; COGS Assumptions'!K65*$S44</f>
        <v/>
      </c>
      <c r="X45" s="1070">
        <f>'3F. Revenue &amp; COGS Assumptions'!L65*$S44</f>
        <v/>
      </c>
      <c r="Y45" s="69">
        <f>'3F. Revenue &amp; COGS Assumptions'!M65*$S44</f>
        <v/>
      </c>
      <c r="Z45" s="69">
        <f>'3F. Revenue &amp; COGS Assumptions'!N65*$S44</f>
        <v/>
      </c>
      <c r="AA45" s="69">
        <f>'3F. Revenue &amp; COGS Assumptions'!O65*$S44</f>
        <v/>
      </c>
      <c r="AB45" s="69">
        <f>'3F. Revenue &amp; COGS Assumptions'!P65*$S44</f>
        <v/>
      </c>
      <c r="AC45" s="69">
        <f>'3F. Revenue &amp; COGS Assumptions'!Q65*$S44</f>
        <v/>
      </c>
      <c r="AD45" s="1070">
        <f>'3F. Revenue &amp; COGS Assumptions'!R65*$S44</f>
        <v/>
      </c>
      <c r="AE45" s="69">
        <f>'3F. Revenue &amp; COGS Assumptions'!S65*$AE44</f>
        <v/>
      </c>
      <c r="AF45" s="69">
        <f>'3F. Revenue &amp; COGS Assumptions'!T65*$AE44</f>
        <v/>
      </c>
      <c r="AG45" s="69">
        <f>'3F. Revenue &amp; COGS Assumptions'!U65*$AE44</f>
        <v/>
      </c>
      <c r="AH45" s="69">
        <f>'3F. Revenue &amp; COGS Assumptions'!V65*$AE44</f>
        <v/>
      </c>
      <c r="AI45" s="69">
        <f>'3F. Revenue &amp; COGS Assumptions'!W65*$AE44</f>
        <v/>
      </c>
      <c r="AJ45" s="1070">
        <f>'3F. Revenue &amp; COGS Assumptions'!X65*$AE44</f>
        <v/>
      </c>
      <c r="AK45" s="69">
        <f>'3F. Revenue &amp; COGS Assumptions'!Y65*$AE44</f>
        <v/>
      </c>
      <c r="AL45" s="69">
        <f>'3F. Revenue &amp; COGS Assumptions'!Z65*$AE44</f>
        <v/>
      </c>
      <c r="AM45" s="69">
        <f>'3F. Revenue &amp; COGS Assumptions'!AA65*$AE44</f>
        <v/>
      </c>
      <c r="AN45" s="69">
        <f>'3F. Revenue &amp; COGS Assumptions'!AB65*$AE44</f>
        <v/>
      </c>
      <c r="AO45" s="69">
        <f>'3F. Revenue &amp; COGS Assumptions'!AC65*$AE44</f>
        <v/>
      </c>
      <c r="AP45" s="1070">
        <f>'3F. Revenue &amp; COGS Assumptions'!AD65*$AE44</f>
        <v/>
      </c>
      <c r="AQ45" s="69">
        <f>'3F. Revenue &amp; COGS Assumptions'!AE65*$AQ44</f>
        <v/>
      </c>
      <c r="AR45" s="69">
        <f>'3F. Revenue &amp; COGS Assumptions'!AF65*$AQ44</f>
        <v/>
      </c>
      <c r="AS45" s="69">
        <f>'3F. Revenue &amp; COGS Assumptions'!AG65*$AQ44</f>
        <v/>
      </c>
      <c r="AT45" s="69">
        <f>'3F. Revenue &amp; COGS Assumptions'!AH65*$AQ44</f>
        <v/>
      </c>
      <c r="AU45" s="69">
        <f>'3F. Revenue &amp; COGS Assumptions'!AI65*$AQ44</f>
        <v/>
      </c>
      <c r="AV45" s="1070">
        <f>'3F. Revenue &amp; COGS Assumptions'!AJ65*$AQ44</f>
        <v/>
      </c>
      <c r="AW45" s="69">
        <f>'3F. Revenue &amp; COGS Assumptions'!AK65*$AQ44</f>
        <v/>
      </c>
      <c r="AX45" s="69">
        <f>'3F. Revenue &amp; COGS Assumptions'!AL65*$AQ44</f>
        <v/>
      </c>
      <c r="AY45" s="69">
        <f>'3F. Revenue &amp; COGS Assumptions'!AM65*$AQ44</f>
        <v/>
      </c>
      <c r="AZ45" s="69">
        <f>'3F. Revenue &amp; COGS Assumptions'!AN65*$AQ44</f>
        <v/>
      </c>
      <c r="BA45" s="69">
        <f>'3F. Revenue &amp; COGS Assumptions'!AO65*$AQ44</f>
        <v/>
      </c>
      <c r="BB45" s="1070">
        <f>'3F. Revenue &amp; COGS Assumptions'!AP65*$AQ44</f>
        <v/>
      </c>
      <c r="BC45" s="69">
        <f>'3F. Revenue &amp; COGS Assumptions'!AQ65*$BC44</f>
        <v/>
      </c>
      <c r="BD45" s="69">
        <f>'3F. Revenue &amp; COGS Assumptions'!AR65*$BC44</f>
        <v/>
      </c>
      <c r="BE45" s="69">
        <f>'3F. Revenue &amp; COGS Assumptions'!AS65*$BC44</f>
        <v/>
      </c>
      <c r="BF45" s="69">
        <f>'3F. Revenue &amp; COGS Assumptions'!AT65*$BC44</f>
        <v/>
      </c>
      <c r="BG45" s="69">
        <f>'3F. Revenue &amp; COGS Assumptions'!AU65*$BC44</f>
        <v/>
      </c>
      <c r="BH45" s="1070">
        <f>'3F. Revenue &amp; COGS Assumptions'!AV65*$BC44</f>
        <v/>
      </c>
      <c r="BI45" s="69">
        <f>'3F. Revenue &amp; COGS Assumptions'!AW65*$BC44</f>
        <v/>
      </c>
      <c r="BJ45" s="69">
        <f>'3F. Revenue &amp; COGS Assumptions'!AX65*$BC44</f>
        <v/>
      </c>
      <c r="BK45" s="69">
        <f>'3F. Revenue &amp; COGS Assumptions'!AY65*$BC44</f>
        <v/>
      </c>
      <c r="BL45" s="69">
        <f>'3F. Revenue &amp; COGS Assumptions'!AZ65*$BC44</f>
        <v/>
      </c>
      <c r="BM45" s="69">
        <f>'3F. Revenue &amp; COGS Assumptions'!BA65*$BC44</f>
        <v/>
      </c>
      <c r="BN45" s="1070">
        <f>'3F. Revenue &amp; COGS Assumptions'!BB65*$BC44</f>
        <v/>
      </c>
    </row>
    <row r="46" ht="12.75" customHeight="1" s="1883">
      <c r="B46" s="672" t="n"/>
      <c r="C46" s="1059" t="n"/>
      <c r="D46" s="1060" t="n"/>
      <c r="E46" s="1061" t="n"/>
      <c r="F46" s="1061" t="n"/>
      <c r="G46" s="1062" t="n"/>
      <c r="H46" s="1062" t="n"/>
      <c r="I46" s="1062" t="n"/>
      <c r="J46" s="1062" t="n"/>
      <c r="K46" s="1062" t="n"/>
      <c r="L46" s="163" t="n"/>
      <c r="M46" s="1062" t="n"/>
      <c r="N46" s="1062" t="n"/>
      <c r="O46" s="1062" t="n"/>
      <c r="P46" s="1062" t="n"/>
      <c r="Q46" s="1062" t="n"/>
      <c r="R46" s="163" t="n"/>
      <c r="S46" s="1062" t="n"/>
      <c r="T46" s="1062" t="n"/>
      <c r="U46" s="1062" t="n"/>
      <c r="V46" s="1062" t="n"/>
      <c r="W46" s="1062" t="n"/>
      <c r="X46" s="163" t="n"/>
      <c r="Y46" s="1062" t="n"/>
      <c r="Z46" s="1062" t="n"/>
      <c r="AA46" s="1062" t="n"/>
      <c r="AB46" s="1062" t="n"/>
      <c r="AC46" s="1062" t="n"/>
      <c r="AD46" s="163" t="n"/>
      <c r="AE46" s="1062" t="n"/>
      <c r="AF46" s="1062" t="n"/>
      <c r="AG46" s="1062" t="n"/>
      <c r="AH46" s="1062" t="n"/>
      <c r="AI46" s="1062" t="n"/>
      <c r="AJ46" s="163" t="n"/>
      <c r="AK46" s="1062" t="n"/>
      <c r="AL46" s="1062" t="n"/>
      <c r="AM46" s="1062" t="n"/>
      <c r="AN46" s="1062" t="n"/>
      <c r="AO46" s="1062" t="n"/>
      <c r="AP46" s="163" t="n"/>
      <c r="AQ46" s="1062" t="n"/>
      <c r="AR46" s="1062" t="n"/>
      <c r="AS46" s="1062" t="n"/>
      <c r="AT46" s="1062" t="n"/>
      <c r="AU46" s="1062" t="n"/>
      <c r="AV46" s="163" t="n"/>
      <c r="AW46" s="1062" t="n"/>
      <c r="AX46" s="1062" t="n"/>
      <c r="AY46" s="1062" t="n"/>
      <c r="AZ46" s="1062" t="n"/>
      <c r="BA46" s="1062" t="n"/>
      <c r="BB46" s="163" t="n"/>
      <c r="BC46" s="1062" t="n"/>
      <c r="BD46" s="1062" t="n"/>
      <c r="BE46" s="1062" t="n"/>
      <c r="BF46" s="1062" t="n"/>
      <c r="BG46" s="1062" t="n"/>
      <c r="BH46" s="163" t="n"/>
      <c r="BI46" s="1062" t="n"/>
      <c r="BJ46" s="1062" t="n"/>
      <c r="BK46" s="1062" t="n"/>
      <c r="BL46" s="1062" t="n"/>
      <c r="BM46" s="1062" t="n"/>
      <c r="BN46" s="163" t="n"/>
    </row>
    <row r="47" ht="12.75" customHeight="1" s="1883">
      <c r="B47" s="672" t="inlineStr">
        <is>
          <t>S&amp;M</t>
        </is>
      </c>
      <c r="C47" s="1918" t="inlineStr">
        <is>
          <t>Travel &amp; Essentials</t>
        </is>
      </c>
      <c r="D47" s="670" t="n"/>
      <c r="E47" s="671" t="n"/>
      <c r="F47" s="671" t="inlineStr">
        <is>
          <t>Growth(y-o-y)</t>
        </is>
      </c>
      <c r="G47" s="1042" t="n"/>
      <c r="H47" s="1048" t="n"/>
      <c r="I47" s="1048" t="n"/>
      <c r="J47" s="1048" t="n"/>
      <c r="K47" s="1048" t="n"/>
      <c r="L47" s="157" t="n"/>
      <c r="M47" s="1048" t="n"/>
      <c r="N47" s="1048" t="n"/>
      <c r="O47" s="1048" t="n"/>
      <c r="P47" s="1042" t="n"/>
      <c r="Q47" s="1048" t="n"/>
      <c r="R47" s="157" t="n"/>
      <c r="S47" s="873" t="n">
        <v>0.11</v>
      </c>
      <c r="T47" s="1042" t="n"/>
      <c r="U47" s="1042" t="n"/>
      <c r="V47" s="1042" t="n"/>
      <c r="W47" s="1042" t="n"/>
      <c r="X47" s="156" t="n"/>
      <c r="Y47" s="1042" t="n"/>
      <c r="Z47" s="1042" t="n"/>
      <c r="AA47" s="1042" t="n"/>
      <c r="AB47" s="1042" t="n"/>
      <c r="AC47" s="1042" t="n"/>
      <c r="AD47" s="156" t="n"/>
      <c r="AE47" s="873" t="n">
        <v>0.17</v>
      </c>
      <c r="AF47" s="1042" t="n"/>
      <c r="AG47" s="1042" t="n"/>
      <c r="AH47" s="1042" t="n"/>
      <c r="AI47" s="1042" t="n"/>
      <c r="AJ47" s="156" t="n"/>
      <c r="AK47" s="1042" t="n"/>
      <c r="AL47" s="1042" t="n"/>
      <c r="AM47" s="1042" t="n"/>
      <c r="AN47" s="1042" t="n"/>
      <c r="AO47" s="1042" t="n"/>
      <c r="AP47" s="156" t="n"/>
      <c r="AQ47" s="873" t="n">
        <v>0.25</v>
      </c>
      <c r="AR47" s="1042" t="n"/>
      <c r="AS47" s="1042" t="n"/>
      <c r="AT47" s="1042" t="n"/>
      <c r="AU47" s="1042" t="n"/>
      <c r="AV47" s="156" t="n"/>
      <c r="AW47" s="1042" t="n"/>
      <c r="AX47" s="1042" t="n"/>
      <c r="AY47" s="1042" t="n"/>
      <c r="AZ47" s="1042" t="n"/>
      <c r="BA47" s="1042" t="n"/>
      <c r="BB47" s="156" t="n"/>
      <c r="BC47" s="873" t="n">
        <v>0.2</v>
      </c>
      <c r="BD47" s="1042" t="n"/>
      <c r="BE47" s="1042" t="n"/>
      <c r="BF47" s="1042" t="n"/>
      <c r="BG47" s="1042" t="n"/>
      <c r="BH47" s="156" t="n"/>
      <c r="BI47" s="1042" t="n"/>
      <c r="BJ47" s="1042" t="n"/>
      <c r="BK47" s="1042" t="n"/>
      <c r="BL47" s="1042" t="n"/>
      <c r="BM47" s="1042" t="n"/>
      <c r="BN47" s="156" t="n"/>
    </row>
    <row r="48" ht="12.75" customHeight="1" s="1883">
      <c r="B48" s="672" t="n"/>
      <c r="C48" s="1046" t="n"/>
      <c r="D48" s="670" t="n"/>
      <c r="E48" s="671" t="n"/>
      <c r="F48" s="1078" t="n"/>
      <c r="G48" s="530" t="n">
        <v>45000</v>
      </c>
      <c r="H48" s="530" t="n">
        <v>45000</v>
      </c>
      <c r="I48" s="530" t="n">
        <v>45000</v>
      </c>
      <c r="J48" s="530" t="n">
        <v>45000</v>
      </c>
      <c r="K48" s="530" t="n">
        <v>45000</v>
      </c>
      <c r="L48" s="530" t="n">
        <v>45000</v>
      </c>
      <c r="M48" s="530" t="n">
        <v>55000</v>
      </c>
      <c r="N48" s="530" t="n">
        <v>55000</v>
      </c>
      <c r="O48" s="530" t="n">
        <v>55000</v>
      </c>
      <c r="P48" s="530" t="n">
        <v>55000</v>
      </c>
      <c r="Q48" s="530" t="n">
        <v>55000</v>
      </c>
      <c r="R48" s="530" t="n">
        <v>55000</v>
      </c>
      <c r="S48" s="1091">
        <f>R48*(1+$S47)</f>
        <v/>
      </c>
      <c r="T48" s="1091">
        <f>S48</f>
        <v/>
      </c>
      <c r="U48" s="1091">
        <f>T48</f>
        <v/>
      </c>
      <c r="V48" s="1091">
        <f>U48</f>
        <v/>
      </c>
      <c r="W48" s="1091">
        <f>V48</f>
        <v/>
      </c>
      <c r="X48" s="174">
        <f>W48</f>
        <v/>
      </c>
      <c r="Y48" s="1091">
        <f>X48</f>
        <v/>
      </c>
      <c r="Z48" s="1091">
        <f>Y48</f>
        <v/>
      </c>
      <c r="AA48" s="1091">
        <f>Z48</f>
        <v/>
      </c>
      <c r="AB48" s="1091">
        <f>AA48</f>
        <v/>
      </c>
      <c r="AC48" s="1091">
        <f>AB48</f>
        <v/>
      </c>
      <c r="AD48" s="174">
        <f>AC48</f>
        <v/>
      </c>
      <c r="AE48" s="1091">
        <f>AD48*(1+$AE47)</f>
        <v/>
      </c>
      <c r="AF48" s="1091">
        <f>AE48</f>
        <v/>
      </c>
      <c r="AG48" s="1091">
        <f>AF48</f>
        <v/>
      </c>
      <c r="AH48" s="1091">
        <f>AG48</f>
        <v/>
      </c>
      <c r="AI48" s="1091">
        <f>AH48</f>
        <v/>
      </c>
      <c r="AJ48" s="174">
        <f>AI48</f>
        <v/>
      </c>
      <c r="AK48" s="1091">
        <f>AJ48</f>
        <v/>
      </c>
      <c r="AL48" s="1091">
        <f>AK48</f>
        <v/>
      </c>
      <c r="AM48" s="1091">
        <f>AL48</f>
        <v/>
      </c>
      <c r="AN48" s="1091">
        <f>AM48</f>
        <v/>
      </c>
      <c r="AO48" s="1091">
        <f>AN48</f>
        <v/>
      </c>
      <c r="AP48" s="174">
        <f>AO48</f>
        <v/>
      </c>
      <c r="AQ48" s="1091">
        <f>AP48*(1+$AQ47)</f>
        <v/>
      </c>
      <c r="AR48" s="1091">
        <f>AQ48</f>
        <v/>
      </c>
      <c r="AS48" s="1091">
        <f>AR48</f>
        <v/>
      </c>
      <c r="AT48" s="1091">
        <f>AS48</f>
        <v/>
      </c>
      <c r="AU48" s="1091">
        <f>AT48</f>
        <v/>
      </c>
      <c r="AV48" s="174">
        <f>AU48</f>
        <v/>
      </c>
      <c r="AW48" s="1091">
        <f>AV48</f>
        <v/>
      </c>
      <c r="AX48" s="1091">
        <f>AW48</f>
        <v/>
      </c>
      <c r="AY48" s="1091">
        <f>AX48</f>
        <v/>
      </c>
      <c r="AZ48" s="1091">
        <f>AY48</f>
        <v/>
      </c>
      <c r="BA48" s="1091">
        <f>AZ48</f>
        <v/>
      </c>
      <c r="BB48" s="174">
        <f>BA48</f>
        <v/>
      </c>
      <c r="BC48" s="1091">
        <f>BB48*(1+$BC47)</f>
        <v/>
      </c>
      <c r="BD48" s="1091">
        <f>BC48</f>
        <v/>
      </c>
      <c r="BE48" s="1091">
        <f>BD48</f>
        <v/>
      </c>
      <c r="BF48" s="1091">
        <f>BE48</f>
        <v/>
      </c>
      <c r="BG48" s="1091">
        <f>BF48</f>
        <v/>
      </c>
      <c r="BH48" s="174">
        <f>BG48</f>
        <v/>
      </c>
      <c r="BI48" s="1091">
        <f>BH48</f>
        <v/>
      </c>
      <c r="BJ48" s="1091">
        <f>BI48</f>
        <v/>
      </c>
      <c r="BK48" s="1091">
        <f>BJ48</f>
        <v/>
      </c>
      <c r="BL48" s="1091">
        <f>BK48</f>
        <v/>
      </c>
      <c r="BM48" s="1091">
        <f>BL48</f>
        <v/>
      </c>
      <c r="BN48" s="174">
        <f>BM48</f>
        <v/>
      </c>
    </row>
    <row r="49" ht="12.75" customHeight="1" s="1883">
      <c r="B49" s="672" t="n"/>
      <c r="C49" s="1059" t="n"/>
      <c r="D49" s="1060" t="n"/>
      <c r="E49" s="1061" t="n"/>
      <c r="F49" s="1061" t="n"/>
      <c r="G49" s="1062" t="n"/>
      <c r="H49" s="1062" t="n"/>
      <c r="I49" s="1062" t="n"/>
      <c r="J49" s="1062" t="n"/>
      <c r="K49" s="1062" t="n"/>
      <c r="L49" s="163" t="n"/>
      <c r="M49" s="1062" t="n"/>
      <c r="N49" s="1062" t="n"/>
      <c r="O49" s="1062" t="n"/>
      <c r="P49" s="1062" t="n"/>
      <c r="Q49" s="1062" t="n"/>
      <c r="R49" s="163" t="n"/>
      <c r="S49" s="1062" t="n"/>
      <c r="T49" s="1062" t="n"/>
      <c r="U49" s="1062" t="n"/>
      <c r="V49" s="1062" t="n"/>
      <c r="W49" s="1062" t="n"/>
      <c r="X49" s="163" t="n"/>
      <c r="Y49" s="1062" t="n"/>
      <c r="Z49" s="1062" t="n"/>
      <c r="AA49" s="1062" t="n"/>
      <c r="AB49" s="1062" t="n"/>
      <c r="AC49" s="1062" t="n"/>
      <c r="AD49" s="163" t="n"/>
      <c r="AE49" s="1062" t="n"/>
      <c r="AF49" s="1062" t="n"/>
      <c r="AG49" s="1062" t="n"/>
      <c r="AH49" s="1062" t="n"/>
      <c r="AI49" s="1062" t="n"/>
      <c r="AJ49" s="163" t="n"/>
      <c r="AK49" s="1062" t="n"/>
      <c r="AL49" s="1062" t="n"/>
      <c r="AM49" s="1062" t="n"/>
      <c r="AN49" s="1062" t="n"/>
      <c r="AO49" s="1062" t="n"/>
      <c r="AP49" s="163" t="n"/>
      <c r="AQ49" s="1062" t="n"/>
      <c r="AR49" s="1062" t="n"/>
      <c r="AS49" s="1062" t="n"/>
      <c r="AT49" s="1062" t="n"/>
      <c r="AU49" s="1062" t="n"/>
      <c r="AV49" s="163" t="n"/>
      <c r="AW49" s="1062" t="n"/>
      <c r="AX49" s="1062" t="n"/>
      <c r="AY49" s="1062" t="n"/>
      <c r="AZ49" s="1062" t="n"/>
      <c r="BA49" s="1062" t="n"/>
      <c r="BB49" s="163" t="n"/>
      <c r="BC49" s="1062" t="n"/>
      <c r="BD49" s="1062" t="n"/>
      <c r="BE49" s="1062" t="n"/>
      <c r="BF49" s="1062" t="n"/>
      <c r="BG49" s="1062" t="n"/>
      <c r="BH49" s="163" t="n"/>
      <c r="BI49" s="1062" t="n"/>
      <c r="BJ49" s="1062" t="n"/>
      <c r="BK49" s="1062" t="n"/>
      <c r="BL49" s="1062" t="n"/>
      <c r="BM49" s="1062" t="n"/>
      <c r="BN49" s="163" t="n"/>
    </row>
    <row r="50" ht="12.75" customHeight="1" s="1883">
      <c r="B50" s="672" t="inlineStr">
        <is>
          <t>G&amp;A</t>
        </is>
      </c>
      <c r="C50" s="1918" t="inlineStr">
        <is>
          <t>Website Hosting &amp; Maintenance + Data Storage</t>
        </is>
      </c>
      <c r="D50" s="670" t="n"/>
      <c r="E50" s="671" t="n"/>
      <c r="F50" s="671" t="inlineStr">
        <is>
          <t>Growth(y-o-y)</t>
        </is>
      </c>
      <c r="G50" s="1092" t="n"/>
      <c r="H50" s="1048" t="n"/>
      <c r="I50" s="1048" t="n"/>
      <c r="J50" s="1048" t="n"/>
      <c r="K50" s="1048" t="n"/>
      <c r="L50" s="157" t="n"/>
      <c r="M50" s="1048" t="n"/>
      <c r="N50" s="1048" t="n"/>
      <c r="O50" s="1048" t="n"/>
      <c r="P50" s="1048" t="n"/>
      <c r="Q50" s="1048" t="n"/>
      <c r="R50" s="157" t="n"/>
      <c r="S50" s="873">
        <f>S51/R51</f>
        <v/>
      </c>
      <c r="T50" s="1042" t="n"/>
      <c r="U50" s="1042" t="n"/>
      <c r="V50" s="1042" t="n"/>
      <c r="W50" s="1042" t="n"/>
      <c r="X50" s="156" t="n"/>
      <c r="Y50" s="1042" t="n"/>
      <c r="Z50" s="1042" t="n"/>
      <c r="AA50" s="1042" t="n"/>
      <c r="AB50" s="1042" t="n"/>
      <c r="AC50" s="1042" t="n"/>
      <c r="AD50" s="156" t="n"/>
      <c r="AE50" s="873">
        <f>AE51/AD51</f>
        <v/>
      </c>
      <c r="AF50" s="1042" t="n"/>
      <c r="AG50" s="1042" t="n"/>
      <c r="AH50" s="1042" t="n"/>
      <c r="AI50" s="1042" t="n"/>
      <c r="AJ50" s="156" t="n"/>
      <c r="AK50" s="1042" t="n"/>
      <c r="AL50" s="1042" t="n"/>
      <c r="AM50" s="1042" t="n"/>
      <c r="AN50" s="1042" t="n"/>
      <c r="AO50" s="1042" t="n"/>
      <c r="AP50" s="156" t="n"/>
      <c r="AQ50" s="873">
        <f>AQ51/AP51</f>
        <v/>
      </c>
      <c r="AR50" s="1042" t="n"/>
      <c r="AS50" s="1042" t="n"/>
      <c r="AT50" s="1042" t="n"/>
      <c r="AU50" s="1042" t="n"/>
      <c r="AV50" s="156" t="n"/>
      <c r="AW50" s="1042" t="n"/>
      <c r="AX50" s="1042" t="n"/>
      <c r="AY50" s="1042" t="n"/>
      <c r="AZ50" s="1042" t="n"/>
      <c r="BA50" s="1042" t="n"/>
      <c r="BB50" s="156" t="n"/>
      <c r="BC50" s="873">
        <f>BC51/BB51</f>
        <v/>
      </c>
      <c r="BD50" s="1042" t="n"/>
      <c r="BE50" s="1042" t="n"/>
      <c r="BF50" s="1042" t="n"/>
      <c r="BG50" s="1042" t="n"/>
      <c r="BH50" s="156" t="n"/>
      <c r="BI50" s="1042" t="n"/>
      <c r="BJ50" s="1042" t="n"/>
      <c r="BK50" s="1042" t="n"/>
      <c r="BL50" s="1042" t="n"/>
      <c r="BM50" s="1042" t="n"/>
      <c r="BN50" s="156" t="n"/>
    </row>
    <row r="51" ht="12.75" customHeight="1" s="1883">
      <c r="B51" s="672" t="n"/>
      <c r="C51" s="1046" t="n"/>
      <c r="D51" s="670" t="n"/>
      <c r="E51" s="671" t="n"/>
      <c r="F51" s="1078" t="n"/>
      <c r="G51" s="1985" t="n">
        <v>47229.8</v>
      </c>
      <c r="H51" s="1080" t="n">
        <v>128271.85</v>
      </c>
      <c r="I51" s="1080" t="n">
        <v>214144.21</v>
      </c>
      <c r="J51" s="1081" t="n">
        <v>271034.65</v>
      </c>
      <c r="K51" s="1080" t="n">
        <v>322558.07</v>
      </c>
      <c r="L51" s="171" t="n">
        <v>369787.87</v>
      </c>
      <c r="M51" s="1080" t="n">
        <v>397696.39</v>
      </c>
      <c r="N51" s="1080" t="n">
        <v>420774.59</v>
      </c>
      <c r="O51" s="1080" t="n">
        <v>443852.79</v>
      </c>
      <c r="P51" s="1081" t="n">
        <v>466930.98</v>
      </c>
      <c r="Q51" s="1080" t="n">
        <v>504500.14</v>
      </c>
      <c r="R51" s="171" t="n">
        <v>536702.28</v>
      </c>
      <c r="S51" s="1091" t="n">
        <v>1154983.31</v>
      </c>
      <c r="T51" s="1091" t="n">
        <v>1841962.23</v>
      </c>
      <c r="U51" s="1091" t="n">
        <v>2288498.53</v>
      </c>
      <c r="V51" s="1091" t="n">
        <v>2563290.09</v>
      </c>
      <c r="W51" s="1091" t="n">
        <v>2803732.71</v>
      </c>
      <c r="X51" s="174" t="n">
        <v>3009826.39</v>
      </c>
      <c r="Y51" s="1091" t="n">
        <v>3147222.17</v>
      </c>
      <c r="Z51" s="1091" t="n">
        <v>3250269.01</v>
      </c>
      <c r="AA51" s="1091" t="n">
        <v>3387664.8</v>
      </c>
      <c r="AB51" s="1091" t="n">
        <v>3525060.58</v>
      </c>
      <c r="AC51" s="1091" t="n">
        <v>3765503.2</v>
      </c>
      <c r="AD51" s="174" t="n">
        <v>3971596.88</v>
      </c>
      <c r="AE51" s="1091" t="n">
        <v>4991331.21</v>
      </c>
      <c r="AF51" s="1091" t="n">
        <v>6011065.54</v>
      </c>
      <c r="AG51" s="1091" t="n">
        <v>6655108.28</v>
      </c>
      <c r="AH51" s="1091" t="n">
        <v>7084470.11</v>
      </c>
      <c r="AI51" s="1091" t="n">
        <v>7460161.7</v>
      </c>
      <c r="AJ51" s="174" t="n">
        <v>7782183.07</v>
      </c>
      <c r="AK51" s="1091" t="n">
        <v>7996863.98</v>
      </c>
      <c r="AL51" s="1091" t="n">
        <v>8157874.67</v>
      </c>
      <c r="AM51" s="1091" t="n">
        <v>8372555.58</v>
      </c>
      <c r="AN51" s="1091" t="n">
        <v>8640906.720000001</v>
      </c>
      <c r="AO51" s="1091" t="n">
        <v>9016598.32</v>
      </c>
      <c r="AP51" s="174" t="n">
        <v>9338619.689999999</v>
      </c>
      <c r="AQ51" s="1091" t="n">
        <v>10652466.87</v>
      </c>
      <c r="AR51" s="1091" t="n">
        <v>12039305.56</v>
      </c>
      <c r="AS51" s="1091" t="n">
        <v>12915203.68</v>
      </c>
      <c r="AT51" s="1091" t="n">
        <v>13499135.77</v>
      </c>
      <c r="AU51" s="1091" t="n">
        <v>14010076.34</v>
      </c>
      <c r="AV51" s="174" t="n">
        <v>14521016.91</v>
      </c>
      <c r="AW51" s="1091" t="n">
        <v>14812982.95</v>
      </c>
      <c r="AX51" s="1091" t="n">
        <v>15031957.48</v>
      </c>
      <c r="AY51" s="1091" t="n">
        <v>15323923.52</v>
      </c>
      <c r="AZ51" s="1091" t="n">
        <v>15688881.07</v>
      </c>
      <c r="BA51" s="1091" t="n">
        <v>16199821.64</v>
      </c>
      <c r="BB51" s="174" t="n">
        <v>16637770.7</v>
      </c>
      <c r="BC51" s="1091" t="n">
        <v>18207088.17</v>
      </c>
      <c r="BD51" s="1091" t="n">
        <v>19868718.43</v>
      </c>
      <c r="BE51" s="1091" t="n">
        <v>21068784.73</v>
      </c>
      <c r="BF51" s="1091" t="n">
        <v>21807287.07</v>
      </c>
      <c r="BG51" s="1091" t="n">
        <v>22453476.62</v>
      </c>
      <c r="BH51" s="174" t="n">
        <v>23099666.16</v>
      </c>
      <c r="BI51" s="1091" t="n">
        <v>23468917.33</v>
      </c>
      <c r="BJ51" s="1091" t="n">
        <v>23838168.5</v>
      </c>
      <c r="BK51" s="1091" t="n">
        <v>24207419.67</v>
      </c>
      <c r="BL51" s="1091" t="n">
        <v>24668983.63</v>
      </c>
      <c r="BM51" s="1091" t="n">
        <v>25315173.18</v>
      </c>
      <c r="BN51" s="174" t="n">
        <v>25869049.93</v>
      </c>
    </row>
    <row r="52" ht="12.75" customHeight="1" s="1883">
      <c r="B52" s="672" t="n"/>
      <c r="C52" s="1059" t="n"/>
      <c r="D52" s="1060" t="n"/>
      <c r="E52" s="1061" t="n"/>
      <c r="F52" s="1061" t="n"/>
      <c r="G52" s="1062" t="n"/>
      <c r="H52" s="1062" t="n"/>
      <c r="I52" s="1062" t="n"/>
      <c r="J52" s="1062" t="n"/>
      <c r="K52" s="1062" t="n"/>
      <c r="L52" s="163" t="n"/>
      <c r="M52" s="1062" t="n"/>
      <c r="N52" s="1062" t="n"/>
      <c r="O52" s="1062" t="n"/>
      <c r="P52" s="1062" t="n"/>
      <c r="Q52" s="1062" t="n"/>
      <c r="R52" s="163" t="n"/>
      <c r="S52" s="1062" t="n"/>
      <c r="T52" s="1062" t="n"/>
      <c r="U52" s="1062" t="n"/>
      <c r="V52" s="1062" t="n"/>
      <c r="W52" s="1062" t="n"/>
      <c r="X52" s="163" t="n"/>
      <c r="Y52" s="1062" t="n"/>
      <c r="Z52" s="1062" t="n"/>
      <c r="AA52" s="1062" t="n"/>
      <c r="AB52" s="1062" t="n"/>
      <c r="AC52" s="1062" t="n"/>
      <c r="AD52" s="163" t="n"/>
      <c r="AE52" s="1062" t="n"/>
      <c r="AF52" s="1062" t="n"/>
      <c r="AG52" s="1062" t="n"/>
      <c r="AH52" s="1062" t="n"/>
      <c r="AI52" s="1062" t="n"/>
      <c r="AJ52" s="163" t="n"/>
      <c r="AK52" s="1062" t="n"/>
      <c r="AL52" s="1062" t="n"/>
      <c r="AM52" s="1062" t="n"/>
      <c r="AN52" s="1062" t="n"/>
      <c r="AO52" s="1062" t="n"/>
      <c r="AP52" s="163" t="n"/>
      <c r="AQ52" s="1062" t="n"/>
      <c r="AR52" s="1062" t="n"/>
      <c r="AS52" s="1062" t="n"/>
      <c r="AT52" s="1062" t="n"/>
      <c r="AU52" s="1062" t="n"/>
      <c r="AV52" s="163" t="n"/>
      <c r="AW52" s="1062" t="n"/>
      <c r="AX52" s="1062" t="n"/>
      <c r="AY52" s="1062" t="n"/>
      <c r="AZ52" s="1062" t="n"/>
      <c r="BA52" s="1062" t="n"/>
      <c r="BB52" s="163" t="n"/>
      <c r="BC52" s="1062" t="n"/>
      <c r="BD52" s="1062" t="n"/>
      <c r="BE52" s="1062" t="n"/>
      <c r="BF52" s="1062" t="n"/>
      <c r="BG52" s="1062" t="n"/>
      <c r="BH52" s="163" t="n"/>
      <c r="BI52" s="1062" t="n"/>
      <c r="BJ52" s="1062" t="n"/>
      <c r="BK52" s="1062" t="n"/>
      <c r="BL52" s="1062" t="n"/>
      <c r="BM52" s="1062" t="n"/>
      <c r="BN52" s="163" t="n"/>
    </row>
    <row r="53" ht="12.75" customHeight="1" s="1883">
      <c r="B53" s="672" t="inlineStr">
        <is>
          <t>G&amp;A</t>
        </is>
      </c>
      <c r="C53" s="1918" t="inlineStr">
        <is>
          <t>Software Licenses</t>
        </is>
      </c>
      <c r="D53" s="670" t="n"/>
      <c r="E53" s="671" t="n"/>
      <c r="F53" s="1048" t="inlineStr">
        <is>
          <t>per employee</t>
        </is>
      </c>
      <c r="G53" s="1053" t="n">
        <v>55</v>
      </c>
      <c r="H53" s="1048" t="n"/>
      <c r="I53" s="1048" t="n"/>
      <c r="J53" s="1048" t="n"/>
      <c r="K53" s="1048" t="n"/>
      <c r="L53" s="157" t="n"/>
      <c r="M53" s="1048" t="n"/>
      <c r="N53" s="1048" t="n"/>
      <c r="O53" s="1048" t="n"/>
      <c r="P53" s="1048" t="n"/>
      <c r="Q53" s="1048" t="n"/>
      <c r="R53" s="157" t="n"/>
      <c r="S53" s="1053" t="n">
        <v>55</v>
      </c>
      <c r="T53" s="1042" t="n"/>
      <c r="U53" s="1042" t="n"/>
      <c r="V53" s="1042" t="n"/>
      <c r="W53" s="1042" t="n"/>
      <c r="X53" s="156" t="n"/>
      <c r="Y53" s="1042" t="n"/>
      <c r="Z53" s="1042" t="n"/>
      <c r="AA53" s="1042" t="n"/>
      <c r="AB53" s="1042" t="n"/>
      <c r="AC53" s="1042" t="n"/>
      <c r="AD53" s="156" t="n"/>
      <c r="AE53" s="1053" t="n">
        <v>55</v>
      </c>
      <c r="AF53" s="1042" t="n"/>
      <c r="AG53" s="1042" t="n"/>
      <c r="AH53" s="1042" t="n"/>
      <c r="AI53" s="1042" t="n"/>
      <c r="AJ53" s="156" t="n"/>
      <c r="AK53" s="1042" t="n"/>
      <c r="AL53" s="1042" t="n"/>
      <c r="AM53" s="1042" t="n"/>
      <c r="AN53" s="1042" t="n"/>
      <c r="AO53" s="1042" t="n"/>
      <c r="AP53" s="156" t="n"/>
      <c r="AQ53" s="1053" t="n">
        <v>55</v>
      </c>
      <c r="AR53" s="1042" t="n"/>
      <c r="AS53" s="1042" t="n"/>
      <c r="AT53" s="1042" t="n"/>
      <c r="AU53" s="1042" t="n"/>
      <c r="AV53" s="156" t="n"/>
      <c r="AW53" s="1042" t="n"/>
      <c r="AX53" s="1042" t="n"/>
      <c r="AY53" s="1042" t="n"/>
      <c r="AZ53" s="1042" t="n"/>
      <c r="BA53" s="1042" t="n"/>
      <c r="BB53" s="156" t="n"/>
      <c r="BC53" s="1053" t="n">
        <v>55</v>
      </c>
      <c r="BD53" s="1042" t="n"/>
      <c r="BE53" s="1042" t="n"/>
      <c r="BF53" s="1042" t="n"/>
      <c r="BG53" s="1042" t="n"/>
      <c r="BH53" s="156" t="n"/>
      <c r="BI53" s="1042" t="n"/>
      <c r="BJ53" s="1042" t="n"/>
      <c r="BK53" s="1042" t="n"/>
      <c r="BL53" s="1042" t="n"/>
      <c r="BM53" s="1042" t="n"/>
      <c r="BN53" s="156" t="n"/>
    </row>
    <row r="54" ht="12.75" customHeight="1" s="1883">
      <c r="B54" s="672" t="n"/>
      <c r="C54" s="1046" t="n"/>
      <c r="D54" s="670" t="n"/>
      <c r="E54" s="671" t="n"/>
      <c r="F54" s="1041" t="n"/>
      <c r="G54" s="69">
        <f>+$G53*G7</f>
        <v/>
      </c>
      <c r="H54" s="69">
        <f>+$G53*H7</f>
        <v/>
      </c>
      <c r="I54" s="69">
        <f>+$G53*I7</f>
        <v/>
      </c>
      <c r="J54" s="69">
        <f>+$G53*J7</f>
        <v/>
      </c>
      <c r="K54" s="69">
        <f>+$G53*K7</f>
        <v/>
      </c>
      <c r="L54" s="1070">
        <f>+$G53*L7</f>
        <v/>
      </c>
      <c r="M54" s="69">
        <f>+$G53*M7</f>
        <v/>
      </c>
      <c r="N54" s="69">
        <f>+$G53*N7</f>
        <v/>
      </c>
      <c r="O54" s="69">
        <f>+$G53*O7</f>
        <v/>
      </c>
      <c r="P54" s="69">
        <f>+$G53*P7</f>
        <v/>
      </c>
      <c r="Q54" s="69">
        <f>+$G53*Q7</f>
        <v/>
      </c>
      <c r="R54" s="1070">
        <f>+$G53*R7</f>
        <v/>
      </c>
      <c r="S54" s="69">
        <f>+$S53*S$7</f>
        <v/>
      </c>
      <c r="T54" s="69">
        <f>+$S53*T$7</f>
        <v/>
      </c>
      <c r="U54" s="69">
        <f>+$S53*U$7</f>
        <v/>
      </c>
      <c r="V54" s="69">
        <f>+$S53*V$7</f>
        <v/>
      </c>
      <c r="W54" s="69">
        <f>+$S53*W$7</f>
        <v/>
      </c>
      <c r="X54" s="1070">
        <f>+$S53*X$7</f>
        <v/>
      </c>
      <c r="Y54" s="69">
        <f>+$S53*Y$7</f>
        <v/>
      </c>
      <c r="Z54" s="69">
        <f>+$S53*Z$7</f>
        <v/>
      </c>
      <c r="AA54" s="69">
        <f>+$S53*AA$7</f>
        <v/>
      </c>
      <c r="AB54" s="69">
        <f>+$S53*AB$7</f>
        <v/>
      </c>
      <c r="AC54" s="69">
        <f>+$S53*AC$7</f>
        <v/>
      </c>
      <c r="AD54" s="1070">
        <f>+$S53*AD$7</f>
        <v/>
      </c>
      <c r="AE54" s="69">
        <f>+$AE53*AE$7</f>
        <v/>
      </c>
      <c r="AF54" s="69">
        <f>+$AE53*AF$7</f>
        <v/>
      </c>
      <c r="AG54" s="69">
        <f>+$AE53*AG$7</f>
        <v/>
      </c>
      <c r="AH54" s="69">
        <f>+$AE53*AH$7</f>
        <v/>
      </c>
      <c r="AI54" s="69">
        <f>+$AE53*AI$7</f>
        <v/>
      </c>
      <c r="AJ54" s="1070">
        <f>+$AE53*AJ$7</f>
        <v/>
      </c>
      <c r="AK54" s="69">
        <f>+$AE53*AK$7</f>
        <v/>
      </c>
      <c r="AL54" s="69">
        <f>+$AE53*AL$7</f>
        <v/>
      </c>
      <c r="AM54" s="69">
        <f>+$AE53*AM$7</f>
        <v/>
      </c>
      <c r="AN54" s="69">
        <f>+$AE53*AN$7</f>
        <v/>
      </c>
      <c r="AO54" s="69">
        <f>+$AE53*AO$7</f>
        <v/>
      </c>
      <c r="AP54" s="1070">
        <f>+$AE53*AP$7</f>
        <v/>
      </c>
      <c r="AQ54" s="69">
        <f>+$AQ53*AQ$7</f>
        <v/>
      </c>
      <c r="AR54" s="69">
        <f>+$AQ53*AR$7</f>
        <v/>
      </c>
      <c r="AS54" s="69">
        <f>+$AQ53*AS$7</f>
        <v/>
      </c>
      <c r="AT54" s="69">
        <f>+$AQ53*AT$7</f>
        <v/>
      </c>
      <c r="AU54" s="69">
        <f>+$AQ53*AU$7</f>
        <v/>
      </c>
      <c r="AV54" s="1070">
        <f>+$AQ53*AV$7</f>
        <v/>
      </c>
      <c r="AW54" s="69">
        <f>+$AQ53*AW$7</f>
        <v/>
      </c>
      <c r="AX54" s="69">
        <f>+$AQ53*AX$7</f>
        <v/>
      </c>
      <c r="AY54" s="69">
        <f>+$AQ53*AY$7</f>
        <v/>
      </c>
      <c r="AZ54" s="69">
        <f>+$AQ53*AZ$7</f>
        <v/>
      </c>
      <c r="BA54" s="69">
        <f>+$AQ53*BA$7</f>
        <v/>
      </c>
      <c r="BB54" s="1070">
        <f>+$AQ53*BB$7</f>
        <v/>
      </c>
      <c r="BC54" s="69">
        <f>+$BC53*BC$7</f>
        <v/>
      </c>
      <c r="BD54" s="69">
        <f>+$BC53*BD$7</f>
        <v/>
      </c>
      <c r="BE54" s="69">
        <f>+$BC53*BE$7</f>
        <v/>
      </c>
      <c r="BF54" s="69">
        <f>+$BC53*BF$7</f>
        <v/>
      </c>
      <c r="BG54" s="69">
        <f>+$BC53*BG$7</f>
        <v/>
      </c>
      <c r="BH54" s="1070">
        <f>+$BC53*BH$7</f>
        <v/>
      </c>
      <c r="BI54" s="69">
        <f>+$BC53*BI$7</f>
        <v/>
      </c>
      <c r="BJ54" s="69">
        <f>+$BC53*BJ$7</f>
        <v/>
      </c>
      <c r="BK54" s="69">
        <f>+$BC53*BK$7</f>
        <v/>
      </c>
      <c r="BL54" s="69">
        <f>+$BC53*BL$7</f>
        <v/>
      </c>
      <c r="BM54" s="69">
        <f>+$BC53*BM$7</f>
        <v/>
      </c>
      <c r="BN54" s="1070">
        <f>+$BC53*BN$7</f>
        <v/>
      </c>
    </row>
    <row r="55" ht="12.75" customHeight="1" s="1883">
      <c r="B55" s="672" t="n"/>
      <c r="C55" s="1059" t="n"/>
      <c r="D55" s="1060" t="n"/>
      <c r="E55" s="1061" t="n"/>
      <c r="F55" s="1061" t="n"/>
      <c r="G55" s="1062" t="n"/>
      <c r="H55" s="1062" t="n"/>
      <c r="I55" s="1062" t="n"/>
      <c r="J55" s="1062" t="n"/>
      <c r="K55" s="1062" t="n"/>
      <c r="L55" s="163" t="n"/>
      <c r="M55" s="1062" t="n"/>
      <c r="N55" s="1062" t="n"/>
      <c r="O55" s="1062" t="n"/>
      <c r="P55" s="1062" t="n"/>
      <c r="Q55" s="1062" t="n"/>
      <c r="R55" s="163" t="n"/>
      <c r="S55" s="1062" t="n"/>
      <c r="T55" s="1062" t="n"/>
      <c r="U55" s="1062" t="n"/>
      <c r="V55" s="1062" t="n"/>
      <c r="W55" s="1062" t="n"/>
      <c r="X55" s="163" t="n"/>
      <c r="Y55" s="1062" t="n"/>
      <c r="Z55" s="1062" t="n"/>
      <c r="AA55" s="1062" t="n"/>
      <c r="AB55" s="1062" t="n"/>
      <c r="AC55" s="1062" t="n"/>
      <c r="AD55" s="163" t="n"/>
      <c r="AE55" s="1062" t="n"/>
      <c r="AF55" s="1062" t="n"/>
      <c r="AG55" s="1062" t="n"/>
      <c r="AH55" s="1062" t="n"/>
      <c r="AI55" s="1062" t="n"/>
      <c r="AJ55" s="163" t="n"/>
      <c r="AK55" s="1062" t="n"/>
      <c r="AL55" s="1062" t="n"/>
      <c r="AM55" s="1062" t="n"/>
      <c r="AN55" s="1062" t="n"/>
      <c r="AO55" s="1062" t="n"/>
      <c r="AP55" s="163" t="n"/>
      <c r="AQ55" s="1062" t="n"/>
      <c r="AR55" s="1062" t="n"/>
      <c r="AS55" s="1062" t="n"/>
      <c r="AT55" s="1062" t="n"/>
      <c r="AU55" s="1062" t="n"/>
      <c r="AV55" s="163" t="n"/>
      <c r="AW55" s="1062" t="n"/>
      <c r="AX55" s="1062" t="n"/>
      <c r="AY55" s="1062" t="n"/>
      <c r="AZ55" s="1062" t="n"/>
      <c r="BA55" s="1062" t="n"/>
      <c r="BB55" s="163" t="n"/>
      <c r="BC55" s="1062" t="n"/>
      <c r="BD55" s="1062" t="n"/>
      <c r="BE55" s="1062" t="n"/>
      <c r="BF55" s="1062" t="n"/>
      <c r="BG55" s="1062" t="n"/>
      <c r="BH55" s="163" t="n"/>
      <c r="BI55" s="1062" t="n"/>
      <c r="BJ55" s="1062" t="n"/>
      <c r="BK55" s="1062" t="n"/>
      <c r="BL55" s="1062" t="n"/>
      <c r="BM55" s="1062" t="n"/>
      <c r="BN55" s="163" t="n"/>
    </row>
    <row r="56" ht="12.75" customHeight="1" s="1883">
      <c r="B56" s="672" t="inlineStr">
        <is>
          <t>G&amp;A</t>
        </is>
      </c>
      <c r="C56" s="1918" t="inlineStr">
        <is>
          <t>Office Supplies &amp; Expenses</t>
        </is>
      </c>
      <c r="D56" s="670" t="n"/>
      <c r="E56" s="671" t="n"/>
      <c r="F56" s="1048" t="inlineStr">
        <is>
          <t>per employee</t>
        </is>
      </c>
      <c r="G56" s="1053" t="n">
        <v>50</v>
      </c>
      <c r="H56" s="1048" t="n"/>
      <c r="I56" s="1048" t="n"/>
      <c r="J56" s="1048" t="n"/>
      <c r="K56" s="1048" t="n"/>
      <c r="L56" s="157" t="n"/>
      <c r="M56" s="1048" t="n"/>
      <c r="N56" s="1048" t="n"/>
      <c r="O56" s="1048" t="n"/>
      <c r="P56" s="1048" t="n"/>
      <c r="Q56" s="1048" t="n"/>
      <c r="R56" s="157" t="n"/>
      <c r="S56" s="1053" t="n">
        <v>50</v>
      </c>
      <c r="T56" s="1042" t="n"/>
      <c r="U56" s="1042" t="n"/>
      <c r="V56" s="1042" t="n"/>
      <c r="W56" s="1042" t="n"/>
      <c r="X56" s="156" t="n"/>
      <c r="Y56" s="1042" t="n"/>
      <c r="Z56" s="1042" t="n"/>
      <c r="AA56" s="1042" t="n"/>
      <c r="AB56" s="1042" t="n"/>
      <c r="AC56" s="1042" t="n"/>
      <c r="AD56" s="156" t="n"/>
      <c r="AE56" s="1053" t="n">
        <v>40</v>
      </c>
      <c r="AF56" s="1042" t="n"/>
      <c r="AG56" s="1042" t="n"/>
      <c r="AH56" s="1042" t="n"/>
      <c r="AI56" s="1042" t="n"/>
      <c r="AJ56" s="156" t="n"/>
      <c r="AK56" s="1042" t="n"/>
      <c r="AL56" s="1042" t="n"/>
      <c r="AM56" s="1042" t="n"/>
      <c r="AN56" s="1042" t="n"/>
      <c r="AO56" s="1042" t="n"/>
      <c r="AP56" s="156" t="n"/>
      <c r="AQ56" s="1053" t="n">
        <v>40</v>
      </c>
      <c r="AR56" s="1042" t="n"/>
      <c r="AS56" s="1042" t="n"/>
      <c r="AT56" s="1042" t="n"/>
      <c r="AU56" s="1042" t="n"/>
      <c r="AV56" s="156" t="n"/>
      <c r="AW56" s="1042" t="n"/>
      <c r="AX56" s="1042" t="n"/>
      <c r="AY56" s="1042" t="n"/>
      <c r="AZ56" s="1042" t="n"/>
      <c r="BA56" s="1042" t="n"/>
      <c r="BB56" s="156" t="n"/>
      <c r="BC56" s="1053" t="n">
        <v>35</v>
      </c>
      <c r="BD56" s="1042" t="n"/>
      <c r="BE56" s="1042" t="n"/>
      <c r="BF56" s="1042" t="n"/>
      <c r="BG56" s="1042" t="n"/>
      <c r="BH56" s="156" t="n"/>
      <c r="BI56" s="1042" t="n"/>
      <c r="BJ56" s="1042" t="n"/>
      <c r="BK56" s="1042" t="n"/>
      <c r="BL56" s="1042" t="n"/>
      <c r="BM56" s="1042" t="n"/>
      <c r="BN56" s="156" t="n"/>
    </row>
    <row r="57" ht="12.75" customHeight="1" s="1883">
      <c r="B57" s="672" t="n"/>
      <c r="C57" s="1046" t="n"/>
      <c r="D57" s="670" t="n"/>
      <c r="E57" s="671" t="n"/>
      <c r="F57" s="1041" t="n"/>
      <c r="G57" s="69">
        <f>+$G56*'Headcount &amp; Salaries - 2'!X59</f>
        <v/>
      </c>
      <c r="H57" s="69">
        <f>+$G56*'Headcount &amp; Salaries - 2'!Y59</f>
        <v/>
      </c>
      <c r="I57" s="69">
        <f>+$G56*'Headcount &amp; Salaries - 2'!Z59</f>
        <v/>
      </c>
      <c r="J57" s="69">
        <f>+$G56*'Headcount &amp; Salaries - 2'!AA59</f>
        <v/>
      </c>
      <c r="K57" s="69">
        <f>+$G56*'Headcount &amp; Salaries - 2'!AB59</f>
        <v/>
      </c>
      <c r="L57" s="1070">
        <f>+$G56*'Headcount &amp; Salaries - 2'!AC59</f>
        <v/>
      </c>
      <c r="M57" s="69">
        <f>+$G56*'Headcount &amp; Salaries - 2'!AD59</f>
        <v/>
      </c>
      <c r="N57" s="69">
        <f>+$G56*'Headcount &amp; Salaries - 2'!AE59</f>
        <v/>
      </c>
      <c r="O57" s="69">
        <f>+$G56*'Headcount &amp; Salaries - 2'!AF59</f>
        <v/>
      </c>
      <c r="P57" s="69">
        <f>+$G56*'Headcount &amp; Salaries - 2'!AG59</f>
        <v/>
      </c>
      <c r="Q57" s="69">
        <f>+$G56*'Headcount &amp; Salaries - 2'!AH59</f>
        <v/>
      </c>
      <c r="R57" s="1070">
        <f>+$G56*'Headcount &amp; Salaries - 2'!AI59</f>
        <v/>
      </c>
      <c r="S57" s="69">
        <f>+$S56*'Headcount &amp; Salaries - 2'!AJ59</f>
        <v/>
      </c>
      <c r="T57" s="69">
        <f>+$S56*'Headcount &amp; Salaries - 2'!AK59</f>
        <v/>
      </c>
      <c r="U57" s="69">
        <f>+$S56*'Headcount &amp; Salaries - 2'!AL59</f>
        <v/>
      </c>
      <c r="V57" s="69">
        <f>+$S56*'Headcount &amp; Salaries - 2'!AM59</f>
        <v/>
      </c>
      <c r="W57" s="69">
        <f>+$S56*'Headcount &amp; Salaries - 2'!AN59</f>
        <v/>
      </c>
      <c r="X57" s="1070">
        <f>+$S56*'Headcount &amp; Salaries - 2'!AO59</f>
        <v/>
      </c>
      <c r="Y57" s="69">
        <f>+$S56*'Headcount &amp; Salaries - 2'!AP59</f>
        <v/>
      </c>
      <c r="Z57" s="69">
        <f>+$S56*'Headcount &amp; Salaries - 2'!AQ59</f>
        <v/>
      </c>
      <c r="AA57" s="69">
        <f>+$S56*'Headcount &amp; Salaries - 2'!AR59</f>
        <v/>
      </c>
      <c r="AB57" s="69">
        <f>+$S56*'Headcount &amp; Salaries - 2'!AS59</f>
        <v/>
      </c>
      <c r="AC57" s="69">
        <f>+$S56*'Headcount &amp; Salaries - 2'!AT59</f>
        <v/>
      </c>
      <c r="AD57" s="1070">
        <f>+$S56*'Headcount &amp; Salaries - 2'!AU59</f>
        <v/>
      </c>
      <c r="AE57" s="69">
        <f>+$AE56*'Headcount &amp; Salaries - 2'!AV59</f>
        <v/>
      </c>
      <c r="AF57" s="69">
        <f>+$AE56*'Headcount &amp; Salaries - 2'!AW59</f>
        <v/>
      </c>
      <c r="AG57" s="69">
        <f>+$AE56*'Headcount &amp; Salaries - 2'!AX59</f>
        <v/>
      </c>
      <c r="AH57" s="69">
        <f>+$AE56*'Headcount &amp; Salaries - 2'!AY59</f>
        <v/>
      </c>
      <c r="AI57" s="69">
        <f>+$AE56*'Headcount &amp; Salaries - 2'!AZ59</f>
        <v/>
      </c>
      <c r="AJ57" s="1070">
        <f>+$AE56*'Headcount &amp; Salaries - 2'!BA59</f>
        <v/>
      </c>
      <c r="AK57" s="69">
        <f>+$AE56*'Headcount &amp; Salaries - 2'!BB59</f>
        <v/>
      </c>
      <c r="AL57" s="69">
        <f>+$AE56*'Headcount &amp; Salaries - 2'!BC59</f>
        <v/>
      </c>
      <c r="AM57" s="69">
        <f>+$AE56*'Headcount &amp; Salaries - 2'!BD59</f>
        <v/>
      </c>
      <c r="AN57" s="69">
        <f>+$AE56*'Headcount &amp; Salaries - 2'!BE59</f>
        <v/>
      </c>
      <c r="AO57" s="69">
        <f>+$AE56*'Headcount &amp; Salaries - 2'!BF59</f>
        <v/>
      </c>
      <c r="AP57" s="1070">
        <f>+$AE56*'Headcount &amp; Salaries - 2'!BG59</f>
        <v/>
      </c>
      <c r="AQ57" s="69">
        <f>+$AQ56*'Headcount &amp; Salaries - 2'!BH59</f>
        <v/>
      </c>
      <c r="AR57" s="69">
        <f>+$AQ56*'Headcount &amp; Salaries - 2'!BI59</f>
        <v/>
      </c>
      <c r="AS57" s="69">
        <f>+$AQ56*'Headcount &amp; Salaries - 2'!BJ59</f>
        <v/>
      </c>
      <c r="AT57" s="69">
        <f>+$AQ56*'Headcount &amp; Salaries - 2'!BK59</f>
        <v/>
      </c>
      <c r="AU57" s="69">
        <f>+$AQ56*'Headcount &amp; Salaries - 2'!BL59</f>
        <v/>
      </c>
      <c r="AV57" s="1070">
        <f>+$AQ56*'Headcount &amp; Salaries - 2'!BM59</f>
        <v/>
      </c>
      <c r="AW57" s="69">
        <f>+$AQ56*'Headcount &amp; Salaries - 2'!BN59</f>
        <v/>
      </c>
      <c r="AX57" s="69">
        <f>+$AQ56*'Headcount &amp; Salaries - 2'!BO59</f>
        <v/>
      </c>
      <c r="AY57" s="69">
        <f>+$AQ56*'Headcount &amp; Salaries - 2'!BP59</f>
        <v/>
      </c>
      <c r="AZ57" s="69">
        <f>+$AQ56*'Headcount &amp; Salaries - 2'!BQ59</f>
        <v/>
      </c>
      <c r="BA57" s="69">
        <f>+$AQ56*'Headcount &amp; Salaries - 2'!BR59</f>
        <v/>
      </c>
      <c r="BB57" s="1070">
        <f>+$AQ56*'Headcount &amp; Salaries - 2'!BS59</f>
        <v/>
      </c>
      <c r="BC57" s="69">
        <f>+$BC56*'Headcount &amp; Salaries - 2'!BT59</f>
        <v/>
      </c>
      <c r="BD57" s="69">
        <f>+$BC56*'Headcount &amp; Salaries - 2'!BU59</f>
        <v/>
      </c>
      <c r="BE57" s="69">
        <f>+$BC56*'Headcount &amp; Salaries - 2'!BV59</f>
        <v/>
      </c>
      <c r="BF57" s="69">
        <f>+$BC56*'Headcount &amp; Salaries - 2'!BW59</f>
        <v/>
      </c>
      <c r="BG57" s="69">
        <f>+$BC56*'Headcount &amp; Salaries - 2'!BX59</f>
        <v/>
      </c>
      <c r="BH57" s="1070">
        <f>+$BC56*'Headcount &amp; Salaries - 2'!BY59</f>
        <v/>
      </c>
      <c r="BI57" s="69">
        <f>+$BC56*'Headcount &amp; Salaries - 2'!BZ59</f>
        <v/>
      </c>
      <c r="BJ57" s="69">
        <f>+$BC56*'Headcount &amp; Salaries - 2'!CA59</f>
        <v/>
      </c>
      <c r="BK57" s="69">
        <f>+$BC56*'Headcount &amp; Salaries - 2'!CB59</f>
        <v/>
      </c>
      <c r="BL57" s="69">
        <f>+$BC56*'Headcount &amp; Salaries - 2'!CC59</f>
        <v/>
      </c>
      <c r="BM57" s="69">
        <f>+$BC56*'Headcount &amp; Salaries - 2'!CD59</f>
        <v/>
      </c>
      <c r="BN57" s="1070">
        <f>+$BC56*'Headcount &amp; Salaries - 2'!CE59</f>
        <v/>
      </c>
    </row>
    <row r="58" ht="12.75" customHeight="1" s="1883">
      <c r="B58" s="672" t="n"/>
      <c r="C58" s="1059" t="n"/>
      <c r="D58" s="1060" t="n"/>
      <c r="E58" s="1061" t="n"/>
      <c r="F58" s="1093" t="n"/>
      <c r="G58" s="1094" t="n"/>
      <c r="H58" s="1094" t="n"/>
      <c r="I58" s="1094" t="n"/>
      <c r="J58" s="1094" t="n"/>
      <c r="K58" s="1094" t="n"/>
      <c r="L58" s="175" t="n"/>
      <c r="M58" s="1094" t="n"/>
      <c r="N58" s="1094" t="n"/>
      <c r="O58" s="1094" t="n"/>
      <c r="P58" s="1094" t="n"/>
      <c r="Q58" s="1094" t="n"/>
      <c r="R58" s="175" t="n"/>
      <c r="S58" s="1094" t="n"/>
      <c r="T58" s="1094" t="n"/>
      <c r="U58" s="1094" t="n"/>
      <c r="V58" s="1094" t="n"/>
      <c r="W58" s="1094" t="n"/>
      <c r="X58" s="175" t="n"/>
      <c r="Y58" s="1094" t="n"/>
      <c r="Z58" s="1094" t="n"/>
      <c r="AA58" s="1094" t="n"/>
      <c r="AB58" s="1094" t="n"/>
      <c r="AC58" s="1094" t="n"/>
      <c r="AD58" s="175" t="n"/>
      <c r="AE58" s="1094" t="n"/>
      <c r="AF58" s="1094" t="n"/>
      <c r="AG58" s="1094" t="n"/>
      <c r="AH58" s="1094" t="n"/>
      <c r="AI58" s="1094" t="n"/>
      <c r="AJ58" s="175" t="n"/>
      <c r="AK58" s="1094" t="n"/>
      <c r="AL58" s="1094" t="n"/>
      <c r="AM58" s="1094" t="n"/>
      <c r="AN58" s="1094" t="n"/>
      <c r="AO58" s="1094" t="n"/>
      <c r="AP58" s="175" t="n"/>
      <c r="AQ58" s="1094" t="n"/>
      <c r="AR58" s="1094" t="n"/>
      <c r="AS58" s="1094" t="n"/>
      <c r="AT58" s="1094" t="n"/>
      <c r="AU58" s="1094" t="n"/>
      <c r="AV58" s="175" t="n"/>
      <c r="AW58" s="1094" t="n"/>
      <c r="AX58" s="1094" t="n"/>
      <c r="AY58" s="1094" t="n"/>
      <c r="AZ58" s="1094" t="n"/>
      <c r="BA58" s="1094" t="n"/>
      <c r="BB58" s="175" t="n"/>
      <c r="BC58" s="1094" t="n"/>
      <c r="BD58" s="1094" t="n"/>
      <c r="BE58" s="1094" t="n"/>
      <c r="BF58" s="1094" t="n"/>
      <c r="BG58" s="1094" t="n"/>
      <c r="BH58" s="175" t="n"/>
      <c r="BI58" s="1094" t="n"/>
      <c r="BJ58" s="1094" t="n"/>
      <c r="BK58" s="1094" t="n"/>
      <c r="BL58" s="1094" t="n"/>
      <c r="BM58" s="1094" t="n"/>
      <c r="BN58" s="175" t="n"/>
    </row>
    <row r="59" ht="12.75" customHeight="1" s="1883">
      <c r="A59" s="117" t="inlineStr">
        <is>
          <t>√</t>
        </is>
      </c>
      <c r="B59" s="1095" t="inlineStr">
        <is>
          <t>G&amp;A</t>
        </is>
      </c>
      <c r="C59" s="1096" t="inlineStr">
        <is>
          <t>Warranty Expense</t>
        </is>
      </c>
      <c r="D59" s="1097" t="n"/>
      <c r="E59" s="1098" t="n"/>
      <c r="F59" s="1099" t="inlineStr">
        <is>
          <t>% Revenue</t>
        </is>
      </c>
      <c r="G59" s="1100" t="n">
        <v>0.0011</v>
      </c>
      <c r="H59" s="1099" t="n"/>
      <c r="I59" s="1099" t="n"/>
      <c r="J59" s="1099" t="n"/>
      <c r="K59" s="1099" t="n"/>
      <c r="L59" s="585" t="n"/>
      <c r="M59" s="1099" t="n"/>
      <c r="N59" s="1099" t="n"/>
      <c r="O59" s="1099" t="n"/>
      <c r="P59" s="1099" t="n"/>
      <c r="Q59" s="1099" t="n"/>
      <c r="R59" s="585" t="n"/>
      <c r="S59" s="1101" t="n">
        <v>0.0011</v>
      </c>
      <c r="T59" s="1102" t="n"/>
      <c r="U59" s="1102" t="n"/>
      <c r="V59" s="1102" t="n"/>
      <c r="W59" s="1102" t="n"/>
      <c r="X59" s="586" t="n"/>
      <c r="Y59" s="1102" t="n"/>
      <c r="Z59" s="1102" t="n"/>
      <c r="AA59" s="1102" t="n"/>
      <c r="AB59" s="1102" t="n"/>
      <c r="AC59" s="1102" t="n"/>
      <c r="AD59" s="586" t="n"/>
      <c r="AE59" s="1101" t="n">
        <v>0.0011</v>
      </c>
      <c r="AF59" s="1102" t="n"/>
      <c r="AG59" s="1102" t="n"/>
      <c r="AH59" s="1102" t="n"/>
      <c r="AI59" s="1102" t="n"/>
      <c r="AJ59" s="586" t="n"/>
      <c r="AK59" s="1102" t="n"/>
      <c r="AL59" s="1102" t="n"/>
      <c r="AM59" s="1102" t="n"/>
      <c r="AN59" s="1102" t="n"/>
      <c r="AO59" s="1102" t="n"/>
      <c r="AP59" s="586" t="n"/>
      <c r="AQ59" s="1101" t="n">
        <v>0.0011</v>
      </c>
      <c r="AR59" s="1102" t="n"/>
      <c r="AS59" s="1102" t="n"/>
      <c r="AT59" s="1102" t="n"/>
      <c r="AU59" s="1102" t="n"/>
      <c r="AV59" s="586" t="n"/>
      <c r="AW59" s="1102" t="n"/>
      <c r="AX59" s="1102" t="n"/>
      <c r="AY59" s="1102" t="n"/>
      <c r="AZ59" s="1102" t="n"/>
      <c r="BA59" s="1102" t="n"/>
      <c r="BB59" s="586" t="n"/>
      <c r="BC59" s="1101" t="n">
        <v>0.0011</v>
      </c>
      <c r="BD59" s="1102" t="n"/>
      <c r="BE59" s="1102" t="n"/>
      <c r="BF59" s="1102" t="n"/>
      <c r="BG59" s="1102" t="n"/>
      <c r="BH59" s="586" t="n"/>
      <c r="BI59" s="1102" t="n"/>
      <c r="BJ59" s="1102" t="n"/>
      <c r="BK59" s="1102" t="n"/>
      <c r="BL59" s="1102" t="n"/>
      <c r="BM59" s="1102" t="n"/>
      <c r="BN59" s="586" t="n"/>
    </row>
    <row r="60" ht="12.75" customHeight="1" s="1883">
      <c r="B60" s="1095" t="n"/>
      <c r="C60" s="1096" t="n"/>
      <c r="D60" s="1097" t="n"/>
      <c r="E60" s="1098" t="n"/>
      <c r="F60" s="1099" t="n"/>
      <c r="G60" s="587">
        <f>+'3F. Revenue &amp; COGS Assumptions'!G65*$G59</f>
        <v/>
      </c>
      <c r="H60" s="587">
        <f>+'3F. Revenue &amp; COGS Assumptions'!H65*$G59</f>
        <v/>
      </c>
      <c r="I60" s="587">
        <f>+'3F. Revenue &amp; COGS Assumptions'!I65*$G59</f>
        <v/>
      </c>
      <c r="J60" s="587">
        <f>+'3F. Revenue &amp; COGS Assumptions'!J65*$G59</f>
        <v/>
      </c>
      <c r="K60" s="587">
        <f>+'3F. Revenue &amp; COGS Assumptions'!K65*$G59</f>
        <v/>
      </c>
      <c r="L60" s="1103">
        <f>+'3F. Revenue &amp; COGS Assumptions'!L65*$G59</f>
        <v/>
      </c>
      <c r="M60" s="587">
        <f>+'3F. Revenue &amp; COGS Assumptions'!M65*$G59</f>
        <v/>
      </c>
      <c r="N60" s="587">
        <f>+'3F. Revenue &amp; COGS Assumptions'!N65*$G59</f>
        <v/>
      </c>
      <c r="O60" s="587">
        <f>+'3F. Revenue &amp; COGS Assumptions'!O65*$G59</f>
        <v/>
      </c>
      <c r="P60" s="587">
        <f>+'3F. Revenue &amp; COGS Assumptions'!P65*$G59</f>
        <v/>
      </c>
      <c r="Q60" s="587">
        <f>+'3F. Revenue &amp; COGS Assumptions'!Q65*$G59</f>
        <v/>
      </c>
      <c r="R60" s="1103">
        <f>+'3F. Revenue &amp; COGS Assumptions'!R65*$G59</f>
        <v/>
      </c>
      <c r="S60" s="587">
        <f>+'3F. Revenue &amp; COGS Assumptions'!S65*$S59</f>
        <v/>
      </c>
      <c r="T60" s="587">
        <f>+'3F. Revenue &amp; COGS Assumptions'!T65*$S59</f>
        <v/>
      </c>
      <c r="U60" s="587">
        <f>+'3F. Revenue &amp; COGS Assumptions'!U65*$S59</f>
        <v/>
      </c>
      <c r="V60" s="587">
        <f>+'3F. Revenue &amp; COGS Assumptions'!V65*$S59</f>
        <v/>
      </c>
      <c r="W60" s="587">
        <f>+'3F. Revenue &amp; COGS Assumptions'!W65*$S59</f>
        <v/>
      </c>
      <c r="X60" s="1103">
        <f>+'3F. Revenue &amp; COGS Assumptions'!X65*$S59</f>
        <v/>
      </c>
      <c r="Y60" s="587">
        <f>+'3F. Revenue &amp; COGS Assumptions'!Y65*$S59</f>
        <v/>
      </c>
      <c r="Z60" s="587">
        <f>+'3F. Revenue &amp; COGS Assumptions'!Z65*$S59</f>
        <v/>
      </c>
      <c r="AA60" s="587">
        <f>+'3F. Revenue &amp; COGS Assumptions'!AA65*$S59</f>
        <v/>
      </c>
      <c r="AB60" s="587">
        <f>+'3F. Revenue &amp; COGS Assumptions'!AB65*$S59</f>
        <v/>
      </c>
      <c r="AC60" s="587">
        <f>+'3F. Revenue &amp; COGS Assumptions'!AC65*$S59</f>
        <v/>
      </c>
      <c r="AD60" s="1103">
        <f>+'3F. Revenue &amp; COGS Assumptions'!AD65*$S59</f>
        <v/>
      </c>
      <c r="AE60" s="587">
        <f>+'3F. Revenue &amp; COGS Assumptions'!AE65*$AE59</f>
        <v/>
      </c>
      <c r="AF60" s="587">
        <f>+'3F. Revenue &amp; COGS Assumptions'!AF65*$AE59</f>
        <v/>
      </c>
      <c r="AG60" s="587">
        <f>+'3F. Revenue &amp; COGS Assumptions'!AG65*$AE59</f>
        <v/>
      </c>
      <c r="AH60" s="587">
        <f>+'3F. Revenue &amp; COGS Assumptions'!AH65*$AE59</f>
        <v/>
      </c>
      <c r="AI60" s="587">
        <f>+'3F. Revenue &amp; COGS Assumptions'!AI65*$AE59</f>
        <v/>
      </c>
      <c r="AJ60" s="1103">
        <f>+'3F. Revenue &amp; COGS Assumptions'!AJ65*$AE59</f>
        <v/>
      </c>
      <c r="AK60" s="587">
        <f>+'3F. Revenue &amp; COGS Assumptions'!AK65*$AE59</f>
        <v/>
      </c>
      <c r="AL60" s="587">
        <f>+'3F. Revenue &amp; COGS Assumptions'!AL65*$AE59</f>
        <v/>
      </c>
      <c r="AM60" s="587">
        <f>+'3F. Revenue &amp; COGS Assumptions'!AM65*$AE59</f>
        <v/>
      </c>
      <c r="AN60" s="587">
        <f>+'3F. Revenue &amp; COGS Assumptions'!AN65*$AE59</f>
        <v/>
      </c>
      <c r="AO60" s="587">
        <f>+'3F. Revenue &amp; COGS Assumptions'!AO65*$AE59</f>
        <v/>
      </c>
      <c r="AP60" s="1103">
        <f>+'3F. Revenue &amp; COGS Assumptions'!AP65*$AE59</f>
        <v/>
      </c>
      <c r="AQ60" s="587">
        <f>+'3F. Revenue &amp; COGS Assumptions'!AQ65*$AQ59</f>
        <v/>
      </c>
      <c r="AR60" s="587">
        <f>+'3F. Revenue &amp; COGS Assumptions'!AR65*$AQ59</f>
        <v/>
      </c>
      <c r="AS60" s="587">
        <f>+'3F. Revenue &amp; COGS Assumptions'!AS65*$AQ59</f>
        <v/>
      </c>
      <c r="AT60" s="587">
        <f>+'3F. Revenue &amp; COGS Assumptions'!AT65*$AQ59</f>
        <v/>
      </c>
      <c r="AU60" s="587">
        <f>+'3F. Revenue &amp; COGS Assumptions'!AU65*$AQ59</f>
        <v/>
      </c>
      <c r="AV60" s="1103">
        <f>+'3F. Revenue &amp; COGS Assumptions'!AV65*$AQ59</f>
        <v/>
      </c>
      <c r="AW60" s="587">
        <f>+'3F. Revenue &amp; COGS Assumptions'!AW65*$AQ59</f>
        <v/>
      </c>
      <c r="AX60" s="587">
        <f>+'3F. Revenue &amp; COGS Assumptions'!AX65*$AQ59</f>
        <v/>
      </c>
      <c r="AY60" s="587">
        <f>+'3F. Revenue &amp; COGS Assumptions'!AY65*$AQ59</f>
        <v/>
      </c>
      <c r="AZ60" s="587">
        <f>+'3F. Revenue &amp; COGS Assumptions'!AZ65*$AQ59</f>
        <v/>
      </c>
      <c r="BA60" s="587">
        <f>+'3F. Revenue &amp; COGS Assumptions'!BA65*$AQ59</f>
        <v/>
      </c>
      <c r="BB60" s="1103">
        <f>+'3F. Revenue &amp; COGS Assumptions'!BB65*$AQ59</f>
        <v/>
      </c>
      <c r="BC60" s="587">
        <f>+'3F. Revenue &amp; COGS Assumptions'!BC65*$BC59</f>
        <v/>
      </c>
      <c r="BD60" s="587">
        <f>+'3F. Revenue &amp; COGS Assumptions'!BD65*$BC59</f>
        <v/>
      </c>
      <c r="BE60" s="587">
        <f>+'3F. Revenue &amp; COGS Assumptions'!BE65*$BC59</f>
        <v/>
      </c>
      <c r="BF60" s="587">
        <f>+'3F. Revenue &amp; COGS Assumptions'!BF65*$BC59</f>
        <v/>
      </c>
      <c r="BG60" s="587">
        <f>+'3F. Revenue &amp; COGS Assumptions'!BG65*$BC59</f>
        <v/>
      </c>
      <c r="BH60" s="1103">
        <f>+'3F. Revenue &amp; COGS Assumptions'!BH65*$BC59</f>
        <v/>
      </c>
      <c r="BI60" s="587">
        <f>+'3F. Revenue &amp; COGS Assumptions'!BI65*$BC59</f>
        <v/>
      </c>
      <c r="BJ60" s="587">
        <f>+'3F. Revenue &amp; COGS Assumptions'!BJ65*$BC59</f>
        <v/>
      </c>
      <c r="BK60" s="587">
        <f>+'3F. Revenue &amp; COGS Assumptions'!BK65*$BC59</f>
        <v/>
      </c>
      <c r="BL60" s="587">
        <f>+'3F. Revenue &amp; COGS Assumptions'!BL65*$BC59</f>
        <v/>
      </c>
      <c r="BM60" s="587">
        <f>+'3F. Revenue &amp; COGS Assumptions'!BM65*$BC59</f>
        <v/>
      </c>
      <c r="BN60" s="1103">
        <f>+'3F. Revenue &amp; COGS Assumptions'!BN65*$BC59</f>
        <v/>
      </c>
    </row>
    <row r="61" ht="12.75" customHeight="1" s="1883">
      <c r="B61" s="672" t="n"/>
      <c r="C61" s="1059" t="n"/>
      <c r="D61" s="1060" t="n"/>
      <c r="E61" s="1061" t="n"/>
      <c r="F61" s="1061" t="n"/>
      <c r="G61" s="1062" t="n"/>
      <c r="H61" s="1062" t="n"/>
      <c r="I61" s="1062" t="n"/>
      <c r="J61" s="1062" t="n"/>
      <c r="K61" s="1062" t="n"/>
      <c r="L61" s="163" t="n"/>
      <c r="M61" s="1062" t="n"/>
      <c r="N61" s="1062" t="n"/>
      <c r="O61" s="1062" t="n"/>
      <c r="P61" s="1062" t="n"/>
      <c r="Q61" s="1062" t="n"/>
      <c r="R61" s="163" t="n"/>
      <c r="S61" s="1062" t="n"/>
      <c r="T61" s="1062" t="n"/>
      <c r="U61" s="1062" t="n"/>
      <c r="V61" s="1062" t="n"/>
      <c r="W61" s="1062" t="n"/>
      <c r="X61" s="163" t="n"/>
      <c r="Y61" s="1062" t="n"/>
      <c r="Z61" s="1062" t="n"/>
      <c r="AA61" s="1062" t="n"/>
      <c r="AB61" s="1062" t="n"/>
      <c r="AC61" s="1062" t="n"/>
      <c r="AD61" s="163" t="n"/>
      <c r="AE61" s="1062" t="n"/>
      <c r="AF61" s="1062" t="n"/>
      <c r="AG61" s="1062" t="n"/>
      <c r="AH61" s="1062" t="n"/>
      <c r="AI61" s="1062" t="n"/>
      <c r="AJ61" s="163" t="n"/>
      <c r="AK61" s="1062" t="n"/>
      <c r="AL61" s="1062" t="n"/>
      <c r="AM61" s="1062" t="n"/>
      <c r="AN61" s="1062" t="n"/>
      <c r="AO61" s="1062" t="n"/>
      <c r="AP61" s="163" t="n"/>
      <c r="AQ61" s="1062" t="n"/>
      <c r="AR61" s="1062" t="n"/>
      <c r="AS61" s="1062" t="n"/>
      <c r="AT61" s="1062" t="n"/>
      <c r="AU61" s="1062" t="n"/>
      <c r="AV61" s="163" t="n"/>
      <c r="AW61" s="1062" t="n"/>
      <c r="AX61" s="1062" t="n"/>
      <c r="AY61" s="1062" t="n"/>
      <c r="AZ61" s="1062" t="n"/>
      <c r="BA61" s="1062" t="n"/>
      <c r="BB61" s="163" t="n"/>
      <c r="BC61" s="1062" t="n"/>
      <c r="BD61" s="1062" t="n"/>
      <c r="BE61" s="1062" t="n"/>
      <c r="BF61" s="1062" t="n"/>
      <c r="BG61" s="1062" t="n"/>
      <c r="BH61" s="163" t="n"/>
      <c r="BI61" s="1062" t="n"/>
      <c r="BJ61" s="1062" t="n"/>
      <c r="BK61" s="1062" t="n"/>
      <c r="BL61" s="1062" t="n"/>
      <c r="BM61" s="1062" t="n"/>
      <c r="BN61" s="163" t="n"/>
    </row>
    <row r="62" ht="12.75" customHeight="1" s="1883">
      <c r="B62" s="672" t="inlineStr">
        <is>
          <t>G&amp;A</t>
        </is>
      </c>
      <c r="C62" s="1918" t="inlineStr">
        <is>
          <t>Customer Service</t>
        </is>
      </c>
      <c r="D62" s="670" t="n"/>
      <c r="E62" s="671" t="n"/>
      <c r="F62" s="1048" t="inlineStr">
        <is>
          <t>% Revenue</t>
        </is>
      </c>
      <c r="G62" s="1072" t="n">
        <v>0.004</v>
      </c>
      <c r="H62" s="1048" t="n"/>
      <c r="I62" s="1048" t="n"/>
      <c r="J62" s="1048" t="n"/>
      <c r="K62" s="1048" t="n"/>
      <c r="L62" s="157" t="n"/>
      <c r="M62" s="1048" t="n"/>
      <c r="N62" s="1048" t="n"/>
      <c r="O62" s="1048" t="n"/>
      <c r="P62" s="1048" t="n"/>
      <c r="Q62" s="1048" t="n"/>
      <c r="R62" s="157" t="n"/>
      <c r="S62" s="1072" t="n">
        <v>0.005</v>
      </c>
      <c r="T62" s="1042" t="n"/>
      <c r="U62" s="1042" t="n"/>
      <c r="V62" s="1042" t="n"/>
      <c r="W62" s="1042" t="n"/>
      <c r="X62" s="156" t="n"/>
      <c r="Y62" s="1042" t="n"/>
      <c r="Z62" s="1042" t="n"/>
      <c r="AA62" s="1042" t="n"/>
      <c r="AB62" s="1042" t="n"/>
      <c r="AC62" s="1042" t="n"/>
      <c r="AD62" s="156" t="n"/>
      <c r="AE62" s="1072" t="n">
        <v>0.005</v>
      </c>
      <c r="AF62" s="1042" t="n"/>
      <c r="AG62" s="1042" t="n"/>
      <c r="AH62" s="1042" t="n"/>
      <c r="AI62" s="1042" t="n"/>
      <c r="AJ62" s="156" t="n"/>
      <c r="AK62" s="1042" t="n"/>
      <c r="AL62" s="1042" t="n"/>
      <c r="AM62" s="1042" t="n"/>
      <c r="AN62" s="1042" t="n"/>
      <c r="AO62" s="1042" t="n"/>
      <c r="AP62" s="156" t="n"/>
      <c r="AQ62" s="1072" t="n">
        <v>0.005</v>
      </c>
      <c r="AR62" s="1042" t="n"/>
      <c r="AS62" s="1042" t="n"/>
      <c r="AT62" s="1042" t="n"/>
      <c r="AU62" s="1042" t="n"/>
      <c r="AV62" s="156" t="n"/>
      <c r="AW62" s="1042" t="n"/>
      <c r="AX62" s="1042" t="n"/>
      <c r="AY62" s="1042" t="n"/>
      <c r="AZ62" s="1042" t="n"/>
      <c r="BA62" s="1042" t="n"/>
      <c r="BB62" s="156" t="n"/>
      <c r="BC62" s="1072" t="n">
        <v>0.005</v>
      </c>
      <c r="BD62" s="1042" t="n"/>
      <c r="BE62" s="1042" t="n"/>
      <c r="BF62" s="1042" t="n"/>
      <c r="BG62" s="1042" t="n"/>
      <c r="BH62" s="156" t="n"/>
      <c r="BI62" s="1042" t="n"/>
      <c r="BJ62" s="1042" t="n"/>
      <c r="BK62" s="1042" t="n"/>
      <c r="BL62" s="1042" t="n"/>
      <c r="BM62" s="1042" t="n"/>
      <c r="BN62" s="156" t="n"/>
    </row>
    <row r="63" ht="12.75" customHeight="1" s="1883">
      <c r="B63" s="672" t="n"/>
      <c r="C63" s="1046" t="n"/>
      <c r="D63" s="670" t="n"/>
      <c r="E63" s="671" t="n"/>
      <c r="F63" s="1041" t="n"/>
      <c r="G63" s="69">
        <f>'3F. Revenue &amp; COGS Assumptions'!G65*$G62</f>
        <v/>
      </c>
      <c r="H63" s="69">
        <f>'3F. Revenue &amp; COGS Assumptions'!H65*$G62</f>
        <v/>
      </c>
      <c r="I63" s="69">
        <f>'3F. Revenue &amp; COGS Assumptions'!I65*$G62</f>
        <v/>
      </c>
      <c r="J63" s="69">
        <f>'3F. Revenue &amp; COGS Assumptions'!J65*$G62</f>
        <v/>
      </c>
      <c r="K63" s="69">
        <f>'3F. Revenue &amp; COGS Assumptions'!K65*$G62</f>
        <v/>
      </c>
      <c r="L63" s="1070">
        <f>'3F. Revenue &amp; COGS Assumptions'!L65*$G62</f>
        <v/>
      </c>
      <c r="M63" s="69">
        <f>'3F. Revenue &amp; COGS Assumptions'!M65*$G62</f>
        <v/>
      </c>
      <c r="N63" s="69">
        <f>'3F. Revenue &amp; COGS Assumptions'!N65*$G62</f>
        <v/>
      </c>
      <c r="O63" s="69">
        <f>'3F. Revenue &amp; COGS Assumptions'!O65*$G62</f>
        <v/>
      </c>
      <c r="P63" s="69">
        <f>'3F. Revenue &amp; COGS Assumptions'!P65*$G62</f>
        <v/>
      </c>
      <c r="Q63" s="69">
        <f>'3F. Revenue &amp; COGS Assumptions'!Q65*$G62</f>
        <v/>
      </c>
      <c r="R63" s="1070">
        <f>'3F. Revenue &amp; COGS Assumptions'!R65*$G62</f>
        <v/>
      </c>
      <c r="S63" s="69">
        <f>'3F. Revenue &amp; COGS Assumptions'!S65*$S62</f>
        <v/>
      </c>
      <c r="T63" s="69">
        <f>'3F. Revenue &amp; COGS Assumptions'!T65*$S62</f>
        <v/>
      </c>
      <c r="U63" s="69">
        <f>'3F. Revenue &amp; COGS Assumptions'!U65*$S62</f>
        <v/>
      </c>
      <c r="V63" s="69">
        <f>'3F. Revenue &amp; COGS Assumptions'!V65*$S62</f>
        <v/>
      </c>
      <c r="W63" s="69">
        <f>'3F. Revenue &amp; COGS Assumptions'!W65*$S62</f>
        <v/>
      </c>
      <c r="X63" s="1070">
        <f>'3F. Revenue &amp; COGS Assumptions'!X65*$S62</f>
        <v/>
      </c>
      <c r="Y63" s="69">
        <f>'3F. Revenue &amp; COGS Assumptions'!Y65*$S62</f>
        <v/>
      </c>
      <c r="Z63" s="69">
        <f>'3F. Revenue &amp; COGS Assumptions'!Z65*$S62</f>
        <v/>
      </c>
      <c r="AA63" s="69">
        <f>'3F. Revenue &amp; COGS Assumptions'!AA65*$S62</f>
        <v/>
      </c>
      <c r="AB63" s="69">
        <f>'3F. Revenue &amp; COGS Assumptions'!AB65*$S62</f>
        <v/>
      </c>
      <c r="AC63" s="69">
        <f>'3F. Revenue &amp; COGS Assumptions'!AC65*$S62</f>
        <v/>
      </c>
      <c r="AD63" s="1070">
        <f>'3F. Revenue &amp; COGS Assumptions'!AD65*$S62</f>
        <v/>
      </c>
      <c r="AE63" s="69">
        <f>'3F. Revenue &amp; COGS Assumptions'!AE65*$AE62</f>
        <v/>
      </c>
      <c r="AF63" s="69">
        <f>'3F. Revenue &amp; COGS Assumptions'!AF65*$AE62</f>
        <v/>
      </c>
      <c r="AG63" s="69">
        <f>'3F. Revenue &amp; COGS Assumptions'!AG65*$AE62</f>
        <v/>
      </c>
      <c r="AH63" s="69">
        <f>'3F. Revenue &amp; COGS Assumptions'!AH65*$AE62</f>
        <v/>
      </c>
      <c r="AI63" s="69">
        <f>'3F. Revenue &amp; COGS Assumptions'!AI65*$AE62</f>
        <v/>
      </c>
      <c r="AJ63" s="1070">
        <f>'3F. Revenue &amp; COGS Assumptions'!AJ65*$AE62</f>
        <v/>
      </c>
      <c r="AK63" s="69">
        <f>'3F. Revenue &amp; COGS Assumptions'!AK65*$AE62</f>
        <v/>
      </c>
      <c r="AL63" s="69">
        <f>'3F. Revenue &amp; COGS Assumptions'!AL65*$AE62</f>
        <v/>
      </c>
      <c r="AM63" s="69">
        <f>'3F. Revenue &amp; COGS Assumptions'!AM65*$AE62</f>
        <v/>
      </c>
      <c r="AN63" s="69">
        <f>'3F. Revenue &amp; COGS Assumptions'!AN65*$AE62</f>
        <v/>
      </c>
      <c r="AO63" s="69">
        <f>'3F. Revenue &amp; COGS Assumptions'!AO65*$AE62</f>
        <v/>
      </c>
      <c r="AP63" s="1070">
        <f>'3F. Revenue &amp; COGS Assumptions'!AP65*$AE62</f>
        <v/>
      </c>
      <c r="AQ63" s="69">
        <f>'3F. Revenue &amp; COGS Assumptions'!AQ65*$AQ62</f>
        <v/>
      </c>
      <c r="AR63" s="69">
        <f>'3F. Revenue &amp; COGS Assumptions'!AR65*$AQ62</f>
        <v/>
      </c>
      <c r="AS63" s="69">
        <f>'3F. Revenue &amp; COGS Assumptions'!AS65*$AQ62</f>
        <v/>
      </c>
      <c r="AT63" s="69">
        <f>'3F. Revenue &amp; COGS Assumptions'!AT65*$AQ62</f>
        <v/>
      </c>
      <c r="AU63" s="69">
        <f>'3F. Revenue &amp; COGS Assumptions'!AU65*$AQ62</f>
        <v/>
      </c>
      <c r="AV63" s="1070">
        <f>'3F. Revenue &amp; COGS Assumptions'!AV65*$AQ62</f>
        <v/>
      </c>
      <c r="AW63" s="69">
        <f>'3F. Revenue &amp; COGS Assumptions'!AW65*$AQ62</f>
        <v/>
      </c>
      <c r="AX63" s="69">
        <f>'3F. Revenue &amp; COGS Assumptions'!AX65*$AQ62</f>
        <v/>
      </c>
      <c r="AY63" s="69">
        <f>'3F. Revenue &amp; COGS Assumptions'!AY65*$AQ62</f>
        <v/>
      </c>
      <c r="AZ63" s="69">
        <f>'3F. Revenue &amp; COGS Assumptions'!AZ65*$AQ62</f>
        <v/>
      </c>
      <c r="BA63" s="69">
        <f>'3F. Revenue &amp; COGS Assumptions'!BA65*$AQ62</f>
        <v/>
      </c>
      <c r="BB63" s="1070">
        <f>'3F. Revenue &amp; COGS Assumptions'!BB65*$AQ62</f>
        <v/>
      </c>
      <c r="BC63" s="69">
        <f>'3F. Revenue &amp; COGS Assumptions'!BC65*$BC62</f>
        <v/>
      </c>
      <c r="BD63" s="69">
        <f>'3F. Revenue &amp; COGS Assumptions'!BD65*$BC62</f>
        <v/>
      </c>
      <c r="BE63" s="69">
        <f>'3F. Revenue &amp; COGS Assumptions'!BE65*$BC62</f>
        <v/>
      </c>
      <c r="BF63" s="69">
        <f>'3F. Revenue &amp; COGS Assumptions'!BF65*$BC62</f>
        <v/>
      </c>
      <c r="BG63" s="69">
        <f>'3F. Revenue &amp; COGS Assumptions'!BG65*$BC62</f>
        <v/>
      </c>
      <c r="BH63" s="1070">
        <f>'3F. Revenue &amp; COGS Assumptions'!BH65*$BC62</f>
        <v/>
      </c>
      <c r="BI63" s="69">
        <f>'3F. Revenue &amp; COGS Assumptions'!BI65*$BC62</f>
        <v/>
      </c>
      <c r="BJ63" s="69">
        <f>'3F. Revenue &amp; COGS Assumptions'!BJ65*$BC62</f>
        <v/>
      </c>
      <c r="BK63" s="69">
        <f>'3F. Revenue &amp; COGS Assumptions'!BK65*$BC62</f>
        <v/>
      </c>
      <c r="BL63" s="69">
        <f>'3F. Revenue &amp; COGS Assumptions'!BL65*$BC62</f>
        <v/>
      </c>
      <c r="BM63" s="69">
        <f>'3F. Revenue &amp; COGS Assumptions'!BM65*$BC62</f>
        <v/>
      </c>
      <c r="BN63" s="1070">
        <f>'3F. Revenue &amp; COGS Assumptions'!BN65*$BC62</f>
        <v/>
      </c>
    </row>
    <row r="64" ht="12.75" customHeight="1" s="1883">
      <c r="B64" s="1104" t="n"/>
      <c r="C64" s="1105" t="n"/>
      <c r="D64" s="1106" t="n"/>
      <c r="E64" s="1107" t="n"/>
      <c r="F64" s="1108" t="n"/>
      <c r="G64" s="1109" t="n"/>
      <c r="H64" s="1109" t="n"/>
      <c r="I64" s="1109" t="n"/>
      <c r="J64" s="1109" t="n"/>
      <c r="K64" s="1109" t="n"/>
      <c r="L64" s="176" t="n"/>
      <c r="M64" s="1109" t="n"/>
      <c r="N64" s="1109" t="n"/>
      <c r="O64" s="1109" t="n"/>
      <c r="P64" s="1109" t="n"/>
      <c r="Q64" s="1109" t="n"/>
      <c r="R64" s="176" t="n"/>
      <c r="S64" s="1109" t="n"/>
      <c r="T64" s="1109" t="n"/>
      <c r="U64" s="1109" t="n"/>
      <c r="V64" s="1109" t="n"/>
      <c r="W64" s="1109" t="n"/>
      <c r="X64" s="176" t="n"/>
      <c r="Y64" s="1109" t="n"/>
      <c r="Z64" s="1109" t="n"/>
      <c r="AA64" s="1109" t="n"/>
      <c r="AB64" s="1109" t="n"/>
      <c r="AC64" s="1109" t="n"/>
      <c r="AD64" s="176" t="n"/>
      <c r="AE64" s="1109" t="n"/>
      <c r="AF64" s="1109" t="n"/>
      <c r="AG64" s="1109" t="n"/>
      <c r="AH64" s="1109" t="n"/>
      <c r="AI64" s="1109" t="n"/>
      <c r="AJ64" s="176" t="n"/>
      <c r="AK64" s="1109" t="n"/>
      <c r="AL64" s="1109" t="n"/>
      <c r="AM64" s="1109" t="n"/>
      <c r="AN64" s="1109" t="n"/>
      <c r="AO64" s="1109" t="n"/>
      <c r="AP64" s="176" t="n"/>
      <c r="AQ64" s="1109" t="n"/>
      <c r="AR64" s="1109" t="n"/>
      <c r="AS64" s="1109" t="n"/>
      <c r="AT64" s="1109" t="n"/>
      <c r="AU64" s="1109" t="n"/>
      <c r="AV64" s="176" t="n"/>
      <c r="AW64" s="1109" t="n"/>
      <c r="AX64" s="1109" t="n"/>
      <c r="AY64" s="1109" t="n"/>
      <c r="AZ64" s="1109" t="n"/>
      <c r="BA64" s="1109" t="n"/>
      <c r="BB64" s="176" t="n"/>
      <c r="BC64" s="1109" t="n"/>
      <c r="BD64" s="1109" t="n"/>
      <c r="BE64" s="1109" t="n"/>
      <c r="BF64" s="1109" t="n"/>
      <c r="BG64" s="1109" t="n"/>
      <c r="BH64" s="176" t="n"/>
      <c r="BI64" s="1109" t="n"/>
      <c r="BJ64" s="1109" t="n"/>
      <c r="BK64" s="1109" t="n"/>
      <c r="BL64" s="1109" t="n"/>
      <c r="BM64" s="1109" t="n"/>
      <c r="BN64" s="176" t="n"/>
    </row>
    <row r="65" ht="12.75" customHeight="1" s="1883">
      <c r="B65" s="55" t="n"/>
      <c r="C65" s="1110" t="n"/>
      <c r="D65" s="1111" t="n"/>
      <c r="E65" s="1112" t="n"/>
      <c r="F65" s="1112" t="n"/>
      <c r="G65" s="1113">
        <f>+G3</f>
        <v/>
      </c>
      <c r="H65" s="1113">
        <f>+H3</f>
        <v/>
      </c>
      <c r="I65" s="1113">
        <f>+I3</f>
        <v/>
      </c>
      <c r="J65" s="1113">
        <f>+J3</f>
        <v/>
      </c>
      <c r="K65" s="1113">
        <f>+K3</f>
        <v/>
      </c>
      <c r="L65" s="177">
        <f>+L3</f>
        <v/>
      </c>
      <c r="M65" s="1113">
        <f>+M3</f>
        <v/>
      </c>
      <c r="N65" s="1113">
        <f>+N3</f>
        <v/>
      </c>
      <c r="O65" s="1113">
        <f>+O3</f>
        <v/>
      </c>
      <c r="P65" s="1113">
        <f>+P3</f>
        <v/>
      </c>
      <c r="Q65" s="1113">
        <f>+Q3</f>
        <v/>
      </c>
      <c r="R65" s="177">
        <f>+R3</f>
        <v/>
      </c>
      <c r="S65" s="1113">
        <f>+S3</f>
        <v/>
      </c>
      <c r="T65" s="1113">
        <f>+T3</f>
        <v/>
      </c>
      <c r="U65" s="1113">
        <f>+U3</f>
        <v/>
      </c>
      <c r="V65" s="1113">
        <f>+V3</f>
        <v/>
      </c>
      <c r="W65" s="1113">
        <f>+W3</f>
        <v/>
      </c>
      <c r="X65" s="177">
        <f>+X3</f>
        <v/>
      </c>
      <c r="Y65" s="1113">
        <f>+Y3</f>
        <v/>
      </c>
      <c r="Z65" s="1113">
        <f>+Z3</f>
        <v/>
      </c>
      <c r="AA65" s="1113">
        <f>+AA3</f>
        <v/>
      </c>
      <c r="AB65" s="1113">
        <f>+AB3</f>
        <v/>
      </c>
      <c r="AC65" s="1113">
        <f>+AC3</f>
        <v/>
      </c>
      <c r="AD65" s="177">
        <f>+AD3</f>
        <v/>
      </c>
      <c r="AE65" s="1113">
        <f>+AE3</f>
        <v/>
      </c>
      <c r="AF65" s="1113">
        <f>+AF3</f>
        <v/>
      </c>
      <c r="AG65" s="1113">
        <f>+AG3</f>
        <v/>
      </c>
      <c r="AH65" s="1113">
        <f>+AH3</f>
        <v/>
      </c>
      <c r="AI65" s="1113">
        <f>+AI3</f>
        <v/>
      </c>
      <c r="AJ65" s="177">
        <f>+AJ3</f>
        <v/>
      </c>
      <c r="AK65" s="1113">
        <f>+AK3</f>
        <v/>
      </c>
      <c r="AL65" s="1113">
        <f>+AL3</f>
        <v/>
      </c>
      <c r="AM65" s="1113">
        <f>+AM3</f>
        <v/>
      </c>
      <c r="AN65" s="1113">
        <f>+AN3</f>
        <v/>
      </c>
      <c r="AO65" s="1113">
        <f>+AO3</f>
        <v/>
      </c>
      <c r="AP65" s="177">
        <f>+AP3</f>
        <v/>
      </c>
      <c r="AQ65" s="1113">
        <f>+AQ3</f>
        <v/>
      </c>
      <c r="AR65" s="1113">
        <f>+AR3</f>
        <v/>
      </c>
      <c r="AS65" s="1113">
        <f>+AS3</f>
        <v/>
      </c>
      <c r="AT65" s="1113">
        <f>+AT3</f>
        <v/>
      </c>
      <c r="AU65" s="1113">
        <f>+AU3</f>
        <v/>
      </c>
      <c r="AV65" s="177">
        <f>+AV3</f>
        <v/>
      </c>
      <c r="AW65" s="1113">
        <f>+AW3</f>
        <v/>
      </c>
      <c r="AX65" s="1113">
        <f>+AX3</f>
        <v/>
      </c>
      <c r="AY65" s="1113">
        <f>+AY3</f>
        <v/>
      </c>
      <c r="AZ65" s="1113">
        <f>+AZ3</f>
        <v/>
      </c>
      <c r="BA65" s="1113">
        <f>+BA3</f>
        <v/>
      </c>
      <c r="BB65" s="177">
        <f>+BB3</f>
        <v/>
      </c>
      <c r="BC65" s="1113">
        <f>+BC3</f>
        <v/>
      </c>
      <c r="BD65" s="1113">
        <f>+BD3</f>
        <v/>
      </c>
      <c r="BE65" s="1113">
        <f>+BE3</f>
        <v/>
      </c>
      <c r="BF65" s="1113">
        <f>+BF3</f>
        <v/>
      </c>
      <c r="BG65" s="1113">
        <f>+BG3</f>
        <v/>
      </c>
      <c r="BH65" s="177">
        <f>+BH3</f>
        <v/>
      </c>
      <c r="BI65" s="1113">
        <f>+BI3</f>
        <v/>
      </c>
      <c r="BJ65" s="1113">
        <f>+BJ3</f>
        <v/>
      </c>
      <c r="BK65" s="1113">
        <f>+BK3</f>
        <v/>
      </c>
      <c r="BL65" s="1113">
        <f>+BL3</f>
        <v/>
      </c>
      <c r="BM65" s="1113">
        <f>+BM3</f>
        <v/>
      </c>
      <c r="BN65" s="177">
        <f>+BN3</f>
        <v/>
      </c>
    </row>
    <row r="66" ht="12.75" customHeight="1" s="1883">
      <c r="B66" s="55" t="inlineStr">
        <is>
          <t>S&amp;M</t>
        </is>
      </c>
      <c r="C66" s="1069" t="inlineStr">
        <is>
          <t>Total Sales &amp; Marketing</t>
        </is>
      </c>
      <c r="D66" s="55" t="n"/>
      <c r="E66" s="57" t="n"/>
      <c r="F66" s="57" t="n"/>
      <c r="G66" s="69">
        <f>+G29+G38+G48</f>
        <v/>
      </c>
      <c r="H66" s="69">
        <f>+H29+H38+H48</f>
        <v/>
      </c>
      <c r="I66" s="69">
        <f>+I29+I38+I48</f>
        <v/>
      </c>
      <c r="J66" s="69">
        <f>+J29+J38+J48</f>
        <v/>
      </c>
      <c r="K66" s="69">
        <f>+K29+K38+K48</f>
        <v/>
      </c>
      <c r="L66" s="1070">
        <f>+L29+L38+L48</f>
        <v/>
      </c>
      <c r="M66" s="69">
        <f>+M29+M38+M48</f>
        <v/>
      </c>
      <c r="N66" s="69">
        <f>+N29+N38+N48</f>
        <v/>
      </c>
      <c r="O66" s="69">
        <f>+O29+O38+O48</f>
        <v/>
      </c>
      <c r="P66" s="69">
        <f>+P29+P38+P48</f>
        <v/>
      </c>
      <c r="Q66" s="69">
        <f>+Q29+Q38+Q48</f>
        <v/>
      </c>
      <c r="R66" s="1070">
        <f>+R29+R38+R48</f>
        <v/>
      </c>
      <c r="S66" s="69">
        <f>+S29+S38+S48</f>
        <v/>
      </c>
      <c r="T66" s="69">
        <f>+T29+T38+T48</f>
        <v/>
      </c>
      <c r="U66" s="69">
        <f>+U29+U38+U48</f>
        <v/>
      </c>
      <c r="V66" s="69">
        <f>+V29+V38+V48</f>
        <v/>
      </c>
      <c r="W66" s="69">
        <f>+W29+W38+W48</f>
        <v/>
      </c>
      <c r="X66" s="1070">
        <f>+X29+X38+X48</f>
        <v/>
      </c>
      <c r="Y66" s="69">
        <f>+Y29+Y38+Y48</f>
        <v/>
      </c>
      <c r="Z66" s="69">
        <f>+Z29+Z38+Z48</f>
        <v/>
      </c>
      <c r="AA66" s="69">
        <f>+AA29+AA38+AA48</f>
        <v/>
      </c>
      <c r="AB66" s="69">
        <f>+AB29+AB38+AB48</f>
        <v/>
      </c>
      <c r="AC66" s="69">
        <f>+AC29+AC38+AC48</f>
        <v/>
      </c>
      <c r="AD66" s="1070">
        <f>+AD29+AD38+AD48</f>
        <v/>
      </c>
      <c r="AE66" s="69">
        <f>+AE29+AE38+AE48</f>
        <v/>
      </c>
      <c r="AF66" s="69">
        <f>+AF29+AF38+AF48</f>
        <v/>
      </c>
      <c r="AG66" s="69">
        <f>+AG29+AG38+AG48</f>
        <v/>
      </c>
      <c r="AH66" s="69">
        <f>+AH29+AH38+AH48</f>
        <v/>
      </c>
      <c r="AI66" s="69">
        <f>+AI29+AI38+AI48</f>
        <v/>
      </c>
      <c r="AJ66" s="1070">
        <f>+AJ29+AJ38+AJ48</f>
        <v/>
      </c>
      <c r="AK66" s="69">
        <f>+AK29+AK38+AK48</f>
        <v/>
      </c>
      <c r="AL66" s="69">
        <f>+AL29+AL38+AL48</f>
        <v/>
      </c>
      <c r="AM66" s="69">
        <f>+AM29+AM38+AM48</f>
        <v/>
      </c>
      <c r="AN66" s="69">
        <f>+AN29+AN38+AN48</f>
        <v/>
      </c>
      <c r="AO66" s="69">
        <f>+AO29+AO38+AO48</f>
        <v/>
      </c>
      <c r="AP66" s="1070">
        <f>+AP29+AP38+AP48</f>
        <v/>
      </c>
      <c r="AQ66" s="69">
        <f>+AQ29+AQ38+AQ48</f>
        <v/>
      </c>
      <c r="AR66" s="69">
        <f>+AR29+AR38+AR48</f>
        <v/>
      </c>
      <c r="AS66" s="69">
        <f>+AS29+AS38+AS48</f>
        <v/>
      </c>
      <c r="AT66" s="69">
        <f>+AT29+AT38+AT48</f>
        <v/>
      </c>
      <c r="AU66" s="69">
        <f>+AU29+AU38+AU48</f>
        <v/>
      </c>
      <c r="AV66" s="1070">
        <f>+AV29+AV38+AV48</f>
        <v/>
      </c>
      <c r="AW66" s="69">
        <f>+AW29+AW38+AW48</f>
        <v/>
      </c>
      <c r="AX66" s="69">
        <f>+AX29+AX38+AX48</f>
        <v/>
      </c>
      <c r="AY66" s="69">
        <f>+AY29+AY38+AY48</f>
        <v/>
      </c>
      <c r="AZ66" s="69">
        <f>+AZ29+AZ38+AZ48</f>
        <v/>
      </c>
      <c r="BA66" s="69">
        <f>+BA29+BA38+BA48</f>
        <v/>
      </c>
      <c r="BB66" s="1070">
        <f>+BB29+BB38+BB48</f>
        <v/>
      </c>
      <c r="BC66" s="69">
        <f>+BC29+BC38+BC48</f>
        <v/>
      </c>
      <c r="BD66" s="69">
        <f>+BD29+BD38+BD48</f>
        <v/>
      </c>
      <c r="BE66" s="69">
        <f>+BE29+BE38+BE48</f>
        <v/>
      </c>
      <c r="BF66" s="69">
        <f>+BF29+BF38+BF48</f>
        <v/>
      </c>
      <c r="BG66" s="69">
        <f>+BG29+BG38+BG48</f>
        <v/>
      </c>
      <c r="BH66" s="1070">
        <f>+BH29+BH38+BH48</f>
        <v/>
      </c>
      <c r="BI66" s="69">
        <f>+BI29+BI38+BI48</f>
        <v/>
      </c>
      <c r="BJ66" s="69">
        <f>+BJ29+BJ38+BJ48</f>
        <v/>
      </c>
      <c r="BK66" s="69">
        <f>+BK29+BK38+BK48</f>
        <v/>
      </c>
      <c r="BL66" s="69">
        <f>+BL29+BL38+BL48</f>
        <v/>
      </c>
      <c r="BM66" s="69">
        <f>+BM29+BM38+BM48</f>
        <v/>
      </c>
      <c r="BN66" s="1070">
        <f>+BN29+BN38+BN48</f>
        <v/>
      </c>
    </row>
    <row r="67" ht="12.75" customHeight="1" s="1883">
      <c r="B67" s="55" t="inlineStr">
        <is>
          <t>R&amp;D</t>
        </is>
      </c>
      <c r="C67" s="1114" t="inlineStr">
        <is>
          <t>Total R&amp;D</t>
        </is>
      </c>
      <c r="D67" s="66" t="n"/>
      <c r="E67" s="67" t="n"/>
      <c r="F67" s="67" t="n"/>
      <c r="G67" s="69">
        <f>+G45</f>
        <v/>
      </c>
      <c r="H67" s="69">
        <f>+H45</f>
        <v/>
      </c>
      <c r="I67" s="69">
        <f>+I45</f>
        <v/>
      </c>
      <c r="J67" s="69">
        <f>+J45</f>
        <v/>
      </c>
      <c r="K67" s="69">
        <f>+K45</f>
        <v/>
      </c>
      <c r="L67" s="1070">
        <f>+L45</f>
        <v/>
      </c>
      <c r="M67" s="69">
        <f>+M45</f>
        <v/>
      </c>
      <c r="N67" s="69">
        <f>+N45</f>
        <v/>
      </c>
      <c r="O67" s="69">
        <f>+O45</f>
        <v/>
      </c>
      <c r="P67" s="69">
        <f>+P45</f>
        <v/>
      </c>
      <c r="Q67" s="69">
        <f>+Q45</f>
        <v/>
      </c>
      <c r="R67" s="1070">
        <f>+R45</f>
        <v/>
      </c>
      <c r="S67" s="69">
        <f>+S45</f>
        <v/>
      </c>
      <c r="T67" s="69">
        <f>+T45</f>
        <v/>
      </c>
      <c r="U67" s="69">
        <f>+U45</f>
        <v/>
      </c>
      <c r="V67" s="69">
        <f>+V45</f>
        <v/>
      </c>
      <c r="W67" s="69">
        <f>+W45</f>
        <v/>
      </c>
      <c r="X67" s="1070">
        <f>+X45</f>
        <v/>
      </c>
      <c r="Y67" s="69">
        <f>+Y45</f>
        <v/>
      </c>
      <c r="Z67" s="69">
        <f>+Z45</f>
        <v/>
      </c>
      <c r="AA67" s="69">
        <f>+AA45</f>
        <v/>
      </c>
      <c r="AB67" s="69">
        <f>+AB45</f>
        <v/>
      </c>
      <c r="AC67" s="69">
        <f>+AC45</f>
        <v/>
      </c>
      <c r="AD67" s="1070">
        <f>+AD45</f>
        <v/>
      </c>
      <c r="AE67" s="69">
        <f>+AE45</f>
        <v/>
      </c>
      <c r="AF67" s="69">
        <f>+AF45</f>
        <v/>
      </c>
      <c r="AG67" s="69">
        <f>+AG45</f>
        <v/>
      </c>
      <c r="AH67" s="69">
        <f>+AH45</f>
        <v/>
      </c>
      <c r="AI67" s="69">
        <f>+AI45</f>
        <v/>
      </c>
      <c r="AJ67" s="1070">
        <f>+AJ45</f>
        <v/>
      </c>
      <c r="AK67" s="69">
        <f>+AK45</f>
        <v/>
      </c>
      <c r="AL67" s="69">
        <f>+AL45</f>
        <v/>
      </c>
      <c r="AM67" s="69">
        <f>+AM45</f>
        <v/>
      </c>
      <c r="AN67" s="69">
        <f>+AN45</f>
        <v/>
      </c>
      <c r="AO67" s="69">
        <f>+AO45</f>
        <v/>
      </c>
      <c r="AP67" s="1070">
        <f>+AP45</f>
        <v/>
      </c>
      <c r="AQ67" s="69">
        <f>+AQ45</f>
        <v/>
      </c>
      <c r="AR67" s="69">
        <f>+AR45</f>
        <v/>
      </c>
      <c r="AS67" s="69">
        <f>+AS45</f>
        <v/>
      </c>
      <c r="AT67" s="69">
        <f>+AT45</f>
        <v/>
      </c>
      <c r="AU67" s="69">
        <f>+AU45</f>
        <v/>
      </c>
      <c r="AV67" s="1070">
        <f>+AV45</f>
        <v/>
      </c>
      <c r="AW67" s="69">
        <f>+AW45</f>
        <v/>
      </c>
      <c r="AX67" s="69">
        <f>+AX45</f>
        <v/>
      </c>
      <c r="AY67" s="69">
        <f>+AY45</f>
        <v/>
      </c>
      <c r="AZ67" s="69">
        <f>+AZ45</f>
        <v/>
      </c>
      <c r="BA67" s="69">
        <f>+BA45</f>
        <v/>
      </c>
      <c r="BB67" s="1070">
        <f>+BB45</f>
        <v/>
      </c>
      <c r="BC67" s="69">
        <f>+BC45</f>
        <v/>
      </c>
      <c r="BD67" s="69">
        <f>+BD45</f>
        <v/>
      </c>
      <c r="BE67" s="69">
        <f>+BE45</f>
        <v/>
      </c>
      <c r="BF67" s="69">
        <f>+BF45</f>
        <v/>
      </c>
      <c r="BG67" s="69">
        <f>+BG45</f>
        <v/>
      </c>
      <c r="BH67" s="1070">
        <f>+BH45</f>
        <v/>
      </c>
      <c r="BI67" s="69">
        <f>+BI45</f>
        <v/>
      </c>
      <c r="BJ67" s="69">
        <f>+BJ45</f>
        <v/>
      </c>
      <c r="BK67" s="69">
        <f>+BK45</f>
        <v/>
      </c>
      <c r="BL67" s="69">
        <f>+BL45</f>
        <v/>
      </c>
      <c r="BM67" s="69">
        <f>+BM45</f>
        <v/>
      </c>
      <c r="BN67" s="1070">
        <f>+BN45</f>
        <v/>
      </c>
    </row>
    <row r="68" ht="12.75" customHeight="1" s="1883">
      <c r="B68" s="55" t="inlineStr">
        <is>
          <t>G&amp;A</t>
        </is>
      </c>
      <c r="C68" s="1069" t="inlineStr">
        <is>
          <t>Total General &amp; Administrative</t>
        </is>
      </c>
      <c r="D68" s="55" t="n"/>
      <c r="E68" s="57" t="n"/>
      <c r="F68" s="57" t="n"/>
      <c r="G68" s="178">
        <f>+G63+G60+G57+G54+G51+G41+G35+G32+G27+G17+G12</f>
        <v/>
      </c>
      <c r="H68" s="178">
        <f>+H63+H60+H57+H54+H51+H41+H35+H32+H27+H17+H12</f>
        <v/>
      </c>
      <c r="I68" s="178">
        <f>+I63+I60+I57+I54+I51+I41+I35+I32+I27+I17+I12</f>
        <v/>
      </c>
      <c r="J68" s="178">
        <f>+J63+J60+J57+J54+J51+J41+J35+J32+J27+J17+J12</f>
        <v/>
      </c>
      <c r="K68" s="178">
        <f>+K63+K60+K57+K54+K51+K41+K35+K32+K27+K17+K12</f>
        <v/>
      </c>
      <c r="L68" s="1115">
        <f>+L63+L60+L57+L54+L51+L41+L35+L32+L27+L17+L12</f>
        <v/>
      </c>
      <c r="M68" s="178">
        <f>+M63+M60+M57+M54+M51+M41+M35+M32+M27+M17+M12</f>
        <v/>
      </c>
      <c r="N68" s="178">
        <f>+N63+N60+N57+N54+N51+N41+N35+N32+N27+N17+N12</f>
        <v/>
      </c>
      <c r="O68" s="178">
        <f>+O63+O60+O57+O54+O51+O41+O35+O32+O27+O17+O12</f>
        <v/>
      </c>
      <c r="P68" s="178">
        <f>+P63+P60+P57+P54+P51+P41+P35+P32+P27+P17+P12</f>
        <v/>
      </c>
      <c r="Q68" s="178">
        <f>+Q63+Q60+Q57+Q54+Q51+Q41+Q35+Q32+Q27+Q17+Q12</f>
        <v/>
      </c>
      <c r="R68" s="1115">
        <f>+R63+R60+R57+R54+R51+R41+R35+R32+R27+R17+R12</f>
        <v/>
      </c>
      <c r="S68" s="178">
        <f>+S63+S60+S57+S54+S51+S41+S35+S32+S27+S17+S12</f>
        <v/>
      </c>
      <c r="T68" s="178">
        <f>+T63+T60+T57+T54+T51+T41+T35+T32+T27+T17+T12</f>
        <v/>
      </c>
      <c r="U68" s="178">
        <f>+U63+U60+U57+U54+U51+U41+U35+U32+U27+U17+U12</f>
        <v/>
      </c>
      <c r="V68" s="178">
        <f>+V63+V60+V57+V54+V51+V41+V35+V32+V27+V17+V12</f>
        <v/>
      </c>
      <c r="W68" s="178">
        <f>+W63+W60+W57+W54+W51+W41+W35+W32+W27+W17+W12</f>
        <v/>
      </c>
      <c r="X68" s="1115">
        <f>+X63+X60+X57+X54+X51+X41+X35+X32+X27+X17+X12</f>
        <v/>
      </c>
      <c r="Y68" s="178">
        <f>+Y63+Y60+Y57+Y54+Y51+Y41+Y35+Y32+Y27+Y17+Y12</f>
        <v/>
      </c>
      <c r="Z68" s="178">
        <f>+Z63+Z60+Z57+Z54+Z51+Z41+Z35+Z32+Z27+Z17+Z12</f>
        <v/>
      </c>
      <c r="AA68" s="178">
        <f>+AA63+AA60+AA57+AA54+AA51+AA41+AA35+AA32+AA27+AA17+AA12</f>
        <v/>
      </c>
      <c r="AB68" s="178">
        <f>+AB63+AB60+AB57+AB54+AB51+AB41+AB35+AB32+AB27+AB17+AB12</f>
        <v/>
      </c>
      <c r="AC68" s="178">
        <f>+AC63+AC60+AC57+AC54+AC51+AC41+AC35+AC32+AC27+AC17+AC12</f>
        <v/>
      </c>
      <c r="AD68" s="1115">
        <f>+AD63+AD60+AD57+AD54+AD51+AD41+AD35+AD32+AD27+AD17+AD12</f>
        <v/>
      </c>
      <c r="AE68" s="178">
        <f>+AE63+AE60+AE57+AE54+AE51+AE41+AE35+AE32+AE27+AE17+AE12</f>
        <v/>
      </c>
      <c r="AF68" s="178">
        <f>+AF63+AF60+AF57+AF54+AF51+AF41+AF35+AF32+AF27+AF17+AF12</f>
        <v/>
      </c>
      <c r="AG68" s="178">
        <f>+AG63+AG60+AG57+AG54+AG51+AG41+AG35+AG32+AG27+AG17+AG12</f>
        <v/>
      </c>
      <c r="AH68" s="178">
        <f>+AH63+AH60+AH57+AH54+AH51+AH41+AH35+AH32+AH27+AH17+AH12</f>
        <v/>
      </c>
      <c r="AI68" s="178">
        <f>+AI63+AI60+AI57+AI54+AI51+AI41+AI35+AI32+AI27+AI17+AI12</f>
        <v/>
      </c>
      <c r="AJ68" s="1115">
        <f>+AJ63+AJ60+AJ57+AJ54+AJ51+AJ41+AJ35+AJ32+AJ27+AJ17+AJ12</f>
        <v/>
      </c>
      <c r="AK68" s="178">
        <f>+AK63+AK60+AK57+AK54+AK51+AK41+AK35+AK32+AK27+AK17+AK12</f>
        <v/>
      </c>
      <c r="AL68" s="178">
        <f>+AL63+AL60+AL57+AL54+AL51+AL41+AL35+AL32+AL27+AL17+AL12</f>
        <v/>
      </c>
      <c r="AM68" s="178">
        <f>+AM63+AM60+AM57+AM54+AM51+AM41+AM35+AM32+AM27+AM17+AM12</f>
        <v/>
      </c>
      <c r="AN68" s="178">
        <f>+AN63+AN60+AN57+AN54+AN51+AN41+AN35+AN32+AN27+AN17+AN12</f>
        <v/>
      </c>
      <c r="AO68" s="178">
        <f>+AO63+AO60+AO57+AO54+AO51+AO41+AO35+AO32+AO27+AO17+AO12</f>
        <v/>
      </c>
      <c r="AP68" s="1115">
        <f>+AP63+AP60+AP57+AP54+AP51+AP41+AP35+AP32+AP27+AP17+AP12</f>
        <v/>
      </c>
      <c r="AQ68" s="178">
        <f>+AQ63+AQ60+AQ57+AQ54+AQ51+AQ41+AQ35+AQ32+AQ27+AQ17+AQ12</f>
        <v/>
      </c>
      <c r="AR68" s="178">
        <f>+AR63+AR60+AR57+AR54+AR51+AR41+AR35+AR32+AR27+AR17+AR12</f>
        <v/>
      </c>
      <c r="AS68" s="178">
        <f>+AS63+AS60+AS57+AS54+AS51+AS41+AS35+AS32+AS27+AS17+AS12</f>
        <v/>
      </c>
      <c r="AT68" s="178">
        <f>+AT63+AT60+AT57+AT54+AT51+AT41+AT35+AT32+AT27+AT17+AT12</f>
        <v/>
      </c>
      <c r="AU68" s="178">
        <f>+AU63+AU60+AU57+AU54+AU51+AU41+AU35+AU32+AU27+AU17+AU12</f>
        <v/>
      </c>
      <c r="AV68" s="1115">
        <f>+AV63+AV60+AV57+AV54+AV51+AV41+AV35+AV32+AV27+AV17+AV12</f>
        <v/>
      </c>
      <c r="AW68" s="178">
        <f>+AW63+AW60+AW57+AW54+AW51+AW41+AW35+AW32+AW27+AW17+AW12</f>
        <v/>
      </c>
      <c r="AX68" s="178">
        <f>+AX63+AX60+AX57+AX54+AX51+AX41+AX35+AX32+AX27+AX17+AX12</f>
        <v/>
      </c>
      <c r="AY68" s="178">
        <f>+AY63+AY60+AY57+AY54+AY51+AY41+AY35+AY32+AY27+AY17+AY12</f>
        <v/>
      </c>
      <c r="AZ68" s="178">
        <f>+AZ63+AZ60+AZ57+AZ54+AZ51+AZ41+AZ35+AZ32+AZ27+AZ17+AZ12</f>
        <v/>
      </c>
      <c r="BA68" s="178">
        <f>+BA63+BA60+BA57+BA54+BA51+BA41+BA35+BA32+BA27+BA17+BA12</f>
        <v/>
      </c>
      <c r="BB68" s="1115">
        <f>+BB63+BB60+BB57+BB54+BB51+BB41+BB35+BB32+BB27+BB17+BB12</f>
        <v/>
      </c>
      <c r="BC68" s="178">
        <f>+BC63+BC60+BC57+BC54+BC51+BC41+BC35+BC32+BC27+BC17+BC12</f>
        <v/>
      </c>
      <c r="BD68" s="178">
        <f>+BD63+BD60+BD57+BD54+BD51+BD41+BD35+BD32+BD27+BD17+BD12</f>
        <v/>
      </c>
      <c r="BE68" s="178">
        <f>+BE63+BE60+BE57+BE54+BE51+BE41+BE35+BE32+BE27+BE17+BE12</f>
        <v/>
      </c>
      <c r="BF68" s="178">
        <f>+BF63+BF60+BF57+BF54+BF51+BF41+BF35+BF32+BF27+BF17+BF12</f>
        <v/>
      </c>
      <c r="BG68" s="178">
        <f>+BG63+BG60+BG57+BG54+BG51+BG41+BG35+BG32+BG27+BG17+BG12</f>
        <v/>
      </c>
      <c r="BH68" s="1115">
        <f>+BH63+BH60+BH57+BH54+BH51+BH41+BH35+BH32+BH27+BH17+BH12</f>
        <v/>
      </c>
      <c r="BI68" s="178">
        <f>+BI63+BI60+BI57+BI54+BI51+BI41+BI35+BI32+BI27+BI17+BI12</f>
        <v/>
      </c>
      <c r="BJ68" s="178">
        <f>+BJ63+BJ60+BJ57+BJ54+BJ51+BJ41+BJ35+BJ32+BJ27+BJ17+BJ12</f>
        <v/>
      </c>
      <c r="BK68" s="178">
        <f>+BK63+BK60+BK57+BK54+BK51+BK41+BK35+BK32+BK27+BK17+BK12</f>
        <v/>
      </c>
      <c r="BL68" s="178">
        <f>+BL63+BL60+BL57+BL54+BL51+BL41+BL35+BL32+BL27+BL17+BL12</f>
        <v/>
      </c>
      <c r="BM68" s="178">
        <f>+BM63+BM60+BM57+BM54+BM51+BM41+BM35+BM32+BM27+BM17+BM12</f>
        <v/>
      </c>
      <c r="BN68" s="1115">
        <f>+BN63+BN60+BN57+BN54+BN51+BN41+BN35+BN32+BN27+BN17+BN12</f>
        <v/>
      </c>
    </row>
    <row r="69" ht="12.75" customHeight="1" s="1883">
      <c r="B69" s="179" t="n"/>
      <c r="C69" s="1116" t="inlineStr">
        <is>
          <t>Monthly Burn Rate</t>
        </is>
      </c>
      <c r="D69" s="1117" t="n"/>
      <c r="E69" s="1118" t="n"/>
      <c r="F69" s="1118" t="n"/>
      <c r="G69" s="1119">
        <f>SUM(G66:G68)</f>
        <v/>
      </c>
      <c r="H69" s="1119">
        <f>SUM(H66:H68)</f>
        <v/>
      </c>
      <c r="I69" s="1119">
        <f>SUM(I66:I68)</f>
        <v/>
      </c>
      <c r="J69" s="1119">
        <f>SUM(J66:J68)</f>
        <v/>
      </c>
      <c r="K69" s="1119">
        <f>SUM(K66:K68)</f>
        <v/>
      </c>
      <c r="L69" s="1119">
        <f>SUM(L66:L68)</f>
        <v/>
      </c>
      <c r="M69" s="1119">
        <f>SUM(M66:M68)</f>
        <v/>
      </c>
      <c r="N69" s="1119">
        <f>SUM(N66:N68)</f>
        <v/>
      </c>
      <c r="O69" s="1119">
        <f>SUM(O66:O68)</f>
        <v/>
      </c>
      <c r="P69" s="1119">
        <f>SUM(P66:P68)</f>
        <v/>
      </c>
      <c r="Q69" s="1119">
        <f>SUM(Q66:Q68)</f>
        <v/>
      </c>
      <c r="R69" s="1119">
        <f>SUM(R66:R68)</f>
        <v/>
      </c>
      <c r="S69" s="1119">
        <f>SUM(S66:S68)</f>
        <v/>
      </c>
      <c r="T69" s="1119">
        <f>SUM(T66:T68)</f>
        <v/>
      </c>
      <c r="U69" s="1119">
        <f>SUM(U66:U68)</f>
        <v/>
      </c>
      <c r="V69" s="1119">
        <f>SUM(V66:V68)</f>
        <v/>
      </c>
      <c r="W69" s="1119">
        <f>SUM(W66:W68)</f>
        <v/>
      </c>
      <c r="X69" s="1119">
        <f>SUM(X66:X68)</f>
        <v/>
      </c>
      <c r="Y69" s="1119">
        <f>SUM(Y66:Y68)</f>
        <v/>
      </c>
      <c r="Z69" s="1119">
        <f>SUM(Z66:Z68)</f>
        <v/>
      </c>
      <c r="AA69" s="1119">
        <f>SUM(AA66:AA68)</f>
        <v/>
      </c>
      <c r="AB69" s="1119">
        <f>SUM(AB66:AB68)</f>
        <v/>
      </c>
      <c r="AC69" s="1119">
        <f>SUM(AC66:AC68)</f>
        <v/>
      </c>
      <c r="AD69" s="1119">
        <f>SUM(AD66:AD68)</f>
        <v/>
      </c>
      <c r="AE69" s="1119">
        <f>SUM(AE66:AE68)</f>
        <v/>
      </c>
      <c r="AF69" s="1119">
        <f>SUM(AF66:AF68)</f>
        <v/>
      </c>
      <c r="AG69" s="1119">
        <f>SUM(AG66:AG68)</f>
        <v/>
      </c>
      <c r="AH69" s="1119">
        <f>SUM(AH66:AH68)</f>
        <v/>
      </c>
      <c r="AI69" s="1119">
        <f>SUM(AI66:AI68)</f>
        <v/>
      </c>
      <c r="AJ69" s="1119">
        <f>SUM(AJ66:AJ68)</f>
        <v/>
      </c>
      <c r="AK69" s="1119">
        <f>SUM(AK66:AK68)</f>
        <v/>
      </c>
      <c r="AL69" s="1119">
        <f>SUM(AL66:AL68)</f>
        <v/>
      </c>
      <c r="AM69" s="1119">
        <f>SUM(AM66:AM68)</f>
        <v/>
      </c>
      <c r="AN69" s="1119">
        <f>SUM(AN66:AN68)</f>
        <v/>
      </c>
      <c r="AO69" s="1119">
        <f>SUM(AO66:AO68)</f>
        <v/>
      </c>
      <c r="AP69" s="1119">
        <f>SUM(AP66:AP68)</f>
        <v/>
      </c>
      <c r="AQ69" s="1119">
        <f>SUM(AQ66:AQ68)</f>
        <v/>
      </c>
      <c r="AR69" s="1119">
        <f>SUM(AR66:AR68)</f>
        <v/>
      </c>
      <c r="AS69" s="1119">
        <f>SUM(AS66:AS68)</f>
        <v/>
      </c>
      <c r="AT69" s="1119">
        <f>SUM(AT66:AT68)</f>
        <v/>
      </c>
      <c r="AU69" s="1119">
        <f>SUM(AU66:AU68)</f>
        <v/>
      </c>
      <c r="AV69" s="1119">
        <f>SUM(AV66:AV68)</f>
        <v/>
      </c>
      <c r="AW69" s="1119">
        <f>SUM(AW66:AW68)</f>
        <v/>
      </c>
      <c r="AX69" s="1119">
        <f>SUM(AX66:AX68)</f>
        <v/>
      </c>
      <c r="AY69" s="1119">
        <f>SUM(AY66:AY68)</f>
        <v/>
      </c>
      <c r="AZ69" s="1119">
        <f>SUM(AZ66:AZ68)</f>
        <v/>
      </c>
      <c r="BA69" s="1119">
        <f>SUM(BA66:BA68)</f>
        <v/>
      </c>
      <c r="BB69" s="1119">
        <f>SUM(BB66:BB68)</f>
        <v/>
      </c>
      <c r="BC69" s="1119">
        <f>SUM(BC66:BC68)</f>
        <v/>
      </c>
      <c r="BD69" s="1119">
        <f>SUM(BD66:BD68)</f>
        <v/>
      </c>
      <c r="BE69" s="1119">
        <f>SUM(BE66:BE68)</f>
        <v/>
      </c>
      <c r="BF69" s="1119">
        <f>SUM(BF66:BF68)</f>
        <v/>
      </c>
      <c r="BG69" s="1119">
        <f>SUM(BG66:BG68)</f>
        <v/>
      </c>
      <c r="BH69" s="1119">
        <f>SUM(BH66:BH68)</f>
        <v/>
      </c>
      <c r="BI69" s="1119">
        <f>SUM(BI66:BI68)</f>
        <v/>
      </c>
      <c r="BJ69" s="1119">
        <f>SUM(BJ66:BJ68)</f>
        <v/>
      </c>
      <c r="BK69" s="1119">
        <f>SUM(BK66:BK68)</f>
        <v/>
      </c>
      <c r="BL69" s="1119">
        <f>SUM(BL66:BL68)</f>
        <v/>
      </c>
      <c r="BM69" s="1119">
        <f>SUM(BM66:BM68)</f>
        <v/>
      </c>
      <c r="BN69" s="1119">
        <f>SUM(BN66:BN68)</f>
        <v/>
      </c>
    </row>
    <row r="70" ht="12.75" customHeight="1" s="1883">
      <c r="B70" s="55" t="n"/>
      <c r="C70" s="1120" t="n"/>
      <c r="D70" s="180" t="n"/>
      <c r="E70" s="181" t="n"/>
      <c r="F70" s="181" t="n"/>
      <c r="G70" s="182" t="n"/>
      <c r="H70" s="182" t="n"/>
      <c r="I70" s="182" t="n"/>
      <c r="J70" s="182" t="n"/>
      <c r="K70" s="182" t="n"/>
      <c r="L70" s="182" t="n"/>
      <c r="M70" s="182" t="n"/>
      <c r="N70" s="182" t="n"/>
      <c r="O70" s="182" t="n"/>
      <c r="P70" s="182" t="n"/>
      <c r="Q70" s="182" t="n"/>
      <c r="R70" s="182" t="n"/>
      <c r="S70" s="182" t="n"/>
      <c r="T70" s="182" t="n"/>
      <c r="U70" s="182" t="n"/>
      <c r="V70" s="182" t="n"/>
      <c r="W70" s="182" t="n"/>
      <c r="X70" s="182" t="n"/>
      <c r="Y70" s="182" t="n"/>
      <c r="Z70" s="182" t="n"/>
      <c r="AA70" s="182" t="n"/>
      <c r="AB70" s="182" t="n"/>
      <c r="AC70" s="182" t="n"/>
      <c r="AD70" s="182" t="n"/>
      <c r="AE70" s="182" t="n"/>
      <c r="AF70" s="182" t="n"/>
      <c r="AG70" s="182" t="n"/>
      <c r="AH70" s="182" t="n"/>
      <c r="AI70" s="182" t="n"/>
      <c r="AJ70" s="182" t="n"/>
      <c r="AK70" s="182" t="n"/>
      <c r="AL70" s="182" t="n"/>
      <c r="AM70" s="182" t="n"/>
      <c r="AN70" s="182" t="n"/>
      <c r="AO70" s="182" t="n"/>
      <c r="AP70" s="182" t="n"/>
      <c r="AQ70" s="182" t="n"/>
      <c r="AR70" s="182" t="n"/>
      <c r="AS70" s="182" t="n"/>
      <c r="AT70" s="182" t="n"/>
      <c r="AU70" s="182" t="n"/>
      <c r="AV70" s="182" t="n"/>
      <c r="AW70" s="182" t="n"/>
      <c r="AX70" s="182" t="n"/>
      <c r="AY70" s="182" t="n"/>
      <c r="AZ70" s="182" t="n"/>
      <c r="BA70" s="182" t="n"/>
      <c r="BB70" s="182" t="n"/>
      <c r="BC70" s="182" t="n"/>
      <c r="BD70" s="182" t="n"/>
      <c r="BE70" s="182" t="n"/>
      <c r="BF70" s="182" t="n"/>
      <c r="BG70" s="182" t="n"/>
      <c r="BH70" s="182" t="n"/>
      <c r="BI70" s="182" t="n"/>
      <c r="BJ70" s="182" t="n"/>
      <c r="BK70" s="182" t="n"/>
      <c r="BL70" s="182" t="n"/>
      <c r="BM70" s="182" t="n"/>
      <c r="BN70" s="182" t="n"/>
    </row>
    <row r="71" ht="11.25" customHeight="1" s="1883">
      <c r="B71" s="2039" t="inlineStr">
        <is>
          <t>S&amp;M</t>
        </is>
      </c>
      <c r="C71" s="1918" t="inlineStr">
        <is>
          <t xml:space="preserve">Total Sales &amp; Marketing Costs Bi-Quarterly </t>
        </is>
      </c>
      <c r="F71" s="184" t="n"/>
      <c r="G71" s="185" t="n"/>
      <c r="H71" s="2040" t="n"/>
      <c r="I71" s="1919" t="inlineStr">
        <is>
          <t>Total Sales &amp; Marketing Costs at 6 Months (FY1)</t>
        </is>
      </c>
      <c r="J71" s="1920" t="n"/>
      <c r="K71" s="1921" t="n"/>
      <c r="L71" s="2041">
        <f>SUM(G66:L66)</f>
        <v/>
      </c>
      <c r="M71" s="2040" t="n"/>
      <c r="N71" s="2040" t="n"/>
      <c r="O71" s="1919" t="inlineStr">
        <is>
          <t>Total Sales &amp; Marketing Costs at End of Year 1</t>
        </is>
      </c>
      <c r="P71" s="1920" t="n"/>
      <c r="Q71" s="1921" t="n"/>
      <c r="R71" s="2042">
        <f>SUM(G66:R66)</f>
        <v/>
      </c>
      <c r="S71" s="2043" t="n"/>
      <c r="T71" s="2043" t="n"/>
      <c r="U71" s="1919" t="inlineStr">
        <is>
          <t>Total Sales &amp; Marketing Costs at 6 Months (FY2)</t>
        </is>
      </c>
      <c r="V71" s="1920" t="n"/>
      <c r="W71" s="1921" t="n"/>
      <c r="X71" s="1123">
        <f>SUM(S66:X66)</f>
        <v/>
      </c>
      <c r="Y71" s="2043" t="n"/>
      <c r="Z71" s="2043" t="n"/>
      <c r="AA71" s="1919" t="inlineStr">
        <is>
          <t>Total Sales &amp; Marketing Costs at End of Year 2</t>
        </is>
      </c>
      <c r="AB71" s="1920" t="n"/>
      <c r="AC71" s="1921" t="n"/>
      <c r="AD71" s="2042">
        <f>SUM(S66:AD66)</f>
        <v/>
      </c>
      <c r="AE71" s="2043" t="n"/>
      <c r="AF71" s="2043" t="n"/>
      <c r="AG71" s="1919" t="inlineStr">
        <is>
          <t>Total Sales &amp; Marketing Costs at 6 Months (FY3)</t>
        </is>
      </c>
      <c r="AH71" s="1920" t="n"/>
      <c r="AI71" s="1921" t="n"/>
      <c r="AJ71" s="1123">
        <f>SUM(AE66:AJ66)</f>
        <v/>
      </c>
      <c r="AK71" s="2043" t="n"/>
      <c r="AL71" s="2043" t="n"/>
      <c r="AM71" s="1919" t="inlineStr">
        <is>
          <t>Total Sales &amp; Marketing Costs at End of Year 3</t>
        </is>
      </c>
      <c r="AN71" s="1920" t="n"/>
      <c r="AO71" s="1921" t="n"/>
      <c r="AP71" s="2042">
        <f>SUM(AE66:AP66)</f>
        <v/>
      </c>
      <c r="AQ71" s="2043" t="n"/>
      <c r="AR71" s="2043" t="n"/>
      <c r="AS71" s="1919" t="inlineStr">
        <is>
          <t>Total Sales &amp; Marketing Costs at 6 Months (FY4)</t>
        </is>
      </c>
      <c r="AT71" s="1920" t="n"/>
      <c r="AU71" s="1921" t="n"/>
      <c r="AV71" s="1123">
        <f>SUM(AQ66:AV66)</f>
        <v/>
      </c>
      <c r="AW71" s="2043" t="n"/>
      <c r="AX71" s="2043" t="n"/>
      <c r="AY71" s="1919" t="inlineStr">
        <is>
          <t>Total Sales &amp; Marketing Costs at End of Year 4</t>
        </is>
      </c>
      <c r="AZ71" s="1920" t="n"/>
      <c r="BA71" s="1921" t="n"/>
      <c r="BB71" s="2042">
        <f>SUM(AQ66:BB66)</f>
        <v/>
      </c>
      <c r="BC71" s="2043" t="n"/>
      <c r="BD71" s="2043" t="n"/>
      <c r="BE71" s="1919" t="inlineStr">
        <is>
          <t>Total Sales &amp; Marketing Costs at 6 Months (FY5)</t>
        </is>
      </c>
      <c r="BF71" s="1920" t="n"/>
      <c r="BG71" s="1921" t="n"/>
      <c r="BH71" s="1123">
        <f>SUM(BC66:BH66)</f>
        <v/>
      </c>
      <c r="BI71" s="2043" t="n"/>
      <c r="BJ71" s="2043" t="n"/>
      <c r="BK71" s="1919" t="inlineStr">
        <is>
          <t>Total Sales &amp; Marketing Costs at End of Year 5</t>
        </is>
      </c>
      <c r="BL71" s="1920" t="n"/>
      <c r="BM71" s="1921" t="n"/>
      <c r="BN71" s="2042">
        <f>SUM(BC66:BN66)</f>
        <v/>
      </c>
    </row>
    <row r="72" ht="11.25" customHeight="1" s="1883">
      <c r="B72" s="2039" t="inlineStr">
        <is>
          <t>R&amp;D</t>
        </is>
      </c>
      <c r="C72" s="1928" t="inlineStr">
        <is>
          <t>Total R&amp;D Costs Bi-Quarterly</t>
        </is>
      </c>
      <c r="F72" s="184" t="n"/>
      <c r="G72" s="185" t="n"/>
      <c r="H72" s="2040" t="n"/>
      <c r="I72" s="1926" t="inlineStr">
        <is>
          <t>Total R&amp;D Costs at 6 Months (FY1)</t>
        </is>
      </c>
      <c r="K72" s="1927" t="n"/>
      <c r="L72" s="2041">
        <f>SUM(G67:L67)</f>
        <v/>
      </c>
      <c r="M72" s="2040" t="n"/>
      <c r="N72" s="2040" t="n"/>
      <c r="O72" s="1926" t="inlineStr">
        <is>
          <t>Total R&amp;D Costs at End of Year 1</t>
        </is>
      </c>
      <c r="Q72" s="1927" t="n"/>
      <c r="R72" s="2042">
        <f>SUM(G67:R67)</f>
        <v/>
      </c>
      <c r="S72" s="2043" t="n"/>
      <c r="T72" s="2043" t="n"/>
      <c r="U72" s="1926" t="inlineStr">
        <is>
          <t>Total R&amp;D Costs at 6 Months (FY2)</t>
        </is>
      </c>
      <c r="W72" s="1927" t="n"/>
      <c r="X72" s="1123">
        <f>SUM(S67:X67)</f>
        <v/>
      </c>
      <c r="Y72" s="2043" t="n"/>
      <c r="Z72" s="2043" t="n"/>
      <c r="AA72" s="1926" t="inlineStr">
        <is>
          <t>Total R&amp;D Costs at End of Year 2</t>
        </is>
      </c>
      <c r="AC72" s="1927" t="n"/>
      <c r="AD72" s="2042">
        <f>SUM(S67:AD67)</f>
        <v/>
      </c>
      <c r="AE72" s="2043" t="n"/>
      <c r="AF72" s="2043" t="n"/>
      <c r="AG72" s="1926" t="inlineStr">
        <is>
          <t>Total R&amp;D Costs at 6 Months (FY3)</t>
        </is>
      </c>
      <c r="AI72" s="1927" t="n"/>
      <c r="AJ72" s="1123">
        <f>SUM(AE67:AJ67)</f>
        <v/>
      </c>
      <c r="AK72" s="2043" t="n"/>
      <c r="AL72" s="2043" t="n"/>
      <c r="AM72" s="1926" t="inlineStr">
        <is>
          <t>Total R&amp;D Costs at End of Year 3</t>
        </is>
      </c>
      <c r="AO72" s="1927" t="n"/>
      <c r="AP72" s="2042">
        <f>SUM(AE67:AP67)</f>
        <v/>
      </c>
      <c r="AQ72" s="2043" t="n"/>
      <c r="AR72" s="2043" t="n"/>
      <c r="AS72" s="1926" t="inlineStr">
        <is>
          <t>Total R&amp;D Costs at 6 Months (FY4)</t>
        </is>
      </c>
      <c r="AU72" s="1927" t="n"/>
      <c r="AV72" s="1123">
        <f>SUM(AQ67:AV67)</f>
        <v/>
      </c>
      <c r="AW72" s="2043" t="n"/>
      <c r="AX72" s="2043" t="n"/>
      <c r="AY72" s="1926" t="inlineStr">
        <is>
          <t>Total R&amp;D Costs at End of Year 4</t>
        </is>
      </c>
      <c r="BA72" s="1927" t="n"/>
      <c r="BB72" s="2042">
        <f>SUM(AQ67:BB67)</f>
        <v/>
      </c>
      <c r="BC72" s="2043" t="n"/>
      <c r="BD72" s="2043" t="n"/>
      <c r="BE72" s="1926" t="inlineStr">
        <is>
          <t>Total R&amp;D Costs at 6 Months (FY5)</t>
        </is>
      </c>
      <c r="BG72" s="1927" t="n"/>
      <c r="BH72" s="1123">
        <f>SUM(BC67:BH67)</f>
        <v/>
      </c>
      <c r="BI72" s="2043" t="n"/>
      <c r="BJ72" s="2043" t="n"/>
      <c r="BK72" s="1926" t="inlineStr">
        <is>
          <t>Total R&amp;D Costs at End of Year 5</t>
        </is>
      </c>
      <c r="BM72" s="1927" t="n"/>
      <c r="BN72" s="2042">
        <f>SUM(BC67:BN67)</f>
        <v/>
      </c>
    </row>
    <row r="73" ht="11.25" customHeight="1" s="1883">
      <c r="B73" s="2039" t="inlineStr">
        <is>
          <t>G&amp;A</t>
        </is>
      </c>
      <c r="C73" s="1918" t="inlineStr">
        <is>
          <t>Total General &amp; Administrative Costs Bi-Quarterly</t>
        </is>
      </c>
      <c r="F73" s="184" t="n"/>
      <c r="G73" s="185" t="n"/>
      <c r="H73" s="2040" t="n"/>
      <c r="I73" s="1923" t="inlineStr">
        <is>
          <t>Total General &amp; Administrative Costs at 6 Months (FY1)</t>
        </is>
      </c>
      <c r="J73" s="1924" t="n"/>
      <c r="K73" s="1925" t="n"/>
      <c r="L73" s="2041">
        <f>SUM(G68:L68)</f>
        <v/>
      </c>
      <c r="M73" s="2040" t="n"/>
      <c r="N73" s="2040" t="n"/>
      <c r="O73" s="1923" t="inlineStr">
        <is>
          <t>Total General &amp; Administrative Costs at End of Year 1</t>
        </is>
      </c>
      <c r="P73" s="1924" t="n"/>
      <c r="Q73" s="1925" t="n"/>
      <c r="R73" s="2042">
        <f>SUM(G68:R68)</f>
        <v/>
      </c>
      <c r="S73" s="2043" t="n"/>
      <c r="T73" s="2043" t="n"/>
      <c r="U73" s="1923" t="inlineStr">
        <is>
          <t>Total General &amp; Administrative Costs at 6 Months (FY2)</t>
        </is>
      </c>
      <c r="V73" s="1924" t="n"/>
      <c r="W73" s="1925" t="n"/>
      <c r="X73" s="1123">
        <f>SUM(S68:X68)</f>
        <v/>
      </c>
      <c r="Y73" s="2043" t="n"/>
      <c r="Z73" s="2043" t="n"/>
      <c r="AA73" s="1923" t="inlineStr">
        <is>
          <t>Total General &amp; Administrative Costs at End of Year 2</t>
        </is>
      </c>
      <c r="AB73" s="1924" t="n"/>
      <c r="AC73" s="1925" t="n"/>
      <c r="AD73" s="2042">
        <f>SUM(S68:AD68)</f>
        <v/>
      </c>
      <c r="AE73" s="2043" t="n"/>
      <c r="AF73" s="2043" t="n"/>
      <c r="AG73" s="1923" t="inlineStr">
        <is>
          <t>Total General &amp; Administrative Costs at 6 Months (FY3)</t>
        </is>
      </c>
      <c r="AH73" s="1924" t="n"/>
      <c r="AI73" s="1925" t="n"/>
      <c r="AJ73" s="1123">
        <f>SUM(AE68:AJ68)</f>
        <v/>
      </c>
      <c r="AK73" s="2043" t="n"/>
      <c r="AL73" s="2043" t="n"/>
      <c r="AM73" s="1923" t="inlineStr">
        <is>
          <t>Total General &amp; Administrative Costs at End of Year 3</t>
        </is>
      </c>
      <c r="AN73" s="1924" t="n"/>
      <c r="AO73" s="1925" t="n"/>
      <c r="AP73" s="2042">
        <f>SUM(AE68:AP68)</f>
        <v/>
      </c>
      <c r="AQ73" s="2043" t="n"/>
      <c r="AR73" s="2043" t="n"/>
      <c r="AS73" s="1923" t="inlineStr">
        <is>
          <t>Total General &amp; Administrative Costs at 6 Months (FY4)</t>
        </is>
      </c>
      <c r="AT73" s="1924" t="n"/>
      <c r="AU73" s="1925" t="n"/>
      <c r="AV73" s="1123">
        <f>SUM(AQ68:AV68)</f>
        <v/>
      </c>
      <c r="AW73" s="2043" t="n"/>
      <c r="AX73" s="2043" t="n"/>
      <c r="AY73" s="1923" t="inlineStr">
        <is>
          <t>Total General &amp; Administrative Costs at End of Year 4</t>
        </is>
      </c>
      <c r="AZ73" s="1924" t="n"/>
      <c r="BA73" s="1925" t="n"/>
      <c r="BB73" s="2042">
        <f>SUM(AQ68:BB68)</f>
        <v/>
      </c>
      <c r="BC73" s="2043" t="n"/>
      <c r="BD73" s="2043" t="n"/>
      <c r="BE73" s="1923" t="inlineStr">
        <is>
          <t>Total General &amp; Administrative Costs at 6 Months (FY5)</t>
        </is>
      </c>
      <c r="BF73" s="1924" t="n"/>
      <c r="BG73" s="1925" t="n"/>
      <c r="BH73" s="1123">
        <f>SUM(BC68:BH68)</f>
        <v/>
      </c>
      <c r="BI73" s="2043" t="n"/>
      <c r="BJ73" s="2043" t="n"/>
      <c r="BK73" s="1923" t="inlineStr">
        <is>
          <t>Total General &amp; Administrative Costs at End of Year 5</t>
        </is>
      </c>
      <c r="BL73" s="1924" t="n"/>
      <c r="BM73" s="1925" t="n"/>
      <c r="BN73" s="2042">
        <f>SUM(BC68:BN68)</f>
        <v/>
      </c>
    </row>
    <row r="74" ht="12.75" customHeight="1" s="1883">
      <c r="B74" s="55" t="n"/>
      <c r="C74" s="1059" t="n"/>
      <c r="D74" s="1124" t="n"/>
      <c r="E74" s="181" t="n"/>
      <c r="F74" s="181" t="n"/>
      <c r="G74" s="182" t="n"/>
      <c r="H74" s="182" t="n"/>
      <c r="I74" s="182" t="n"/>
      <c r="J74" s="182" t="n"/>
      <c r="K74" s="182" t="n"/>
      <c r="L74" s="1125">
        <f>SUM(L71:L73)</f>
        <v/>
      </c>
      <c r="M74" s="182" t="n"/>
      <c r="N74" s="182" t="n"/>
      <c r="O74" s="182" t="n"/>
      <c r="P74" s="182" t="n"/>
      <c r="Q74" s="182" t="n"/>
      <c r="R74" s="1125">
        <f>SUM(R71:R73)</f>
        <v/>
      </c>
      <c r="S74" s="188" t="n"/>
      <c r="T74" s="188" t="n"/>
      <c r="U74" s="188" t="n"/>
      <c r="V74" s="188" t="n"/>
      <c r="W74" s="188" t="n"/>
      <c r="X74" s="1126">
        <f>SUM(X71:X73)</f>
        <v/>
      </c>
      <c r="Y74" s="188" t="n"/>
      <c r="Z74" s="188" t="n"/>
      <c r="AA74" s="188" t="n"/>
      <c r="AB74" s="188" t="n"/>
      <c r="AC74" s="188" t="n"/>
      <c r="AD74" s="2044">
        <f>SUM(AD71:AD73)</f>
        <v/>
      </c>
      <c r="AE74" s="188" t="n"/>
      <c r="AF74" s="188" t="n"/>
      <c r="AG74" s="188" t="n"/>
      <c r="AH74" s="188" t="n"/>
      <c r="AI74" s="188" t="n"/>
      <c r="AJ74" s="1126">
        <f>SUM(AJ71:AJ73)</f>
        <v/>
      </c>
      <c r="AK74" s="188" t="n"/>
      <c r="AL74" s="188" t="n"/>
      <c r="AM74" s="188" t="n"/>
      <c r="AN74" s="188" t="n"/>
      <c r="AO74" s="188" t="n"/>
      <c r="AP74" s="2044">
        <f>SUM(AP71:AP73)</f>
        <v/>
      </c>
      <c r="AQ74" s="188" t="n"/>
      <c r="AR74" s="188" t="n"/>
      <c r="AS74" s="188" t="n"/>
      <c r="AT74" s="188" t="n"/>
      <c r="AU74" s="188" t="n"/>
      <c r="AV74" s="1126">
        <f>SUM(AV71:AV73)</f>
        <v/>
      </c>
      <c r="AW74" s="188" t="n"/>
      <c r="AX74" s="188" t="n"/>
      <c r="AY74" s="188" t="n"/>
      <c r="AZ74" s="188" t="n"/>
      <c r="BA74" s="188" t="n"/>
      <c r="BB74" s="2044">
        <f>SUM(BB71:BB73)</f>
        <v/>
      </c>
      <c r="BC74" s="188" t="n"/>
      <c r="BD74" s="188" t="n"/>
      <c r="BE74" s="188" t="n"/>
      <c r="BF74" s="188" t="n"/>
      <c r="BG74" s="188" t="n"/>
      <c r="BH74" s="1126">
        <f>SUM(BH71:BH73)</f>
        <v/>
      </c>
      <c r="BI74" s="188" t="n"/>
      <c r="BJ74" s="188" t="n"/>
      <c r="BK74" s="188" t="n"/>
      <c r="BL74" s="188" t="n"/>
      <c r="BM74" s="188" t="n"/>
      <c r="BN74" s="2044">
        <f>SUM(BN71:BN73)</f>
        <v/>
      </c>
    </row>
    <row r="75" ht="11.25" customHeight="1" s="1883">
      <c r="B75" s="2039" t="n"/>
      <c r="C75" s="2045" t="inlineStr">
        <is>
          <t>Tax Rate</t>
        </is>
      </c>
      <c r="D75" s="1129" t="n">
        <v>0.34</v>
      </c>
      <c r="E75" s="2046" t="n"/>
      <c r="F75" s="190" t="n"/>
      <c r="H75" s="2047" t="n"/>
      <c r="I75" s="2047" t="n"/>
      <c r="J75" s="2047" t="n"/>
      <c r="K75" s="2047" t="n"/>
      <c r="L75" s="1130" t="n"/>
      <c r="M75" s="2047" t="n"/>
      <c r="N75" s="2047" t="n"/>
      <c r="O75" s="2047" t="n"/>
      <c r="P75" s="2047" t="n"/>
      <c r="Q75" s="2047" t="n"/>
      <c r="R75" s="2048" t="n"/>
      <c r="S75" s="2049" t="n"/>
      <c r="T75" s="2049" t="n"/>
      <c r="U75" s="2049" t="n"/>
      <c r="V75" s="2049" t="n"/>
      <c r="W75" s="2049" t="n"/>
      <c r="X75" s="2050" t="n"/>
      <c r="Y75" s="2049" t="n"/>
      <c r="Z75" s="2049" t="n"/>
      <c r="AA75" s="2049" t="n"/>
      <c r="AB75" s="2049" t="n"/>
      <c r="AC75" s="2049" t="n"/>
      <c r="AD75" s="2050" t="n"/>
      <c r="AE75" s="2049" t="n"/>
      <c r="AF75" s="2049" t="n"/>
      <c r="AG75" s="2049" t="n"/>
      <c r="AH75" s="2049" t="n"/>
      <c r="AI75" s="2049" t="n"/>
      <c r="AJ75" s="2050" t="n"/>
      <c r="AK75" s="2049" t="n"/>
      <c r="AL75" s="2049" t="n"/>
      <c r="AM75" s="2049" t="n"/>
      <c r="AN75" s="2049" t="n"/>
      <c r="AO75" s="2049" t="n"/>
      <c r="AP75" s="2050" t="n"/>
      <c r="AQ75" s="2049" t="n"/>
      <c r="AR75" s="2049" t="n"/>
      <c r="AS75" s="2049" t="n"/>
      <c r="AT75" s="2049" t="n"/>
      <c r="AU75" s="2049" t="n"/>
      <c r="AV75" s="2050" t="n"/>
      <c r="AW75" s="2049" t="n"/>
      <c r="AX75" s="2049" t="n"/>
      <c r="AY75" s="2049" t="n"/>
      <c r="AZ75" s="2049" t="n"/>
      <c r="BA75" s="2049" t="n"/>
      <c r="BB75" s="2050" t="n"/>
      <c r="BC75" s="2049" t="n"/>
      <c r="BD75" s="2049" t="n"/>
      <c r="BE75" s="2049" t="n"/>
      <c r="BF75" s="2049" t="n"/>
      <c r="BG75" s="2049" t="n"/>
      <c r="BH75" s="2050" t="n"/>
      <c r="BI75" s="2049" t="n"/>
      <c r="BJ75" s="2049" t="n"/>
      <c r="BK75" s="2049" t="n"/>
      <c r="BL75" s="2049" t="n"/>
      <c r="BM75" s="2049" t="n"/>
      <c r="BN75" s="2050" t="n"/>
    </row>
    <row r="76" ht="11.25" customHeight="1" s="1883">
      <c r="B76" s="2039" t="n"/>
      <c r="C76" s="2051" t="n"/>
      <c r="D76" s="190" t="n"/>
      <c r="E76" s="2046" t="n"/>
      <c r="F76" s="190" t="n"/>
      <c r="G76" s="2047" t="n"/>
      <c r="H76" s="2047" t="n"/>
      <c r="I76" s="2047" t="n"/>
      <c r="J76" s="2047" t="n"/>
      <c r="K76" s="2047" t="n"/>
      <c r="L76" s="1130" t="n"/>
      <c r="M76" s="2047" t="n"/>
      <c r="N76" s="2047" t="n"/>
      <c r="O76" s="2047" t="n"/>
      <c r="P76" s="2047" t="n"/>
      <c r="Q76" s="2047" t="n"/>
      <c r="R76" s="2048" t="n"/>
      <c r="S76" s="2049" t="n"/>
      <c r="T76" s="2049" t="n"/>
      <c r="U76" s="2049" t="n"/>
      <c r="V76" s="2049" t="n"/>
      <c r="W76" s="2049" t="n"/>
      <c r="X76" s="2050" t="n"/>
      <c r="Y76" s="2049" t="n"/>
      <c r="Z76" s="2049" t="n"/>
      <c r="AA76" s="2049" t="n"/>
      <c r="AB76" s="2049" t="n"/>
      <c r="AC76" s="2049" t="n"/>
      <c r="AD76" s="2050" t="n"/>
      <c r="AE76" s="2049" t="n"/>
      <c r="AF76" s="2049" t="n"/>
      <c r="AG76" s="2049" t="n"/>
      <c r="AH76" s="2049" t="n"/>
      <c r="AI76" s="2049" t="n"/>
      <c r="AJ76" s="2050" t="n"/>
      <c r="AK76" s="2049" t="n"/>
      <c r="AL76" s="2049" t="n"/>
      <c r="AM76" s="2049" t="n"/>
      <c r="AN76" s="2049" t="n"/>
      <c r="AO76" s="2049" t="n"/>
      <c r="AP76" s="2050" t="n"/>
      <c r="AQ76" s="2049" t="n"/>
      <c r="AR76" s="2049" t="n"/>
      <c r="AS76" s="2049" t="n"/>
      <c r="AT76" s="2049" t="n"/>
      <c r="AU76" s="2049" t="n"/>
      <c r="AV76" s="2050" t="n"/>
      <c r="AW76" s="2049" t="n"/>
      <c r="AX76" s="2049" t="n"/>
      <c r="AY76" s="2049" t="n"/>
      <c r="AZ76" s="2049" t="n"/>
      <c r="BA76" s="2049" t="n"/>
      <c r="BB76" s="2050" t="n"/>
      <c r="BC76" s="2049" t="n"/>
      <c r="BD76" s="2049" t="n"/>
      <c r="BE76" s="2049" t="n"/>
      <c r="BF76" s="2049" t="n"/>
      <c r="BG76" s="2049" t="n"/>
      <c r="BH76" s="2050" t="n"/>
      <c r="BI76" s="2049" t="n"/>
      <c r="BJ76" s="2049" t="n"/>
      <c r="BK76" s="2049" t="n"/>
      <c r="BL76" s="2049" t="n"/>
      <c r="BM76" s="2049" t="n"/>
      <c r="BN76" s="2050" t="n"/>
    </row>
    <row r="77" ht="12.75" customHeight="1" s="1883">
      <c r="B77" s="55" t="n"/>
      <c r="C77" s="1134" t="inlineStr">
        <is>
          <t>Balance Sheet Assumptions</t>
        </is>
      </c>
      <c r="D77" s="1135" t="n"/>
      <c r="E77" s="1135" t="n"/>
      <c r="F77" s="1136" t="n"/>
      <c r="G77" s="1137" t="n"/>
      <c r="H77" s="1137" t="n"/>
      <c r="I77" s="1137" t="n"/>
      <c r="J77" s="194" t="n"/>
      <c r="K77" s="194" t="n"/>
      <c r="L77" s="193" t="n"/>
      <c r="M77" s="194" t="n"/>
      <c r="N77" s="194" t="n"/>
      <c r="O77" s="194" t="n"/>
      <c r="P77" s="194" t="n"/>
      <c r="Q77" s="194" t="n"/>
      <c r="R77" s="193" t="n"/>
      <c r="S77" s="194" t="n"/>
      <c r="T77" s="194" t="n"/>
      <c r="U77" s="194" t="n"/>
      <c r="V77" s="194" t="n"/>
      <c r="W77" s="194" t="n"/>
      <c r="X77" s="193" t="n"/>
      <c r="Y77" s="194" t="n"/>
      <c r="Z77" s="194" t="n"/>
      <c r="AA77" s="194" t="n"/>
      <c r="AB77" s="194" t="n"/>
      <c r="AC77" s="194" t="n"/>
      <c r="AD77" s="193" t="n"/>
      <c r="AE77" s="194" t="n"/>
      <c r="AF77" s="194" t="n"/>
      <c r="AG77" s="194" t="n"/>
      <c r="AH77" s="194" t="n"/>
      <c r="AI77" s="194" t="n"/>
      <c r="AJ77" s="193" t="n"/>
      <c r="AK77" s="194" t="n"/>
      <c r="AL77" s="194" t="n"/>
      <c r="AM77" s="194" t="n"/>
      <c r="AN77" s="194" t="n"/>
      <c r="AO77" s="194" t="n"/>
      <c r="AP77" s="193" t="n"/>
      <c r="AQ77" s="194" t="n"/>
      <c r="AR77" s="194" t="n"/>
      <c r="AS77" s="194" t="n"/>
      <c r="AT77" s="194" t="n"/>
      <c r="AU77" s="194" t="n"/>
      <c r="AV77" s="193" t="n"/>
      <c r="AW77" s="194" t="n"/>
      <c r="AX77" s="194" t="n"/>
      <c r="AY77" s="194" t="n"/>
      <c r="AZ77" s="194" t="n"/>
      <c r="BA77" s="194" t="n"/>
      <c r="BB77" s="193" t="n"/>
      <c r="BC77" s="194" t="n"/>
      <c r="BD77" s="194" t="n"/>
      <c r="BE77" s="194" t="n"/>
      <c r="BF77" s="194" t="n"/>
      <c r="BG77" s="194" t="n"/>
      <c r="BH77" s="193" t="n"/>
      <c r="BI77" s="193" t="n"/>
      <c r="BJ77" s="193" t="n"/>
      <c r="BK77" s="193" t="n"/>
      <c r="BL77" s="193" t="n"/>
      <c r="BM77" s="193" t="n"/>
      <c r="BN77" s="193" t="n"/>
    </row>
    <row r="78" ht="12.75" customHeight="1" s="1883">
      <c r="B78" s="55" t="n"/>
      <c r="C78" s="1038" t="n"/>
      <c r="D78" s="55" t="n"/>
      <c r="E78" s="57" t="n"/>
      <c r="F78" s="57" t="n"/>
      <c r="G78" s="59" t="n"/>
      <c r="H78" s="59" t="n"/>
      <c r="I78" s="59" t="n"/>
      <c r="J78" s="59" t="n"/>
      <c r="K78" s="59" t="n"/>
      <c r="L78" s="1039" t="n"/>
      <c r="M78" s="59" t="n"/>
      <c r="N78" s="59" t="n"/>
      <c r="O78" s="59" t="n"/>
      <c r="P78" s="59" t="n"/>
      <c r="Q78" s="59" t="n"/>
      <c r="R78" s="1039" t="n"/>
      <c r="S78" s="59" t="n"/>
      <c r="T78" s="59" t="n"/>
      <c r="U78" s="59" t="n"/>
      <c r="V78" s="59" t="n"/>
      <c r="W78" s="59" t="n"/>
      <c r="X78" s="1039" t="n"/>
      <c r="Y78" s="59" t="n"/>
      <c r="Z78" s="59" t="n"/>
      <c r="AA78" s="59" t="n"/>
      <c r="AB78" s="59" t="n"/>
      <c r="AC78" s="59" t="n"/>
      <c r="AD78" s="1039" t="n"/>
      <c r="AE78" s="59" t="n"/>
      <c r="AF78" s="59" t="n"/>
      <c r="AG78" s="59" t="n"/>
      <c r="AH78" s="59" t="n"/>
      <c r="AI78" s="59" t="n"/>
      <c r="AJ78" s="1039" t="n"/>
      <c r="AK78" s="59" t="n"/>
      <c r="AL78" s="59" t="n"/>
      <c r="AM78" s="59" t="n"/>
      <c r="AN78" s="59" t="n"/>
      <c r="AO78" s="59" t="n"/>
      <c r="AP78" s="1039" t="n"/>
      <c r="AQ78" s="59" t="n"/>
      <c r="AR78" s="59" t="n"/>
      <c r="AS78" s="59" t="n"/>
      <c r="AT78" s="59" t="n"/>
      <c r="AU78" s="59" t="n"/>
      <c r="AV78" s="1039" t="n"/>
      <c r="AW78" s="59" t="n"/>
      <c r="AX78" s="59" t="n"/>
      <c r="AY78" s="59" t="n"/>
      <c r="AZ78" s="59" t="n"/>
      <c r="BA78" s="59" t="n"/>
      <c r="BB78" s="1039" t="n"/>
      <c r="BC78" s="59" t="n"/>
      <c r="BD78" s="59" t="n"/>
      <c r="BE78" s="59" t="n"/>
      <c r="BF78" s="59" t="n"/>
      <c r="BG78" s="59" t="n"/>
      <c r="BH78" s="1039" t="n"/>
      <c r="BI78" s="59" t="n"/>
      <c r="BJ78" s="59" t="n"/>
      <c r="BK78" s="59" t="n"/>
      <c r="BL78" s="59" t="n"/>
      <c r="BM78" s="59" t="n"/>
      <c r="BN78" s="1039" t="n"/>
    </row>
    <row r="79" ht="12.75" customHeight="1" s="1883">
      <c r="B79" s="56" t="n"/>
      <c r="C79" s="1114" t="inlineStr">
        <is>
          <t>Inventory</t>
        </is>
      </c>
      <c r="D79" s="55" t="n"/>
      <c r="E79" s="57" t="n"/>
      <c r="F79" s="57" t="n"/>
      <c r="G79" s="59" t="n"/>
      <c r="H79" s="59" t="n"/>
      <c r="I79" s="59" t="n"/>
      <c r="J79" s="59" t="n"/>
      <c r="K79" s="59" t="n"/>
      <c r="L79" s="1039" t="n"/>
      <c r="M79" s="59" t="n"/>
      <c r="N79" s="59" t="n"/>
      <c r="O79" s="59" t="n"/>
      <c r="P79" s="59" t="n"/>
      <c r="Q79" s="59" t="n"/>
      <c r="R79" s="1039" t="n"/>
      <c r="S79" s="59" t="n"/>
      <c r="T79" s="59" t="n"/>
      <c r="U79" s="59" t="n"/>
      <c r="V79" s="59" t="n"/>
      <c r="W79" s="59" t="n"/>
      <c r="X79" s="1039" t="n"/>
      <c r="Y79" s="59" t="n"/>
      <c r="Z79" s="59" t="n"/>
      <c r="AA79" s="59" t="n"/>
      <c r="AB79" s="59" t="n"/>
      <c r="AC79" s="59" t="n"/>
      <c r="AD79" s="1039" t="n"/>
      <c r="AE79" s="59" t="n"/>
      <c r="AF79" s="59" t="n"/>
      <c r="AG79" s="59" t="n"/>
      <c r="AH79" s="59" t="n"/>
      <c r="AI79" s="59" t="n"/>
      <c r="AJ79" s="1039" t="n"/>
      <c r="AK79" s="59" t="n"/>
      <c r="AL79" s="59" t="n"/>
      <c r="AM79" s="59" t="n"/>
      <c r="AN79" s="59" t="n"/>
      <c r="AO79" s="59" t="n"/>
      <c r="AP79" s="1039" t="n"/>
      <c r="AQ79" s="59" t="n"/>
      <c r="AR79" s="59" t="n"/>
      <c r="AS79" s="59" t="n"/>
      <c r="AT79" s="59" t="n"/>
      <c r="AU79" s="59" t="n"/>
      <c r="AV79" s="1039" t="n"/>
      <c r="AW79" s="59" t="n"/>
      <c r="AX79" s="59" t="n"/>
      <c r="AY79" s="59" t="n"/>
      <c r="AZ79" s="59" t="n"/>
      <c r="BA79" s="59" t="n"/>
      <c r="BB79" s="1039" t="n"/>
      <c r="BC79" s="59" t="n"/>
      <c r="BD79" s="59" t="n"/>
      <c r="BE79" s="59" t="n"/>
      <c r="BF79" s="59" t="n"/>
      <c r="BG79" s="59" t="n"/>
      <c r="BH79" s="1039" t="n"/>
      <c r="BI79" s="59" t="n"/>
      <c r="BJ79" s="59" t="n"/>
      <c r="BK79" s="59" t="n"/>
      <c r="BL79" s="59" t="n"/>
      <c r="BM79" s="59" t="n"/>
      <c r="BN79" s="1039" t="n"/>
    </row>
    <row r="80" ht="12.75" customHeight="1" s="1883">
      <c r="B80" s="56" t="n"/>
      <c r="C80" s="1038" t="n"/>
      <c r="D80" s="55" t="n"/>
      <c r="E80" s="57" t="n"/>
      <c r="F80" s="57" t="n"/>
      <c r="G80" s="59" t="n"/>
      <c r="H80" s="59" t="n"/>
      <c r="I80" s="59" t="n"/>
      <c r="J80" s="59" t="n"/>
      <c r="K80" s="59" t="n"/>
      <c r="L80" s="1039" t="n"/>
      <c r="M80" s="59" t="n"/>
      <c r="N80" s="59" t="n"/>
      <c r="O80" s="59" t="n"/>
      <c r="P80" s="59" t="n"/>
      <c r="Q80" s="59" t="n"/>
      <c r="R80" s="1039" t="n"/>
      <c r="S80" s="59" t="n"/>
      <c r="T80" s="59" t="n"/>
      <c r="U80" s="59" t="n"/>
      <c r="V80" s="59" t="n"/>
      <c r="W80" s="59" t="n"/>
      <c r="X80" s="1039" t="n"/>
      <c r="Y80" s="59" t="n"/>
      <c r="Z80" s="59" t="n"/>
      <c r="AA80" s="59" t="n"/>
      <c r="AB80" s="59" t="n"/>
      <c r="AC80" s="59" t="n"/>
      <c r="AD80" s="1039" t="n"/>
      <c r="AE80" s="59" t="n"/>
      <c r="AF80" s="59" t="n"/>
      <c r="AG80" s="59" t="n"/>
      <c r="AH80" s="59" t="n"/>
      <c r="AI80" s="59" t="n"/>
      <c r="AJ80" s="1039" t="n"/>
      <c r="AK80" s="59" t="n"/>
      <c r="AL80" s="59" t="n"/>
      <c r="AM80" s="59" t="n"/>
      <c r="AN80" s="59" t="n"/>
      <c r="AO80" s="59" t="n"/>
      <c r="AP80" s="1039" t="n"/>
      <c r="AQ80" s="59" t="n"/>
      <c r="AR80" s="59" t="n"/>
      <c r="AS80" s="59" t="n"/>
      <c r="AT80" s="59" t="n"/>
      <c r="AU80" s="59" t="n"/>
      <c r="AV80" s="1039" t="n"/>
      <c r="AW80" s="59" t="n"/>
      <c r="AX80" s="59" t="n"/>
      <c r="AY80" s="59" t="n"/>
      <c r="AZ80" s="59" t="n"/>
      <c r="BA80" s="59" t="n"/>
      <c r="BB80" s="1039" t="n"/>
      <c r="BC80" s="59" t="n"/>
      <c r="BD80" s="59" t="n"/>
      <c r="BE80" s="59" t="n"/>
      <c r="BF80" s="59" t="n"/>
      <c r="BG80" s="59" t="n"/>
      <c r="BH80" s="1039" t="n"/>
      <c r="BI80" s="59" t="n"/>
      <c r="BJ80" s="59" t="n"/>
      <c r="BK80" s="59" t="n"/>
      <c r="BL80" s="59" t="n"/>
      <c r="BM80" s="59" t="n"/>
      <c r="BN80" s="1039" t="n"/>
    </row>
    <row r="81" ht="12.75" customHeight="1" s="1883">
      <c r="C81" s="1038" t="inlineStr">
        <is>
          <t>Manufacturing Lead Time</t>
        </is>
      </c>
      <c r="D81" s="56">
        <f>+'6B. Pre-Launch Exps. - Detail'!C139</f>
        <v/>
      </c>
      <c r="E81" s="59" t="inlineStr">
        <is>
          <t>days</t>
        </is>
      </c>
      <c r="F81" s="57" t="n"/>
      <c r="G81" s="59" t="n"/>
      <c r="H81" s="59" t="n"/>
      <c r="I81" s="59" t="n"/>
      <c r="J81" s="59" t="n"/>
      <c r="K81" s="59" t="n"/>
      <c r="L81" s="1039" t="n"/>
      <c r="M81" s="59" t="n"/>
      <c r="N81" s="59" t="n"/>
      <c r="O81" s="59" t="n"/>
      <c r="P81" s="59" t="n"/>
      <c r="Q81" s="59" t="n"/>
      <c r="R81" s="1039" t="n"/>
      <c r="S81" s="59" t="n"/>
      <c r="T81" s="59" t="n"/>
      <c r="U81" s="59" t="n"/>
      <c r="V81" s="59" t="n"/>
      <c r="W81" s="59" t="n"/>
      <c r="X81" s="1039" t="n"/>
      <c r="Y81" s="59" t="n"/>
      <c r="Z81" s="59" t="n"/>
      <c r="AA81" s="59" t="n"/>
      <c r="AB81" s="59" t="n"/>
      <c r="AC81" s="59" t="n"/>
      <c r="AD81" s="1039" t="n"/>
      <c r="AE81" s="59" t="n"/>
      <c r="AF81" s="59" t="n"/>
      <c r="AG81" s="59" t="n"/>
      <c r="AH81" s="59" t="n"/>
      <c r="AI81" s="59" t="n"/>
      <c r="AJ81" s="1039" t="n"/>
      <c r="AK81" s="59" t="n"/>
      <c r="AL81" s="59" t="n"/>
      <c r="AM81" s="59" t="n"/>
      <c r="AN81" s="59" t="n"/>
      <c r="AO81" s="59" t="n"/>
      <c r="AP81" s="1039" t="n"/>
      <c r="AQ81" s="59" t="n"/>
      <c r="AR81" s="59" t="n"/>
      <c r="AS81" s="59" t="n"/>
      <c r="AT81" s="59" t="n"/>
      <c r="AU81" s="59" t="n"/>
      <c r="AV81" s="1039" t="n"/>
      <c r="AW81" s="59" t="n"/>
      <c r="AX81" s="59" t="n"/>
      <c r="AY81" s="59" t="n"/>
      <c r="AZ81" s="59" t="n"/>
      <c r="BA81" s="59" t="n"/>
      <c r="BB81" s="1039" t="n"/>
      <c r="BC81" s="59" t="n"/>
      <c r="BD81" s="59" t="n"/>
      <c r="BE81" s="59" t="n"/>
      <c r="BF81" s="59" t="n"/>
      <c r="BG81" s="59" t="n"/>
      <c r="BH81" s="1039" t="n"/>
      <c r="BI81" s="59" t="n"/>
      <c r="BJ81" s="59" t="n"/>
      <c r="BK81" s="59" t="n"/>
      <c r="BL81" s="59" t="n"/>
      <c r="BM81" s="59" t="n"/>
      <c r="BN81" s="1039" t="n"/>
    </row>
    <row r="82" ht="12.75" customHeight="1" s="1883">
      <c r="C82" s="1038" t="inlineStr">
        <is>
          <t>Cost -  Phone</t>
        </is>
      </c>
      <c r="D82" s="195">
        <f>+'6B. Pre-Launch Exps. - Detail'!C140</f>
        <v/>
      </c>
      <c r="E82" s="85" t="inlineStr">
        <is>
          <t>/unit (incl shipping)</t>
        </is>
      </c>
      <c r="F82" s="57" t="n"/>
      <c r="G82" s="59" t="n"/>
      <c r="H82" s="59" t="n"/>
      <c r="I82" s="59" t="n"/>
      <c r="J82" s="59" t="n"/>
      <c r="K82" s="59" t="n"/>
      <c r="L82" s="1039" t="n"/>
      <c r="M82" s="59" t="n"/>
      <c r="N82" s="59" t="n"/>
      <c r="O82" s="59" t="n"/>
      <c r="P82" s="59" t="n"/>
      <c r="Q82" s="59" t="n"/>
      <c r="R82" s="1039" t="n"/>
      <c r="S82" s="59" t="n"/>
      <c r="T82" s="59" t="n"/>
      <c r="U82" s="59" t="n"/>
      <c r="V82" s="59" t="n"/>
      <c r="W82" s="59" t="n"/>
      <c r="X82" s="1039" t="n"/>
      <c r="Y82" s="59" t="n"/>
      <c r="Z82" s="59" t="n"/>
      <c r="AA82" s="59" t="n"/>
      <c r="AB82" s="59" t="n"/>
      <c r="AC82" s="59" t="n"/>
      <c r="AD82" s="1039" t="n"/>
      <c r="AE82" s="59" t="n"/>
      <c r="AF82" s="59" t="n"/>
      <c r="AG82" s="59" t="n"/>
      <c r="AH82" s="59" t="n"/>
      <c r="AI82" s="59" t="n"/>
      <c r="AJ82" s="1039" t="n"/>
      <c r="AK82" s="59" t="n"/>
      <c r="AL82" s="59" t="n"/>
      <c r="AM82" s="59" t="n"/>
      <c r="AN82" s="59" t="n"/>
      <c r="AO82" s="59" t="n"/>
      <c r="AP82" s="1039" t="n"/>
      <c r="AQ82" s="59" t="n"/>
      <c r="AR82" s="59" t="n"/>
      <c r="AS82" s="59" t="n"/>
      <c r="AT82" s="59" t="n"/>
      <c r="AU82" s="59" t="n"/>
      <c r="AV82" s="1039" t="n"/>
      <c r="AW82" s="59" t="n"/>
      <c r="AX82" s="59" t="n"/>
      <c r="AY82" s="59" t="n"/>
      <c r="AZ82" s="59" t="n"/>
      <c r="BA82" s="59" t="n"/>
      <c r="BB82" s="1039" t="n"/>
      <c r="BC82" s="59" t="n"/>
      <c r="BD82" s="59" t="n"/>
      <c r="BE82" s="59" t="n"/>
      <c r="BF82" s="59" t="n"/>
      <c r="BG82" s="59" t="n"/>
      <c r="BH82" s="1039" t="n"/>
      <c r="BI82" s="59" t="n"/>
      <c r="BJ82" s="59" t="n"/>
      <c r="BK82" s="59" t="n"/>
      <c r="BL82" s="59" t="n"/>
      <c r="BM82" s="59" t="n"/>
      <c r="BN82" s="1039" t="n"/>
    </row>
    <row r="83" ht="12.75" customHeight="1" s="1883">
      <c r="C83" s="1038" t="inlineStr">
        <is>
          <t>Cost - Companion App</t>
        </is>
      </c>
      <c r="D83" s="195">
        <f>+'6B. Pre-Launch Exps. - Detail'!C141</f>
        <v/>
      </c>
      <c r="E83" s="85" t="inlineStr">
        <is>
          <t>/unit (incl shipping)</t>
        </is>
      </c>
      <c r="F83" s="57" t="n"/>
      <c r="G83" s="59" t="n"/>
      <c r="H83" s="59" t="n"/>
      <c r="I83" s="59" t="n"/>
      <c r="J83" s="59" t="n"/>
      <c r="K83" s="59" t="n"/>
      <c r="L83" s="1039" t="n"/>
      <c r="M83" s="59" t="n"/>
      <c r="N83" s="59" t="n"/>
      <c r="O83" s="59" t="n"/>
      <c r="P83" s="59" t="n"/>
      <c r="Q83" s="59" t="n"/>
      <c r="R83" s="1039" t="n"/>
      <c r="S83" s="59" t="n"/>
      <c r="T83" s="59" t="n"/>
      <c r="U83" s="59" t="n"/>
      <c r="V83" s="59" t="n"/>
      <c r="W83" s="59" t="n"/>
      <c r="X83" s="1039" t="n"/>
      <c r="Y83" s="59" t="n"/>
      <c r="Z83" s="59" t="n"/>
      <c r="AA83" s="59" t="n"/>
      <c r="AB83" s="59" t="n"/>
      <c r="AC83" s="59" t="n"/>
      <c r="AD83" s="1039" t="n"/>
      <c r="AE83" s="59" t="n"/>
      <c r="AF83" s="59" t="n"/>
      <c r="AG83" s="59" t="n"/>
      <c r="AH83" s="59" t="n"/>
      <c r="AI83" s="59" t="n"/>
      <c r="AJ83" s="1039" t="n"/>
      <c r="AK83" s="59" t="n"/>
      <c r="AL83" s="59" t="n"/>
      <c r="AM83" s="59" t="n"/>
      <c r="AN83" s="59" t="n"/>
      <c r="AO83" s="59" t="n"/>
      <c r="AP83" s="1039" t="n"/>
      <c r="AQ83" s="59" t="n"/>
      <c r="AR83" s="59" t="n"/>
      <c r="AS83" s="59" t="n"/>
      <c r="AT83" s="59" t="n"/>
      <c r="AU83" s="59" t="n"/>
      <c r="AV83" s="1039" t="n"/>
      <c r="AW83" s="59" t="n"/>
      <c r="AX83" s="59" t="n"/>
      <c r="AY83" s="59" t="n"/>
      <c r="AZ83" s="59" t="n"/>
      <c r="BA83" s="59" t="n"/>
      <c r="BB83" s="1039" t="n"/>
      <c r="BC83" s="59" t="n"/>
      <c r="BD83" s="59" t="n"/>
      <c r="BE83" s="59" t="n"/>
      <c r="BF83" s="59" t="n"/>
      <c r="BG83" s="59" t="n"/>
      <c r="BH83" s="1039" t="n"/>
      <c r="BI83" s="59" t="n"/>
      <c r="BJ83" s="59" t="n"/>
      <c r="BK83" s="59" t="n"/>
      <c r="BL83" s="59" t="n"/>
      <c r="BM83" s="59" t="n"/>
      <c r="BN83" s="1039" t="n"/>
    </row>
    <row r="84" ht="12.75" customHeight="1" s="1883">
      <c r="C84" s="1038" t="inlineStr">
        <is>
          <t>Cost - Computer App</t>
        </is>
      </c>
      <c r="D84" s="195">
        <f>+'6B. Pre-Launch Exps. - Detail'!C142</f>
        <v/>
      </c>
      <c r="E84" s="85" t="inlineStr">
        <is>
          <t>/unit (incl shipping)</t>
        </is>
      </c>
      <c r="F84" s="57" t="n"/>
      <c r="G84" s="59" t="n"/>
      <c r="H84" s="59" t="n"/>
      <c r="I84" s="59" t="n"/>
      <c r="J84" s="59" t="n"/>
      <c r="K84" s="59" t="n"/>
      <c r="L84" s="1039" t="n"/>
      <c r="M84" s="59" t="n"/>
      <c r="N84" s="59" t="n"/>
      <c r="O84" s="59" t="n"/>
      <c r="P84" s="59" t="n"/>
      <c r="Q84" s="59" t="n"/>
      <c r="R84" s="1039" t="n"/>
      <c r="S84" s="59" t="n"/>
      <c r="T84" s="59" t="n"/>
      <c r="U84" s="59" t="n"/>
      <c r="V84" s="59" t="n"/>
      <c r="W84" s="59" t="n"/>
      <c r="X84" s="1039" t="n"/>
      <c r="Y84" s="59" t="n"/>
      <c r="Z84" s="59" t="n"/>
      <c r="AA84" s="59" t="n"/>
      <c r="AB84" s="59" t="n"/>
      <c r="AC84" s="59" t="n"/>
      <c r="AD84" s="1039" t="n"/>
      <c r="AE84" s="59" t="n"/>
      <c r="AF84" s="59" t="n"/>
      <c r="AG84" s="59" t="n"/>
      <c r="AH84" s="59" t="n"/>
      <c r="AI84" s="59" t="n"/>
      <c r="AJ84" s="1039" t="n"/>
      <c r="AK84" s="59" t="n"/>
      <c r="AL84" s="59" t="n"/>
      <c r="AM84" s="59" t="n"/>
      <c r="AN84" s="59" t="n"/>
      <c r="AO84" s="59" t="n"/>
      <c r="AP84" s="1039" t="n"/>
      <c r="AQ84" s="59" t="n"/>
      <c r="AR84" s="59" t="n"/>
      <c r="AS84" s="59" t="n"/>
      <c r="AT84" s="59" t="n"/>
      <c r="AU84" s="59" t="n"/>
      <c r="AV84" s="1039" t="n"/>
      <c r="AW84" s="59" t="n"/>
      <c r="AX84" s="59" t="n"/>
      <c r="AY84" s="59" t="n"/>
      <c r="AZ84" s="59" t="n"/>
      <c r="BA84" s="59" t="n"/>
      <c r="BB84" s="1039" t="n"/>
      <c r="BC84" s="59" t="n"/>
      <c r="BD84" s="59" t="n"/>
      <c r="BE84" s="59" t="n"/>
      <c r="BF84" s="59" t="n"/>
      <c r="BG84" s="59" t="n"/>
      <c r="BH84" s="1039" t="n"/>
      <c r="BI84" s="59" t="n"/>
      <c r="BJ84" s="59" t="n"/>
      <c r="BK84" s="59" t="n"/>
      <c r="BL84" s="59" t="n"/>
      <c r="BM84" s="59" t="n"/>
      <c r="BN84" s="1039" t="n"/>
    </row>
    <row r="85" ht="12.75" customHeight="1" s="1883">
      <c r="C85" s="1038" t="inlineStr">
        <is>
          <t>Deposit</t>
        </is>
      </c>
      <c r="D85" s="86">
        <f>+'6B. Pre-Launch Exps. - Detail'!C143</f>
        <v/>
      </c>
      <c r="E85" s="85" t="inlineStr">
        <is>
          <t>on Order</t>
        </is>
      </c>
      <c r="F85" s="57" t="n"/>
      <c r="G85" s="59" t="n"/>
      <c r="H85" s="59" t="n"/>
      <c r="I85" s="59" t="n"/>
      <c r="J85" s="59" t="n"/>
      <c r="K85" s="59" t="n"/>
      <c r="L85" s="1039" t="n"/>
      <c r="M85" s="59" t="n"/>
      <c r="N85" s="59" t="n"/>
      <c r="O85" s="59" t="n"/>
      <c r="P85" s="59" t="n"/>
      <c r="Q85" s="59" t="n"/>
      <c r="R85" s="1039" t="n"/>
      <c r="S85" s="59" t="n"/>
      <c r="T85" s="59" t="n"/>
      <c r="U85" s="59" t="n"/>
      <c r="V85" s="59" t="n"/>
      <c r="W85" s="59" t="n"/>
      <c r="X85" s="1039" t="n"/>
      <c r="Y85" s="59" t="n"/>
      <c r="Z85" s="59" t="n"/>
      <c r="AA85" s="59" t="n"/>
      <c r="AB85" s="59" t="n"/>
      <c r="AC85" s="59" t="n"/>
      <c r="AD85" s="1039" t="n"/>
      <c r="AE85" s="59" t="n"/>
      <c r="AF85" s="59" t="n"/>
      <c r="AG85" s="59" t="n"/>
      <c r="AH85" s="59" t="n"/>
      <c r="AI85" s="59" t="n"/>
      <c r="AJ85" s="1039" t="n"/>
      <c r="AK85" s="59" t="n"/>
      <c r="AL85" s="59" t="n"/>
      <c r="AM85" s="59" t="n"/>
      <c r="AN85" s="59" t="n"/>
      <c r="AO85" s="59" t="n"/>
      <c r="AP85" s="1039" t="n"/>
      <c r="AQ85" s="59" t="n"/>
      <c r="AR85" s="59" t="n"/>
      <c r="AS85" s="59" t="n"/>
      <c r="AT85" s="59" t="n"/>
      <c r="AU85" s="59" t="n"/>
      <c r="AV85" s="1039" t="n"/>
      <c r="AW85" s="59" t="n"/>
      <c r="AX85" s="59" t="n"/>
      <c r="AY85" s="59" t="n"/>
      <c r="AZ85" s="59" t="n"/>
      <c r="BA85" s="59" t="n"/>
      <c r="BB85" s="1039" t="n"/>
      <c r="BC85" s="59" t="n"/>
      <c r="BD85" s="59" t="n"/>
      <c r="BE85" s="59" t="n"/>
      <c r="BF85" s="59" t="n"/>
      <c r="BG85" s="59" t="n"/>
      <c r="BH85" s="1039" t="n"/>
      <c r="BI85" s="59" t="n"/>
      <c r="BJ85" s="59" t="n"/>
      <c r="BK85" s="59" t="n"/>
      <c r="BL85" s="59" t="n"/>
      <c r="BM85" s="59" t="n"/>
      <c r="BN85" s="1039" t="n"/>
    </row>
    <row r="86" ht="12.75" customHeight="1" s="1883">
      <c r="C86" s="1038" t="inlineStr">
        <is>
          <t>Final Payment</t>
        </is>
      </c>
      <c r="D86" s="86">
        <f>+'6B. Pre-Launch Exps. - Detail'!C144</f>
        <v/>
      </c>
      <c r="E86" s="85" t="inlineStr">
        <is>
          <t>on Delivery</t>
        </is>
      </c>
      <c r="F86" s="57" t="n"/>
      <c r="G86" s="59" t="n"/>
      <c r="H86" s="59" t="n"/>
      <c r="I86" s="59" t="n"/>
      <c r="J86" s="59" t="n"/>
      <c r="K86" s="59" t="n"/>
      <c r="L86" s="1039" t="n"/>
      <c r="M86" s="59" t="n"/>
      <c r="N86" s="59" t="n"/>
      <c r="O86" s="59" t="n"/>
      <c r="P86" s="59" t="n"/>
      <c r="Q86" s="59" t="n"/>
      <c r="R86" s="1039" t="n"/>
      <c r="S86" s="59" t="n"/>
      <c r="T86" s="59" t="n"/>
      <c r="U86" s="59" t="n"/>
      <c r="V86" s="59" t="n"/>
      <c r="W86" s="59" t="n"/>
      <c r="X86" s="1039" t="n"/>
      <c r="Y86" s="59" t="n"/>
      <c r="Z86" s="59" t="n"/>
      <c r="AA86" s="59" t="n"/>
      <c r="AB86" s="59" t="n"/>
      <c r="AC86" s="59" t="n"/>
      <c r="AD86" s="1039" t="n"/>
      <c r="AE86" s="59" t="n"/>
      <c r="AF86" s="59" t="n"/>
      <c r="AG86" s="59" t="n"/>
      <c r="AH86" s="59" t="n"/>
      <c r="AI86" s="59" t="n"/>
      <c r="AJ86" s="1039" t="n"/>
      <c r="AK86" s="59" t="n"/>
      <c r="AL86" s="59" t="n"/>
      <c r="AM86" s="59" t="n"/>
      <c r="AN86" s="59" t="n"/>
      <c r="AO86" s="59" t="n"/>
      <c r="AP86" s="1039" t="n"/>
      <c r="AQ86" s="59" t="n"/>
      <c r="AR86" s="59" t="n"/>
      <c r="AS86" s="59" t="n"/>
      <c r="AT86" s="59" t="n"/>
      <c r="AU86" s="59" t="n"/>
      <c r="AV86" s="1039" t="n"/>
      <c r="AW86" s="59" t="n"/>
      <c r="AX86" s="59" t="n"/>
      <c r="AY86" s="59" t="n"/>
      <c r="AZ86" s="59" t="n"/>
      <c r="BA86" s="59" t="n"/>
      <c r="BB86" s="1039" t="n"/>
      <c r="BC86" s="59" t="n"/>
      <c r="BD86" s="59" t="n"/>
      <c r="BE86" s="59" t="n"/>
      <c r="BF86" s="59" t="n"/>
      <c r="BG86" s="59" t="n"/>
      <c r="BH86" s="1039" t="n"/>
      <c r="BI86" s="59" t="n"/>
      <c r="BJ86" s="59" t="n"/>
      <c r="BK86" s="59" t="n"/>
      <c r="BL86" s="59" t="n"/>
      <c r="BM86" s="59" t="n"/>
      <c r="BN86" s="1039" t="n"/>
    </row>
    <row r="87" ht="12.75" customHeight="1" s="1883">
      <c r="C87" s="1038" t="inlineStr">
        <is>
          <t>Time from Order to Delivery</t>
        </is>
      </c>
      <c r="D87" s="56">
        <f>+'6B. Pre-Launch Exps. - Detail'!C145</f>
        <v/>
      </c>
      <c r="E87" s="59" t="inlineStr">
        <is>
          <t>days</t>
        </is>
      </c>
      <c r="F87" s="57" t="n"/>
      <c r="G87" s="59" t="n"/>
      <c r="H87" s="59" t="n"/>
      <c r="I87" s="59" t="n"/>
      <c r="J87" s="59" t="n"/>
      <c r="K87" s="59" t="n"/>
      <c r="L87" s="1039" t="n"/>
      <c r="M87" s="59" t="n"/>
      <c r="N87" s="59" t="n"/>
      <c r="O87" s="59" t="n"/>
      <c r="P87" s="59" t="n"/>
      <c r="Q87" s="59" t="n"/>
      <c r="R87" s="1039" t="n"/>
      <c r="S87" s="59" t="n"/>
      <c r="T87" s="59" t="n"/>
      <c r="U87" s="59" t="n"/>
      <c r="V87" s="59" t="n"/>
      <c r="W87" s="59" t="n"/>
      <c r="X87" s="1039" t="n"/>
      <c r="Y87" s="59" t="n"/>
      <c r="Z87" s="59" t="n"/>
      <c r="AA87" s="59" t="n"/>
      <c r="AB87" s="59" t="n"/>
      <c r="AC87" s="59" t="n"/>
      <c r="AD87" s="1039" t="n"/>
      <c r="AE87" s="59" t="n"/>
      <c r="AF87" s="59" t="n"/>
      <c r="AG87" s="59" t="n"/>
      <c r="AH87" s="59" t="n"/>
      <c r="AI87" s="59" t="n"/>
      <c r="AJ87" s="1039" t="n"/>
      <c r="AK87" s="59" t="n"/>
      <c r="AL87" s="59" t="n"/>
      <c r="AM87" s="59" t="n"/>
      <c r="AN87" s="59" t="n"/>
      <c r="AO87" s="59" t="n"/>
      <c r="AP87" s="1039" t="n"/>
      <c r="AQ87" s="59" t="n"/>
      <c r="AR87" s="59" t="n"/>
      <c r="AS87" s="59" t="n"/>
      <c r="AT87" s="59" t="n"/>
      <c r="AU87" s="59" t="n"/>
      <c r="AV87" s="1039" t="n"/>
      <c r="AW87" s="59" t="n"/>
      <c r="AX87" s="59" t="n"/>
      <c r="AY87" s="59" t="n"/>
      <c r="AZ87" s="59" t="n"/>
      <c r="BA87" s="59" t="n"/>
      <c r="BB87" s="1039" t="n"/>
      <c r="BC87" s="59" t="n"/>
      <c r="BD87" s="59" t="n"/>
      <c r="BE87" s="59" t="n"/>
      <c r="BF87" s="59" t="n"/>
      <c r="BG87" s="59" t="n"/>
      <c r="BH87" s="1039" t="n"/>
      <c r="BI87" s="59" t="n"/>
      <c r="BJ87" s="59" t="n"/>
      <c r="BK87" s="59" t="n"/>
      <c r="BL87" s="59" t="n"/>
      <c r="BM87" s="59" t="n"/>
      <c r="BN87" s="1039" t="n"/>
    </row>
    <row r="88" ht="12.75" customHeight="1" s="1883">
      <c r="C88" s="1038" t="inlineStr">
        <is>
          <t>% over unit sales for warranty</t>
        </is>
      </c>
      <c r="D88" s="86">
        <f>+'6B. Pre-Launch Exps. - Detail'!C146</f>
        <v/>
      </c>
      <c r="E88" s="57" t="n"/>
      <c r="F88" s="57" t="n"/>
      <c r="G88" s="59" t="n"/>
      <c r="H88" s="59" t="n"/>
      <c r="I88" s="59" t="n"/>
      <c r="J88" s="59" t="n"/>
      <c r="K88" s="59" t="n"/>
      <c r="L88" s="1039" t="n"/>
      <c r="M88" s="59" t="n"/>
      <c r="N88" s="59" t="n"/>
      <c r="O88" s="59" t="n"/>
      <c r="P88" s="59" t="n"/>
      <c r="Q88" s="59" t="n"/>
      <c r="R88" s="1039" t="n"/>
      <c r="S88" s="59" t="n"/>
      <c r="T88" s="59" t="n"/>
      <c r="U88" s="59" t="n"/>
      <c r="V88" s="59" t="n"/>
      <c r="W88" s="59" t="n"/>
      <c r="X88" s="1039" t="n"/>
      <c r="Y88" s="59" t="n"/>
      <c r="Z88" s="59" t="n"/>
      <c r="AA88" s="59" t="n"/>
      <c r="AB88" s="59" t="n"/>
      <c r="AC88" s="59" t="n"/>
      <c r="AD88" s="1039" t="n"/>
      <c r="AE88" s="59" t="n"/>
      <c r="AF88" s="59" t="n"/>
      <c r="AG88" s="59" t="n"/>
      <c r="AH88" s="59" t="n"/>
      <c r="AI88" s="59" t="n"/>
      <c r="AJ88" s="1039" t="n"/>
      <c r="AK88" s="59" t="n"/>
      <c r="AL88" s="59" t="n"/>
      <c r="AM88" s="59" t="n"/>
      <c r="AN88" s="59" t="n"/>
      <c r="AO88" s="59" t="n"/>
      <c r="AP88" s="1039" t="n"/>
      <c r="AQ88" s="59" t="n"/>
      <c r="AR88" s="59" t="n"/>
      <c r="AS88" s="59" t="n"/>
      <c r="AT88" s="59" t="n"/>
      <c r="AU88" s="59" t="n"/>
      <c r="AV88" s="1039" t="n"/>
      <c r="AW88" s="59" t="n"/>
      <c r="AX88" s="59" t="n"/>
      <c r="AY88" s="59" t="n"/>
      <c r="AZ88" s="59" t="n"/>
      <c r="BA88" s="59" t="n"/>
      <c r="BB88" s="1039" t="n"/>
      <c r="BC88" s="59" t="n"/>
      <c r="BD88" s="59" t="n"/>
      <c r="BE88" s="59" t="n"/>
      <c r="BF88" s="59" t="n"/>
      <c r="BG88" s="59" t="n"/>
      <c r="BH88" s="1039" t="n"/>
      <c r="BI88" s="59" t="n"/>
      <c r="BJ88" s="59" t="n"/>
      <c r="BK88" s="59" t="n"/>
      <c r="BL88" s="59" t="n"/>
      <c r="BM88" s="59" t="n"/>
      <c r="BN88" s="1039" t="n"/>
    </row>
    <row r="89" ht="12.75" customHeight="1" s="1883">
      <c r="C89" s="1038" t="inlineStr">
        <is>
          <t>Days Inventory</t>
        </is>
      </c>
      <c r="D89" s="56">
        <f>+'6B. Pre-Launch Exps. - Detail'!C147</f>
        <v/>
      </c>
      <c r="E89" s="59" t="inlineStr">
        <is>
          <t>days</t>
        </is>
      </c>
      <c r="F89" s="57" t="n"/>
      <c r="G89" s="59" t="n"/>
      <c r="H89" s="59" t="n"/>
      <c r="I89" s="59" t="n"/>
      <c r="J89" s="59" t="n"/>
      <c r="K89" s="59" t="n"/>
      <c r="L89" s="1039" t="n"/>
      <c r="M89" s="59" t="n"/>
      <c r="N89" s="59" t="n"/>
      <c r="O89" s="59" t="n"/>
      <c r="P89" s="59" t="n"/>
      <c r="Q89" s="59" t="n"/>
      <c r="R89" s="1039" t="n"/>
      <c r="S89" s="59" t="n"/>
      <c r="T89" s="59" t="n"/>
      <c r="U89" s="59" t="n"/>
      <c r="V89" s="59" t="n"/>
      <c r="W89" s="59" t="n"/>
      <c r="X89" s="1039" t="n"/>
      <c r="Y89" s="59" t="n"/>
      <c r="Z89" s="59" t="n"/>
      <c r="AA89" s="59" t="n"/>
      <c r="AB89" s="59" t="n"/>
      <c r="AC89" s="59" t="n"/>
      <c r="AD89" s="1039" t="n"/>
      <c r="AE89" s="59" t="n"/>
      <c r="AF89" s="59" t="n"/>
      <c r="AG89" s="59" t="n"/>
      <c r="AH89" s="59" t="n"/>
      <c r="AI89" s="59" t="n"/>
      <c r="AJ89" s="1039" t="n"/>
      <c r="AK89" s="59" t="n"/>
      <c r="AL89" s="59" t="n"/>
      <c r="AM89" s="59" t="n"/>
      <c r="AN89" s="59" t="n"/>
      <c r="AO89" s="59" t="n"/>
      <c r="AP89" s="1039" t="n"/>
      <c r="AQ89" s="59" t="n"/>
      <c r="AR89" s="59" t="n"/>
      <c r="AS89" s="59" t="n"/>
      <c r="AT89" s="59" t="n"/>
      <c r="AU89" s="59" t="n"/>
      <c r="AV89" s="1039" t="n"/>
      <c r="AW89" s="59" t="n"/>
      <c r="AX89" s="59" t="n"/>
      <c r="AY89" s="59" t="n"/>
      <c r="AZ89" s="59" t="n"/>
      <c r="BA89" s="59" t="n"/>
      <c r="BB89" s="1039" t="n"/>
      <c r="BC89" s="59" t="n"/>
      <c r="BD89" s="59" t="n"/>
      <c r="BE89" s="59" t="n"/>
      <c r="BF89" s="59" t="n"/>
      <c r="BG89" s="59" t="n"/>
      <c r="BH89" s="1039" t="n"/>
      <c r="BI89" s="59" t="n"/>
      <c r="BJ89" s="59" t="n"/>
      <c r="BK89" s="59" t="n"/>
      <c r="BL89" s="59" t="n"/>
      <c r="BM89" s="59" t="n"/>
      <c r="BN89" s="1039" t="n"/>
    </row>
    <row r="90" ht="12.75" customHeight="1" s="1883">
      <c r="C90" s="1138" t="n"/>
      <c r="D90" s="1124" t="n"/>
      <c r="E90" s="1139" t="n"/>
      <c r="F90" s="1139" t="n"/>
      <c r="G90" s="1063" t="n"/>
      <c r="H90" s="1063" t="n"/>
      <c r="I90" s="1063" t="n"/>
      <c r="J90" s="1063" t="n"/>
      <c r="K90" s="1063" t="n"/>
      <c r="L90" s="164" t="n"/>
      <c r="M90" s="1063" t="n"/>
      <c r="N90" s="1063" t="n"/>
      <c r="O90" s="1063" t="n"/>
      <c r="P90" s="1063" t="n"/>
      <c r="Q90" s="1063" t="n"/>
      <c r="R90" s="164" t="n"/>
      <c r="S90" s="59" t="n"/>
      <c r="T90" s="59" t="n"/>
      <c r="U90" s="59" t="n"/>
      <c r="V90" s="59" t="n"/>
      <c r="W90" s="59" t="n"/>
      <c r="X90" s="1039" t="n"/>
      <c r="Y90" s="59" t="n"/>
      <c r="Z90" s="59" t="n"/>
      <c r="AA90" s="59" t="n"/>
      <c r="AB90" s="59" t="n"/>
      <c r="AC90" s="59" t="n"/>
      <c r="AD90" s="1039" t="n"/>
      <c r="AE90" s="59" t="n"/>
      <c r="AF90" s="59" t="n"/>
      <c r="AG90" s="59" t="n"/>
      <c r="AH90" s="59" t="n"/>
      <c r="AI90" s="59" t="n"/>
      <c r="AJ90" s="1039" t="n"/>
      <c r="AK90" s="59" t="n"/>
      <c r="AL90" s="59" t="n"/>
      <c r="AM90" s="59" t="n"/>
      <c r="AN90" s="59" t="n"/>
      <c r="AO90" s="59" t="n"/>
      <c r="AP90" s="1039" t="n"/>
      <c r="AQ90" s="59" t="n"/>
      <c r="AR90" s="59" t="n"/>
      <c r="AS90" s="59" t="n"/>
      <c r="AT90" s="59" t="n"/>
      <c r="AU90" s="59" t="n"/>
      <c r="AV90" s="1039" t="n"/>
      <c r="AW90" s="59" t="n"/>
      <c r="AX90" s="59" t="n"/>
      <c r="AY90" s="59" t="n"/>
      <c r="AZ90" s="59" t="n"/>
      <c r="BA90" s="59" t="n"/>
      <c r="BB90" s="1039" t="n"/>
      <c r="BC90" s="59" t="n"/>
      <c r="BD90" s="59" t="n"/>
      <c r="BE90" s="59" t="n"/>
      <c r="BF90" s="59" t="n"/>
      <c r="BG90" s="59" t="n"/>
      <c r="BH90" s="1039" t="n"/>
      <c r="BI90" s="59" t="n"/>
      <c r="BJ90" s="59" t="n"/>
      <c r="BK90" s="59" t="n"/>
      <c r="BL90" s="59" t="n"/>
      <c r="BM90" s="59" t="n"/>
      <c r="BN90" s="1039" t="n"/>
    </row>
    <row r="91" ht="12.75" customHeight="1" s="1883">
      <c r="C91" s="1114" t="inlineStr">
        <is>
          <t xml:space="preserve"> Phone</t>
        </is>
      </c>
      <c r="D91" s="55" t="n"/>
      <c r="E91" s="1140">
        <f>+E3</f>
        <v/>
      </c>
      <c r="F91" s="1140">
        <f>+F3</f>
        <v/>
      </c>
      <c r="G91" s="1140">
        <f>+G3</f>
        <v/>
      </c>
      <c r="H91" s="1140">
        <f>+H3</f>
        <v/>
      </c>
      <c r="I91" s="1140">
        <f>+I3</f>
        <v/>
      </c>
      <c r="J91" s="1140">
        <f>+J3</f>
        <v/>
      </c>
      <c r="K91" s="1140">
        <f>+K3</f>
        <v/>
      </c>
      <c r="L91" s="196">
        <f>+L3</f>
        <v/>
      </c>
      <c r="M91" s="1140">
        <f>+M3</f>
        <v/>
      </c>
      <c r="N91" s="1140">
        <f>+N3</f>
        <v/>
      </c>
      <c r="O91" s="1140">
        <f>+O3</f>
        <v/>
      </c>
      <c r="P91" s="1140">
        <f>+P3</f>
        <v/>
      </c>
      <c r="Q91" s="1140">
        <f>+Q3</f>
        <v/>
      </c>
      <c r="R91" s="196">
        <f>+R3</f>
        <v/>
      </c>
      <c r="S91" s="1140">
        <f>+S3</f>
        <v/>
      </c>
      <c r="T91" s="1140">
        <f>+T3</f>
        <v/>
      </c>
      <c r="U91" s="1140">
        <f>+U3</f>
        <v/>
      </c>
      <c r="V91" s="1140">
        <f>+V3</f>
        <v/>
      </c>
      <c r="W91" s="1140">
        <f>+W3</f>
        <v/>
      </c>
      <c r="X91" s="196">
        <f>+X3</f>
        <v/>
      </c>
      <c r="Y91" s="1140">
        <f>+Y3</f>
        <v/>
      </c>
      <c r="Z91" s="1140">
        <f>+Z3</f>
        <v/>
      </c>
      <c r="AA91" s="1140">
        <f>+AA3</f>
        <v/>
      </c>
      <c r="AB91" s="1140">
        <f>+AB3</f>
        <v/>
      </c>
      <c r="AC91" s="1140">
        <f>+AC3</f>
        <v/>
      </c>
      <c r="AD91" s="196">
        <f>+AD3</f>
        <v/>
      </c>
      <c r="AE91" s="1140">
        <f>+AE3</f>
        <v/>
      </c>
      <c r="AF91" s="1140">
        <f>+AF3</f>
        <v/>
      </c>
      <c r="AG91" s="1140">
        <f>+AG3</f>
        <v/>
      </c>
      <c r="AH91" s="1140">
        <f>+AH3</f>
        <v/>
      </c>
      <c r="AI91" s="1140">
        <f>+AI3</f>
        <v/>
      </c>
      <c r="AJ91" s="196">
        <f>+AJ3</f>
        <v/>
      </c>
      <c r="AK91" s="1140">
        <f>+AK3</f>
        <v/>
      </c>
      <c r="AL91" s="1140">
        <f>+AL3</f>
        <v/>
      </c>
      <c r="AM91" s="1140">
        <f>+AM3</f>
        <v/>
      </c>
      <c r="AN91" s="1140">
        <f>+AN3</f>
        <v/>
      </c>
      <c r="AO91" s="1140">
        <f>+AO3</f>
        <v/>
      </c>
      <c r="AP91" s="196">
        <f>+AP3</f>
        <v/>
      </c>
      <c r="AQ91" s="1140">
        <f>+AQ3</f>
        <v/>
      </c>
      <c r="AR91" s="1140">
        <f>+AR3</f>
        <v/>
      </c>
      <c r="AS91" s="1140">
        <f>+AS3</f>
        <v/>
      </c>
      <c r="AT91" s="1140">
        <f>+AT3</f>
        <v/>
      </c>
      <c r="AU91" s="1140">
        <f>+AU3</f>
        <v/>
      </c>
      <c r="AV91" s="196">
        <f>+AV3</f>
        <v/>
      </c>
      <c r="AW91" s="1140">
        <f>+AW3</f>
        <v/>
      </c>
      <c r="AX91" s="1140">
        <f>+AX3</f>
        <v/>
      </c>
      <c r="AY91" s="1140">
        <f>+AY3</f>
        <v/>
      </c>
      <c r="AZ91" s="1140">
        <f>+AZ3</f>
        <v/>
      </c>
      <c r="BA91" s="1140">
        <f>+BA3</f>
        <v/>
      </c>
      <c r="BB91" s="196">
        <f>+BB3</f>
        <v/>
      </c>
      <c r="BC91" s="1140">
        <f>+BC3</f>
        <v/>
      </c>
      <c r="BD91" s="1140">
        <f>+BD3</f>
        <v/>
      </c>
      <c r="BE91" s="1140">
        <f>+BE3</f>
        <v/>
      </c>
      <c r="BF91" s="1140">
        <f>+BF3</f>
        <v/>
      </c>
      <c r="BG91" s="1140">
        <f>+BG3</f>
        <v/>
      </c>
      <c r="BH91" s="196">
        <f>+BH3</f>
        <v/>
      </c>
      <c r="BI91" s="1140">
        <f>+BI3</f>
        <v/>
      </c>
      <c r="BJ91" s="1140">
        <f>+BJ3</f>
        <v/>
      </c>
      <c r="BK91" s="1140">
        <f>+BK3</f>
        <v/>
      </c>
      <c r="BL91" s="1140">
        <f>+BL3</f>
        <v/>
      </c>
      <c r="BM91" s="1140">
        <f>+BM3</f>
        <v/>
      </c>
      <c r="BN91" s="196">
        <f>+BN3</f>
        <v/>
      </c>
    </row>
    <row r="92" ht="12.75" customHeight="1" s="1883">
      <c r="C92" s="1141" t="inlineStr">
        <is>
          <t>Units Ordered - for Sale</t>
        </is>
      </c>
      <c r="D92" s="55" t="n"/>
      <c r="E92" s="87">
        <f>+'6B. Pre-Launch Exps. - Detail'!P150</f>
        <v/>
      </c>
      <c r="F92" s="87">
        <f>+'6B. Pre-Launch Exps. - Detail'!Q150</f>
        <v/>
      </c>
      <c r="G92" s="87">
        <f>ROUNDDOWN(('3F. Revenue &amp; COGS Assumptions'!I29+(($D$89-30)/30)*'3F. Revenue &amp; COGS Assumptions'!J29),0)</f>
        <v/>
      </c>
      <c r="H92" s="87">
        <f>+'3F. Revenue &amp; COGS Assumptions'!J29</f>
        <v/>
      </c>
      <c r="I92" s="87">
        <f>+'3F. Revenue &amp; COGS Assumptions'!K29</f>
        <v/>
      </c>
      <c r="J92" s="87">
        <f>+'3F. Revenue &amp; COGS Assumptions'!L29</f>
        <v/>
      </c>
      <c r="K92" s="87">
        <f>+'3F. Revenue &amp; COGS Assumptions'!M29</f>
        <v/>
      </c>
      <c r="L92" s="1142">
        <f>+'3F. Revenue &amp; COGS Assumptions'!N29</f>
        <v/>
      </c>
      <c r="M92" s="87">
        <f>+'3F. Revenue &amp; COGS Assumptions'!O29</f>
        <v/>
      </c>
      <c r="N92" s="87">
        <f>+'3F. Revenue &amp; COGS Assumptions'!P29</f>
        <v/>
      </c>
      <c r="O92" s="87">
        <f>+'3F. Revenue &amp; COGS Assumptions'!Q29</f>
        <v/>
      </c>
      <c r="P92" s="87">
        <f>+'3F. Revenue &amp; COGS Assumptions'!R29</f>
        <v/>
      </c>
      <c r="Q92" s="1143">
        <f>+'3F. Revenue &amp; COGS Assumptions'!S29</f>
        <v/>
      </c>
      <c r="R92" s="197">
        <f>+'3F. Revenue &amp; COGS Assumptions'!T29</f>
        <v/>
      </c>
      <c r="S92" s="87">
        <f>+'3F. Revenue &amp; COGS Assumptions'!U29</f>
        <v/>
      </c>
      <c r="T92" s="87">
        <f>+'3F. Revenue &amp; COGS Assumptions'!V29</f>
        <v/>
      </c>
      <c r="U92" s="87">
        <f>+'3F. Revenue &amp; COGS Assumptions'!W29</f>
        <v/>
      </c>
      <c r="V92" s="87">
        <f>+'3F. Revenue &amp; COGS Assumptions'!X29</f>
        <v/>
      </c>
      <c r="W92" s="87">
        <f>+'3F. Revenue &amp; COGS Assumptions'!Y29</f>
        <v/>
      </c>
      <c r="X92" s="1142">
        <f>+'3F. Revenue &amp; COGS Assumptions'!Z29</f>
        <v/>
      </c>
      <c r="Y92" s="87">
        <f>+'3F. Revenue &amp; COGS Assumptions'!AA29</f>
        <v/>
      </c>
      <c r="Z92" s="87">
        <f>+'3F. Revenue &amp; COGS Assumptions'!AB29</f>
        <v/>
      </c>
      <c r="AA92" s="87">
        <f>+'3F. Revenue &amp; COGS Assumptions'!AC29</f>
        <v/>
      </c>
      <c r="AB92" s="87">
        <f>+'3F. Revenue &amp; COGS Assumptions'!AD29</f>
        <v/>
      </c>
      <c r="AC92" s="1143">
        <f>+'3F. Revenue &amp; COGS Assumptions'!AE29</f>
        <v/>
      </c>
      <c r="AD92" s="197">
        <f>+'3F. Revenue &amp; COGS Assumptions'!AF29</f>
        <v/>
      </c>
      <c r="AE92" s="87">
        <f>+'3F. Revenue &amp; COGS Assumptions'!AG29</f>
        <v/>
      </c>
      <c r="AF92" s="87">
        <f>+'3F. Revenue &amp; COGS Assumptions'!AH29</f>
        <v/>
      </c>
      <c r="AG92" s="87">
        <f>+'3F. Revenue &amp; COGS Assumptions'!AI29</f>
        <v/>
      </c>
      <c r="AH92" s="87">
        <f>+'3F. Revenue &amp; COGS Assumptions'!AJ29</f>
        <v/>
      </c>
      <c r="AI92" s="87">
        <f>+'3F. Revenue &amp; COGS Assumptions'!AK29</f>
        <v/>
      </c>
      <c r="AJ92" s="1142">
        <f>+'3F. Revenue &amp; COGS Assumptions'!AL29</f>
        <v/>
      </c>
      <c r="AK92" s="87">
        <f>+'3F. Revenue &amp; COGS Assumptions'!AM29</f>
        <v/>
      </c>
      <c r="AL92" s="87">
        <f>+'3F. Revenue &amp; COGS Assumptions'!AN29</f>
        <v/>
      </c>
      <c r="AM92" s="87">
        <f>+'3F. Revenue &amp; COGS Assumptions'!AO29</f>
        <v/>
      </c>
      <c r="AN92" s="87">
        <f>+'3F. Revenue &amp; COGS Assumptions'!AP29</f>
        <v/>
      </c>
      <c r="AO92" s="1143">
        <f>+'3F. Revenue &amp; COGS Assumptions'!AQ29</f>
        <v/>
      </c>
      <c r="AP92" s="197">
        <f>+'3F. Revenue &amp; COGS Assumptions'!AR29</f>
        <v/>
      </c>
      <c r="AQ92" s="87">
        <f>+'3F. Revenue &amp; COGS Assumptions'!AS29</f>
        <v/>
      </c>
      <c r="AR92" s="87">
        <f>+'3F. Revenue &amp; COGS Assumptions'!AT29</f>
        <v/>
      </c>
      <c r="AS92" s="87">
        <f>+'3F. Revenue &amp; COGS Assumptions'!AU29</f>
        <v/>
      </c>
      <c r="AT92" s="87">
        <f>+'3F. Revenue &amp; COGS Assumptions'!AV29</f>
        <v/>
      </c>
      <c r="AU92" s="87">
        <f>+'3F. Revenue &amp; COGS Assumptions'!AW29</f>
        <v/>
      </c>
      <c r="AV92" s="1142">
        <f>+'3F. Revenue &amp; COGS Assumptions'!AX29</f>
        <v/>
      </c>
      <c r="AW92" s="87">
        <f>+'3F. Revenue &amp; COGS Assumptions'!AY29</f>
        <v/>
      </c>
      <c r="AX92" s="87">
        <f>+'3F. Revenue &amp; COGS Assumptions'!AZ29</f>
        <v/>
      </c>
      <c r="AY92" s="87">
        <f>+'3F. Revenue &amp; COGS Assumptions'!BA29</f>
        <v/>
      </c>
      <c r="AZ92" s="87">
        <f>+'3F. Revenue &amp; COGS Assumptions'!BB29</f>
        <v/>
      </c>
      <c r="BA92" s="1143">
        <f>+'3F. Revenue &amp; COGS Assumptions'!BC29</f>
        <v/>
      </c>
      <c r="BB92" s="197">
        <f>+'3F. Revenue &amp; COGS Assumptions'!BD29</f>
        <v/>
      </c>
      <c r="BC92" s="87">
        <f>+'3F. Revenue &amp; COGS Assumptions'!BE29</f>
        <v/>
      </c>
      <c r="BD92" s="87">
        <f>+'3F. Revenue &amp; COGS Assumptions'!BF29</f>
        <v/>
      </c>
      <c r="BE92" s="87">
        <f>+'3F. Revenue &amp; COGS Assumptions'!BG29</f>
        <v/>
      </c>
      <c r="BF92" s="87">
        <f>+'3F. Revenue &amp; COGS Assumptions'!BH29</f>
        <v/>
      </c>
      <c r="BG92" s="87">
        <f>+'3F. Revenue &amp; COGS Assumptions'!BI29</f>
        <v/>
      </c>
      <c r="BH92" s="1142">
        <f>+'3F. Revenue &amp; COGS Assumptions'!BJ29</f>
        <v/>
      </c>
      <c r="BI92" s="87">
        <f>+'3F. Revenue &amp; COGS Assumptions'!BK29</f>
        <v/>
      </c>
      <c r="BJ92" s="87">
        <f>+'3F. Revenue &amp; COGS Assumptions'!BL29</f>
        <v/>
      </c>
      <c r="BK92" s="87">
        <f>+'3F. Revenue &amp; COGS Assumptions'!BM29</f>
        <v/>
      </c>
      <c r="BL92" s="87">
        <f>+'3F. Revenue &amp; COGS Assumptions'!BN29</f>
        <v/>
      </c>
      <c r="BM92" s="1143">
        <f>+BA92</f>
        <v/>
      </c>
      <c r="BN92" s="197">
        <f>+BB92</f>
        <v/>
      </c>
    </row>
    <row r="93" ht="12.75" customHeight="1" s="1883">
      <c r="C93" s="1141" t="inlineStr">
        <is>
          <t>Value of Order ($)</t>
        </is>
      </c>
      <c r="D93" s="55" t="n"/>
      <c r="E93" s="71">
        <f>+E92*$D$82</f>
        <v/>
      </c>
      <c r="F93" s="71">
        <f>+F92*$D$82</f>
        <v/>
      </c>
      <c r="G93" s="71">
        <f>+G92*$D$82</f>
        <v/>
      </c>
      <c r="H93" s="71">
        <f>+H92*$D$82</f>
        <v/>
      </c>
      <c r="I93" s="71">
        <f>+I92*$D$82</f>
        <v/>
      </c>
      <c r="J93" s="71">
        <f>+J92*$D$82</f>
        <v/>
      </c>
      <c r="K93" s="71">
        <f>+K92*$D$82</f>
        <v/>
      </c>
      <c r="L93" s="1144">
        <f>+L92*$D$82</f>
        <v/>
      </c>
      <c r="M93" s="71">
        <f>+M92*$D$82</f>
        <v/>
      </c>
      <c r="N93" s="71">
        <f>+N92*$D$82</f>
        <v/>
      </c>
      <c r="O93" s="71">
        <f>+O92*$D$82</f>
        <v/>
      </c>
      <c r="P93" s="71">
        <f>+P92*$D$82</f>
        <v/>
      </c>
      <c r="Q93" s="71">
        <f>+Q92*$D$82</f>
        <v/>
      </c>
      <c r="R93" s="1144">
        <f>+R92*$D$82</f>
        <v/>
      </c>
      <c r="S93" s="71">
        <f>+S92*$D$82</f>
        <v/>
      </c>
      <c r="T93" s="71">
        <f>+T92*$D$82</f>
        <v/>
      </c>
      <c r="U93" s="71">
        <f>+U92*$D$82</f>
        <v/>
      </c>
      <c r="V93" s="71">
        <f>+V92*$D$82</f>
        <v/>
      </c>
      <c r="W93" s="71">
        <f>+W92*$D$82</f>
        <v/>
      </c>
      <c r="X93" s="1144">
        <f>+X92*$D$82</f>
        <v/>
      </c>
      <c r="Y93" s="71">
        <f>+Y92*$D$82</f>
        <v/>
      </c>
      <c r="Z93" s="71">
        <f>+Z92*$D$82</f>
        <v/>
      </c>
      <c r="AA93" s="71">
        <f>+AA92*$D$82</f>
        <v/>
      </c>
      <c r="AB93" s="71">
        <f>+AB92*$D$82</f>
        <v/>
      </c>
      <c r="AC93" s="71">
        <f>+AC92*$D$82</f>
        <v/>
      </c>
      <c r="AD93" s="1144">
        <f>+AD92*$D$82</f>
        <v/>
      </c>
      <c r="AE93" s="71">
        <f>+AE92*$D$82</f>
        <v/>
      </c>
      <c r="AF93" s="71">
        <f>+AF92*$D$82</f>
        <v/>
      </c>
      <c r="AG93" s="71">
        <f>+AG92*$D$82</f>
        <v/>
      </c>
      <c r="AH93" s="71">
        <f>+AH92*$D$82</f>
        <v/>
      </c>
      <c r="AI93" s="71">
        <f>+AI92*$D$82</f>
        <v/>
      </c>
      <c r="AJ93" s="1144">
        <f>+AJ92*$D$82</f>
        <v/>
      </c>
      <c r="AK93" s="71">
        <f>+AK92*$D$82</f>
        <v/>
      </c>
      <c r="AL93" s="71">
        <f>+AL92*$D$82</f>
        <v/>
      </c>
      <c r="AM93" s="71">
        <f>+AM92*$D$82</f>
        <v/>
      </c>
      <c r="AN93" s="71">
        <f>+AN92*$D$82</f>
        <v/>
      </c>
      <c r="AO93" s="71">
        <f>+AO92*$D$82</f>
        <v/>
      </c>
      <c r="AP93" s="1144">
        <f>+AP92*$D$82</f>
        <v/>
      </c>
      <c r="AQ93" s="71">
        <f>+AQ92*$D$82</f>
        <v/>
      </c>
      <c r="AR93" s="71">
        <f>+AR92*$D$82</f>
        <v/>
      </c>
      <c r="AS93" s="71">
        <f>+AS92*$D$82</f>
        <v/>
      </c>
      <c r="AT93" s="71">
        <f>+AT92*$D$82</f>
        <v/>
      </c>
      <c r="AU93" s="71">
        <f>+AU92*$D$82</f>
        <v/>
      </c>
      <c r="AV93" s="1144">
        <f>+AV92*$D$82</f>
        <v/>
      </c>
      <c r="AW93" s="71">
        <f>+AW92*$D$82</f>
        <v/>
      </c>
      <c r="AX93" s="71">
        <f>+AX92*$D$82</f>
        <v/>
      </c>
      <c r="AY93" s="71">
        <f>+AY92*$D$82</f>
        <v/>
      </c>
      <c r="AZ93" s="71">
        <f>+AZ92*$D$82</f>
        <v/>
      </c>
      <c r="BA93" s="71">
        <f>+BA92*$D$82</f>
        <v/>
      </c>
      <c r="BB93" s="1144">
        <f>+BB92*$D$82</f>
        <v/>
      </c>
      <c r="BC93" s="71">
        <f>+BC92*$D$82</f>
        <v/>
      </c>
      <c r="BD93" s="71">
        <f>+BD92*$D$82</f>
        <v/>
      </c>
      <c r="BE93" s="71">
        <f>+BE92*$D$82</f>
        <v/>
      </c>
      <c r="BF93" s="71">
        <f>+BF92*$D$82</f>
        <v/>
      </c>
      <c r="BG93" s="71">
        <f>+BG92*$D$82</f>
        <v/>
      </c>
      <c r="BH93" s="1144">
        <f>+BH92*$D$82</f>
        <v/>
      </c>
      <c r="BI93" s="71">
        <f>+BI92*$D$82</f>
        <v/>
      </c>
      <c r="BJ93" s="71">
        <f>+BJ92*$D$82</f>
        <v/>
      </c>
      <c r="BK93" s="71">
        <f>+BK92*$D$82</f>
        <v/>
      </c>
      <c r="BL93" s="71">
        <f>+BL92*$D$82</f>
        <v/>
      </c>
      <c r="BM93" s="71">
        <f>+BM92*$D$82</f>
        <v/>
      </c>
      <c r="BN93" s="1144">
        <f>+BN92*$D$82</f>
        <v/>
      </c>
    </row>
    <row r="94" ht="12.75" customHeight="1" s="1883">
      <c r="C94" s="1141" t="n"/>
      <c r="D94" s="55" t="n"/>
      <c r="E94" s="57" t="n"/>
      <c r="F94" s="57" t="n"/>
      <c r="G94" s="87" t="n"/>
      <c r="H94" s="87" t="n"/>
      <c r="I94" s="87" t="n"/>
      <c r="J94" s="87" t="n"/>
      <c r="K94" s="87" t="n"/>
      <c r="L94" s="1142" t="n"/>
      <c r="M94" s="87" t="n"/>
      <c r="N94" s="87" t="n"/>
      <c r="O94" s="87" t="n"/>
      <c r="P94" s="87" t="n"/>
      <c r="Q94" s="87" t="n"/>
      <c r="R94" s="1142" t="n"/>
      <c r="S94" s="59" t="n"/>
      <c r="T94" s="59" t="n"/>
      <c r="U94" s="59" t="n"/>
      <c r="V94" s="59" t="n"/>
      <c r="W94" s="59" t="n"/>
      <c r="X94" s="1039" t="n"/>
      <c r="Y94" s="59" t="n"/>
      <c r="Z94" s="59" t="n"/>
      <c r="AA94" s="59" t="n"/>
      <c r="AB94" s="59" t="n"/>
      <c r="AC94" s="59" t="n"/>
      <c r="AD94" s="1039" t="n"/>
      <c r="AE94" s="59" t="n"/>
      <c r="AF94" s="59" t="n"/>
      <c r="AG94" s="59" t="n"/>
      <c r="AH94" s="59" t="n"/>
      <c r="AI94" s="59" t="n"/>
      <c r="AJ94" s="1039" t="n"/>
      <c r="AK94" s="59" t="n"/>
      <c r="AL94" s="59" t="n"/>
      <c r="AM94" s="59" t="n"/>
      <c r="AN94" s="59" t="n"/>
      <c r="AO94" s="59" t="n"/>
      <c r="AP94" s="1039" t="n"/>
      <c r="AQ94" s="59" t="n"/>
      <c r="AR94" s="59" t="n"/>
      <c r="AS94" s="59" t="n"/>
      <c r="AT94" s="59" t="n"/>
      <c r="AU94" s="59" t="n"/>
      <c r="AV94" s="1039" t="n"/>
      <c r="AW94" s="59" t="n"/>
      <c r="AX94" s="59" t="n"/>
      <c r="AY94" s="59" t="n"/>
      <c r="AZ94" s="59" t="n"/>
      <c r="BA94" s="59" t="n"/>
      <c r="BB94" s="1039" t="n"/>
      <c r="BC94" s="59" t="n"/>
      <c r="BD94" s="59" t="n"/>
      <c r="BE94" s="59" t="n"/>
      <c r="BF94" s="59" t="n"/>
      <c r="BG94" s="59" t="n"/>
      <c r="BH94" s="1039" t="n"/>
      <c r="BI94" s="59" t="n"/>
      <c r="BJ94" s="59" t="n"/>
      <c r="BK94" s="59" t="n"/>
      <c r="BL94" s="59" t="n"/>
      <c r="BM94" s="59" t="n"/>
      <c r="BN94" s="1039" t="n"/>
    </row>
    <row r="95" ht="12.75" customHeight="1" s="1883">
      <c r="C95" s="1141" t="inlineStr">
        <is>
          <t>Units Received - for Sale</t>
        </is>
      </c>
      <c r="D95" s="55" t="n"/>
      <c r="E95" s="87">
        <f>+D92</f>
        <v/>
      </c>
      <c r="F95" s="87">
        <f>+D92</f>
        <v/>
      </c>
      <c r="G95" s="87">
        <f>+E92</f>
        <v/>
      </c>
      <c r="H95" s="87">
        <f>+F92</f>
        <v/>
      </c>
      <c r="I95" s="87">
        <f>+G92</f>
        <v/>
      </c>
      <c r="J95" s="87">
        <f>+H92</f>
        <v/>
      </c>
      <c r="K95" s="87">
        <f>+I92</f>
        <v/>
      </c>
      <c r="L95" s="1142">
        <f>+J92</f>
        <v/>
      </c>
      <c r="M95" s="87">
        <f>+K92</f>
        <v/>
      </c>
      <c r="N95" s="87">
        <f>+L92</f>
        <v/>
      </c>
      <c r="O95" s="87">
        <f>+M92</f>
        <v/>
      </c>
      <c r="P95" s="87">
        <f>+N92</f>
        <v/>
      </c>
      <c r="Q95" s="87">
        <f>+O92</f>
        <v/>
      </c>
      <c r="R95" s="1142">
        <f>+P92</f>
        <v/>
      </c>
      <c r="S95" s="87">
        <f>+Q92</f>
        <v/>
      </c>
      <c r="T95" s="87">
        <f>+R92</f>
        <v/>
      </c>
      <c r="U95" s="87">
        <f>+S92</f>
        <v/>
      </c>
      <c r="V95" s="87">
        <f>+T92</f>
        <v/>
      </c>
      <c r="W95" s="87">
        <f>+U92</f>
        <v/>
      </c>
      <c r="X95" s="1142">
        <f>+V92</f>
        <v/>
      </c>
      <c r="Y95" s="87">
        <f>+W92</f>
        <v/>
      </c>
      <c r="Z95" s="87">
        <f>+X92</f>
        <v/>
      </c>
      <c r="AA95" s="87">
        <f>+Y92</f>
        <v/>
      </c>
      <c r="AB95" s="87">
        <f>+Z92</f>
        <v/>
      </c>
      <c r="AC95" s="87">
        <f>+AA92</f>
        <v/>
      </c>
      <c r="AD95" s="1142">
        <f>+AB92</f>
        <v/>
      </c>
      <c r="AE95" s="87">
        <f>+AC92</f>
        <v/>
      </c>
      <c r="AF95" s="87">
        <f>+AD92</f>
        <v/>
      </c>
      <c r="AG95" s="87">
        <f>+AE92</f>
        <v/>
      </c>
      <c r="AH95" s="87">
        <f>+AF92</f>
        <v/>
      </c>
      <c r="AI95" s="87">
        <f>+AG92</f>
        <v/>
      </c>
      <c r="AJ95" s="1142">
        <f>+AH92</f>
        <v/>
      </c>
      <c r="AK95" s="87">
        <f>+AI92</f>
        <v/>
      </c>
      <c r="AL95" s="87">
        <f>+AJ92</f>
        <v/>
      </c>
      <c r="AM95" s="87">
        <f>+AK92</f>
        <v/>
      </c>
      <c r="AN95" s="87">
        <f>+AL92</f>
        <v/>
      </c>
      <c r="AO95" s="87">
        <f>+AM92</f>
        <v/>
      </c>
      <c r="AP95" s="1142">
        <f>+AN92</f>
        <v/>
      </c>
      <c r="AQ95" s="87">
        <f>+AO92</f>
        <v/>
      </c>
      <c r="AR95" s="87">
        <f>+AP92</f>
        <v/>
      </c>
      <c r="AS95" s="87">
        <f>+AQ92</f>
        <v/>
      </c>
      <c r="AT95" s="87">
        <f>+AR92</f>
        <v/>
      </c>
      <c r="AU95" s="87">
        <f>+AS92</f>
        <v/>
      </c>
      <c r="AV95" s="1142">
        <f>+AT92</f>
        <v/>
      </c>
      <c r="AW95" s="87">
        <f>+AU92</f>
        <v/>
      </c>
      <c r="AX95" s="87">
        <f>+AV92</f>
        <v/>
      </c>
      <c r="AY95" s="87">
        <f>+AW92</f>
        <v/>
      </c>
      <c r="AZ95" s="87">
        <f>+AX92</f>
        <v/>
      </c>
      <c r="BA95" s="87">
        <f>+AY92</f>
        <v/>
      </c>
      <c r="BB95" s="1142">
        <f>+AZ92</f>
        <v/>
      </c>
      <c r="BC95" s="87">
        <f>+BA92</f>
        <v/>
      </c>
      <c r="BD95" s="87">
        <f>+BB92</f>
        <v/>
      </c>
      <c r="BE95" s="87">
        <f>+BC92</f>
        <v/>
      </c>
      <c r="BF95" s="87">
        <f>+BD92</f>
        <v/>
      </c>
      <c r="BG95" s="87">
        <f>+BE92</f>
        <v/>
      </c>
      <c r="BH95" s="1142">
        <f>+BF92</f>
        <v/>
      </c>
      <c r="BI95" s="87">
        <f>+BG92</f>
        <v/>
      </c>
      <c r="BJ95" s="87">
        <f>+BH92</f>
        <v/>
      </c>
      <c r="BK95" s="87">
        <f>+BI92</f>
        <v/>
      </c>
      <c r="BL95" s="87">
        <f>+BJ92</f>
        <v/>
      </c>
      <c r="BM95" s="87">
        <f>+BK92</f>
        <v/>
      </c>
      <c r="BN95" s="1142">
        <f>+BL92</f>
        <v/>
      </c>
    </row>
    <row r="96" ht="12.75" customHeight="1" s="1883">
      <c r="C96" s="1038" t="n"/>
      <c r="D96" s="55" t="n"/>
      <c r="E96" s="57" t="n"/>
      <c r="F96" s="57" t="n"/>
      <c r="G96" s="87" t="n"/>
      <c r="H96" s="87" t="n"/>
      <c r="I96" s="87" t="n"/>
      <c r="J96" s="87" t="n"/>
      <c r="K96" s="87" t="n"/>
      <c r="L96" s="1142" t="n"/>
      <c r="M96" s="87" t="n"/>
      <c r="N96" s="87" t="n"/>
      <c r="O96" s="87" t="n"/>
      <c r="P96" s="87" t="n"/>
      <c r="Q96" s="87" t="n"/>
      <c r="R96" s="1142" t="n"/>
      <c r="S96" s="59" t="n"/>
      <c r="T96" s="59" t="n"/>
      <c r="U96" s="59" t="n"/>
      <c r="V96" s="59" t="n"/>
      <c r="W96" s="59" t="n"/>
      <c r="X96" s="1039" t="n"/>
      <c r="Y96" s="59" t="n"/>
      <c r="Z96" s="59" t="n"/>
      <c r="AA96" s="59" t="n"/>
      <c r="AB96" s="59" t="n"/>
      <c r="AC96" s="59" t="n"/>
      <c r="AD96" s="1039" t="n"/>
      <c r="AE96" s="59" t="n"/>
      <c r="AF96" s="59" t="n"/>
      <c r="AG96" s="59" t="n"/>
      <c r="AH96" s="59" t="n"/>
      <c r="AI96" s="59" t="n"/>
      <c r="AJ96" s="1039" t="n"/>
      <c r="AK96" s="59" t="n"/>
      <c r="AL96" s="59" t="n"/>
      <c r="AM96" s="59" t="n"/>
      <c r="AN96" s="59" t="n"/>
      <c r="AO96" s="59" t="n"/>
      <c r="AP96" s="1039" t="n"/>
      <c r="AQ96" s="59" t="n"/>
      <c r="AR96" s="59" t="n"/>
      <c r="AS96" s="59" t="n"/>
      <c r="AT96" s="59" t="n"/>
      <c r="AU96" s="59" t="n"/>
      <c r="AV96" s="1039" t="n"/>
      <c r="AW96" s="59" t="n"/>
      <c r="AX96" s="59" t="n"/>
      <c r="AY96" s="59" t="n"/>
      <c r="AZ96" s="59" t="n"/>
      <c r="BA96" s="59" t="n"/>
      <c r="BB96" s="1039" t="n"/>
      <c r="BC96" s="59" t="n"/>
      <c r="BD96" s="59" t="n"/>
      <c r="BE96" s="59" t="n"/>
      <c r="BF96" s="59" t="n"/>
      <c r="BG96" s="59" t="n"/>
      <c r="BH96" s="1039" t="n"/>
      <c r="BI96" s="59" t="n"/>
      <c r="BJ96" s="59" t="n"/>
      <c r="BK96" s="59" t="n"/>
      <c r="BL96" s="59" t="n"/>
      <c r="BM96" s="59" t="n"/>
      <c r="BN96" s="1039" t="n"/>
    </row>
    <row r="97" ht="12.75" customHeight="1" s="1883">
      <c r="B97" s="56" t="inlineStr">
        <is>
          <t>BS</t>
        </is>
      </c>
      <c r="C97" s="1114" t="inlineStr">
        <is>
          <t>Inventory Value - for Sale</t>
        </is>
      </c>
      <c r="D97" s="88" t="n"/>
      <c r="E97" s="198" t="n">
        <v>0</v>
      </c>
      <c r="F97" s="198">
        <f>E97+E93-'3F. Revenue &amp; COGS Assumptions'!F67</f>
        <v/>
      </c>
      <c r="G97" s="198">
        <f>F97+F93-'3F. Revenue &amp; COGS Assumptions'!G67</f>
        <v/>
      </c>
      <c r="H97" s="198">
        <f>G97+G93-'3F. Revenue &amp; COGS Assumptions'!H67</f>
        <v/>
      </c>
      <c r="I97" s="198">
        <f>H97+H93-'3F. Revenue &amp; COGS Assumptions'!I67</f>
        <v/>
      </c>
      <c r="J97" s="198">
        <f>I97+I93-'3F. Revenue &amp; COGS Assumptions'!J67</f>
        <v/>
      </c>
      <c r="K97" s="198">
        <f>J97+J93-'3F. Revenue &amp; COGS Assumptions'!K67</f>
        <v/>
      </c>
      <c r="L97" s="1145">
        <f>K97+K93-'3F. Revenue &amp; COGS Assumptions'!L67</f>
        <v/>
      </c>
      <c r="M97" s="198">
        <f>L97+L93-'3F. Revenue &amp; COGS Assumptions'!M67</f>
        <v/>
      </c>
      <c r="N97" s="198">
        <f>M97+M93-'3F. Revenue &amp; COGS Assumptions'!N67</f>
        <v/>
      </c>
      <c r="O97" s="198">
        <f>N97+N93-'3F. Revenue &amp; COGS Assumptions'!O67</f>
        <v/>
      </c>
      <c r="P97" s="198">
        <f>O97+O93-'3F. Revenue &amp; COGS Assumptions'!P67</f>
        <v/>
      </c>
      <c r="Q97" s="198">
        <f>P97+P93-'3F. Revenue &amp; COGS Assumptions'!Q67</f>
        <v/>
      </c>
      <c r="R97" s="1145">
        <f>Q97+Q93-'3F. Revenue &amp; COGS Assumptions'!R67</f>
        <v/>
      </c>
      <c r="S97" s="198">
        <f>R97+R93-'3F. Revenue &amp; COGS Assumptions'!S67</f>
        <v/>
      </c>
      <c r="T97" s="198">
        <f>S97+S93-'3F. Revenue &amp; COGS Assumptions'!T67</f>
        <v/>
      </c>
      <c r="U97" s="198">
        <f>T97+T93-'3F. Revenue &amp; COGS Assumptions'!U67</f>
        <v/>
      </c>
      <c r="V97" s="198">
        <f>U97+U93-'3F. Revenue &amp; COGS Assumptions'!V67</f>
        <v/>
      </c>
      <c r="W97" s="198">
        <f>V97+V93-'3F. Revenue &amp; COGS Assumptions'!W67</f>
        <v/>
      </c>
      <c r="X97" s="1145">
        <f>W97+W93-'3F. Revenue &amp; COGS Assumptions'!X67</f>
        <v/>
      </c>
      <c r="Y97" s="198">
        <f>X97+X93-'3F. Revenue &amp; COGS Assumptions'!Y67</f>
        <v/>
      </c>
      <c r="Z97" s="198">
        <f>Y97+Y93-'3F. Revenue &amp; COGS Assumptions'!Z67</f>
        <v/>
      </c>
      <c r="AA97" s="198">
        <f>Z97+Z93-'3F. Revenue &amp; COGS Assumptions'!AA67</f>
        <v/>
      </c>
      <c r="AB97" s="198">
        <f>AA97+AA93-'3F. Revenue &amp; COGS Assumptions'!AB67</f>
        <v/>
      </c>
      <c r="AC97" s="198">
        <f>AB97+AB93-'3F. Revenue &amp; COGS Assumptions'!AC67</f>
        <v/>
      </c>
      <c r="AD97" s="1145">
        <f>AC97+AC93-'3F. Revenue &amp; COGS Assumptions'!AD67</f>
        <v/>
      </c>
      <c r="AE97" s="198">
        <f>AD97+AD93-'3F. Revenue &amp; COGS Assumptions'!AE67</f>
        <v/>
      </c>
      <c r="AF97" s="198">
        <f>AE97+AE93-'3F. Revenue &amp; COGS Assumptions'!AF67</f>
        <v/>
      </c>
      <c r="AG97" s="198">
        <f>AF97+AF93-'3F. Revenue &amp; COGS Assumptions'!AG67</f>
        <v/>
      </c>
      <c r="AH97" s="198">
        <f>AG97+AG93-'3F. Revenue &amp; COGS Assumptions'!AH67</f>
        <v/>
      </c>
      <c r="AI97" s="198">
        <f>AH97+AH93-'3F. Revenue &amp; COGS Assumptions'!AI67</f>
        <v/>
      </c>
      <c r="AJ97" s="1145">
        <f>AI97+AI93-'3F. Revenue &amp; COGS Assumptions'!AJ67</f>
        <v/>
      </c>
      <c r="AK97" s="198">
        <f>AJ97+AJ93-'3F. Revenue &amp; COGS Assumptions'!AK67</f>
        <v/>
      </c>
      <c r="AL97" s="198">
        <f>AK97+AK93-'3F. Revenue &amp; COGS Assumptions'!AL67</f>
        <v/>
      </c>
      <c r="AM97" s="198">
        <f>AL97+AL93-'3F. Revenue &amp; COGS Assumptions'!AM67</f>
        <v/>
      </c>
      <c r="AN97" s="198">
        <f>AM97+AM93-'3F. Revenue &amp; COGS Assumptions'!AN67</f>
        <v/>
      </c>
      <c r="AO97" s="198">
        <f>AN97+AN93-'3F. Revenue &amp; COGS Assumptions'!AO67</f>
        <v/>
      </c>
      <c r="AP97" s="1145">
        <f>AO97+AO93-'3F. Revenue &amp; COGS Assumptions'!AP67</f>
        <v/>
      </c>
      <c r="AQ97" s="198">
        <f>AP97+AP93-'3F. Revenue &amp; COGS Assumptions'!AQ67</f>
        <v/>
      </c>
      <c r="AR97" s="198">
        <f>AQ97+AQ93-'3F. Revenue &amp; COGS Assumptions'!AR67</f>
        <v/>
      </c>
      <c r="AS97" s="198">
        <f>AR97+AR93-'3F. Revenue &amp; COGS Assumptions'!AS67</f>
        <v/>
      </c>
      <c r="AT97" s="198">
        <f>AS97+AS93-'3F. Revenue &amp; COGS Assumptions'!AT67</f>
        <v/>
      </c>
      <c r="AU97" s="198">
        <f>AT97+AT93-'3F. Revenue &amp; COGS Assumptions'!AU67</f>
        <v/>
      </c>
      <c r="AV97" s="1145">
        <f>AU97+AU93-'3F. Revenue &amp; COGS Assumptions'!AV67</f>
        <v/>
      </c>
      <c r="AW97" s="198">
        <f>AV97+AV93-'3F. Revenue &amp; COGS Assumptions'!AW67</f>
        <v/>
      </c>
      <c r="AX97" s="198">
        <f>AW97+AW93-'3F. Revenue &amp; COGS Assumptions'!AX67</f>
        <v/>
      </c>
      <c r="AY97" s="198">
        <f>AX97+AX93-'3F. Revenue &amp; COGS Assumptions'!AY67</f>
        <v/>
      </c>
      <c r="AZ97" s="198">
        <f>AY97+AY93-'3F. Revenue &amp; COGS Assumptions'!AZ67</f>
        <v/>
      </c>
      <c r="BA97" s="198">
        <f>AZ97+AZ93-'3F. Revenue &amp; COGS Assumptions'!BA67</f>
        <v/>
      </c>
      <c r="BB97" s="1145">
        <f>BA97+BA93-'3F. Revenue &amp; COGS Assumptions'!BB67</f>
        <v/>
      </c>
      <c r="BC97" s="198">
        <f>BB97+BB93-'3F. Revenue &amp; COGS Assumptions'!BC67</f>
        <v/>
      </c>
      <c r="BD97" s="198">
        <f>BC97+BC93-'3F. Revenue &amp; COGS Assumptions'!BD67</f>
        <v/>
      </c>
      <c r="BE97" s="198">
        <f>BD97+BD93-'3F. Revenue &amp; COGS Assumptions'!BE67</f>
        <v/>
      </c>
      <c r="BF97" s="198">
        <f>BE97+BE93-'3F. Revenue &amp; COGS Assumptions'!BF67</f>
        <v/>
      </c>
      <c r="BG97" s="198">
        <f>BF97+BF93-'3F. Revenue &amp; COGS Assumptions'!BG67</f>
        <v/>
      </c>
      <c r="BH97" s="1145">
        <f>BG97+BG93-'3F. Revenue &amp; COGS Assumptions'!BH67</f>
        <v/>
      </c>
      <c r="BI97" s="198">
        <f>BH97+BH93-'3F. Revenue &amp; COGS Assumptions'!BI67</f>
        <v/>
      </c>
      <c r="BJ97" s="198">
        <f>BI97+BI93-'3F. Revenue &amp; COGS Assumptions'!BJ67</f>
        <v/>
      </c>
      <c r="BK97" s="198">
        <f>BJ97+BJ93-'3F. Revenue &amp; COGS Assumptions'!BK67</f>
        <v/>
      </c>
      <c r="BL97" s="198">
        <f>BK97+BK93-'3F. Revenue &amp; COGS Assumptions'!BL67</f>
        <v/>
      </c>
      <c r="BM97" s="198">
        <f>BL97+BL93-'3F. Revenue &amp; COGS Assumptions'!BM67</f>
        <v/>
      </c>
      <c r="BN97" s="1145">
        <f>BM97+BM93-'3F. Revenue &amp; COGS Assumptions'!BN67</f>
        <v/>
      </c>
    </row>
    <row r="98" ht="12.75" customHeight="1" s="1883">
      <c r="B98" s="56" t="n"/>
      <c r="C98" s="1038" t="n"/>
      <c r="D98" s="55" t="n"/>
      <c r="E98" s="57" t="n"/>
      <c r="F98" s="57" t="n"/>
      <c r="G98" s="87" t="n"/>
      <c r="H98" s="87" t="n"/>
      <c r="I98" s="87" t="n"/>
      <c r="J98" s="87" t="n"/>
      <c r="K98" s="87" t="n"/>
      <c r="L98" s="1142" t="n"/>
      <c r="M98" s="87" t="n"/>
      <c r="N98" s="87" t="n"/>
      <c r="O98" s="87" t="n"/>
      <c r="P98" s="87" t="n"/>
      <c r="Q98" s="87" t="n"/>
      <c r="R98" s="1142" t="n"/>
      <c r="S98" s="59" t="n"/>
      <c r="T98" s="59" t="n"/>
      <c r="U98" s="59" t="n"/>
      <c r="V98" s="59" t="n"/>
      <c r="W98" s="59" t="n"/>
      <c r="X98" s="1039" t="n"/>
      <c r="Y98" s="59" t="n"/>
      <c r="Z98" s="59" t="n"/>
      <c r="AA98" s="59" t="n"/>
      <c r="AB98" s="59" t="n"/>
      <c r="AC98" s="59" t="n"/>
      <c r="AD98" s="1039" t="n"/>
      <c r="AE98" s="59" t="n"/>
      <c r="AF98" s="59" t="n"/>
      <c r="AG98" s="59" t="n"/>
      <c r="AH98" s="59" t="n"/>
      <c r="AI98" s="59" t="n"/>
      <c r="AJ98" s="1039" t="n"/>
      <c r="AK98" s="59" t="n"/>
      <c r="AL98" s="59" t="n"/>
      <c r="AM98" s="59" t="n"/>
      <c r="AN98" s="59" t="n"/>
      <c r="AO98" s="59" t="n"/>
      <c r="AP98" s="1039" t="n"/>
      <c r="AQ98" s="59" t="n"/>
      <c r="AR98" s="59" t="n"/>
      <c r="AS98" s="59" t="n"/>
      <c r="AT98" s="59" t="n"/>
      <c r="AU98" s="59" t="n"/>
      <c r="AV98" s="1039" t="n"/>
      <c r="AW98" s="59" t="n"/>
      <c r="AX98" s="59" t="n"/>
      <c r="AY98" s="59" t="n"/>
      <c r="AZ98" s="59" t="n"/>
      <c r="BA98" s="59" t="n"/>
      <c r="BB98" s="1039" t="n"/>
      <c r="BC98" s="59" t="n"/>
      <c r="BD98" s="59" t="n"/>
      <c r="BE98" s="59" t="n"/>
      <c r="BF98" s="59" t="n"/>
      <c r="BG98" s="59" t="n"/>
      <c r="BH98" s="1039" t="n"/>
      <c r="BI98" s="59" t="n"/>
      <c r="BJ98" s="59" t="n"/>
      <c r="BK98" s="59" t="n"/>
      <c r="BL98" s="59" t="n"/>
      <c r="BM98" s="59" t="n"/>
      <c r="BN98" s="1039" t="n"/>
    </row>
    <row r="99" ht="12.75" customHeight="1" s="1883">
      <c r="B99" s="56" t="n"/>
      <c r="C99" s="1141" t="inlineStr">
        <is>
          <t>Units Ordered - for Warranty</t>
        </is>
      </c>
      <c r="D99" s="55" t="n"/>
      <c r="E99" s="87">
        <f>+'6B. Pre-Launch Exps. - Detail'!P151</f>
        <v/>
      </c>
      <c r="F99" s="87">
        <f>+'6B. Pre-Launch Exps. - Detail'!Q151</f>
        <v/>
      </c>
      <c r="G99" s="87">
        <f>+ROUNDDOWN(G92*$D$88,0)</f>
        <v/>
      </c>
      <c r="H99" s="87">
        <f>+ROUNDDOWN(H92*$D$88,0)</f>
        <v/>
      </c>
      <c r="I99" s="87">
        <f>+ROUNDDOWN(I92*$D$88,0)</f>
        <v/>
      </c>
      <c r="J99" s="87">
        <f>+ROUNDDOWN(J92*$D$88,0)</f>
        <v/>
      </c>
      <c r="K99" s="87">
        <f>+ROUNDDOWN(K92*$D$88,0)</f>
        <v/>
      </c>
      <c r="L99" s="1142">
        <f>+ROUNDDOWN(L92*$D$88,0)</f>
        <v/>
      </c>
      <c r="M99" s="87">
        <f>+ROUNDDOWN(M92*$D$88,0)</f>
        <v/>
      </c>
      <c r="N99" s="87">
        <f>+ROUNDDOWN(N92*$D$88,0)</f>
        <v/>
      </c>
      <c r="O99" s="87">
        <f>+ROUNDDOWN(O92*$D$88,0)</f>
        <v/>
      </c>
      <c r="P99" s="87">
        <f>+ROUNDDOWN(P92*$D$88,0)</f>
        <v/>
      </c>
      <c r="Q99" s="87">
        <f>+ROUNDDOWN(Q92*$D$88,0)</f>
        <v/>
      </c>
      <c r="R99" s="1142">
        <f>+ROUNDDOWN(R92*$D$88,0)</f>
        <v/>
      </c>
      <c r="S99" s="87">
        <f>+ROUNDDOWN(S92*$D$88,0)</f>
        <v/>
      </c>
      <c r="T99" s="87">
        <f>+ROUNDDOWN(T92*$D$88,0)</f>
        <v/>
      </c>
      <c r="U99" s="87">
        <f>+ROUNDDOWN(U92*$D$88,0)</f>
        <v/>
      </c>
      <c r="V99" s="87">
        <f>+ROUNDDOWN(V92*$D$88,0)</f>
        <v/>
      </c>
      <c r="W99" s="87">
        <f>+ROUNDDOWN(W92*$D$88,0)</f>
        <v/>
      </c>
      <c r="X99" s="1142">
        <f>+ROUNDDOWN(X92*$D$88,0)</f>
        <v/>
      </c>
      <c r="Y99" s="87">
        <f>+ROUNDDOWN(Y92*$D$88,0)</f>
        <v/>
      </c>
      <c r="Z99" s="87">
        <f>+ROUNDDOWN(Z92*$D$88,0)</f>
        <v/>
      </c>
      <c r="AA99" s="87">
        <f>+ROUNDDOWN(AA92*$D$88,0)</f>
        <v/>
      </c>
      <c r="AB99" s="87">
        <f>+ROUNDDOWN(AB92*$D$88,0)</f>
        <v/>
      </c>
      <c r="AC99" s="87">
        <f>+ROUNDDOWN(AC92*$D$88,0)</f>
        <v/>
      </c>
      <c r="AD99" s="1142">
        <f>+ROUNDDOWN(AD92*$D$88,0)</f>
        <v/>
      </c>
      <c r="AE99" s="87">
        <f>+ROUNDDOWN(AE92*$D$88,0)</f>
        <v/>
      </c>
      <c r="AF99" s="87">
        <f>+ROUNDDOWN(AF92*$D$88,0)</f>
        <v/>
      </c>
      <c r="AG99" s="87">
        <f>+ROUNDDOWN(AG92*$D$88,0)</f>
        <v/>
      </c>
      <c r="AH99" s="87">
        <f>+ROUNDDOWN(AH92*$D$88,0)</f>
        <v/>
      </c>
      <c r="AI99" s="87">
        <f>+ROUNDDOWN(AI92*$D$88,0)</f>
        <v/>
      </c>
      <c r="AJ99" s="1142">
        <f>+ROUNDDOWN(AJ92*$D$88,0)</f>
        <v/>
      </c>
      <c r="AK99" s="87">
        <f>+ROUNDDOWN(AK92*$D$88,0)</f>
        <v/>
      </c>
      <c r="AL99" s="87">
        <f>+ROUNDDOWN(AL92*$D$88,0)</f>
        <v/>
      </c>
      <c r="AM99" s="87">
        <f>+ROUNDDOWN(AM92*$D$88,0)</f>
        <v/>
      </c>
      <c r="AN99" s="87">
        <f>+ROUNDDOWN(AN92*$D$88,0)</f>
        <v/>
      </c>
      <c r="AO99" s="87">
        <f>+ROUNDDOWN(AO92*$D$88,0)</f>
        <v/>
      </c>
      <c r="AP99" s="1142">
        <f>+ROUNDDOWN(AP92*$D$88,0)</f>
        <v/>
      </c>
      <c r="AQ99" s="87">
        <f>+ROUNDDOWN(AQ92*$D$88,0)</f>
        <v/>
      </c>
      <c r="AR99" s="87">
        <f>+ROUNDDOWN(AR92*$D$88,0)</f>
        <v/>
      </c>
      <c r="AS99" s="87">
        <f>+ROUNDDOWN(AS92*$D$88,0)</f>
        <v/>
      </c>
      <c r="AT99" s="87">
        <f>+ROUNDDOWN(AT92*$D$88,0)</f>
        <v/>
      </c>
      <c r="AU99" s="87">
        <f>+ROUNDDOWN(AU92*$D$88,0)</f>
        <v/>
      </c>
      <c r="AV99" s="1142">
        <f>+ROUNDDOWN(AV92*$D$88,0)</f>
        <v/>
      </c>
      <c r="AW99" s="87">
        <f>+ROUNDDOWN(AW92*$D$88,0)</f>
        <v/>
      </c>
      <c r="AX99" s="87">
        <f>+ROUNDDOWN(AX92*$D$88,0)</f>
        <v/>
      </c>
      <c r="AY99" s="87">
        <f>+ROUNDDOWN(AY92*$D$88,0)</f>
        <v/>
      </c>
      <c r="AZ99" s="87">
        <f>+ROUNDDOWN(AZ92*$D$88,0)</f>
        <v/>
      </c>
      <c r="BA99" s="87">
        <f>+ROUNDDOWN(BA92*$D$88,0)</f>
        <v/>
      </c>
      <c r="BB99" s="1142">
        <f>+ROUNDDOWN(BB92*$D$88,0)</f>
        <v/>
      </c>
      <c r="BC99" s="87">
        <f>+ROUNDDOWN(BC92*$D$88,0)</f>
        <v/>
      </c>
      <c r="BD99" s="87">
        <f>+ROUNDDOWN(BD92*$D$88,0)</f>
        <v/>
      </c>
      <c r="BE99" s="87">
        <f>+ROUNDDOWN(BE92*$D$88,0)</f>
        <v/>
      </c>
      <c r="BF99" s="87">
        <f>+ROUNDDOWN(BF92*$D$88,0)</f>
        <v/>
      </c>
      <c r="BG99" s="87">
        <f>+ROUNDDOWN(BG92*$D$88,0)</f>
        <v/>
      </c>
      <c r="BH99" s="1142">
        <f>+ROUNDDOWN(BH92*$D$88,0)</f>
        <v/>
      </c>
      <c r="BI99" s="87">
        <f>+ROUNDDOWN(BI92*$D$88,0)</f>
        <v/>
      </c>
      <c r="BJ99" s="87">
        <f>+ROUNDDOWN(BJ92*$D$88,0)</f>
        <v/>
      </c>
      <c r="BK99" s="87">
        <f>+ROUNDDOWN(BK92*$D$88,0)</f>
        <v/>
      </c>
      <c r="BL99" s="87">
        <f>+ROUNDDOWN(BL92*$D$88,0)</f>
        <v/>
      </c>
      <c r="BM99" s="87">
        <f>+ROUNDDOWN(BM92*$D$88,0)</f>
        <v/>
      </c>
      <c r="BN99" s="1142">
        <f>+ROUNDDOWN(BN92*$D$88,0)</f>
        <v/>
      </c>
    </row>
    <row r="100" ht="12.75" customHeight="1" s="1883">
      <c r="B100" s="56" t="n"/>
      <c r="C100" s="1141" t="inlineStr">
        <is>
          <t>Value of Order ($)</t>
        </is>
      </c>
      <c r="D100" s="55" t="n"/>
      <c r="E100" s="71">
        <f>+E99*$D$82</f>
        <v/>
      </c>
      <c r="F100" s="71">
        <f>+F99*$D$82</f>
        <v/>
      </c>
      <c r="G100" s="71">
        <f>+G99*$D$82</f>
        <v/>
      </c>
      <c r="H100" s="71">
        <f>+H99*$D$82</f>
        <v/>
      </c>
      <c r="I100" s="71">
        <f>+I99*$D$82</f>
        <v/>
      </c>
      <c r="J100" s="71">
        <f>+J99*$D$82</f>
        <v/>
      </c>
      <c r="K100" s="71">
        <f>+K99*$D$82</f>
        <v/>
      </c>
      <c r="L100" s="1144">
        <f>+L99*$D$82</f>
        <v/>
      </c>
      <c r="M100" s="71">
        <f>+M99*$D$82</f>
        <v/>
      </c>
      <c r="N100" s="71">
        <f>+N99*$D$82</f>
        <v/>
      </c>
      <c r="O100" s="71">
        <f>+O99*$D$82</f>
        <v/>
      </c>
      <c r="P100" s="71">
        <f>+P99*$D$82</f>
        <v/>
      </c>
      <c r="Q100" s="71">
        <f>+Q99*$D$82</f>
        <v/>
      </c>
      <c r="R100" s="1144">
        <f>+R99*$D$82</f>
        <v/>
      </c>
      <c r="S100" s="71">
        <f>+S99*$D$82</f>
        <v/>
      </c>
      <c r="T100" s="71">
        <f>+T99*$D$82</f>
        <v/>
      </c>
      <c r="U100" s="71">
        <f>+U99*$D$82</f>
        <v/>
      </c>
      <c r="V100" s="71">
        <f>+V99*$D$82</f>
        <v/>
      </c>
      <c r="W100" s="71">
        <f>+W99*$D$82</f>
        <v/>
      </c>
      <c r="X100" s="1144">
        <f>+X99*$D$82</f>
        <v/>
      </c>
      <c r="Y100" s="71">
        <f>+Y99*$D$82</f>
        <v/>
      </c>
      <c r="Z100" s="71">
        <f>+Z99*$D$82</f>
        <v/>
      </c>
      <c r="AA100" s="71">
        <f>+AA99*$D$82</f>
        <v/>
      </c>
      <c r="AB100" s="71">
        <f>+AB99*$D$82</f>
        <v/>
      </c>
      <c r="AC100" s="71">
        <f>+AC99*$D$82</f>
        <v/>
      </c>
      <c r="AD100" s="1144">
        <f>+AD99*$D$82</f>
        <v/>
      </c>
      <c r="AE100" s="71">
        <f>+AE99*$D$82</f>
        <v/>
      </c>
      <c r="AF100" s="71">
        <f>+AF99*$D$82</f>
        <v/>
      </c>
      <c r="AG100" s="71">
        <f>+AG99*$D$82</f>
        <v/>
      </c>
      <c r="AH100" s="71">
        <f>+AH99*$D$82</f>
        <v/>
      </c>
      <c r="AI100" s="71">
        <f>+AI99*$D$82</f>
        <v/>
      </c>
      <c r="AJ100" s="1144">
        <f>+AJ99*$D$82</f>
        <v/>
      </c>
      <c r="AK100" s="71">
        <f>+AK99*$D$82</f>
        <v/>
      </c>
      <c r="AL100" s="71">
        <f>+AL99*$D$82</f>
        <v/>
      </c>
      <c r="AM100" s="71">
        <f>+AM99*$D$82</f>
        <v/>
      </c>
      <c r="AN100" s="71">
        <f>+AN99*$D$82</f>
        <v/>
      </c>
      <c r="AO100" s="71">
        <f>+AO99*$D$82</f>
        <v/>
      </c>
      <c r="AP100" s="1144">
        <f>+AP99*$D$82</f>
        <v/>
      </c>
      <c r="AQ100" s="71">
        <f>+AQ99*$D$82</f>
        <v/>
      </c>
      <c r="AR100" s="71">
        <f>+AR99*$D$82</f>
        <v/>
      </c>
      <c r="AS100" s="71">
        <f>+AS99*$D$82</f>
        <v/>
      </c>
      <c r="AT100" s="71">
        <f>+AT99*$D$82</f>
        <v/>
      </c>
      <c r="AU100" s="71">
        <f>+AU99*$D$82</f>
        <v/>
      </c>
      <c r="AV100" s="1144">
        <f>+AV99*$D$82</f>
        <v/>
      </c>
      <c r="AW100" s="71">
        <f>+AW99*$D$82</f>
        <v/>
      </c>
      <c r="AX100" s="71">
        <f>+AX99*$D$82</f>
        <v/>
      </c>
      <c r="AY100" s="71">
        <f>+AY99*$D$82</f>
        <v/>
      </c>
      <c r="AZ100" s="71">
        <f>+AZ99*$D$82</f>
        <v/>
      </c>
      <c r="BA100" s="71">
        <f>+BA99*$D$82</f>
        <v/>
      </c>
      <c r="BB100" s="1144">
        <f>+BB99*$D$82</f>
        <v/>
      </c>
      <c r="BC100" s="71">
        <f>+BC99*$D$82</f>
        <v/>
      </c>
      <c r="BD100" s="71">
        <f>+BD99*$D$82</f>
        <v/>
      </c>
      <c r="BE100" s="71">
        <f>+BE99*$D$82</f>
        <v/>
      </c>
      <c r="BF100" s="71">
        <f>+BF99*$D$82</f>
        <v/>
      </c>
      <c r="BG100" s="71">
        <f>+BG99*$D$82</f>
        <v/>
      </c>
      <c r="BH100" s="1144">
        <f>+BH99*$D$82</f>
        <v/>
      </c>
      <c r="BI100" s="71">
        <f>+BI99*$D$82</f>
        <v/>
      </c>
      <c r="BJ100" s="71">
        <f>+BJ99*$D$82</f>
        <v/>
      </c>
      <c r="BK100" s="71">
        <f>+BK99*$D$82</f>
        <v/>
      </c>
      <c r="BL100" s="71">
        <f>+BL99*$D$82</f>
        <v/>
      </c>
      <c r="BM100" s="71">
        <f>+BM99*$D$82</f>
        <v/>
      </c>
      <c r="BN100" s="1144">
        <f>+BN99*$D$82</f>
        <v/>
      </c>
    </row>
    <row r="101" ht="12.75" customHeight="1" s="1883">
      <c r="B101" s="56" t="n"/>
      <c r="C101" s="1141" t="n"/>
      <c r="D101" s="55" t="n"/>
      <c r="E101" s="57" t="n"/>
      <c r="F101" s="57" t="n"/>
      <c r="G101" s="59" t="n"/>
      <c r="H101" s="59" t="n"/>
      <c r="I101" s="59" t="n"/>
      <c r="J101" s="59" t="n"/>
      <c r="K101" s="59" t="n"/>
      <c r="L101" s="1039" t="n"/>
      <c r="M101" s="59" t="n"/>
      <c r="N101" s="59" t="n"/>
      <c r="O101" s="59" t="n"/>
      <c r="P101" s="59" t="n"/>
      <c r="Q101" s="59" t="n"/>
      <c r="R101" s="1039" t="n"/>
      <c r="S101" s="59" t="n"/>
      <c r="T101" s="59" t="n"/>
      <c r="U101" s="59" t="n"/>
      <c r="V101" s="59" t="n"/>
      <c r="W101" s="59" t="n"/>
      <c r="X101" s="1039" t="n"/>
      <c r="Y101" s="59" t="n"/>
      <c r="Z101" s="59" t="n"/>
      <c r="AA101" s="59" t="n"/>
      <c r="AB101" s="59" t="n"/>
      <c r="AC101" s="59" t="n"/>
      <c r="AD101" s="1039" t="n"/>
      <c r="AE101" s="59" t="n"/>
      <c r="AF101" s="59" t="n"/>
      <c r="AG101" s="59" t="n"/>
      <c r="AH101" s="59" t="n"/>
      <c r="AI101" s="59" t="n"/>
      <c r="AJ101" s="1039" t="n"/>
      <c r="AK101" s="59" t="n"/>
      <c r="AL101" s="59" t="n"/>
      <c r="AM101" s="59" t="n"/>
      <c r="AN101" s="59" t="n"/>
      <c r="AO101" s="59" t="n"/>
      <c r="AP101" s="1039" t="n"/>
      <c r="AQ101" s="59" t="n"/>
      <c r="AR101" s="59" t="n"/>
      <c r="AS101" s="59" t="n"/>
      <c r="AT101" s="59" t="n"/>
      <c r="AU101" s="59" t="n"/>
      <c r="AV101" s="1039" t="n"/>
      <c r="AW101" s="59" t="n"/>
      <c r="AX101" s="59" t="n"/>
      <c r="AY101" s="59" t="n"/>
      <c r="AZ101" s="59" t="n"/>
      <c r="BA101" s="59" t="n"/>
      <c r="BB101" s="1039" t="n"/>
      <c r="BC101" s="59" t="n"/>
      <c r="BD101" s="59" t="n"/>
      <c r="BE101" s="59" t="n"/>
      <c r="BF101" s="59" t="n"/>
      <c r="BG101" s="59" t="n"/>
      <c r="BH101" s="1039" t="n"/>
      <c r="BI101" s="59" t="n"/>
      <c r="BJ101" s="59" t="n"/>
      <c r="BK101" s="59" t="n"/>
      <c r="BL101" s="59" t="n"/>
      <c r="BM101" s="59" t="n"/>
      <c r="BN101" s="1039" t="n"/>
    </row>
    <row r="102" ht="12.75" customHeight="1" s="1883">
      <c r="B102" s="56" t="n"/>
      <c r="C102" s="1141" t="n"/>
      <c r="D102" s="55" t="n"/>
      <c r="E102" s="57" t="n"/>
      <c r="F102" s="57" t="n"/>
      <c r="G102" s="59" t="n"/>
      <c r="H102" s="59" t="n"/>
      <c r="I102" s="59" t="n"/>
      <c r="J102" s="59" t="n"/>
      <c r="K102" s="59" t="n"/>
      <c r="L102" s="1039" t="n"/>
      <c r="M102" s="59" t="n"/>
      <c r="N102" s="59" t="n"/>
      <c r="O102" s="59" t="n"/>
      <c r="P102" s="59" t="n"/>
      <c r="Q102" s="59" t="n"/>
      <c r="R102" s="1039" t="n"/>
      <c r="S102" s="59" t="n"/>
      <c r="T102" s="59" t="n"/>
      <c r="U102" s="59" t="n"/>
      <c r="V102" s="59" t="n"/>
      <c r="W102" s="59" t="n"/>
      <c r="X102" s="1039" t="n"/>
      <c r="Y102" s="59" t="n"/>
      <c r="Z102" s="59" t="n"/>
      <c r="AA102" s="59" t="n"/>
      <c r="AB102" s="59" t="n"/>
      <c r="AC102" s="59" t="n"/>
      <c r="AD102" s="1039" t="n"/>
      <c r="AE102" s="59" t="n"/>
      <c r="AF102" s="59" t="n"/>
      <c r="AG102" s="59" t="n"/>
      <c r="AH102" s="59" t="n"/>
      <c r="AI102" s="59" t="n"/>
      <c r="AJ102" s="1039" t="n"/>
      <c r="AK102" s="59" t="n"/>
      <c r="AL102" s="59" t="n"/>
      <c r="AM102" s="59" t="n"/>
      <c r="AN102" s="59" t="n"/>
      <c r="AO102" s="59" t="n"/>
      <c r="AP102" s="1039" t="n"/>
      <c r="AQ102" s="59" t="n"/>
      <c r="AR102" s="59" t="n"/>
      <c r="AS102" s="59" t="n"/>
      <c r="AT102" s="59" t="n"/>
      <c r="AU102" s="59" t="n"/>
      <c r="AV102" s="1039" t="n"/>
      <c r="AW102" s="59" t="n"/>
      <c r="AX102" s="59" t="n"/>
      <c r="AY102" s="59" t="n"/>
      <c r="AZ102" s="59" t="n"/>
      <c r="BA102" s="59" t="n"/>
      <c r="BB102" s="1039" t="n"/>
      <c r="BC102" s="59" t="n"/>
      <c r="BD102" s="59" t="n"/>
      <c r="BE102" s="59" t="n"/>
      <c r="BF102" s="59" t="n"/>
      <c r="BG102" s="59" t="n"/>
      <c r="BH102" s="1039" t="n"/>
      <c r="BI102" s="59" t="n"/>
      <c r="BJ102" s="59" t="n"/>
      <c r="BK102" s="59" t="n"/>
      <c r="BL102" s="59" t="n"/>
      <c r="BM102" s="59" t="n"/>
      <c r="BN102" s="1039" t="n"/>
    </row>
    <row r="103" ht="12.75" customHeight="1" s="1883">
      <c r="B103" s="56" t="n"/>
      <c r="C103" s="1141" t="inlineStr">
        <is>
          <t>Units for Warranty - Beg</t>
        </is>
      </c>
      <c r="D103" s="55" t="n"/>
      <c r="E103" s="87">
        <f>+D106</f>
        <v/>
      </c>
      <c r="F103" s="87">
        <f>+E106</f>
        <v/>
      </c>
      <c r="G103" s="87">
        <f>+F106</f>
        <v/>
      </c>
      <c r="H103" s="87">
        <f>+G106</f>
        <v/>
      </c>
      <c r="I103" s="87">
        <f>+H106</f>
        <v/>
      </c>
      <c r="J103" s="87">
        <f>+I106</f>
        <v/>
      </c>
      <c r="K103" s="87">
        <f>+J106</f>
        <v/>
      </c>
      <c r="L103" s="1142">
        <f>+K106</f>
        <v/>
      </c>
      <c r="M103" s="87">
        <f>+L106</f>
        <v/>
      </c>
      <c r="N103" s="87">
        <f>+M106</f>
        <v/>
      </c>
      <c r="O103" s="87">
        <f>+N106</f>
        <v/>
      </c>
      <c r="P103" s="87">
        <f>+O106</f>
        <v/>
      </c>
      <c r="Q103" s="87">
        <f>+P106</f>
        <v/>
      </c>
      <c r="R103" s="1142">
        <f>+Q106</f>
        <v/>
      </c>
      <c r="S103" s="87">
        <f>+R106</f>
        <v/>
      </c>
      <c r="T103" s="87">
        <f>+S106</f>
        <v/>
      </c>
      <c r="U103" s="87">
        <f>+T106</f>
        <v/>
      </c>
      <c r="V103" s="87">
        <f>+U106</f>
        <v/>
      </c>
      <c r="W103" s="87">
        <f>+V106</f>
        <v/>
      </c>
      <c r="X103" s="1142">
        <f>+W106</f>
        <v/>
      </c>
      <c r="Y103" s="87">
        <f>+X106</f>
        <v/>
      </c>
      <c r="Z103" s="87">
        <f>+Y106</f>
        <v/>
      </c>
      <c r="AA103" s="87">
        <f>+Z106</f>
        <v/>
      </c>
      <c r="AB103" s="87">
        <f>+AA106</f>
        <v/>
      </c>
      <c r="AC103" s="87">
        <f>+AB106</f>
        <v/>
      </c>
      <c r="AD103" s="1142">
        <f>+AC106</f>
        <v/>
      </c>
      <c r="AE103" s="87">
        <f>+AD106</f>
        <v/>
      </c>
      <c r="AF103" s="87">
        <f>+AE106</f>
        <v/>
      </c>
      <c r="AG103" s="87">
        <f>+AF106</f>
        <v/>
      </c>
      <c r="AH103" s="87">
        <f>+AG106</f>
        <v/>
      </c>
      <c r="AI103" s="87">
        <f>+AH106</f>
        <v/>
      </c>
      <c r="AJ103" s="1142">
        <f>+AI106</f>
        <v/>
      </c>
      <c r="AK103" s="87">
        <f>+AJ106</f>
        <v/>
      </c>
      <c r="AL103" s="87">
        <f>+AK106</f>
        <v/>
      </c>
      <c r="AM103" s="87">
        <f>+AL106</f>
        <v/>
      </c>
      <c r="AN103" s="87">
        <f>+AM106</f>
        <v/>
      </c>
      <c r="AO103" s="87">
        <f>+AN106</f>
        <v/>
      </c>
      <c r="AP103" s="1142">
        <f>+AO106</f>
        <v/>
      </c>
      <c r="AQ103" s="87">
        <f>+AP106</f>
        <v/>
      </c>
      <c r="AR103" s="87">
        <f>+AQ106</f>
        <v/>
      </c>
      <c r="AS103" s="87">
        <f>+AR106</f>
        <v/>
      </c>
      <c r="AT103" s="87">
        <f>+AS106</f>
        <v/>
      </c>
      <c r="AU103" s="87">
        <f>+AT106</f>
        <v/>
      </c>
      <c r="AV103" s="1142">
        <f>+AU106</f>
        <v/>
      </c>
      <c r="AW103" s="87">
        <f>+AV106</f>
        <v/>
      </c>
      <c r="AX103" s="87">
        <f>+AW106</f>
        <v/>
      </c>
      <c r="AY103" s="87">
        <f>+AX106</f>
        <v/>
      </c>
      <c r="AZ103" s="87">
        <f>+AY106</f>
        <v/>
      </c>
      <c r="BA103" s="87">
        <f>+AZ106</f>
        <v/>
      </c>
      <c r="BB103" s="1142">
        <f>+BA106</f>
        <v/>
      </c>
      <c r="BC103" s="87">
        <f>+BB106</f>
        <v/>
      </c>
      <c r="BD103" s="87">
        <f>+BC106</f>
        <v/>
      </c>
      <c r="BE103" s="87">
        <f>+BD106</f>
        <v/>
      </c>
      <c r="BF103" s="87">
        <f>+BE106</f>
        <v/>
      </c>
      <c r="BG103" s="87">
        <f>+BF106</f>
        <v/>
      </c>
      <c r="BH103" s="1142">
        <f>+BG106</f>
        <v/>
      </c>
      <c r="BI103" s="87">
        <f>+BH106</f>
        <v/>
      </c>
      <c r="BJ103" s="87">
        <f>+BI106</f>
        <v/>
      </c>
      <c r="BK103" s="87">
        <f>+BJ106</f>
        <v/>
      </c>
      <c r="BL103" s="87">
        <f>+BK106</f>
        <v/>
      </c>
      <c r="BM103" s="87">
        <f>+BL106</f>
        <v/>
      </c>
      <c r="BN103" s="1142">
        <f>+BM106</f>
        <v/>
      </c>
    </row>
    <row r="104" ht="12.75" customHeight="1" s="1883">
      <c r="B104" s="56" t="n"/>
      <c r="C104" s="1141" t="inlineStr">
        <is>
          <t>Units Received - for Warranty</t>
        </is>
      </c>
      <c r="D104" s="55" t="n"/>
      <c r="E104" s="87" t="n">
        <v>0</v>
      </c>
      <c r="F104" s="87">
        <f>+D99</f>
        <v/>
      </c>
      <c r="G104" s="87">
        <f>+E99</f>
        <v/>
      </c>
      <c r="H104" s="87">
        <f>+F99</f>
        <v/>
      </c>
      <c r="I104" s="87">
        <f>+G99</f>
        <v/>
      </c>
      <c r="J104" s="87">
        <f>+H99</f>
        <v/>
      </c>
      <c r="K104" s="87">
        <f>+I99</f>
        <v/>
      </c>
      <c r="L104" s="1142">
        <f>+J99</f>
        <v/>
      </c>
      <c r="M104" s="87">
        <f>+K99</f>
        <v/>
      </c>
      <c r="N104" s="87">
        <f>+L99</f>
        <v/>
      </c>
      <c r="O104" s="87">
        <f>+M99</f>
        <v/>
      </c>
      <c r="P104" s="87">
        <f>+N99</f>
        <v/>
      </c>
      <c r="Q104" s="87">
        <f>+O99</f>
        <v/>
      </c>
      <c r="R104" s="1142">
        <f>+P99</f>
        <v/>
      </c>
      <c r="S104" s="87">
        <f>+Q99</f>
        <v/>
      </c>
      <c r="T104" s="87">
        <f>+R99</f>
        <v/>
      </c>
      <c r="U104" s="87">
        <f>+S99</f>
        <v/>
      </c>
      <c r="V104" s="87">
        <f>+T99</f>
        <v/>
      </c>
      <c r="W104" s="87">
        <f>+U99</f>
        <v/>
      </c>
      <c r="X104" s="1142">
        <f>+V99</f>
        <v/>
      </c>
      <c r="Y104" s="87">
        <f>+W99</f>
        <v/>
      </c>
      <c r="Z104" s="87">
        <f>+X99</f>
        <v/>
      </c>
      <c r="AA104" s="87">
        <f>+Y99</f>
        <v/>
      </c>
      <c r="AB104" s="87">
        <f>+Z99</f>
        <v/>
      </c>
      <c r="AC104" s="87">
        <f>+AA99</f>
        <v/>
      </c>
      <c r="AD104" s="1142">
        <f>+AB99</f>
        <v/>
      </c>
      <c r="AE104" s="87">
        <f>+AC99</f>
        <v/>
      </c>
      <c r="AF104" s="87">
        <f>+AD99</f>
        <v/>
      </c>
      <c r="AG104" s="87">
        <f>+AE99</f>
        <v/>
      </c>
      <c r="AH104" s="87">
        <f>+AF99</f>
        <v/>
      </c>
      <c r="AI104" s="87">
        <f>+AG99</f>
        <v/>
      </c>
      <c r="AJ104" s="1142">
        <f>+AH99</f>
        <v/>
      </c>
      <c r="AK104" s="87">
        <f>+AI99</f>
        <v/>
      </c>
      <c r="AL104" s="87">
        <f>+AJ99</f>
        <v/>
      </c>
      <c r="AM104" s="87">
        <f>+AK99</f>
        <v/>
      </c>
      <c r="AN104" s="87">
        <f>+AL99</f>
        <v/>
      </c>
      <c r="AO104" s="87">
        <f>+AM99</f>
        <v/>
      </c>
      <c r="AP104" s="1142">
        <f>+AN99</f>
        <v/>
      </c>
      <c r="AQ104" s="87">
        <f>+AO99</f>
        <v/>
      </c>
      <c r="AR104" s="87">
        <f>+AP99</f>
        <v/>
      </c>
      <c r="AS104" s="87">
        <f>+AQ99</f>
        <v/>
      </c>
      <c r="AT104" s="87">
        <f>+AR99</f>
        <v/>
      </c>
      <c r="AU104" s="87">
        <f>+AS99</f>
        <v/>
      </c>
      <c r="AV104" s="1142">
        <f>+AT99</f>
        <v/>
      </c>
      <c r="AW104" s="87">
        <f>+AU99</f>
        <v/>
      </c>
      <c r="AX104" s="87">
        <f>+AV99</f>
        <v/>
      </c>
      <c r="AY104" s="87">
        <f>+AW99</f>
        <v/>
      </c>
      <c r="AZ104" s="87">
        <f>+AX99</f>
        <v/>
      </c>
      <c r="BA104" s="87">
        <f>+AY99</f>
        <v/>
      </c>
      <c r="BB104" s="1142">
        <f>+AZ99</f>
        <v/>
      </c>
      <c r="BC104" s="87">
        <f>+BA99</f>
        <v/>
      </c>
      <c r="BD104" s="87">
        <f>+BB99</f>
        <v/>
      </c>
      <c r="BE104" s="87">
        <f>+BC99</f>
        <v/>
      </c>
      <c r="BF104" s="87">
        <f>+BD99</f>
        <v/>
      </c>
      <c r="BG104" s="87">
        <f>+BE99</f>
        <v/>
      </c>
      <c r="BH104" s="1142">
        <f>+BF99</f>
        <v/>
      </c>
      <c r="BI104" s="87">
        <f>+BG99</f>
        <v/>
      </c>
      <c r="BJ104" s="87">
        <f>+BH99</f>
        <v/>
      </c>
      <c r="BK104" s="87">
        <f>+BI99</f>
        <v/>
      </c>
      <c r="BL104" s="87">
        <f>+BJ99</f>
        <v/>
      </c>
      <c r="BM104" s="87">
        <f>+BK99</f>
        <v/>
      </c>
      <c r="BN104" s="1142">
        <f>+BL99</f>
        <v/>
      </c>
    </row>
    <row r="105" ht="12.75" customHeight="1" s="1883">
      <c r="B105" s="56" t="n"/>
      <c r="C105" s="1141" t="inlineStr">
        <is>
          <t>Units Delivered - Claims</t>
        </is>
      </c>
      <c r="D105" s="55" t="n"/>
      <c r="E105" s="87" t="n">
        <v>0</v>
      </c>
      <c r="F105" s="87" t="n">
        <v>0</v>
      </c>
      <c r="G105" s="87">
        <f>+G431*'3F. Revenue &amp; COGS Assumptions'!$C$20</f>
        <v/>
      </c>
      <c r="H105" s="87">
        <f>+H431*'3F. Revenue &amp; COGS Assumptions'!$C$20</f>
        <v/>
      </c>
      <c r="I105" s="87">
        <f>+I431*'3F. Revenue &amp; COGS Assumptions'!$C$20</f>
        <v/>
      </c>
      <c r="J105" s="87">
        <f>+J431*'3F. Revenue &amp; COGS Assumptions'!$C$20</f>
        <v/>
      </c>
      <c r="K105" s="87">
        <f>+K431*'3F. Revenue &amp; COGS Assumptions'!$C$20</f>
        <v/>
      </c>
      <c r="L105" s="1142">
        <f>+L431*'3F. Revenue &amp; COGS Assumptions'!$C$20</f>
        <v/>
      </c>
      <c r="M105" s="87">
        <f>+M431*'3F. Revenue &amp; COGS Assumptions'!$C$20</f>
        <v/>
      </c>
      <c r="N105" s="87">
        <f>+N431*'3F. Revenue &amp; COGS Assumptions'!$C$20</f>
        <v/>
      </c>
      <c r="O105" s="87">
        <f>+O431*'3F. Revenue &amp; COGS Assumptions'!$C$20</f>
        <v/>
      </c>
      <c r="P105" s="87">
        <f>+P431*'3F. Revenue &amp; COGS Assumptions'!$C$20</f>
        <v/>
      </c>
      <c r="Q105" s="87">
        <f>+Q431*'3F. Revenue &amp; COGS Assumptions'!$C$20</f>
        <v/>
      </c>
      <c r="R105" s="1142">
        <f>+R431*'3F. Revenue &amp; COGS Assumptions'!$C$20</f>
        <v/>
      </c>
      <c r="S105" s="87">
        <f>+S431*'3F. Revenue &amp; COGS Assumptions'!$C$20</f>
        <v/>
      </c>
      <c r="T105" s="87">
        <f>+T431*'3F. Revenue &amp; COGS Assumptions'!$C$20</f>
        <v/>
      </c>
      <c r="U105" s="87">
        <f>+U431*'3F. Revenue &amp; COGS Assumptions'!$C$20</f>
        <v/>
      </c>
      <c r="V105" s="87">
        <f>+V431*'3F. Revenue &amp; COGS Assumptions'!$C$20</f>
        <v/>
      </c>
      <c r="W105" s="87">
        <f>+W431*'3F. Revenue &amp; COGS Assumptions'!$C$20</f>
        <v/>
      </c>
      <c r="X105" s="1142">
        <f>+X431*'3F. Revenue &amp; COGS Assumptions'!$C$20</f>
        <v/>
      </c>
      <c r="Y105" s="87">
        <f>+Y431*'3F. Revenue &amp; COGS Assumptions'!$C$20</f>
        <v/>
      </c>
      <c r="Z105" s="87">
        <f>+Z431*'3F. Revenue &amp; COGS Assumptions'!$C$20</f>
        <v/>
      </c>
      <c r="AA105" s="87">
        <f>+AA431*'3F. Revenue &amp; COGS Assumptions'!$C$20</f>
        <v/>
      </c>
      <c r="AB105" s="87">
        <f>+AB431*'3F. Revenue &amp; COGS Assumptions'!$C$20</f>
        <v/>
      </c>
      <c r="AC105" s="87">
        <f>+AC431*'3F. Revenue &amp; COGS Assumptions'!$C$20</f>
        <v/>
      </c>
      <c r="AD105" s="1142">
        <f>+AD431*'3F. Revenue &amp; COGS Assumptions'!$C$20</f>
        <v/>
      </c>
      <c r="AE105" s="87">
        <f>+AE431*'3F. Revenue &amp; COGS Assumptions'!$C$20</f>
        <v/>
      </c>
      <c r="AF105" s="87">
        <f>+AF431*'3F. Revenue &amp; COGS Assumptions'!$C$20</f>
        <v/>
      </c>
      <c r="AG105" s="87">
        <f>+AG431*'3F. Revenue &amp; COGS Assumptions'!$C$20</f>
        <v/>
      </c>
      <c r="AH105" s="87">
        <f>+AH431*'3F. Revenue &amp; COGS Assumptions'!$C$20</f>
        <v/>
      </c>
      <c r="AI105" s="87">
        <f>+AI431*'3F. Revenue &amp; COGS Assumptions'!$C$20</f>
        <v/>
      </c>
      <c r="AJ105" s="1142">
        <f>+AJ431*'3F. Revenue &amp; COGS Assumptions'!$C$20</f>
        <v/>
      </c>
      <c r="AK105" s="87">
        <f>+AK431*'3F. Revenue &amp; COGS Assumptions'!$C$20</f>
        <v/>
      </c>
      <c r="AL105" s="87">
        <f>+AL431*'3F. Revenue &amp; COGS Assumptions'!$C$20</f>
        <v/>
      </c>
      <c r="AM105" s="87">
        <f>+AM431*'3F. Revenue &amp; COGS Assumptions'!$C$20</f>
        <v/>
      </c>
      <c r="AN105" s="87">
        <f>+AN431*'3F. Revenue &amp; COGS Assumptions'!$C$20</f>
        <v/>
      </c>
      <c r="AO105" s="87">
        <f>+AO431*'3F. Revenue &amp; COGS Assumptions'!$C$20</f>
        <v/>
      </c>
      <c r="AP105" s="1142">
        <f>+AP431*'3F. Revenue &amp; COGS Assumptions'!$C$20</f>
        <v/>
      </c>
      <c r="AQ105" s="87">
        <f>+AQ431*'3F. Revenue &amp; COGS Assumptions'!$C$20</f>
        <v/>
      </c>
      <c r="AR105" s="87">
        <f>+AR431*'3F. Revenue &amp; COGS Assumptions'!$C$20</f>
        <v/>
      </c>
      <c r="AS105" s="87">
        <f>+AS431*'3F. Revenue &amp; COGS Assumptions'!$C$20</f>
        <v/>
      </c>
      <c r="AT105" s="87">
        <f>+AT431*'3F. Revenue &amp; COGS Assumptions'!$C$20</f>
        <v/>
      </c>
      <c r="AU105" s="87">
        <f>+AU431*'3F. Revenue &amp; COGS Assumptions'!$C$20</f>
        <v/>
      </c>
      <c r="AV105" s="1142">
        <f>+AV431*'3F. Revenue &amp; COGS Assumptions'!$C$20</f>
        <v/>
      </c>
      <c r="AW105" s="87">
        <f>+AW431*'3F. Revenue &amp; COGS Assumptions'!$C$20</f>
        <v/>
      </c>
      <c r="AX105" s="87">
        <f>+AX431*'3F. Revenue &amp; COGS Assumptions'!$C$20</f>
        <v/>
      </c>
      <c r="AY105" s="87">
        <f>+AY431*'3F. Revenue &amp; COGS Assumptions'!$C$20</f>
        <v/>
      </c>
      <c r="AZ105" s="87">
        <f>+AZ431*'3F. Revenue &amp; COGS Assumptions'!$C$20</f>
        <v/>
      </c>
      <c r="BA105" s="87">
        <f>+BA431*'3F. Revenue &amp; COGS Assumptions'!$C$20</f>
        <v/>
      </c>
      <c r="BB105" s="1142">
        <f>+BB431*'3F. Revenue &amp; COGS Assumptions'!$C$20</f>
        <v/>
      </c>
      <c r="BC105" s="87">
        <f>+BC431*'3F. Revenue &amp; COGS Assumptions'!$C$20</f>
        <v/>
      </c>
      <c r="BD105" s="87">
        <f>+BD431*'3F. Revenue &amp; COGS Assumptions'!$C$20</f>
        <v/>
      </c>
      <c r="BE105" s="87">
        <f>+BE431*'3F. Revenue &amp; COGS Assumptions'!$C$20</f>
        <v/>
      </c>
      <c r="BF105" s="87">
        <f>+BF431*'3F. Revenue &amp; COGS Assumptions'!$C$20</f>
        <v/>
      </c>
      <c r="BG105" s="87">
        <f>+BG431*'3F. Revenue &amp; COGS Assumptions'!$C$20</f>
        <v/>
      </c>
      <c r="BH105" s="1142">
        <f>+BH431*'3F. Revenue &amp; COGS Assumptions'!$C$20</f>
        <v/>
      </c>
      <c r="BI105" s="87">
        <f>+BI431*'3F. Revenue &amp; COGS Assumptions'!$C$20</f>
        <v/>
      </c>
      <c r="BJ105" s="87">
        <f>+BJ431*'3F. Revenue &amp; COGS Assumptions'!$C$20</f>
        <v/>
      </c>
      <c r="BK105" s="87">
        <f>+BK431*'3F. Revenue &amp; COGS Assumptions'!$C$20</f>
        <v/>
      </c>
      <c r="BL105" s="87">
        <f>+BL431*'3F. Revenue &amp; COGS Assumptions'!$C$20</f>
        <v/>
      </c>
      <c r="BM105" s="87">
        <f>+BM431*'3F. Revenue &amp; COGS Assumptions'!$C$20</f>
        <v/>
      </c>
      <c r="BN105" s="1142">
        <f>+BN431*'3F. Revenue &amp; COGS Assumptions'!$C$20</f>
        <v/>
      </c>
    </row>
    <row r="106" ht="12.75" customHeight="1" s="1883">
      <c r="B106" s="56" t="n"/>
      <c r="C106" s="1141" t="inlineStr">
        <is>
          <t>Units for Warranty - End</t>
        </is>
      </c>
      <c r="D106" s="55" t="n"/>
      <c r="E106" s="1146">
        <f>SUM(E103:E105)</f>
        <v/>
      </c>
      <c r="F106" s="1146">
        <f>SUM(F103:F105)</f>
        <v/>
      </c>
      <c r="G106" s="1146">
        <f>SUM(G103:G105)</f>
        <v/>
      </c>
      <c r="H106" s="1146">
        <f>SUM(H103:H105)</f>
        <v/>
      </c>
      <c r="I106" s="1146">
        <f>SUM(I103:I105)</f>
        <v/>
      </c>
      <c r="J106" s="1146">
        <f>SUM(J103:J105)</f>
        <v/>
      </c>
      <c r="K106" s="1146">
        <f>SUM(K103:K105)</f>
        <v/>
      </c>
      <c r="L106" s="1147">
        <f>SUM(L103:L105)</f>
        <v/>
      </c>
      <c r="M106" s="1146">
        <f>SUM(M103:M105)</f>
        <v/>
      </c>
      <c r="N106" s="1146">
        <f>SUM(N103:N105)</f>
        <v/>
      </c>
      <c r="O106" s="1146">
        <f>SUM(O103:O105)</f>
        <v/>
      </c>
      <c r="P106" s="1146">
        <f>SUM(P103:P105)</f>
        <v/>
      </c>
      <c r="Q106" s="1146">
        <f>SUM(Q103:Q105)</f>
        <v/>
      </c>
      <c r="R106" s="1147">
        <f>SUM(R103:R105)</f>
        <v/>
      </c>
      <c r="S106" s="1146">
        <f>SUM(S103:S105)</f>
        <v/>
      </c>
      <c r="T106" s="1146">
        <f>SUM(T103:T105)</f>
        <v/>
      </c>
      <c r="U106" s="1146">
        <f>SUM(U103:U105)</f>
        <v/>
      </c>
      <c r="V106" s="1146">
        <f>SUM(V103:V105)</f>
        <v/>
      </c>
      <c r="W106" s="1146">
        <f>SUM(W103:W105)</f>
        <v/>
      </c>
      <c r="X106" s="1147">
        <f>SUM(X103:X105)</f>
        <v/>
      </c>
      <c r="Y106" s="1146">
        <f>SUM(Y103:Y105)</f>
        <v/>
      </c>
      <c r="Z106" s="1146">
        <f>SUM(Z103:Z105)</f>
        <v/>
      </c>
      <c r="AA106" s="1146">
        <f>SUM(AA103:AA105)</f>
        <v/>
      </c>
      <c r="AB106" s="1146">
        <f>SUM(AB103:AB105)</f>
        <v/>
      </c>
      <c r="AC106" s="1146">
        <f>SUM(AC103:AC105)</f>
        <v/>
      </c>
      <c r="AD106" s="1147">
        <f>SUM(AD103:AD105)</f>
        <v/>
      </c>
      <c r="AE106" s="1146">
        <f>SUM(AE103:AE105)</f>
        <v/>
      </c>
      <c r="AF106" s="1146">
        <f>SUM(AF103:AF105)</f>
        <v/>
      </c>
      <c r="AG106" s="1146">
        <f>SUM(AG103:AG105)</f>
        <v/>
      </c>
      <c r="AH106" s="1146">
        <f>SUM(AH103:AH105)</f>
        <v/>
      </c>
      <c r="AI106" s="1146">
        <f>SUM(AI103:AI105)</f>
        <v/>
      </c>
      <c r="AJ106" s="1147">
        <f>SUM(AJ103:AJ105)</f>
        <v/>
      </c>
      <c r="AK106" s="1146">
        <f>SUM(AK103:AK105)</f>
        <v/>
      </c>
      <c r="AL106" s="1146">
        <f>SUM(AL103:AL105)</f>
        <v/>
      </c>
      <c r="AM106" s="1146">
        <f>SUM(AM103:AM105)</f>
        <v/>
      </c>
      <c r="AN106" s="1146">
        <f>SUM(AN103:AN105)</f>
        <v/>
      </c>
      <c r="AO106" s="1146">
        <f>SUM(AO103:AO105)</f>
        <v/>
      </c>
      <c r="AP106" s="1147">
        <f>SUM(AP103:AP105)</f>
        <v/>
      </c>
      <c r="AQ106" s="1146">
        <f>SUM(AQ103:AQ105)</f>
        <v/>
      </c>
      <c r="AR106" s="1146">
        <f>SUM(AR103:AR105)</f>
        <v/>
      </c>
      <c r="AS106" s="1146">
        <f>SUM(AS103:AS105)</f>
        <v/>
      </c>
      <c r="AT106" s="1146">
        <f>SUM(AT103:AT105)</f>
        <v/>
      </c>
      <c r="AU106" s="1146">
        <f>SUM(AU103:AU105)</f>
        <v/>
      </c>
      <c r="AV106" s="1147">
        <f>SUM(AV103:AV105)</f>
        <v/>
      </c>
      <c r="AW106" s="1146">
        <f>SUM(AW103:AW105)</f>
        <v/>
      </c>
      <c r="AX106" s="1146">
        <f>SUM(AX103:AX105)</f>
        <v/>
      </c>
      <c r="AY106" s="1146">
        <f>SUM(AY103:AY105)</f>
        <v/>
      </c>
      <c r="AZ106" s="1146">
        <f>SUM(AZ103:AZ105)</f>
        <v/>
      </c>
      <c r="BA106" s="1146">
        <f>SUM(BA103:BA105)</f>
        <v/>
      </c>
      <c r="BB106" s="1147">
        <f>SUM(BB103:BB105)</f>
        <v/>
      </c>
      <c r="BC106" s="1146">
        <f>SUM(BC103:BC105)</f>
        <v/>
      </c>
      <c r="BD106" s="1146">
        <f>SUM(BD103:BD105)</f>
        <v/>
      </c>
      <c r="BE106" s="1146">
        <f>SUM(BE103:BE105)</f>
        <v/>
      </c>
      <c r="BF106" s="1146">
        <f>SUM(BF103:BF105)</f>
        <v/>
      </c>
      <c r="BG106" s="1146">
        <f>SUM(BG103:BG105)</f>
        <v/>
      </c>
      <c r="BH106" s="1147">
        <f>SUM(BH103:BH105)</f>
        <v/>
      </c>
      <c r="BI106" s="1146">
        <f>SUM(BI103:BI105)</f>
        <v/>
      </c>
      <c r="BJ106" s="1146">
        <f>SUM(BJ103:BJ105)</f>
        <v/>
      </c>
      <c r="BK106" s="1146">
        <f>SUM(BK103:BK105)</f>
        <v/>
      </c>
      <c r="BL106" s="1146">
        <f>SUM(BL103:BL105)</f>
        <v/>
      </c>
      <c r="BM106" s="1146">
        <f>SUM(BM103:BM105)</f>
        <v/>
      </c>
      <c r="BN106" s="1147">
        <f>SUM(BN103:BN105)</f>
        <v/>
      </c>
    </row>
    <row r="107" ht="12.75" customHeight="1" s="1883">
      <c r="B107" s="56" t="n"/>
      <c r="C107" s="1038" t="n"/>
      <c r="D107" s="55" t="n"/>
      <c r="E107" s="57" t="n"/>
      <c r="F107" s="57" t="n"/>
      <c r="G107" s="59" t="n"/>
      <c r="H107" s="59" t="n"/>
      <c r="I107" s="59" t="n"/>
      <c r="J107" s="59" t="n"/>
      <c r="K107" s="59" t="n"/>
      <c r="L107" s="1039" t="n"/>
      <c r="M107" s="59" t="n"/>
      <c r="N107" s="59" t="n"/>
      <c r="O107" s="59" t="n"/>
      <c r="P107" s="59" t="n"/>
      <c r="Q107" s="59" t="n"/>
      <c r="R107" s="1039" t="n"/>
      <c r="S107" s="59" t="n"/>
      <c r="T107" s="59" t="n"/>
      <c r="U107" s="59" t="n"/>
      <c r="V107" s="59" t="n"/>
      <c r="W107" s="59" t="n"/>
      <c r="X107" s="1039" t="n"/>
      <c r="Y107" s="59" t="n"/>
      <c r="Z107" s="59" t="n"/>
      <c r="AA107" s="59" t="n"/>
      <c r="AB107" s="59" t="n"/>
      <c r="AC107" s="59" t="n"/>
      <c r="AD107" s="1039" t="n"/>
      <c r="AE107" s="59" t="n"/>
      <c r="AF107" s="59" t="n"/>
      <c r="AG107" s="59" t="n"/>
      <c r="AH107" s="59" t="n"/>
      <c r="AI107" s="59" t="n"/>
      <c r="AJ107" s="1039" t="n"/>
      <c r="AK107" s="59" t="n"/>
      <c r="AL107" s="59" t="n"/>
      <c r="AM107" s="59" t="n"/>
      <c r="AN107" s="59" t="n"/>
      <c r="AO107" s="59" t="n"/>
      <c r="AP107" s="1039" t="n"/>
      <c r="AQ107" s="59" t="n"/>
      <c r="AR107" s="59" t="n"/>
      <c r="AS107" s="59" t="n"/>
      <c r="AT107" s="59" t="n"/>
      <c r="AU107" s="59" t="n"/>
      <c r="AV107" s="1039" t="n"/>
      <c r="AW107" s="59" t="n"/>
      <c r="AX107" s="59" t="n"/>
      <c r="AY107" s="59" t="n"/>
      <c r="AZ107" s="59" t="n"/>
      <c r="BA107" s="59" t="n"/>
      <c r="BB107" s="1039" t="n"/>
      <c r="BC107" s="59" t="n"/>
      <c r="BD107" s="59" t="n"/>
      <c r="BE107" s="59" t="n"/>
      <c r="BF107" s="59" t="n"/>
      <c r="BG107" s="59" t="n"/>
      <c r="BH107" s="1039" t="n"/>
      <c r="BI107" s="59" t="n"/>
      <c r="BJ107" s="59" t="n"/>
      <c r="BK107" s="59" t="n"/>
      <c r="BL107" s="59" t="n"/>
      <c r="BM107" s="59" t="n"/>
      <c r="BN107" s="1039" t="n"/>
    </row>
    <row r="108" ht="12.75" customHeight="1" s="1883">
      <c r="B108" s="56" t="inlineStr">
        <is>
          <t>BS</t>
        </is>
      </c>
      <c r="C108" s="1114" t="inlineStr">
        <is>
          <t>Inventory Value - for Warranty</t>
        </is>
      </c>
      <c r="D108" s="88" t="n"/>
      <c r="E108" s="198">
        <f>+E106*$D$82</f>
        <v/>
      </c>
      <c r="F108" s="198">
        <f>+F106*$D$82</f>
        <v/>
      </c>
      <c r="G108" s="198">
        <f>+G106*$D$82</f>
        <v/>
      </c>
      <c r="H108" s="198">
        <f>+H106*$D$82</f>
        <v/>
      </c>
      <c r="I108" s="198">
        <f>+I106*$D$82</f>
        <v/>
      </c>
      <c r="J108" s="198">
        <f>+J106*$D$82</f>
        <v/>
      </c>
      <c r="K108" s="198">
        <f>+K106*$D$82</f>
        <v/>
      </c>
      <c r="L108" s="1145">
        <f>+L106*$D$82</f>
        <v/>
      </c>
      <c r="M108" s="198">
        <f>+M106*$D$82</f>
        <v/>
      </c>
      <c r="N108" s="198">
        <f>+N106*$D$82</f>
        <v/>
      </c>
      <c r="O108" s="198">
        <f>+O106*$D$82</f>
        <v/>
      </c>
      <c r="P108" s="198">
        <f>+P106*$D$82</f>
        <v/>
      </c>
      <c r="Q108" s="198">
        <f>+Q106*$D$82</f>
        <v/>
      </c>
      <c r="R108" s="1145">
        <f>+R106*$D$82</f>
        <v/>
      </c>
      <c r="S108" s="198">
        <f>+S106*$D$82</f>
        <v/>
      </c>
      <c r="T108" s="198">
        <f>+T106*$D$82</f>
        <v/>
      </c>
      <c r="U108" s="198">
        <f>+U106*$D$82</f>
        <v/>
      </c>
      <c r="V108" s="198">
        <f>+V106*$D$82</f>
        <v/>
      </c>
      <c r="W108" s="198">
        <f>+W106*$D$82</f>
        <v/>
      </c>
      <c r="X108" s="1145">
        <f>+X106*$D$82</f>
        <v/>
      </c>
      <c r="Y108" s="198">
        <f>+Y106*$D$82</f>
        <v/>
      </c>
      <c r="Z108" s="198">
        <f>+Z106*$D$82</f>
        <v/>
      </c>
      <c r="AA108" s="198">
        <f>+AA106*$D$82</f>
        <v/>
      </c>
      <c r="AB108" s="198">
        <f>+AB106*$D$82</f>
        <v/>
      </c>
      <c r="AC108" s="198">
        <f>+AC106*$D$82</f>
        <v/>
      </c>
      <c r="AD108" s="1145">
        <f>+AD106*$D$82</f>
        <v/>
      </c>
      <c r="AE108" s="198">
        <f>+AE106*$D$82</f>
        <v/>
      </c>
      <c r="AF108" s="198">
        <f>+AF106*$D$82</f>
        <v/>
      </c>
      <c r="AG108" s="198">
        <f>+AG106*$D$82</f>
        <v/>
      </c>
      <c r="AH108" s="198">
        <f>+AH106*$D$82</f>
        <v/>
      </c>
      <c r="AI108" s="198">
        <f>+AI106*$D$82</f>
        <v/>
      </c>
      <c r="AJ108" s="1145">
        <f>+AJ106*$D$82</f>
        <v/>
      </c>
      <c r="AK108" s="198">
        <f>+AK106*$D$82</f>
        <v/>
      </c>
      <c r="AL108" s="198">
        <f>+AL106*$D$82</f>
        <v/>
      </c>
      <c r="AM108" s="198">
        <f>+AM106*$D$82</f>
        <v/>
      </c>
      <c r="AN108" s="198">
        <f>+AN106*$D$82</f>
        <v/>
      </c>
      <c r="AO108" s="198">
        <f>+AO106*$D$82</f>
        <v/>
      </c>
      <c r="AP108" s="1145">
        <f>+AP106*$D$82</f>
        <v/>
      </c>
      <c r="AQ108" s="198">
        <f>+AQ106*$D$82</f>
        <v/>
      </c>
      <c r="AR108" s="198">
        <f>+AR106*$D$82</f>
        <v/>
      </c>
      <c r="AS108" s="198">
        <f>+AS106*$D$82</f>
        <v/>
      </c>
      <c r="AT108" s="198">
        <f>+AT106*$D$82</f>
        <v/>
      </c>
      <c r="AU108" s="198">
        <f>+AU106*$D$82</f>
        <v/>
      </c>
      <c r="AV108" s="1145">
        <f>+AV106*$D$82</f>
        <v/>
      </c>
      <c r="AW108" s="198">
        <f>+AW106*$D$82</f>
        <v/>
      </c>
      <c r="AX108" s="198">
        <f>+AX106*$D$82</f>
        <v/>
      </c>
      <c r="AY108" s="198">
        <f>+AY106*$D$82</f>
        <v/>
      </c>
      <c r="AZ108" s="198">
        <f>+AZ106*$D$82</f>
        <v/>
      </c>
      <c r="BA108" s="198">
        <f>+BA106*$D$82</f>
        <v/>
      </c>
      <c r="BB108" s="1145">
        <f>+BB106*$D$82</f>
        <v/>
      </c>
      <c r="BC108" s="198">
        <f>+BC106*$D$82</f>
        <v/>
      </c>
      <c r="BD108" s="198">
        <f>+BD106*$D$82</f>
        <v/>
      </c>
      <c r="BE108" s="198">
        <f>+BE106*$D$82</f>
        <v/>
      </c>
      <c r="BF108" s="198">
        <f>+BF106*$D$82</f>
        <v/>
      </c>
      <c r="BG108" s="198">
        <f>+BG106*$D$82</f>
        <v/>
      </c>
      <c r="BH108" s="1145">
        <f>+BH106*$D$82</f>
        <v/>
      </c>
      <c r="BI108" s="198">
        <f>+BI106*$D$82</f>
        <v/>
      </c>
      <c r="BJ108" s="198">
        <f>+BJ106*$D$82</f>
        <v/>
      </c>
      <c r="BK108" s="198">
        <f>+BK106*$D$82</f>
        <v/>
      </c>
      <c r="BL108" s="198">
        <f>+BL106*$D$82</f>
        <v/>
      </c>
      <c r="BM108" s="198">
        <f>+BM106*$D$82</f>
        <v/>
      </c>
      <c r="BN108" s="1145">
        <f>+BN106*$D$82</f>
        <v/>
      </c>
    </row>
    <row r="109" ht="12.75" customHeight="1" s="1883">
      <c r="B109" s="56" t="n"/>
      <c r="C109" s="1038" t="n"/>
      <c r="D109" s="55" t="n"/>
      <c r="E109" s="57" t="n"/>
      <c r="F109" s="57" t="n"/>
      <c r="G109" s="59" t="n"/>
      <c r="H109" s="59" t="n"/>
      <c r="I109" s="59" t="n"/>
      <c r="J109" s="59" t="n"/>
      <c r="K109" s="59" t="n"/>
      <c r="L109" s="1039" t="n"/>
      <c r="M109" s="59" t="n"/>
      <c r="N109" s="59" t="n"/>
      <c r="O109" s="59" t="n"/>
      <c r="P109" s="59" t="n"/>
      <c r="Q109" s="59" t="n"/>
      <c r="R109" s="1039" t="n"/>
      <c r="S109" s="59" t="n"/>
      <c r="T109" s="59" t="n"/>
      <c r="U109" s="59" t="n"/>
      <c r="V109" s="59" t="n"/>
      <c r="W109" s="59" t="n"/>
      <c r="X109" s="1039" t="n"/>
      <c r="Y109" s="59" t="n"/>
      <c r="Z109" s="59" t="n"/>
      <c r="AA109" s="59" t="n"/>
      <c r="AB109" s="59" t="n"/>
      <c r="AC109" s="59" t="n"/>
      <c r="AD109" s="1039" t="n"/>
      <c r="AE109" s="59" t="n"/>
      <c r="AF109" s="59" t="n"/>
      <c r="AG109" s="59" t="n"/>
      <c r="AH109" s="59" t="n"/>
      <c r="AI109" s="59" t="n"/>
      <c r="AJ109" s="1039" t="n"/>
      <c r="AK109" s="59" t="n"/>
      <c r="AL109" s="59" t="n"/>
      <c r="AM109" s="59" t="n"/>
      <c r="AN109" s="59" t="n"/>
      <c r="AO109" s="59" t="n"/>
      <c r="AP109" s="1039" t="n"/>
      <c r="AQ109" s="59" t="n"/>
      <c r="AR109" s="59" t="n"/>
      <c r="AS109" s="59" t="n"/>
      <c r="AT109" s="59" t="n"/>
      <c r="AU109" s="59" t="n"/>
      <c r="AV109" s="1039" t="n"/>
      <c r="AW109" s="59" t="n"/>
      <c r="AX109" s="59" t="n"/>
      <c r="AY109" s="59" t="n"/>
      <c r="AZ109" s="59" t="n"/>
      <c r="BA109" s="59" t="n"/>
      <c r="BB109" s="1039" t="n"/>
      <c r="BC109" s="59" t="n"/>
      <c r="BD109" s="59" t="n"/>
      <c r="BE109" s="59" t="n"/>
      <c r="BF109" s="59" t="n"/>
      <c r="BG109" s="59" t="n"/>
      <c r="BH109" s="1039" t="n"/>
      <c r="BI109" s="59" t="n"/>
      <c r="BJ109" s="59" t="n"/>
      <c r="BK109" s="59" t="n"/>
      <c r="BL109" s="59" t="n"/>
      <c r="BM109" s="59" t="n"/>
      <c r="BN109" s="1039" t="n"/>
    </row>
    <row r="110" ht="12.75" customHeight="1" s="1883">
      <c r="B110" s="56" t="inlineStr">
        <is>
          <t>BS</t>
        </is>
      </c>
      <c r="C110" s="1114" t="inlineStr">
        <is>
          <t>CMO Deposit</t>
        </is>
      </c>
      <c r="D110" s="86">
        <f>+'6B. Pre-Launch Exps. - Detail'!C154</f>
        <v/>
      </c>
      <c r="E110" s="198">
        <f>+(E93+E100)*$D110</f>
        <v/>
      </c>
      <c r="F110" s="198">
        <f>+(F93+F100)*$D110</f>
        <v/>
      </c>
      <c r="G110" s="198">
        <f>+(G93+G100)*$D110</f>
        <v/>
      </c>
      <c r="H110" s="198">
        <f>+(H93+H100)*$D110</f>
        <v/>
      </c>
      <c r="I110" s="198">
        <f>+(I93+I100)*$D110</f>
        <v/>
      </c>
      <c r="J110" s="198">
        <f>+(J93+J100)*$D110</f>
        <v/>
      </c>
      <c r="K110" s="198">
        <f>+(K93+K100)*$D110</f>
        <v/>
      </c>
      <c r="L110" s="1145">
        <f>+(L93+L100)*$D110</f>
        <v/>
      </c>
      <c r="M110" s="198">
        <f>+(M93+M100)*$D110</f>
        <v/>
      </c>
      <c r="N110" s="198">
        <f>+(N93+N100)*$D110</f>
        <v/>
      </c>
      <c r="O110" s="198">
        <f>+(O93+O100)*$D110</f>
        <v/>
      </c>
      <c r="P110" s="198">
        <f>+(P93+P100)*$D110</f>
        <v/>
      </c>
      <c r="Q110" s="198">
        <f>+(Q93+Q100)*$D110</f>
        <v/>
      </c>
      <c r="R110" s="1145">
        <f>+(R93+R100)*$D110</f>
        <v/>
      </c>
      <c r="S110" s="198">
        <f>+(S93+S100)*$D110</f>
        <v/>
      </c>
      <c r="T110" s="198">
        <f>+(T93+T100)*$D110</f>
        <v/>
      </c>
      <c r="U110" s="198">
        <f>+(U93+U100)*$D110</f>
        <v/>
      </c>
      <c r="V110" s="198">
        <f>+(V93+V100)*$D110</f>
        <v/>
      </c>
      <c r="W110" s="198">
        <f>+(W93+W100)*$D110</f>
        <v/>
      </c>
      <c r="X110" s="1145">
        <f>+(X93+X100)*$D110</f>
        <v/>
      </c>
      <c r="Y110" s="198">
        <f>+(Y93+Y100)*$D110</f>
        <v/>
      </c>
      <c r="Z110" s="198">
        <f>+(Z93+Z100)*$D110</f>
        <v/>
      </c>
      <c r="AA110" s="198">
        <f>+(AA93+AA100)*$D110</f>
        <v/>
      </c>
      <c r="AB110" s="198">
        <f>+(AB93+AB100)*$D110</f>
        <v/>
      </c>
      <c r="AC110" s="198">
        <f>+(AC93+AC100)*$D110</f>
        <v/>
      </c>
      <c r="AD110" s="1145">
        <f>+(AD93+AD100)*$D110</f>
        <v/>
      </c>
      <c r="AE110" s="198">
        <f>+(AE93+AE100)*$D110</f>
        <v/>
      </c>
      <c r="AF110" s="198">
        <f>+(AF93+AF100)*$D110</f>
        <v/>
      </c>
      <c r="AG110" s="198">
        <f>+(AG93+AG100)*$D110</f>
        <v/>
      </c>
      <c r="AH110" s="198">
        <f>+(AH93+AH100)*$D110</f>
        <v/>
      </c>
      <c r="AI110" s="198">
        <f>+(AI93+AI100)*$D110</f>
        <v/>
      </c>
      <c r="AJ110" s="1145">
        <f>+(AJ93+AJ100)*$D110</f>
        <v/>
      </c>
      <c r="AK110" s="198">
        <f>+(AK93+AK100)*$D110</f>
        <v/>
      </c>
      <c r="AL110" s="198">
        <f>+(AL93+AL100)*$D110</f>
        <v/>
      </c>
      <c r="AM110" s="198">
        <f>+(AM93+AM100)*$D110</f>
        <v/>
      </c>
      <c r="AN110" s="198">
        <f>+(AN93+AN100)*$D110</f>
        <v/>
      </c>
      <c r="AO110" s="198">
        <f>+(AO93+AO100)*$D110</f>
        <v/>
      </c>
      <c r="AP110" s="1145">
        <f>+(AP93+AP100)*$D110</f>
        <v/>
      </c>
      <c r="AQ110" s="198">
        <f>+(AQ93+AQ100)*$D110</f>
        <v/>
      </c>
      <c r="AR110" s="198">
        <f>+(AR93+AR100)*$D110</f>
        <v/>
      </c>
      <c r="AS110" s="198">
        <f>+(AS93+AS100)*$D110</f>
        <v/>
      </c>
      <c r="AT110" s="198">
        <f>+(AT93+AT100)*$D110</f>
        <v/>
      </c>
      <c r="AU110" s="198">
        <f>+(AU93+AU100)*$D110</f>
        <v/>
      </c>
      <c r="AV110" s="1145">
        <f>+(AV93+AV100)*$D110</f>
        <v/>
      </c>
      <c r="AW110" s="198">
        <f>+(AW93+AW100)*$D110</f>
        <v/>
      </c>
      <c r="AX110" s="198">
        <f>+(AX93+AX100)*$D110</f>
        <v/>
      </c>
      <c r="AY110" s="198">
        <f>+(AY93+AY100)*$D110</f>
        <v/>
      </c>
      <c r="AZ110" s="198">
        <f>+(AZ93+AZ100)*$D110</f>
        <v/>
      </c>
      <c r="BA110" s="198">
        <f>+(BA93+BA100)*$D110</f>
        <v/>
      </c>
      <c r="BB110" s="1145">
        <f>+(BB93+BB100)*$D110</f>
        <v/>
      </c>
      <c r="BC110" s="198">
        <f>+(BC93+BC100)*$D110</f>
        <v/>
      </c>
      <c r="BD110" s="198">
        <f>+(BD93+BD100)*$D110</f>
        <v/>
      </c>
      <c r="BE110" s="198">
        <f>+(BE93+BE100)*$D110</f>
        <v/>
      </c>
      <c r="BF110" s="198">
        <f>+(BF93+BF100)*$D110</f>
        <v/>
      </c>
      <c r="BG110" s="198">
        <f>+(BG93+BG100)*$D110</f>
        <v/>
      </c>
      <c r="BH110" s="1145">
        <f>+(BH93+BH100)*$D110</f>
        <v/>
      </c>
      <c r="BI110" s="198">
        <f>+(BI93+BI100)*$D110</f>
        <v/>
      </c>
      <c r="BJ110" s="198">
        <f>+(BJ93+BJ100)*$D110</f>
        <v/>
      </c>
      <c r="BK110" s="198">
        <f>+(BK93+BK100)*$D110</f>
        <v/>
      </c>
      <c r="BL110" s="198">
        <f>+(BL93+BL100)*$D110</f>
        <v/>
      </c>
      <c r="BM110" s="198">
        <f>+(BM93+BM100)*$D110</f>
        <v/>
      </c>
      <c r="BN110" s="1145">
        <f>+(BN93+BN100)*$D110</f>
        <v/>
      </c>
    </row>
    <row r="111" ht="12.75" customHeight="1" s="1883">
      <c r="B111" s="56" t="n"/>
      <c r="C111" s="1141" t="inlineStr">
        <is>
          <t>Final Payment</t>
        </is>
      </c>
      <c r="D111" s="86">
        <f>+'6B. Pre-Launch Exps. - Detail'!C155</f>
        <v/>
      </c>
      <c r="E111" s="71">
        <f>+(D100+D93)*$D111</f>
        <v/>
      </c>
      <c r="F111" s="71">
        <f>+(E100+E93)*$D111</f>
        <v/>
      </c>
      <c r="G111" s="71">
        <f>+(F100+F93)*$D111</f>
        <v/>
      </c>
      <c r="H111" s="71">
        <f>+(G100+G93)*$D111</f>
        <v/>
      </c>
      <c r="I111" s="71">
        <f>+(H100+H93)*$D111</f>
        <v/>
      </c>
      <c r="J111" s="71">
        <f>+(I100+I93)*$D111</f>
        <v/>
      </c>
      <c r="K111" s="71">
        <f>+(J100+J93)*$D111</f>
        <v/>
      </c>
      <c r="L111" s="1144">
        <f>+(K100+K93)*$D111</f>
        <v/>
      </c>
      <c r="M111" s="71">
        <f>+(L100+L93)*$D111</f>
        <v/>
      </c>
      <c r="N111" s="71">
        <f>+(M100+M93)*$D111</f>
        <v/>
      </c>
      <c r="O111" s="71">
        <f>+(N100+N93)*$D111</f>
        <v/>
      </c>
      <c r="P111" s="71">
        <f>+(O100+O93)*$D111</f>
        <v/>
      </c>
      <c r="Q111" s="71">
        <f>+(P100+P93)*$D111</f>
        <v/>
      </c>
      <c r="R111" s="1144">
        <f>+(Q100+Q93)*$D111</f>
        <v/>
      </c>
      <c r="S111" s="71">
        <f>+(R100+R93)*$D111</f>
        <v/>
      </c>
      <c r="T111" s="71">
        <f>+(S100+S93)*$D111</f>
        <v/>
      </c>
      <c r="U111" s="71">
        <f>+(T100+T93)*$D111</f>
        <v/>
      </c>
      <c r="V111" s="71">
        <f>+(U100+U93)*$D111</f>
        <v/>
      </c>
      <c r="W111" s="71">
        <f>+(V100+V93)*$D111</f>
        <v/>
      </c>
      <c r="X111" s="1144">
        <f>+(W100+W93)*$D111</f>
        <v/>
      </c>
      <c r="Y111" s="71">
        <f>+(X100+X93)*$D111</f>
        <v/>
      </c>
      <c r="Z111" s="71">
        <f>+(Y100+Y93)*$D111</f>
        <v/>
      </c>
      <c r="AA111" s="71">
        <f>+(Z100+Z93)*$D111</f>
        <v/>
      </c>
      <c r="AB111" s="71">
        <f>+(AA100+AA93)*$D111</f>
        <v/>
      </c>
      <c r="AC111" s="71">
        <f>+(AB100+AB93)*$D111</f>
        <v/>
      </c>
      <c r="AD111" s="1144">
        <f>+(AC100+AC93)*$D111</f>
        <v/>
      </c>
      <c r="AE111" s="71">
        <f>+(AD100+AD93)*$D111</f>
        <v/>
      </c>
      <c r="AF111" s="71">
        <f>+(AE100+AE93)*$D111</f>
        <v/>
      </c>
      <c r="AG111" s="71">
        <f>+(AF100+AF93)*$D111</f>
        <v/>
      </c>
      <c r="AH111" s="71">
        <f>+(AG100+AG93)*$D111</f>
        <v/>
      </c>
      <c r="AI111" s="71">
        <f>+(AH100+AH93)*$D111</f>
        <v/>
      </c>
      <c r="AJ111" s="1144">
        <f>+(AI100+AI93)*$D111</f>
        <v/>
      </c>
      <c r="AK111" s="71">
        <f>+(AJ100+AJ93)*$D111</f>
        <v/>
      </c>
      <c r="AL111" s="71">
        <f>+(AK100+AK93)*$D111</f>
        <v/>
      </c>
      <c r="AM111" s="71">
        <f>+(AL100+AL93)*$D111</f>
        <v/>
      </c>
      <c r="AN111" s="71">
        <f>+(AM100+AM93)*$D111</f>
        <v/>
      </c>
      <c r="AO111" s="71">
        <f>+(AN100+AN93)*$D111</f>
        <v/>
      </c>
      <c r="AP111" s="1144">
        <f>+(AO100+AO93)*$D111</f>
        <v/>
      </c>
      <c r="AQ111" s="71">
        <f>+(AP100+AP93)*$D111</f>
        <v/>
      </c>
      <c r="AR111" s="71">
        <f>+(AQ100+AQ93)*$D111</f>
        <v/>
      </c>
      <c r="AS111" s="71">
        <f>+(AR100+AR93)*$D111</f>
        <v/>
      </c>
      <c r="AT111" s="71">
        <f>+(AS100+AS93)*$D111</f>
        <v/>
      </c>
      <c r="AU111" s="71">
        <f>+(AT100+AT93)*$D111</f>
        <v/>
      </c>
      <c r="AV111" s="1144">
        <f>+(AU100+AU93)*$D111</f>
        <v/>
      </c>
      <c r="AW111" s="71">
        <f>+(AV100+AV93)*$D111</f>
        <v/>
      </c>
      <c r="AX111" s="71">
        <f>+(AW100+AW93)*$D111</f>
        <v/>
      </c>
      <c r="AY111" s="71">
        <f>+(AX100+AX93)*$D111</f>
        <v/>
      </c>
      <c r="AZ111" s="71">
        <f>+(AY100+AY93)*$D111</f>
        <v/>
      </c>
      <c r="BA111" s="71">
        <f>+(AZ100+AZ93)*$D111</f>
        <v/>
      </c>
      <c r="BB111" s="1144">
        <f>+(BA100+BA93)*$D111</f>
        <v/>
      </c>
      <c r="BC111" s="71">
        <f>+(BB100+BB93)*$D111</f>
        <v/>
      </c>
      <c r="BD111" s="71">
        <f>+(BC100+BC93)*$D111</f>
        <v/>
      </c>
      <c r="BE111" s="71">
        <f>+(BD100+BD93)*$D111</f>
        <v/>
      </c>
      <c r="BF111" s="71">
        <f>+(BE100+BE93)*$D111</f>
        <v/>
      </c>
      <c r="BG111" s="71">
        <f>+(BF100+BF93)*$D111</f>
        <v/>
      </c>
      <c r="BH111" s="1144">
        <f>+(BG100+BG93)*$D111</f>
        <v/>
      </c>
      <c r="BI111" s="71">
        <f>+(BH100+BH93)*$D111</f>
        <v/>
      </c>
      <c r="BJ111" s="71">
        <f>+(BI100+BI93)*$D111</f>
        <v/>
      </c>
      <c r="BK111" s="71">
        <f>+(BJ100+BJ93)*$D111</f>
        <v/>
      </c>
      <c r="BL111" s="71">
        <f>+(BK100+BK93)*$D111</f>
        <v/>
      </c>
      <c r="BM111" s="71">
        <f>+(BL100+BL93)*$D111</f>
        <v/>
      </c>
      <c r="BN111" s="1144">
        <f>+(BM100+BM93)*$D111</f>
        <v/>
      </c>
    </row>
    <row r="112" ht="12.75" customHeight="1" s="1883">
      <c r="B112" s="56" t="n"/>
      <c r="C112" s="1138" t="n"/>
      <c r="D112" s="1124" t="n"/>
      <c r="E112" s="1139" t="n"/>
      <c r="F112" s="1139" t="n"/>
      <c r="G112" s="1063" t="n"/>
      <c r="H112" s="1063" t="n"/>
      <c r="I112" s="1063" t="n"/>
      <c r="J112" s="1063" t="n"/>
      <c r="K112" s="1063" t="n"/>
      <c r="L112" s="164" t="n"/>
      <c r="M112" s="1063" t="n"/>
      <c r="N112" s="1063" t="n"/>
      <c r="O112" s="1063" t="n"/>
      <c r="P112" s="1063" t="n"/>
      <c r="Q112" s="1063" t="n"/>
      <c r="R112" s="164" t="n"/>
      <c r="S112" s="59" t="n"/>
      <c r="T112" s="59" t="n"/>
      <c r="U112" s="59" t="n"/>
      <c r="V112" s="59" t="n"/>
      <c r="W112" s="59" t="n"/>
      <c r="X112" s="1039" t="n"/>
      <c r="Y112" s="59" t="n"/>
      <c r="Z112" s="59" t="n"/>
      <c r="AA112" s="59" t="n"/>
      <c r="AB112" s="59" t="n"/>
      <c r="AC112" s="59" t="n"/>
      <c r="AD112" s="1039" t="n"/>
      <c r="AE112" s="59" t="n"/>
      <c r="AF112" s="59" t="n"/>
      <c r="AG112" s="59" t="n"/>
      <c r="AH112" s="59" t="n"/>
      <c r="AI112" s="59" t="n"/>
      <c r="AJ112" s="1039" t="n"/>
      <c r="AK112" s="59" t="n"/>
      <c r="AL112" s="59" t="n"/>
      <c r="AM112" s="59" t="n"/>
      <c r="AN112" s="59" t="n"/>
      <c r="AO112" s="59" t="n"/>
      <c r="AP112" s="1039" t="n"/>
      <c r="AQ112" s="59" t="n"/>
      <c r="AR112" s="59" t="n"/>
      <c r="AS112" s="59" t="n"/>
      <c r="AT112" s="59" t="n"/>
      <c r="AU112" s="59" t="n"/>
      <c r="AV112" s="1039" t="n"/>
      <c r="AW112" s="59" t="n"/>
      <c r="AX112" s="59" t="n"/>
      <c r="AY112" s="59" t="n"/>
      <c r="AZ112" s="59" t="n"/>
      <c r="BA112" s="59" t="n"/>
      <c r="BB112" s="1039" t="n"/>
      <c r="BC112" s="59" t="n"/>
      <c r="BD112" s="59" t="n"/>
      <c r="BE112" s="59" t="n"/>
      <c r="BF112" s="59" t="n"/>
      <c r="BG112" s="59" t="n"/>
      <c r="BH112" s="1039" t="n"/>
      <c r="BI112" s="59" t="n"/>
      <c r="BJ112" s="59" t="n"/>
      <c r="BK112" s="59" t="n"/>
      <c r="BL112" s="59" t="n"/>
      <c r="BM112" s="59" t="n"/>
      <c r="BN112" s="1039" t="n"/>
    </row>
    <row r="113" ht="12.75" customHeight="1" s="1883">
      <c r="B113" s="56" t="n"/>
      <c r="C113" s="1114" t="inlineStr">
        <is>
          <t>Companion App</t>
        </is>
      </c>
      <c r="D113" s="55" t="n"/>
      <c r="E113" s="1140">
        <f>+E91</f>
        <v/>
      </c>
      <c r="F113" s="1140">
        <f>+F91</f>
        <v/>
      </c>
      <c r="G113" s="1140">
        <f>+G91</f>
        <v/>
      </c>
      <c r="H113" s="1140">
        <f>+H91</f>
        <v/>
      </c>
      <c r="I113" s="1140">
        <f>+I91</f>
        <v/>
      </c>
      <c r="J113" s="1140">
        <f>+J91</f>
        <v/>
      </c>
      <c r="K113" s="1140">
        <f>+K91</f>
        <v/>
      </c>
      <c r="L113" s="196">
        <f>+L91</f>
        <v/>
      </c>
      <c r="M113" s="1140">
        <f>+M91</f>
        <v/>
      </c>
      <c r="N113" s="1140">
        <f>+N91</f>
        <v/>
      </c>
      <c r="O113" s="1140">
        <f>+O91</f>
        <v/>
      </c>
      <c r="P113" s="1140">
        <f>+P91</f>
        <v/>
      </c>
      <c r="Q113" s="1140">
        <f>+Q91</f>
        <v/>
      </c>
      <c r="R113" s="196">
        <f>+R91</f>
        <v/>
      </c>
      <c r="S113" s="1140">
        <f>+S91</f>
        <v/>
      </c>
      <c r="T113" s="1140">
        <f>+T91</f>
        <v/>
      </c>
      <c r="U113" s="1140">
        <f>+U91</f>
        <v/>
      </c>
      <c r="V113" s="1140">
        <f>+V91</f>
        <v/>
      </c>
      <c r="W113" s="1140">
        <f>+W91</f>
        <v/>
      </c>
      <c r="X113" s="196">
        <f>+X91</f>
        <v/>
      </c>
      <c r="Y113" s="1140">
        <f>+Y91</f>
        <v/>
      </c>
      <c r="Z113" s="1140">
        <f>+Z91</f>
        <v/>
      </c>
      <c r="AA113" s="1140">
        <f>+AA91</f>
        <v/>
      </c>
      <c r="AB113" s="1140">
        <f>+AB91</f>
        <v/>
      </c>
      <c r="AC113" s="1140">
        <f>+AC91</f>
        <v/>
      </c>
      <c r="AD113" s="196">
        <f>+AD91</f>
        <v/>
      </c>
      <c r="AE113" s="1140">
        <f>+AE91</f>
        <v/>
      </c>
      <c r="AF113" s="1140">
        <f>+AF91</f>
        <v/>
      </c>
      <c r="AG113" s="1140">
        <f>+AG91</f>
        <v/>
      </c>
      <c r="AH113" s="1140">
        <f>+AH91</f>
        <v/>
      </c>
      <c r="AI113" s="1140">
        <f>+AI91</f>
        <v/>
      </c>
      <c r="AJ113" s="196">
        <f>+AJ91</f>
        <v/>
      </c>
      <c r="AK113" s="1140">
        <f>+AK91</f>
        <v/>
      </c>
      <c r="AL113" s="1140">
        <f>+AL91</f>
        <v/>
      </c>
      <c r="AM113" s="1140">
        <f>+AM91</f>
        <v/>
      </c>
      <c r="AN113" s="1140">
        <f>+AN91</f>
        <v/>
      </c>
      <c r="AO113" s="1140">
        <f>+AO91</f>
        <v/>
      </c>
      <c r="AP113" s="196">
        <f>+AP91</f>
        <v/>
      </c>
      <c r="AQ113" s="1140">
        <f>+AQ91</f>
        <v/>
      </c>
      <c r="AR113" s="1140">
        <f>+AR91</f>
        <v/>
      </c>
      <c r="AS113" s="1140">
        <f>+AS91</f>
        <v/>
      </c>
      <c r="AT113" s="1140">
        <f>+AT91</f>
        <v/>
      </c>
      <c r="AU113" s="1140">
        <f>+AU91</f>
        <v/>
      </c>
      <c r="AV113" s="196">
        <f>+AV91</f>
        <v/>
      </c>
      <c r="AW113" s="1140">
        <f>+AW91</f>
        <v/>
      </c>
      <c r="AX113" s="1140">
        <f>+AX91</f>
        <v/>
      </c>
      <c r="AY113" s="1140">
        <f>+AY91</f>
        <v/>
      </c>
      <c r="AZ113" s="1140">
        <f>+AZ91</f>
        <v/>
      </c>
      <c r="BA113" s="1140">
        <f>+BA91</f>
        <v/>
      </c>
      <c r="BB113" s="196">
        <f>+BB91</f>
        <v/>
      </c>
      <c r="BC113" s="1140">
        <f>+BC91</f>
        <v/>
      </c>
      <c r="BD113" s="1140">
        <f>+BD91</f>
        <v/>
      </c>
      <c r="BE113" s="1140">
        <f>+BE91</f>
        <v/>
      </c>
      <c r="BF113" s="1140">
        <f>+BF91</f>
        <v/>
      </c>
      <c r="BG113" s="1140">
        <f>+BG91</f>
        <v/>
      </c>
      <c r="BH113" s="196">
        <f>+BH91</f>
        <v/>
      </c>
      <c r="BI113" s="1140">
        <f>+BI91</f>
        <v/>
      </c>
      <c r="BJ113" s="1140">
        <f>+BJ91</f>
        <v/>
      </c>
      <c r="BK113" s="1140">
        <f>+BK91</f>
        <v/>
      </c>
      <c r="BL113" s="1140">
        <f>+BL91</f>
        <v/>
      </c>
      <c r="BM113" s="1140">
        <f>+BM91</f>
        <v/>
      </c>
      <c r="BN113" s="196">
        <f>+BN91</f>
        <v/>
      </c>
    </row>
    <row r="114" ht="12.75" customHeight="1" s="1883">
      <c r="B114" s="56" t="n"/>
      <c r="C114" s="1141" t="inlineStr">
        <is>
          <t>Units Ordered - for Sale</t>
        </is>
      </c>
      <c r="D114" s="55" t="n"/>
      <c r="E114" s="87">
        <f>+'6B. Pre-Launch Exps. - Detail'!P159</f>
        <v/>
      </c>
      <c r="F114" s="87">
        <f>+'6B. Pre-Launch Exps. - Detail'!Q159</f>
        <v/>
      </c>
      <c r="G114" s="87">
        <f>+'3F. Revenue &amp; COGS Assumptions'!I40</f>
        <v/>
      </c>
      <c r="H114" s="87">
        <f>+'3F. Revenue &amp; COGS Assumptions'!J40</f>
        <v/>
      </c>
      <c r="I114" s="87">
        <f>+'3F. Revenue &amp; COGS Assumptions'!K40</f>
        <v/>
      </c>
      <c r="J114" s="87">
        <f>+'3F. Revenue &amp; COGS Assumptions'!L40</f>
        <v/>
      </c>
      <c r="K114" s="87">
        <f>+'3F. Revenue &amp; COGS Assumptions'!M40</f>
        <v/>
      </c>
      <c r="L114" s="1142">
        <f>+'3F. Revenue &amp; COGS Assumptions'!N40</f>
        <v/>
      </c>
      <c r="M114" s="87">
        <f>+'3F. Revenue &amp; COGS Assumptions'!O40</f>
        <v/>
      </c>
      <c r="N114" s="87">
        <f>+'3F. Revenue &amp; COGS Assumptions'!P40</f>
        <v/>
      </c>
      <c r="O114" s="87">
        <f>+'3F. Revenue &amp; COGS Assumptions'!Q40</f>
        <v/>
      </c>
      <c r="P114" s="87">
        <f>+'3F. Revenue &amp; COGS Assumptions'!R40</f>
        <v/>
      </c>
      <c r="Q114" s="1143">
        <f>+'3F. Revenue &amp; COGS Assumptions'!S40</f>
        <v/>
      </c>
      <c r="R114" s="197">
        <f>+'3F. Revenue &amp; COGS Assumptions'!T40</f>
        <v/>
      </c>
      <c r="S114" s="87">
        <f>+'3F. Revenue &amp; COGS Assumptions'!U40</f>
        <v/>
      </c>
      <c r="T114" s="87">
        <f>+'3F. Revenue &amp; COGS Assumptions'!V40</f>
        <v/>
      </c>
      <c r="U114" s="87">
        <f>+'3F. Revenue &amp; COGS Assumptions'!W40</f>
        <v/>
      </c>
      <c r="V114" s="87">
        <f>+'3F. Revenue &amp; COGS Assumptions'!X40</f>
        <v/>
      </c>
      <c r="W114" s="87">
        <f>+'3F. Revenue &amp; COGS Assumptions'!Y40</f>
        <v/>
      </c>
      <c r="X114" s="1142">
        <f>+'3F. Revenue &amp; COGS Assumptions'!Z40</f>
        <v/>
      </c>
      <c r="Y114" s="87">
        <f>+'3F. Revenue &amp; COGS Assumptions'!AA40</f>
        <v/>
      </c>
      <c r="Z114" s="87">
        <f>+'3F. Revenue &amp; COGS Assumptions'!AB40</f>
        <v/>
      </c>
      <c r="AA114" s="87">
        <f>+'3F. Revenue &amp; COGS Assumptions'!AC40</f>
        <v/>
      </c>
      <c r="AB114" s="87">
        <f>+'3F. Revenue &amp; COGS Assumptions'!AD40</f>
        <v/>
      </c>
      <c r="AC114" s="1143">
        <f>+'3F. Revenue &amp; COGS Assumptions'!AE40</f>
        <v/>
      </c>
      <c r="AD114" s="197">
        <f>+'3F. Revenue &amp; COGS Assumptions'!AF40</f>
        <v/>
      </c>
      <c r="AE114" s="87">
        <f>+'3F. Revenue &amp; COGS Assumptions'!AG40</f>
        <v/>
      </c>
      <c r="AF114" s="87">
        <f>+'3F. Revenue &amp; COGS Assumptions'!AH40</f>
        <v/>
      </c>
      <c r="AG114" s="87">
        <f>+'3F. Revenue &amp; COGS Assumptions'!AI40</f>
        <v/>
      </c>
      <c r="AH114" s="87">
        <f>+'3F. Revenue &amp; COGS Assumptions'!AJ40</f>
        <v/>
      </c>
      <c r="AI114" s="87">
        <f>+'3F. Revenue &amp; COGS Assumptions'!AK40</f>
        <v/>
      </c>
      <c r="AJ114" s="1142">
        <f>+'3F. Revenue &amp; COGS Assumptions'!AL40</f>
        <v/>
      </c>
      <c r="AK114" s="87">
        <f>+'3F. Revenue &amp; COGS Assumptions'!AM40</f>
        <v/>
      </c>
      <c r="AL114" s="87">
        <f>+'3F. Revenue &amp; COGS Assumptions'!AN40</f>
        <v/>
      </c>
      <c r="AM114" s="87">
        <f>+'3F. Revenue &amp; COGS Assumptions'!AO40</f>
        <v/>
      </c>
      <c r="AN114" s="87">
        <f>+'3F. Revenue &amp; COGS Assumptions'!AP40</f>
        <v/>
      </c>
      <c r="AO114" s="1143">
        <f>+'3F. Revenue &amp; COGS Assumptions'!AQ40</f>
        <v/>
      </c>
      <c r="AP114" s="197">
        <f>+'3F. Revenue &amp; COGS Assumptions'!AR40</f>
        <v/>
      </c>
      <c r="AQ114" s="87">
        <f>+'3F. Revenue &amp; COGS Assumptions'!AS40</f>
        <v/>
      </c>
      <c r="AR114" s="87">
        <f>+'3F. Revenue &amp; COGS Assumptions'!AT40</f>
        <v/>
      </c>
      <c r="AS114" s="87">
        <f>+'3F. Revenue &amp; COGS Assumptions'!AU40</f>
        <v/>
      </c>
      <c r="AT114" s="87">
        <f>+'3F. Revenue &amp; COGS Assumptions'!AV40</f>
        <v/>
      </c>
      <c r="AU114" s="87">
        <f>+'3F. Revenue &amp; COGS Assumptions'!AW40</f>
        <v/>
      </c>
      <c r="AV114" s="1142">
        <f>+'3F. Revenue &amp; COGS Assumptions'!AX40</f>
        <v/>
      </c>
      <c r="AW114" s="87">
        <f>+'3F. Revenue &amp; COGS Assumptions'!AY40</f>
        <v/>
      </c>
      <c r="AX114" s="87">
        <f>+'3F. Revenue &amp; COGS Assumptions'!AZ40</f>
        <v/>
      </c>
      <c r="AY114" s="87">
        <f>+'3F. Revenue &amp; COGS Assumptions'!BA40</f>
        <v/>
      </c>
      <c r="AZ114" s="87">
        <f>+'3F. Revenue &amp; COGS Assumptions'!BB40</f>
        <v/>
      </c>
      <c r="BA114" s="1143">
        <f>+'3F. Revenue &amp; COGS Assumptions'!BC40</f>
        <v/>
      </c>
      <c r="BB114" s="197">
        <f>+'3F. Revenue &amp; COGS Assumptions'!BD40</f>
        <v/>
      </c>
      <c r="BC114" s="87">
        <f>+'3F. Revenue &amp; COGS Assumptions'!BE40</f>
        <v/>
      </c>
      <c r="BD114" s="87">
        <f>+'3F. Revenue &amp; COGS Assumptions'!BF40</f>
        <v/>
      </c>
      <c r="BE114" s="87">
        <f>+'3F. Revenue &amp; COGS Assumptions'!BG40</f>
        <v/>
      </c>
      <c r="BF114" s="87">
        <f>+'3F. Revenue &amp; COGS Assumptions'!BH40</f>
        <v/>
      </c>
      <c r="BG114" s="87">
        <f>+'3F. Revenue &amp; COGS Assumptions'!BI40</f>
        <v/>
      </c>
      <c r="BH114" s="1142">
        <f>+'3F. Revenue &amp; COGS Assumptions'!BJ40</f>
        <v/>
      </c>
      <c r="BI114" s="87">
        <f>+'3F. Revenue &amp; COGS Assumptions'!BK40</f>
        <v/>
      </c>
      <c r="BJ114" s="87">
        <f>+'3F. Revenue &amp; COGS Assumptions'!BL40</f>
        <v/>
      </c>
      <c r="BK114" s="87">
        <f>+'3F. Revenue &amp; COGS Assumptions'!BM40</f>
        <v/>
      </c>
      <c r="BL114" s="87">
        <f>+'3F. Revenue &amp; COGS Assumptions'!BN40</f>
        <v/>
      </c>
      <c r="BM114" s="1143">
        <f>+BA114</f>
        <v/>
      </c>
      <c r="BN114" s="197">
        <f>+BB114</f>
        <v/>
      </c>
    </row>
    <row r="115" ht="12.75" customHeight="1" s="1883">
      <c r="B115" s="56" t="n"/>
      <c r="C115" s="1141" t="inlineStr">
        <is>
          <t>Value of Order ($)</t>
        </is>
      </c>
      <c r="D115" s="55" t="n"/>
      <c r="E115" s="71">
        <f>+E114*$D$83</f>
        <v/>
      </c>
      <c r="F115" s="71">
        <f>+F114*$D$83</f>
        <v/>
      </c>
      <c r="G115" s="71">
        <f>+G114*$D$83</f>
        <v/>
      </c>
      <c r="H115" s="71">
        <f>+H114*$D$83</f>
        <v/>
      </c>
      <c r="I115" s="71">
        <f>+I114*$D$83</f>
        <v/>
      </c>
      <c r="J115" s="71">
        <f>+J114*$D$83</f>
        <v/>
      </c>
      <c r="K115" s="71">
        <f>+K114*$D$83</f>
        <v/>
      </c>
      <c r="L115" s="1144">
        <f>+L114*$D$83</f>
        <v/>
      </c>
      <c r="M115" s="71">
        <f>+M114*$D$83</f>
        <v/>
      </c>
      <c r="N115" s="71">
        <f>+N114*$D$83</f>
        <v/>
      </c>
      <c r="O115" s="71">
        <f>+O114*$D$83</f>
        <v/>
      </c>
      <c r="P115" s="71">
        <f>+P114*$D$83</f>
        <v/>
      </c>
      <c r="Q115" s="71">
        <f>+Q114*$D$83</f>
        <v/>
      </c>
      <c r="R115" s="1144">
        <f>+R114*$D$83</f>
        <v/>
      </c>
      <c r="S115" s="71">
        <f>+S114*$D$83</f>
        <v/>
      </c>
      <c r="T115" s="71">
        <f>+T114*$D$83</f>
        <v/>
      </c>
      <c r="U115" s="71">
        <f>+U114*$D$83</f>
        <v/>
      </c>
      <c r="V115" s="71">
        <f>+V114*$D$83</f>
        <v/>
      </c>
      <c r="W115" s="71">
        <f>+W114*$D$83</f>
        <v/>
      </c>
      <c r="X115" s="1144">
        <f>+X114*$D$83</f>
        <v/>
      </c>
      <c r="Y115" s="71">
        <f>+Y114*$D$83</f>
        <v/>
      </c>
      <c r="Z115" s="71">
        <f>+Z114*$D$83</f>
        <v/>
      </c>
      <c r="AA115" s="71">
        <f>+AA114*$D$83</f>
        <v/>
      </c>
      <c r="AB115" s="71">
        <f>+AB114*$D$83</f>
        <v/>
      </c>
      <c r="AC115" s="71">
        <f>+AC114*$D$83</f>
        <v/>
      </c>
      <c r="AD115" s="1144">
        <f>+AD114*$D$83</f>
        <v/>
      </c>
      <c r="AE115" s="71">
        <f>+AE114*$D$83</f>
        <v/>
      </c>
      <c r="AF115" s="71">
        <f>+AF114*$D$83</f>
        <v/>
      </c>
      <c r="AG115" s="71">
        <f>+AG114*$D$83</f>
        <v/>
      </c>
      <c r="AH115" s="71">
        <f>+AH114*$D$83</f>
        <v/>
      </c>
      <c r="AI115" s="71">
        <f>+AI114*$D$83</f>
        <v/>
      </c>
      <c r="AJ115" s="1144">
        <f>+AJ114*$D$83</f>
        <v/>
      </c>
      <c r="AK115" s="71">
        <f>+AK114*$D$83</f>
        <v/>
      </c>
      <c r="AL115" s="71">
        <f>+AL114*$D$83</f>
        <v/>
      </c>
      <c r="AM115" s="71">
        <f>+AM114*$D$83</f>
        <v/>
      </c>
      <c r="AN115" s="71">
        <f>+AN114*$D$83</f>
        <v/>
      </c>
      <c r="AO115" s="71">
        <f>+AO114*$D$83</f>
        <v/>
      </c>
      <c r="AP115" s="1144">
        <f>+AP114*$D$83</f>
        <v/>
      </c>
      <c r="AQ115" s="71">
        <f>+AQ114*$D$83</f>
        <v/>
      </c>
      <c r="AR115" s="71">
        <f>+AR114*$D$83</f>
        <v/>
      </c>
      <c r="AS115" s="71">
        <f>+AS114*$D$83</f>
        <v/>
      </c>
      <c r="AT115" s="71">
        <f>+AT114*$D$83</f>
        <v/>
      </c>
      <c r="AU115" s="71">
        <f>+AU114*$D$83</f>
        <v/>
      </c>
      <c r="AV115" s="1144">
        <f>+AV114*$D$83</f>
        <v/>
      </c>
      <c r="AW115" s="71">
        <f>+AW114*$D$83</f>
        <v/>
      </c>
      <c r="AX115" s="71">
        <f>+AX114*$D$83</f>
        <v/>
      </c>
      <c r="AY115" s="71">
        <f>+AY114*$D$83</f>
        <v/>
      </c>
      <c r="AZ115" s="71">
        <f>+AZ114*$D$83</f>
        <v/>
      </c>
      <c r="BA115" s="71">
        <f>+BA114*$D$83</f>
        <v/>
      </c>
      <c r="BB115" s="1144">
        <f>+BB114*$D$83</f>
        <v/>
      </c>
      <c r="BC115" s="71">
        <f>+BC114*$D$83</f>
        <v/>
      </c>
      <c r="BD115" s="71">
        <f>+BD114*$D$83</f>
        <v/>
      </c>
      <c r="BE115" s="71">
        <f>+BE114*$D$83</f>
        <v/>
      </c>
      <c r="BF115" s="71">
        <f>+BF114*$D$83</f>
        <v/>
      </c>
      <c r="BG115" s="71">
        <f>+BG114*$D$83</f>
        <v/>
      </c>
      <c r="BH115" s="1144">
        <f>+BH114*$D$83</f>
        <v/>
      </c>
      <c r="BI115" s="71">
        <f>+BI114*$D$83</f>
        <v/>
      </c>
      <c r="BJ115" s="71">
        <f>+BJ114*$D$83</f>
        <v/>
      </c>
      <c r="BK115" s="71">
        <f>+BK114*$D$83</f>
        <v/>
      </c>
      <c r="BL115" s="71">
        <f>+BL114*$D$83</f>
        <v/>
      </c>
      <c r="BM115" s="71">
        <f>+BM114*$D$83</f>
        <v/>
      </c>
      <c r="BN115" s="1144">
        <f>+BN114*$D$83</f>
        <v/>
      </c>
    </row>
    <row r="116" ht="12.75" customHeight="1" s="1883">
      <c r="B116" s="56" t="n"/>
      <c r="C116" s="1141" t="n"/>
      <c r="D116" s="55" t="n"/>
      <c r="E116" s="57" t="n"/>
      <c r="F116" s="57" t="n"/>
      <c r="G116" s="87" t="n"/>
      <c r="H116" s="87" t="n"/>
      <c r="I116" s="87" t="n"/>
      <c r="J116" s="87" t="n"/>
      <c r="K116" s="87" t="n"/>
      <c r="L116" s="1142" t="n"/>
      <c r="M116" s="87" t="n"/>
      <c r="N116" s="87" t="n"/>
      <c r="O116" s="87" t="n"/>
      <c r="P116" s="87" t="n"/>
      <c r="Q116" s="87" t="n"/>
      <c r="R116" s="1142" t="n"/>
      <c r="S116" s="59" t="n"/>
      <c r="T116" s="59" t="n"/>
      <c r="U116" s="59" t="n"/>
      <c r="V116" s="59" t="n"/>
      <c r="W116" s="59" t="n"/>
      <c r="X116" s="1039" t="n"/>
      <c r="Y116" s="59" t="n"/>
      <c r="Z116" s="59" t="n"/>
      <c r="AA116" s="59" t="n"/>
      <c r="AB116" s="59" t="n"/>
      <c r="AC116" s="59" t="n"/>
      <c r="AD116" s="1039" t="n"/>
      <c r="AE116" s="59" t="n"/>
      <c r="AF116" s="59" t="n"/>
      <c r="AG116" s="59" t="n"/>
      <c r="AH116" s="59" t="n"/>
      <c r="AI116" s="59" t="n"/>
      <c r="AJ116" s="1039" t="n"/>
      <c r="AK116" s="59" t="n"/>
      <c r="AL116" s="59" t="n"/>
      <c r="AM116" s="59" t="n"/>
      <c r="AN116" s="59" t="n"/>
      <c r="AO116" s="59" t="n"/>
      <c r="AP116" s="1039" t="n"/>
      <c r="AQ116" s="59" t="n"/>
      <c r="AR116" s="59" t="n"/>
      <c r="AS116" s="59" t="n"/>
      <c r="AT116" s="59" t="n"/>
      <c r="AU116" s="59" t="n"/>
      <c r="AV116" s="1039" t="n"/>
      <c r="AW116" s="59" t="n"/>
      <c r="AX116" s="59" t="n"/>
      <c r="AY116" s="59" t="n"/>
      <c r="AZ116" s="59" t="n"/>
      <c r="BA116" s="59" t="n"/>
      <c r="BB116" s="1039" t="n"/>
      <c r="BC116" s="59" t="n"/>
      <c r="BD116" s="59" t="n"/>
      <c r="BE116" s="59" t="n"/>
      <c r="BF116" s="59" t="n"/>
      <c r="BG116" s="59" t="n"/>
      <c r="BH116" s="1039" t="n"/>
      <c r="BI116" s="59" t="n"/>
      <c r="BJ116" s="59" t="n"/>
      <c r="BK116" s="59" t="n"/>
      <c r="BL116" s="59" t="n"/>
      <c r="BM116" s="59" t="n"/>
      <c r="BN116" s="1039" t="n"/>
    </row>
    <row r="117" ht="12.75" customHeight="1" s="1883">
      <c r="B117" s="56" t="n"/>
      <c r="C117" s="1141" t="inlineStr">
        <is>
          <t>Units Received - for Sale</t>
        </is>
      </c>
      <c r="D117" s="55" t="n"/>
      <c r="E117" s="87">
        <f>+D114</f>
        <v/>
      </c>
      <c r="F117" s="87">
        <f>+D114</f>
        <v/>
      </c>
      <c r="G117" s="87">
        <f>+E114</f>
        <v/>
      </c>
      <c r="H117" s="87">
        <f>+F114</f>
        <v/>
      </c>
      <c r="I117" s="87">
        <f>+G114</f>
        <v/>
      </c>
      <c r="J117" s="87">
        <f>+H114</f>
        <v/>
      </c>
      <c r="K117" s="87">
        <f>+I114</f>
        <v/>
      </c>
      <c r="L117" s="1142">
        <f>+J114</f>
        <v/>
      </c>
      <c r="M117" s="87">
        <f>+K114</f>
        <v/>
      </c>
      <c r="N117" s="87">
        <f>+L114</f>
        <v/>
      </c>
      <c r="O117" s="87">
        <f>+M114</f>
        <v/>
      </c>
      <c r="P117" s="87">
        <f>+N114</f>
        <v/>
      </c>
      <c r="Q117" s="87">
        <f>+O114</f>
        <v/>
      </c>
      <c r="R117" s="1142">
        <f>+P114</f>
        <v/>
      </c>
      <c r="S117" s="87">
        <f>+Q114</f>
        <v/>
      </c>
      <c r="T117" s="87">
        <f>+R114</f>
        <v/>
      </c>
      <c r="U117" s="87">
        <f>+S114</f>
        <v/>
      </c>
      <c r="V117" s="87">
        <f>+T114</f>
        <v/>
      </c>
      <c r="W117" s="87">
        <f>+U114</f>
        <v/>
      </c>
      <c r="X117" s="1142">
        <f>+V114</f>
        <v/>
      </c>
      <c r="Y117" s="87">
        <f>+W114</f>
        <v/>
      </c>
      <c r="Z117" s="87">
        <f>+X114</f>
        <v/>
      </c>
      <c r="AA117" s="87">
        <f>+Y114</f>
        <v/>
      </c>
      <c r="AB117" s="87">
        <f>+Z114</f>
        <v/>
      </c>
      <c r="AC117" s="87">
        <f>+AA114</f>
        <v/>
      </c>
      <c r="AD117" s="1142">
        <f>+AB114</f>
        <v/>
      </c>
      <c r="AE117" s="87">
        <f>+AC114</f>
        <v/>
      </c>
      <c r="AF117" s="87">
        <f>+AD114</f>
        <v/>
      </c>
      <c r="AG117" s="87">
        <f>+AE114</f>
        <v/>
      </c>
      <c r="AH117" s="87">
        <f>+AF114</f>
        <v/>
      </c>
      <c r="AI117" s="87">
        <f>+AG114</f>
        <v/>
      </c>
      <c r="AJ117" s="1142">
        <f>+AH114</f>
        <v/>
      </c>
      <c r="AK117" s="87">
        <f>+AI114</f>
        <v/>
      </c>
      <c r="AL117" s="87">
        <f>+AJ114</f>
        <v/>
      </c>
      <c r="AM117" s="87">
        <f>+AK114</f>
        <v/>
      </c>
      <c r="AN117" s="87">
        <f>+AL114</f>
        <v/>
      </c>
      <c r="AO117" s="87">
        <f>+AM114</f>
        <v/>
      </c>
      <c r="AP117" s="1142">
        <f>+AN114</f>
        <v/>
      </c>
      <c r="AQ117" s="87">
        <f>+AO114</f>
        <v/>
      </c>
      <c r="AR117" s="87">
        <f>+AP114</f>
        <v/>
      </c>
      <c r="AS117" s="87">
        <f>+AQ114</f>
        <v/>
      </c>
      <c r="AT117" s="87">
        <f>+AR114</f>
        <v/>
      </c>
      <c r="AU117" s="87">
        <f>+AS114</f>
        <v/>
      </c>
      <c r="AV117" s="1142">
        <f>+AT114</f>
        <v/>
      </c>
      <c r="AW117" s="87">
        <f>+AU114</f>
        <v/>
      </c>
      <c r="AX117" s="87">
        <f>+AV114</f>
        <v/>
      </c>
      <c r="AY117" s="87">
        <f>+AW114</f>
        <v/>
      </c>
      <c r="AZ117" s="87">
        <f>+AX114</f>
        <v/>
      </c>
      <c r="BA117" s="87">
        <f>+AY114</f>
        <v/>
      </c>
      <c r="BB117" s="1142">
        <f>+AZ114</f>
        <v/>
      </c>
      <c r="BC117" s="87">
        <f>+BA114</f>
        <v/>
      </c>
      <c r="BD117" s="87">
        <f>+BB114</f>
        <v/>
      </c>
      <c r="BE117" s="87">
        <f>+BC114</f>
        <v/>
      </c>
      <c r="BF117" s="87">
        <f>+BD114</f>
        <v/>
      </c>
      <c r="BG117" s="87">
        <f>+BE114</f>
        <v/>
      </c>
      <c r="BH117" s="1142">
        <f>+BF114</f>
        <v/>
      </c>
      <c r="BI117" s="87">
        <f>+BG114</f>
        <v/>
      </c>
      <c r="BJ117" s="87">
        <f>+BH114</f>
        <v/>
      </c>
      <c r="BK117" s="87">
        <f>+BI114</f>
        <v/>
      </c>
      <c r="BL117" s="87">
        <f>+BJ114</f>
        <v/>
      </c>
      <c r="BM117" s="87">
        <f>+BK114</f>
        <v/>
      </c>
      <c r="BN117" s="1142">
        <f>+BL114</f>
        <v/>
      </c>
    </row>
    <row r="118" ht="12.75" customHeight="1" s="1883">
      <c r="B118" s="56" t="n"/>
      <c r="C118" s="1038" t="n"/>
      <c r="D118" s="55" t="n"/>
      <c r="E118" s="57" t="n"/>
      <c r="F118" s="57" t="n"/>
      <c r="G118" s="87" t="n"/>
      <c r="H118" s="87" t="n"/>
      <c r="I118" s="87" t="n"/>
      <c r="J118" s="87" t="n"/>
      <c r="K118" s="87" t="n"/>
      <c r="L118" s="1142" t="n"/>
      <c r="M118" s="87" t="n"/>
      <c r="N118" s="87" t="n"/>
      <c r="O118" s="87" t="n"/>
      <c r="P118" s="87" t="n"/>
      <c r="Q118" s="87" t="n"/>
      <c r="R118" s="1142" t="n"/>
      <c r="S118" s="59" t="n"/>
      <c r="T118" s="59" t="n"/>
      <c r="U118" s="59" t="n"/>
      <c r="V118" s="59" t="n"/>
      <c r="W118" s="59" t="n"/>
      <c r="X118" s="1039" t="n"/>
      <c r="Y118" s="59" t="n"/>
      <c r="Z118" s="59" t="n"/>
      <c r="AA118" s="59" t="n"/>
      <c r="AB118" s="59" t="n"/>
      <c r="AC118" s="59" t="n"/>
      <c r="AD118" s="1039" t="n"/>
      <c r="AE118" s="59" t="n"/>
      <c r="AF118" s="59" t="n"/>
      <c r="AG118" s="59" t="n"/>
      <c r="AH118" s="59" t="n"/>
      <c r="AI118" s="59" t="n"/>
      <c r="AJ118" s="1039" t="n"/>
      <c r="AK118" s="59" t="n"/>
      <c r="AL118" s="59" t="n"/>
      <c r="AM118" s="59" t="n"/>
      <c r="AN118" s="59" t="n"/>
      <c r="AO118" s="59" t="n"/>
      <c r="AP118" s="1039" t="n"/>
      <c r="AQ118" s="59" t="n"/>
      <c r="AR118" s="59" t="n"/>
      <c r="AS118" s="59" t="n"/>
      <c r="AT118" s="59" t="n"/>
      <c r="AU118" s="59" t="n"/>
      <c r="AV118" s="1039" t="n"/>
      <c r="AW118" s="59" t="n"/>
      <c r="AX118" s="59" t="n"/>
      <c r="AY118" s="59" t="n"/>
      <c r="AZ118" s="59" t="n"/>
      <c r="BA118" s="59" t="n"/>
      <c r="BB118" s="1039" t="n"/>
      <c r="BC118" s="59" t="n"/>
      <c r="BD118" s="59" t="n"/>
      <c r="BE118" s="59" t="n"/>
      <c r="BF118" s="59" t="n"/>
      <c r="BG118" s="59" t="n"/>
      <c r="BH118" s="1039" t="n"/>
      <c r="BI118" s="59" t="n"/>
      <c r="BJ118" s="59" t="n"/>
      <c r="BK118" s="59" t="n"/>
      <c r="BL118" s="59" t="n"/>
      <c r="BM118" s="59" t="n"/>
      <c r="BN118" s="1039" t="n"/>
    </row>
    <row r="119" ht="12.75" customHeight="1" s="1883">
      <c r="B119" s="56" t="inlineStr">
        <is>
          <t>BS</t>
        </is>
      </c>
      <c r="C119" s="1114" t="inlineStr">
        <is>
          <t>Inventory Value - for Sale</t>
        </is>
      </c>
      <c r="D119" s="88" t="n"/>
      <c r="E119" s="198" t="n">
        <v>0</v>
      </c>
      <c r="F119" s="198">
        <f>E119+E115-'3F. Revenue &amp; COGS Assumptions'!F68</f>
        <v/>
      </c>
      <c r="G119" s="198">
        <f>F119+F115-'3F. Revenue &amp; COGS Assumptions'!G68</f>
        <v/>
      </c>
      <c r="H119" s="198">
        <f>G119+G115-'3F. Revenue &amp; COGS Assumptions'!H68</f>
        <v/>
      </c>
      <c r="I119" s="198">
        <f>H119+H115-'3F. Revenue &amp; COGS Assumptions'!I68</f>
        <v/>
      </c>
      <c r="J119" s="198">
        <f>I119+I115-'3F. Revenue &amp; COGS Assumptions'!J68</f>
        <v/>
      </c>
      <c r="K119" s="198">
        <f>J119+J115-'3F. Revenue &amp; COGS Assumptions'!K68</f>
        <v/>
      </c>
      <c r="L119" s="1145">
        <f>K119+K115-'3F. Revenue &amp; COGS Assumptions'!L68</f>
        <v/>
      </c>
      <c r="M119" s="198">
        <f>L119+L115-'3F. Revenue &amp; COGS Assumptions'!M68</f>
        <v/>
      </c>
      <c r="N119" s="198">
        <f>M119+M115-'3F. Revenue &amp; COGS Assumptions'!N68</f>
        <v/>
      </c>
      <c r="O119" s="198">
        <f>N119+N115-'3F. Revenue &amp; COGS Assumptions'!O68</f>
        <v/>
      </c>
      <c r="P119" s="198">
        <f>O119+O115-'3F. Revenue &amp; COGS Assumptions'!P68</f>
        <v/>
      </c>
      <c r="Q119" s="198">
        <f>P119+P115-'3F. Revenue &amp; COGS Assumptions'!Q68</f>
        <v/>
      </c>
      <c r="R119" s="1145">
        <f>Q119+Q115-'3F. Revenue &amp; COGS Assumptions'!R68</f>
        <v/>
      </c>
      <c r="S119" s="198">
        <f>R119+R115-'3F. Revenue &amp; COGS Assumptions'!S68</f>
        <v/>
      </c>
      <c r="T119" s="198">
        <f>S119+S115-'3F. Revenue &amp; COGS Assumptions'!T68</f>
        <v/>
      </c>
      <c r="U119" s="198">
        <f>T119+T115-'3F. Revenue &amp; COGS Assumptions'!U68</f>
        <v/>
      </c>
      <c r="V119" s="198">
        <f>U119+U115-'3F. Revenue &amp; COGS Assumptions'!V68</f>
        <v/>
      </c>
      <c r="W119" s="198">
        <f>V119+V115-'3F. Revenue &amp; COGS Assumptions'!W68</f>
        <v/>
      </c>
      <c r="X119" s="1145">
        <f>W119+W115-'3F. Revenue &amp; COGS Assumptions'!X68</f>
        <v/>
      </c>
      <c r="Y119" s="198">
        <f>X119+X115-'3F. Revenue &amp; COGS Assumptions'!Y68</f>
        <v/>
      </c>
      <c r="Z119" s="198">
        <f>Y119+Y115-'3F. Revenue &amp; COGS Assumptions'!Z68</f>
        <v/>
      </c>
      <c r="AA119" s="198">
        <f>Z119+Z115-'3F. Revenue &amp; COGS Assumptions'!AA68</f>
        <v/>
      </c>
      <c r="AB119" s="198">
        <f>AA119+AA115-'3F. Revenue &amp; COGS Assumptions'!AB68</f>
        <v/>
      </c>
      <c r="AC119" s="198">
        <f>AB119+AB115-'3F. Revenue &amp; COGS Assumptions'!AC68</f>
        <v/>
      </c>
      <c r="AD119" s="1145">
        <f>AC119+AC115-'3F. Revenue &amp; COGS Assumptions'!AD68</f>
        <v/>
      </c>
      <c r="AE119" s="198">
        <f>AD119+AD115-'3F. Revenue &amp; COGS Assumptions'!AE68</f>
        <v/>
      </c>
      <c r="AF119" s="198">
        <f>AE119+AE115-'3F. Revenue &amp; COGS Assumptions'!AF68</f>
        <v/>
      </c>
      <c r="AG119" s="198">
        <f>AF119+AF115-'3F. Revenue &amp; COGS Assumptions'!AG68</f>
        <v/>
      </c>
      <c r="AH119" s="198">
        <f>AG119+AG115-'3F. Revenue &amp; COGS Assumptions'!AH68</f>
        <v/>
      </c>
      <c r="AI119" s="198">
        <f>AH119+AH115-'3F. Revenue &amp; COGS Assumptions'!AI68</f>
        <v/>
      </c>
      <c r="AJ119" s="1145">
        <f>AI119+AI115-'3F. Revenue &amp; COGS Assumptions'!AJ68</f>
        <v/>
      </c>
      <c r="AK119" s="198">
        <f>AJ119+AJ115-'3F. Revenue &amp; COGS Assumptions'!AK68</f>
        <v/>
      </c>
      <c r="AL119" s="198">
        <f>AK119+AK115-'3F. Revenue &amp; COGS Assumptions'!AL68</f>
        <v/>
      </c>
      <c r="AM119" s="198">
        <f>AL119+AL115-'3F. Revenue &amp; COGS Assumptions'!AM68</f>
        <v/>
      </c>
      <c r="AN119" s="198">
        <f>AM119+AM115-'3F. Revenue &amp; COGS Assumptions'!AN68</f>
        <v/>
      </c>
      <c r="AO119" s="198">
        <f>AN119+AN115-'3F. Revenue &amp; COGS Assumptions'!AO68</f>
        <v/>
      </c>
      <c r="AP119" s="1145">
        <f>AO119+AO115-'3F. Revenue &amp; COGS Assumptions'!AP68</f>
        <v/>
      </c>
      <c r="AQ119" s="198">
        <f>AP119+AP115-'3F. Revenue &amp; COGS Assumptions'!AQ68</f>
        <v/>
      </c>
      <c r="AR119" s="198">
        <f>AQ119+AQ115-'3F. Revenue &amp; COGS Assumptions'!AR68</f>
        <v/>
      </c>
      <c r="AS119" s="198">
        <f>AR119+AR115-'3F. Revenue &amp; COGS Assumptions'!AS68</f>
        <v/>
      </c>
      <c r="AT119" s="198">
        <f>AS119+AS115-'3F. Revenue &amp; COGS Assumptions'!AT68</f>
        <v/>
      </c>
      <c r="AU119" s="198">
        <f>AT119+AT115-'3F. Revenue &amp; COGS Assumptions'!AU68</f>
        <v/>
      </c>
      <c r="AV119" s="1145">
        <f>AU119+AU115-'3F. Revenue &amp; COGS Assumptions'!AV68</f>
        <v/>
      </c>
      <c r="AW119" s="198">
        <f>AV119+AV115-'3F. Revenue &amp; COGS Assumptions'!AW68</f>
        <v/>
      </c>
      <c r="AX119" s="198">
        <f>AW119+AW115-'3F. Revenue &amp; COGS Assumptions'!AX68</f>
        <v/>
      </c>
      <c r="AY119" s="198">
        <f>AX119+AX115-'3F. Revenue &amp; COGS Assumptions'!AY68</f>
        <v/>
      </c>
      <c r="AZ119" s="198">
        <f>AY119+AY115-'3F. Revenue &amp; COGS Assumptions'!AZ68</f>
        <v/>
      </c>
      <c r="BA119" s="198">
        <f>AZ119+AZ115-'3F. Revenue &amp; COGS Assumptions'!BA68</f>
        <v/>
      </c>
      <c r="BB119" s="1145">
        <f>BA119+BA115-'3F. Revenue &amp; COGS Assumptions'!BB68</f>
        <v/>
      </c>
      <c r="BC119" s="198">
        <f>BB119+BB115-'3F. Revenue &amp; COGS Assumptions'!BC68</f>
        <v/>
      </c>
      <c r="BD119" s="198">
        <f>BC119+BC115-'3F. Revenue &amp; COGS Assumptions'!BD68</f>
        <v/>
      </c>
      <c r="BE119" s="198">
        <f>BD119+BD115-'3F. Revenue &amp; COGS Assumptions'!BE68</f>
        <v/>
      </c>
      <c r="BF119" s="198">
        <f>BE119+BE115-'3F. Revenue &amp; COGS Assumptions'!BF68</f>
        <v/>
      </c>
      <c r="BG119" s="198">
        <f>BF119+BF115-'3F. Revenue &amp; COGS Assumptions'!BG68</f>
        <v/>
      </c>
      <c r="BH119" s="1145">
        <f>BG119+BG115-'3F. Revenue &amp; COGS Assumptions'!BH68</f>
        <v/>
      </c>
      <c r="BI119" s="198">
        <f>BH119+BH115-'3F. Revenue &amp; COGS Assumptions'!BI68</f>
        <v/>
      </c>
      <c r="BJ119" s="198">
        <f>BI119+BI115-'3F. Revenue &amp; COGS Assumptions'!BJ68</f>
        <v/>
      </c>
      <c r="BK119" s="198">
        <f>BJ119+BJ115-'3F. Revenue &amp; COGS Assumptions'!BK68</f>
        <v/>
      </c>
      <c r="BL119" s="198">
        <f>BK119+BK115-'3F. Revenue &amp; COGS Assumptions'!BL68</f>
        <v/>
      </c>
      <c r="BM119" s="198">
        <f>BL119+BL115-'3F. Revenue &amp; COGS Assumptions'!BM68</f>
        <v/>
      </c>
      <c r="BN119" s="1145">
        <f>BM119+BM115-'3F. Revenue &amp; COGS Assumptions'!BN68</f>
        <v/>
      </c>
    </row>
    <row r="120" ht="12.75" customHeight="1" s="1883">
      <c r="B120" s="56" t="n"/>
      <c r="C120" s="1038" t="n"/>
      <c r="D120" s="55" t="n"/>
      <c r="E120" s="57" t="n"/>
      <c r="F120" s="57" t="n"/>
      <c r="G120" s="87" t="n"/>
      <c r="H120" s="87" t="n"/>
      <c r="I120" s="87" t="n"/>
      <c r="J120" s="87" t="n"/>
      <c r="K120" s="87" t="n"/>
      <c r="L120" s="1142" t="n"/>
      <c r="M120" s="87" t="n"/>
      <c r="N120" s="87" t="n"/>
      <c r="O120" s="87" t="n"/>
      <c r="P120" s="87" t="n"/>
      <c r="Q120" s="87" t="n"/>
      <c r="R120" s="1142" t="n"/>
      <c r="S120" s="87" t="n"/>
      <c r="T120" s="87" t="n"/>
      <c r="U120" s="87" t="n"/>
      <c r="V120" s="87" t="n"/>
      <c r="W120" s="87" t="n"/>
      <c r="X120" s="1142" t="n"/>
      <c r="Y120" s="87" t="n"/>
      <c r="Z120" s="87" t="n"/>
      <c r="AA120" s="87" t="n"/>
      <c r="AB120" s="87" t="n"/>
      <c r="AC120" s="87" t="n"/>
      <c r="AD120" s="1142" t="n"/>
      <c r="AE120" s="87" t="n"/>
      <c r="AF120" s="87" t="n"/>
      <c r="AG120" s="87" t="n"/>
      <c r="AH120" s="87" t="n"/>
      <c r="AI120" s="87" t="n"/>
      <c r="AJ120" s="1142" t="n"/>
      <c r="AK120" s="87" t="n"/>
      <c r="AL120" s="87" t="n"/>
      <c r="AM120" s="87" t="n"/>
      <c r="AN120" s="87" t="n"/>
      <c r="AO120" s="87" t="n"/>
      <c r="AP120" s="1142" t="n"/>
      <c r="AQ120" s="87" t="n"/>
      <c r="AR120" s="87" t="n"/>
      <c r="AS120" s="87" t="n"/>
      <c r="AT120" s="87" t="n"/>
      <c r="AU120" s="87" t="n"/>
      <c r="AV120" s="1142" t="n"/>
      <c r="AW120" s="87" t="n"/>
      <c r="AX120" s="87" t="n"/>
      <c r="AY120" s="87" t="n"/>
      <c r="AZ120" s="87" t="n"/>
      <c r="BA120" s="87" t="n"/>
      <c r="BB120" s="1142" t="n"/>
      <c r="BC120" s="87" t="n"/>
      <c r="BD120" s="87" t="n"/>
      <c r="BE120" s="87" t="n"/>
      <c r="BF120" s="87" t="n"/>
      <c r="BG120" s="87" t="n"/>
      <c r="BH120" s="1142" t="n"/>
      <c r="BI120" s="87" t="n"/>
      <c r="BJ120" s="87" t="n"/>
      <c r="BK120" s="87" t="n"/>
      <c r="BL120" s="87" t="n"/>
      <c r="BM120" s="87" t="n"/>
      <c r="BN120" s="1142" t="n"/>
    </row>
    <row r="121" ht="12.75" customHeight="1" s="1883">
      <c r="B121" s="56" t="n"/>
      <c r="C121" s="1141" t="inlineStr">
        <is>
          <t>Units Ordered - for Warranty</t>
        </is>
      </c>
      <c r="D121" s="55" t="n"/>
      <c r="E121" s="87">
        <f>+'6B. Pre-Launch Exps. - Detail'!P160</f>
        <v/>
      </c>
      <c r="F121" s="87">
        <f>+'6B. Pre-Launch Exps. - Detail'!Q160</f>
        <v/>
      </c>
      <c r="G121" s="87">
        <f>+ROUNDDOWN(G114*$D$88,0)</f>
        <v/>
      </c>
      <c r="H121" s="87">
        <f>+ROUNDDOWN(H114*$D$88,0)</f>
        <v/>
      </c>
      <c r="I121" s="87">
        <f>+ROUNDDOWN(I114*$D$88,0)</f>
        <v/>
      </c>
      <c r="J121" s="87">
        <f>+ROUNDDOWN(J114*$D$88,0)</f>
        <v/>
      </c>
      <c r="K121" s="87">
        <f>+ROUNDDOWN(K114*$D$88,0)</f>
        <v/>
      </c>
      <c r="L121" s="1142">
        <f>+ROUNDDOWN(L114*$D$88,0)</f>
        <v/>
      </c>
      <c r="M121" s="87">
        <f>+ROUNDDOWN(M114*$D$88,0)</f>
        <v/>
      </c>
      <c r="N121" s="87">
        <f>+ROUNDDOWN(N114*$D$88,0)</f>
        <v/>
      </c>
      <c r="O121" s="87">
        <f>+ROUNDDOWN(O114*$D$88,0)</f>
        <v/>
      </c>
      <c r="P121" s="87">
        <f>+ROUNDDOWN(P114*$D$88,0)</f>
        <v/>
      </c>
      <c r="Q121" s="87">
        <f>+ROUNDDOWN(Q114*$D$88,0)</f>
        <v/>
      </c>
      <c r="R121" s="1142">
        <f>+ROUNDDOWN(R114*$D$88,0)</f>
        <v/>
      </c>
      <c r="S121" s="87">
        <f>+ROUNDDOWN(S114*$D$88,0)</f>
        <v/>
      </c>
      <c r="T121" s="87">
        <f>+ROUNDDOWN(T114*$D$88,0)</f>
        <v/>
      </c>
      <c r="U121" s="87">
        <f>+ROUNDDOWN(U114*$D$88,0)</f>
        <v/>
      </c>
      <c r="V121" s="87">
        <f>+ROUNDDOWN(V114*$D$88,0)</f>
        <v/>
      </c>
      <c r="W121" s="87">
        <f>+ROUNDDOWN(W114*$D$88,0)</f>
        <v/>
      </c>
      <c r="X121" s="1142">
        <f>+ROUNDDOWN(X114*$D$88,0)</f>
        <v/>
      </c>
      <c r="Y121" s="87">
        <f>+ROUNDDOWN(Y114*$D$88,0)</f>
        <v/>
      </c>
      <c r="Z121" s="87">
        <f>+ROUNDDOWN(Z114*$D$88,0)</f>
        <v/>
      </c>
      <c r="AA121" s="87">
        <f>+ROUNDDOWN(AA114*$D$88,0)</f>
        <v/>
      </c>
      <c r="AB121" s="87">
        <f>+ROUNDDOWN(AB114*$D$88,0)</f>
        <v/>
      </c>
      <c r="AC121" s="87">
        <f>+ROUNDDOWN(AC114*$D$88,0)</f>
        <v/>
      </c>
      <c r="AD121" s="1142">
        <f>+ROUNDDOWN(AD114*$D$88,0)</f>
        <v/>
      </c>
      <c r="AE121" s="87">
        <f>+ROUNDDOWN(AE114*$D$88,0)</f>
        <v/>
      </c>
      <c r="AF121" s="87">
        <f>+ROUNDDOWN(AF114*$D$88,0)</f>
        <v/>
      </c>
      <c r="AG121" s="87">
        <f>+ROUNDDOWN(AG114*$D$88,0)</f>
        <v/>
      </c>
      <c r="AH121" s="87">
        <f>+ROUNDDOWN(AH114*$D$88,0)</f>
        <v/>
      </c>
      <c r="AI121" s="87">
        <f>+ROUNDDOWN(AI114*$D$88,0)</f>
        <v/>
      </c>
      <c r="AJ121" s="1142">
        <f>+ROUNDDOWN(AJ114*$D$88,0)</f>
        <v/>
      </c>
      <c r="AK121" s="87">
        <f>+ROUNDDOWN(AK114*$D$88,0)</f>
        <v/>
      </c>
      <c r="AL121" s="87">
        <f>+ROUNDDOWN(AL114*$D$88,0)</f>
        <v/>
      </c>
      <c r="AM121" s="87">
        <f>+ROUNDDOWN(AM114*$D$88,0)</f>
        <v/>
      </c>
      <c r="AN121" s="87">
        <f>+ROUNDDOWN(AN114*$D$88,0)</f>
        <v/>
      </c>
      <c r="AO121" s="87">
        <f>+ROUNDDOWN(AO114*$D$88,0)</f>
        <v/>
      </c>
      <c r="AP121" s="1142">
        <f>+ROUNDDOWN(AP114*$D$88,0)</f>
        <v/>
      </c>
      <c r="AQ121" s="87">
        <f>+ROUNDDOWN(AQ114*$D$88,0)</f>
        <v/>
      </c>
      <c r="AR121" s="87">
        <f>+ROUNDDOWN(AR114*$D$88,0)</f>
        <v/>
      </c>
      <c r="AS121" s="87">
        <f>+ROUNDDOWN(AS114*$D$88,0)</f>
        <v/>
      </c>
      <c r="AT121" s="87">
        <f>+ROUNDDOWN(AT114*$D$88,0)</f>
        <v/>
      </c>
      <c r="AU121" s="87">
        <f>+ROUNDDOWN(AU114*$D$88,0)</f>
        <v/>
      </c>
      <c r="AV121" s="1142">
        <f>+ROUNDDOWN(AV114*$D$88,0)</f>
        <v/>
      </c>
      <c r="AW121" s="87">
        <f>+ROUNDDOWN(AW114*$D$88,0)</f>
        <v/>
      </c>
      <c r="AX121" s="87">
        <f>+ROUNDDOWN(AX114*$D$88,0)</f>
        <v/>
      </c>
      <c r="AY121" s="87">
        <f>+ROUNDDOWN(AY114*$D$88,0)</f>
        <v/>
      </c>
      <c r="AZ121" s="87">
        <f>+ROUNDDOWN(AZ114*$D$88,0)</f>
        <v/>
      </c>
      <c r="BA121" s="87">
        <f>+ROUNDDOWN(BA114*$D$88,0)</f>
        <v/>
      </c>
      <c r="BB121" s="1142">
        <f>+ROUNDDOWN(BB114*$D$88,0)</f>
        <v/>
      </c>
      <c r="BC121" s="87">
        <f>+ROUNDDOWN(BC114*$D$88,0)</f>
        <v/>
      </c>
      <c r="BD121" s="87">
        <f>+ROUNDDOWN(BD114*$D$88,0)</f>
        <v/>
      </c>
      <c r="BE121" s="87">
        <f>+ROUNDDOWN(BE114*$D$88,0)</f>
        <v/>
      </c>
      <c r="BF121" s="87">
        <f>+ROUNDDOWN(BF114*$D$88,0)</f>
        <v/>
      </c>
      <c r="BG121" s="87">
        <f>+ROUNDDOWN(BG114*$D$88,0)</f>
        <v/>
      </c>
      <c r="BH121" s="1142">
        <f>+ROUNDDOWN(BH114*$D$88,0)</f>
        <v/>
      </c>
      <c r="BI121" s="87">
        <f>+ROUNDDOWN(BI114*$D$88,0)</f>
        <v/>
      </c>
      <c r="BJ121" s="87">
        <f>+ROUNDDOWN(BJ114*$D$88,0)</f>
        <v/>
      </c>
      <c r="BK121" s="87">
        <f>+ROUNDDOWN(BK114*$D$88,0)</f>
        <v/>
      </c>
      <c r="BL121" s="87">
        <f>+ROUNDDOWN(BL114*$D$88,0)</f>
        <v/>
      </c>
      <c r="BM121" s="87">
        <f>+ROUNDDOWN(BM114*$D$88,0)</f>
        <v/>
      </c>
      <c r="BN121" s="1142">
        <f>+ROUNDDOWN(BN114*$D$88,0)</f>
        <v/>
      </c>
    </row>
    <row r="122" ht="12.75" customHeight="1" s="1883">
      <c r="B122" s="56" t="n"/>
      <c r="C122" s="1141" t="inlineStr">
        <is>
          <t>Value of Order ($)</t>
        </is>
      </c>
      <c r="D122" s="55" t="n"/>
      <c r="E122" s="71">
        <f>+E121*$D$83</f>
        <v/>
      </c>
      <c r="F122" s="71">
        <f>+F121*$D$83</f>
        <v/>
      </c>
      <c r="G122" s="71">
        <f>+G121*$D$83</f>
        <v/>
      </c>
      <c r="H122" s="71">
        <f>+H121*$D$83</f>
        <v/>
      </c>
      <c r="I122" s="71">
        <f>+I121*$D$83</f>
        <v/>
      </c>
      <c r="J122" s="71">
        <f>+J121*$D$83</f>
        <v/>
      </c>
      <c r="K122" s="71">
        <f>+K121*$D$83</f>
        <v/>
      </c>
      <c r="L122" s="1144">
        <f>+L121*$D$83</f>
        <v/>
      </c>
      <c r="M122" s="71">
        <f>+M121*$D$83</f>
        <v/>
      </c>
      <c r="N122" s="71">
        <f>+N121*$D$83</f>
        <v/>
      </c>
      <c r="O122" s="71">
        <f>+O121*$D$83</f>
        <v/>
      </c>
      <c r="P122" s="71">
        <f>+P121*$D$83</f>
        <v/>
      </c>
      <c r="Q122" s="71">
        <f>+Q121*$D$83</f>
        <v/>
      </c>
      <c r="R122" s="1144">
        <f>+R121*$D$83</f>
        <v/>
      </c>
      <c r="S122" s="71">
        <f>+S121*$D$83</f>
        <v/>
      </c>
      <c r="T122" s="71">
        <f>+T121*$D$83</f>
        <v/>
      </c>
      <c r="U122" s="71">
        <f>+U121*$D$83</f>
        <v/>
      </c>
      <c r="V122" s="71">
        <f>+V121*$D$83</f>
        <v/>
      </c>
      <c r="W122" s="71">
        <f>+W121*$D$83</f>
        <v/>
      </c>
      <c r="X122" s="1144">
        <f>+X121*$D$83</f>
        <v/>
      </c>
      <c r="Y122" s="71">
        <f>+Y121*$D$83</f>
        <v/>
      </c>
      <c r="Z122" s="71">
        <f>+Z121*$D$83</f>
        <v/>
      </c>
      <c r="AA122" s="71">
        <f>+AA121*$D$83</f>
        <v/>
      </c>
      <c r="AB122" s="71">
        <f>+AB121*$D$83</f>
        <v/>
      </c>
      <c r="AC122" s="71">
        <f>+AC121*$D$83</f>
        <v/>
      </c>
      <c r="AD122" s="1144">
        <f>+AD121*$D$83</f>
        <v/>
      </c>
      <c r="AE122" s="71">
        <f>+AE121*$D$83</f>
        <v/>
      </c>
      <c r="AF122" s="71">
        <f>+AF121*$D$83</f>
        <v/>
      </c>
      <c r="AG122" s="71">
        <f>+AG121*$D$83</f>
        <v/>
      </c>
      <c r="AH122" s="71">
        <f>+AH121*$D$83</f>
        <v/>
      </c>
      <c r="AI122" s="71">
        <f>+AI121*$D$83</f>
        <v/>
      </c>
      <c r="AJ122" s="1144">
        <f>+AJ121*$D$83</f>
        <v/>
      </c>
      <c r="AK122" s="71">
        <f>+AK121*$D$83</f>
        <v/>
      </c>
      <c r="AL122" s="71">
        <f>+AL121*$D$83</f>
        <v/>
      </c>
      <c r="AM122" s="71">
        <f>+AM121*$D$83</f>
        <v/>
      </c>
      <c r="AN122" s="71">
        <f>+AN121*$D$83</f>
        <v/>
      </c>
      <c r="AO122" s="71">
        <f>+AO121*$D$83</f>
        <v/>
      </c>
      <c r="AP122" s="1144">
        <f>+AP121*$D$83</f>
        <v/>
      </c>
      <c r="AQ122" s="71">
        <f>+AQ121*$D$83</f>
        <v/>
      </c>
      <c r="AR122" s="71">
        <f>+AR121*$D$83</f>
        <v/>
      </c>
      <c r="AS122" s="71">
        <f>+AS121*$D$83</f>
        <v/>
      </c>
      <c r="AT122" s="71">
        <f>+AT121*$D$83</f>
        <v/>
      </c>
      <c r="AU122" s="71">
        <f>+AU121*$D$83</f>
        <v/>
      </c>
      <c r="AV122" s="1144">
        <f>+AV121*$D$83</f>
        <v/>
      </c>
      <c r="AW122" s="71">
        <f>+AW121*$D$83</f>
        <v/>
      </c>
      <c r="AX122" s="71">
        <f>+AX121*$D$83</f>
        <v/>
      </c>
      <c r="AY122" s="71">
        <f>+AY121*$D$83</f>
        <v/>
      </c>
      <c r="AZ122" s="71">
        <f>+AZ121*$D$83</f>
        <v/>
      </c>
      <c r="BA122" s="71">
        <f>+BA121*$D$83</f>
        <v/>
      </c>
      <c r="BB122" s="1144">
        <f>+BB121*$D$83</f>
        <v/>
      </c>
      <c r="BC122" s="71">
        <f>+BC121*$D$83</f>
        <v/>
      </c>
      <c r="BD122" s="71">
        <f>+BD121*$D$83</f>
        <v/>
      </c>
      <c r="BE122" s="71">
        <f>+BE121*$D$83</f>
        <v/>
      </c>
      <c r="BF122" s="71">
        <f>+BF121*$D$83</f>
        <v/>
      </c>
      <c r="BG122" s="71">
        <f>+BG121*$D$83</f>
        <v/>
      </c>
      <c r="BH122" s="1144">
        <f>+BH121*$D$83</f>
        <v/>
      </c>
      <c r="BI122" s="71">
        <f>+BI121*$D$83</f>
        <v/>
      </c>
      <c r="BJ122" s="71">
        <f>+BJ121*$D$83</f>
        <v/>
      </c>
      <c r="BK122" s="71">
        <f>+BK121*$D$83</f>
        <v/>
      </c>
      <c r="BL122" s="71">
        <f>+BL121*$D$83</f>
        <v/>
      </c>
      <c r="BM122" s="71">
        <f>+BM121*$D$83</f>
        <v/>
      </c>
      <c r="BN122" s="1144">
        <f>+BN121*$D$83</f>
        <v/>
      </c>
    </row>
    <row r="123" ht="12.75" customHeight="1" s="1883">
      <c r="B123" s="56" t="n"/>
      <c r="C123" s="1141" t="n"/>
      <c r="D123" s="55" t="n"/>
      <c r="E123" s="57" t="n"/>
      <c r="F123" s="57" t="n"/>
      <c r="G123" s="59" t="n"/>
      <c r="H123" s="59" t="n"/>
      <c r="I123" s="59" t="n"/>
      <c r="J123" s="59" t="n"/>
      <c r="K123" s="59" t="n"/>
      <c r="L123" s="1039" t="n"/>
      <c r="M123" s="59" t="n"/>
      <c r="N123" s="59" t="n"/>
      <c r="O123" s="59" t="n"/>
      <c r="P123" s="59" t="n"/>
      <c r="Q123" s="59" t="n"/>
      <c r="R123" s="1039" t="n"/>
      <c r="S123" s="59" t="n"/>
      <c r="T123" s="59" t="n"/>
      <c r="U123" s="59" t="n"/>
      <c r="V123" s="59" t="n"/>
      <c r="W123" s="59" t="n"/>
      <c r="X123" s="1039" t="n"/>
      <c r="Y123" s="59" t="n"/>
      <c r="Z123" s="59" t="n"/>
      <c r="AA123" s="59" t="n"/>
      <c r="AB123" s="59" t="n"/>
      <c r="AC123" s="59" t="n"/>
      <c r="AD123" s="1039" t="n"/>
      <c r="AE123" s="59" t="n"/>
      <c r="AF123" s="59" t="n"/>
      <c r="AG123" s="59" t="n"/>
      <c r="AH123" s="59" t="n"/>
      <c r="AI123" s="59" t="n"/>
      <c r="AJ123" s="1039" t="n"/>
      <c r="AK123" s="59" t="n"/>
      <c r="AL123" s="59" t="n"/>
      <c r="AM123" s="59" t="n"/>
      <c r="AN123" s="59" t="n"/>
      <c r="AO123" s="59" t="n"/>
      <c r="AP123" s="1039" t="n"/>
      <c r="AQ123" s="59" t="n"/>
      <c r="AR123" s="59" t="n"/>
      <c r="AS123" s="59" t="n"/>
      <c r="AT123" s="59" t="n"/>
      <c r="AU123" s="59" t="n"/>
      <c r="AV123" s="1039" t="n"/>
      <c r="AW123" s="59" t="n"/>
      <c r="AX123" s="59" t="n"/>
      <c r="AY123" s="59" t="n"/>
      <c r="AZ123" s="59" t="n"/>
      <c r="BA123" s="59" t="n"/>
      <c r="BB123" s="1039" t="n"/>
      <c r="BC123" s="59" t="n"/>
      <c r="BD123" s="59" t="n"/>
      <c r="BE123" s="59" t="n"/>
      <c r="BF123" s="59" t="n"/>
      <c r="BG123" s="59" t="n"/>
      <c r="BH123" s="1039" t="n"/>
      <c r="BI123" s="59" t="n"/>
      <c r="BJ123" s="59" t="n"/>
      <c r="BK123" s="59" t="n"/>
      <c r="BL123" s="59" t="n"/>
      <c r="BM123" s="59" t="n"/>
      <c r="BN123" s="1039" t="n"/>
    </row>
    <row r="124" ht="12.75" customHeight="1" s="1883">
      <c r="B124" s="56" t="n"/>
      <c r="C124" s="1141" t="n"/>
      <c r="D124" s="55" t="n"/>
      <c r="E124" s="57" t="n"/>
      <c r="F124" s="57" t="n"/>
      <c r="G124" s="59" t="n"/>
      <c r="H124" s="59" t="n"/>
      <c r="I124" s="59" t="n"/>
      <c r="J124" s="59" t="n"/>
      <c r="K124" s="59" t="n"/>
      <c r="L124" s="1039" t="n"/>
      <c r="M124" s="59" t="n"/>
      <c r="N124" s="59" t="n"/>
      <c r="O124" s="59" t="n"/>
      <c r="P124" s="59" t="n"/>
      <c r="Q124" s="59" t="n"/>
      <c r="R124" s="1039" t="n"/>
      <c r="S124" s="59" t="n"/>
      <c r="T124" s="59" t="n"/>
      <c r="U124" s="59" t="n"/>
      <c r="V124" s="59" t="n"/>
      <c r="W124" s="59" t="n"/>
      <c r="X124" s="1039" t="n"/>
      <c r="Y124" s="59" t="n"/>
      <c r="Z124" s="59" t="n"/>
      <c r="AA124" s="59" t="n"/>
      <c r="AB124" s="59" t="n"/>
      <c r="AC124" s="59" t="n"/>
      <c r="AD124" s="1039" t="n"/>
      <c r="AE124" s="59" t="n"/>
      <c r="AF124" s="59" t="n"/>
      <c r="AG124" s="59" t="n"/>
      <c r="AH124" s="59" t="n"/>
      <c r="AI124" s="59" t="n"/>
      <c r="AJ124" s="1039" t="n"/>
      <c r="AK124" s="59" t="n"/>
      <c r="AL124" s="59" t="n"/>
      <c r="AM124" s="59" t="n"/>
      <c r="AN124" s="59" t="n"/>
      <c r="AO124" s="59" t="n"/>
      <c r="AP124" s="1039" t="n"/>
      <c r="AQ124" s="59" t="n"/>
      <c r="AR124" s="59" t="n"/>
      <c r="AS124" s="59" t="n"/>
      <c r="AT124" s="59" t="n"/>
      <c r="AU124" s="59" t="n"/>
      <c r="AV124" s="1039" t="n"/>
      <c r="AW124" s="59" t="n"/>
      <c r="AX124" s="59" t="n"/>
      <c r="AY124" s="59" t="n"/>
      <c r="AZ124" s="59" t="n"/>
      <c r="BA124" s="59" t="n"/>
      <c r="BB124" s="1039" t="n"/>
      <c r="BC124" s="59" t="n"/>
      <c r="BD124" s="59" t="n"/>
      <c r="BE124" s="59" t="n"/>
      <c r="BF124" s="59" t="n"/>
      <c r="BG124" s="59" t="n"/>
      <c r="BH124" s="1039" t="n"/>
      <c r="BI124" s="59" t="n"/>
      <c r="BJ124" s="59" t="n"/>
      <c r="BK124" s="59" t="n"/>
      <c r="BL124" s="59" t="n"/>
      <c r="BM124" s="59" t="n"/>
      <c r="BN124" s="1039" t="n"/>
    </row>
    <row r="125" ht="12.75" customHeight="1" s="1883">
      <c r="B125" s="56" t="n"/>
      <c r="C125" s="1141" t="inlineStr">
        <is>
          <t>Units for Warranty - Beg</t>
        </is>
      </c>
      <c r="D125" s="55" t="n"/>
      <c r="E125" s="87">
        <f>+D128</f>
        <v/>
      </c>
      <c r="F125" s="87">
        <f>+E128</f>
        <v/>
      </c>
      <c r="G125" s="87">
        <f>+F128</f>
        <v/>
      </c>
      <c r="H125" s="87">
        <f>+G128</f>
        <v/>
      </c>
      <c r="I125" s="87">
        <f>+H128</f>
        <v/>
      </c>
      <c r="J125" s="87">
        <f>+I128</f>
        <v/>
      </c>
      <c r="K125" s="87">
        <f>+J128</f>
        <v/>
      </c>
      <c r="L125" s="1142">
        <f>+K128</f>
        <v/>
      </c>
      <c r="M125" s="87">
        <f>+L128</f>
        <v/>
      </c>
      <c r="N125" s="87">
        <f>+M128</f>
        <v/>
      </c>
      <c r="O125" s="87">
        <f>+N128</f>
        <v/>
      </c>
      <c r="P125" s="87">
        <f>+O128</f>
        <v/>
      </c>
      <c r="Q125" s="87">
        <f>+P128</f>
        <v/>
      </c>
      <c r="R125" s="1142">
        <f>+Q128</f>
        <v/>
      </c>
      <c r="S125" s="87">
        <f>+R128</f>
        <v/>
      </c>
      <c r="T125" s="87">
        <f>+S128</f>
        <v/>
      </c>
      <c r="U125" s="87">
        <f>+T128</f>
        <v/>
      </c>
      <c r="V125" s="87">
        <f>+U128</f>
        <v/>
      </c>
      <c r="W125" s="87">
        <f>+V128</f>
        <v/>
      </c>
      <c r="X125" s="1142">
        <f>+W128</f>
        <v/>
      </c>
      <c r="Y125" s="87">
        <f>+X128</f>
        <v/>
      </c>
      <c r="Z125" s="87">
        <f>+Y128</f>
        <v/>
      </c>
      <c r="AA125" s="87">
        <f>+Z128</f>
        <v/>
      </c>
      <c r="AB125" s="87">
        <f>+AA128</f>
        <v/>
      </c>
      <c r="AC125" s="87">
        <f>+AB128</f>
        <v/>
      </c>
      <c r="AD125" s="1142">
        <f>+AC128</f>
        <v/>
      </c>
      <c r="AE125" s="87">
        <f>+AD128</f>
        <v/>
      </c>
      <c r="AF125" s="87">
        <f>+AE128</f>
        <v/>
      </c>
      <c r="AG125" s="87">
        <f>+AF128</f>
        <v/>
      </c>
      <c r="AH125" s="87">
        <f>+AG128</f>
        <v/>
      </c>
      <c r="AI125" s="87">
        <f>+AH128</f>
        <v/>
      </c>
      <c r="AJ125" s="1142">
        <f>+AI128</f>
        <v/>
      </c>
      <c r="AK125" s="87">
        <f>+AJ128</f>
        <v/>
      </c>
      <c r="AL125" s="87">
        <f>+AK128</f>
        <v/>
      </c>
      <c r="AM125" s="87">
        <f>+AL128</f>
        <v/>
      </c>
      <c r="AN125" s="87">
        <f>+AM128</f>
        <v/>
      </c>
      <c r="AO125" s="87">
        <f>+AN128</f>
        <v/>
      </c>
      <c r="AP125" s="1142">
        <f>+AO128</f>
        <v/>
      </c>
      <c r="AQ125" s="87">
        <f>+AP128</f>
        <v/>
      </c>
      <c r="AR125" s="87">
        <f>+AQ128</f>
        <v/>
      </c>
      <c r="AS125" s="87">
        <f>+AR128</f>
        <v/>
      </c>
      <c r="AT125" s="87">
        <f>+AS128</f>
        <v/>
      </c>
      <c r="AU125" s="87">
        <f>+AT128</f>
        <v/>
      </c>
      <c r="AV125" s="1142">
        <f>+AU128</f>
        <v/>
      </c>
      <c r="AW125" s="87">
        <f>+AV128</f>
        <v/>
      </c>
      <c r="AX125" s="87">
        <f>+AW128</f>
        <v/>
      </c>
      <c r="AY125" s="87">
        <f>+AX128</f>
        <v/>
      </c>
      <c r="AZ125" s="87">
        <f>+AY128</f>
        <v/>
      </c>
      <c r="BA125" s="87">
        <f>+AZ128</f>
        <v/>
      </c>
      <c r="BB125" s="1142">
        <f>+BA128</f>
        <v/>
      </c>
      <c r="BC125" s="87">
        <f>+BB128</f>
        <v/>
      </c>
      <c r="BD125" s="87">
        <f>+BC128</f>
        <v/>
      </c>
      <c r="BE125" s="87">
        <f>+BD128</f>
        <v/>
      </c>
      <c r="BF125" s="87">
        <f>+BE128</f>
        <v/>
      </c>
      <c r="BG125" s="87">
        <f>+BF128</f>
        <v/>
      </c>
      <c r="BH125" s="1142">
        <f>+BG128</f>
        <v/>
      </c>
      <c r="BI125" s="87">
        <f>+BH128</f>
        <v/>
      </c>
      <c r="BJ125" s="87">
        <f>+BI128</f>
        <v/>
      </c>
      <c r="BK125" s="87">
        <f>+BJ128</f>
        <v/>
      </c>
      <c r="BL125" s="87">
        <f>+BK128</f>
        <v/>
      </c>
      <c r="BM125" s="87">
        <f>+BL128</f>
        <v/>
      </c>
      <c r="BN125" s="1142">
        <f>+BM128</f>
        <v/>
      </c>
    </row>
    <row r="126" ht="12.75" customHeight="1" s="1883">
      <c r="B126" s="56" t="n"/>
      <c r="C126" s="1141" t="inlineStr">
        <is>
          <t>Units Received - for Warranty</t>
        </is>
      </c>
      <c r="D126" s="55" t="n"/>
      <c r="E126" s="87" t="n">
        <v>0</v>
      </c>
      <c r="F126" s="87">
        <f>+D121</f>
        <v/>
      </c>
      <c r="G126" s="87">
        <f>+E121</f>
        <v/>
      </c>
      <c r="H126" s="87">
        <f>+F121</f>
        <v/>
      </c>
      <c r="I126" s="87">
        <f>+G121</f>
        <v/>
      </c>
      <c r="J126" s="87">
        <f>+H121</f>
        <v/>
      </c>
      <c r="K126" s="87">
        <f>+I121</f>
        <v/>
      </c>
      <c r="L126" s="1142">
        <f>+J121</f>
        <v/>
      </c>
      <c r="M126" s="87">
        <f>+K121</f>
        <v/>
      </c>
      <c r="N126" s="87">
        <f>+L121</f>
        <v/>
      </c>
      <c r="O126" s="87">
        <f>+M121</f>
        <v/>
      </c>
      <c r="P126" s="87">
        <f>+N121</f>
        <v/>
      </c>
      <c r="Q126" s="87">
        <f>+O121</f>
        <v/>
      </c>
      <c r="R126" s="1142">
        <f>+P121</f>
        <v/>
      </c>
      <c r="S126" s="87">
        <f>+Q121</f>
        <v/>
      </c>
      <c r="T126" s="87">
        <f>+R121</f>
        <v/>
      </c>
      <c r="U126" s="87">
        <f>+S121</f>
        <v/>
      </c>
      <c r="V126" s="87">
        <f>+T121</f>
        <v/>
      </c>
      <c r="W126" s="87">
        <f>+U121</f>
        <v/>
      </c>
      <c r="X126" s="1142">
        <f>+V121</f>
        <v/>
      </c>
      <c r="Y126" s="87">
        <f>+W121</f>
        <v/>
      </c>
      <c r="Z126" s="87">
        <f>+X121</f>
        <v/>
      </c>
      <c r="AA126" s="87">
        <f>+Y121</f>
        <v/>
      </c>
      <c r="AB126" s="87">
        <f>+Z121</f>
        <v/>
      </c>
      <c r="AC126" s="87">
        <f>+AA121</f>
        <v/>
      </c>
      <c r="AD126" s="1142">
        <f>+AB121</f>
        <v/>
      </c>
      <c r="AE126" s="87">
        <f>+AC121</f>
        <v/>
      </c>
      <c r="AF126" s="87">
        <f>+AD121</f>
        <v/>
      </c>
      <c r="AG126" s="87">
        <f>+AE121</f>
        <v/>
      </c>
      <c r="AH126" s="87">
        <f>+AF121</f>
        <v/>
      </c>
      <c r="AI126" s="87">
        <f>+AG121</f>
        <v/>
      </c>
      <c r="AJ126" s="1142">
        <f>+AH121</f>
        <v/>
      </c>
      <c r="AK126" s="87">
        <f>+AI121</f>
        <v/>
      </c>
      <c r="AL126" s="87">
        <f>+AJ121</f>
        <v/>
      </c>
      <c r="AM126" s="87">
        <f>+AK121</f>
        <v/>
      </c>
      <c r="AN126" s="87">
        <f>+AL121</f>
        <v/>
      </c>
      <c r="AO126" s="87">
        <f>+AM121</f>
        <v/>
      </c>
      <c r="AP126" s="1142">
        <f>+AN121</f>
        <v/>
      </c>
      <c r="AQ126" s="87">
        <f>+AO121</f>
        <v/>
      </c>
      <c r="AR126" s="87">
        <f>+AP121</f>
        <v/>
      </c>
      <c r="AS126" s="87">
        <f>+AQ121</f>
        <v/>
      </c>
      <c r="AT126" s="87">
        <f>+AR121</f>
        <v/>
      </c>
      <c r="AU126" s="87">
        <f>+AS121</f>
        <v/>
      </c>
      <c r="AV126" s="1142">
        <f>+AT121</f>
        <v/>
      </c>
      <c r="AW126" s="87">
        <f>+AU121</f>
        <v/>
      </c>
      <c r="AX126" s="87">
        <f>+AV121</f>
        <v/>
      </c>
      <c r="AY126" s="87">
        <f>+AW121</f>
        <v/>
      </c>
      <c r="AZ126" s="87">
        <f>+AX121</f>
        <v/>
      </c>
      <c r="BA126" s="87">
        <f>+AY121</f>
        <v/>
      </c>
      <c r="BB126" s="1142">
        <f>+AZ121</f>
        <v/>
      </c>
      <c r="BC126" s="87">
        <f>+BA121</f>
        <v/>
      </c>
      <c r="BD126" s="87">
        <f>+BB121</f>
        <v/>
      </c>
      <c r="BE126" s="87">
        <f>+BC121</f>
        <v/>
      </c>
      <c r="BF126" s="87">
        <f>+BD121</f>
        <v/>
      </c>
      <c r="BG126" s="87">
        <f>+BE121</f>
        <v/>
      </c>
      <c r="BH126" s="1142">
        <f>+BF121</f>
        <v/>
      </c>
      <c r="BI126" s="87">
        <f>+BG121</f>
        <v/>
      </c>
      <c r="BJ126" s="87">
        <f>+BH121</f>
        <v/>
      </c>
      <c r="BK126" s="87">
        <f>+BI121</f>
        <v/>
      </c>
      <c r="BL126" s="87">
        <f>+BJ121</f>
        <v/>
      </c>
      <c r="BM126" s="87">
        <f>+BK121</f>
        <v/>
      </c>
      <c r="BN126" s="1142">
        <f>+BL121</f>
        <v/>
      </c>
    </row>
    <row r="127" ht="12.75" customHeight="1" s="1883">
      <c r="B127" s="56" t="n"/>
      <c r="C127" s="1141" t="inlineStr">
        <is>
          <t>Units Delivered - Claims</t>
        </is>
      </c>
      <c r="D127" s="55" t="n"/>
      <c r="E127" s="87" t="n">
        <v>0</v>
      </c>
      <c r="F127" s="87" t="n">
        <v>0</v>
      </c>
      <c r="G127" s="87">
        <f>+G431*'3F. Revenue &amp; COGS Assumptions'!$D$20</f>
        <v/>
      </c>
      <c r="H127" s="87">
        <f>+H431*'3F. Revenue &amp; COGS Assumptions'!$D$20</f>
        <v/>
      </c>
      <c r="I127" s="87">
        <f>+I431*'3F. Revenue &amp; COGS Assumptions'!$D$20</f>
        <v/>
      </c>
      <c r="J127" s="87">
        <f>+J431*'3F. Revenue &amp; COGS Assumptions'!$D$20</f>
        <v/>
      </c>
      <c r="K127" s="87">
        <f>+K431*'3F. Revenue &amp; COGS Assumptions'!$D$20</f>
        <v/>
      </c>
      <c r="L127" s="1142">
        <f>+L431*'3F. Revenue &amp; COGS Assumptions'!$D$20</f>
        <v/>
      </c>
      <c r="M127" s="87">
        <f>+M431*'3F. Revenue &amp; COGS Assumptions'!$D$20</f>
        <v/>
      </c>
      <c r="N127" s="87">
        <f>+N431*'3F. Revenue &amp; COGS Assumptions'!$D$20</f>
        <v/>
      </c>
      <c r="O127" s="87">
        <f>+O431*'3F. Revenue &amp; COGS Assumptions'!$D$20</f>
        <v/>
      </c>
      <c r="P127" s="87">
        <f>+P431*'3F. Revenue &amp; COGS Assumptions'!$D$20</f>
        <v/>
      </c>
      <c r="Q127" s="87">
        <f>+Q431*'3F. Revenue &amp; COGS Assumptions'!$D$20</f>
        <v/>
      </c>
      <c r="R127" s="1142">
        <f>+R431*'3F. Revenue &amp; COGS Assumptions'!$D$20</f>
        <v/>
      </c>
      <c r="S127" s="87">
        <f>+S431*'3F. Revenue &amp; COGS Assumptions'!$D$20</f>
        <v/>
      </c>
      <c r="T127" s="87">
        <f>+T431*'3F. Revenue &amp; COGS Assumptions'!$D$20</f>
        <v/>
      </c>
      <c r="U127" s="87">
        <f>+U431*'3F. Revenue &amp; COGS Assumptions'!$D$20</f>
        <v/>
      </c>
      <c r="V127" s="87">
        <f>+V431*'3F. Revenue &amp; COGS Assumptions'!$D$20</f>
        <v/>
      </c>
      <c r="W127" s="87">
        <f>+W431*'3F. Revenue &amp; COGS Assumptions'!$D$20</f>
        <v/>
      </c>
      <c r="X127" s="1142">
        <f>+X431*'3F. Revenue &amp; COGS Assumptions'!$D$20</f>
        <v/>
      </c>
      <c r="Y127" s="87">
        <f>+Y431*'3F. Revenue &amp; COGS Assumptions'!$D$20</f>
        <v/>
      </c>
      <c r="Z127" s="87">
        <f>+Z431*'3F. Revenue &amp; COGS Assumptions'!$D$20</f>
        <v/>
      </c>
      <c r="AA127" s="87">
        <f>+AA431*'3F. Revenue &amp; COGS Assumptions'!$D$20</f>
        <v/>
      </c>
      <c r="AB127" s="87">
        <f>+AB431*'3F. Revenue &amp; COGS Assumptions'!$D$20</f>
        <v/>
      </c>
      <c r="AC127" s="87">
        <f>+AC431*'3F. Revenue &amp; COGS Assumptions'!$D$20</f>
        <v/>
      </c>
      <c r="AD127" s="1142">
        <f>+AD431*'3F. Revenue &amp; COGS Assumptions'!$D$20</f>
        <v/>
      </c>
      <c r="AE127" s="87">
        <f>+AE431*'3F. Revenue &amp; COGS Assumptions'!$D$20</f>
        <v/>
      </c>
      <c r="AF127" s="87">
        <f>+AF431*'3F. Revenue &amp; COGS Assumptions'!$D$20</f>
        <v/>
      </c>
      <c r="AG127" s="87">
        <f>+AG431*'3F. Revenue &amp; COGS Assumptions'!$D$20</f>
        <v/>
      </c>
      <c r="AH127" s="87">
        <f>+AH431*'3F. Revenue &amp; COGS Assumptions'!$D$20</f>
        <v/>
      </c>
      <c r="AI127" s="87">
        <f>+AI431*'3F. Revenue &amp; COGS Assumptions'!$D$20</f>
        <v/>
      </c>
      <c r="AJ127" s="1142">
        <f>+AJ431*'3F. Revenue &amp; COGS Assumptions'!$D$20</f>
        <v/>
      </c>
      <c r="AK127" s="87">
        <f>+AK431*'3F. Revenue &amp; COGS Assumptions'!$D$20</f>
        <v/>
      </c>
      <c r="AL127" s="87">
        <f>+AL431*'3F. Revenue &amp; COGS Assumptions'!$D$20</f>
        <v/>
      </c>
      <c r="AM127" s="87">
        <f>+AM431*'3F. Revenue &amp; COGS Assumptions'!$D$20</f>
        <v/>
      </c>
      <c r="AN127" s="87">
        <f>+AN431*'3F. Revenue &amp; COGS Assumptions'!$D$20</f>
        <v/>
      </c>
      <c r="AO127" s="87">
        <f>+AO431*'3F. Revenue &amp; COGS Assumptions'!$D$20</f>
        <v/>
      </c>
      <c r="AP127" s="1142">
        <f>+AP431*'3F. Revenue &amp; COGS Assumptions'!$D$20</f>
        <v/>
      </c>
      <c r="AQ127" s="87">
        <f>+AQ431*'3F. Revenue &amp; COGS Assumptions'!$D$20</f>
        <v/>
      </c>
      <c r="AR127" s="87">
        <f>+AR431*'3F. Revenue &amp; COGS Assumptions'!$D$20</f>
        <v/>
      </c>
      <c r="AS127" s="87">
        <f>+AS431*'3F. Revenue &amp; COGS Assumptions'!$D$20</f>
        <v/>
      </c>
      <c r="AT127" s="87">
        <f>+AT431*'3F. Revenue &amp; COGS Assumptions'!$D$20</f>
        <v/>
      </c>
      <c r="AU127" s="87">
        <f>+AU431*'3F. Revenue &amp; COGS Assumptions'!$D$20</f>
        <v/>
      </c>
      <c r="AV127" s="1142">
        <f>+AV431*'3F. Revenue &amp; COGS Assumptions'!$D$20</f>
        <v/>
      </c>
      <c r="AW127" s="87">
        <f>+AW431*'3F. Revenue &amp; COGS Assumptions'!$D$20</f>
        <v/>
      </c>
      <c r="AX127" s="87">
        <f>+AX431*'3F. Revenue &amp; COGS Assumptions'!$D$20</f>
        <v/>
      </c>
      <c r="AY127" s="87">
        <f>+AY431*'3F. Revenue &amp; COGS Assumptions'!$D$20</f>
        <v/>
      </c>
      <c r="AZ127" s="87">
        <f>+AZ431*'3F. Revenue &amp; COGS Assumptions'!$D$20</f>
        <v/>
      </c>
      <c r="BA127" s="87">
        <f>+BA431*'3F. Revenue &amp; COGS Assumptions'!$D$20</f>
        <v/>
      </c>
      <c r="BB127" s="1142">
        <f>+BB431*'3F. Revenue &amp; COGS Assumptions'!$D$20</f>
        <v/>
      </c>
      <c r="BC127" s="87">
        <f>+BC431*'3F. Revenue &amp; COGS Assumptions'!$D$20</f>
        <v/>
      </c>
      <c r="BD127" s="87">
        <f>+BD431*'3F. Revenue &amp; COGS Assumptions'!$D$20</f>
        <v/>
      </c>
      <c r="BE127" s="87">
        <f>+BE431*'3F. Revenue &amp; COGS Assumptions'!$D$20</f>
        <v/>
      </c>
      <c r="BF127" s="87">
        <f>+BF431*'3F. Revenue &amp; COGS Assumptions'!$D$20</f>
        <v/>
      </c>
      <c r="BG127" s="87">
        <f>+BG431*'3F. Revenue &amp; COGS Assumptions'!$D$20</f>
        <v/>
      </c>
      <c r="BH127" s="1142">
        <f>+BH431*'3F. Revenue &amp; COGS Assumptions'!$D$20</f>
        <v/>
      </c>
      <c r="BI127" s="87">
        <f>+BI431*'3F. Revenue &amp; COGS Assumptions'!$D$20</f>
        <v/>
      </c>
      <c r="BJ127" s="87">
        <f>+BJ431*'3F. Revenue &amp; COGS Assumptions'!$D$20</f>
        <v/>
      </c>
      <c r="BK127" s="87">
        <f>+BK431*'3F. Revenue &amp; COGS Assumptions'!$D$20</f>
        <v/>
      </c>
      <c r="BL127" s="87">
        <f>+BL431*'3F. Revenue &amp; COGS Assumptions'!$D$20</f>
        <v/>
      </c>
      <c r="BM127" s="87">
        <f>+BM431*'3F. Revenue &amp; COGS Assumptions'!$D$20</f>
        <v/>
      </c>
      <c r="BN127" s="1142">
        <f>+BN431*'3F. Revenue &amp; COGS Assumptions'!$D$20</f>
        <v/>
      </c>
    </row>
    <row r="128" ht="12.75" customHeight="1" s="1883">
      <c r="B128" s="56" t="n"/>
      <c r="C128" s="1141" t="inlineStr">
        <is>
          <t>Units for Warranty - End</t>
        </is>
      </c>
      <c r="D128" s="55" t="n"/>
      <c r="E128" s="1146">
        <f>SUM(E125:E127)</f>
        <v/>
      </c>
      <c r="F128" s="1146">
        <f>SUM(F125:F127)</f>
        <v/>
      </c>
      <c r="G128" s="1146">
        <f>SUM(G125:G127)</f>
        <v/>
      </c>
      <c r="H128" s="1146">
        <f>SUM(H125:H127)</f>
        <v/>
      </c>
      <c r="I128" s="1146">
        <f>SUM(I125:I127)</f>
        <v/>
      </c>
      <c r="J128" s="1146">
        <f>SUM(J125:J127)</f>
        <v/>
      </c>
      <c r="K128" s="1146">
        <f>SUM(K125:K127)</f>
        <v/>
      </c>
      <c r="L128" s="1147">
        <f>SUM(L125:L127)</f>
        <v/>
      </c>
      <c r="M128" s="1146">
        <f>SUM(M125:M127)</f>
        <v/>
      </c>
      <c r="N128" s="1146">
        <f>SUM(N125:N127)</f>
        <v/>
      </c>
      <c r="O128" s="1146">
        <f>SUM(O125:O127)</f>
        <v/>
      </c>
      <c r="P128" s="1146">
        <f>SUM(P125:P127)</f>
        <v/>
      </c>
      <c r="Q128" s="1146">
        <f>SUM(Q125:Q127)</f>
        <v/>
      </c>
      <c r="R128" s="1147">
        <f>SUM(R125:R127)</f>
        <v/>
      </c>
      <c r="S128" s="1146">
        <f>SUM(S125:S127)</f>
        <v/>
      </c>
      <c r="T128" s="1146">
        <f>SUM(T125:T127)</f>
        <v/>
      </c>
      <c r="U128" s="1146">
        <f>SUM(U125:U127)</f>
        <v/>
      </c>
      <c r="V128" s="1146">
        <f>SUM(V125:V127)</f>
        <v/>
      </c>
      <c r="W128" s="1146">
        <f>SUM(W125:W127)</f>
        <v/>
      </c>
      <c r="X128" s="1147">
        <f>SUM(X125:X127)</f>
        <v/>
      </c>
      <c r="Y128" s="1146">
        <f>SUM(Y125:Y127)</f>
        <v/>
      </c>
      <c r="Z128" s="1146">
        <f>SUM(Z125:Z127)</f>
        <v/>
      </c>
      <c r="AA128" s="1146">
        <f>SUM(AA125:AA127)</f>
        <v/>
      </c>
      <c r="AB128" s="1146">
        <f>SUM(AB125:AB127)</f>
        <v/>
      </c>
      <c r="AC128" s="1146">
        <f>SUM(AC125:AC127)</f>
        <v/>
      </c>
      <c r="AD128" s="1147">
        <f>SUM(AD125:AD127)</f>
        <v/>
      </c>
      <c r="AE128" s="1146">
        <f>SUM(AE125:AE127)</f>
        <v/>
      </c>
      <c r="AF128" s="1146">
        <f>SUM(AF125:AF127)</f>
        <v/>
      </c>
      <c r="AG128" s="1146">
        <f>SUM(AG125:AG127)</f>
        <v/>
      </c>
      <c r="AH128" s="1146">
        <f>SUM(AH125:AH127)</f>
        <v/>
      </c>
      <c r="AI128" s="1146">
        <f>SUM(AI125:AI127)</f>
        <v/>
      </c>
      <c r="AJ128" s="1147">
        <f>SUM(AJ125:AJ127)</f>
        <v/>
      </c>
      <c r="AK128" s="1146">
        <f>SUM(AK125:AK127)</f>
        <v/>
      </c>
      <c r="AL128" s="1146">
        <f>SUM(AL125:AL127)</f>
        <v/>
      </c>
      <c r="AM128" s="1146">
        <f>SUM(AM125:AM127)</f>
        <v/>
      </c>
      <c r="AN128" s="1146">
        <f>SUM(AN125:AN127)</f>
        <v/>
      </c>
      <c r="AO128" s="1146">
        <f>SUM(AO125:AO127)</f>
        <v/>
      </c>
      <c r="AP128" s="1147">
        <f>SUM(AP125:AP127)</f>
        <v/>
      </c>
      <c r="AQ128" s="1146">
        <f>SUM(AQ125:AQ127)</f>
        <v/>
      </c>
      <c r="AR128" s="1146">
        <f>SUM(AR125:AR127)</f>
        <v/>
      </c>
      <c r="AS128" s="1146">
        <f>SUM(AS125:AS127)</f>
        <v/>
      </c>
      <c r="AT128" s="1146">
        <f>SUM(AT125:AT127)</f>
        <v/>
      </c>
      <c r="AU128" s="1146">
        <f>SUM(AU125:AU127)</f>
        <v/>
      </c>
      <c r="AV128" s="1147">
        <f>SUM(AV125:AV127)</f>
        <v/>
      </c>
      <c r="AW128" s="1146">
        <f>SUM(AW125:AW127)</f>
        <v/>
      </c>
      <c r="AX128" s="1146">
        <f>SUM(AX125:AX127)</f>
        <v/>
      </c>
      <c r="AY128" s="1146">
        <f>SUM(AY125:AY127)</f>
        <v/>
      </c>
      <c r="AZ128" s="1146">
        <f>SUM(AZ125:AZ127)</f>
        <v/>
      </c>
      <c r="BA128" s="1146">
        <f>SUM(BA125:BA127)</f>
        <v/>
      </c>
      <c r="BB128" s="1147">
        <f>SUM(BB125:BB127)</f>
        <v/>
      </c>
      <c r="BC128" s="1146">
        <f>SUM(BC125:BC127)</f>
        <v/>
      </c>
      <c r="BD128" s="1146">
        <f>SUM(BD125:BD127)</f>
        <v/>
      </c>
      <c r="BE128" s="1146">
        <f>SUM(BE125:BE127)</f>
        <v/>
      </c>
      <c r="BF128" s="1146">
        <f>SUM(BF125:BF127)</f>
        <v/>
      </c>
      <c r="BG128" s="1146">
        <f>SUM(BG125:BG127)</f>
        <v/>
      </c>
      <c r="BH128" s="1147">
        <f>SUM(BH125:BH127)</f>
        <v/>
      </c>
      <c r="BI128" s="1146">
        <f>SUM(BI125:BI127)</f>
        <v/>
      </c>
      <c r="BJ128" s="1146">
        <f>SUM(BJ125:BJ127)</f>
        <v/>
      </c>
      <c r="BK128" s="1146">
        <f>SUM(BK125:BK127)</f>
        <v/>
      </c>
      <c r="BL128" s="1146">
        <f>SUM(BL125:BL127)</f>
        <v/>
      </c>
      <c r="BM128" s="1146">
        <f>SUM(BM125:BM127)</f>
        <v/>
      </c>
      <c r="BN128" s="1147">
        <f>SUM(BN125:BN127)</f>
        <v/>
      </c>
    </row>
    <row r="129" ht="12.75" customHeight="1" s="1883">
      <c r="B129" s="56" t="n"/>
      <c r="C129" s="1038" t="n"/>
      <c r="D129" s="55" t="n"/>
      <c r="E129" s="57" t="n"/>
      <c r="F129" s="57" t="n"/>
      <c r="G129" s="59" t="n"/>
      <c r="H129" s="59" t="n"/>
      <c r="I129" s="59" t="n"/>
      <c r="J129" s="59" t="n"/>
      <c r="K129" s="59" t="n"/>
      <c r="L129" s="1039" t="n"/>
      <c r="M129" s="59" t="n"/>
      <c r="N129" s="59" t="n"/>
      <c r="O129" s="59" t="n"/>
      <c r="P129" s="59" t="n"/>
      <c r="Q129" s="59" t="n"/>
      <c r="R129" s="1039" t="n"/>
      <c r="S129" s="59" t="n"/>
      <c r="T129" s="59" t="n"/>
      <c r="U129" s="59" t="n"/>
      <c r="V129" s="59" t="n"/>
      <c r="W129" s="59" t="n"/>
      <c r="X129" s="1039" t="n"/>
      <c r="Y129" s="59" t="n"/>
      <c r="Z129" s="59" t="n"/>
      <c r="AA129" s="59" t="n"/>
      <c r="AB129" s="59" t="n"/>
      <c r="AC129" s="59" t="n"/>
      <c r="AD129" s="1039" t="n"/>
      <c r="AE129" s="59" t="n"/>
      <c r="AF129" s="59" t="n"/>
      <c r="AG129" s="59" t="n"/>
      <c r="AH129" s="59" t="n"/>
      <c r="AI129" s="59" t="n"/>
      <c r="AJ129" s="1039" t="n"/>
      <c r="AK129" s="59" t="n"/>
      <c r="AL129" s="59" t="n"/>
      <c r="AM129" s="59" t="n"/>
      <c r="AN129" s="59" t="n"/>
      <c r="AO129" s="59" t="n"/>
      <c r="AP129" s="1039" t="n"/>
      <c r="AQ129" s="59" t="n"/>
      <c r="AR129" s="59" t="n"/>
      <c r="AS129" s="59" t="n"/>
      <c r="AT129" s="59" t="n"/>
      <c r="AU129" s="59" t="n"/>
      <c r="AV129" s="1039" t="n"/>
      <c r="AW129" s="59" t="n"/>
      <c r="AX129" s="59" t="n"/>
      <c r="AY129" s="59" t="n"/>
      <c r="AZ129" s="59" t="n"/>
      <c r="BA129" s="59" t="n"/>
      <c r="BB129" s="1039" t="n"/>
      <c r="BC129" s="59" t="n"/>
      <c r="BD129" s="59" t="n"/>
      <c r="BE129" s="59" t="n"/>
      <c r="BF129" s="59" t="n"/>
      <c r="BG129" s="59" t="n"/>
      <c r="BH129" s="1039" t="n"/>
      <c r="BI129" s="59" t="n"/>
      <c r="BJ129" s="59" t="n"/>
      <c r="BK129" s="59" t="n"/>
      <c r="BL129" s="59" t="n"/>
      <c r="BM129" s="59" t="n"/>
      <c r="BN129" s="1039" t="n"/>
    </row>
    <row r="130" ht="12.75" customHeight="1" s="1883">
      <c r="B130" s="56" t="inlineStr">
        <is>
          <t>BS</t>
        </is>
      </c>
      <c r="C130" s="1114" t="inlineStr">
        <is>
          <t>Inventory Value - for Warranty</t>
        </is>
      </c>
      <c r="D130" s="88" t="n"/>
      <c r="E130" s="198">
        <f>+E128*$D$82</f>
        <v/>
      </c>
      <c r="F130" s="198">
        <f>+F128*$D$82</f>
        <v/>
      </c>
      <c r="G130" s="198">
        <f>+G128*$D$83</f>
        <v/>
      </c>
      <c r="H130" s="198">
        <f>+H128*$D$83</f>
        <v/>
      </c>
      <c r="I130" s="198">
        <f>+I128*$D$83</f>
        <v/>
      </c>
      <c r="J130" s="198">
        <f>+J128*$D$83</f>
        <v/>
      </c>
      <c r="K130" s="198">
        <f>+K128*$D$83</f>
        <v/>
      </c>
      <c r="L130" s="1145">
        <f>+L128*$D$83</f>
        <v/>
      </c>
      <c r="M130" s="198">
        <f>+M128*$D$83</f>
        <v/>
      </c>
      <c r="N130" s="198">
        <f>+N128*$D$83</f>
        <v/>
      </c>
      <c r="O130" s="198">
        <f>+O128*$D$83</f>
        <v/>
      </c>
      <c r="P130" s="198">
        <f>+P128*$D$83</f>
        <v/>
      </c>
      <c r="Q130" s="198">
        <f>+Q128*$D$83</f>
        <v/>
      </c>
      <c r="R130" s="1145">
        <f>+R128*$D$83</f>
        <v/>
      </c>
      <c r="S130" s="198">
        <f>+S128*$D$83</f>
        <v/>
      </c>
      <c r="T130" s="198">
        <f>+T128*$D$83</f>
        <v/>
      </c>
      <c r="U130" s="198">
        <f>+U128*$D$83</f>
        <v/>
      </c>
      <c r="V130" s="198">
        <f>+V128*$D$83</f>
        <v/>
      </c>
      <c r="W130" s="198">
        <f>+W128*$D$83</f>
        <v/>
      </c>
      <c r="X130" s="1145">
        <f>+X128*$D$83</f>
        <v/>
      </c>
      <c r="Y130" s="198">
        <f>+Y128*$D$83</f>
        <v/>
      </c>
      <c r="Z130" s="198">
        <f>+Z128*$D$83</f>
        <v/>
      </c>
      <c r="AA130" s="198">
        <f>+AA128*$D$83</f>
        <v/>
      </c>
      <c r="AB130" s="198">
        <f>+AB128*$D$83</f>
        <v/>
      </c>
      <c r="AC130" s="198">
        <f>+AC128*$D$83</f>
        <v/>
      </c>
      <c r="AD130" s="1145">
        <f>+AD128*$D$83</f>
        <v/>
      </c>
      <c r="AE130" s="198">
        <f>+AE128*$D$83</f>
        <v/>
      </c>
      <c r="AF130" s="198">
        <f>+AF128*$D$83</f>
        <v/>
      </c>
      <c r="AG130" s="198">
        <f>+AG128*$D$83</f>
        <v/>
      </c>
      <c r="AH130" s="198">
        <f>+AH128*$D$83</f>
        <v/>
      </c>
      <c r="AI130" s="198">
        <f>+AI128*$D$83</f>
        <v/>
      </c>
      <c r="AJ130" s="1145">
        <f>+AJ128*$D$83</f>
        <v/>
      </c>
      <c r="AK130" s="198">
        <f>+AK128*$D$83</f>
        <v/>
      </c>
      <c r="AL130" s="198">
        <f>+AL128*$D$83</f>
        <v/>
      </c>
      <c r="AM130" s="198">
        <f>+AM128*$D$83</f>
        <v/>
      </c>
      <c r="AN130" s="198">
        <f>+AN128*$D$83</f>
        <v/>
      </c>
      <c r="AO130" s="198">
        <f>+AO128*$D$83</f>
        <v/>
      </c>
      <c r="AP130" s="1145">
        <f>+AP128*$D$83</f>
        <v/>
      </c>
      <c r="AQ130" s="198">
        <f>+AQ128*$D$83</f>
        <v/>
      </c>
      <c r="AR130" s="198">
        <f>+AR128*$D$83</f>
        <v/>
      </c>
      <c r="AS130" s="198">
        <f>+AS128*$D$83</f>
        <v/>
      </c>
      <c r="AT130" s="198">
        <f>+AT128*$D$83</f>
        <v/>
      </c>
      <c r="AU130" s="198">
        <f>+AU128*$D$83</f>
        <v/>
      </c>
      <c r="AV130" s="1145">
        <f>+AV128*$D$83</f>
        <v/>
      </c>
      <c r="AW130" s="198">
        <f>+AW128*$D$83</f>
        <v/>
      </c>
      <c r="AX130" s="198">
        <f>+AX128*$D$83</f>
        <v/>
      </c>
      <c r="AY130" s="198">
        <f>+AY128*$D$83</f>
        <v/>
      </c>
      <c r="AZ130" s="198">
        <f>+AZ128*$D$83</f>
        <v/>
      </c>
      <c r="BA130" s="198">
        <f>+BA128*$D$83</f>
        <v/>
      </c>
      <c r="BB130" s="1145">
        <f>+BB128*$D$83</f>
        <v/>
      </c>
      <c r="BC130" s="198">
        <f>+BC128*$D$83</f>
        <v/>
      </c>
      <c r="BD130" s="198">
        <f>+BD128*$D$83</f>
        <v/>
      </c>
      <c r="BE130" s="198">
        <f>+BE128*$D$83</f>
        <v/>
      </c>
      <c r="BF130" s="198">
        <f>+BF128*$D$83</f>
        <v/>
      </c>
      <c r="BG130" s="198">
        <f>+BG128*$D$83</f>
        <v/>
      </c>
      <c r="BH130" s="1145">
        <f>+BH128*$D$83</f>
        <v/>
      </c>
      <c r="BI130" s="198">
        <f>+BI128*$D$83</f>
        <v/>
      </c>
      <c r="BJ130" s="198">
        <f>+BJ128*$D$83</f>
        <v/>
      </c>
      <c r="BK130" s="198">
        <f>+BK128*$D$83</f>
        <v/>
      </c>
      <c r="BL130" s="198">
        <f>+BL128*$D$83</f>
        <v/>
      </c>
      <c r="BM130" s="198">
        <f>+BM128*$D$83</f>
        <v/>
      </c>
      <c r="BN130" s="1145">
        <f>+BN128*$D$83</f>
        <v/>
      </c>
    </row>
    <row r="131" ht="12.75" customHeight="1" s="1883">
      <c r="B131" s="56" t="n"/>
      <c r="C131" s="1038" t="n"/>
      <c r="D131" s="55" t="n"/>
      <c r="E131" s="57" t="n"/>
      <c r="F131" s="57" t="n"/>
      <c r="G131" s="87" t="n"/>
      <c r="H131" s="87" t="n"/>
      <c r="I131" s="87" t="n"/>
      <c r="J131" s="87" t="n"/>
      <c r="K131" s="87" t="n"/>
      <c r="L131" s="1142" t="n"/>
      <c r="M131" s="87" t="n"/>
      <c r="N131" s="87" t="n"/>
      <c r="O131" s="87" t="n"/>
      <c r="P131" s="87" t="n"/>
      <c r="Q131" s="87" t="n"/>
      <c r="R131" s="1142" t="n"/>
      <c r="S131" s="87" t="n"/>
      <c r="T131" s="87" t="n"/>
      <c r="U131" s="87" t="n"/>
      <c r="V131" s="87" t="n"/>
      <c r="W131" s="87" t="n"/>
      <c r="X131" s="1142" t="n"/>
      <c r="Y131" s="87" t="n"/>
      <c r="Z131" s="87" t="n"/>
      <c r="AA131" s="87" t="n"/>
      <c r="AB131" s="87" t="n"/>
      <c r="AC131" s="87" t="n"/>
      <c r="AD131" s="1142" t="n"/>
      <c r="AE131" s="87" t="n"/>
      <c r="AF131" s="87" t="n"/>
      <c r="AG131" s="87" t="n"/>
      <c r="AH131" s="87" t="n"/>
      <c r="AI131" s="87" t="n"/>
      <c r="AJ131" s="1142" t="n"/>
      <c r="AK131" s="87" t="n"/>
      <c r="AL131" s="87" t="n"/>
      <c r="AM131" s="87" t="n"/>
      <c r="AN131" s="87" t="n"/>
      <c r="AO131" s="87" t="n"/>
      <c r="AP131" s="1142" t="n"/>
      <c r="AQ131" s="87" t="n"/>
      <c r="AR131" s="87" t="n"/>
      <c r="AS131" s="87" t="n"/>
      <c r="AT131" s="87" t="n"/>
      <c r="AU131" s="87" t="n"/>
      <c r="AV131" s="1142" t="n"/>
      <c r="AW131" s="87" t="n"/>
      <c r="AX131" s="87" t="n"/>
      <c r="AY131" s="87" t="n"/>
      <c r="AZ131" s="87" t="n"/>
      <c r="BA131" s="87" t="n"/>
      <c r="BB131" s="1142" t="n"/>
      <c r="BC131" s="87" t="n"/>
      <c r="BD131" s="87" t="n"/>
      <c r="BE131" s="87" t="n"/>
      <c r="BF131" s="87" t="n"/>
      <c r="BG131" s="87" t="n"/>
      <c r="BH131" s="1142" t="n"/>
      <c r="BI131" s="87" t="n"/>
      <c r="BJ131" s="87" t="n"/>
      <c r="BK131" s="87" t="n"/>
      <c r="BL131" s="87" t="n"/>
      <c r="BM131" s="87" t="n"/>
      <c r="BN131" s="1142" t="n"/>
    </row>
    <row r="132" ht="12.75" customHeight="1" s="1883">
      <c r="B132" s="56" t="inlineStr">
        <is>
          <t>BS</t>
        </is>
      </c>
      <c r="C132" s="1114" t="inlineStr">
        <is>
          <t>CMO Deposit</t>
        </is>
      </c>
      <c r="D132" s="86">
        <f>+D110</f>
        <v/>
      </c>
      <c r="E132" s="71">
        <f>+'6B. Pre-Launch Exps. - Detail'!P163</f>
        <v/>
      </c>
      <c r="F132" s="71">
        <f>+'6B. Pre-Launch Exps. - Detail'!Q163</f>
        <v/>
      </c>
      <c r="G132" s="71">
        <f>+(G115+G122)*$D132</f>
        <v/>
      </c>
      <c r="H132" s="71">
        <f>+(H115+H122)*$D132</f>
        <v/>
      </c>
      <c r="I132" s="71">
        <f>+(I115+I122)*$D132</f>
        <v/>
      </c>
      <c r="J132" s="71">
        <f>+(J115+J122)*$D132</f>
        <v/>
      </c>
      <c r="K132" s="71">
        <f>+(K115+K122)*$D132</f>
        <v/>
      </c>
      <c r="L132" s="1144">
        <f>+(L115+L122)*$D132</f>
        <v/>
      </c>
      <c r="M132" s="71">
        <f>+(M115+M122)*$D132</f>
        <v/>
      </c>
      <c r="N132" s="71">
        <f>+(N115+N122)*$D132</f>
        <v/>
      </c>
      <c r="O132" s="71">
        <f>+(O115+O122)*$D132</f>
        <v/>
      </c>
      <c r="P132" s="71">
        <f>+(P115+P122)*$D132</f>
        <v/>
      </c>
      <c r="Q132" s="71">
        <f>+(Q115+Q122)*$D132</f>
        <v/>
      </c>
      <c r="R132" s="1144">
        <f>+(R115+R122)*$D132</f>
        <v/>
      </c>
      <c r="S132" s="71">
        <f>+(S115+S122)*$D132</f>
        <v/>
      </c>
      <c r="T132" s="71">
        <f>+(T115+T122)*$D132</f>
        <v/>
      </c>
      <c r="U132" s="71">
        <f>+(U115+U122)*$D132</f>
        <v/>
      </c>
      <c r="V132" s="71">
        <f>+(V115+V122)*$D132</f>
        <v/>
      </c>
      <c r="W132" s="71">
        <f>+(W115+W122)*$D132</f>
        <v/>
      </c>
      <c r="X132" s="1144">
        <f>+(X115+X122)*$D132</f>
        <v/>
      </c>
      <c r="Y132" s="71">
        <f>+(Y115+Y122)*$D132</f>
        <v/>
      </c>
      <c r="Z132" s="71">
        <f>+(Z115+Z122)*$D132</f>
        <v/>
      </c>
      <c r="AA132" s="71">
        <f>+(AA115+AA122)*$D132</f>
        <v/>
      </c>
      <c r="AB132" s="71">
        <f>+(AB115+AB122)*$D132</f>
        <v/>
      </c>
      <c r="AC132" s="71">
        <f>+(AC115+AC122)*$D132</f>
        <v/>
      </c>
      <c r="AD132" s="1144">
        <f>+(AD115+AD122)*$D132</f>
        <v/>
      </c>
      <c r="AE132" s="71">
        <f>+(AE115+AE122)*$D132</f>
        <v/>
      </c>
      <c r="AF132" s="71">
        <f>+(AF115+AF122)*$D132</f>
        <v/>
      </c>
      <c r="AG132" s="71">
        <f>+(AG115+AG122)*$D132</f>
        <v/>
      </c>
      <c r="AH132" s="71">
        <f>+(AH115+AH122)*$D132</f>
        <v/>
      </c>
      <c r="AI132" s="71">
        <f>+(AI115+AI122)*$D132</f>
        <v/>
      </c>
      <c r="AJ132" s="1144">
        <f>+(AJ115+AJ122)*$D132</f>
        <v/>
      </c>
      <c r="AK132" s="71">
        <f>+(AK115+AK122)*$D132</f>
        <v/>
      </c>
      <c r="AL132" s="71">
        <f>+(AL115+AL122)*$D132</f>
        <v/>
      </c>
      <c r="AM132" s="71">
        <f>+(AM115+AM122)*$D132</f>
        <v/>
      </c>
      <c r="AN132" s="71">
        <f>+(AN115+AN122)*$D132</f>
        <v/>
      </c>
      <c r="AO132" s="71">
        <f>+(AO115+AO122)*$D132</f>
        <v/>
      </c>
      <c r="AP132" s="1144">
        <f>+(AP115+AP122)*$D132</f>
        <v/>
      </c>
      <c r="AQ132" s="71">
        <f>+(AQ115+AQ122)*$D132</f>
        <v/>
      </c>
      <c r="AR132" s="71">
        <f>+(AR115+AR122)*$D132</f>
        <v/>
      </c>
      <c r="AS132" s="71">
        <f>+(AS115+AS122)*$D132</f>
        <v/>
      </c>
      <c r="AT132" s="71">
        <f>+(AT115+AT122)*$D132</f>
        <v/>
      </c>
      <c r="AU132" s="71">
        <f>+(AU115+AU122)*$D132</f>
        <v/>
      </c>
      <c r="AV132" s="1144">
        <f>+(AV115+AV122)*$D132</f>
        <v/>
      </c>
      <c r="AW132" s="71">
        <f>+(AW115+AW122)*$D132</f>
        <v/>
      </c>
      <c r="AX132" s="71">
        <f>+(AX115+AX122)*$D132</f>
        <v/>
      </c>
      <c r="AY132" s="71">
        <f>+(AY115+AY122)*$D132</f>
        <v/>
      </c>
      <c r="AZ132" s="71">
        <f>+(AZ115+AZ122)*$D132</f>
        <v/>
      </c>
      <c r="BA132" s="71">
        <f>+(BA115+BA122)*$D132</f>
        <v/>
      </c>
      <c r="BB132" s="1144">
        <f>+(BB115+BB122)*$D132</f>
        <v/>
      </c>
      <c r="BC132" s="71">
        <f>+(BC115+BC122)*$D132</f>
        <v/>
      </c>
      <c r="BD132" s="71">
        <f>+(BD115+BD122)*$D132</f>
        <v/>
      </c>
      <c r="BE132" s="71">
        <f>+(BE115+BE122)*$D132</f>
        <v/>
      </c>
      <c r="BF132" s="71">
        <f>+(BF115+BF122)*$D132</f>
        <v/>
      </c>
      <c r="BG132" s="71">
        <f>+(BG115+BG122)*$D132</f>
        <v/>
      </c>
      <c r="BH132" s="1144">
        <f>+(BH115+BH122)*$D132</f>
        <v/>
      </c>
      <c r="BI132" s="71">
        <f>+(BI115+BI122)*$D132</f>
        <v/>
      </c>
      <c r="BJ132" s="71">
        <f>+(BJ115+BJ122)*$D132</f>
        <v/>
      </c>
      <c r="BK132" s="71">
        <f>+(BK115+BK122)*$D132</f>
        <v/>
      </c>
      <c r="BL132" s="71">
        <f>+(BL115+BL122)*$D132</f>
        <v/>
      </c>
      <c r="BM132" s="71">
        <f>+(BM115+BM122)*$D132</f>
        <v/>
      </c>
      <c r="BN132" s="1144">
        <f>+(BN115+BN122)*$D132</f>
        <v/>
      </c>
    </row>
    <row r="133" ht="12.75" customHeight="1" s="1883">
      <c r="B133" s="56" t="n"/>
      <c r="C133" s="1114" t="inlineStr">
        <is>
          <t>Final Payment</t>
        </is>
      </c>
      <c r="D133" s="86">
        <f>+D111</f>
        <v/>
      </c>
      <c r="E133" s="71">
        <f>+'6B. Pre-Launch Exps. - Detail'!P164</f>
        <v/>
      </c>
      <c r="F133" s="71">
        <f>+'6B. Pre-Launch Exps. - Detail'!Q164</f>
        <v/>
      </c>
      <c r="G133" s="71">
        <f>+(F115+F122)*$D133</f>
        <v/>
      </c>
      <c r="H133" s="71">
        <f>+(G115+G122)*$D133</f>
        <v/>
      </c>
      <c r="I133" s="71">
        <f>+(H115+H122)*$D133</f>
        <v/>
      </c>
      <c r="J133" s="71">
        <f>+(I115+I122)*$D133</f>
        <v/>
      </c>
      <c r="K133" s="71">
        <f>+(J115+J122)*$D133</f>
        <v/>
      </c>
      <c r="L133" s="1144">
        <f>+(K115+K122)*$D133</f>
        <v/>
      </c>
      <c r="M133" s="71">
        <f>+(L115+L122)*$D133</f>
        <v/>
      </c>
      <c r="N133" s="71">
        <f>+(M115+M122)*$D133</f>
        <v/>
      </c>
      <c r="O133" s="71">
        <f>+(N115+N122)*$D133</f>
        <v/>
      </c>
      <c r="P133" s="71">
        <f>+(O115+O122)*$D133</f>
        <v/>
      </c>
      <c r="Q133" s="71">
        <f>+(P115+P122)*$D133</f>
        <v/>
      </c>
      <c r="R133" s="1144">
        <f>+(Q115+Q122)*$D133</f>
        <v/>
      </c>
      <c r="S133" s="71">
        <f>+(R115+R122)*$D133</f>
        <v/>
      </c>
      <c r="T133" s="71">
        <f>+(S115+S122)*$D133</f>
        <v/>
      </c>
      <c r="U133" s="71">
        <f>+(T115+T122)*$D133</f>
        <v/>
      </c>
      <c r="V133" s="71">
        <f>+(U115+U122)*$D133</f>
        <v/>
      </c>
      <c r="W133" s="71">
        <f>+(V115+V122)*$D133</f>
        <v/>
      </c>
      <c r="X133" s="1144">
        <f>+(W115+W122)*$D133</f>
        <v/>
      </c>
      <c r="Y133" s="71">
        <f>+(X115+X122)*$D133</f>
        <v/>
      </c>
      <c r="Z133" s="71">
        <f>+(Y115+Y122)*$D133</f>
        <v/>
      </c>
      <c r="AA133" s="71">
        <f>+(Z115+Z122)*$D133</f>
        <v/>
      </c>
      <c r="AB133" s="71">
        <f>+(AA115+AA122)*$D133</f>
        <v/>
      </c>
      <c r="AC133" s="71">
        <f>+(AB115+AB122)*$D133</f>
        <v/>
      </c>
      <c r="AD133" s="1144">
        <f>+(AC115+AC122)*$D133</f>
        <v/>
      </c>
      <c r="AE133" s="71">
        <f>+(AD115+AD122)*$D133</f>
        <v/>
      </c>
      <c r="AF133" s="71">
        <f>+(AE115+AE122)*$D133</f>
        <v/>
      </c>
      <c r="AG133" s="71">
        <f>+(AF115+AF122)*$D133</f>
        <v/>
      </c>
      <c r="AH133" s="71">
        <f>+(AG115+AG122)*$D133</f>
        <v/>
      </c>
      <c r="AI133" s="71">
        <f>+(AH115+AH122)*$D133</f>
        <v/>
      </c>
      <c r="AJ133" s="1144">
        <f>+(AI115+AI122)*$D133</f>
        <v/>
      </c>
      <c r="AK133" s="71">
        <f>+(AJ115+AJ122)*$D133</f>
        <v/>
      </c>
      <c r="AL133" s="71">
        <f>+(AK115+AK122)*$D133</f>
        <v/>
      </c>
      <c r="AM133" s="71">
        <f>+(AL115+AL122)*$D133</f>
        <v/>
      </c>
      <c r="AN133" s="71">
        <f>+(AM115+AM122)*$D133</f>
        <v/>
      </c>
      <c r="AO133" s="71">
        <f>+(AN115+AN122)*$D133</f>
        <v/>
      </c>
      <c r="AP133" s="1144">
        <f>+(AO115+AO122)*$D133</f>
        <v/>
      </c>
      <c r="AQ133" s="71">
        <f>+(AP115+AP122)*$D133</f>
        <v/>
      </c>
      <c r="AR133" s="71">
        <f>+(AQ115+AQ122)*$D133</f>
        <v/>
      </c>
      <c r="AS133" s="71">
        <f>+(AR115+AR122)*$D133</f>
        <v/>
      </c>
      <c r="AT133" s="71">
        <f>+(AS115+AS122)*$D133</f>
        <v/>
      </c>
      <c r="AU133" s="71">
        <f>+(AT115+AT122)*$D133</f>
        <v/>
      </c>
      <c r="AV133" s="1144">
        <f>+(AU115+AU122)*$D133</f>
        <v/>
      </c>
      <c r="AW133" s="71">
        <f>+(AV115+AV122)*$D133</f>
        <v/>
      </c>
      <c r="AX133" s="71">
        <f>+(AW115+AW122)*$D133</f>
        <v/>
      </c>
      <c r="AY133" s="71">
        <f>+(AX115+AX122)*$D133</f>
        <v/>
      </c>
      <c r="AZ133" s="71">
        <f>+(AY115+AY122)*$D133</f>
        <v/>
      </c>
      <c r="BA133" s="71">
        <f>+(AZ115+AZ122)*$D133</f>
        <v/>
      </c>
      <c r="BB133" s="1144">
        <f>+(BA115+BA122)*$D133</f>
        <v/>
      </c>
      <c r="BC133" s="71">
        <f>+(BB115+BB122)*$D133</f>
        <v/>
      </c>
      <c r="BD133" s="71">
        <f>+(BC115+BC122)*$D133</f>
        <v/>
      </c>
      <c r="BE133" s="71">
        <f>+(BD115+BD122)*$D133</f>
        <v/>
      </c>
      <c r="BF133" s="71">
        <f>+(BE115+BE122)*$D133</f>
        <v/>
      </c>
      <c r="BG133" s="71">
        <f>+(BF115+BF122)*$D133</f>
        <v/>
      </c>
      <c r="BH133" s="1144">
        <f>+(BG115+BG122)*$D133</f>
        <v/>
      </c>
      <c r="BI133" s="71">
        <f>+(BH115+BH122)*$D133</f>
        <v/>
      </c>
      <c r="BJ133" s="71">
        <f>+(BI115+BI122)*$D133</f>
        <v/>
      </c>
      <c r="BK133" s="71">
        <f>+(BJ115+BJ122)*$D133</f>
        <v/>
      </c>
      <c r="BL133" s="71">
        <f>+(BK115+BK122)*$D133</f>
        <v/>
      </c>
      <c r="BM133" s="71">
        <f>+(BL115+BL122)*$D133</f>
        <v/>
      </c>
      <c r="BN133" s="1144">
        <f>+(BM115+BM122)*$D133</f>
        <v/>
      </c>
    </row>
    <row r="134" ht="12.75" customHeight="1" s="1883">
      <c r="B134" s="56" t="n"/>
      <c r="C134" s="1148" t="n"/>
      <c r="D134" s="1063" t="n"/>
      <c r="E134" s="1139" t="n"/>
      <c r="F134" s="1139" t="n"/>
      <c r="G134" s="1063" t="n"/>
      <c r="H134" s="1063" t="n"/>
      <c r="I134" s="1063" t="n"/>
      <c r="J134" s="1063" t="n"/>
      <c r="K134" s="1063" t="n"/>
      <c r="L134" s="164" t="n"/>
      <c r="M134" s="1063" t="n"/>
      <c r="N134" s="1063" t="n"/>
      <c r="O134" s="1063" t="n"/>
      <c r="P134" s="1063" t="n"/>
      <c r="Q134" s="1063" t="n"/>
      <c r="R134" s="164" t="n"/>
      <c r="S134" s="59" t="n"/>
      <c r="T134" s="59" t="n"/>
      <c r="U134" s="59" t="n"/>
      <c r="V134" s="59" t="n"/>
      <c r="W134" s="59" t="n"/>
      <c r="X134" s="1039" t="n"/>
      <c r="Y134" s="59" t="n"/>
      <c r="Z134" s="59" t="n"/>
      <c r="AA134" s="59" t="n"/>
      <c r="AB134" s="59" t="n"/>
      <c r="AC134" s="59" t="n"/>
      <c r="AD134" s="1039" t="n"/>
      <c r="AE134" s="59" t="n"/>
      <c r="AF134" s="59" t="n"/>
      <c r="AG134" s="59" t="n"/>
      <c r="AH134" s="59" t="n"/>
      <c r="AI134" s="59" t="n"/>
      <c r="AJ134" s="1039" t="n"/>
      <c r="AK134" s="59" t="n"/>
      <c r="AL134" s="59" t="n"/>
      <c r="AM134" s="59" t="n"/>
      <c r="AN134" s="59" t="n"/>
      <c r="AO134" s="59" t="n"/>
      <c r="AP134" s="1039" t="n"/>
      <c r="AQ134" s="59" t="n"/>
      <c r="AR134" s="59" t="n"/>
      <c r="AS134" s="59" t="n"/>
      <c r="AT134" s="59" t="n"/>
      <c r="AU134" s="59" t="n"/>
      <c r="AV134" s="1039" t="n"/>
      <c r="AW134" s="59" t="n"/>
      <c r="AX134" s="59" t="n"/>
      <c r="AY134" s="59" t="n"/>
      <c r="AZ134" s="59" t="n"/>
      <c r="BA134" s="59" t="n"/>
      <c r="BB134" s="1039" t="n"/>
      <c r="BC134" s="59" t="n"/>
      <c r="BD134" s="59" t="n"/>
      <c r="BE134" s="59" t="n"/>
      <c r="BF134" s="59" t="n"/>
      <c r="BG134" s="59" t="n"/>
      <c r="BH134" s="1039" t="n"/>
      <c r="BI134" s="59" t="n"/>
      <c r="BJ134" s="59" t="n"/>
      <c r="BK134" s="59" t="n"/>
      <c r="BL134" s="59" t="n"/>
      <c r="BM134" s="59" t="n"/>
      <c r="BN134" s="1039" t="n"/>
    </row>
    <row r="135" ht="12.75" customHeight="1" s="1883">
      <c r="B135" s="56" t="n"/>
      <c r="C135" s="1114" t="inlineStr">
        <is>
          <t>Computer App</t>
        </is>
      </c>
      <c r="D135" s="55" t="n"/>
      <c r="E135" s="1140">
        <f>+E113</f>
        <v/>
      </c>
      <c r="F135" s="1140">
        <f>+F113</f>
        <v/>
      </c>
      <c r="G135" s="1140">
        <f>+G113</f>
        <v/>
      </c>
      <c r="H135" s="1140">
        <f>+H113</f>
        <v/>
      </c>
      <c r="I135" s="1140">
        <f>+I113</f>
        <v/>
      </c>
      <c r="J135" s="1140">
        <f>+J113</f>
        <v/>
      </c>
      <c r="K135" s="1140">
        <f>+K113</f>
        <v/>
      </c>
      <c r="L135" s="196">
        <f>+L113</f>
        <v/>
      </c>
      <c r="M135" s="1140">
        <f>+M113</f>
        <v/>
      </c>
      <c r="N135" s="1140">
        <f>+N113</f>
        <v/>
      </c>
      <c r="O135" s="1140">
        <f>+O113</f>
        <v/>
      </c>
      <c r="P135" s="1140">
        <f>+P113</f>
        <v/>
      </c>
      <c r="Q135" s="1140">
        <f>+Q113</f>
        <v/>
      </c>
      <c r="R135" s="196">
        <f>+R113</f>
        <v/>
      </c>
      <c r="S135" s="1140">
        <f>+S113</f>
        <v/>
      </c>
      <c r="T135" s="1140">
        <f>+T113</f>
        <v/>
      </c>
      <c r="U135" s="1140">
        <f>+U113</f>
        <v/>
      </c>
      <c r="V135" s="1140">
        <f>+V113</f>
        <v/>
      </c>
      <c r="W135" s="1140">
        <f>+W113</f>
        <v/>
      </c>
      <c r="X135" s="196">
        <f>+X113</f>
        <v/>
      </c>
      <c r="Y135" s="1140">
        <f>+Y113</f>
        <v/>
      </c>
      <c r="Z135" s="1140">
        <f>+Z113</f>
        <v/>
      </c>
      <c r="AA135" s="1140">
        <f>+AA113</f>
        <v/>
      </c>
      <c r="AB135" s="1140">
        <f>+AB113</f>
        <v/>
      </c>
      <c r="AC135" s="1140">
        <f>+AC113</f>
        <v/>
      </c>
      <c r="AD135" s="196">
        <f>+AD113</f>
        <v/>
      </c>
      <c r="AE135" s="1140">
        <f>+AE113</f>
        <v/>
      </c>
      <c r="AF135" s="1140">
        <f>+AF113</f>
        <v/>
      </c>
      <c r="AG135" s="1140">
        <f>+AG113</f>
        <v/>
      </c>
      <c r="AH135" s="1140">
        <f>+AH113</f>
        <v/>
      </c>
      <c r="AI135" s="1140">
        <f>+AI113</f>
        <v/>
      </c>
      <c r="AJ135" s="196">
        <f>+AJ113</f>
        <v/>
      </c>
      <c r="AK135" s="1140">
        <f>+AK113</f>
        <v/>
      </c>
      <c r="AL135" s="1140">
        <f>+AL113</f>
        <v/>
      </c>
      <c r="AM135" s="1140">
        <f>+AM113</f>
        <v/>
      </c>
      <c r="AN135" s="1140">
        <f>+AN113</f>
        <v/>
      </c>
      <c r="AO135" s="1140">
        <f>+AO113</f>
        <v/>
      </c>
      <c r="AP135" s="196">
        <f>+AP113</f>
        <v/>
      </c>
      <c r="AQ135" s="1140">
        <f>+AQ113</f>
        <v/>
      </c>
      <c r="AR135" s="1140">
        <f>+AR113</f>
        <v/>
      </c>
      <c r="AS135" s="1140">
        <f>+AS113</f>
        <v/>
      </c>
      <c r="AT135" s="1140">
        <f>+AT113</f>
        <v/>
      </c>
      <c r="AU135" s="1140">
        <f>+AU113</f>
        <v/>
      </c>
      <c r="AV135" s="196">
        <f>+AV113</f>
        <v/>
      </c>
      <c r="AW135" s="1140">
        <f>+AW113</f>
        <v/>
      </c>
      <c r="AX135" s="1140">
        <f>+AX113</f>
        <v/>
      </c>
      <c r="AY135" s="1140">
        <f>+AY113</f>
        <v/>
      </c>
      <c r="AZ135" s="1140">
        <f>+AZ113</f>
        <v/>
      </c>
      <c r="BA135" s="1140">
        <f>+BA113</f>
        <v/>
      </c>
      <c r="BB135" s="196">
        <f>+BB113</f>
        <v/>
      </c>
      <c r="BC135" s="1140">
        <f>+BC113</f>
        <v/>
      </c>
      <c r="BD135" s="1140">
        <f>+BD113</f>
        <v/>
      </c>
      <c r="BE135" s="1140">
        <f>+BE113</f>
        <v/>
      </c>
      <c r="BF135" s="1140">
        <f>+BF113</f>
        <v/>
      </c>
      <c r="BG135" s="1140">
        <f>+BG113</f>
        <v/>
      </c>
      <c r="BH135" s="196">
        <f>+BH113</f>
        <v/>
      </c>
      <c r="BI135" s="1140">
        <f>+BI113</f>
        <v/>
      </c>
      <c r="BJ135" s="1140">
        <f>+BJ113</f>
        <v/>
      </c>
      <c r="BK135" s="1140">
        <f>+BK113</f>
        <v/>
      </c>
      <c r="BL135" s="1140">
        <f>+BL113</f>
        <v/>
      </c>
      <c r="BM135" s="1140">
        <f>+BM113</f>
        <v/>
      </c>
      <c r="BN135" s="196">
        <f>+BN113</f>
        <v/>
      </c>
    </row>
    <row r="136" ht="12.75" customHeight="1" s="1883">
      <c r="B136" s="56" t="n"/>
      <c r="C136" s="1141" t="inlineStr">
        <is>
          <t>Units Ordered - for Sale</t>
        </is>
      </c>
      <c r="D136" s="55" t="n"/>
      <c r="E136" s="87">
        <f>+'6B. Pre-Launch Exps. - Detail'!P168</f>
        <v/>
      </c>
      <c r="F136" s="87">
        <f>+'6B. Pre-Launch Exps. - Detail'!Q168</f>
        <v/>
      </c>
      <c r="G136" s="87">
        <f>+'3F. Revenue &amp; COGS Assumptions'!I51</f>
        <v/>
      </c>
      <c r="H136" s="87">
        <f>+'3F. Revenue &amp; COGS Assumptions'!J51</f>
        <v/>
      </c>
      <c r="I136" s="87">
        <f>+'3F. Revenue &amp; COGS Assumptions'!K51</f>
        <v/>
      </c>
      <c r="J136" s="87">
        <f>+'3F. Revenue &amp; COGS Assumptions'!L51</f>
        <v/>
      </c>
      <c r="K136" s="87">
        <f>+'3F. Revenue &amp; COGS Assumptions'!M51</f>
        <v/>
      </c>
      <c r="L136" s="1142">
        <f>+'3F. Revenue &amp; COGS Assumptions'!N51</f>
        <v/>
      </c>
      <c r="M136" s="87">
        <f>+'3F. Revenue &amp; COGS Assumptions'!O51</f>
        <v/>
      </c>
      <c r="N136" s="87">
        <f>+'3F. Revenue &amp; COGS Assumptions'!P51</f>
        <v/>
      </c>
      <c r="O136" s="87">
        <f>+'3F. Revenue &amp; COGS Assumptions'!Q51</f>
        <v/>
      </c>
      <c r="P136" s="87">
        <f>+'3F. Revenue &amp; COGS Assumptions'!R51</f>
        <v/>
      </c>
      <c r="Q136" s="1143">
        <f>+'3F. Revenue &amp; COGS Assumptions'!S51</f>
        <v/>
      </c>
      <c r="R136" s="197">
        <f>+'3F. Revenue &amp; COGS Assumptions'!T51</f>
        <v/>
      </c>
      <c r="S136" s="87">
        <f>+'3F. Revenue &amp; COGS Assumptions'!U51</f>
        <v/>
      </c>
      <c r="T136" s="87">
        <f>+'3F. Revenue &amp; COGS Assumptions'!V51</f>
        <v/>
      </c>
      <c r="U136" s="87">
        <f>+'3F. Revenue &amp; COGS Assumptions'!W51</f>
        <v/>
      </c>
      <c r="V136" s="87">
        <f>+'3F. Revenue &amp; COGS Assumptions'!X51</f>
        <v/>
      </c>
      <c r="W136" s="87">
        <f>+'3F. Revenue &amp; COGS Assumptions'!Y51</f>
        <v/>
      </c>
      <c r="X136" s="1142">
        <f>+'3F. Revenue &amp; COGS Assumptions'!Z51</f>
        <v/>
      </c>
      <c r="Y136" s="87">
        <f>+'3F. Revenue &amp; COGS Assumptions'!AA51</f>
        <v/>
      </c>
      <c r="Z136" s="87">
        <f>+'3F. Revenue &amp; COGS Assumptions'!AB51</f>
        <v/>
      </c>
      <c r="AA136" s="87">
        <f>+'3F. Revenue &amp; COGS Assumptions'!AC51</f>
        <v/>
      </c>
      <c r="AB136" s="87">
        <f>+'3F. Revenue &amp; COGS Assumptions'!AD51</f>
        <v/>
      </c>
      <c r="AC136" s="1143">
        <f>+'3F. Revenue &amp; COGS Assumptions'!AE51</f>
        <v/>
      </c>
      <c r="AD136" s="197">
        <f>+'3F. Revenue &amp; COGS Assumptions'!AF51</f>
        <v/>
      </c>
      <c r="AE136" s="87">
        <f>+'3F. Revenue &amp; COGS Assumptions'!AG51</f>
        <v/>
      </c>
      <c r="AF136" s="87">
        <f>+'3F. Revenue &amp; COGS Assumptions'!AH51</f>
        <v/>
      </c>
      <c r="AG136" s="87">
        <f>+'3F. Revenue &amp; COGS Assumptions'!AI51</f>
        <v/>
      </c>
      <c r="AH136" s="87">
        <f>+'3F. Revenue &amp; COGS Assumptions'!AJ51</f>
        <v/>
      </c>
      <c r="AI136" s="87">
        <f>+'3F. Revenue &amp; COGS Assumptions'!AK51</f>
        <v/>
      </c>
      <c r="AJ136" s="1142">
        <f>+'3F. Revenue &amp; COGS Assumptions'!AL51</f>
        <v/>
      </c>
      <c r="AK136" s="87">
        <f>+'3F. Revenue &amp; COGS Assumptions'!AM51</f>
        <v/>
      </c>
      <c r="AL136" s="87">
        <f>+'3F. Revenue &amp; COGS Assumptions'!AN51</f>
        <v/>
      </c>
      <c r="AM136" s="87">
        <f>+'3F. Revenue &amp; COGS Assumptions'!AO51</f>
        <v/>
      </c>
      <c r="AN136" s="87">
        <f>+'3F. Revenue &amp; COGS Assumptions'!AP51</f>
        <v/>
      </c>
      <c r="AO136" s="1143">
        <f>+'3F. Revenue &amp; COGS Assumptions'!AQ51</f>
        <v/>
      </c>
      <c r="AP136" s="197">
        <f>+'3F. Revenue &amp; COGS Assumptions'!AR51</f>
        <v/>
      </c>
      <c r="AQ136" s="87">
        <f>+'3F. Revenue &amp; COGS Assumptions'!AS51</f>
        <v/>
      </c>
      <c r="AR136" s="87">
        <f>+'3F. Revenue &amp; COGS Assumptions'!AT51</f>
        <v/>
      </c>
      <c r="AS136" s="87">
        <f>+'3F. Revenue &amp; COGS Assumptions'!AU51</f>
        <v/>
      </c>
      <c r="AT136" s="87">
        <f>+'3F. Revenue &amp; COGS Assumptions'!AV51</f>
        <v/>
      </c>
      <c r="AU136" s="87">
        <f>+'3F. Revenue &amp; COGS Assumptions'!AW51</f>
        <v/>
      </c>
      <c r="AV136" s="1142">
        <f>+'3F. Revenue &amp; COGS Assumptions'!AX51</f>
        <v/>
      </c>
      <c r="AW136" s="87">
        <f>+'3F. Revenue &amp; COGS Assumptions'!AY51</f>
        <v/>
      </c>
      <c r="AX136" s="87">
        <f>+'3F. Revenue &amp; COGS Assumptions'!AZ51</f>
        <v/>
      </c>
      <c r="AY136" s="87">
        <f>+'3F. Revenue &amp; COGS Assumptions'!BA51</f>
        <v/>
      </c>
      <c r="AZ136" s="87">
        <f>+'3F. Revenue &amp; COGS Assumptions'!BB51</f>
        <v/>
      </c>
      <c r="BA136" s="1143">
        <f>+'3F. Revenue &amp; COGS Assumptions'!BC51</f>
        <v/>
      </c>
      <c r="BB136" s="197">
        <f>+'3F. Revenue &amp; COGS Assumptions'!BD51</f>
        <v/>
      </c>
      <c r="BC136" s="87">
        <f>+'3F. Revenue &amp; COGS Assumptions'!BE51</f>
        <v/>
      </c>
      <c r="BD136" s="87">
        <f>+'3F. Revenue &amp; COGS Assumptions'!BF51</f>
        <v/>
      </c>
      <c r="BE136" s="87">
        <f>+'3F. Revenue &amp; COGS Assumptions'!BG51</f>
        <v/>
      </c>
      <c r="BF136" s="87">
        <f>+'3F. Revenue &amp; COGS Assumptions'!BH51</f>
        <v/>
      </c>
      <c r="BG136" s="87">
        <f>+'3F. Revenue &amp; COGS Assumptions'!BI51</f>
        <v/>
      </c>
      <c r="BH136" s="1142">
        <f>+'3F. Revenue &amp; COGS Assumptions'!BJ51</f>
        <v/>
      </c>
      <c r="BI136" s="87">
        <f>+'3F. Revenue &amp; COGS Assumptions'!BK51</f>
        <v/>
      </c>
      <c r="BJ136" s="87">
        <f>+'3F. Revenue &amp; COGS Assumptions'!BL51</f>
        <v/>
      </c>
      <c r="BK136" s="87">
        <f>+'3F. Revenue &amp; COGS Assumptions'!BM51</f>
        <v/>
      </c>
      <c r="BL136" s="87">
        <f>+'3F. Revenue &amp; COGS Assumptions'!BN51</f>
        <v/>
      </c>
      <c r="BM136" s="87">
        <f>+BA136</f>
        <v/>
      </c>
      <c r="BN136" s="1142">
        <f>+BB136</f>
        <v/>
      </c>
    </row>
    <row r="137" ht="12.75" customHeight="1" s="1883">
      <c r="B137" s="56" t="n"/>
      <c r="C137" s="1141" t="inlineStr">
        <is>
          <t>Value of Order ($)</t>
        </is>
      </c>
      <c r="D137" s="55" t="n"/>
      <c r="E137" s="71">
        <f>+E136*$D$84</f>
        <v/>
      </c>
      <c r="F137" s="71">
        <f>+F136*$D$84</f>
        <v/>
      </c>
      <c r="G137" s="71">
        <f>+G136*$D$84</f>
        <v/>
      </c>
      <c r="H137" s="71">
        <f>+H136*$D$84</f>
        <v/>
      </c>
      <c r="I137" s="71">
        <f>+I136*$D$84</f>
        <v/>
      </c>
      <c r="J137" s="71">
        <f>+J136*$D$84</f>
        <v/>
      </c>
      <c r="K137" s="71">
        <f>+K136*$D$84</f>
        <v/>
      </c>
      <c r="L137" s="1144">
        <f>+L136*$D$84</f>
        <v/>
      </c>
      <c r="M137" s="71">
        <f>+M136*$D$84</f>
        <v/>
      </c>
      <c r="N137" s="71">
        <f>+N136*$D$84</f>
        <v/>
      </c>
      <c r="O137" s="71">
        <f>+O136*$D$84</f>
        <v/>
      </c>
      <c r="P137" s="71">
        <f>+P136*$D$84</f>
        <v/>
      </c>
      <c r="Q137" s="71">
        <f>+Q136*$D$84</f>
        <v/>
      </c>
      <c r="R137" s="1144">
        <f>+R136*$D$84</f>
        <v/>
      </c>
      <c r="S137" s="71">
        <f>+S136*$D$84</f>
        <v/>
      </c>
      <c r="T137" s="71">
        <f>+T136*$D$84</f>
        <v/>
      </c>
      <c r="U137" s="71">
        <f>+U136*$D$84</f>
        <v/>
      </c>
      <c r="V137" s="71">
        <f>+V136*$D$84</f>
        <v/>
      </c>
      <c r="W137" s="71">
        <f>+W136*$D$84</f>
        <v/>
      </c>
      <c r="X137" s="1144">
        <f>+X136*$D$84</f>
        <v/>
      </c>
      <c r="Y137" s="71">
        <f>+Y136*$D$84</f>
        <v/>
      </c>
      <c r="Z137" s="71">
        <f>+Z136*$D$84</f>
        <v/>
      </c>
      <c r="AA137" s="71">
        <f>+AA136*$D$84</f>
        <v/>
      </c>
      <c r="AB137" s="71">
        <f>+AB136*$D$84</f>
        <v/>
      </c>
      <c r="AC137" s="71">
        <f>+AC136*$D$84</f>
        <v/>
      </c>
      <c r="AD137" s="1144">
        <f>+AD136*$D$84</f>
        <v/>
      </c>
      <c r="AE137" s="71">
        <f>+AE136*$D$84</f>
        <v/>
      </c>
      <c r="AF137" s="71">
        <f>+AF136*$D$84</f>
        <v/>
      </c>
      <c r="AG137" s="71">
        <f>+AG136*$D$84</f>
        <v/>
      </c>
      <c r="AH137" s="71">
        <f>+AH136*$D$84</f>
        <v/>
      </c>
      <c r="AI137" s="71">
        <f>+AI136*$D$84</f>
        <v/>
      </c>
      <c r="AJ137" s="1144">
        <f>+AJ136*$D$84</f>
        <v/>
      </c>
      <c r="AK137" s="71">
        <f>+AK136*$D$84</f>
        <v/>
      </c>
      <c r="AL137" s="71">
        <f>+AL136*$D$84</f>
        <v/>
      </c>
      <c r="AM137" s="71">
        <f>+AM136*$D$84</f>
        <v/>
      </c>
      <c r="AN137" s="71">
        <f>+AN136*$D$84</f>
        <v/>
      </c>
      <c r="AO137" s="71">
        <f>+AO136*$D$84</f>
        <v/>
      </c>
      <c r="AP137" s="1144">
        <f>+AP136*$D$84</f>
        <v/>
      </c>
      <c r="AQ137" s="71">
        <f>+AQ136*$D$84</f>
        <v/>
      </c>
      <c r="AR137" s="71">
        <f>+AR136*$D$84</f>
        <v/>
      </c>
      <c r="AS137" s="71">
        <f>+AS136*$D$84</f>
        <v/>
      </c>
      <c r="AT137" s="71">
        <f>+AT136*$D$84</f>
        <v/>
      </c>
      <c r="AU137" s="71">
        <f>+AU136*$D$84</f>
        <v/>
      </c>
      <c r="AV137" s="1144">
        <f>+AV136*$D$84</f>
        <v/>
      </c>
      <c r="AW137" s="71">
        <f>+AW136*$D$84</f>
        <v/>
      </c>
      <c r="AX137" s="71">
        <f>+AX136*$D$84</f>
        <v/>
      </c>
      <c r="AY137" s="71">
        <f>+AY136*$D$84</f>
        <v/>
      </c>
      <c r="AZ137" s="71">
        <f>+AZ136*$D$84</f>
        <v/>
      </c>
      <c r="BA137" s="71">
        <f>+BA136*$D$84</f>
        <v/>
      </c>
      <c r="BB137" s="1144">
        <f>+BB136*$D$84</f>
        <v/>
      </c>
      <c r="BC137" s="71">
        <f>+BC136*$D$84</f>
        <v/>
      </c>
      <c r="BD137" s="71">
        <f>+BD136*$D$84</f>
        <v/>
      </c>
      <c r="BE137" s="71">
        <f>+BE136*$D$84</f>
        <v/>
      </c>
      <c r="BF137" s="71">
        <f>+BF136*$D$84</f>
        <v/>
      </c>
      <c r="BG137" s="71">
        <f>+BG136*$D$84</f>
        <v/>
      </c>
      <c r="BH137" s="1144">
        <f>+BH136*$D$84</f>
        <v/>
      </c>
      <c r="BI137" s="71">
        <f>+BI136*$D$84</f>
        <v/>
      </c>
      <c r="BJ137" s="71">
        <f>+BJ136*$D$84</f>
        <v/>
      </c>
      <c r="BK137" s="71">
        <f>+BK136*$D$84</f>
        <v/>
      </c>
      <c r="BL137" s="71">
        <f>+BL136*$D$84</f>
        <v/>
      </c>
      <c r="BM137" s="71">
        <f>+BM136*$D$84</f>
        <v/>
      </c>
      <c r="BN137" s="1144">
        <f>+BN136*$D$84</f>
        <v/>
      </c>
    </row>
    <row r="138" ht="12.75" customHeight="1" s="1883">
      <c r="B138" s="56" t="n"/>
      <c r="C138" s="1141" t="n"/>
      <c r="D138" s="55" t="n"/>
      <c r="E138" s="57" t="n"/>
      <c r="F138" s="57" t="n"/>
      <c r="G138" s="87" t="n"/>
      <c r="H138" s="87" t="n"/>
      <c r="I138" s="87" t="n"/>
      <c r="J138" s="87" t="n"/>
      <c r="K138" s="87" t="n"/>
      <c r="L138" s="1142" t="n"/>
      <c r="M138" s="87" t="n"/>
      <c r="N138" s="87" t="n"/>
      <c r="O138" s="87" t="n"/>
      <c r="P138" s="87" t="n"/>
      <c r="Q138" s="87" t="n"/>
      <c r="R138" s="1142" t="n"/>
      <c r="S138" s="59" t="n"/>
      <c r="T138" s="59" t="n"/>
      <c r="U138" s="59" t="n"/>
      <c r="V138" s="59" t="n"/>
      <c r="W138" s="59" t="n"/>
      <c r="X138" s="1039" t="n"/>
      <c r="Y138" s="59" t="n"/>
      <c r="Z138" s="59" t="n"/>
      <c r="AA138" s="59" t="n"/>
      <c r="AB138" s="59" t="n"/>
      <c r="AC138" s="59" t="n"/>
      <c r="AD138" s="1039" t="n"/>
      <c r="AE138" s="59" t="n"/>
      <c r="AF138" s="59" t="n"/>
      <c r="AG138" s="59" t="n"/>
      <c r="AH138" s="59" t="n"/>
      <c r="AI138" s="59" t="n"/>
      <c r="AJ138" s="1039" t="n"/>
      <c r="AK138" s="59" t="n"/>
      <c r="AL138" s="59" t="n"/>
      <c r="AM138" s="59" t="n"/>
      <c r="AN138" s="59" t="n"/>
      <c r="AO138" s="59" t="n"/>
      <c r="AP138" s="1039" t="n"/>
      <c r="AQ138" s="59" t="n"/>
      <c r="AR138" s="59" t="n"/>
      <c r="AS138" s="59" t="n"/>
      <c r="AT138" s="59" t="n"/>
      <c r="AU138" s="59" t="n"/>
      <c r="AV138" s="1039" t="n"/>
      <c r="AW138" s="59" t="n"/>
      <c r="AX138" s="59" t="n"/>
      <c r="AY138" s="59" t="n"/>
      <c r="AZ138" s="59" t="n"/>
      <c r="BA138" s="59" t="n"/>
      <c r="BB138" s="1039" t="n"/>
      <c r="BC138" s="59" t="n"/>
      <c r="BD138" s="59" t="n"/>
      <c r="BE138" s="59" t="n"/>
      <c r="BF138" s="59" t="n"/>
      <c r="BG138" s="59" t="n"/>
      <c r="BH138" s="1039" t="n"/>
      <c r="BI138" s="59" t="n"/>
      <c r="BJ138" s="59" t="n"/>
      <c r="BK138" s="59" t="n"/>
      <c r="BL138" s="59" t="n"/>
      <c r="BM138" s="59" t="n"/>
      <c r="BN138" s="1039" t="n"/>
    </row>
    <row r="139" ht="12.75" customHeight="1" s="1883">
      <c r="B139" s="56" t="n"/>
      <c r="C139" s="1141" t="inlineStr">
        <is>
          <t>Units Received - for Sale</t>
        </is>
      </c>
      <c r="D139" s="55" t="n"/>
      <c r="E139" s="87">
        <f>+D136</f>
        <v/>
      </c>
      <c r="F139" s="87">
        <f>+D136</f>
        <v/>
      </c>
      <c r="G139" s="87">
        <f>+E136</f>
        <v/>
      </c>
      <c r="H139" s="87">
        <f>+F136</f>
        <v/>
      </c>
      <c r="I139" s="87">
        <f>+G136</f>
        <v/>
      </c>
      <c r="J139" s="87">
        <f>+H136</f>
        <v/>
      </c>
      <c r="K139" s="87">
        <f>+I136</f>
        <v/>
      </c>
      <c r="L139" s="1142">
        <f>+J136</f>
        <v/>
      </c>
      <c r="M139" s="87">
        <f>+K136</f>
        <v/>
      </c>
      <c r="N139" s="87">
        <f>+L136</f>
        <v/>
      </c>
      <c r="O139" s="87">
        <f>+M136</f>
        <v/>
      </c>
      <c r="P139" s="87">
        <f>+N136</f>
        <v/>
      </c>
      <c r="Q139" s="87">
        <f>+O136</f>
        <v/>
      </c>
      <c r="R139" s="1142">
        <f>+P136</f>
        <v/>
      </c>
      <c r="S139" s="87">
        <f>+Q136</f>
        <v/>
      </c>
      <c r="T139" s="87">
        <f>+R136</f>
        <v/>
      </c>
      <c r="U139" s="87">
        <f>+S136</f>
        <v/>
      </c>
      <c r="V139" s="87">
        <f>+T136</f>
        <v/>
      </c>
      <c r="W139" s="87">
        <f>+U136</f>
        <v/>
      </c>
      <c r="X139" s="1142">
        <f>+V136</f>
        <v/>
      </c>
      <c r="Y139" s="87">
        <f>+W136</f>
        <v/>
      </c>
      <c r="Z139" s="87">
        <f>+X136</f>
        <v/>
      </c>
      <c r="AA139" s="87">
        <f>+Y136</f>
        <v/>
      </c>
      <c r="AB139" s="87">
        <f>+Z136</f>
        <v/>
      </c>
      <c r="AC139" s="87">
        <f>+AA136</f>
        <v/>
      </c>
      <c r="AD139" s="1142">
        <f>+AB136</f>
        <v/>
      </c>
      <c r="AE139" s="87">
        <f>+AC136</f>
        <v/>
      </c>
      <c r="AF139" s="87">
        <f>+AD136</f>
        <v/>
      </c>
      <c r="AG139" s="87">
        <f>+AE136</f>
        <v/>
      </c>
      <c r="AH139" s="87">
        <f>+AF136</f>
        <v/>
      </c>
      <c r="AI139" s="87">
        <f>+AG136</f>
        <v/>
      </c>
      <c r="AJ139" s="1142">
        <f>+AH136</f>
        <v/>
      </c>
      <c r="AK139" s="87">
        <f>+AI136</f>
        <v/>
      </c>
      <c r="AL139" s="87">
        <f>+AJ136</f>
        <v/>
      </c>
      <c r="AM139" s="87">
        <f>+AK136</f>
        <v/>
      </c>
      <c r="AN139" s="87">
        <f>+AL136</f>
        <v/>
      </c>
      <c r="AO139" s="87">
        <f>+AM136</f>
        <v/>
      </c>
      <c r="AP139" s="1142">
        <f>+AN136</f>
        <v/>
      </c>
      <c r="AQ139" s="87">
        <f>+AO136</f>
        <v/>
      </c>
      <c r="AR139" s="87">
        <f>+AP136</f>
        <v/>
      </c>
      <c r="AS139" s="87">
        <f>+AQ136</f>
        <v/>
      </c>
      <c r="AT139" s="87">
        <f>+AR136</f>
        <v/>
      </c>
      <c r="AU139" s="87">
        <f>+AS136</f>
        <v/>
      </c>
      <c r="AV139" s="1142">
        <f>+AT136</f>
        <v/>
      </c>
      <c r="AW139" s="87">
        <f>+AU136</f>
        <v/>
      </c>
      <c r="AX139" s="87">
        <f>+AV136</f>
        <v/>
      </c>
      <c r="AY139" s="87">
        <f>+AW136</f>
        <v/>
      </c>
      <c r="AZ139" s="87">
        <f>+AX136</f>
        <v/>
      </c>
      <c r="BA139" s="87">
        <f>+AY136</f>
        <v/>
      </c>
      <c r="BB139" s="1142">
        <f>+AZ136</f>
        <v/>
      </c>
      <c r="BC139" s="87">
        <f>+BA136</f>
        <v/>
      </c>
      <c r="BD139" s="87">
        <f>+BB136</f>
        <v/>
      </c>
      <c r="BE139" s="87">
        <f>+BC136</f>
        <v/>
      </c>
      <c r="BF139" s="87">
        <f>+BD136</f>
        <v/>
      </c>
      <c r="BG139" s="87">
        <f>+BE136</f>
        <v/>
      </c>
      <c r="BH139" s="1142">
        <f>+BF136</f>
        <v/>
      </c>
      <c r="BI139" s="87">
        <f>+BG136</f>
        <v/>
      </c>
      <c r="BJ139" s="87">
        <f>+BH136</f>
        <v/>
      </c>
      <c r="BK139" s="87">
        <f>+BI136</f>
        <v/>
      </c>
      <c r="BL139" s="87">
        <f>+BJ136</f>
        <v/>
      </c>
      <c r="BM139" s="87">
        <f>+BK136</f>
        <v/>
      </c>
      <c r="BN139" s="1142">
        <f>+BL136</f>
        <v/>
      </c>
    </row>
    <row r="140" ht="12.75" customHeight="1" s="1883">
      <c r="B140" s="56" t="n"/>
      <c r="C140" s="1038" t="n"/>
      <c r="D140" s="55" t="n"/>
      <c r="E140" s="57" t="n"/>
      <c r="F140" s="57" t="n"/>
      <c r="G140" s="87" t="n"/>
      <c r="H140" s="87" t="n"/>
      <c r="I140" s="87" t="n"/>
      <c r="J140" s="87" t="n"/>
      <c r="K140" s="87" t="n"/>
      <c r="L140" s="1142" t="n"/>
      <c r="M140" s="87" t="n"/>
      <c r="N140" s="87" t="n"/>
      <c r="O140" s="87" t="n"/>
      <c r="P140" s="87" t="n"/>
      <c r="Q140" s="87" t="n"/>
      <c r="R140" s="1142" t="n"/>
      <c r="S140" s="59" t="n"/>
      <c r="T140" s="59" t="n"/>
      <c r="U140" s="59" t="n"/>
      <c r="V140" s="59" t="n"/>
      <c r="W140" s="59" t="n"/>
      <c r="X140" s="1039" t="n"/>
      <c r="Y140" s="59" t="n"/>
      <c r="Z140" s="59" t="n"/>
      <c r="AA140" s="59" t="n"/>
      <c r="AB140" s="59" t="n"/>
      <c r="AC140" s="59" t="n"/>
      <c r="AD140" s="1039" t="n"/>
      <c r="AE140" s="59" t="n"/>
      <c r="AF140" s="59" t="n"/>
      <c r="AG140" s="59" t="n"/>
      <c r="AH140" s="59" t="n"/>
      <c r="AI140" s="59" t="n"/>
      <c r="AJ140" s="1039" t="n"/>
      <c r="AK140" s="59" t="n"/>
      <c r="AL140" s="59" t="n"/>
      <c r="AM140" s="59" t="n"/>
      <c r="AN140" s="59" t="n"/>
      <c r="AO140" s="59" t="n"/>
      <c r="AP140" s="1039" t="n"/>
      <c r="AQ140" s="59" t="n"/>
      <c r="AR140" s="59" t="n"/>
      <c r="AS140" s="59" t="n"/>
      <c r="AT140" s="59" t="n"/>
      <c r="AU140" s="59" t="n"/>
      <c r="AV140" s="1039" t="n"/>
      <c r="AW140" s="59" t="n"/>
      <c r="AX140" s="59" t="n"/>
      <c r="AY140" s="59" t="n"/>
      <c r="AZ140" s="59" t="n"/>
      <c r="BA140" s="59" t="n"/>
      <c r="BB140" s="1039" t="n"/>
      <c r="BC140" s="59" t="n"/>
      <c r="BD140" s="59" t="n"/>
      <c r="BE140" s="59" t="n"/>
      <c r="BF140" s="59" t="n"/>
      <c r="BG140" s="59" t="n"/>
      <c r="BH140" s="1039" t="n"/>
      <c r="BI140" s="59" t="n"/>
      <c r="BJ140" s="59" t="n"/>
      <c r="BK140" s="59" t="n"/>
      <c r="BL140" s="59" t="n"/>
      <c r="BM140" s="59" t="n"/>
      <c r="BN140" s="1039" t="n"/>
    </row>
    <row r="141" ht="12.75" customHeight="1" s="1883">
      <c r="B141" s="56" t="inlineStr">
        <is>
          <t>BS</t>
        </is>
      </c>
      <c r="C141" s="1114" t="inlineStr">
        <is>
          <t>Inventory Value - for Sale</t>
        </is>
      </c>
      <c r="D141" s="88" t="n"/>
      <c r="E141" s="198" t="n">
        <v>0</v>
      </c>
      <c r="F141" s="198">
        <f>E141+E137-'3F. Revenue &amp; COGS Assumptions'!F69</f>
        <v/>
      </c>
      <c r="G141" s="198">
        <f>F141+F137-'3F. Revenue &amp; COGS Assumptions'!G69</f>
        <v/>
      </c>
      <c r="H141" s="198">
        <f>G141+G137-'3F. Revenue &amp; COGS Assumptions'!H69</f>
        <v/>
      </c>
      <c r="I141" s="198">
        <f>H141+H137-'3F. Revenue &amp; COGS Assumptions'!I69</f>
        <v/>
      </c>
      <c r="J141" s="198">
        <f>I141+I137-'3F. Revenue &amp; COGS Assumptions'!J69</f>
        <v/>
      </c>
      <c r="K141" s="198">
        <f>J141+J137-'3F. Revenue &amp; COGS Assumptions'!K69</f>
        <v/>
      </c>
      <c r="L141" s="1145">
        <f>K141+K137-'3F. Revenue &amp; COGS Assumptions'!L69</f>
        <v/>
      </c>
      <c r="M141" s="198">
        <f>L141+L137-'3F. Revenue &amp; COGS Assumptions'!M69</f>
        <v/>
      </c>
      <c r="N141" s="198">
        <f>M141+M137-'3F. Revenue &amp; COGS Assumptions'!N69</f>
        <v/>
      </c>
      <c r="O141" s="198">
        <f>N141+N137-'3F. Revenue &amp; COGS Assumptions'!O69</f>
        <v/>
      </c>
      <c r="P141" s="198">
        <f>O141+O137-'3F. Revenue &amp; COGS Assumptions'!P69</f>
        <v/>
      </c>
      <c r="Q141" s="198">
        <f>P141+P137-'3F. Revenue &amp; COGS Assumptions'!Q69</f>
        <v/>
      </c>
      <c r="R141" s="1145">
        <f>Q141+Q137-'3F. Revenue &amp; COGS Assumptions'!R69</f>
        <v/>
      </c>
      <c r="S141" s="198">
        <f>R141+R137-'3F. Revenue &amp; COGS Assumptions'!S69</f>
        <v/>
      </c>
      <c r="T141" s="198">
        <f>S141+S137-'3F. Revenue &amp; COGS Assumptions'!T69</f>
        <v/>
      </c>
      <c r="U141" s="198">
        <f>T141+T137-'3F. Revenue &amp; COGS Assumptions'!U69</f>
        <v/>
      </c>
      <c r="V141" s="198">
        <f>U141+U137-'3F. Revenue &amp; COGS Assumptions'!V69</f>
        <v/>
      </c>
      <c r="W141" s="198">
        <f>V141+V137-'3F. Revenue &amp; COGS Assumptions'!W69</f>
        <v/>
      </c>
      <c r="X141" s="1145">
        <f>W141+W137-'3F. Revenue &amp; COGS Assumptions'!X69</f>
        <v/>
      </c>
      <c r="Y141" s="198">
        <f>X141+X137-'3F. Revenue &amp; COGS Assumptions'!Y69</f>
        <v/>
      </c>
      <c r="Z141" s="198">
        <f>Y141+Y137-'3F. Revenue &amp; COGS Assumptions'!Z69</f>
        <v/>
      </c>
      <c r="AA141" s="198">
        <f>Z141+Z137-'3F. Revenue &amp; COGS Assumptions'!AA69</f>
        <v/>
      </c>
      <c r="AB141" s="198">
        <f>AA141+AA137-'3F. Revenue &amp; COGS Assumptions'!AB69</f>
        <v/>
      </c>
      <c r="AC141" s="198">
        <f>AB141+AB137-'3F. Revenue &amp; COGS Assumptions'!AC69</f>
        <v/>
      </c>
      <c r="AD141" s="1145">
        <f>AC141+AC137-'3F. Revenue &amp; COGS Assumptions'!AD69</f>
        <v/>
      </c>
      <c r="AE141" s="198">
        <f>AD141+AD137-'3F. Revenue &amp; COGS Assumptions'!AE69</f>
        <v/>
      </c>
      <c r="AF141" s="198">
        <f>AE141+AE137-'3F. Revenue &amp; COGS Assumptions'!AF69</f>
        <v/>
      </c>
      <c r="AG141" s="198">
        <f>AF141+AF137-'3F. Revenue &amp; COGS Assumptions'!AG69</f>
        <v/>
      </c>
      <c r="AH141" s="198">
        <f>AG141+AG137-'3F. Revenue &amp; COGS Assumptions'!AH69</f>
        <v/>
      </c>
      <c r="AI141" s="198">
        <f>AH141+AH137-'3F. Revenue &amp; COGS Assumptions'!AI69</f>
        <v/>
      </c>
      <c r="AJ141" s="1145">
        <f>AI141+AI137-'3F. Revenue &amp; COGS Assumptions'!AJ69</f>
        <v/>
      </c>
      <c r="AK141" s="198">
        <f>AJ141+AJ137-'3F. Revenue &amp; COGS Assumptions'!AK69</f>
        <v/>
      </c>
      <c r="AL141" s="198">
        <f>AK141+AK137-'3F. Revenue &amp; COGS Assumptions'!AL69</f>
        <v/>
      </c>
      <c r="AM141" s="198">
        <f>AL141+AL137-'3F. Revenue &amp; COGS Assumptions'!AM69</f>
        <v/>
      </c>
      <c r="AN141" s="198">
        <f>AM141+AM137-'3F. Revenue &amp; COGS Assumptions'!AN69</f>
        <v/>
      </c>
      <c r="AO141" s="198">
        <f>AN141+AN137-'3F. Revenue &amp; COGS Assumptions'!AO69</f>
        <v/>
      </c>
      <c r="AP141" s="1145">
        <f>AO141+AO137-'3F. Revenue &amp; COGS Assumptions'!AP69</f>
        <v/>
      </c>
      <c r="AQ141" s="198">
        <f>AP141+AP137-'3F. Revenue &amp; COGS Assumptions'!AQ69</f>
        <v/>
      </c>
      <c r="AR141" s="198">
        <f>AQ141+AQ137-'3F. Revenue &amp; COGS Assumptions'!AR69</f>
        <v/>
      </c>
      <c r="AS141" s="198">
        <f>AR141+AR137-'3F. Revenue &amp; COGS Assumptions'!AS69</f>
        <v/>
      </c>
      <c r="AT141" s="198">
        <f>AS141+AS137-'3F. Revenue &amp; COGS Assumptions'!AT69</f>
        <v/>
      </c>
      <c r="AU141" s="198">
        <f>AT141+AT137-'3F. Revenue &amp; COGS Assumptions'!AU69</f>
        <v/>
      </c>
      <c r="AV141" s="1145">
        <f>AU141+AU137-'3F. Revenue &amp; COGS Assumptions'!AV69</f>
        <v/>
      </c>
      <c r="AW141" s="198">
        <f>AV141+AV137-'3F. Revenue &amp; COGS Assumptions'!AW69</f>
        <v/>
      </c>
      <c r="AX141" s="198">
        <f>AW141+AW137-'3F. Revenue &amp; COGS Assumptions'!AX69</f>
        <v/>
      </c>
      <c r="AY141" s="198">
        <f>AX141+AX137-'3F. Revenue &amp; COGS Assumptions'!AY69</f>
        <v/>
      </c>
      <c r="AZ141" s="198">
        <f>AY141+AY137-'3F. Revenue &amp; COGS Assumptions'!AZ69</f>
        <v/>
      </c>
      <c r="BA141" s="198">
        <f>AZ141+AZ137-'3F. Revenue &amp; COGS Assumptions'!BA69</f>
        <v/>
      </c>
      <c r="BB141" s="1145">
        <f>BA141+BA137-'3F. Revenue &amp; COGS Assumptions'!BB69</f>
        <v/>
      </c>
      <c r="BC141" s="198">
        <f>BB141+BB137-'3F. Revenue &amp; COGS Assumptions'!BC69</f>
        <v/>
      </c>
      <c r="BD141" s="198">
        <f>BC141+BC137-'3F. Revenue &amp; COGS Assumptions'!BD69</f>
        <v/>
      </c>
      <c r="BE141" s="198">
        <f>BD141+BD137-'3F. Revenue &amp; COGS Assumptions'!BE69</f>
        <v/>
      </c>
      <c r="BF141" s="198">
        <f>BE141+BE137-'3F. Revenue &amp; COGS Assumptions'!BF69</f>
        <v/>
      </c>
      <c r="BG141" s="198">
        <f>BF141+BF137-'3F. Revenue &amp; COGS Assumptions'!BG69</f>
        <v/>
      </c>
      <c r="BH141" s="1145">
        <f>BG141+BG137-'3F. Revenue &amp; COGS Assumptions'!BH69</f>
        <v/>
      </c>
      <c r="BI141" s="198">
        <f>BH141+BH137-'3F. Revenue &amp; COGS Assumptions'!BI69</f>
        <v/>
      </c>
      <c r="BJ141" s="198">
        <f>BI141+BI137-'3F. Revenue &amp; COGS Assumptions'!BJ69</f>
        <v/>
      </c>
      <c r="BK141" s="198">
        <f>BJ141+BJ137-'3F. Revenue &amp; COGS Assumptions'!BK69</f>
        <v/>
      </c>
      <c r="BL141" s="198">
        <f>BK141+BK137-'3F. Revenue &amp; COGS Assumptions'!BL69</f>
        <v/>
      </c>
      <c r="BM141" s="198">
        <f>BL141+BL137-'3F. Revenue &amp; COGS Assumptions'!BM69</f>
        <v/>
      </c>
      <c r="BN141" s="1145">
        <f>BM141+BM137-'3F. Revenue &amp; COGS Assumptions'!BN69</f>
        <v/>
      </c>
    </row>
    <row r="142" ht="12.75" customHeight="1" s="1883">
      <c r="B142" s="56" t="n"/>
      <c r="C142" s="1038" t="n"/>
      <c r="D142" s="55" t="n"/>
      <c r="E142" s="57" t="n"/>
      <c r="F142" s="57" t="n"/>
      <c r="G142" s="87" t="n"/>
      <c r="H142" s="87" t="n"/>
      <c r="I142" s="87" t="n"/>
      <c r="J142" s="87" t="n"/>
      <c r="K142" s="87" t="n"/>
      <c r="L142" s="1142" t="n"/>
      <c r="M142" s="87" t="n"/>
      <c r="N142" s="87" t="n"/>
      <c r="O142" s="87" t="n"/>
      <c r="P142" s="87" t="n"/>
      <c r="Q142" s="87" t="n"/>
      <c r="R142" s="1142" t="n"/>
      <c r="S142" s="87" t="n"/>
      <c r="T142" s="87" t="n"/>
      <c r="U142" s="87" t="n"/>
      <c r="V142" s="87" t="n"/>
      <c r="W142" s="87" t="n"/>
      <c r="X142" s="1142" t="n"/>
      <c r="Y142" s="87" t="n"/>
      <c r="Z142" s="87" t="n"/>
      <c r="AA142" s="87" t="n"/>
      <c r="AB142" s="87" t="n"/>
      <c r="AC142" s="87" t="n"/>
      <c r="AD142" s="1142" t="n"/>
      <c r="AE142" s="87" t="n"/>
      <c r="AF142" s="87" t="n"/>
      <c r="AG142" s="87" t="n"/>
      <c r="AH142" s="87" t="n"/>
      <c r="AI142" s="87" t="n"/>
      <c r="AJ142" s="1142" t="n"/>
      <c r="AK142" s="87" t="n"/>
      <c r="AL142" s="87" t="n"/>
      <c r="AM142" s="87" t="n"/>
      <c r="AN142" s="87" t="n"/>
      <c r="AO142" s="87" t="n"/>
      <c r="AP142" s="1142" t="n"/>
      <c r="AQ142" s="87" t="n"/>
      <c r="AR142" s="87" t="n"/>
      <c r="AS142" s="87" t="n"/>
      <c r="AT142" s="87" t="n"/>
      <c r="AU142" s="87" t="n"/>
      <c r="AV142" s="1142" t="n"/>
      <c r="AW142" s="87" t="n"/>
      <c r="AX142" s="87" t="n"/>
      <c r="AY142" s="87" t="n"/>
      <c r="AZ142" s="87" t="n"/>
      <c r="BA142" s="87" t="n"/>
      <c r="BB142" s="1142" t="n"/>
      <c r="BC142" s="87" t="n"/>
      <c r="BD142" s="87" t="n"/>
      <c r="BE142" s="87" t="n"/>
      <c r="BF142" s="87" t="n"/>
      <c r="BG142" s="87" t="n"/>
      <c r="BH142" s="1142" t="n"/>
      <c r="BI142" s="87" t="n"/>
      <c r="BJ142" s="87" t="n"/>
      <c r="BK142" s="87" t="n"/>
      <c r="BL142" s="87" t="n"/>
      <c r="BM142" s="87" t="n"/>
      <c r="BN142" s="1142" t="n"/>
    </row>
    <row r="143" ht="12.75" customHeight="1" s="1883">
      <c r="B143" s="56" t="n"/>
      <c r="C143" s="1141" t="inlineStr">
        <is>
          <t>Units Ordered - for Warranty</t>
        </is>
      </c>
      <c r="D143" s="55" t="n"/>
      <c r="E143" s="87">
        <f>+'6B. Pre-Launch Exps. - Detail'!P169</f>
        <v/>
      </c>
      <c r="F143" s="87">
        <f>+'6B. Pre-Launch Exps. - Detail'!Q169</f>
        <v/>
      </c>
      <c r="G143" s="87">
        <f>+ROUNDDOWN(G136*$D$88,0)</f>
        <v/>
      </c>
      <c r="H143" s="87">
        <f>+ROUNDDOWN(H136*$D$88,0)</f>
        <v/>
      </c>
      <c r="I143" s="87">
        <f>+ROUNDDOWN(I136*$D$88,0)</f>
        <v/>
      </c>
      <c r="J143" s="87">
        <f>+ROUNDDOWN(J136*$D$88,0)</f>
        <v/>
      </c>
      <c r="K143" s="87">
        <f>+ROUNDDOWN(K136*$D$88,0)</f>
        <v/>
      </c>
      <c r="L143" s="1142">
        <f>+ROUNDDOWN(L136*$D$88,0)</f>
        <v/>
      </c>
      <c r="M143" s="87">
        <f>+ROUNDDOWN(M136*$D$88,0)</f>
        <v/>
      </c>
      <c r="N143" s="87">
        <f>+ROUNDDOWN(N136*$D$88,0)</f>
        <v/>
      </c>
      <c r="O143" s="87">
        <f>+ROUNDDOWN(O136*$D$88,0)</f>
        <v/>
      </c>
      <c r="P143" s="87">
        <f>+ROUNDDOWN(P136*$D$88,0)</f>
        <v/>
      </c>
      <c r="Q143" s="87">
        <f>+ROUNDDOWN(Q136*$D$88,0)</f>
        <v/>
      </c>
      <c r="R143" s="1142">
        <f>+ROUNDDOWN(R136*$D$88,0)</f>
        <v/>
      </c>
      <c r="S143" s="87">
        <f>+ROUNDDOWN(S136*$D$88,0)</f>
        <v/>
      </c>
      <c r="T143" s="87">
        <f>+ROUNDDOWN(T136*$D$88,0)</f>
        <v/>
      </c>
      <c r="U143" s="87">
        <f>+ROUNDDOWN(U136*$D$88,0)</f>
        <v/>
      </c>
      <c r="V143" s="87">
        <f>+ROUNDDOWN(V136*$D$88,0)</f>
        <v/>
      </c>
      <c r="W143" s="87">
        <f>+ROUNDDOWN(W136*$D$88,0)</f>
        <v/>
      </c>
      <c r="X143" s="1142">
        <f>+ROUNDDOWN(X136*$D$88,0)</f>
        <v/>
      </c>
      <c r="Y143" s="87">
        <f>+ROUNDDOWN(Y136*$D$88,0)</f>
        <v/>
      </c>
      <c r="Z143" s="87">
        <f>+ROUNDDOWN(Z136*$D$88,0)</f>
        <v/>
      </c>
      <c r="AA143" s="87">
        <f>+ROUNDDOWN(AA136*$D$88,0)</f>
        <v/>
      </c>
      <c r="AB143" s="87">
        <f>+ROUNDDOWN(AB136*$D$88,0)</f>
        <v/>
      </c>
      <c r="AC143" s="87">
        <f>+ROUNDDOWN(AC136*$D$88,0)</f>
        <v/>
      </c>
      <c r="AD143" s="1142">
        <f>+ROUNDDOWN(AD136*$D$88,0)</f>
        <v/>
      </c>
      <c r="AE143" s="87">
        <f>+ROUNDDOWN(AE136*$D$88,0)</f>
        <v/>
      </c>
      <c r="AF143" s="87">
        <f>+ROUNDDOWN(AF136*$D$88,0)</f>
        <v/>
      </c>
      <c r="AG143" s="87">
        <f>+ROUNDDOWN(AG136*$D$88,0)</f>
        <v/>
      </c>
      <c r="AH143" s="87">
        <f>+ROUNDDOWN(AH136*$D$88,0)</f>
        <v/>
      </c>
      <c r="AI143" s="87">
        <f>+ROUNDDOWN(AI136*$D$88,0)</f>
        <v/>
      </c>
      <c r="AJ143" s="1142">
        <f>+ROUNDDOWN(AJ136*$D$88,0)</f>
        <v/>
      </c>
      <c r="AK143" s="87">
        <f>+ROUNDDOWN(AK136*$D$88,0)</f>
        <v/>
      </c>
      <c r="AL143" s="87">
        <f>+ROUNDDOWN(AL136*$D$88,0)</f>
        <v/>
      </c>
      <c r="AM143" s="87">
        <f>+ROUNDDOWN(AM136*$D$88,0)</f>
        <v/>
      </c>
      <c r="AN143" s="87">
        <f>+ROUNDDOWN(AN136*$D$88,0)</f>
        <v/>
      </c>
      <c r="AO143" s="87">
        <f>+ROUNDDOWN(AO136*$D$88,0)</f>
        <v/>
      </c>
      <c r="AP143" s="1142">
        <f>+ROUNDDOWN(AP136*$D$88,0)</f>
        <v/>
      </c>
      <c r="AQ143" s="87">
        <f>+ROUNDDOWN(AQ136*$D$88,0)</f>
        <v/>
      </c>
      <c r="AR143" s="87">
        <f>+ROUNDDOWN(AR136*$D$88,0)</f>
        <v/>
      </c>
      <c r="AS143" s="87">
        <f>+ROUNDDOWN(AS136*$D$88,0)</f>
        <v/>
      </c>
      <c r="AT143" s="87">
        <f>+ROUNDDOWN(AT136*$D$88,0)</f>
        <v/>
      </c>
      <c r="AU143" s="87">
        <f>+ROUNDDOWN(AU136*$D$88,0)</f>
        <v/>
      </c>
      <c r="AV143" s="1142">
        <f>+ROUNDDOWN(AV136*$D$88,0)</f>
        <v/>
      </c>
      <c r="AW143" s="87">
        <f>+ROUNDDOWN(AW136*$D$88,0)</f>
        <v/>
      </c>
      <c r="AX143" s="87">
        <f>+ROUNDDOWN(AX136*$D$88,0)</f>
        <v/>
      </c>
      <c r="AY143" s="87">
        <f>+ROUNDDOWN(AY136*$D$88,0)</f>
        <v/>
      </c>
      <c r="AZ143" s="87">
        <f>+ROUNDDOWN(AZ136*$D$88,0)</f>
        <v/>
      </c>
      <c r="BA143" s="87">
        <f>+ROUNDDOWN(BA136*$D$88,0)</f>
        <v/>
      </c>
      <c r="BB143" s="1142">
        <f>+ROUNDDOWN(BB136*$D$88,0)</f>
        <v/>
      </c>
      <c r="BC143" s="87">
        <f>+ROUNDDOWN(BC136*$D$88,0)</f>
        <v/>
      </c>
      <c r="BD143" s="87">
        <f>+ROUNDDOWN(BD136*$D$88,0)</f>
        <v/>
      </c>
      <c r="BE143" s="87">
        <f>+ROUNDDOWN(BE136*$D$88,0)</f>
        <v/>
      </c>
      <c r="BF143" s="87">
        <f>+ROUNDDOWN(BF136*$D$88,0)</f>
        <v/>
      </c>
      <c r="BG143" s="87">
        <f>+ROUNDDOWN(BG136*$D$88,0)</f>
        <v/>
      </c>
      <c r="BH143" s="1142">
        <f>+ROUNDDOWN(BH136*$D$88,0)</f>
        <v/>
      </c>
      <c r="BI143" s="87">
        <f>+ROUNDDOWN(BI136*$D$88,0)</f>
        <v/>
      </c>
      <c r="BJ143" s="87">
        <f>+ROUNDDOWN(BJ136*$D$88,0)</f>
        <v/>
      </c>
      <c r="BK143" s="87">
        <f>+ROUNDDOWN(BK136*$D$88,0)</f>
        <v/>
      </c>
      <c r="BL143" s="87">
        <f>+ROUNDDOWN(BL136*$D$88,0)</f>
        <v/>
      </c>
      <c r="BM143" s="87">
        <f>+ROUNDDOWN(BM136*$D$88,0)</f>
        <v/>
      </c>
      <c r="BN143" s="1142">
        <f>+ROUNDDOWN(BN136*$D$88,0)</f>
        <v/>
      </c>
    </row>
    <row r="144" ht="12.75" customHeight="1" s="1883">
      <c r="B144" s="56" t="n"/>
      <c r="C144" s="1141" t="inlineStr">
        <is>
          <t>Value of Order ($)</t>
        </is>
      </c>
      <c r="D144" s="55" t="n"/>
      <c r="E144" s="71">
        <f>+E143*$D$84</f>
        <v/>
      </c>
      <c r="F144" s="71">
        <f>+F143*$D$84</f>
        <v/>
      </c>
      <c r="G144" s="71">
        <f>+G143*$D$84</f>
        <v/>
      </c>
      <c r="H144" s="71">
        <f>+H143*$D$84</f>
        <v/>
      </c>
      <c r="I144" s="71">
        <f>+I143*$D$84</f>
        <v/>
      </c>
      <c r="J144" s="71">
        <f>+J143*$D$84</f>
        <v/>
      </c>
      <c r="K144" s="71">
        <f>+K143*$D$84</f>
        <v/>
      </c>
      <c r="L144" s="1144">
        <f>+L143*$D$84</f>
        <v/>
      </c>
      <c r="M144" s="71">
        <f>+M143*$D$84</f>
        <v/>
      </c>
      <c r="N144" s="71">
        <f>+N143*$D$84</f>
        <v/>
      </c>
      <c r="O144" s="71">
        <f>+O143*$D$84</f>
        <v/>
      </c>
      <c r="P144" s="71">
        <f>+P143*$D$84</f>
        <v/>
      </c>
      <c r="Q144" s="71">
        <f>+Q143*$D$84</f>
        <v/>
      </c>
      <c r="R144" s="1144">
        <f>+R143*$D$84</f>
        <v/>
      </c>
      <c r="S144" s="71">
        <f>+S143*$D$84</f>
        <v/>
      </c>
      <c r="T144" s="71">
        <f>+T143*$D$84</f>
        <v/>
      </c>
      <c r="U144" s="71">
        <f>+U143*$D$84</f>
        <v/>
      </c>
      <c r="V144" s="71">
        <f>+V143*$D$84</f>
        <v/>
      </c>
      <c r="W144" s="71">
        <f>+W143*$D$84</f>
        <v/>
      </c>
      <c r="X144" s="1144">
        <f>+X143*$D$84</f>
        <v/>
      </c>
      <c r="Y144" s="71">
        <f>+Y143*$D$84</f>
        <v/>
      </c>
      <c r="Z144" s="71">
        <f>+Z143*$D$84</f>
        <v/>
      </c>
      <c r="AA144" s="71">
        <f>+AA143*$D$84</f>
        <v/>
      </c>
      <c r="AB144" s="71">
        <f>+AB143*$D$84</f>
        <v/>
      </c>
      <c r="AC144" s="71">
        <f>+AC143*$D$84</f>
        <v/>
      </c>
      <c r="AD144" s="1144">
        <f>+AD143*$D$84</f>
        <v/>
      </c>
      <c r="AE144" s="71">
        <f>+AE143*$D$84</f>
        <v/>
      </c>
      <c r="AF144" s="71">
        <f>+AF143*$D$84</f>
        <v/>
      </c>
      <c r="AG144" s="71">
        <f>+AG143*$D$84</f>
        <v/>
      </c>
      <c r="AH144" s="71">
        <f>+AH143*$D$84</f>
        <v/>
      </c>
      <c r="AI144" s="71">
        <f>+AI143*$D$84</f>
        <v/>
      </c>
      <c r="AJ144" s="1144">
        <f>+AJ143*$D$84</f>
        <v/>
      </c>
      <c r="AK144" s="71">
        <f>+AK143*$D$84</f>
        <v/>
      </c>
      <c r="AL144" s="71">
        <f>+AL143*$D$84</f>
        <v/>
      </c>
      <c r="AM144" s="71">
        <f>+AM143*$D$84</f>
        <v/>
      </c>
      <c r="AN144" s="71">
        <f>+AN143*$D$84</f>
        <v/>
      </c>
      <c r="AO144" s="71">
        <f>+AO143*$D$84</f>
        <v/>
      </c>
      <c r="AP144" s="1144">
        <f>+AP143*$D$84</f>
        <v/>
      </c>
      <c r="AQ144" s="71">
        <f>+AQ143*$D$84</f>
        <v/>
      </c>
      <c r="AR144" s="71">
        <f>+AR143*$D$84</f>
        <v/>
      </c>
      <c r="AS144" s="71">
        <f>+AS143*$D$84</f>
        <v/>
      </c>
      <c r="AT144" s="71">
        <f>+AT143*$D$84</f>
        <v/>
      </c>
      <c r="AU144" s="71">
        <f>+AU143*$D$84</f>
        <v/>
      </c>
      <c r="AV144" s="1144">
        <f>+AV143*$D$84</f>
        <v/>
      </c>
      <c r="AW144" s="71">
        <f>+AW143*$D$84</f>
        <v/>
      </c>
      <c r="AX144" s="71">
        <f>+AX143*$D$84</f>
        <v/>
      </c>
      <c r="AY144" s="71">
        <f>+AY143*$D$84</f>
        <v/>
      </c>
      <c r="AZ144" s="71">
        <f>+AZ143*$D$84</f>
        <v/>
      </c>
      <c r="BA144" s="71">
        <f>+BA143*$D$84</f>
        <v/>
      </c>
      <c r="BB144" s="1144">
        <f>+BB143*$D$84</f>
        <v/>
      </c>
      <c r="BC144" s="71">
        <f>+BC143*$D$84</f>
        <v/>
      </c>
      <c r="BD144" s="71">
        <f>+BD143*$D$84</f>
        <v/>
      </c>
      <c r="BE144" s="71">
        <f>+BE143*$D$84</f>
        <v/>
      </c>
      <c r="BF144" s="71">
        <f>+BF143*$D$84</f>
        <v/>
      </c>
      <c r="BG144" s="71">
        <f>+BG143*$D$84</f>
        <v/>
      </c>
      <c r="BH144" s="1144">
        <f>+BH143*$D$84</f>
        <v/>
      </c>
      <c r="BI144" s="71">
        <f>+BI143*$D$84</f>
        <v/>
      </c>
      <c r="BJ144" s="71">
        <f>+BJ143*$D$84</f>
        <v/>
      </c>
      <c r="BK144" s="71">
        <f>+BK143*$D$84</f>
        <v/>
      </c>
      <c r="BL144" s="71">
        <f>+BL143*$D$84</f>
        <v/>
      </c>
      <c r="BM144" s="71">
        <f>+BM143*$D$84</f>
        <v/>
      </c>
      <c r="BN144" s="1144">
        <f>+BN143*$D$84</f>
        <v/>
      </c>
    </row>
    <row r="145" ht="12.75" customHeight="1" s="1883">
      <c r="B145" s="56" t="n"/>
      <c r="C145" s="1141" t="n"/>
      <c r="D145" s="55" t="n"/>
      <c r="E145" s="57" t="n"/>
      <c r="F145" s="57" t="n"/>
      <c r="G145" s="59" t="n"/>
      <c r="H145" s="59" t="n"/>
      <c r="I145" s="59" t="n"/>
      <c r="J145" s="59" t="n"/>
      <c r="K145" s="59" t="n"/>
      <c r="L145" s="1039" t="n"/>
      <c r="M145" s="59" t="n"/>
      <c r="N145" s="59" t="n"/>
      <c r="O145" s="59" t="n"/>
      <c r="P145" s="59" t="n"/>
      <c r="Q145" s="59" t="n"/>
      <c r="R145" s="1039" t="n"/>
      <c r="S145" s="59" t="n"/>
      <c r="T145" s="59" t="n"/>
      <c r="U145" s="59" t="n"/>
      <c r="V145" s="59" t="n"/>
      <c r="W145" s="59" t="n"/>
      <c r="X145" s="1039" t="n"/>
      <c r="Y145" s="59" t="n"/>
      <c r="Z145" s="59" t="n"/>
      <c r="AA145" s="59" t="n"/>
      <c r="AB145" s="59" t="n"/>
      <c r="AC145" s="59" t="n"/>
      <c r="AD145" s="1039" t="n"/>
      <c r="AE145" s="59" t="n"/>
      <c r="AF145" s="59" t="n"/>
      <c r="AG145" s="59" t="n"/>
      <c r="AH145" s="59" t="n"/>
      <c r="AI145" s="59" t="n"/>
      <c r="AJ145" s="1039" t="n"/>
      <c r="AK145" s="59" t="n"/>
      <c r="AL145" s="59" t="n"/>
      <c r="AM145" s="59" t="n"/>
      <c r="AN145" s="59" t="n"/>
      <c r="AO145" s="59" t="n"/>
      <c r="AP145" s="1039" t="n"/>
      <c r="AQ145" s="59" t="n"/>
      <c r="AR145" s="59" t="n"/>
      <c r="AS145" s="59" t="n"/>
      <c r="AT145" s="59" t="n"/>
      <c r="AU145" s="59" t="n"/>
      <c r="AV145" s="1039" t="n"/>
      <c r="AW145" s="59" t="n"/>
      <c r="AX145" s="59" t="n"/>
      <c r="AY145" s="59" t="n"/>
      <c r="AZ145" s="59" t="n"/>
      <c r="BA145" s="59" t="n"/>
      <c r="BB145" s="1039" t="n"/>
      <c r="BC145" s="59" t="n"/>
      <c r="BD145" s="59" t="n"/>
      <c r="BE145" s="59" t="n"/>
      <c r="BF145" s="59" t="n"/>
      <c r="BG145" s="59" t="n"/>
      <c r="BH145" s="1039" t="n"/>
      <c r="BI145" s="59" t="n"/>
      <c r="BJ145" s="59" t="n"/>
      <c r="BK145" s="59" t="n"/>
      <c r="BL145" s="59" t="n"/>
      <c r="BM145" s="59" t="n"/>
      <c r="BN145" s="1039" t="n"/>
    </row>
    <row r="146" ht="12.75" customHeight="1" s="1883">
      <c r="B146" s="56" t="n"/>
      <c r="C146" s="1141" t="n"/>
      <c r="D146" s="55" t="n"/>
      <c r="E146" s="57" t="n"/>
      <c r="F146" s="57" t="n"/>
      <c r="G146" s="59" t="n"/>
      <c r="H146" s="59" t="n"/>
      <c r="I146" s="59" t="n"/>
      <c r="J146" s="59" t="n"/>
      <c r="K146" s="59" t="n"/>
      <c r="L146" s="1039" t="n"/>
      <c r="M146" s="59" t="n"/>
      <c r="N146" s="59" t="n"/>
      <c r="O146" s="59" t="n"/>
      <c r="P146" s="59" t="n"/>
      <c r="Q146" s="59" t="n"/>
      <c r="R146" s="1039" t="n"/>
      <c r="S146" s="59" t="n"/>
      <c r="T146" s="59" t="n"/>
      <c r="U146" s="59" t="n"/>
      <c r="V146" s="59" t="n"/>
      <c r="W146" s="59" t="n"/>
      <c r="X146" s="1039" t="n"/>
      <c r="Y146" s="59" t="n"/>
      <c r="Z146" s="59" t="n"/>
      <c r="AA146" s="59" t="n"/>
      <c r="AB146" s="59" t="n"/>
      <c r="AC146" s="59" t="n"/>
      <c r="AD146" s="1039" t="n"/>
      <c r="AE146" s="59" t="n"/>
      <c r="AF146" s="59" t="n"/>
      <c r="AG146" s="59" t="n"/>
      <c r="AH146" s="59" t="n"/>
      <c r="AI146" s="59" t="n"/>
      <c r="AJ146" s="1039" t="n"/>
      <c r="AK146" s="59" t="n"/>
      <c r="AL146" s="59" t="n"/>
      <c r="AM146" s="59" t="n"/>
      <c r="AN146" s="59" t="n"/>
      <c r="AO146" s="59" t="n"/>
      <c r="AP146" s="1039" t="n"/>
      <c r="AQ146" s="59" t="n"/>
      <c r="AR146" s="59" t="n"/>
      <c r="AS146" s="59" t="n"/>
      <c r="AT146" s="59" t="n"/>
      <c r="AU146" s="59" t="n"/>
      <c r="AV146" s="1039" t="n"/>
      <c r="AW146" s="59" t="n"/>
      <c r="AX146" s="59" t="n"/>
      <c r="AY146" s="59" t="n"/>
      <c r="AZ146" s="59" t="n"/>
      <c r="BA146" s="59" t="n"/>
      <c r="BB146" s="1039" t="n"/>
      <c r="BC146" s="59" t="n"/>
      <c r="BD146" s="59" t="n"/>
      <c r="BE146" s="59" t="n"/>
      <c r="BF146" s="59" t="n"/>
      <c r="BG146" s="59" t="n"/>
      <c r="BH146" s="1039" t="n"/>
      <c r="BI146" s="59" t="n"/>
      <c r="BJ146" s="59" t="n"/>
      <c r="BK146" s="59" t="n"/>
      <c r="BL146" s="59" t="n"/>
      <c r="BM146" s="59" t="n"/>
      <c r="BN146" s="1039" t="n"/>
    </row>
    <row r="147" ht="12.75" customHeight="1" s="1883">
      <c r="B147" s="56" t="n"/>
      <c r="C147" s="1141" t="inlineStr">
        <is>
          <t>Units for Warranty - Beg</t>
        </is>
      </c>
      <c r="D147" s="55" t="n"/>
      <c r="E147" s="87">
        <f>+D150</f>
        <v/>
      </c>
      <c r="F147" s="87">
        <f>+E150</f>
        <v/>
      </c>
      <c r="G147" s="87">
        <f>+F150</f>
        <v/>
      </c>
      <c r="H147" s="87">
        <f>+G150</f>
        <v/>
      </c>
      <c r="I147" s="87">
        <f>+H150</f>
        <v/>
      </c>
      <c r="J147" s="87">
        <f>+I150</f>
        <v/>
      </c>
      <c r="K147" s="87">
        <f>+J150</f>
        <v/>
      </c>
      <c r="L147" s="1142">
        <f>+K150</f>
        <v/>
      </c>
      <c r="M147" s="87">
        <f>+L150</f>
        <v/>
      </c>
      <c r="N147" s="87">
        <f>+M150</f>
        <v/>
      </c>
      <c r="O147" s="87">
        <f>+N150</f>
        <v/>
      </c>
      <c r="P147" s="87">
        <f>+O150</f>
        <v/>
      </c>
      <c r="Q147" s="87">
        <f>+P150</f>
        <v/>
      </c>
      <c r="R147" s="1142">
        <f>+Q150</f>
        <v/>
      </c>
      <c r="S147" s="87">
        <f>+R150</f>
        <v/>
      </c>
      <c r="T147" s="87">
        <f>+S150</f>
        <v/>
      </c>
      <c r="U147" s="87">
        <f>+T150</f>
        <v/>
      </c>
      <c r="V147" s="87">
        <f>+U150</f>
        <v/>
      </c>
      <c r="W147" s="87">
        <f>+V150</f>
        <v/>
      </c>
      <c r="X147" s="1142">
        <f>+W150</f>
        <v/>
      </c>
      <c r="Y147" s="87">
        <f>+X150</f>
        <v/>
      </c>
      <c r="Z147" s="87">
        <f>+Y150</f>
        <v/>
      </c>
      <c r="AA147" s="87">
        <f>+Z150</f>
        <v/>
      </c>
      <c r="AB147" s="87">
        <f>+AA150</f>
        <v/>
      </c>
      <c r="AC147" s="87">
        <f>+AB150</f>
        <v/>
      </c>
      <c r="AD147" s="1142">
        <f>+AC150</f>
        <v/>
      </c>
      <c r="AE147" s="87">
        <f>+AD150</f>
        <v/>
      </c>
      <c r="AF147" s="87">
        <f>+AE150</f>
        <v/>
      </c>
      <c r="AG147" s="87">
        <f>+AF150</f>
        <v/>
      </c>
      <c r="AH147" s="87">
        <f>+AG150</f>
        <v/>
      </c>
      <c r="AI147" s="87">
        <f>+AH150</f>
        <v/>
      </c>
      <c r="AJ147" s="1142">
        <f>+AI150</f>
        <v/>
      </c>
      <c r="AK147" s="87">
        <f>+AJ150</f>
        <v/>
      </c>
      <c r="AL147" s="87">
        <f>+AK150</f>
        <v/>
      </c>
      <c r="AM147" s="87">
        <f>+AL150</f>
        <v/>
      </c>
      <c r="AN147" s="87">
        <f>+AM150</f>
        <v/>
      </c>
      <c r="AO147" s="87">
        <f>+AN150</f>
        <v/>
      </c>
      <c r="AP147" s="1142">
        <f>+AO150</f>
        <v/>
      </c>
      <c r="AQ147" s="87">
        <f>+AP150</f>
        <v/>
      </c>
      <c r="AR147" s="87">
        <f>+AQ150</f>
        <v/>
      </c>
      <c r="AS147" s="87">
        <f>+AR150</f>
        <v/>
      </c>
      <c r="AT147" s="87">
        <f>+AS150</f>
        <v/>
      </c>
      <c r="AU147" s="87">
        <f>+AT150</f>
        <v/>
      </c>
      <c r="AV147" s="1142">
        <f>+AU150</f>
        <v/>
      </c>
      <c r="AW147" s="87">
        <f>+AV150</f>
        <v/>
      </c>
      <c r="AX147" s="87">
        <f>+AW150</f>
        <v/>
      </c>
      <c r="AY147" s="87">
        <f>+AX150</f>
        <v/>
      </c>
      <c r="AZ147" s="87">
        <f>+AY150</f>
        <v/>
      </c>
      <c r="BA147" s="87">
        <f>+AZ150</f>
        <v/>
      </c>
      <c r="BB147" s="1142">
        <f>+BA150</f>
        <v/>
      </c>
      <c r="BC147" s="87">
        <f>+BB150</f>
        <v/>
      </c>
      <c r="BD147" s="87">
        <f>+BC150</f>
        <v/>
      </c>
      <c r="BE147" s="87">
        <f>+BD150</f>
        <v/>
      </c>
      <c r="BF147" s="87">
        <f>+BE150</f>
        <v/>
      </c>
      <c r="BG147" s="87">
        <f>+BF150</f>
        <v/>
      </c>
      <c r="BH147" s="1142">
        <f>+BG150</f>
        <v/>
      </c>
      <c r="BI147" s="87">
        <f>+BH150</f>
        <v/>
      </c>
      <c r="BJ147" s="87">
        <f>+BI150</f>
        <v/>
      </c>
      <c r="BK147" s="87">
        <f>+BJ150</f>
        <v/>
      </c>
      <c r="BL147" s="87">
        <f>+BK150</f>
        <v/>
      </c>
      <c r="BM147" s="87">
        <f>+BL150</f>
        <v/>
      </c>
      <c r="BN147" s="1142">
        <f>+BM150</f>
        <v/>
      </c>
    </row>
    <row r="148" ht="12.75" customHeight="1" s="1883">
      <c r="B148" s="56" t="n"/>
      <c r="C148" s="1141" t="inlineStr">
        <is>
          <t>Units Received - for Warranty</t>
        </is>
      </c>
      <c r="D148" s="55" t="n"/>
      <c r="E148" s="87" t="n">
        <v>0</v>
      </c>
      <c r="F148" s="87">
        <f>+D143</f>
        <v/>
      </c>
      <c r="G148" s="87">
        <f>+E143</f>
        <v/>
      </c>
      <c r="H148" s="87">
        <f>+F143</f>
        <v/>
      </c>
      <c r="I148" s="87">
        <f>+G143</f>
        <v/>
      </c>
      <c r="J148" s="87">
        <f>+H143</f>
        <v/>
      </c>
      <c r="K148" s="87">
        <f>+I143</f>
        <v/>
      </c>
      <c r="L148" s="1142">
        <f>+J143</f>
        <v/>
      </c>
      <c r="M148" s="87">
        <f>+K143</f>
        <v/>
      </c>
      <c r="N148" s="87">
        <f>+L143</f>
        <v/>
      </c>
      <c r="O148" s="87">
        <f>+M143</f>
        <v/>
      </c>
      <c r="P148" s="87">
        <f>+N143</f>
        <v/>
      </c>
      <c r="Q148" s="87">
        <f>+O143</f>
        <v/>
      </c>
      <c r="R148" s="1142">
        <f>+P143</f>
        <v/>
      </c>
      <c r="S148" s="87">
        <f>+Q143</f>
        <v/>
      </c>
      <c r="T148" s="87">
        <f>+R143</f>
        <v/>
      </c>
      <c r="U148" s="87">
        <f>+S143</f>
        <v/>
      </c>
      <c r="V148" s="87">
        <f>+T143</f>
        <v/>
      </c>
      <c r="W148" s="87">
        <f>+U143</f>
        <v/>
      </c>
      <c r="X148" s="1142">
        <f>+V143</f>
        <v/>
      </c>
      <c r="Y148" s="87">
        <f>+W143</f>
        <v/>
      </c>
      <c r="Z148" s="87">
        <f>+X143</f>
        <v/>
      </c>
      <c r="AA148" s="87">
        <f>+Y143</f>
        <v/>
      </c>
      <c r="AB148" s="87">
        <f>+Z143</f>
        <v/>
      </c>
      <c r="AC148" s="87">
        <f>+AA143</f>
        <v/>
      </c>
      <c r="AD148" s="1142">
        <f>+AB143</f>
        <v/>
      </c>
      <c r="AE148" s="87">
        <f>+AC143</f>
        <v/>
      </c>
      <c r="AF148" s="87">
        <f>+AD143</f>
        <v/>
      </c>
      <c r="AG148" s="87">
        <f>+AE143</f>
        <v/>
      </c>
      <c r="AH148" s="87">
        <f>+AF143</f>
        <v/>
      </c>
      <c r="AI148" s="87">
        <f>+AG143</f>
        <v/>
      </c>
      <c r="AJ148" s="1142">
        <f>+AH143</f>
        <v/>
      </c>
      <c r="AK148" s="87">
        <f>+AI143</f>
        <v/>
      </c>
      <c r="AL148" s="87">
        <f>+AJ143</f>
        <v/>
      </c>
      <c r="AM148" s="87">
        <f>+AK143</f>
        <v/>
      </c>
      <c r="AN148" s="87">
        <f>+AL143</f>
        <v/>
      </c>
      <c r="AO148" s="87">
        <f>+AM143</f>
        <v/>
      </c>
      <c r="AP148" s="1142">
        <f>+AN143</f>
        <v/>
      </c>
      <c r="AQ148" s="87">
        <f>+AO143</f>
        <v/>
      </c>
      <c r="AR148" s="87">
        <f>+AP143</f>
        <v/>
      </c>
      <c r="AS148" s="87">
        <f>+AQ143</f>
        <v/>
      </c>
      <c r="AT148" s="87">
        <f>+AR143</f>
        <v/>
      </c>
      <c r="AU148" s="87">
        <f>+AS143</f>
        <v/>
      </c>
      <c r="AV148" s="1142">
        <f>+AT143</f>
        <v/>
      </c>
      <c r="AW148" s="87">
        <f>+AU143</f>
        <v/>
      </c>
      <c r="AX148" s="87">
        <f>+AV143</f>
        <v/>
      </c>
      <c r="AY148" s="87">
        <f>+AW143</f>
        <v/>
      </c>
      <c r="AZ148" s="87">
        <f>+AX143</f>
        <v/>
      </c>
      <c r="BA148" s="87">
        <f>+AY143</f>
        <v/>
      </c>
      <c r="BB148" s="1142">
        <f>+AZ143</f>
        <v/>
      </c>
      <c r="BC148" s="87">
        <f>+BA143</f>
        <v/>
      </c>
      <c r="BD148" s="87">
        <f>+BB143</f>
        <v/>
      </c>
      <c r="BE148" s="87">
        <f>+BC143</f>
        <v/>
      </c>
      <c r="BF148" s="87">
        <f>+BD143</f>
        <v/>
      </c>
      <c r="BG148" s="87">
        <f>+BE143</f>
        <v/>
      </c>
      <c r="BH148" s="1142">
        <f>+BF143</f>
        <v/>
      </c>
      <c r="BI148" s="87">
        <f>+BG143</f>
        <v/>
      </c>
      <c r="BJ148" s="87">
        <f>+BH143</f>
        <v/>
      </c>
      <c r="BK148" s="87">
        <f>+BI143</f>
        <v/>
      </c>
      <c r="BL148" s="87">
        <f>+BJ143</f>
        <v/>
      </c>
      <c r="BM148" s="87">
        <f>+BK143</f>
        <v/>
      </c>
      <c r="BN148" s="1142">
        <f>+BL143</f>
        <v/>
      </c>
    </row>
    <row r="149" ht="12.75" customHeight="1" s="1883">
      <c r="B149" s="56" t="n"/>
      <c r="C149" s="1141" t="inlineStr">
        <is>
          <t>Units Delivered - Claims</t>
        </is>
      </c>
      <c r="D149" s="55" t="n"/>
      <c r="E149" s="87" t="n">
        <v>0</v>
      </c>
      <c r="F149" s="87" t="n">
        <v>0</v>
      </c>
      <c r="G149" s="87">
        <f>+G431*'3F. Revenue &amp; COGS Assumptions'!$E$20</f>
        <v/>
      </c>
      <c r="H149" s="87">
        <f>+H431*'3F. Revenue &amp; COGS Assumptions'!$E$20</f>
        <v/>
      </c>
      <c r="I149" s="87">
        <f>+I431*'3F. Revenue &amp; COGS Assumptions'!$E$20</f>
        <v/>
      </c>
      <c r="J149" s="87">
        <f>+J431*'3F. Revenue &amp; COGS Assumptions'!$E$20</f>
        <v/>
      </c>
      <c r="K149" s="87">
        <f>+K431*'3F. Revenue &amp; COGS Assumptions'!$E$20</f>
        <v/>
      </c>
      <c r="L149" s="1142">
        <f>+L431*'3F. Revenue &amp; COGS Assumptions'!$E$20</f>
        <v/>
      </c>
      <c r="M149" s="87">
        <f>+M431*'3F. Revenue &amp; COGS Assumptions'!$E$20</f>
        <v/>
      </c>
      <c r="N149" s="87">
        <f>+N431*'3F. Revenue &amp; COGS Assumptions'!$E$20</f>
        <v/>
      </c>
      <c r="O149" s="87">
        <f>+O431*'3F. Revenue &amp; COGS Assumptions'!$E$20</f>
        <v/>
      </c>
      <c r="P149" s="87">
        <f>+P431*'3F. Revenue &amp; COGS Assumptions'!$E$20</f>
        <v/>
      </c>
      <c r="Q149" s="87">
        <f>+Q431*'3F. Revenue &amp; COGS Assumptions'!$E$20</f>
        <v/>
      </c>
      <c r="R149" s="1142">
        <f>+R431*'3F. Revenue &amp; COGS Assumptions'!$E$20</f>
        <v/>
      </c>
      <c r="S149" s="87">
        <f>+S431*'3F. Revenue &amp; COGS Assumptions'!$E$20</f>
        <v/>
      </c>
      <c r="T149" s="87">
        <f>+T431*'3F. Revenue &amp; COGS Assumptions'!$E$20</f>
        <v/>
      </c>
      <c r="U149" s="87">
        <f>+U431*'3F. Revenue &amp; COGS Assumptions'!$E$20</f>
        <v/>
      </c>
      <c r="V149" s="87">
        <f>+V431*'3F. Revenue &amp; COGS Assumptions'!$E$20</f>
        <v/>
      </c>
      <c r="W149" s="87">
        <f>+W431*'3F. Revenue &amp; COGS Assumptions'!$E$20</f>
        <v/>
      </c>
      <c r="X149" s="1142">
        <f>+X431*'3F. Revenue &amp; COGS Assumptions'!$E$20</f>
        <v/>
      </c>
      <c r="Y149" s="87">
        <f>+Y431*'3F. Revenue &amp; COGS Assumptions'!$E$20</f>
        <v/>
      </c>
      <c r="Z149" s="87">
        <f>+Z431*'3F. Revenue &amp; COGS Assumptions'!$E$20</f>
        <v/>
      </c>
      <c r="AA149" s="87">
        <f>+AA431*'3F. Revenue &amp; COGS Assumptions'!$E$20</f>
        <v/>
      </c>
      <c r="AB149" s="87">
        <f>+AB431*'3F. Revenue &amp; COGS Assumptions'!$E$20</f>
        <v/>
      </c>
      <c r="AC149" s="87">
        <f>+AC431*'3F. Revenue &amp; COGS Assumptions'!$E$20</f>
        <v/>
      </c>
      <c r="AD149" s="1142">
        <f>+AD431*'3F. Revenue &amp; COGS Assumptions'!$E$20</f>
        <v/>
      </c>
      <c r="AE149" s="87">
        <f>+AE431*'3F. Revenue &amp; COGS Assumptions'!$E$20</f>
        <v/>
      </c>
      <c r="AF149" s="87">
        <f>+AF431*'3F. Revenue &amp; COGS Assumptions'!$E$20</f>
        <v/>
      </c>
      <c r="AG149" s="87">
        <f>+AG431*'3F. Revenue &amp; COGS Assumptions'!$E$20</f>
        <v/>
      </c>
      <c r="AH149" s="87">
        <f>+AH431*'3F. Revenue &amp; COGS Assumptions'!$E$20</f>
        <v/>
      </c>
      <c r="AI149" s="87">
        <f>+AI431*'3F. Revenue &amp; COGS Assumptions'!$E$20</f>
        <v/>
      </c>
      <c r="AJ149" s="1142">
        <f>+AJ431*'3F. Revenue &amp; COGS Assumptions'!$E$20</f>
        <v/>
      </c>
      <c r="AK149" s="87">
        <f>+AK431*'3F. Revenue &amp; COGS Assumptions'!$E$20</f>
        <v/>
      </c>
      <c r="AL149" s="87">
        <f>+AL431*'3F. Revenue &amp; COGS Assumptions'!$E$20</f>
        <v/>
      </c>
      <c r="AM149" s="87">
        <f>+AM431*'3F. Revenue &amp; COGS Assumptions'!$E$20</f>
        <v/>
      </c>
      <c r="AN149" s="87">
        <f>+AN431*'3F. Revenue &amp; COGS Assumptions'!$E$20</f>
        <v/>
      </c>
      <c r="AO149" s="87">
        <f>+AO431*'3F. Revenue &amp; COGS Assumptions'!$E$20</f>
        <v/>
      </c>
      <c r="AP149" s="1142">
        <f>+AP431*'3F. Revenue &amp; COGS Assumptions'!$E$20</f>
        <v/>
      </c>
      <c r="AQ149" s="87">
        <f>+AQ431*'3F. Revenue &amp; COGS Assumptions'!$E$20</f>
        <v/>
      </c>
      <c r="AR149" s="87">
        <f>+AR431*'3F. Revenue &amp; COGS Assumptions'!$E$20</f>
        <v/>
      </c>
      <c r="AS149" s="87">
        <f>+AS431*'3F. Revenue &amp; COGS Assumptions'!$E$20</f>
        <v/>
      </c>
      <c r="AT149" s="87">
        <f>+AT431*'3F. Revenue &amp; COGS Assumptions'!$E$20</f>
        <v/>
      </c>
      <c r="AU149" s="87">
        <f>+AU431*'3F. Revenue &amp; COGS Assumptions'!$E$20</f>
        <v/>
      </c>
      <c r="AV149" s="1142">
        <f>+AV431*'3F. Revenue &amp; COGS Assumptions'!$E$20</f>
        <v/>
      </c>
      <c r="AW149" s="87">
        <f>+AW431*'3F. Revenue &amp; COGS Assumptions'!$E$20</f>
        <v/>
      </c>
      <c r="AX149" s="87">
        <f>+AX431*'3F. Revenue &amp; COGS Assumptions'!$E$20</f>
        <v/>
      </c>
      <c r="AY149" s="87">
        <f>+AY431*'3F. Revenue &amp; COGS Assumptions'!$E$20</f>
        <v/>
      </c>
      <c r="AZ149" s="87">
        <f>+AZ431*'3F. Revenue &amp; COGS Assumptions'!$E$20</f>
        <v/>
      </c>
      <c r="BA149" s="87">
        <f>+BA431*'3F. Revenue &amp; COGS Assumptions'!$E$20</f>
        <v/>
      </c>
      <c r="BB149" s="1142">
        <f>+BB431*'3F. Revenue &amp; COGS Assumptions'!$E$20</f>
        <v/>
      </c>
      <c r="BC149" s="87">
        <f>+BC431*'3F. Revenue &amp; COGS Assumptions'!$E$20</f>
        <v/>
      </c>
      <c r="BD149" s="87">
        <f>+BD431*'3F. Revenue &amp; COGS Assumptions'!$E$20</f>
        <v/>
      </c>
      <c r="BE149" s="87">
        <f>+BE431*'3F. Revenue &amp; COGS Assumptions'!$E$20</f>
        <v/>
      </c>
      <c r="BF149" s="87">
        <f>+BF431*'3F. Revenue &amp; COGS Assumptions'!$E$20</f>
        <v/>
      </c>
      <c r="BG149" s="87">
        <f>+BG431*'3F. Revenue &amp; COGS Assumptions'!$E$20</f>
        <v/>
      </c>
      <c r="BH149" s="1142">
        <f>+BH431*'3F. Revenue &amp; COGS Assumptions'!$E$20</f>
        <v/>
      </c>
      <c r="BI149" s="87">
        <f>+BI431*'3F. Revenue &amp; COGS Assumptions'!$E$20</f>
        <v/>
      </c>
      <c r="BJ149" s="87">
        <f>+BJ431*'3F. Revenue &amp; COGS Assumptions'!$E$20</f>
        <v/>
      </c>
      <c r="BK149" s="87">
        <f>+BK431*'3F. Revenue &amp; COGS Assumptions'!$E$20</f>
        <v/>
      </c>
      <c r="BL149" s="87">
        <f>+BL431*'3F. Revenue &amp; COGS Assumptions'!$E$20</f>
        <v/>
      </c>
      <c r="BM149" s="87">
        <f>+BM431*'3F. Revenue &amp; COGS Assumptions'!$E$20</f>
        <v/>
      </c>
      <c r="BN149" s="1142">
        <f>+BN431*'3F. Revenue &amp; COGS Assumptions'!$E$20</f>
        <v/>
      </c>
    </row>
    <row r="150" ht="12.75" customHeight="1" s="1883">
      <c r="B150" s="56" t="n"/>
      <c r="C150" s="1141" t="inlineStr">
        <is>
          <t>Units for Warranty - End</t>
        </is>
      </c>
      <c r="D150" s="55" t="n"/>
      <c r="E150" s="1146">
        <f>SUM(E147:E149)</f>
        <v/>
      </c>
      <c r="F150" s="1146">
        <f>SUM(F147:F149)</f>
        <v/>
      </c>
      <c r="G150" s="1146">
        <f>SUM(G147:G149)</f>
        <v/>
      </c>
      <c r="H150" s="1146">
        <f>SUM(H147:H149)</f>
        <v/>
      </c>
      <c r="I150" s="1146">
        <f>SUM(I147:I149)</f>
        <v/>
      </c>
      <c r="J150" s="1146">
        <f>SUM(J147:J149)</f>
        <v/>
      </c>
      <c r="K150" s="1146">
        <f>SUM(K147:K149)</f>
        <v/>
      </c>
      <c r="L150" s="1147">
        <f>SUM(L147:L149)</f>
        <v/>
      </c>
      <c r="M150" s="1146">
        <f>SUM(M147:M149)</f>
        <v/>
      </c>
      <c r="N150" s="1146">
        <f>SUM(N147:N149)</f>
        <v/>
      </c>
      <c r="O150" s="1146">
        <f>SUM(O147:O149)</f>
        <v/>
      </c>
      <c r="P150" s="1146">
        <f>SUM(P147:P149)</f>
        <v/>
      </c>
      <c r="Q150" s="1146">
        <f>SUM(Q147:Q149)</f>
        <v/>
      </c>
      <c r="R150" s="1147">
        <f>SUM(R147:R149)</f>
        <v/>
      </c>
      <c r="S150" s="1146">
        <f>SUM(S147:S149)</f>
        <v/>
      </c>
      <c r="T150" s="1146">
        <f>SUM(T147:T149)</f>
        <v/>
      </c>
      <c r="U150" s="1146">
        <f>SUM(U147:U149)</f>
        <v/>
      </c>
      <c r="V150" s="1146">
        <f>SUM(V147:V149)</f>
        <v/>
      </c>
      <c r="W150" s="1146">
        <f>SUM(W147:W149)</f>
        <v/>
      </c>
      <c r="X150" s="1147">
        <f>SUM(X147:X149)</f>
        <v/>
      </c>
      <c r="Y150" s="1146">
        <f>SUM(Y147:Y149)</f>
        <v/>
      </c>
      <c r="Z150" s="1146">
        <f>SUM(Z147:Z149)</f>
        <v/>
      </c>
      <c r="AA150" s="1146">
        <f>SUM(AA147:AA149)</f>
        <v/>
      </c>
      <c r="AB150" s="1146">
        <f>SUM(AB147:AB149)</f>
        <v/>
      </c>
      <c r="AC150" s="1146">
        <f>SUM(AC147:AC149)</f>
        <v/>
      </c>
      <c r="AD150" s="1147">
        <f>SUM(AD147:AD149)</f>
        <v/>
      </c>
      <c r="AE150" s="1146">
        <f>SUM(AE147:AE149)</f>
        <v/>
      </c>
      <c r="AF150" s="1146">
        <f>SUM(AF147:AF149)</f>
        <v/>
      </c>
      <c r="AG150" s="1146">
        <f>SUM(AG147:AG149)</f>
        <v/>
      </c>
      <c r="AH150" s="1146">
        <f>SUM(AH147:AH149)</f>
        <v/>
      </c>
      <c r="AI150" s="1146">
        <f>SUM(AI147:AI149)</f>
        <v/>
      </c>
      <c r="AJ150" s="1147">
        <f>SUM(AJ147:AJ149)</f>
        <v/>
      </c>
      <c r="AK150" s="1146">
        <f>SUM(AK147:AK149)</f>
        <v/>
      </c>
      <c r="AL150" s="1146">
        <f>SUM(AL147:AL149)</f>
        <v/>
      </c>
      <c r="AM150" s="1146">
        <f>SUM(AM147:AM149)</f>
        <v/>
      </c>
      <c r="AN150" s="1146">
        <f>SUM(AN147:AN149)</f>
        <v/>
      </c>
      <c r="AO150" s="1146">
        <f>SUM(AO147:AO149)</f>
        <v/>
      </c>
      <c r="AP150" s="1147">
        <f>SUM(AP147:AP149)</f>
        <v/>
      </c>
      <c r="AQ150" s="1146">
        <f>SUM(AQ147:AQ149)</f>
        <v/>
      </c>
      <c r="AR150" s="1146">
        <f>SUM(AR147:AR149)</f>
        <v/>
      </c>
      <c r="AS150" s="1146">
        <f>SUM(AS147:AS149)</f>
        <v/>
      </c>
      <c r="AT150" s="1146">
        <f>SUM(AT147:AT149)</f>
        <v/>
      </c>
      <c r="AU150" s="1146">
        <f>SUM(AU147:AU149)</f>
        <v/>
      </c>
      <c r="AV150" s="1147">
        <f>SUM(AV147:AV149)</f>
        <v/>
      </c>
      <c r="AW150" s="1146">
        <f>SUM(AW147:AW149)</f>
        <v/>
      </c>
      <c r="AX150" s="1146">
        <f>SUM(AX147:AX149)</f>
        <v/>
      </c>
      <c r="AY150" s="1146">
        <f>SUM(AY147:AY149)</f>
        <v/>
      </c>
      <c r="AZ150" s="1146">
        <f>SUM(AZ147:AZ149)</f>
        <v/>
      </c>
      <c r="BA150" s="1146">
        <f>SUM(BA147:BA149)</f>
        <v/>
      </c>
      <c r="BB150" s="1147">
        <f>SUM(BB147:BB149)</f>
        <v/>
      </c>
      <c r="BC150" s="1146">
        <f>SUM(BC147:BC149)</f>
        <v/>
      </c>
      <c r="BD150" s="1146">
        <f>SUM(BD147:BD149)</f>
        <v/>
      </c>
      <c r="BE150" s="1146">
        <f>SUM(BE147:BE149)</f>
        <v/>
      </c>
      <c r="BF150" s="1146">
        <f>SUM(BF147:BF149)</f>
        <v/>
      </c>
      <c r="BG150" s="1146">
        <f>SUM(BG147:BG149)</f>
        <v/>
      </c>
      <c r="BH150" s="1147">
        <f>SUM(BH147:BH149)</f>
        <v/>
      </c>
      <c r="BI150" s="1146">
        <f>SUM(BI147:BI149)</f>
        <v/>
      </c>
      <c r="BJ150" s="1146">
        <f>SUM(BJ147:BJ149)</f>
        <v/>
      </c>
      <c r="BK150" s="1146">
        <f>SUM(BK147:BK149)</f>
        <v/>
      </c>
      <c r="BL150" s="1146">
        <f>SUM(BL147:BL149)</f>
        <v/>
      </c>
      <c r="BM150" s="1146">
        <f>SUM(BM147:BM149)</f>
        <v/>
      </c>
      <c r="BN150" s="1147">
        <f>SUM(BN147:BN149)</f>
        <v/>
      </c>
    </row>
    <row r="151" ht="12.75" customHeight="1" s="1883">
      <c r="B151" s="56" t="n"/>
      <c r="C151" s="1038" t="n"/>
      <c r="D151" s="55" t="n"/>
      <c r="E151" s="57" t="n"/>
      <c r="F151" s="57" t="n"/>
      <c r="G151" s="59" t="n"/>
      <c r="H151" s="59" t="n"/>
      <c r="I151" s="59" t="n"/>
      <c r="J151" s="59" t="n"/>
      <c r="K151" s="59" t="n"/>
      <c r="L151" s="1039" t="n"/>
      <c r="M151" s="59" t="n"/>
      <c r="N151" s="59" t="n"/>
      <c r="O151" s="59" t="n"/>
      <c r="P151" s="59" t="n"/>
      <c r="Q151" s="59" t="n"/>
      <c r="R151" s="1039" t="n"/>
      <c r="S151" s="59" t="n"/>
      <c r="T151" s="59" t="n"/>
      <c r="U151" s="59" t="n"/>
      <c r="V151" s="59" t="n"/>
      <c r="W151" s="59" t="n"/>
      <c r="X151" s="1039" t="n"/>
      <c r="Y151" s="59" t="n"/>
      <c r="Z151" s="59" t="n"/>
      <c r="AA151" s="59" t="n"/>
      <c r="AB151" s="59" t="n"/>
      <c r="AC151" s="59" t="n"/>
      <c r="AD151" s="1039" t="n"/>
      <c r="AE151" s="59" t="n"/>
      <c r="AF151" s="59" t="n"/>
      <c r="AG151" s="59" t="n"/>
      <c r="AH151" s="59" t="n"/>
      <c r="AI151" s="59" t="n"/>
      <c r="AJ151" s="1039" t="n"/>
      <c r="AK151" s="59" t="n"/>
      <c r="AL151" s="59" t="n"/>
      <c r="AM151" s="59" t="n"/>
      <c r="AN151" s="59" t="n"/>
      <c r="AO151" s="59" t="n"/>
      <c r="AP151" s="1039" t="n"/>
      <c r="AQ151" s="59" t="n"/>
      <c r="AR151" s="59" t="n"/>
      <c r="AS151" s="59" t="n"/>
      <c r="AT151" s="59" t="n"/>
      <c r="AU151" s="59" t="n"/>
      <c r="AV151" s="1039" t="n"/>
      <c r="AW151" s="59" t="n"/>
      <c r="AX151" s="59" t="n"/>
      <c r="AY151" s="59" t="n"/>
      <c r="AZ151" s="59" t="n"/>
      <c r="BA151" s="59" t="n"/>
      <c r="BB151" s="1039" t="n"/>
      <c r="BC151" s="59" t="n"/>
      <c r="BD151" s="59" t="n"/>
      <c r="BE151" s="59" t="n"/>
      <c r="BF151" s="59" t="n"/>
      <c r="BG151" s="59" t="n"/>
      <c r="BH151" s="1039" t="n"/>
      <c r="BI151" s="59" t="n"/>
      <c r="BJ151" s="59" t="n"/>
      <c r="BK151" s="59" t="n"/>
      <c r="BL151" s="59" t="n"/>
      <c r="BM151" s="59" t="n"/>
      <c r="BN151" s="1039" t="n"/>
    </row>
    <row r="152" ht="12.75" customHeight="1" s="1883">
      <c r="B152" s="56" t="inlineStr">
        <is>
          <t>BS</t>
        </is>
      </c>
      <c r="C152" s="1114" t="inlineStr">
        <is>
          <t>Inventory Value - for Warranty</t>
        </is>
      </c>
      <c r="D152" s="88" t="n"/>
      <c r="E152" s="198">
        <f>+E150*$D$82</f>
        <v/>
      </c>
      <c r="F152" s="198">
        <f>+F150*$D$82</f>
        <v/>
      </c>
      <c r="G152" s="198">
        <f>+G150*$D$84</f>
        <v/>
      </c>
      <c r="H152" s="198">
        <f>+H150*$D$84</f>
        <v/>
      </c>
      <c r="I152" s="198">
        <f>+I150*$D$84</f>
        <v/>
      </c>
      <c r="J152" s="198">
        <f>+J150*$D$84</f>
        <v/>
      </c>
      <c r="K152" s="198">
        <f>+K150*$D$84</f>
        <v/>
      </c>
      <c r="L152" s="1145">
        <f>+L150*$D$84</f>
        <v/>
      </c>
      <c r="M152" s="198">
        <f>+M150*$D$84</f>
        <v/>
      </c>
      <c r="N152" s="198">
        <f>+N150*$D$84</f>
        <v/>
      </c>
      <c r="O152" s="198">
        <f>+O150*$D$84</f>
        <v/>
      </c>
      <c r="P152" s="198">
        <f>+P150*$D$84</f>
        <v/>
      </c>
      <c r="Q152" s="198">
        <f>+Q150*$D$84</f>
        <v/>
      </c>
      <c r="R152" s="1145">
        <f>+R150*$D$84</f>
        <v/>
      </c>
      <c r="S152" s="198">
        <f>+S150*$D$84</f>
        <v/>
      </c>
      <c r="T152" s="198">
        <f>+T150*$D$84</f>
        <v/>
      </c>
      <c r="U152" s="198">
        <f>+U150*$D$84</f>
        <v/>
      </c>
      <c r="V152" s="198">
        <f>+V150*$D$84</f>
        <v/>
      </c>
      <c r="W152" s="198">
        <f>+W150*$D$84</f>
        <v/>
      </c>
      <c r="X152" s="1145">
        <f>+X150*$D$84</f>
        <v/>
      </c>
      <c r="Y152" s="198">
        <f>+Y150*$D$84</f>
        <v/>
      </c>
      <c r="Z152" s="198">
        <f>+Z150*$D$84</f>
        <v/>
      </c>
      <c r="AA152" s="198">
        <f>+AA150*$D$84</f>
        <v/>
      </c>
      <c r="AB152" s="198">
        <f>+AB150*$D$84</f>
        <v/>
      </c>
      <c r="AC152" s="198">
        <f>+AC150*$D$84</f>
        <v/>
      </c>
      <c r="AD152" s="1145">
        <f>+AD150*$D$84</f>
        <v/>
      </c>
      <c r="AE152" s="198">
        <f>+AE150*$D$84</f>
        <v/>
      </c>
      <c r="AF152" s="198">
        <f>+AF150*$D$84</f>
        <v/>
      </c>
      <c r="AG152" s="198">
        <f>+AG150*$D$84</f>
        <v/>
      </c>
      <c r="AH152" s="198">
        <f>+AH150*$D$84</f>
        <v/>
      </c>
      <c r="AI152" s="198">
        <f>+AI150*$D$84</f>
        <v/>
      </c>
      <c r="AJ152" s="1145">
        <f>+AJ150*$D$84</f>
        <v/>
      </c>
      <c r="AK152" s="198">
        <f>+AK150*$D$84</f>
        <v/>
      </c>
      <c r="AL152" s="198">
        <f>+AL150*$D$84</f>
        <v/>
      </c>
      <c r="AM152" s="198">
        <f>+AM150*$D$84</f>
        <v/>
      </c>
      <c r="AN152" s="198">
        <f>+AN150*$D$84</f>
        <v/>
      </c>
      <c r="AO152" s="198">
        <f>+AO150*$D$84</f>
        <v/>
      </c>
      <c r="AP152" s="1145">
        <f>+AP150*$D$84</f>
        <v/>
      </c>
      <c r="AQ152" s="198">
        <f>+AQ150*$D$84</f>
        <v/>
      </c>
      <c r="AR152" s="198">
        <f>+AR150*$D$84</f>
        <v/>
      </c>
      <c r="AS152" s="198">
        <f>+AS150*$D$84</f>
        <v/>
      </c>
      <c r="AT152" s="198">
        <f>+AT150*$D$84</f>
        <v/>
      </c>
      <c r="AU152" s="198">
        <f>+AU150*$D$84</f>
        <v/>
      </c>
      <c r="AV152" s="1145">
        <f>+AV150*$D$84</f>
        <v/>
      </c>
      <c r="AW152" s="198">
        <f>+AW150*$D$84</f>
        <v/>
      </c>
      <c r="AX152" s="198">
        <f>+AX150*$D$84</f>
        <v/>
      </c>
      <c r="AY152" s="198">
        <f>+AY150*$D$84</f>
        <v/>
      </c>
      <c r="AZ152" s="198">
        <f>+AZ150*$D$84</f>
        <v/>
      </c>
      <c r="BA152" s="198">
        <f>+BA150*$D$84</f>
        <v/>
      </c>
      <c r="BB152" s="1145">
        <f>+BB150*$D$84</f>
        <v/>
      </c>
      <c r="BC152" s="198">
        <f>+BC150*$D$84</f>
        <v/>
      </c>
      <c r="BD152" s="198">
        <f>+BD150*$D$84</f>
        <v/>
      </c>
      <c r="BE152" s="198">
        <f>+BE150*$D$84</f>
        <v/>
      </c>
      <c r="BF152" s="198">
        <f>+BF150*$D$84</f>
        <v/>
      </c>
      <c r="BG152" s="198">
        <f>+BG150*$D$84</f>
        <v/>
      </c>
      <c r="BH152" s="1145">
        <f>+BH150*$D$84</f>
        <v/>
      </c>
      <c r="BI152" s="198">
        <f>+BI150*$D$84</f>
        <v/>
      </c>
      <c r="BJ152" s="198">
        <f>+BJ150*$D$84</f>
        <v/>
      </c>
      <c r="BK152" s="198">
        <f>+BK150*$D$84</f>
        <v/>
      </c>
      <c r="BL152" s="198">
        <f>+BL150*$D$84</f>
        <v/>
      </c>
      <c r="BM152" s="198">
        <f>+BM150*$D$84</f>
        <v/>
      </c>
      <c r="BN152" s="1145">
        <f>+BN150*$D$84</f>
        <v/>
      </c>
    </row>
    <row r="153" ht="12.75" customHeight="1" s="1883">
      <c r="B153" s="56" t="n"/>
      <c r="C153" s="1038" t="n"/>
      <c r="D153" s="55" t="n"/>
      <c r="E153" s="57" t="n"/>
      <c r="F153" s="57" t="n"/>
      <c r="G153" s="87" t="n"/>
      <c r="H153" s="87" t="n"/>
      <c r="I153" s="87" t="n"/>
      <c r="J153" s="87" t="n"/>
      <c r="K153" s="87" t="n"/>
      <c r="L153" s="1142" t="n"/>
      <c r="M153" s="87" t="n"/>
      <c r="N153" s="87" t="n"/>
      <c r="O153" s="87" t="n"/>
      <c r="P153" s="87" t="n"/>
      <c r="Q153" s="87" t="n"/>
      <c r="R153" s="1142" t="n"/>
      <c r="S153" s="87" t="n"/>
      <c r="T153" s="87" t="n"/>
      <c r="U153" s="87" t="n"/>
      <c r="V153" s="87" t="n"/>
      <c r="W153" s="87" t="n"/>
      <c r="X153" s="1142" t="n"/>
      <c r="Y153" s="87" t="n"/>
      <c r="Z153" s="87" t="n"/>
      <c r="AA153" s="87" t="n"/>
      <c r="AB153" s="87" t="n"/>
      <c r="AC153" s="87" t="n"/>
      <c r="AD153" s="1142" t="n"/>
      <c r="AE153" s="87" t="n"/>
      <c r="AF153" s="87" t="n"/>
      <c r="AG153" s="87" t="n"/>
      <c r="AH153" s="87" t="n"/>
      <c r="AI153" s="87" t="n"/>
      <c r="AJ153" s="1142" t="n"/>
      <c r="AK153" s="87" t="n"/>
      <c r="AL153" s="87" t="n"/>
      <c r="AM153" s="87" t="n"/>
      <c r="AN153" s="87" t="n"/>
      <c r="AO153" s="87" t="n"/>
      <c r="AP153" s="1142" t="n"/>
      <c r="AQ153" s="87" t="n"/>
      <c r="AR153" s="87" t="n"/>
      <c r="AS153" s="87" t="n"/>
      <c r="AT153" s="87" t="n"/>
      <c r="AU153" s="87" t="n"/>
      <c r="AV153" s="1142" t="n"/>
      <c r="AW153" s="87" t="n"/>
      <c r="AX153" s="87" t="n"/>
      <c r="AY153" s="87" t="n"/>
      <c r="AZ153" s="87" t="n"/>
      <c r="BA153" s="87" t="n"/>
      <c r="BB153" s="1142" t="n"/>
      <c r="BC153" s="87" t="n"/>
      <c r="BD153" s="87" t="n"/>
      <c r="BE153" s="87" t="n"/>
      <c r="BF153" s="87" t="n"/>
      <c r="BG153" s="87" t="n"/>
      <c r="BH153" s="1142" t="n"/>
      <c r="BI153" s="87" t="n"/>
      <c r="BJ153" s="87" t="n"/>
      <c r="BK153" s="87" t="n"/>
      <c r="BL153" s="87" t="n"/>
      <c r="BM153" s="87" t="n"/>
      <c r="BN153" s="1142" t="n"/>
    </row>
    <row r="154" ht="12.75" customHeight="1" s="1883">
      <c r="B154" s="56" t="inlineStr">
        <is>
          <t>BS</t>
        </is>
      </c>
      <c r="C154" s="1114" t="inlineStr">
        <is>
          <t>CMO Deposit</t>
        </is>
      </c>
      <c r="D154" s="86">
        <f>+D132</f>
        <v/>
      </c>
      <c r="E154" s="71">
        <f>+'6B. Pre-Launch Exps. - Detail'!P172</f>
        <v/>
      </c>
      <c r="F154" s="71">
        <f>+'6B. Pre-Launch Exps. - Detail'!Q172</f>
        <v/>
      </c>
      <c r="G154" s="71">
        <f>+(G137+G144)*$D154</f>
        <v/>
      </c>
      <c r="H154" s="71">
        <f>+(H137+H144)*$D154</f>
        <v/>
      </c>
      <c r="I154" s="71">
        <f>+(I137+I144)*$D154</f>
        <v/>
      </c>
      <c r="J154" s="71">
        <f>+(J137+J144)*$D154</f>
        <v/>
      </c>
      <c r="K154" s="71">
        <f>+(K137+K144)*$D154</f>
        <v/>
      </c>
      <c r="L154" s="1144">
        <f>+(L137+L144)*$D154</f>
        <v/>
      </c>
      <c r="M154" s="71">
        <f>+(M137+M144)*$D154</f>
        <v/>
      </c>
      <c r="N154" s="71">
        <f>+(N137+N144)*$D154</f>
        <v/>
      </c>
      <c r="O154" s="71">
        <f>+(O137+O144)*$D154</f>
        <v/>
      </c>
      <c r="P154" s="71">
        <f>+(P137+P144)*$D154</f>
        <v/>
      </c>
      <c r="Q154" s="71">
        <f>+(Q137+Q144)*$D154</f>
        <v/>
      </c>
      <c r="R154" s="1144">
        <f>+(R137+R144)*$D154</f>
        <v/>
      </c>
      <c r="S154" s="71">
        <f>+(S137+S144)*$D154</f>
        <v/>
      </c>
      <c r="T154" s="71">
        <f>+(T137+T144)*$D154</f>
        <v/>
      </c>
      <c r="U154" s="71">
        <f>+(U137+U144)*$D154</f>
        <v/>
      </c>
      <c r="V154" s="71">
        <f>+(V137+V144)*$D154</f>
        <v/>
      </c>
      <c r="W154" s="71">
        <f>+(W137+W144)*$D154</f>
        <v/>
      </c>
      <c r="X154" s="1144">
        <f>+(X137+X144)*$D154</f>
        <v/>
      </c>
      <c r="Y154" s="71">
        <f>+(Y137+Y144)*$D154</f>
        <v/>
      </c>
      <c r="Z154" s="71">
        <f>+(Z137+Z144)*$D154</f>
        <v/>
      </c>
      <c r="AA154" s="71">
        <f>+(AA137+AA144)*$D154</f>
        <v/>
      </c>
      <c r="AB154" s="71">
        <f>+(AB137+AB144)*$D154</f>
        <v/>
      </c>
      <c r="AC154" s="71">
        <f>+(AC137+AC144)*$D154</f>
        <v/>
      </c>
      <c r="AD154" s="1144">
        <f>+(AD137+AD144)*$D154</f>
        <v/>
      </c>
      <c r="AE154" s="71">
        <f>+(AE137+AE144)*$D154</f>
        <v/>
      </c>
      <c r="AF154" s="71">
        <f>+(AF137+AF144)*$D154</f>
        <v/>
      </c>
      <c r="AG154" s="71">
        <f>+(AG137+AG144)*$D154</f>
        <v/>
      </c>
      <c r="AH154" s="71">
        <f>+(AH137+AH144)*$D154</f>
        <v/>
      </c>
      <c r="AI154" s="71">
        <f>+(AI137+AI144)*$D154</f>
        <v/>
      </c>
      <c r="AJ154" s="1144">
        <f>+(AJ137+AJ144)*$D154</f>
        <v/>
      </c>
      <c r="AK154" s="71">
        <f>+(AK137+AK144)*$D154</f>
        <v/>
      </c>
      <c r="AL154" s="71">
        <f>+(AL137+AL144)*$D154</f>
        <v/>
      </c>
      <c r="AM154" s="71">
        <f>+(AM137+AM144)*$D154</f>
        <v/>
      </c>
      <c r="AN154" s="71">
        <f>+(AN137+AN144)*$D154</f>
        <v/>
      </c>
      <c r="AO154" s="71">
        <f>+(AO137+AO144)*$D154</f>
        <v/>
      </c>
      <c r="AP154" s="1144">
        <f>+(AP137+AP144)*$D154</f>
        <v/>
      </c>
      <c r="AQ154" s="71">
        <f>+(AQ137+AQ144)*$D154</f>
        <v/>
      </c>
      <c r="AR154" s="71">
        <f>+(AR137+AR144)*$D154</f>
        <v/>
      </c>
      <c r="AS154" s="71">
        <f>+(AS137+AS144)*$D154</f>
        <v/>
      </c>
      <c r="AT154" s="71">
        <f>+(AT137+AT144)*$D154</f>
        <v/>
      </c>
      <c r="AU154" s="71">
        <f>+(AU137+AU144)*$D154</f>
        <v/>
      </c>
      <c r="AV154" s="1144">
        <f>+(AV137+AV144)*$D154</f>
        <v/>
      </c>
      <c r="AW154" s="71">
        <f>+(AW137+AW144)*$D154</f>
        <v/>
      </c>
      <c r="AX154" s="71">
        <f>+(AX137+AX144)*$D154</f>
        <v/>
      </c>
      <c r="AY154" s="71">
        <f>+(AY137+AY144)*$D154</f>
        <v/>
      </c>
      <c r="AZ154" s="71">
        <f>+(AZ137+AZ144)*$D154</f>
        <v/>
      </c>
      <c r="BA154" s="71">
        <f>+(BA137+BA144)*$D154</f>
        <v/>
      </c>
      <c r="BB154" s="1144">
        <f>+(BB137+BB144)*$D154</f>
        <v/>
      </c>
      <c r="BC154" s="71">
        <f>+(BC137+BC144)*$D154</f>
        <v/>
      </c>
      <c r="BD154" s="71">
        <f>+(BD137+BD144)*$D154</f>
        <v/>
      </c>
      <c r="BE154" s="71">
        <f>+(BE137+BE144)*$D154</f>
        <v/>
      </c>
      <c r="BF154" s="71">
        <f>+(BF137+BF144)*$D154</f>
        <v/>
      </c>
      <c r="BG154" s="71">
        <f>+(BG137+BG144)*$D154</f>
        <v/>
      </c>
      <c r="BH154" s="1144">
        <f>+(BH137+BH144)*$D154</f>
        <v/>
      </c>
      <c r="BI154" s="71">
        <f>+(BI137+BI144)*$D154</f>
        <v/>
      </c>
      <c r="BJ154" s="71">
        <f>+(BJ137+BJ144)*$D154</f>
        <v/>
      </c>
      <c r="BK154" s="71">
        <f>+(BK137+BK144)*$D154</f>
        <v/>
      </c>
      <c r="BL154" s="71">
        <f>+(BL137+BL144)*$D154</f>
        <v/>
      </c>
      <c r="BM154" s="71">
        <f>+(BM137+BM144)*$D154</f>
        <v/>
      </c>
      <c r="BN154" s="1144">
        <f>+(BN137+BN144)*$D154</f>
        <v/>
      </c>
    </row>
    <row r="155" ht="12.75" customHeight="1" s="1883">
      <c r="B155" s="56" t="n"/>
      <c r="C155" s="1114" t="inlineStr">
        <is>
          <t>Final Payment</t>
        </is>
      </c>
      <c r="D155" s="86">
        <f>+D133</f>
        <v/>
      </c>
      <c r="E155" s="71">
        <f>+'6B. Pre-Launch Exps. - Detail'!P173</f>
        <v/>
      </c>
      <c r="F155" s="71">
        <f>+'6B. Pre-Launch Exps. - Detail'!Q173</f>
        <v/>
      </c>
      <c r="G155" s="71">
        <f>+(F137+F144)*$D155</f>
        <v/>
      </c>
      <c r="H155" s="71">
        <f>+(G137+G144)*$D155</f>
        <v/>
      </c>
      <c r="I155" s="71">
        <f>+(H137+H144)*$D155</f>
        <v/>
      </c>
      <c r="J155" s="71">
        <f>+(I137+I144)*$D155</f>
        <v/>
      </c>
      <c r="K155" s="71">
        <f>+(J137+J144)*$D155</f>
        <v/>
      </c>
      <c r="L155" s="1144">
        <f>+(K137+K144)*$D155</f>
        <v/>
      </c>
      <c r="M155" s="71">
        <f>+(L137+L144)*$D155</f>
        <v/>
      </c>
      <c r="N155" s="71">
        <f>+(M137+M144)*$D155</f>
        <v/>
      </c>
      <c r="O155" s="71">
        <f>+(N137+N144)*$D155</f>
        <v/>
      </c>
      <c r="P155" s="71">
        <f>+(O137+O144)*$D155</f>
        <v/>
      </c>
      <c r="Q155" s="71">
        <f>+(P137+P144)*$D155</f>
        <v/>
      </c>
      <c r="R155" s="1144">
        <f>+(Q137+Q144)*$D155</f>
        <v/>
      </c>
      <c r="S155" s="71">
        <f>+(R137+R144)*$D155</f>
        <v/>
      </c>
      <c r="T155" s="71">
        <f>+(S137+S144)*$D155</f>
        <v/>
      </c>
      <c r="U155" s="71">
        <f>+(T137+T144)*$D155</f>
        <v/>
      </c>
      <c r="V155" s="71">
        <f>+(U137+U144)*$D155</f>
        <v/>
      </c>
      <c r="W155" s="71">
        <f>+(V137+V144)*$D155</f>
        <v/>
      </c>
      <c r="X155" s="1144">
        <f>+(W137+W144)*$D155</f>
        <v/>
      </c>
      <c r="Y155" s="71">
        <f>+(X137+X144)*$D155</f>
        <v/>
      </c>
      <c r="Z155" s="71">
        <f>+(Y137+Y144)*$D155</f>
        <v/>
      </c>
      <c r="AA155" s="71">
        <f>+(Z137+Z144)*$D155</f>
        <v/>
      </c>
      <c r="AB155" s="71">
        <f>+(AA137+AA144)*$D155</f>
        <v/>
      </c>
      <c r="AC155" s="71">
        <f>+(AB137+AB144)*$D155</f>
        <v/>
      </c>
      <c r="AD155" s="1144">
        <f>+(AC137+AC144)*$D155</f>
        <v/>
      </c>
      <c r="AE155" s="71">
        <f>+(AD137+AD144)*$D155</f>
        <v/>
      </c>
      <c r="AF155" s="71">
        <f>+(AE137+AE144)*$D155</f>
        <v/>
      </c>
      <c r="AG155" s="71">
        <f>+(AF137+AF144)*$D155</f>
        <v/>
      </c>
      <c r="AH155" s="71">
        <f>+(AG137+AG144)*$D155</f>
        <v/>
      </c>
      <c r="AI155" s="71">
        <f>+(AH137+AH144)*$D155</f>
        <v/>
      </c>
      <c r="AJ155" s="1144">
        <f>+(AI137+AI144)*$D155</f>
        <v/>
      </c>
      <c r="AK155" s="71">
        <f>+(AJ137+AJ144)*$D155</f>
        <v/>
      </c>
      <c r="AL155" s="71">
        <f>+(AK137+AK144)*$D155</f>
        <v/>
      </c>
      <c r="AM155" s="71">
        <f>+(AL137+AL144)*$D155</f>
        <v/>
      </c>
      <c r="AN155" s="71">
        <f>+(AM137+AM144)*$D155</f>
        <v/>
      </c>
      <c r="AO155" s="71">
        <f>+(AN137+AN144)*$D155</f>
        <v/>
      </c>
      <c r="AP155" s="1144">
        <f>+(AO137+AO144)*$D155</f>
        <v/>
      </c>
      <c r="AQ155" s="71">
        <f>+(AP137+AP144)*$D155</f>
        <v/>
      </c>
      <c r="AR155" s="71">
        <f>+(AQ137+AQ144)*$D155</f>
        <v/>
      </c>
      <c r="AS155" s="71">
        <f>+(AR137+AR144)*$D155</f>
        <v/>
      </c>
      <c r="AT155" s="71">
        <f>+(AS137+AS144)*$D155</f>
        <v/>
      </c>
      <c r="AU155" s="71">
        <f>+(AT137+AT144)*$D155</f>
        <v/>
      </c>
      <c r="AV155" s="1144">
        <f>+(AU137+AU144)*$D155</f>
        <v/>
      </c>
      <c r="AW155" s="71">
        <f>+(AV137+AV144)*$D155</f>
        <v/>
      </c>
      <c r="AX155" s="71">
        <f>+(AW137+AW144)*$D155</f>
        <v/>
      </c>
      <c r="AY155" s="71">
        <f>+(AX137+AX144)*$D155</f>
        <v/>
      </c>
      <c r="AZ155" s="71">
        <f>+(AY137+AY144)*$D155</f>
        <v/>
      </c>
      <c r="BA155" s="71">
        <f>+(AZ137+AZ144)*$D155</f>
        <v/>
      </c>
      <c r="BB155" s="1144">
        <f>+(BA137+BA144)*$D155</f>
        <v/>
      </c>
      <c r="BC155" s="71">
        <f>+(BB137+BB144)*$D155</f>
        <v/>
      </c>
      <c r="BD155" s="71">
        <f>+(BC137+BC144)*$D155</f>
        <v/>
      </c>
      <c r="BE155" s="71">
        <f>+(BD137+BD144)*$D155</f>
        <v/>
      </c>
      <c r="BF155" s="71">
        <f>+(BE137+BE144)*$D155</f>
        <v/>
      </c>
      <c r="BG155" s="71">
        <f>+(BF137+BF144)*$D155</f>
        <v/>
      </c>
      <c r="BH155" s="1144">
        <f>+(BG137+BG144)*$D155</f>
        <v/>
      </c>
      <c r="BI155" s="71">
        <f>+(BH137+BH144)*$D155</f>
        <v/>
      </c>
      <c r="BJ155" s="71">
        <f>+(BI137+BI144)*$D155</f>
        <v/>
      </c>
      <c r="BK155" s="71">
        <f>+(BJ137+BJ144)*$D155</f>
        <v/>
      </c>
      <c r="BL155" s="71">
        <f>+(BK137+BK144)*$D155</f>
        <v/>
      </c>
      <c r="BM155" s="71">
        <f>+(BL137+BL144)*$D155</f>
        <v/>
      </c>
      <c r="BN155" s="1144">
        <f>+(BM137+BM144)*$D155</f>
        <v/>
      </c>
    </row>
    <row r="156" ht="12.75" customHeight="1" s="1883">
      <c r="B156" s="56" t="n"/>
      <c r="C156" s="1148" t="n"/>
      <c r="D156" s="1063" t="n"/>
      <c r="E156" s="1139" t="n"/>
      <c r="F156" s="1139" t="n"/>
      <c r="G156" s="1063" t="n"/>
      <c r="H156" s="1063" t="n"/>
      <c r="I156" s="1063" t="n"/>
      <c r="J156" s="1063" t="n"/>
      <c r="K156" s="1063" t="n"/>
      <c r="L156" s="164" t="n"/>
      <c r="M156" s="1063" t="n"/>
      <c r="N156" s="1063" t="n"/>
      <c r="O156" s="1063" t="n"/>
      <c r="P156" s="1063" t="n"/>
      <c r="Q156" s="1063" t="n"/>
      <c r="R156" s="164" t="n"/>
      <c r="S156" s="59" t="n"/>
      <c r="T156" s="59" t="n"/>
      <c r="U156" s="59" t="n"/>
      <c r="V156" s="59" t="n"/>
      <c r="W156" s="59" t="n"/>
      <c r="X156" s="1039" t="n"/>
      <c r="Y156" s="59" t="n"/>
      <c r="Z156" s="59" t="n"/>
      <c r="AA156" s="59" t="n"/>
      <c r="AB156" s="59" t="n"/>
      <c r="AC156" s="59" t="n"/>
      <c r="AD156" s="1039" t="n"/>
      <c r="AE156" s="59" t="n"/>
      <c r="AF156" s="59" t="n"/>
      <c r="AG156" s="59" t="n"/>
      <c r="AH156" s="59" t="n"/>
      <c r="AI156" s="59" t="n"/>
      <c r="AJ156" s="1039" t="n"/>
      <c r="AK156" s="59" t="n"/>
      <c r="AL156" s="59" t="n"/>
      <c r="AM156" s="59" t="n"/>
      <c r="AN156" s="59" t="n"/>
      <c r="AO156" s="59" t="n"/>
      <c r="AP156" s="1039" t="n"/>
      <c r="AQ156" s="59" t="n"/>
      <c r="AR156" s="59" t="n"/>
      <c r="AS156" s="59" t="n"/>
      <c r="AT156" s="59" t="n"/>
      <c r="AU156" s="59" t="n"/>
      <c r="AV156" s="1039" t="n"/>
      <c r="AW156" s="59" t="n"/>
      <c r="AX156" s="59" t="n"/>
      <c r="AY156" s="59" t="n"/>
      <c r="AZ156" s="59" t="n"/>
      <c r="BA156" s="59" t="n"/>
      <c r="BB156" s="1039" t="n"/>
      <c r="BC156" s="59" t="n"/>
      <c r="BD156" s="59" t="n"/>
      <c r="BE156" s="59" t="n"/>
      <c r="BF156" s="59" t="n"/>
      <c r="BG156" s="59" t="n"/>
      <c r="BH156" s="1039" t="n"/>
      <c r="BI156" s="59" t="n"/>
      <c r="BJ156" s="59" t="n"/>
      <c r="BK156" s="59" t="n"/>
      <c r="BL156" s="59" t="n"/>
      <c r="BM156" s="59" t="n"/>
      <c r="BN156" s="1039" t="n"/>
    </row>
    <row r="157" ht="12.75" customHeight="1" s="1883">
      <c r="B157" s="56" t="n"/>
      <c r="C157" s="1114" t="inlineStr">
        <is>
          <t>Total Inventory</t>
        </is>
      </c>
      <c r="D157" s="55" t="n"/>
      <c r="E157" s="1140">
        <f>+E135</f>
        <v/>
      </c>
      <c r="F157" s="1140">
        <f>+F135</f>
        <v/>
      </c>
      <c r="G157" s="1140">
        <f>+G135</f>
        <v/>
      </c>
      <c r="H157" s="1140">
        <f>+H135</f>
        <v/>
      </c>
      <c r="I157" s="1140">
        <f>+I135</f>
        <v/>
      </c>
      <c r="J157" s="1140">
        <f>+J135</f>
        <v/>
      </c>
      <c r="K157" s="1140">
        <f>+K135</f>
        <v/>
      </c>
      <c r="L157" s="196">
        <f>+L135</f>
        <v/>
      </c>
      <c r="M157" s="1140">
        <f>+M135</f>
        <v/>
      </c>
      <c r="N157" s="1140">
        <f>+N135</f>
        <v/>
      </c>
      <c r="O157" s="1140">
        <f>+O135</f>
        <v/>
      </c>
      <c r="P157" s="1140">
        <f>+P135</f>
        <v/>
      </c>
      <c r="Q157" s="1140">
        <f>+Q135</f>
        <v/>
      </c>
      <c r="R157" s="196">
        <f>+R135</f>
        <v/>
      </c>
      <c r="S157" s="1140">
        <f>+S135</f>
        <v/>
      </c>
      <c r="T157" s="1140">
        <f>+T135</f>
        <v/>
      </c>
      <c r="U157" s="1140">
        <f>+U135</f>
        <v/>
      </c>
      <c r="V157" s="1140">
        <f>+V135</f>
        <v/>
      </c>
      <c r="W157" s="1140">
        <f>+W135</f>
        <v/>
      </c>
      <c r="X157" s="196">
        <f>+X135</f>
        <v/>
      </c>
      <c r="Y157" s="1140">
        <f>+Y135</f>
        <v/>
      </c>
      <c r="Z157" s="1140">
        <f>+Z135</f>
        <v/>
      </c>
      <c r="AA157" s="1140">
        <f>+AA135</f>
        <v/>
      </c>
      <c r="AB157" s="1140">
        <f>+AB135</f>
        <v/>
      </c>
      <c r="AC157" s="1140">
        <f>+AC135</f>
        <v/>
      </c>
      <c r="AD157" s="196">
        <f>+AD135</f>
        <v/>
      </c>
      <c r="AE157" s="1140">
        <f>+AE135</f>
        <v/>
      </c>
      <c r="AF157" s="1140">
        <f>+AF135</f>
        <v/>
      </c>
      <c r="AG157" s="1140">
        <f>+AG135</f>
        <v/>
      </c>
      <c r="AH157" s="1140">
        <f>+AH135</f>
        <v/>
      </c>
      <c r="AI157" s="1140">
        <f>+AI135</f>
        <v/>
      </c>
      <c r="AJ157" s="196">
        <f>+AJ135</f>
        <v/>
      </c>
      <c r="AK157" s="1140">
        <f>+AK135</f>
        <v/>
      </c>
      <c r="AL157" s="1140">
        <f>+AL135</f>
        <v/>
      </c>
      <c r="AM157" s="1140">
        <f>+AM135</f>
        <v/>
      </c>
      <c r="AN157" s="1140">
        <f>+AN135</f>
        <v/>
      </c>
      <c r="AO157" s="1140">
        <f>+AO135</f>
        <v/>
      </c>
      <c r="AP157" s="196">
        <f>+AP135</f>
        <v/>
      </c>
      <c r="AQ157" s="1140">
        <f>+AQ135</f>
        <v/>
      </c>
      <c r="AR157" s="1140">
        <f>+AR135</f>
        <v/>
      </c>
      <c r="AS157" s="1140">
        <f>+AS135</f>
        <v/>
      </c>
      <c r="AT157" s="1140">
        <f>+AT135</f>
        <v/>
      </c>
      <c r="AU157" s="1140">
        <f>+AU135</f>
        <v/>
      </c>
      <c r="AV157" s="196">
        <f>+AV135</f>
        <v/>
      </c>
      <c r="AW157" s="1140">
        <f>+AW135</f>
        <v/>
      </c>
      <c r="AX157" s="1140">
        <f>+AX135</f>
        <v/>
      </c>
      <c r="AY157" s="1140">
        <f>+AY135</f>
        <v/>
      </c>
      <c r="AZ157" s="1140">
        <f>+AZ135</f>
        <v/>
      </c>
      <c r="BA157" s="1140">
        <f>+BA135</f>
        <v/>
      </c>
      <c r="BB157" s="196">
        <f>+BB135</f>
        <v/>
      </c>
      <c r="BC157" s="1140">
        <f>+BC135</f>
        <v/>
      </c>
      <c r="BD157" s="1140">
        <f>+BD135</f>
        <v/>
      </c>
      <c r="BE157" s="1140">
        <f>+BE135</f>
        <v/>
      </c>
      <c r="BF157" s="1140">
        <f>+BF135</f>
        <v/>
      </c>
      <c r="BG157" s="1140">
        <f>+BG135</f>
        <v/>
      </c>
      <c r="BH157" s="196">
        <f>+BH135</f>
        <v/>
      </c>
      <c r="BI157" s="1140">
        <f>+BI135</f>
        <v/>
      </c>
      <c r="BJ157" s="1140">
        <f>+BJ135</f>
        <v/>
      </c>
      <c r="BK157" s="1140">
        <f>+BK135</f>
        <v/>
      </c>
      <c r="BL157" s="1140">
        <f>+BL135</f>
        <v/>
      </c>
      <c r="BM157" s="1140">
        <f>+BM135</f>
        <v/>
      </c>
      <c r="BN157" s="196">
        <f>+BN135</f>
        <v/>
      </c>
    </row>
    <row r="158" ht="12.75" customHeight="1" s="1883">
      <c r="B158" s="56" t="n"/>
      <c r="C158" s="1141" t="inlineStr">
        <is>
          <t>Units Ordered - for Sale</t>
        </is>
      </c>
      <c r="D158" s="55" t="n"/>
      <c r="E158" s="87">
        <f>+E136+E114+E92</f>
        <v/>
      </c>
      <c r="F158" s="87">
        <f>+F136+F114+F92</f>
        <v/>
      </c>
      <c r="G158" s="87">
        <f>+G136+G114+G92</f>
        <v/>
      </c>
      <c r="H158" s="87">
        <f>+H136+H114+H92</f>
        <v/>
      </c>
      <c r="I158" s="87">
        <f>+I136+I114+I92</f>
        <v/>
      </c>
      <c r="J158" s="87">
        <f>+J136+J114+J92</f>
        <v/>
      </c>
      <c r="K158" s="87">
        <f>+K136+K114+K92</f>
        <v/>
      </c>
      <c r="L158" s="1142">
        <f>+L136+L114+L92</f>
        <v/>
      </c>
      <c r="M158" s="87">
        <f>+M136+M114+M92</f>
        <v/>
      </c>
      <c r="N158" s="87">
        <f>+N136+N114+N92</f>
        <v/>
      </c>
      <c r="O158" s="87">
        <f>+O136+O114+O92</f>
        <v/>
      </c>
      <c r="P158" s="87">
        <f>+P136+P114+P92</f>
        <v/>
      </c>
      <c r="Q158" s="87">
        <f>+Q136+Q114+Q92</f>
        <v/>
      </c>
      <c r="R158" s="1142">
        <f>+R136+R114+R92</f>
        <v/>
      </c>
      <c r="S158" s="87">
        <f>+S136+S114+S92</f>
        <v/>
      </c>
      <c r="T158" s="87">
        <f>+T136+T114+T92</f>
        <v/>
      </c>
      <c r="U158" s="87">
        <f>+U136+U114+U92</f>
        <v/>
      </c>
      <c r="V158" s="87">
        <f>+V136+V114+V92</f>
        <v/>
      </c>
      <c r="W158" s="87">
        <f>+W136+W114+W92</f>
        <v/>
      </c>
      <c r="X158" s="1142">
        <f>+X136+X114+X92</f>
        <v/>
      </c>
      <c r="Y158" s="87">
        <f>+Y136+Y114+Y92</f>
        <v/>
      </c>
      <c r="Z158" s="87">
        <f>+Z136+Z114+Z92</f>
        <v/>
      </c>
      <c r="AA158" s="87">
        <f>+AA136+AA114+AA92</f>
        <v/>
      </c>
      <c r="AB158" s="87">
        <f>+AB136+AB114+AB92</f>
        <v/>
      </c>
      <c r="AC158" s="87">
        <f>+AC136+AC114+AC92</f>
        <v/>
      </c>
      <c r="AD158" s="1142">
        <f>+AD136+AD114+AD92</f>
        <v/>
      </c>
      <c r="AE158" s="87">
        <f>+AE136+AE114+AE92</f>
        <v/>
      </c>
      <c r="AF158" s="87">
        <f>+AF136+AF114+AF92</f>
        <v/>
      </c>
      <c r="AG158" s="87">
        <f>+AG136+AG114+AG92</f>
        <v/>
      </c>
      <c r="AH158" s="87">
        <f>+AH136+AH114+AH92</f>
        <v/>
      </c>
      <c r="AI158" s="87">
        <f>+AI136+AI114+AI92</f>
        <v/>
      </c>
      <c r="AJ158" s="1142">
        <f>+AJ136+AJ114+AJ92</f>
        <v/>
      </c>
      <c r="AK158" s="87">
        <f>+AK136+AK114+AK92</f>
        <v/>
      </c>
      <c r="AL158" s="87">
        <f>+AL136+AL114+AL92</f>
        <v/>
      </c>
      <c r="AM158" s="87">
        <f>+AM136+AM114+AM92</f>
        <v/>
      </c>
      <c r="AN158" s="87">
        <f>+AN136+AN114+AN92</f>
        <v/>
      </c>
      <c r="AO158" s="87">
        <f>+AO136+AO114+AO92</f>
        <v/>
      </c>
      <c r="AP158" s="1142">
        <f>+AP136+AP114+AP92</f>
        <v/>
      </c>
      <c r="AQ158" s="87">
        <f>+AQ136+AQ114+AQ92</f>
        <v/>
      </c>
      <c r="AR158" s="87">
        <f>+AR136+AR114+AR92</f>
        <v/>
      </c>
      <c r="AS158" s="87">
        <f>+AS136+AS114+AS92</f>
        <v/>
      </c>
      <c r="AT158" s="87">
        <f>+AT136+AT114+AT92</f>
        <v/>
      </c>
      <c r="AU158" s="87">
        <f>+AU136+AU114+AU92</f>
        <v/>
      </c>
      <c r="AV158" s="1142">
        <f>+AV136+AV114+AV92</f>
        <v/>
      </c>
      <c r="AW158" s="87">
        <f>+AW136+AW114+AW92</f>
        <v/>
      </c>
      <c r="AX158" s="87">
        <f>+AX136+AX114+AX92</f>
        <v/>
      </c>
      <c r="AY158" s="87">
        <f>+AY136+AY114+AY92</f>
        <v/>
      </c>
      <c r="AZ158" s="87">
        <f>+AZ136+AZ114+AZ92</f>
        <v/>
      </c>
      <c r="BA158" s="87">
        <f>+BA136+BA114+BA92</f>
        <v/>
      </c>
      <c r="BB158" s="1142">
        <f>+BB136+BB114+BB92</f>
        <v/>
      </c>
      <c r="BC158" s="87">
        <f>+BC136+BC114+BC92</f>
        <v/>
      </c>
      <c r="BD158" s="87">
        <f>+BD136+BD114+BD92</f>
        <v/>
      </c>
      <c r="BE158" s="87">
        <f>+BE136+BE114+BE92</f>
        <v/>
      </c>
      <c r="BF158" s="87">
        <f>+BF136+BF114+BF92</f>
        <v/>
      </c>
      <c r="BG158" s="87">
        <f>+BG136+BG114+BG92</f>
        <v/>
      </c>
      <c r="BH158" s="1142">
        <f>+BH136+BH114+BH92</f>
        <v/>
      </c>
      <c r="BI158" s="87">
        <f>+BI136+BI114+BI92</f>
        <v/>
      </c>
      <c r="BJ158" s="87">
        <f>+BJ136+BJ114+BJ92</f>
        <v/>
      </c>
      <c r="BK158" s="87">
        <f>+BK136+BK114+BK92</f>
        <v/>
      </c>
      <c r="BL158" s="87">
        <f>+BL136+BL114+BL92</f>
        <v/>
      </c>
      <c r="BM158" s="87">
        <f>+BM136+BM114+BM92</f>
        <v/>
      </c>
      <c r="BN158" s="1142">
        <f>+BN136+BN114+BN92</f>
        <v/>
      </c>
    </row>
    <row r="159" ht="12.75" customHeight="1" s="1883">
      <c r="B159" s="56" t="n"/>
      <c r="C159" s="1141" t="inlineStr">
        <is>
          <t>Value of Order ($)</t>
        </is>
      </c>
      <c r="D159" s="55" t="n"/>
      <c r="E159" s="71">
        <f>+E137+E115+E93</f>
        <v/>
      </c>
      <c r="F159" s="71">
        <f>+F137+F115+F93</f>
        <v/>
      </c>
      <c r="G159" s="71">
        <f>+G137+G115+G93</f>
        <v/>
      </c>
      <c r="H159" s="71">
        <f>+H137+H115+H93</f>
        <v/>
      </c>
      <c r="I159" s="71">
        <f>+I137+I115+I93</f>
        <v/>
      </c>
      <c r="J159" s="71">
        <f>+J137+J115+J93</f>
        <v/>
      </c>
      <c r="K159" s="71">
        <f>+K137+K115+K93</f>
        <v/>
      </c>
      <c r="L159" s="1144">
        <f>+L137+L115+L93</f>
        <v/>
      </c>
      <c r="M159" s="71">
        <f>+M137+M115+M93</f>
        <v/>
      </c>
      <c r="N159" s="71">
        <f>+N137+N115+N93</f>
        <v/>
      </c>
      <c r="O159" s="71">
        <f>+O137+O115+O93</f>
        <v/>
      </c>
      <c r="P159" s="71">
        <f>+P137+P115+P93</f>
        <v/>
      </c>
      <c r="Q159" s="71">
        <f>+Q137+Q115+Q93</f>
        <v/>
      </c>
      <c r="R159" s="1144">
        <f>+R137+R115+R93</f>
        <v/>
      </c>
      <c r="S159" s="71">
        <f>+S137+S115+S93</f>
        <v/>
      </c>
      <c r="T159" s="71">
        <f>+T137+T115+T93</f>
        <v/>
      </c>
      <c r="U159" s="71">
        <f>+U137+U115+U93</f>
        <v/>
      </c>
      <c r="V159" s="71">
        <f>+V137+V115+V93</f>
        <v/>
      </c>
      <c r="W159" s="71">
        <f>+W137+W115+W93</f>
        <v/>
      </c>
      <c r="X159" s="1144">
        <f>+X137+X115+X93</f>
        <v/>
      </c>
      <c r="Y159" s="71">
        <f>+Y137+Y115+Y93</f>
        <v/>
      </c>
      <c r="Z159" s="71">
        <f>+Z137+Z115+Z93</f>
        <v/>
      </c>
      <c r="AA159" s="71">
        <f>+AA137+AA115+AA93</f>
        <v/>
      </c>
      <c r="AB159" s="71">
        <f>+AB137+AB115+AB93</f>
        <v/>
      </c>
      <c r="AC159" s="71">
        <f>+AC137+AC115+AC93</f>
        <v/>
      </c>
      <c r="AD159" s="1144">
        <f>+AD137+AD115+AD93</f>
        <v/>
      </c>
      <c r="AE159" s="71">
        <f>+AE137+AE115+AE93</f>
        <v/>
      </c>
      <c r="AF159" s="71">
        <f>+AF137+AF115+AF93</f>
        <v/>
      </c>
      <c r="AG159" s="71">
        <f>+AG137+AG115+AG93</f>
        <v/>
      </c>
      <c r="AH159" s="71">
        <f>+AH137+AH115+AH93</f>
        <v/>
      </c>
      <c r="AI159" s="71">
        <f>+AI137+AI115+AI93</f>
        <v/>
      </c>
      <c r="AJ159" s="1144">
        <f>+AJ137+AJ115+AJ93</f>
        <v/>
      </c>
      <c r="AK159" s="71">
        <f>+AK137+AK115+AK93</f>
        <v/>
      </c>
      <c r="AL159" s="71">
        <f>+AL137+AL115+AL93</f>
        <v/>
      </c>
      <c r="AM159" s="71">
        <f>+AM137+AM115+AM93</f>
        <v/>
      </c>
      <c r="AN159" s="71">
        <f>+AN137+AN115+AN93</f>
        <v/>
      </c>
      <c r="AO159" s="71">
        <f>+AO137+AO115+AO93</f>
        <v/>
      </c>
      <c r="AP159" s="1144">
        <f>+AP137+AP115+AP93</f>
        <v/>
      </c>
      <c r="AQ159" s="71">
        <f>+AQ137+AQ115+AQ93</f>
        <v/>
      </c>
      <c r="AR159" s="71">
        <f>+AR137+AR115+AR93</f>
        <v/>
      </c>
      <c r="AS159" s="71">
        <f>+AS137+AS115+AS93</f>
        <v/>
      </c>
      <c r="AT159" s="71">
        <f>+AT137+AT115+AT93</f>
        <v/>
      </c>
      <c r="AU159" s="71">
        <f>+AU137+AU115+AU93</f>
        <v/>
      </c>
      <c r="AV159" s="1144">
        <f>+AV137+AV115+AV93</f>
        <v/>
      </c>
      <c r="AW159" s="71">
        <f>+AW137+AW115+AW93</f>
        <v/>
      </c>
      <c r="AX159" s="71">
        <f>+AX137+AX115+AX93</f>
        <v/>
      </c>
      <c r="AY159" s="71">
        <f>+AY137+AY115+AY93</f>
        <v/>
      </c>
      <c r="AZ159" s="71">
        <f>+AZ137+AZ115+AZ93</f>
        <v/>
      </c>
      <c r="BA159" s="71">
        <f>+BA137+BA115+BA93</f>
        <v/>
      </c>
      <c r="BB159" s="1144">
        <f>+BB137+BB115+BB93</f>
        <v/>
      </c>
      <c r="BC159" s="71">
        <f>+BC137+BC115+BC93</f>
        <v/>
      </c>
      <c r="BD159" s="71">
        <f>+BD137+BD115+BD93</f>
        <v/>
      </c>
      <c r="BE159" s="71">
        <f>+BE137+BE115+BE93</f>
        <v/>
      </c>
      <c r="BF159" s="71">
        <f>+BF137+BF115+BF93</f>
        <v/>
      </c>
      <c r="BG159" s="71">
        <f>+BG137+BG115+BG93</f>
        <v/>
      </c>
      <c r="BH159" s="1144">
        <f>+BH137+BH115+BH93</f>
        <v/>
      </c>
      <c r="BI159" s="71">
        <f>+BI137+BI115+BI93</f>
        <v/>
      </c>
      <c r="BJ159" s="71">
        <f>+BJ137+BJ115+BJ93</f>
        <v/>
      </c>
      <c r="BK159" s="71">
        <f>+BK137+BK115+BK93</f>
        <v/>
      </c>
      <c r="BL159" s="71">
        <f>+BL137+BL115+BL93</f>
        <v/>
      </c>
      <c r="BM159" s="71">
        <f>+BM137+BM115+BM93</f>
        <v/>
      </c>
      <c r="BN159" s="1144">
        <f>+BN137+BN115+BN93</f>
        <v/>
      </c>
    </row>
    <row r="160" ht="12.75" customHeight="1" s="1883">
      <c r="B160" s="56" t="n"/>
      <c r="C160" s="1141" t="n"/>
      <c r="D160" s="55" t="n"/>
      <c r="E160" s="57" t="n"/>
      <c r="F160" s="57" t="n"/>
      <c r="G160" s="57" t="n"/>
      <c r="H160" s="57" t="n"/>
      <c r="I160" s="57" t="n"/>
      <c r="J160" s="57" t="n"/>
      <c r="K160" s="57" t="n"/>
      <c r="L160" s="1149" t="n"/>
      <c r="M160" s="57" t="n"/>
      <c r="N160" s="57" t="n"/>
      <c r="O160" s="57" t="n"/>
      <c r="P160" s="57" t="n"/>
      <c r="Q160" s="57" t="n"/>
      <c r="R160" s="1149" t="n"/>
      <c r="S160" s="57" t="n"/>
      <c r="T160" s="57" t="n"/>
      <c r="U160" s="57" t="n"/>
      <c r="V160" s="57" t="n"/>
      <c r="W160" s="57" t="n"/>
      <c r="X160" s="1149" t="n"/>
      <c r="Y160" s="57" t="n"/>
      <c r="Z160" s="57" t="n"/>
      <c r="AA160" s="57" t="n"/>
      <c r="AB160" s="57" t="n"/>
      <c r="AC160" s="57" t="n"/>
      <c r="AD160" s="1149" t="n"/>
      <c r="AE160" s="57" t="n"/>
      <c r="AF160" s="57" t="n"/>
      <c r="AG160" s="57" t="n"/>
      <c r="AH160" s="57" t="n"/>
      <c r="AI160" s="57" t="n"/>
      <c r="AJ160" s="1149" t="n"/>
      <c r="AK160" s="57" t="n"/>
      <c r="AL160" s="57" t="n"/>
      <c r="AM160" s="57" t="n"/>
      <c r="AN160" s="57" t="n"/>
      <c r="AO160" s="57" t="n"/>
      <c r="AP160" s="1149" t="n"/>
      <c r="AQ160" s="57" t="n"/>
      <c r="AR160" s="57" t="n"/>
      <c r="AS160" s="57" t="n"/>
      <c r="AT160" s="57" t="n"/>
      <c r="AU160" s="57" t="n"/>
      <c r="AV160" s="1149" t="n"/>
      <c r="AW160" s="57" t="n"/>
      <c r="AX160" s="57" t="n"/>
      <c r="AY160" s="57" t="n"/>
      <c r="AZ160" s="57" t="n"/>
      <c r="BA160" s="57" t="n"/>
      <c r="BB160" s="1149" t="n"/>
      <c r="BC160" s="57" t="n"/>
      <c r="BD160" s="57" t="n"/>
      <c r="BE160" s="57" t="n"/>
      <c r="BF160" s="57" t="n"/>
      <c r="BG160" s="57" t="n"/>
      <c r="BH160" s="1149" t="n"/>
      <c r="BI160" s="57" t="n"/>
      <c r="BJ160" s="57" t="n"/>
      <c r="BK160" s="57" t="n"/>
      <c r="BL160" s="57" t="n"/>
      <c r="BM160" s="57" t="n"/>
      <c r="BN160" s="1149" t="n"/>
    </row>
    <row r="161" ht="12.75" customHeight="1" s="1883">
      <c r="B161" s="56" t="n"/>
      <c r="C161" s="1141" t="inlineStr">
        <is>
          <t>Units Received - for Sale</t>
        </is>
      </c>
      <c r="D161" s="55" t="n"/>
      <c r="E161" s="87">
        <f>+E139+E117+E95</f>
        <v/>
      </c>
      <c r="F161" s="87">
        <f>+F139+F117+F95</f>
        <v/>
      </c>
      <c r="G161" s="87">
        <f>+G139+G117+G95</f>
        <v/>
      </c>
      <c r="H161" s="87">
        <f>+H139+H117+H95</f>
        <v/>
      </c>
      <c r="I161" s="87">
        <f>+I139+I117+I95</f>
        <v/>
      </c>
      <c r="J161" s="87">
        <f>+J139+J117+J95</f>
        <v/>
      </c>
      <c r="K161" s="87">
        <f>+K139+K117+K95</f>
        <v/>
      </c>
      <c r="L161" s="1142">
        <f>+L139+L117+L95</f>
        <v/>
      </c>
      <c r="M161" s="87">
        <f>+M139+M117+M95</f>
        <v/>
      </c>
      <c r="N161" s="87">
        <f>+N139+N117+N95</f>
        <v/>
      </c>
      <c r="O161" s="87">
        <f>+O139+O117+O95</f>
        <v/>
      </c>
      <c r="P161" s="87">
        <f>+P139+P117+P95</f>
        <v/>
      </c>
      <c r="Q161" s="87">
        <f>+Q139+Q117+Q95</f>
        <v/>
      </c>
      <c r="R161" s="1142">
        <f>+R139+R117+R95</f>
        <v/>
      </c>
      <c r="S161" s="87">
        <f>+S139+S117+S95</f>
        <v/>
      </c>
      <c r="T161" s="87">
        <f>+T139+T117+T95</f>
        <v/>
      </c>
      <c r="U161" s="87">
        <f>+U139+U117+U95</f>
        <v/>
      </c>
      <c r="V161" s="87">
        <f>+V139+V117+V95</f>
        <v/>
      </c>
      <c r="W161" s="87">
        <f>+W139+W117+W95</f>
        <v/>
      </c>
      <c r="X161" s="1142">
        <f>+X139+X117+X95</f>
        <v/>
      </c>
      <c r="Y161" s="87">
        <f>+Y139+Y117+Y95</f>
        <v/>
      </c>
      <c r="Z161" s="87">
        <f>+Z139+Z117+Z95</f>
        <v/>
      </c>
      <c r="AA161" s="87">
        <f>+AA139+AA117+AA95</f>
        <v/>
      </c>
      <c r="AB161" s="87">
        <f>+AB139+AB117+AB95</f>
        <v/>
      </c>
      <c r="AC161" s="87">
        <f>+AC139+AC117+AC95</f>
        <v/>
      </c>
      <c r="AD161" s="1142">
        <f>+AD139+AD117+AD95</f>
        <v/>
      </c>
      <c r="AE161" s="87">
        <f>+AE139+AE117+AE95</f>
        <v/>
      </c>
      <c r="AF161" s="87">
        <f>+AF139+AF117+AF95</f>
        <v/>
      </c>
      <c r="AG161" s="87">
        <f>+AG139+AG117+AG95</f>
        <v/>
      </c>
      <c r="AH161" s="87">
        <f>+AH139+AH117+AH95</f>
        <v/>
      </c>
      <c r="AI161" s="87">
        <f>+AI139+AI117+AI95</f>
        <v/>
      </c>
      <c r="AJ161" s="1142">
        <f>+AJ139+AJ117+AJ95</f>
        <v/>
      </c>
      <c r="AK161" s="87">
        <f>+AK139+AK117+AK95</f>
        <v/>
      </c>
      <c r="AL161" s="87">
        <f>+AL139+AL117+AL95</f>
        <v/>
      </c>
      <c r="AM161" s="87">
        <f>+AM139+AM117+AM95</f>
        <v/>
      </c>
      <c r="AN161" s="87">
        <f>+AN139+AN117+AN95</f>
        <v/>
      </c>
      <c r="AO161" s="87">
        <f>+AO139+AO117+AO95</f>
        <v/>
      </c>
      <c r="AP161" s="1142">
        <f>+AP139+AP117+AP95</f>
        <v/>
      </c>
      <c r="AQ161" s="87">
        <f>+AQ139+AQ117+AQ95</f>
        <v/>
      </c>
      <c r="AR161" s="87">
        <f>+AR139+AR117+AR95</f>
        <v/>
      </c>
      <c r="AS161" s="87">
        <f>+AS139+AS117+AS95</f>
        <v/>
      </c>
      <c r="AT161" s="87">
        <f>+AT139+AT117+AT95</f>
        <v/>
      </c>
      <c r="AU161" s="87">
        <f>+AU139+AU117+AU95</f>
        <v/>
      </c>
      <c r="AV161" s="1142">
        <f>+AV139+AV117+AV95</f>
        <v/>
      </c>
      <c r="AW161" s="87">
        <f>+AW139+AW117+AW95</f>
        <v/>
      </c>
      <c r="AX161" s="87">
        <f>+AX139+AX117+AX95</f>
        <v/>
      </c>
      <c r="AY161" s="87">
        <f>+AY139+AY117+AY95</f>
        <v/>
      </c>
      <c r="AZ161" s="87">
        <f>+AZ139+AZ117+AZ95</f>
        <v/>
      </c>
      <c r="BA161" s="87">
        <f>+BA139+BA117+BA95</f>
        <v/>
      </c>
      <c r="BB161" s="1142">
        <f>+BB139+BB117+BB95</f>
        <v/>
      </c>
      <c r="BC161" s="87">
        <f>+BC139+BC117+BC95</f>
        <v/>
      </c>
      <c r="BD161" s="87">
        <f>+BD139+BD117+BD95</f>
        <v/>
      </c>
      <c r="BE161" s="87">
        <f>+BE139+BE117+BE95</f>
        <v/>
      </c>
      <c r="BF161" s="87">
        <f>+BF139+BF117+BF95</f>
        <v/>
      </c>
      <c r="BG161" s="87">
        <f>+BG139+BG117+BG95</f>
        <v/>
      </c>
      <c r="BH161" s="1142">
        <f>+BH139+BH117+BH95</f>
        <v/>
      </c>
      <c r="BI161" s="87">
        <f>+BI139+BI117+BI95</f>
        <v/>
      </c>
      <c r="BJ161" s="87">
        <f>+BJ139+BJ117+BJ95</f>
        <v/>
      </c>
      <c r="BK161" s="87">
        <f>+BK139+BK117+BK95</f>
        <v/>
      </c>
      <c r="BL161" s="87">
        <f>+BL139+BL117+BL95</f>
        <v/>
      </c>
      <c r="BM161" s="87">
        <f>+BM139+BM117+BM95</f>
        <v/>
      </c>
      <c r="BN161" s="1142">
        <f>+BN139+BN117+BN95</f>
        <v/>
      </c>
    </row>
    <row r="162" ht="12.75" customHeight="1" s="1883">
      <c r="B162" s="56" t="n"/>
      <c r="C162" s="1038" t="n"/>
      <c r="D162" s="55" t="n"/>
      <c r="E162" s="57" t="n"/>
      <c r="F162" s="57" t="n"/>
      <c r="G162" s="57" t="n"/>
      <c r="H162" s="57" t="n"/>
      <c r="I162" s="57" t="n"/>
      <c r="J162" s="57" t="n"/>
      <c r="K162" s="57" t="n"/>
      <c r="L162" s="1149" t="n"/>
      <c r="M162" s="57" t="n"/>
      <c r="N162" s="57" t="n"/>
      <c r="O162" s="57" t="n"/>
      <c r="P162" s="57" t="n"/>
      <c r="Q162" s="57" t="n"/>
      <c r="R162" s="1149" t="n"/>
      <c r="S162" s="57" t="n"/>
      <c r="T162" s="57" t="n"/>
      <c r="U162" s="57" t="n"/>
      <c r="V162" s="57" t="n"/>
      <c r="W162" s="57" t="n"/>
      <c r="X162" s="1149" t="n"/>
      <c r="Y162" s="57" t="n"/>
      <c r="Z162" s="57" t="n"/>
      <c r="AA162" s="57" t="n"/>
      <c r="AB162" s="57" t="n"/>
      <c r="AC162" s="57" t="n"/>
      <c r="AD162" s="1149" t="n"/>
      <c r="AE162" s="57" t="n"/>
      <c r="AF162" s="57" t="n"/>
      <c r="AG162" s="57" t="n"/>
      <c r="AH162" s="57" t="n"/>
      <c r="AI162" s="57" t="n"/>
      <c r="AJ162" s="1149" t="n"/>
      <c r="AK162" s="57" t="n"/>
      <c r="AL162" s="57" t="n"/>
      <c r="AM162" s="57" t="n"/>
      <c r="AN162" s="57" t="n"/>
      <c r="AO162" s="57" t="n"/>
      <c r="AP162" s="1149" t="n"/>
      <c r="AQ162" s="57" t="n"/>
      <c r="AR162" s="57" t="n"/>
      <c r="AS162" s="57" t="n"/>
      <c r="AT162" s="57" t="n"/>
      <c r="AU162" s="57" t="n"/>
      <c r="AV162" s="1149" t="n"/>
      <c r="AW162" s="57" t="n"/>
      <c r="AX162" s="57" t="n"/>
      <c r="AY162" s="57" t="n"/>
      <c r="AZ162" s="57" t="n"/>
      <c r="BA162" s="57" t="n"/>
      <c r="BB162" s="1149" t="n"/>
      <c r="BC162" s="57" t="n"/>
      <c r="BD162" s="57" t="n"/>
      <c r="BE162" s="57" t="n"/>
      <c r="BF162" s="57" t="n"/>
      <c r="BG162" s="57" t="n"/>
      <c r="BH162" s="1149" t="n"/>
      <c r="BI162" s="57" t="n"/>
      <c r="BJ162" s="57" t="n"/>
      <c r="BK162" s="57" t="n"/>
      <c r="BL162" s="57" t="n"/>
      <c r="BM162" s="57" t="n"/>
      <c r="BN162" s="1149" t="n"/>
    </row>
    <row r="163" ht="12.75" customHeight="1" s="1883">
      <c r="B163" s="56" t="inlineStr">
        <is>
          <t>BS</t>
        </is>
      </c>
      <c r="C163" s="1114" t="inlineStr">
        <is>
          <t>Total Inventory Value - for Sale</t>
        </is>
      </c>
      <c r="D163" s="55" t="n"/>
      <c r="E163" s="198">
        <f>+E141+E119+E97</f>
        <v/>
      </c>
      <c r="F163" s="198">
        <f>+F141+F119+F97</f>
        <v/>
      </c>
      <c r="G163" s="198">
        <f>+G141+G119+G97</f>
        <v/>
      </c>
      <c r="H163" s="198">
        <f>+H141+H119+H97</f>
        <v/>
      </c>
      <c r="I163" s="198">
        <f>+I141+I119+I97</f>
        <v/>
      </c>
      <c r="J163" s="198">
        <f>+J141+J119+J97</f>
        <v/>
      </c>
      <c r="K163" s="198">
        <f>+K141+K119+K97</f>
        <v/>
      </c>
      <c r="L163" s="1145">
        <f>+L141+L119+L97</f>
        <v/>
      </c>
      <c r="M163" s="198">
        <f>+M141+M119+M97</f>
        <v/>
      </c>
      <c r="N163" s="198">
        <f>+N141+N119+N97</f>
        <v/>
      </c>
      <c r="O163" s="198">
        <f>+O141+O119+O97</f>
        <v/>
      </c>
      <c r="P163" s="198">
        <f>+P141+P119+P97</f>
        <v/>
      </c>
      <c r="Q163" s="198">
        <f>+Q141+Q119+Q97</f>
        <v/>
      </c>
      <c r="R163" s="1145">
        <f>+R141+R119+R97</f>
        <v/>
      </c>
      <c r="S163" s="198">
        <f>+S141+S119+S97</f>
        <v/>
      </c>
      <c r="T163" s="198">
        <f>+T141+T119+T97</f>
        <v/>
      </c>
      <c r="U163" s="198">
        <f>+U141+U119+U97</f>
        <v/>
      </c>
      <c r="V163" s="198">
        <f>+V141+V119+V97</f>
        <v/>
      </c>
      <c r="W163" s="198">
        <f>+W141+W119+W97</f>
        <v/>
      </c>
      <c r="X163" s="1145">
        <f>+X141+X119+X97</f>
        <v/>
      </c>
      <c r="Y163" s="198">
        <f>+Y141+Y119+Y97</f>
        <v/>
      </c>
      <c r="Z163" s="198">
        <f>+Z141+Z119+Z97</f>
        <v/>
      </c>
      <c r="AA163" s="198">
        <f>+AA141+AA119+AA97</f>
        <v/>
      </c>
      <c r="AB163" s="198">
        <f>+AB141+AB119+AB97</f>
        <v/>
      </c>
      <c r="AC163" s="198">
        <f>+AC141+AC119+AC97</f>
        <v/>
      </c>
      <c r="AD163" s="1145">
        <f>+AD141+AD119+AD97</f>
        <v/>
      </c>
      <c r="AE163" s="198">
        <f>+AE141+AE119+AE97</f>
        <v/>
      </c>
      <c r="AF163" s="198">
        <f>+AF141+AF119+AF97</f>
        <v/>
      </c>
      <c r="AG163" s="198">
        <f>+AG141+AG119+AG97</f>
        <v/>
      </c>
      <c r="AH163" s="198">
        <f>+AH141+AH119+AH97</f>
        <v/>
      </c>
      <c r="AI163" s="198">
        <f>+AI141+AI119+AI97</f>
        <v/>
      </c>
      <c r="AJ163" s="1145">
        <f>+AJ141+AJ119+AJ97</f>
        <v/>
      </c>
      <c r="AK163" s="198">
        <f>+AK141+AK119+AK97</f>
        <v/>
      </c>
      <c r="AL163" s="198">
        <f>+AL141+AL119+AL97</f>
        <v/>
      </c>
      <c r="AM163" s="198">
        <f>+AM141+AM119+AM97</f>
        <v/>
      </c>
      <c r="AN163" s="198">
        <f>+AN141+AN119+AN97</f>
        <v/>
      </c>
      <c r="AO163" s="198">
        <f>+AO141+AO119+AO97</f>
        <v/>
      </c>
      <c r="AP163" s="1145">
        <f>+AP141+AP119+AP97</f>
        <v/>
      </c>
      <c r="AQ163" s="198">
        <f>+AQ141+AQ119+AQ97</f>
        <v/>
      </c>
      <c r="AR163" s="198">
        <f>+AR141+AR119+AR97</f>
        <v/>
      </c>
      <c r="AS163" s="198">
        <f>+AS141+AS119+AS97</f>
        <v/>
      </c>
      <c r="AT163" s="198">
        <f>+AT141+AT119+AT97</f>
        <v/>
      </c>
      <c r="AU163" s="198">
        <f>+AU141+AU119+AU97</f>
        <v/>
      </c>
      <c r="AV163" s="1145">
        <f>+AV141+AV119+AV97</f>
        <v/>
      </c>
      <c r="AW163" s="198">
        <f>+AW141+AW119+AW97</f>
        <v/>
      </c>
      <c r="AX163" s="198">
        <f>+AX141+AX119+AX97</f>
        <v/>
      </c>
      <c r="AY163" s="198">
        <f>+AY141+AY119+AY97</f>
        <v/>
      </c>
      <c r="AZ163" s="198">
        <f>+AZ141+AZ119+AZ97</f>
        <v/>
      </c>
      <c r="BA163" s="198">
        <f>+BA141+BA119+BA97</f>
        <v/>
      </c>
      <c r="BB163" s="1145">
        <f>+BB141+BB119+BB97</f>
        <v/>
      </c>
      <c r="BC163" s="198">
        <f>+BC141+BC119+BC97</f>
        <v/>
      </c>
      <c r="BD163" s="198">
        <f>+BD141+BD119+BD97</f>
        <v/>
      </c>
      <c r="BE163" s="198">
        <f>+BE141+BE119+BE97</f>
        <v/>
      </c>
      <c r="BF163" s="198">
        <f>+BF141+BF119+BF97</f>
        <v/>
      </c>
      <c r="BG163" s="198">
        <f>+BG141+BG119+BG97</f>
        <v/>
      </c>
      <c r="BH163" s="1145">
        <f>+BH141+BH119+BH97</f>
        <v/>
      </c>
      <c r="BI163" s="198">
        <f>+BI141+BI119+BI97</f>
        <v/>
      </c>
      <c r="BJ163" s="198">
        <f>+BJ141+BJ119+BJ97</f>
        <v/>
      </c>
      <c r="BK163" s="198">
        <f>+BK141+BK119+BK97</f>
        <v/>
      </c>
      <c r="BL163" s="198">
        <f>+BL141+BL119+BL97</f>
        <v/>
      </c>
      <c r="BM163" s="198">
        <f>+BM141+BM119+BM97</f>
        <v/>
      </c>
      <c r="BN163" s="1145">
        <f>+BN141+BN119+BN97</f>
        <v/>
      </c>
    </row>
    <row r="164" ht="12.75" customHeight="1" s="1883">
      <c r="B164" s="56" t="n"/>
      <c r="C164" s="1038" t="n"/>
      <c r="D164" s="55" t="n"/>
      <c r="E164" s="57" t="n"/>
      <c r="F164" s="57" t="n"/>
      <c r="G164" s="57" t="n"/>
      <c r="H164" s="57" t="n"/>
      <c r="I164" s="57" t="n"/>
      <c r="J164" s="57" t="n"/>
      <c r="K164" s="57" t="n"/>
      <c r="L164" s="1149" t="n"/>
      <c r="M164" s="57" t="n"/>
      <c r="N164" s="57" t="n"/>
      <c r="O164" s="57" t="n"/>
      <c r="P164" s="57" t="n"/>
      <c r="Q164" s="57" t="n"/>
      <c r="R164" s="1149" t="n"/>
      <c r="S164" s="57" t="n"/>
      <c r="T164" s="57" t="n"/>
      <c r="U164" s="57" t="n"/>
      <c r="V164" s="57" t="n"/>
      <c r="W164" s="57" t="n"/>
      <c r="X164" s="1149" t="n"/>
      <c r="Y164" s="57" t="n"/>
      <c r="Z164" s="57" t="n"/>
      <c r="AA164" s="57" t="n"/>
      <c r="AB164" s="57" t="n"/>
      <c r="AC164" s="57" t="n"/>
      <c r="AD164" s="1149" t="n"/>
      <c r="AE164" s="57" t="n"/>
      <c r="AF164" s="57" t="n"/>
      <c r="AG164" s="57" t="n"/>
      <c r="AH164" s="57" t="n"/>
      <c r="AI164" s="57" t="n"/>
      <c r="AJ164" s="1149" t="n"/>
      <c r="AK164" s="57" t="n"/>
      <c r="AL164" s="57" t="n"/>
      <c r="AM164" s="57" t="n"/>
      <c r="AN164" s="57" t="n"/>
      <c r="AO164" s="57" t="n"/>
      <c r="AP164" s="1149" t="n"/>
      <c r="AQ164" s="57" t="n"/>
      <c r="AR164" s="57" t="n"/>
      <c r="AS164" s="57" t="n"/>
      <c r="AT164" s="57" t="n"/>
      <c r="AU164" s="57" t="n"/>
      <c r="AV164" s="1149" t="n"/>
      <c r="AW164" s="57" t="n"/>
      <c r="AX164" s="57" t="n"/>
      <c r="AY164" s="57" t="n"/>
      <c r="AZ164" s="57" t="n"/>
      <c r="BA164" s="57" t="n"/>
      <c r="BB164" s="1149" t="n"/>
      <c r="BC164" s="57" t="n"/>
      <c r="BD164" s="57" t="n"/>
      <c r="BE164" s="57" t="n"/>
      <c r="BF164" s="57" t="n"/>
      <c r="BG164" s="57" t="n"/>
      <c r="BH164" s="1149" t="n"/>
      <c r="BI164" s="57" t="n"/>
      <c r="BJ164" s="57" t="n"/>
      <c r="BK164" s="57" t="n"/>
      <c r="BL164" s="57" t="n"/>
      <c r="BM164" s="57" t="n"/>
      <c r="BN164" s="1149" t="n"/>
    </row>
    <row r="165" ht="12.75" customHeight="1" s="1883">
      <c r="B165" s="56" t="n"/>
      <c r="C165" s="1141" t="inlineStr">
        <is>
          <t>Units Ordered - for Warranty</t>
        </is>
      </c>
      <c r="D165" s="55" t="n"/>
      <c r="E165" s="87">
        <f>+E143+E121+E99</f>
        <v/>
      </c>
      <c r="F165" s="87">
        <f>+F143+F121+F99</f>
        <v/>
      </c>
      <c r="G165" s="87">
        <f>+G143+G121+G99</f>
        <v/>
      </c>
      <c r="H165" s="87">
        <f>+H143+H121+H99</f>
        <v/>
      </c>
      <c r="I165" s="87">
        <f>+I143+I121+I99</f>
        <v/>
      </c>
      <c r="J165" s="87">
        <f>+J143+J121+J99</f>
        <v/>
      </c>
      <c r="K165" s="87">
        <f>+K143+K121+K99</f>
        <v/>
      </c>
      <c r="L165" s="1142">
        <f>+L143+L121+L99</f>
        <v/>
      </c>
      <c r="M165" s="87">
        <f>+M143+M121+M99</f>
        <v/>
      </c>
      <c r="N165" s="87">
        <f>+N143+N121+N99</f>
        <v/>
      </c>
      <c r="O165" s="87">
        <f>+O143+O121+O99</f>
        <v/>
      </c>
      <c r="P165" s="87">
        <f>+P143+P121+P99</f>
        <v/>
      </c>
      <c r="Q165" s="87">
        <f>+Q143+Q121+Q99</f>
        <v/>
      </c>
      <c r="R165" s="1142">
        <f>+R143+R121+R99</f>
        <v/>
      </c>
      <c r="S165" s="87">
        <f>+S143+S121+S99</f>
        <v/>
      </c>
      <c r="T165" s="87">
        <f>+T143+T121+T99</f>
        <v/>
      </c>
      <c r="U165" s="87">
        <f>+U143+U121+U99</f>
        <v/>
      </c>
      <c r="V165" s="87">
        <f>+V143+V121+V99</f>
        <v/>
      </c>
      <c r="W165" s="87">
        <f>+W143+W121+W99</f>
        <v/>
      </c>
      <c r="X165" s="1142">
        <f>+X143+X121+X99</f>
        <v/>
      </c>
      <c r="Y165" s="87">
        <f>+Y143+Y121+Y99</f>
        <v/>
      </c>
      <c r="Z165" s="87">
        <f>+Z143+Z121+Z99</f>
        <v/>
      </c>
      <c r="AA165" s="87">
        <f>+AA143+AA121+AA99</f>
        <v/>
      </c>
      <c r="AB165" s="87">
        <f>+AB143+AB121+AB99</f>
        <v/>
      </c>
      <c r="AC165" s="87">
        <f>+AC143+AC121+AC99</f>
        <v/>
      </c>
      <c r="AD165" s="1142">
        <f>+AD143+AD121+AD99</f>
        <v/>
      </c>
      <c r="AE165" s="87">
        <f>+AE143+AE121+AE99</f>
        <v/>
      </c>
      <c r="AF165" s="87">
        <f>+AF143+AF121+AF99</f>
        <v/>
      </c>
      <c r="AG165" s="87">
        <f>+AG143+AG121+AG99</f>
        <v/>
      </c>
      <c r="AH165" s="87">
        <f>+AH143+AH121+AH99</f>
        <v/>
      </c>
      <c r="AI165" s="87">
        <f>+AI143+AI121+AI99</f>
        <v/>
      </c>
      <c r="AJ165" s="1142">
        <f>+AJ143+AJ121+AJ99</f>
        <v/>
      </c>
      <c r="AK165" s="87">
        <f>+AK143+AK121+AK99</f>
        <v/>
      </c>
      <c r="AL165" s="87">
        <f>+AL143+AL121+AL99</f>
        <v/>
      </c>
      <c r="AM165" s="87">
        <f>+AM143+AM121+AM99</f>
        <v/>
      </c>
      <c r="AN165" s="87">
        <f>+AN143+AN121+AN99</f>
        <v/>
      </c>
      <c r="AO165" s="87">
        <f>+AO143+AO121+AO99</f>
        <v/>
      </c>
      <c r="AP165" s="1142">
        <f>+AP143+AP121+AP99</f>
        <v/>
      </c>
      <c r="AQ165" s="87">
        <f>+AQ143+AQ121+AQ99</f>
        <v/>
      </c>
      <c r="AR165" s="87">
        <f>+AR143+AR121+AR99</f>
        <v/>
      </c>
      <c r="AS165" s="87">
        <f>+AS143+AS121+AS99</f>
        <v/>
      </c>
      <c r="AT165" s="87">
        <f>+AT143+AT121+AT99</f>
        <v/>
      </c>
      <c r="AU165" s="87">
        <f>+AU143+AU121+AU99</f>
        <v/>
      </c>
      <c r="AV165" s="1142">
        <f>+AV143+AV121+AV99</f>
        <v/>
      </c>
      <c r="AW165" s="87">
        <f>+AW143+AW121+AW99</f>
        <v/>
      </c>
      <c r="AX165" s="87">
        <f>+AX143+AX121+AX99</f>
        <v/>
      </c>
      <c r="AY165" s="87">
        <f>+AY143+AY121+AY99</f>
        <v/>
      </c>
      <c r="AZ165" s="87">
        <f>+AZ143+AZ121+AZ99</f>
        <v/>
      </c>
      <c r="BA165" s="87">
        <f>+BA143+BA121+BA99</f>
        <v/>
      </c>
      <c r="BB165" s="1142">
        <f>+BB143+BB121+BB99</f>
        <v/>
      </c>
      <c r="BC165" s="87">
        <f>+BC143+BC121+BC99</f>
        <v/>
      </c>
      <c r="BD165" s="87">
        <f>+BD143+BD121+BD99</f>
        <v/>
      </c>
      <c r="BE165" s="87">
        <f>+BE143+BE121+BE99</f>
        <v/>
      </c>
      <c r="BF165" s="87">
        <f>+BF143+BF121+BF99</f>
        <v/>
      </c>
      <c r="BG165" s="87">
        <f>+BG143+BG121+BG99</f>
        <v/>
      </c>
      <c r="BH165" s="1142">
        <f>+BH143+BH121+BH99</f>
        <v/>
      </c>
      <c r="BI165" s="87">
        <f>+BI143+BI121+BI99</f>
        <v/>
      </c>
      <c r="BJ165" s="87">
        <f>+BJ143+BJ121+BJ99</f>
        <v/>
      </c>
      <c r="BK165" s="87">
        <f>+BK143+BK121+BK99</f>
        <v/>
      </c>
      <c r="BL165" s="87">
        <f>+BL143+BL121+BL99</f>
        <v/>
      </c>
      <c r="BM165" s="87">
        <f>+BM143+BM121+BM99</f>
        <v/>
      </c>
      <c r="BN165" s="1142">
        <f>+BN143+BN121+BN99</f>
        <v/>
      </c>
    </row>
    <row r="166" ht="12.75" customHeight="1" s="1883">
      <c r="B166" s="56" t="n"/>
      <c r="C166" s="1141" t="inlineStr">
        <is>
          <t>Value of Order ($)</t>
        </is>
      </c>
      <c r="D166" s="55" t="n"/>
      <c r="E166" s="71">
        <f>+E144+E122+E100</f>
        <v/>
      </c>
      <c r="F166" s="71">
        <f>+F144+F122+F100</f>
        <v/>
      </c>
      <c r="G166" s="71">
        <f>+G144+G122+G100</f>
        <v/>
      </c>
      <c r="H166" s="71">
        <f>+H144+H122+H100</f>
        <v/>
      </c>
      <c r="I166" s="71">
        <f>+I144+I122+I100</f>
        <v/>
      </c>
      <c r="J166" s="71">
        <f>+J144+J122+J100</f>
        <v/>
      </c>
      <c r="K166" s="71">
        <f>+K144+K122+K100</f>
        <v/>
      </c>
      <c r="L166" s="1144">
        <f>+L144+L122+L100</f>
        <v/>
      </c>
      <c r="M166" s="71">
        <f>+M144+M122+M100</f>
        <v/>
      </c>
      <c r="N166" s="71">
        <f>+N144+N122+N100</f>
        <v/>
      </c>
      <c r="O166" s="71">
        <f>+O144+O122+O100</f>
        <v/>
      </c>
      <c r="P166" s="71">
        <f>+P144+P122+P100</f>
        <v/>
      </c>
      <c r="Q166" s="71">
        <f>+Q144+Q122+Q100</f>
        <v/>
      </c>
      <c r="R166" s="1144">
        <f>+R144+R122+R100</f>
        <v/>
      </c>
      <c r="S166" s="71">
        <f>+S144+S122+S100</f>
        <v/>
      </c>
      <c r="T166" s="71">
        <f>+T144+T122+T100</f>
        <v/>
      </c>
      <c r="U166" s="71">
        <f>+U144+U122+U100</f>
        <v/>
      </c>
      <c r="V166" s="71">
        <f>+V144+V122+V100</f>
        <v/>
      </c>
      <c r="W166" s="71">
        <f>+W144+W122+W100</f>
        <v/>
      </c>
      <c r="X166" s="1144">
        <f>+X144+X122+X100</f>
        <v/>
      </c>
      <c r="Y166" s="71">
        <f>+Y144+Y122+Y100</f>
        <v/>
      </c>
      <c r="Z166" s="71">
        <f>+Z144+Z122+Z100</f>
        <v/>
      </c>
      <c r="AA166" s="71">
        <f>+AA144+AA122+AA100</f>
        <v/>
      </c>
      <c r="AB166" s="71">
        <f>+AB144+AB122+AB100</f>
        <v/>
      </c>
      <c r="AC166" s="71">
        <f>+AC144+AC122+AC100</f>
        <v/>
      </c>
      <c r="AD166" s="1144">
        <f>+AD144+AD122+AD100</f>
        <v/>
      </c>
      <c r="AE166" s="71">
        <f>+AE144+AE122+AE100</f>
        <v/>
      </c>
      <c r="AF166" s="71">
        <f>+AF144+AF122+AF100</f>
        <v/>
      </c>
      <c r="AG166" s="71">
        <f>+AG144+AG122+AG100</f>
        <v/>
      </c>
      <c r="AH166" s="71">
        <f>+AH144+AH122+AH100</f>
        <v/>
      </c>
      <c r="AI166" s="71">
        <f>+AI144+AI122+AI100</f>
        <v/>
      </c>
      <c r="AJ166" s="1144">
        <f>+AJ144+AJ122+AJ100</f>
        <v/>
      </c>
      <c r="AK166" s="71">
        <f>+AK144+AK122+AK100</f>
        <v/>
      </c>
      <c r="AL166" s="71">
        <f>+AL144+AL122+AL100</f>
        <v/>
      </c>
      <c r="AM166" s="71">
        <f>+AM144+AM122+AM100</f>
        <v/>
      </c>
      <c r="AN166" s="71">
        <f>+AN144+AN122+AN100</f>
        <v/>
      </c>
      <c r="AO166" s="71">
        <f>+AO144+AO122+AO100</f>
        <v/>
      </c>
      <c r="AP166" s="1144">
        <f>+AP144+AP122+AP100</f>
        <v/>
      </c>
      <c r="AQ166" s="71">
        <f>+AQ144+AQ122+AQ100</f>
        <v/>
      </c>
      <c r="AR166" s="71">
        <f>+AR144+AR122+AR100</f>
        <v/>
      </c>
      <c r="AS166" s="71">
        <f>+AS144+AS122+AS100</f>
        <v/>
      </c>
      <c r="AT166" s="71">
        <f>+AT144+AT122+AT100</f>
        <v/>
      </c>
      <c r="AU166" s="71">
        <f>+AU144+AU122+AU100</f>
        <v/>
      </c>
      <c r="AV166" s="1144">
        <f>+AV144+AV122+AV100</f>
        <v/>
      </c>
      <c r="AW166" s="71">
        <f>+AW144+AW122+AW100</f>
        <v/>
      </c>
      <c r="AX166" s="71">
        <f>+AX144+AX122+AX100</f>
        <v/>
      </c>
      <c r="AY166" s="71">
        <f>+AY144+AY122+AY100</f>
        <v/>
      </c>
      <c r="AZ166" s="71">
        <f>+AZ144+AZ122+AZ100</f>
        <v/>
      </c>
      <c r="BA166" s="71">
        <f>+BA144+BA122+BA100</f>
        <v/>
      </c>
      <c r="BB166" s="1144">
        <f>+BB144+BB122+BB100</f>
        <v/>
      </c>
      <c r="BC166" s="71">
        <f>+BC144+BC122+BC100</f>
        <v/>
      </c>
      <c r="BD166" s="71">
        <f>+BD144+BD122+BD100</f>
        <v/>
      </c>
      <c r="BE166" s="71">
        <f>+BE144+BE122+BE100</f>
        <v/>
      </c>
      <c r="BF166" s="71">
        <f>+BF144+BF122+BF100</f>
        <v/>
      </c>
      <c r="BG166" s="71">
        <f>+BG144+BG122+BG100</f>
        <v/>
      </c>
      <c r="BH166" s="1144">
        <f>+BH144+BH122+BH100</f>
        <v/>
      </c>
      <c r="BI166" s="71">
        <f>+BI144+BI122+BI100</f>
        <v/>
      </c>
      <c r="BJ166" s="71">
        <f>+BJ144+BJ122+BJ100</f>
        <v/>
      </c>
      <c r="BK166" s="71">
        <f>+BK144+BK122+BK100</f>
        <v/>
      </c>
      <c r="BL166" s="71">
        <f>+BL144+BL122+BL100</f>
        <v/>
      </c>
      <c r="BM166" s="71">
        <f>+BM144+BM122+BM100</f>
        <v/>
      </c>
      <c r="BN166" s="1144">
        <f>+BN144+BN122+BN100</f>
        <v/>
      </c>
    </row>
    <row r="167" ht="12.75" customHeight="1" s="1883">
      <c r="B167" s="56" t="n"/>
      <c r="C167" s="1141" t="n"/>
      <c r="D167" s="55" t="n"/>
      <c r="E167" s="57" t="n"/>
      <c r="F167" s="57" t="n"/>
      <c r="G167" s="57" t="n"/>
      <c r="H167" s="57" t="n"/>
      <c r="I167" s="57" t="n"/>
      <c r="J167" s="57" t="n"/>
      <c r="K167" s="57" t="n"/>
      <c r="L167" s="1149" t="n"/>
      <c r="M167" s="57" t="n"/>
      <c r="N167" s="57" t="n"/>
      <c r="O167" s="57" t="n"/>
      <c r="P167" s="57" t="n"/>
      <c r="Q167" s="57" t="n"/>
      <c r="R167" s="1149" t="n"/>
      <c r="S167" s="57" t="n"/>
      <c r="T167" s="57" t="n"/>
      <c r="U167" s="57" t="n"/>
      <c r="V167" s="57" t="n"/>
      <c r="W167" s="57" t="n"/>
      <c r="X167" s="1149" t="n"/>
      <c r="Y167" s="57" t="n"/>
      <c r="Z167" s="57" t="n"/>
      <c r="AA167" s="57" t="n"/>
      <c r="AB167" s="57" t="n"/>
      <c r="AC167" s="57" t="n"/>
      <c r="AD167" s="1149" t="n"/>
      <c r="AE167" s="57" t="n"/>
      <c r="AF167" s="57" t="n"/>
      <c r="AG167" s="57" t="n"/>
      <c r="AH167" s="57" t="n"/>
      <c r="AI167" s="57" t="n"/>
      <c r="AJ167" s="1149" t="n"/>
      <c r="AK167" s="57" t="n"/>
      <c r="AL167" s="57" t="n"/>
      <c r="AM167" s="57" t="n"/>
      <c r="AN167" s="57" t="n"/>
      <c r="AO167" s="57" t="n"/>
      <c r="AP167" s="1149" t="n"/>
      <c r="AQ167" s="57" t="n"/>
      <c r="AR167" s="57" t="n"/>
      <c r="AS167" s="57" t="n"/>
      <c r="AT167" s="57" t="n"/>
      <c r="AU167" s="57" t="n"/>
      <c r="AV167" s="1149" t="n"/>
      <c r="AW167" s="57" t="n"/>
      <c r="AX167" s="57" t="n"/>
      <c r="AY167" s="57" t="n"/>
      <c r="AZ167" s="57" t="n"/>
      <c r="BA167" s="57" t="n"/>
      <c r="BB167" s="1149" t="n"/>
      <c r="BC167" s="57" t="n"/>
      <c r="BD167" s="57" t="n"/>
      <c r="BE167" s="57" t="n"/>
      <c r="BF167" s="57" t="n"/>
      <c r="BG167" s="57" t="n"/>
      <c r="BH167" s="1149" t="n"/>
      <c r="BI167" s="57" t="n"/>
      <c r="BJ167" s="57" t="n"/>
      <c r="BK167" s="57" t="n"/>
      <c r="BL167" s="57" t="n"/>
      <c r="BM167" s="57" t="n"/>
      <c r="BN167" s="1149" t="n"/>
    </row>
    <row r="168" ht="12.75" customHeight="1" s="1883">
      <c r="B168" s="56" t="n"/>
      <c r="C168" s="1141" t="n"/>
      <c r="D168" s="55" t="n"/>
      <c r="E168" s="57" t="n"/>
      <c r="F168" s="57" t="n"/>
      <c r="G168" s="57" t="n"/>
      <c r="H168" s="57" t="n"/>
      <c r="I168" s="57" t="n"/>
      <c r="J168" s="57" t="n"/>
      <c r="K168" s="57" t="n"/>
      <c r="L168" s="1149" t="n"/>
      <c r="M168" s="57" t="n"/>
      <c r="N168" s="57" t="n"/>
      <c r="O168" s="57" t="n"/>
      <c r="P168" s="57" t="n"/>
      <c r="Q168" s="57" t="n"/>
      <c r="R168" s="1149" t="n"/>
      <c r="S168" s="57" t="n"/>
      <c r="T168" s="57" t="n"/>
      <c r="U168" s="57" t="n"/>
      <c r="V168" s="57" t="n"/>
      <c r="W168" s="57" t="n"/>
      <c r="X168" s="1149" t="n"/>
      <c r="Y168" s="57" t="n"/>
      <c r="Z168" s="57" t="n"/>
      <c r="AA168" s="57" t="n"/>
      <c r="AB168" s="57" t="n"/>
      <c r="AC168" s="57" t="n"/>
      <c r="AD168" s="1149" t="n"/>
      <c r="AE168" s="57" t="n"/>
      <c r="AF168" s="57" t="n"/>
      <c r="AG168" s="57" t="n"/>
      <c r="AH168" s="57" t="n"/>
      <c r="AI168" s="57" t="n"/>
      <c r="AJ168" s="1149" t="n"/>
      <c r="AK168" s="57" t="n"/>
      <c r="AL168" s="57" t="n"/>
      <c r="AM168" s="57" t="n"/>
      <c r="AN168" s="57" t="n"/>
      <c r="AO168" s="57" t="n"/>
      <c r="AP168" s="1149" t="n"/>
      <c r="AQ168" s="57" t="n"/>
      <c r="AR168" s="57" t="n"/>
      <c r="AS168" s="57" t="n"/>
      <c r="AT168" s="57" t="n"/>
      <c r="AU168" s="57" t="n"/>
      <c r="AV168" s="1149" t="n"/>
      <c r="AW168" s="57" t="n"/>
      <c r="AX168" s="57" t="n"/>
      <c r="AY168" s="57" t="n"/>
      <c r="AZ168" s="57" t="n"/>
      <c r="BA168" s="57" t="n"/>
      <c r="BB168" s="1149" t="n"/>
      <c r="BC168" s="57" t="n"/>
      <c r="BD168" s="57" t="n"/>
      <c r="BE168" s="57" t="n"/>
      <c r="BF168" s="57" t="n"/>
      <c r="BG168" s="57" t="n"/>
      <c r="BH168" s="1149" t="n"/>
      <c r="BI168" s="57" t="n"/>
      <c r="BJ168" s="57" t="n"/>
      <c r="BK168" s="57" t="n"/>
      <c r="BL168" s="57" t="n"/>
      <c r="BM168" s="57" t="n"/>
      <c r="BN168" s="1149" t="n"/>
    </row>
    <row r="169" ht="12.75" customHeight="1" s="1883">
      <c r="B169" s="56" t="n"/>
      <c r="C169" s="1141" t="inlineStr">
        <is>
          <t>Units for Warranty - Beg</t>
        </is>
      </c>
      <c r="D169" s="55" t="n"/>
      <c r="E169" s="87">
        <f>+E147+E125+E103</f>
        <v/>
      </c>
      <c r="F169" s="87">
        <f>+F147+F125+F103</f>
        <v/>
      </c>
      <c r="G169" s="87">
        <f>+G147+G125+G103</f>
        <v/>
      </c>
      <c r="H169" s="87">
        <f>+H147+H125+H103</f>
        <v/>
      </c>
      <c r="I169" s="87">
        <f>+I147+I125+I103</f>
        <v/>
      </c>
      <c r="J169" s="87">
        <f>+J147+J125+J103</f>
        <v/>
      </c>
      <c r="K169" s="87">
        <f>+K147+K125+K103</f>
        <v/>
      </c>
      <c r="L169" s="1142">
        <f>+L147+L125+L103</f>
        <v/>
      </c>
      <c r="M169" s="87">
        <f>+M147+M125+M103</f>
        <v/>
      </c>
      <c r="N169" s="87">
        <f>+N147+N125+N103</f>
        <v/>
      </c>
      <c r="O169" s="87">
        <f>+O147+O125+O103</f>
        <v/>
      </c>
      <c r="P169" s="87">
        <f>+P147+P125+P103</f>
        <v/>
      </c>
      <c r="Q169" s="87">
        <f>+Q147+Q125+Q103</f>
        <v/>
      </c>
      <c r="R169" s="1142">
        <f>+R147+R125+R103</f>
        <v/>
      </c>
      <c r="S169" s="87">
        <f>+S147+S125+S103</f>
        <v/>
      </c>
      <c r="T169" s="87">
        <f>+T147+T125+T103</f>
        <v/>
      </c>
      <c r="U169" s="87">
        <f>+U147+U125+U103</f>
        <v/>
      </c>
      <c r="V169" s="87">
        <f>+V147+V125+V103</f>
        <v/>
      </c>
      <c r="W169" s="87">
        <f>+W147+W125+W103</f>
        <v/>
      </c>
      <c r="X169" s="1142">
        <f>+X147+X125+X103</f>
        <v/>
      </c>
      <c r="Y169" s="87">
        <f>+Y147+Y125+Y103</f>
        <v/>
      </c>
      <c r="Z169" s="87">
        <f>+Z147+Z125+Z103</f>
        <v/>
      </c>
      <c r="AA169" s="87">
        <f>+AA147+AA125+AA103</f>
        <v/>
      </c>
      <c r="AB169" s="87">
        <f>+AB147+AB125+AB103</f>
        <v/>
      </c>
      <c r="AC169" s="87">
        <f>+AC147+AC125+AC103</f>
        <v/>
      </c>
      <c r="AD169" s="1142">
        <f>+AD147+AD125+AD103</f>
        <v/>
      </c>
      <c r="AE169" s="87">
        <f>+AE147+AE125+AE103</f>
        <v/>
      </c>
      <c r="AF169" s="87">
        <f>+AF147+AF125+AF103</f>
        <v/>
      </c>
      <c r="AG169" s="87">
        <f>+AG147+AG125+AG103</f>
        <v/>
      </c>
      <c r="AH169" s="87">
        <f>+AH147+AH125+AH103</f>
        <v/>
      </c>
      <c r="AI169" s="87">
        <f>+AI147+AI125+AI103</f>
        <v/>
      </c>
      <c r="AJ169" s="1142">
        <f>+AJ147+AJ125+AJ103</f>
        <v/>
      </c>
      <c r="AK169" s="87">
        <f>+AK147+AK125+AK103</f>
        <v/>
      </c>
      <c r="AL169" s="87">
        <f>+AL147+AL125+AL103</f>
        <v/>
      </c>
      <c r="AM169" s="87">
        <f>+AM147+AM125+AM103</f>
        <v/>
      </c>
      <c r="AN169" s="87">
        <f>+AN147+AN125+AN103</f>
        <v/>
      </c>
      <c r="AO169" s="87">
        <f>+AO147+AO125+AO103</f>
        <v/>
      </c>
      <c r="AP169" s="1142">
        <f>+AP147+AP125+AP103</f>
        <v/>
      </c>
      <c r="AQ169" s="87">
        <f>+AQ147+AQ125+AQ103</f>
        <v/>
      </c>
      <c r="AR169" s="87">
        <f>+AR147+AR125+AR103</f>
        <v/>
      </c>
      <c r="AS169" s="87">
        <f>+AS147+AS125+AS103</f>
        <v/>
      </c>
      <c r="AT169" s="87">
        <f>+AT147+AT125+AT103</f>
        <v/>
      </c>
      <c r="AU169" s="87">
        <f>+AU147+AU125+AU103</f>
        <v/>
      </c>
      <c r="AV169" s="1142">
        <f>+AV147+AV125+AV103</f>
        <v/>
      </c>
      <c r="AW169" s="87">
        <f>+AW147+AW125+AW103</f>
        <v/>
      </c>
      <c r="AX169" s="87">
        <f>+AX147+AX125+AX103</f>
        <v/>
      </c>
      <c r="AY169" s="87">
        <f>+AY147+AY125+AY103</f>
        <v/>
      </c>
      <c r="AZ169" s="87">
        <f>+AZ147+AZ125+AZ103</f>
        <v/>
      </c>
      <c r="BA169" s="87">
        <f>+BA147+BA125+BA103</f>
        <v/>
      </c>
      <c r="BB169" s="1142">
        <f>+BB147+BB125+BB103</f>
        <v/>
      </c>
      <c r="BC169" s="87">
        <f>+BC147+BC125+BC103</f>
        <v/>
      </c>
      <c r="BD169" s="87">
        <f>+BD147+BD125+BD103</f>
        <v/>
      </c>
      <c r="BE169" s="87">
        <f>+BE147+BE125+BE103</f>
        <v/>
      </c>
      <c r="BF169" s="87">
        <f>+BF147+BF125+BF103</f>
        <v/>
      </c>
      <c r="BG169" s="87">
        <f>+BG147+BG125+BG103</f>
        <v/>
      </c>
      <c r="BH169" s="1142">
        <f>+BH147+BH125+BH103</f>
        <v/>
      </c>
      <c r="BI169" s="87">
        <f>+BI147+BI125+BI103</f>
        <v/>
      </c>
      <c r="BJ169" s="87">
        <f>+BJ147+BJ125+BJ103</f>
        <v/>
      </c>
      <c r="BK169" s="87">
        <f>+BK147+BK125+BK103</f>
        <v/>
      </c>
      <c r="BL169" s="87">
        <f>+BL147+BL125+BL103</f>
        <v/>
      </c>
      <c r="BM169" s="87">
        <f>+BM147+BM125+BM103</f>
        <v/>
      </c>
      <c r="BN169" s="1142">
        <f>+BN147+BN125+BN103</f>
        <v/>
      </c>
    </row>
    <row r="170" ht="12.75" customHeight="1" s="1883">
      <c r="B170" s="56" t="n"/>
      <c r="C170" s="1141" t="inlineStr">
        <is>
          <t>Units Received - for Warranty</t>
        </is>
      </c>
      <c r="D170" s="55" t="n"/>
      <c r="E170" s="87">
        <f>+E148+E126+E104</f>
        <v/>
      </c>
      <c r="F170" s="87">
        <f>+F148+F126+F104</f>
        <v/>
      </c>
      <c r="G170" s="87">
        <f>+G148+G126+G104</f>
        <v/>
      </c>
      <c r="H170" s="87">
        <f>+H148+H126+H104</f>
        <v/>
      </c>
      <c r="I170" s="87">
        <f>+I148+I126+I104</f>
        <v/>
      </c>
      <c r="J170" s="87">
        <f>+J148+J126+J104</f>
        <v/>
      </c>
      <c r="K170" s="87">
        <f>+K148+K126+K104</f>
        <v/>
      </c>
      <c r="L170" s="1142">
        <f>+L148+L126+L104</f>
        <v/>
      </c>
      <c r="M170" s="87">
        <f>+M148+M126+M104</f>
        <v/>
      </c>
      <c r="N170" s="87">
        <f>+N148+N126+N104</f>
        <v/>
      </c>
      <c r="O170" s="87">
        <f>+O148+O126+O104</f>
        <v/>
      </c>
      <c r="P170" s="87">
        <f>+P148+P126+P104</f>
        <v/>
      </c>
      <c r="Q170" s="87">
        <f>+Q148+Q126+Q104</f>
        <v/>
      </c>
      <c r="R170" s="1142">
        <f>+R148+R126+R104</f>
        <v/>
      </c>
      <c r="S170" s="87">
        <f>+S148+S126+S104</f>
        <v/>
      </c>
      <c r="T170" s="87">
        <f>+T148+T126+T104</f>
        <v/>
      </c>
      <c r="U170" s="87">
        <f>+U148+U126+U104</f>
        <v/>
      </c>
      <c r="V170" s="87">
        <f>+V148+V126+V104</f>
        <v/>
      </c>
      <c r="W170" s="87">
        <f>+W148+W126+W104</f>
        <v/>
      </c>
      <c r="X170" s="1142">
        <f>+X148+X126+X104</f>
        <v/>
      </c>
      <c r="Y170" s="87">
        <f>+Y148+Y126+Y104</f>
        <v/>
      </c>
      <c r="Z170" s="87">
        <f>+Z148+Z126+Z104</f>
        <v/>
      </c>
      <c r="AA170" s="87">
        <f>+AA148+AA126+AA104</f>
        <v/>
      </c>
      <c r="AB170" s="87">
        <f>+AB148+AB126+AB104</f>
        <v/>
      </c>
      <c r="AC170" s="87">
        <f>+AC148+AC126+AC104</f>
        <v/>
      </c>
      <c r="AD170" s="1142">
        <f>+AD148+AD126+AD104</f>
        <v/>
      </c>
      <c r="AE170" s="87">
        <f>+AE148+AE126+AE104</f>
        <v/>
      </c>
      <c r="AF170" s="87">
        <f>+AF148+AF126+AF104</f>
        <v/>
      </c>
      <c r="AG170" s="87">
        <f>+AG148+AG126+AG104</f>
        <v/>
      </c>
      <c r="AH170" s="87">
        <f>+AH148+AH126+AH104</f>
        <v/>
      </c>
      <c r="AI170" s="87">
        <f>+AI148+AI126+AI104</f>
        <v/>
      </c>
      <c r="AJ170" s="1142">
        <f>+AJ148+AJ126+AJ104</f>
        <v/>
      </c>
      <c r="AK170" s="87">
        <f>+AK148+AK126+AK104</f>
        <v/>
      </c>
      <c r="AL170" s="87">
        <f>+AL148+AL126+AL104</f>
        <v/>
      </c>
      <c r="AM170" s="87">
        <f>+AM148+AM126+AM104</f>
        <v/>
      </c>
      <c r="AN170" s="87">
        <f>+AN148+AN126+AN104</f>
        <v/>
      </c>
      <c r="AO170" s="87">
        <f>+AO148+AO126+AO104</f>
        <v/>
      </c>
      <c r="AP170" s="1142">
        <f>+AP148+AP126+AP104</f>
        <v/>
      </c>
      <c r="AQ170" s="87">
        <f>+AQ148+AQ126+AQ104</f>
        <v/>
      </c>
      <c r="AR170" s="87">
        <f>+AR148+AR126+AR104</f>
        <v/>
      </c>
      <c r="AS170" s="87">
        <f>+AS148+AS126+AS104</f>
        <v/>
      </c>
      <c r="AT170" s="87">
        <f>+AT148+AT126+AT104</f>
        <v/>
      </c>
      <c r="AU170" s="87">
        <f>+AU148+AU126+AU104</f>
        <v/>
      </c>
      <c r="AV170" s="1142">
        <f>+AV148+AV126+AV104</f>
        <v/>
      </c>
      <c r="AW170" s="87">
        <f>+AW148+AW126+AW104</f>
        <v/>
      </c>
      <c r="AX170" s="87">
        <f>+AX148+AX126+AX104</f>
        <v/>
      </c>
      <c r="AY170" s="87">
        <f>+AY148+AY126+AY104</f>
        <v/>
      </c>
      <c r="AZ170" s="87">
        <f>+AZ148+AZ126+AZ104</f>
        <v/>
      </c>
      <c r="BA170" s="87">
        <f>+BA148+BA126+BA104</f>
        <v/>
      </c>
      <c r="BB170" s="1142">
        <f>+BB148+BB126+BB104</f>
        <v/>
      </c>
      <c r="BC170" s="87">
        <f>+BC148+BC126+BC104</f>
        <v/>
      </c>
      <c r="BD170" s="87">
        <f>+BD148+BD126+BD104</f>
        <v/>
      </c>
      <c r="BE170" s="87">
        <f>+BE148+BE126+BE104</f>
        <v/>
      </c>
      <c r="BF170" s="87">
        <f>+BF148+BF126+BF104</f>
        <v/>
      </c>
      <c r="BG170" s="87">
        <f>+BG148+BG126+BG104</f>
        <v/>
      </c>
      <c r="BH170" s="1142">
        <f>+BH148+BH126+BH104</f>
        <v/>
      </c>
      <c r="BI170" s="87">
        <f>+BI148+BI126+BI104</f>
        <v/>
      </c>
      <c r="BJ170" s="87">
        <f>+BJ148+BJ126+BJ104</f>
        <v/>
      </c>
      <c r="BK170" s="87">
        <f>+BK148+BK126+BK104</f>
        <v/>
      </c>
      <c r="BL170" s="87">
        <f>+BL148+BL126+BL104</f>
        <v/>
      </c>
      <c r="BM170" s="87">
        <f>+BM148+BM126+BM104</f>
        <v/>
      </c>
      <c r="BN170" s="1142">
        <f>+BN148+BN126+BN104</f>
        <v/>
      </c>
    </row>
    <row r="171" ht="12.75" customHeight="1" s="1883">
      <c r="B171" s="56" t="n"/>
      <c r="C171" s="1141" t="inlineStr">
        <is>
          <t>Units Delivered - Claims</t>
        </is>
      </c>
      <c r="D171" s="55" t="n"/>
      <c r="E171" s="87">
        <f>+E149+E127+E105</f>
        <v/>
      </c>
      <c r="F171" s="87">
        <f>+F149+F127+F105</f>
        <v/>
      </c>
      <c r="G171" s="87">
        <f>+G149+G127+G105</f>
        <v/>
      </c>
      <c r="H171" s="87">
        <f>+H149+H127+H105</f>
        <v/>
      </c>
      <c r="I171" s="87">
        <f>+I149+I127+I105</f>
        <v/>
      </c>
      <c r="J171" s="87">
        <f>+J149+J127+J105</f>
        <v/>
      </c>
      <c r="K171" s="87">
        <f>+K149+K127+K105</f>
        <v/>
      </c>
      <c r="L171" s="1142">
        <f>+L149+L127+L105</f>
        <v/>
      </c>
      <c r="M171" s="87">
        <f>+M149+M127+M105</f>
        <v/>
      </c>
      <c r="N171" s="87">
        <f>+N149+N127+N105</f>
        <v/>
      </c>
      <c r="O171" s="87">
        <f>+O149+O127+O105</f>
        <v/>
      </c>
      <c r="P171" s="87">
        <f>+P149+P127+P105</f>
        <v/>
      </c>
      <c r="Q171" s="87">
        <f>+Q149+Q127+Q105</f>
        <v/>
      </c>
      <c r="R171" s="1142">
        <f>+R149+R127+R105</f>
        <v/>
      </c>
      <c r="S171" s="87">
        <f>+S149+S127+S105</f>
        <v/>
      </c>
      <c r="T171" s="87">
        <f>+T149+T127+T105</f>
        <v/>
      </c>
      <c r="U171" s="87">
        <f>+U149+U127+U105</f>
        <v/>
      </c>
      <c r="V171" s="87">
        <f>+V149+V127+V105</f>
        <v/>
      </c>
      <c r="W171" s="87">
        <f>+W149+W127+W105</f>
        <v/>
      </c>
      <c r="X171" s="1142">
        <f>+X149+X127+X105</f>
        <v/>
      </c>
      <c r="Y171" s="87">
        <f>+Y149+Y127+Y105</f>
        <v/>
      </c>
      <c r="Z171" s="87">
        <f>+Z149+Z127+Z105</f>
        <v/>
      </c>
      <c r="AA171" s="87">
        <f>+AA149+AA127+AA105</f>
        <v/>
      </c>
      <c r="AB171" s="87">
        <f>+AB149+AB127+AB105</f>
        <v/>
      </c>
      <c r="AC171" s="87">
        <f>+AC149+AC127+AC105</f>
        <v/>
      </c>
      <c r="AD171" s="1142">
        <f>+AD149+AD127+AD105</f>
        <v/>
      </c>
      <c r="AE171" s="87">
        <f>+AE149+AE127+AE105</f>
        <v/>
      </c>
      <c r="AF171" s="87">
        <f>+AF149+AF127+AF105</f>
        <v/>
      </c>
      <c r="AG171" s="87">
        <f>+AG149+AG127+AG105</f>
        <v/>
      </c>
      <c r="AH171" s="87">
        <f>+AH149+AH127+AH105</f>
        <v/>
      </c>
      <c r="AI171" s="87">
        <f>+AI149+AI127+AI105</f>
        <v/>
      </c>
      <c r="AJ171" s="1142">
        <f>+AJ149+AJ127+AJ105</f>
        <v/>
      </c>
      <c r="AK171" s="87">
        <f>+AK149+AK127+AK105</f>
        <v/>
      </c>
      <c r="AL171" s="87">
        <f>+AL149+AL127+AL105</f>
        <v/>
      </c>
      <c r="AM171" s="87">
        <f>+AM149+AM127+AM105</f>
        <v/>
      </c>
      <c r="AN171" s="87">
        <f>+AN149+AN127+AN105</f>
        <v/>
      </c>
      <c r="AO171" s="87">
        <f>+AO149+AO127+AO105</f>
        <v/>
      </c>
      <c r="AP171" s="1142">
        <f>+AP149+AP127+AP105</f>
        <v/>
      </c>
      <c r="AQ171" s="87">
        <f>+AQ149+AQ127+AQ105</f>
        <v/>
      </c>
      <c r="AR171" s="87">
        <f>+AR149+AR127+AR105</f>
        <v/>
      </c>
      <c r="AS171" s="87">
        <f>+AS149+AS127+AS105</f>
        <v/>
      </c>
      <c r="AT171" s="87">
        <f>+AT149+AT127+AT105</f>
        <v/>
      </c>
      <c r="AU171" s="87">
        <f>+AU149+AU127+AU105</f>
        <v/>
      </c>
      <c r="AV171" s="1142">
        <f>+AV149+AV127+AV105</f>
        <v/>
      </c>
      <c r="AW171" s="87">
        <f>+AW149+AW127+AW105</f>
        <v/>
      </c>
      <c r="AX171" s="87">
        <f>+AX149+AX127+AX105</f>
        <v/>
      </c>
      <c r="AY171" s="87">
        <f>+AY149+AY127+AY105</f>
        <v/>
      </c>
      <c r="AZ171" s="87">
        <f>+AZ149+AZ127+AZ105</f>
        <v/>
      </c>
      <c r="BA171" s="87">
        <f>+BA149+BA127+BA105</f>
        <v/>
      </c>
      <c r="BB171" s="1142">
        <f>+BB149+BB127+BB105</f>
        <v/>
      </c>
      <c r="BC171" s="87">
        <f>+BC149+BC127+BC105</f>
        <v/>
      </c>
      <c r="BD171" s="87">
        <f>+BD149+BD127+BD105</f>
        <v/>
      </c>
      <c r="BE171" s="87">
        <f>+BE149+BE127+BE105</f>
        <v/>
      </c>
      <c r="BF171" s="87">
        <f>+BF149+BF127+BF105</f>
        <v/>
      </c>
      <c r="BG171" s="87">
        <f>+BG149+BG127+BG105</f>
        <v/>
      </c>
      <c r="BH171" s="1142">
        <f>+BH149+BH127+BH105</f>
        <v/>
      </c>
      <c r="BI171" s="87">
        <f>+BI149+BI127+BI105</f>
        <v/>
      </c>
      <c r="BJ171" s="87">
        <f>+BJ149+BJ127+BJ105</f>
        <v/>
      </c>
      <c r="BK171" s="87">
        <f>+BK149+BK127+BK105</f>
        <v/>
      </c>
      <c r="BL171" s="87">
        <f>+BL149+BL127+BL105</f>
        <v/>
      </c>
      <c r="BM171" s="87">
        <f>+BM149+BM127+BM105</f>
        <v/>
      </c>
      <c r="BN171" s="1142">
        <f>+BN149+BN127+BN105</f>
        <v/>
      </c>
    </row>
    <row r="172" ht="12.75" customHeight="1" s="1883">
      <c r="B172" s="56" t="n"/>
      <c r="C172" s="1141" t="inlineStr">
        <is>
          <t>Units for Warranty - End</t>
        </is>
      </c>
      <c r="D172" s="55" t="n"/>
      <c r="E172" s="1146">
        <f>+E150+E128+E106</f>
        <v/>
      </c>
      <c r="F172" s="1146">
        <f>+F150+F128+F106</f>
        <v/>
      </c>
      <c r="G172" s="1146">
        <f>+G150+G128+G106</f>
        <v/>
      </c>
      <c r="H172" s="1146">
        <f>+H150+H128+H106</f>
        <v/>
      </c>
      <c r="I172" s="1146">
        <f>+I150+I128+I106</f>
        <v/>
      </c>
      <c r="J172" s="1146">
        <f>+J150+J128+J106</f>
        <v/>
      </c>
      <c r="K172" s="1146">
        <f>+K150+K128+K106</f>
        <v/>
      </c>
      <c r="L172" s="1147">
        <f>+L150+L128+L106</f>
        <v/>
      </c>
      <c r="M172" s="1146">
        <f>+M150+M128+M106</f>
        <v/>
      </c>
      <c r="N172" s="1146">
        <f>+N150+N128+N106</f>
        <v/>
      </c>
      <c r="O172" s="1146">
        <f>+O150+O128+O106</f>
        <v/>
      </c>
      <c r="P172" s="1146">
        <f>+P150+P128+P106</f>
        <v/>
      </c>
      <c r="Q172" s="1146">
        <f>+Q150+Q128+Q106</f>
        <v/>
      </c>
      <c r="R172" s="1147">
        <f>+R150+R128+R106</f>
        <v/>
      </c>
      <c r="S172" s="1146">
        <f>+S150+S128+S106</f>
        <v/>
      </c>
      <c r="T172" s="1146">
        <f>+T150+T128+T106</f>
        <v/>
      </c>
      <c r="U172" s="1146">
        <f>+U150+U128+U106</f>
        <v/>
      </c>
      <c r="V172" s="1146">
        <f>+V150+V128+V106</f>
        <v/>
      </c>
      <c r="W172" s="1146">
        <f>+W150+W128+W106</f>
        <v/>
      </c>
      <c r="X172" s="1147">
        <f>+X150+X128+X106</f>
        <v/>
      </c>
      <c r="Y172" s="1146">
        <f>+Y150+Y128+Y106</f>
        <v/>
      </c>
      <c r="Z172" s="1146">
        <f>+Z150+Z128+Z106</f>
        <v/>
      </c>
      <c r="AA172" s="1146">
        <f>+AA150+AA128+AA106</f>
        <v/>
      </c>
      <c r="AB172" s="1146">
        <f>+AB150+AB128+AB106</f>
        <v/>
      </c>
      <c r="AC172" s="1146">
        <f>+AC150+AC128+AC106</f>
        <v/>
      </c>
      <c r="AD172" s="1147">
        <f>+AD150+AD128+AD106</f>
        <v/>
      </c>
      <c r="AE172" s="1146">
        <f>+AE150+AE128+AE106</f>
        <v/>
      </c>
      <c r="AF172" s="1146">
        <f>+AF150+AF128+AF106</f>
        <v/>
      </c>
      <c r="AG172" s="1146">
        <f>+AG150+AG128+AG106</f>
        <v/>
      </c>
      <c r="AH172" s="1146">
        <f>+AH150+AH128+AH106</f>
        <v/>
      </c>
      <c r="AI172" s="1146">
        <f>+AI150+AI128+AI106</f>
        <v/>
      </c>
      <c r="AJ172" s="1147">
        <f>+AJ150+AJ128+AJ106</f>
        <v/>
      </c>
      <c r="AK172" s="1146">
        <f>+AK150+AK128+AK106</f>
        <v/>
      </c>
      <c r="AL172" s="1146">
        <f>+AL150+AL128+AL106</f>
        <v/>
      </c>
      <c r="AM172" s="1146">
        <f>+AM150+AM128+AM106</f>
        <v/>
      </c>
      <c r="AN172" s="1146">
        <f>+AN150+AN128+AN106</f>
        <v/>
      </c>
      <c r="AO172" s="1146">
        <f>+AO150+AO128+AO106</f>
        <v/>
      </c>
      <c r="AP172" s="1147">
        <f>+AP150+AP128+AP106</f>
        <v/>
      </c>
      <c r="AQ172" s="1146">
        <f>+AQ150+AQ128+AQ106</f>
        <v/>
      </c>
      <c r="AR172" s="1146">
        <f>+AR150+AR128+AR106</f>
        <v/>
      </c>
      <c r="AS172" s="1146">
        <f>+AS150+AS128+AS106</f>
        <v/>
      </c>
      <c r="AT172" s="1146">
        <f>+AT150+AT128+AT106</f>
        <v/>
      </c>
      <c r="AU172" s="1146">
        <f>+AU150+AU128+AU106</f>
        <v/>
      </c>
      <c r="AV172" s="1147">
        <f>+AV150+AV128+AV106</f>
        <v/>
      </c>
      <c r="AW172" s="1146">
        <f>+AW150+AW128+AW106</f>
        <v/>
      </c>
      <c r="AX172" s="1146">
        <f>+AX150+AX128+AX106</f>
        <v/>
      </c>
      <c r="AY172" s="1146">
        <f>+AY150+AY128+AY106</f>
        <v/>
      </c>
      <c r="AZ172" s="1146">
        <f>+AZ150+AZ128+AZ106</f>
        <v/>
      </c>
      <c r="BA172" s="1146">
        <f>+BA150+BA128+BA106</f>
        <v/>
      </c>
      <c r="BB172" s="1147">
        <f>+BB150+BB128+BB106</f>
        <v/>
      </c>
      <c r="BC172" s="1146">
        <f>+BC150+BC128+BC106</f>
        <v/>
      </c>
      <c r="BD172" s="1146">
        <f>+BD150+BD128+BD106</f>
        <v/>
      </c>
      <c r="BE172" s="1146">
        <f>+BE150+BE128+BE106</f>
        <v/>
      </c>
      <c r="BF172" s="1146">
        <f>+BF150+BF128+BF106</f>
        <v/>
      </c>
      <c r="BG172" s="1146">
        <f>+BG150+BG128+BG106</f>
        <v/>
      </c>
      <c r="BH172" s="1147">
        <f>+BH150+BH128+BH106</f>
        <v/>
      </c>
      <c r="BI172" s="1146">
        <f>+BI150+BI128+BI106</f>
        <v/>
      </c>
      <c r="BJ172" s="1146">
        <f>+BJ150+BJ128+BJ106</f>
        <v/>
      </c>
      <c r="BK172" s="1146">
        <f>+BK150+BK128+BK106</f>
        <v/>
      </c>
      <c r="BL172" s="1146">
        <f>+BL150+BL128+BL106</f>
        <v/>
      </c>
      <c r="BM172" s="1146">
        <f>+BM150+BM128+BM106</f>
        <v/>
      </c>
      <c r="BN172" s="1147">
        <f>+BN150+BN128+BN106</f>
        <v/>
      </c>
    </row>
    <row r="173" ht="12.75" customHeight="1" s="1883">
      <c r="B173" s="56" t="n"/>
      <c r="C173" s="1038" t="n"/>
      <c r="D173" s="55" t="n"/>
      <c r="E173" s="57" t="n"/>
      <c r="F173" s="57" t="n"/>
      <c r="G173" s="57" t="n"/>
      <c r="H173" s="57" t="n"/>
      <c r="I173" s="57" t="n"/>
      <c r="J173" s="57" t="n"/>
      <c r="K173" s="57" t="n"/>
      <c r="L173" s="1149" t="n"/>
      <c r="M173" s="57" t="n"/>
      <c r="N173" s="57" t="n"/>
      <c r="O173" s="57" t="n"/>
      <c r="P173" s="57" t="n"/>
      <c r="Q173" s="57" t="n"/>
      <c r="R173" s="1149" t="n"/>
      <c r="S173" s="57" t="n"/>
      <c r="T173" s="57" t="n"/>
      <c r="U173" s="57" t="n"/>
      <c r="V173" s="57" t="n"/>
      <c r="W173" s="57" t="n"/>
      <c r="X173" s="1149" t="n"/>
      <c r="Y173" s="57" t="n"/>
      <c r="Z173" s="57" t="n"/>
      <c r="AA173" s="57" t="n"/>
      <c r="AB173" s="57" t="n"/>
      <c r="AC173" s="57" t="n"/>
      <c r="AD173" s="1149" t="n"/>
      <c r="AE173" s="57" t="n"/>
      <c r="AF173" s="57" t="n"/>
      <c r="AG173" s="57" t="n"/>
      <c r="AH173" s="57" t="n"/>
      <c r="AI173" s="57" t="n"/>
      <c r="AJ173" s="1149" t="n"/>
      <c r="AK173" s="57" t="n"/>
      <c r="AL173" s="57" t="n"/>
      <c r="AM173" s="57" t="n"/>
      <c r="AN173" s="57" t="n"/>
      <c r="AO173" s="57" t="n"/>
      <c r="AP173" s="1149" t="n"/>
      <c r="AQ173" s="57" t="n"/>
      <c r="AR173" s="57" t="n"/>
      <c r="AS173" s="57" t="n"/>
      <c r="AT173" s="57" t="n"/>
      <c r="AU173" s="57" t="n"/>
      <c r="AV173" s="1149" t="n"/>
      <c r="AW173" s="57" t="n"/>
      <c r="AX173" s="57" t="n"/>
      <c r="AY173" s="57" t="n"/>
      <c r="AZ173" s="57" t="n"/>
      <c r="BA173" s="57" t="n"/>
      <c r="BB173" s="1149" t="n"/>
      <c r="BC173" s="57" t="n"/>
      <c r="BD173" s="57" t="n"/>
      <c r="BE173" s="57" t="n"/>
      <c r="BF173" s="57" t="n"/>
      <c r="BG173" s="57" t="n"/>
      <c r="BH173" s="1149" t="n"/>
      <c r="BI173" s="57" t="n"/>
      <c r="BJ173" s="57" t="n"/>
      <c r="BK173" s="57" t="n"/>
      <c r="BL173" s="57" t="n"/>
      <c r="BM173" s="57" t="n"/>
      <c r="BN173" s="1149" t="n"/>
    </row>
    <row r="174" ht="12.75" customHeight="1" s="1883">
      <c r="B174" s="56" t="inlineStr">
        <is>
          <t>BS</t>
        </is>
      </c>
      <c r="C174" s="1114" t="inlineStr">
        <is>
          <t>Total Inventory Value - for Warranty</t>
        </is>
      </c>
      <c r="D174" s="55" t="n"/>
      <c r="E174" s="198">
        <f>+E152+E130+E108</f>
        <v/>
      </c>
      <c r="F174" s="198">
        <f>+F152+F130+F108</f>
        <v/>
      </c>
      <c r="G174" s="198">
        <f>+G152+G130+G108</f>
        <v/>
      </c>
      <c r="H174" s="198">
        <f>+H152+H130+H108</f>
        <v/>
      </c>
      <c r="I174" s="198">
        <f>+I152+I130+I108</f>
        <v/>
      </c>
      <c r="J174" s="198">
        <f>+J152+J130+J108</f>
        <v/>
      </c>
      <c r="K174" s="198">
        <f>+K152+K130+K108</f>
        <v/>
      </c>
      <c r="L174" s="1145">
        <f>+L152+L130+L108</f>
        <v/>
      </c>
      <c r="M174" s="198">
        <f>+M152+M130+M108</f>
        <v/>
      </c>
      <c r="N174" s="198">
        <f>+N152+N130+N108</f>
        <v/>
      </c>
      <c r="O174" s="198">
        <f>+O152+O130+O108</f>
        <v/>
      </c>
      <c r="P174" s="198">
        <f>+P152+P130+P108</f>
        <v/>
      </c>
      <c r="Q174" s="198">
        <f>+Q152+Q130+Q108</f>
        <v/>
      </c>
      <c r="R174" s="1145">
        <f>+R152+R130+R108</f>
        <v/>
      </c>
      <c r="S174" s="198">
        <f>+S152+S130+S108</f>
        <v/>
      </c>
      <c r="T174" s="198">
        <f>+T152+T130+T108</f>
        <v/>
      </c>
      <c r="U174" s="198">
        <f>+U152+U130+U108</f>
        <v/>
      </c>
      <c r="V174" s="198">
        <f>+V152+V130+V108</f>
        <v/>
      </c>
      <c r="W174" s="198">
        <f>+W152+W130+W108</f>
        <v/>
      </c>
      <c r="X174" s="1145">
        <f>+X152+X130+X108</f>
        <v/>
      </c>
      <c r="Y174" s="198">
        <f>+Y152+Y130+Y108</f>
        <v/>
      </c>
      <c r="Z174" s="198">
        <f>+Z152+Z130+Z108</f>
        <v/>
      </c>
      <c r="AA174" s="198">
        <f>+AA152+AA130+AA108</f>
        <v/>
      </c>
      <c r="AB174" s="198">
        <f>+AB152+AB130+AB108</f>
        <v/>
      </c>
      <c r="AC174" s="198">
        <f>+AC152+AC130+AC108</f>
        <v/>
      </c>
      <c r="AD174" s="1145">
        <f>+AD152+AD130+AD108</f>
        <v/>
      </c>
      <c r="AE174" s="198">
        <f>+AE152+AE130+AE108</f>
        <v/>
      </c>
      <c r="AF174" s="198">
        <f>+AF152+AF130+AF108</f>
        <v/>
      </c>
      <c r="AG174" s="198">
        <f>+AG152+AG130+AG108</f>
        <v/>
      </c>
      <c r="AH174" s="198">
        <f>+AH152+AH130+AH108</f>
        <v/>
      </c>
      <c r="AI174" s="198">
        <f>+AI152+AI130+AI108</f>
        <v/>
      </c>
      <c r="AJ174" s="1145">
        <f>+AJ152+AJ130+AJ108</f>
        <v/>
      </c>
      <c r="AK174" s="198">
        <f>+AK152+AK130+AK108</f>
        <v/>
      </c>
      <c r="AL174" s="198">
        <f>+AL152+AL130+AL108</f>
        <v/>
      </c>
      <c r="AM174" s="198">
        <f>+AM152+AM130+AM108</f>
        <v/>
      </c>
      <c r="AN174" s="198">
        <f>+AN152+AN130+AN108</f>
        <v/>
      </c>
      <c r="AO174" s="198">
        <f>+AO152+AO130+AO108</f>
        <v/>
      </c>
      <c r="AP174" s="1145">
        <f>+AP152+AP130+AP108</f>
        <v/>
      </c>
      <c r="AQ174" s="198">
        <f>+AQ152+AQ130+AQ108</f>
        <v/>
      </c>
      <c r="AR174" s="198">
        <f>+AR152+AR130+AR108</f>
        <v/>
      </c>
      <c r="AS174" s="198">
        <f>+AS152+AS130+AS108</f>
        <v/>
      </c>
      <c r="AT174" s="198">
        <f>+AT152+AT130+AT108</f>
        <v/>
      </c>
      <c r="AU174" s="198">
        <f>+AU152+AU130+AU108</f>
        <v/>
      </c>
      <c r="AV174" s="1145">
        <f>+AV152+AV130+AV108</f>
        <v/>
      </c>
      <c r="AW174" s="198">
        <f>+AW152+AW130+AW108</f>
        <v/>
      </c>
      <c r="AX174" s="198">
        <f>+AX152+AX130+AX108</f>
        <v/>
      </c>
      <c r="AY174" s="198">
        <f>+AY152+AY130+AY108</f>
        <v/>
      </c>
      <c r="AZ174" s="198">
        <f>+AZ152+AZ130+AZ108</f>
        <v/>
      </c>
      <c r="BA174" s="198">
        <f>+BA152+BA130+BA108</f>
        <v/>
      </c>
      <c r="BB174" s="1145">
        <f>+BB152+BB130+BB108</f>
        <v/>
      </c>
      <c r="BC174" s="198">
        <f>+BC152+BC130+BC108</f>
        <v/>
      </c>
      <c r="BD174" s="198">
        <f>+BD152+BD130+BD108</f>
        <v/>
      </c>
      <c r="BE174" s="198">
        <f>+BE152+BE130+BE108</f>
        <v/>
      </c>
      <c r="BF174" s="198">
        <f>+BF152+BF130+BF108</f>
        <v/>
      </c>
      <c r="BG174" s="198">
        <f>+BG152+BG130+BG108</f>
        <v/>
      </c>
      <c r="BH174" s="1145">
        <f>+BH152+BH130+BH108</f>
        <v/>
      </c>
      <c r="BI174" s="198">
        <f>+BI152+BI130+BI108</f>
        <v/>
      </c>
      <c r="BJ174" s="198">
        <f>+BJ152+BJ130+BJ108</f>
        <v/>
      </c>
      <c r="BK174" s="198">
        <f>+BK152+BK130+BK108</f>
        <v/>
      </c>
      <c r="BL174" s="198">
        <f>+BL152+BL130+BL108</f>
        <v/>
      </c>
      <c r="BM174" s="198">
        <f>+BM152+BM130+BM108</f>
        <v/>
      </c>
      <c r="BN174" s="1145">
        <f>+BN152+BN130+BN108</f>
        <v/>
      </c>
    </row>
    <row r="175" ht="12.75" customHeight="1" s="1883">
      <c r="B175" s="56" t="n"/>
      <c r="C175" s="1038" t="n"/>
      <c r="D175" s="55" t="n"/>
      <c r="E175" s="57" t="n"/>
      <c r="F175" s="57" t="n"/>
      <c r="G175" s="57" t="n"/>
      <c r="H175" s="57" t="n"/>
      <c r="I175" s="57" t="n"/>
      <c r="J175" s="57" t="n"/>
      <c r="K175" s="57" t="n"/>
      <c r="L175" s="1149" t="n"/>
      <c r="M175" s="57" t="n"/>
      <c r="N175" s="57" t="n"/>
      <c r="O175" s="57" t="n"/>
      <c r="P175" s="57" t="n"/>
      <c r="Q175" s="57" t="n"/>
      <c r="R175" s="1149" t="n"/>
      <c r="S175" s="57" t="n"/>
      <c r="T175" s="57" t="n"/>
      <c r="U175" s="57" t="n"/>
      <c r="V175" s="57" t="n"/>
      <c r="W175" s="57" t="n"/>
      <c r="X175" s="1149" t="n"/>
      <c r="Y175" s="57" t="n"/>
      <c r="Z175" s="57" t="n"/>
      <c r="AA175" s="57" t="n"/>
      <c r="AB175" s="57" t="n"/>
      <c r="AC175" s="57" t="n"/>
      <c r="AD175" s="1149" t="n"/>
      <c r="AE175" s="57" t="n"/>
      <c r="AF175" s="57" t="n"/>
      <c r="AG175" s="57" t="n"/>
      <c r="AH175" s="57" t="n"/>
      <c r="AI175" s="57" t="n"/>
      <c r="AJ175" s="1149" t="n"/>
      <c r="AK175" s="57" t="n"/>
      <c r="AL175" s="57" t="n"/>
      <c r="AM175" s="57" t="n"/>
      <c r="AN175" s="57" t="n"/>
      <c r="AO175" s="57" t="n"/>
      <c r="AP175" s="1149" t="n"/>
      <c r="AQ175" s="57" t="n"/>
      <c r="AR175" s="57" t="n"/>
      <c r="AS175" s="57" t="n"/>
      <c r="AT175" s="57" t="n"/>
      <c r="AU175" s="57" t="n"/>
      <c r="AV175" s="1149" t="n"/>
      <c r="AW175" s="57" t="n"/>
      <c r="AX175" s="57" t="n"/>
      <c r="AY175" s="57" t="n"/>
      <c r="AZ175" s="57" t="n"/>
      <c r="BA175" s="57" t="n"/>
      <c r="BB175" s="1149" t="n"/>
      <c r="BC175" s="57" t="n"/>
      <c r="BD175" s="57" t="n"/>
      <c r="BE175" s="57" t="n"/>
      <c r="BF175" s="57" t="n"/>
      <c r="BG175" s="57" t="n"/>
      <c r="BH175" s="1149" t="n"/>
      <c r="BI175" s="57" t="n"/>
      <c r="BJ175" s="57" t="n"/>
      <c r="BK175" s="57" t="n"/>
      <c r="BL175" s="57" t="n"/>
      <c r="BM175" s="57" t="n"/>
      <c r="BN175" s="1149" t="n"/>
    </row>
    <row r="176" ht="12.75" customHeight="1" s="1883">
      <c r="B176" s="56" t="inlineStr">
        <is>
          <t>BS</t>
        </is>
      </c>
      <c r="C176" s="1114" t="inlineStr">
        <is>
          <t>CMO Deposit</t>
        </is>
      </c>
      <c r="D176" s="88" t="n"/>
      <c r="E176" s="198">
        <f>+E154+E132+E110</f>
        <v/>
      </c>
      <c r="F176" s="198">
        <f>+F154+F132+F110</f>
        <v/>
      </c>
      <c r="G176" s="198">
        <f>+G154+G132+G110</f>
        <v/>
      </c>
      <c r="H176" s="198">
        <f>+H154+H132+H110</f>
        <v/>
      </c>
      <c r="I176" s="198">
        <f>+I154+I132+I110</f>
        <v/>
      </c>
      <c r="J176" s="198">
        <f>+J154+J132+J110</f>
        <v/>
      </c>
      <c r="K176" s="198">
        <f>+K154+K132+K110</f>
        <v/>
      </c>
      <c r="L176" s="1145">
        <f>+L154+L132+L110</f>
        <v/>
      </c>
      <c r="M176" s="198">
        <f>+M154+M132+M110</f>
        <v/>
      </c>
      <c r="N176" s="198">
        <f>+N154+N132+N110</f>
        <v/>
      </c>
      <c r="O176" s="198">
        <f>+O154+O132+O110</f>
        <v/>
      </c>
      <c r="P176" s="198">
        <f>+P154+P132+P110</f>
        <v/>
      </c>
      <c r="Q176" s="198">
        <f>+Q154+Q132+Q110</f>
        <v/>
      </c>
      <c r="R176" s="1145">
        <f>+R154+R132+R110</f>
        <v/>
      </c>
      <c r="S176" s="198">
        <f>+S154+S132+S110</f>
        <v/>
      </c>
      <c r="T176" s="198">
        <f>+T154+T132+T110</f>
        <v/>
      </c>
      <c r="U176" s="198">
        <f>+U154+U132+U110</f>
        <v/>
      </c>
      <c r="V176" s="198">
        <f>+V154+V132+V110</f>
        <v/>
      </c>
      <c r="W176" s="198">
        <f>+W154+W132+W110</f>
        <v/>
      </c>
      <c r="X176" s="1145">
        <f>+X154+X132+X110</f>
        <v/>
      </c>
      <c r="Y176" s="198">
        <f>+Y154+Y132+Y110</f>
        <v/>
      </c>
      <c r="Z176" s="198">
        <f>+Z154+Z132+Z110</f>
        <v/>
      </c>
      <c r="AA176" s="198">
        <f>+AA154+AA132+AA110</f>
        <v/>
      </c>
      <c r="AB176" s="198">
        <f>+AB154+AB132+AB110</f>
        <v/>
      </c>
      <c r="AC176" s="198">
        <f>+AC154+AC132+AC110</f>
        <v/>
      </c>
      <c r="AD176" s="1145">
        <f>+AD154+AD132+AD110</f>
        <v/>
      </c>
      <c r="AE176" s="198">
        <f>+AE154+AE132+AE110</f>
        <v/>
      </c>
      <c r="AF176" s="198">
        <f>+AF154+AF132+AF110</f>
        <v/>
      </c>
      <c r="AG176" s="198">
        <f>+AG154+AG132+AG110</f>
        <v/>
      </c>
      <c r="AH176" s="198">
        <f>+AH154+AH132+AH110</f>
        <v/>
      </c>
      <c r="AI176" s="198">
        <f>+AI154+AI132+AI110</f>
        <v/>
      </c>
      <c r="AJ176" s="1145">
        <f>+AJ154+AJ132+AJ110</f>
        <v/>
      </c>
      <c r="AK176" s="198">
        <f>+AK154+AK132+AK110</f>
        <v/>
      </c>
      <c r="AL176" s="198">
        <f>+AL154+AL132+AL110</f>
        <v/>
      </c>
      <c r="AM176" s="198">
        <f>+AM154+AM132+AM110</f>
        <v/>
      </c>
      <c r="AN176" s="198">
        <f>+AN154+AN132+AN110</f>
        <v/>
      </c>
      <c r="AO176" s="198">
        <f>+AO154+AO132+AO110</f>
        <v/>
      </c>
      <c r="AP176" s="1145">
        <f>+AP154+AP132+AP110</f>
        <v/>
      </c>
      <c r="AQ176" s="198">
        <f>+AQ154+AQ132+AQ110</f>
        <v/>
      </c>
      <c r="AR176" s="198">
        <f>+AR154+AR132+AR110</f>
        <v/>
      </c>
      <c r="AS176" s="198">
        <f>+AS154+AS132+AS110</f>
        <v/>
      </c>
      <c r="AT176" s="198">
        <f>+AT154+AT132+AT110</f>
        <v/>
      </c>
      <c r="AU176" s="198">
        <f>+AU154+AU132+AU110</f>
        <v/>
      </c>
      <c r="AV176" s="1145">
        <f>+AV154+AV132+AV110</f>
        <v/>
      </c>
      <c r="AW176" s="198">
        <f>+AW154+AW132+AW110</f>
        <v/>
      </c>
      <c r="AX176" s="198">
        <f>+AX154+AX132+AX110</f>
        <v/>
      </c>
      <c r="AY176" s="198">
        <f>+AY154+AY132+AY110</f>
        <v/>
      </c>
      <c r="AZ176" s="198">
        <f>+AZ154+AZ132+AZ110</f>
        <v/>
      </c>
      <c r="BA176" s="198">
        <f>+BA154+BA132+BA110</f>
        <v/>
      </c>
      <c r="BB176" s="1145">
        <f>+BB154+BB132+BB110</f>
        <v/>
      </c>
      <c r="BC176" s="198">
        <f>+BC154+BC132+BC110</f>
        <v/>
      </c>
      <c r="BD176" s="198">
        <f>+BD154+BD132+BD110</f>
        <v/>
      </c>
      <c r="BE176" s="198">
        <f>+BE154+BE132+BE110</f>
        <v/>
      </c>
      <c r="BF176" s="198">
        <f>+BF154+BF132+BF110</f>
        <v/>
      </c>
      <c r="BG176" s="198">
        <f>+BG154+BG132+BG110</f>
        <v/>
      </c>
      <c r="BH176" s="1145">
        <f>+BH154+BH132+BH110</f>
        <v/>
      </c>
      <c r="BI176" s="198">
        <f>+BI154+BI132+BI110</f>
        <v/>
      </c>
      <c r="BJ176" s="198">
        <f>+BJ154+BJ132+BJ110</f>
        <v/>
      </c>
      <c r="BK176" s="198">
        <f>+BK154+BK132+BK110</f>
        <v/>
      </c>
      <c r="BL176" s="198">
        <f>+BL154+BL132+BL110</f>
        <v/>
      </c>
      <c r="BM176" s="198">
        <f>+BM154+BM132+BM110</f>
        <v/>
      </c>
      <c r="BN176" s="1145">
        <f>+BN154+BN132+BN110</f>
        <v/>
      </c>
    </row>
    <row r="177" ht="12.75" customHeight="1" s="1883">
      <c r="B177" s="56" t="n"/>
      <c r="C177" s="1114" t="inlineStr">
        <is>
          <t>Final Payment</t>
        </is>
      </c>
      <c r="D177" s="55" t="n"/>
      <c r="E177" s="71">
        <f>+E155+E133+E111</f>
        <v/>
      </c>
      <c r="F177" s="71">
        <f>+F155+F133+F111</f>
        <v/>
      </c>
      <c r="G177" s="71">
        <f>+G155+G133+G111</f>
        <v/>
      </c>
      <c r="H177" s="71">
        <f>+H155+H133+H111</f>
        <v/>
      </c>
      <c r="I177" s="71">
        <f>+I155+I133+I111</f>
        <v/>
      </c>
      <c r="J177" s="71">
        <f>+J155+J133+J111</f>
        <v/>
      </c>
      <c r="K177" s="71">
        <f>+K155+K133+K111</f>
        <v/>
      </c>
      <c r="L177" s="1144">
        <f>+L155+L133+L111</f>
        <v/>
      </c>
      <c r="M177" s="71">
        <f>+M155+M133+M111</f>
        <v/>
      </c>
      <c r="N177" s="71">
        <f>+N155+N133+N111</f>
        <v/>
      </c>
      <c r="O177" s="71">
        <f>+O155+O133+O111</f>
        <v/>
      </c>
      <c r="P177" s="71">
        <f>+P155+P133+P111</f>
        <v/>
      </c>
      <c r="Q177" s="71">
        <f>+Q155+Q133+Q111</f>
        <v/>
      </c>
      <c r="R177" s="1144">
        <f>+R155+R133+R111</f>
        <v/>
      </c>
      <c r="S177" s="71">
        <f>+S155+S133+S111</f>
        <v/>
      </c>
      <c r="T177" s="71">
        <f>+T155+T133+T111</f>
        <v/>
      </c>
      <c r="U177" s="71">
        <f>+U155+U133+U111</f>
        <v/>
      </c>
      <c r="V177" s="71">
        <f>+V155+V133+V111</f>
        <v/>
      </c>
      <c r="W177" s="71">
        <f>+W155+W133+W111</f>
        <v/>
      </c>
      <c r="X177" s="1144">
        <f>+X155+X133+X111</f>
        <v/>
      </c>
      <c r="Y177" s="71">
        <f>+Y155+Y133+Y111</f>
        <v/>
      </c>
      <c r="Z177" s="71">
        <f>+Z155+Z133+Z111</f>
        <v/>
      </c>
      <c r="AA177" s="71">
        <f>+AA155+AA133+AA111</f>
        <v/>
      </c>
      <c r="AB177" s="71">
        <f>+AB155+AB133+AB111</f>
        <v/>
      </c>
      <c r="AC177" s="71">
        <f>+AC155+AC133+AC111</f>
        <v/>
      </c>
      <c r="AD177" s="1144">
        <f>+AD155+AD133+AD111</f>
        <v/>
      </c>
      <c r="AE177" s="71">
        <f>+AE155+AE133+AE111</f>
        <v/>
      </c>
      <c r="AF177" s="71">
        <f>+AF155+AF133+AF111</f>
        <v/>
      </c>
      <c r="AG177" s="71">
        <f>+AG155+AG133+AG111</f>
        <v/>
      </c>
      <c r="AH177" s="71">
        <f>+AH155+AH133+AH111</f>
        <v/>
      </c>
      <c r="AI177" s="71">
        <f>+AI155+AI133+AI111</f>
        <v/>
      </c>
      <c r="AJ177" s="1144">
        <f>+AJ155+AJ133+AJ111</f>
        <v/>
      </c>
      <c r="AK177" s="71">
        <f>+AK155+AK133+AK111</f>
        <v/>
      </c>
      <c r="AL177" s="71">
        <f>+AL155+AL133+AL111</f>
        <v/>
      </c>
      <c r="AM177" s="71">
        <f>+AM155+AM133+AM111</f>
        <v/>
      </c>
      <c r="AN177" s="71">
        <f>+AN155+AN133+AN111</f>
        <v/>
      </c>
      <c r="AO177" s="71">
        <f>+AO155+AO133+AO111</f>
        <v/>
      </c>
      <c r="AP177" s="1144">
        <f>+AP155+AP133+AP111</f>
        <v/>
      </c>
      <c r="AQ177" s="71">
        <f>+AQ155+AQ133+AQ111</f>
        <v/>
      </c>
      <c r="AR177" s="71">
        <f>+AR155+AR133+AR111</f>
        <v/>
      </c>
      <c r="AS177" s="71">
        <f>+AS155+AS133+AS111</f>
        <v/>
      </c>
      <c r="AT177" s="71">
        <f>+AT155+AT133+AT111</f>
        <v/>
      </c>
      <c r="AU177" s="71">
        <f>+AU155+AU133+AU111</f>
        <v/>
      </c>
      <c r="AV177" s="1144">
        <f>+AV155+AV133+AV111</f>
        <v/>
      </c>
      <c r="AW177" s="71">
        <f>+AW155+AW133+AW111</f>
        <v/>
      </c>
      <c r="AX177" s="71">
        <f>+AX155+AX133+AX111</f>
        <v/>
      </c>
      <c r="AY177" s="71">
        <f>+AY155+AY133+AY111</f>
        <v/>
      </c>
      <c r="AZ177" s="71">
        <f>+AZ155+AZ133+AZ111</f>
        <v/>
      </c>
      <c r="BA177" s="71">
        <f>+BA155+BA133+BA111</f>
        <v/>
      </c>
      <c r="BB177" s="1144">
        <f>+BB155+BB133+BB111</f>
        <v/>
      </c>
      <c r="BC177" s="71">
        <f>+BC155+BC133+BC111</f>
        <v/>
      </c>
      <c r="BD177" s="71">
        <f>+BD155+BD133+BD111</f>
        <v/>
      </c>
      <c r="BE177" s="71">
        <f>+BE155+BE133+BE111</f>
        <v/>
      </c>
      <c r="BF177" s="71">
        <f>+BF155+BF133+BF111</f>
        <v/>
      </c>
      <c r="BG177" s="71">
        <f>+BG155+BG133+BG111</f>
        <v/>
      </c>
      <c r="BH177" s="1144">
        <f>+BH155+BH133+BH111</f>
        <v/>
      </c>
      <c r="BI177" s="71">
        <f>+BI155+BI133+BI111</f>
        <v/>
      </c>
      <c r="BJ177" s="71">
        <f>+BJ155+BJ133+BJ111</f>
        <v/>
      </c>
      <c r="BK177" s="71">
        <f>+BK155+BK133+BK111</f>
        <v/>
      </c>
      <c r="BL177" s="71">
        <f>+BL155+BL133+BL111</f>
        <v/>
      </c>
      <c r="BM177" s="71">
        <f>+BM155+BM133+BM111</f>
        <v/>
      </c>
      <c r="BN177" s="1144">
        <f>+BN155+BN133+BN111</f>
        <v/>
      </c>
    </row>
    <row r="178" ht="12.75" customHeight="1" s="1883">
      <c r="B178" s="56" t="n"/>
      <c r="C178" s="1148" t="n"/>
      <c r="D178" s="1063" t="n"/>
      <c r="E178" s="1139" t="n"/>
      <c r="F178" s="1139" t="n"/>
      <c r="G178" s="1063" t="n"/>
      <c r="H178" s="1063" t="n"/>
      <c r="I178" s="1063" t="n"/>
      <c r="J178" s="1063" t="n"/>
      <c r="K178" s="1063" t="n"/>
      <c r="L178" s="164" t="n"/>
      <c r="M178" s="1063" t="n"/>
      <c r="N178" s="1063" t="n"/>
      <c r="O178" s="1063" t="n"/>
      <c r="P178" s="1063" t="n"/>
      <c r="Q178" s="1063" t="n"/>
      <c r="R178" s="164" t="n"/>
      <c r="S178" s="1063" t="n"/>
      <c r="T178" s="1063" t="n"/>
      <c r="U178" s="1063" t="n"/>
      <c r="V178" s="1063" t="n"/>
      <c r="W178" s="1063" t="n"/>
      <c r="X178" s="164" t="n"/>
      <c r="Y178" s="1063" t="n"/>
      <c r="Z178" s="1063" t="n"/>
      <c r="AA178" s="1063" t="n"/>
      <c r="AB178" s="1063" t="n"/>
      <c r="AC178" s="1063" t="n"/>
      <c r="AD178" s="164" t="n"/>
      <c r="AE178" s="1063" t="n"/>
      <c r="AF178" s="1063" t="n"/>
      <c r="AG178" s="1063" t="n"/>
      <c r="AH178" s="1063" t="n"/>
      <c r="AI178" s="1063" t="n"/>
      <c r="AJ178" s="164" t="n"/>
      <c r="AK178" s="1063" t="n"/>
      <c r="AL178" s="1063" t="n"/>
      <c r="AM178" s="1063" t="n"/>
      <c r="AN178" s="1063" t="n"/>
      <c r="AO178" s="1063" t="n"/>
      <c r="AP178" s="164" t="n"/>
      <c r="AQ178" s="1063" t="n"/>
      <c r="AR178" s="1063" t="n"/>
      <c r="AS178" s="1063" t="n"/>
      <c r="AT178" s="1063" t="n"/>
      <c r="AU178" s="1063" t="n"/>
      <c r="AV178" s="164" t="n"/>
      <c r="AW178" s="1063" t="n"/>
      <c r="AX178" s="1063" t="n"/>
      <c r="AY178" s="1063" t="n"/>
      <c r="AZ178" s="1063" t="n"/>
      <c r="BA178" s="1063" t="n"/>
      <c r="BB178" s="164" t="n"/>
      <c r="BC178" s="1063" t="n"/>
      <c r="BD178" s="1063" t="n"/>
      <c r="BE178" s="1063" t="n"/>
      <c r="BF178" s="1063" t="n"/>
      <c r="BG178" s="1063" t="n"/>
      <c r="BH178" s="164" t="n"/>
      <c r="BI178" s="1063" t="n"/>
      <c r="BJ178" s="1063" t="n"/>
      <c r="BK178" s="1063" t="n"/>
      <c r="BL178" s="1063" t="n"/>
      <c r="BM178" s="1063" t="n"/>
      <c r="BN178" s="164" t="n"/>
    </row>
    <row r="179" ht="12.75" customHeight="1" s="1883">
      <c r="B179" s="56" t="n"/>
      <c r="C179" s="1150" t="inlineStr">
        <is>
          <t>Customer Deposits</t>
        </is>
      </c>
      <c r="D179" s="59" t="n"/>
      <c r="E179" s="57" t="n"/>
      <c r="F179" s="57" t="n"/>
      <c r="G179" s="59" t="n"/>
      <c r="H179" s="59" t="n"/>
      <c r="I179" s="59" t="n"/>
      <c r="J179" s="59" t="n"/>
      <c r="K179" s="59" t="n"/>
      <c r="L179" s="1039" t="n"/>
      <c r="M179" s="59" t="n"/>
      <c r="N179" s="59" t="n"/>
      <c r="O179" s="59" t="n"/>
      <c r="P179" s="59" t="n"/>
      <c r="Q179" s="59" t="n"/>
      <c r="R179" s="1039" t="n"/>
      <c r="S179" s="59" t="n"/>
      <c r="T179" s="59" t="n"/>
      <c r="U179" s="59" t="n"/>
      <c r="V179" s="59" t="n"/>
      <c r="W179" s="59" t="n"/>
      <c r="X179" s="1039" t="n"/>
      <c r="Y179" s="59" t="n"/>
      <c r="Z179" s="59" t="n"/>
      <c r="AA179" s="59" t="n"/>
      <c r="AB179" s="59" t="n"/>
      <c r="AC179" s="59" t="n"/>
      <c r="AD179" s="1039" t="n"/>
      <c r="AE179" s="59" t="n"/>
      <c r="AF179" s="59" t="n"/>
      <c r="AG179" s="59" t="n"/>
      <c r="AH179" s="59" t="n"/>
      <c r="AI179" s="59" t="n"/>
      <c r="AJ179" s="1039" t="n"/>
      <c r="AK179" s="59" t="n"/>
      <c r="AL179" s="59" t="n"/>
      <c r="AM179" s="59" t="n"/>
      <c r="AN179" s="59" t="n"/>
      <c r="AO179" s="59" t="n"/>
      <c r="AP179" s="1039" t="n"/>
      <c r="AQ179" s="59" t="n"/>
      <c r="AR179" s="59" t="n"/>
      <c r="AS179" s="59" t="n"/>
      <c r="AT179" s="59" t="n"/>
      <c r="AU179" s="59" t="n"/>
      <c r="AV179" s="1039" t="n"/>
      <c r="AW179" s="59" t="n"/>
      <c r="AX179" s="59" t="n"/>
      <c r="AY179" s="59" t="n"/>
      <c r="AZ179" s="59" t="n"/>
      <c r="BA179" s="59" t="n"/>
      <c r="BB179" s="1039" t="n"/>
      <c r="BC179" s="59" t="n"/>
      <c r="BD179" s="59" t="n"/>
      <c r="BE179" s="59" t="n"/>
      <c r="BF179" s="59" t="n"/>
      <c r="BG179" s="59" t="n"/>
      <c r="BH179" s="1039" t="n"/>
      <c r="BI179" s="59" t="n"/>
      <c r="BJ179" s="59" t="n"/>
      <c r="BK179" s="59" t="n"/>
      <c r="BL179" s="59" t="n"/>
      <c r="BM179" s="59" t="n"/>
      <c r="BN179" s="1039" t="n"/>
    </row>
    <row r="180" ht="12.75" customHeight="1" s="1883">
      <c r="B180" s="56" t="n"/>
      <c r="C180" s="1151" t="inlineStr">
        <is>
          <t>Deposit</t>
        </is>
      </c>
      <c r="D180" s="86">
        <f>+'6B. Pre-Launch Exps. - Detail'!C185</f>
        <v/>
      </c>
      <c r="E180" s="85" t="inlineStr">
        <is>
          <t>on order</t>
        </is>
      </c>
      <c r="F180" s="57" t="n"/>
      <c r="G180" s="59" t="n"/>
      <c r="H180" s="59" t="n"/>
      <c r="I180" s="59" t="n"/>
      <c r="J180" s="59" t="n"/>
      <c r="K180" s="59" t="n"/>
      <c r="L180" s="1039" t="n"/>
      <c r="M180" s="59" t="n"/>
      <c r="N180" s="59" t="n"/>
      <c r="O180" s="59" t="n"/>
      <c r="P180" s="59" t="n"/>
      <c r="Q180" s="59" t="n"/>
      <c r="R180" s="1039" t="n"/>
      <c r="S180" s="59" t="n"/>
      <c r="T180" s="59" t="n"/>
      <c r="U180" s="59" t="n"/>
      <c r="V180" s="59" t="n"/>
      <c r="W180" s="59" t="n"/>
      <c r="X180" s="1039" t="n"/>
      <c r="Y180" s="59" t="n"/>
      <c r="Z180" s="59" t="n"/>
      <c r="AA180" s="59" t="n"/>
      <c r="AB180" s="59" t="n"/>
      <c r="AC180" s="59" t="n"/>
      <c r="AD180" s="1039" t="n"/>
      <c r="AE180" s="59" t="n"/>
      <c r="AF180" s="59" t="n"/>
      <c r="AG180" s="59" t="n"/>
      <c r="AH180" s="59" t="n"/>
      <c r="AI180" s="59" t="n"/>
      <c r="AJ180" s="1039" t="n"/>
      <c r="AK180" s="59" t="n"/>
      <c r="AL180" s="59" t="n"/>
      <c r="AM180" s="59" t="n"/>
      <c r="AN180" s="59" t="n"/>
      <c r="AO180" s="59" t="n"/>
      <c r="AP180" s="1039" t="n"/>
      <c r="AQ180" s="59" t="n"/>
      <c r="AR180" s="59" t="n"/>
      <c r="AS180" s="59" t="n"/>
      <c r="AT180" s="59" t="n"/>
      <c r="AU180" s="59" t="n"/>
      <c r="AV180" s="1039" t="n"/>
      <c r="AW180" s="59" t="n"/>
      <c r="AX180" s="59" t="n"/>
      <c r="AY180" s="59" t="n"/>
      <c r="AZ180" s="59" t="n"/>
      <c r="BA180" s="59" t="n"/>
      <c r="BB180" s="1039" t="n"/>
      <c r="BC180" s="59" t="n"/>
      <c r="BD180" s="59" t="n"/>
      <c r="BE180" s="59" t="n"/>
      <c r="BF180" s="59" t="n"/>
      <c r="BG180" s="59" t="n"/>
      <c r="BH180" s="1039" t="n"/>
      <c r="BI180" s="59" t="n"/>
      <c r="BJ180" s="59" t="n"/>
      <c r="BK180" s="59" t="n"/>
      <c r="BL180" s="59" t="n"/>
      <c r="BM180" s="59" t="n"/>
      <c r="BN180" s="1039" t="n"/>
    </row>
    <row r="181" ht="12.75" customHeight="1" s="1883">
      <c r="B181" s="56" t="n"/>
      <c r="C181" s="1151" t="inlineStr">
        <is>
          <t>Final Payment</t>
        </is>
      </c>
      <c r="D181" s="86">
        <f>+'6B. Pre-Launch Exps. - Detail'!C186</f>
        <v/>
      </c>
      <c r="E181" s="85" t="inlineStr">
        <is>
          <t>on Delivery</t>
        </is>
      </c>
      <c r="F181" s="57" t="n"/>
      <c r="G181" s="59" t="n"/>
      <c r="H181" s="59" t="n"/>
      <c r="I181" s="59" t="n"/>
      <c r="J181" s="59" t="n"/>
      <c r="K181" s="59" t="n"/>
      <c r="L181" s="1039" t="n"/>
      <c r="M181" s="59" t="n"/>
      <c r="N181" s="59" t="n"/>
      <c r="O181" s="59" t="n"/>
      <c r="P181" s="59" t="n"/>
      <c r="Q181" s="59" t="n"/>
      <c r="R181" s="1039" t="n"/>
      <c r="S181" s="59" t="n"/>
      <c r="T181" s="59" t="n"/>
      <c r="U181" s="59" t="n"/>
      <c r="V181" s="59" t="n"/>
      <c r="W181" s="59" t="n"/>
      <c r="X181" s="1039" t="n"/>
      <c r="Y181" s="59" t="n"/>
      <c r="Z181" s="59" t="n"/>
      <c r="AA181" s="59" t="n"/>
      <c r="AB181" s="59" t="n"/>
      <c r="AC181" s="59" t="n"/>
      <c r="AD181" s="1039" t="n"/>
      <c r="AE181" s="59" t="n"/>
      <c r="AF181" s="59" t="n"/>
      <c r="AG181" s="59" t="n"/>
      <c r="AH181" s="59" t="n"/>
      <c r="AI181" s="59" t="n"/>
      <c r="AJ181" s="1039" t="n"/>
      <c r="AK181" s="59" t="n"/>
      <c r="AL181" s="59" t="n"/>
      <c r="AM181" s="59" t="n"/>
      <c r="AN181" s="59" t="n"/>
      <c r="AO181" s="59" t="n"/>
      <c r="AP181" s="1039" t="n"/>
      <c r="AQ181" s="59" t="n"/>
      <c r="AR181" s="59" t="n"/>
      <c r="AS181" s="59" t="n"/>
      <c r="AT181" s="59" t="n"/>
      <c r="AU181" s="59" t="n"/>
      <c r="AV181" s="1039" t="n"/>
      <c r="AW181" s="59" t="n"/>
      <c r="AX181" s="59" t="n"/>
      <c r="AY181" s="59" t="n"/>
      <c r="AZ181" s="59" t="n"/>
      <c r="BA181" s="59" t="n"/>
      <c r="BB181" s="1039" t="n"/>
      <c r="BC181" s="59" t="n"/>
      <c r="BD181" s="59" t="n"/>
      <c r="BE181" s="59" t="n"/>
      <c r="BF181" s="59" t="n"/>
      <c r="BG181" s="59" t="n"/>
      <c r="BH181" s="1039" t="n"/>
      <c r="BI181" s="59" t="n"/>
      <c r="BJ181" s="59" t="n"/>
      <c r="BK181" s="59" t="n"/>
      <c r="BL181" s="59" t="n"/>
      <c r="BM181" s="59" t="n"/>
      <c r="BN181" s="1039" t="n"/>
    </row>
    <row r="182" ht="12.75" customHeight="1" s="1883">
      <c r="B182" s="56" t="n"/>
      <c r="C182" s="1151" t="inlineStr">
        <is>
          <t>Time from Order to Delivery</t>
        </is>
      </c>
      <c r="D182" s="56">
        <f>+'6B. Pre-Launch Exps. - Detail'!C187</f>
        <v/>
      </c>
      <c r="E182" s="85" t="inlineStr">
        <is>
          <t>Days</t>
        </is>
      </c>
      <c r="F182" s="57" t="n"/>
      <c r="G182" s="59" t="n"/>
      <c r="H182" s="59" t="n"/>
      <c r="I182" s="59" t="n"/>
      <c r="J182" s="59" t="n"/>
      <c r="K182" s="59" t="n"/>
      <c r="L182" s="1039" t="n"/>
      <c r="M182" s="59" t="n"/>
      <c r="N182" s="59" t="n"/>
      <c r="O182" s="59" t="n"/>
      <c r="P182" s="59" t="n"/>
      <c r="Q182" s="59" t="n"/>
      <c r="R182" s="1039" t="n"/>
      <c r="S182" s="59" t="n"/>
      <c r="T182" s="59" t="n"/>
      <c r="U182" s="59" t="n"/>
      <c r="V182" s="59" t="n"/>
      <c r="W182" s="59" t="n"/>
      <c r="X182" s="1039" t="n"/>
      <c r="Y182" s="59" t="n"/>
      <c r="Z182" s="59" t="n"/>
      <c r="AA182" s="59" t="n"/>
      <c r="AB182" s="59" t="n"/>
      <c r="AC182" s="59" t="n"/>
      <c r="AD182" s="1039" t="n"/>
      <c r="AE182" s="59" t="n"/>
      <c r="AF182" s="59" t="n"/>
      <c r="AG182" s="59" t="n"/>
      <c r="AH182" s="59" t="n"/>
      <c r="AI182" s="59" t="n"/>
      <c r="AJ182" s="1039" t="n"/>
      <c r="AK182" s="59" t="n"/>
      <c r="AL182" s="59" t="n"/>
      <c r="AM182" s="59" t="n"/>
      <c r="AN182" s="59" t="n"/>
      <c r="AO182" s="59" t="n"/>
      <c r="AP182" s="1039" t="n"/>
      <c r="AQ182" s="59" t="n"/>
      <c r="AR182" s="59" t="n"/>
      <c r="AS182" s="59" t="n"/>
      <c r="AT182" s="59" t="n"/>
      <c r="AU182" s="59" t="n"/>
      <c r="AV182" s="1039" t="n"/>
      <c r="AW182" s="59" t="n"/>
      <c r="AX182" s="59" t="n"/>
      <c r="AY182" s="59" t="n"/>
      <c r="AZ182" s="59" t="n"/>
      <c r="BA182" s="59" t="n"/>
      <c r="BB182" s="1039" t="n"/>
      <c r="BC182" s="59" t="n"/>
      <c r="BD182" s="59" t="n"/>
      <c r="BE182" s="59" t="n"/>
      <c r="BF182" s="59" t="n"/>
      <c r="BG182" s="59" t="n"/>
      <c r="BH182" s="1039" t="n"/>
      <c r="BI182" s="59" t="n"/>
      <c r="BJ182" s="59" t="n"/>
      <c r="BK182" s="59" t="n"/>
      <c r="BL182" s="59" t="n"/>
      <c r="BM182" s="59" t="n"/>
      <c r="BN182" s="1039" t="n"/>
    </row>
    <row r="183" ht="12.75" customHeight="1" s="1883">
      <c r="B183" s="56" t="n"/>
      <c r="C183" s="1151" t="inlineStr">
        <is>
          <t>Price -  Phone</t>
        </is>
      </c>
      <c r="D183" s="195">
        <f>+'6B. Pre-Launch Exps. - Detail'!C188</f>
        <v/>
      </c>
      <c r="E183" s="85" t="inlineStr">
        <is>
          <t>/unit (incl shipping)</t>
        </is>
      </c>
      <c r="F183" s="57" t="n"/>
      <c r="G183" s="59" t="n"/>
      <c r="H183" s="59" t="n"/>
      <c r="I183" s="59" t="n"/>
      <c r="J183" s="59" t="n"/>
      <c r="K183" s="59" t="n"/>
      <c r="L183" s="1039" t="n"/>
      <c r="M183" s="59" t="n"/>
      <c r="N183" s="59" t="n"/>
      <c r="O183" s="59" t="n"/>
      <c r="P183" s="59" t="n"/>
      <c r="Q183" s="59" t="n"/>
      <c r="R183" s="1039" t="n"/>
      <c r="S183" s="59" t="n"/>
      <c r="T183" s="59" t="n"/>
      <c r="U183" s="59" t="n"/>
      <c r="V183" s="59" t="n"/>
      <c r="W183" s="59" t="n"/>
      <c r="X183" s="1039" t="n"/>
      <c r="Y183" s="59" t="n"/>
      <c r="Z183" s="59" t="n"/>
      <c r="AA183" s="59" t="n"/>
      <c r="AB183" s="59" t="n"/>
      <c r="AC183" s="59" t="n"/>
      <c r="AD183" s="1039" t="n"/>
      <c r="AE183" s="59" t="n"/>
      <c r="AF183" s="59" t="n"/>
      <c r="AG183" s="59" t="n"/>
      <c r="AH183" s="59" t="n"/>
      <c r="AI183" s="59" t="n"/>
      <c r="AJ183" s="1039" t="n"/>
      <c r="AK183" s="59" t="n"/>
      <c r="AL183" s="59" t="n"/>
      <c r="AM183" s="59" t="n"/>
      <c r="AN183" s="59" t="n"/>
      <c r="AO183" s="59" t="n"/>
      <c r="AP183" s="1039" t="n"/>
      <c r="AQ183" s="59" t="n"/>
      <c r="AR183" s="59" t="n"/>
      <c r="AS183" s="59" t="n"/>
      <c r="AT183" s="59" t="n"/>
      <c r="AU183" s="59" t="n"/>
      <c r="AV183" s="1039" t="n"/>
      <c r="AW183" s="59" t="n"/>
      <c r="AX183" s="59" t="n"/>
      <c r="AY183" s="59" t="n"/>
      <c r="AZ183" s="59" t="n"/>
      <c r="BA183" s="59" t="n"/>
      <c r="BB183" s="1039" t="n"/>
      <c r="BC183" s="59" t="n"/>
      <c r="BD183" s="59" t="n"/>
      <c r="BE183" s="59" t="n"/>
      <c r="BF183" s="59" t="n"/>
      <c r="BG183" s="59" t="n"/>
      <c r="BH183" s="1039" t="n"/>
      <c r="BI183" s="59" t="n"/>
      <c r="BJ183" s="59" t="n"/>
      <c r="BK183" s="59" t="n"/>
      <c r="BL183" s="59" t="n"/>
      <c r="BM183" s="59" t="n"/>
      <c r="BN183" s="1039" t="n"/>
    </row>
    <row r="184" ht="12.75" customHeight="1" s="1883">
      <c r="B184" s="56" t="n"/>
      <c r="C184" s="1151" t="inlineStr">
        <is>
          <t>Price - Companion App</t>
        </is>
      </c>
      <c r="D184" s="195">
        <f>+'6B. Pre-Launch Exps. - Detail'!C189</f>
        <v/>
      </c>
      <c r="E184" s="85" t="inlineStr">
        <is>
          <t>/unit (incl shipping)</t>
        </is>
      </c>
      <c r="F184" s="57" t="n"/>
      <c r="G184" s="59" t="n"/>
      <c r="H184" s="59" t="n"/>
      <c r="I184" s="59" t="n"/>
      <c r="J184" s="59" t="n"/>
      <c r="K184" s="59" t="n"/>
      <c r="L184" s="1039" t="n"/>
      <c r="M184" s="59" t="n"/>
      <c r="N184" s="59" t="n"/>
      <c r="O184" s="59" t="n"/>
      <c r="P184" s="59" t="n"/>
      <c r="Q184" s="59" t="n"/>
      <c r="R184" s="1039" t="n"/>
      <c r="S184" s="59" t="n"/>
      <c r="T184" s="59" t="n"/>
      <c r="U184" s="59" t="n"/>
      <c r="V184" s="59" t="n"/>
      <c r="W184" s="59" t="n"/>
      <c r="X184" s="1039" t="n"/>
      <c r="Y184" s="59" t="n"/>
      <c r="Z184" s="59" t="n"/>
      <c r="AA184" s="59" t="n"/>
      <c r="AB184" s="59" t="n"/>
      <c r="AC184" s="59" t="n"/>
      <c r="AD184" s="1039" t="n"/>
      <c r="AE184" s="59" t="n"/>
      <c r="AF184" s="59" t="n"/>
      <c r="AG184" s="59" t="n"/>
      <c r="AH184" s="59" t="n"/>
      <c r="AI184" s="59" t="n"/>
      <c r="AJ184" s="1039" t="n"/>
      <c r="AK184" s="59" t="n"/>
      <c r="AL184" s="59" t="n"/>
      <c r="AM184" s="59" t="n"/>
      <c r="AN184" s="59" t="n"/>
      <c r="AO184" s="59" t="n"/>
      <c r="AP184" s="1039" t="n"/>
      <c r="AQ184" s="59" t="n"/>
      <c r="AR184" s="59" t="n"/>
      <c r="AS184" s="59" t="n"/>
      <c r="AT184" s="59" t="n"/>
      <c r="AU184" s="59" t="n"/>
      <c r="AV184" s="1039" t="n"/>
      <c r="AW184" s="59" t="n"/>
      <c r="AX184" s="59" t="n"/>
      <c r="AY184" s="59" t="n"/>
      <c r="AZ184" s="59" t="n"/>
      <c r="BA184" s="59" t="n"/>
      <c r="BB184" s="1039" t="n"/>
      <c r="BC184" s="59" t="n"/>
      <c r="BD184" s="59" t="n"/>
      <c r="BE184" s="59" t="n"/>
      <c r="BF184" s="59" t="n"/>
      <c r="BG184" s="59" t="n"/>
      <c r="BH184" s="1039" t="n"/>
      <c r="BI184" s="59" t="n"/>
      <c r="BJ184" s="59" t="n"/>
      <c r="BK184" s="59" t="n"/>
      <c r="BL184" s="59" t="n"/>
      <c r="BM184" s="59" t="n"/>
      <c r="BN184" s="1039" t="n"/>
    </row>
    <row r="185" ht="12.75" customHeight="1" s="1883">
      <c r="B185" s="56" t="n"/>
      <c r="C185" s="1151" t="inlineStr">
        <is>
          <t>Price - Computer App</t>
        </is>
      </c>
      <c r="D185" s="195">
        <f>+'6B. Pre-Launch Exps. - Detail'!C190</f>
        <v/>
      </c>
      <c r="E185" s="85" t="inlineStr">
        <is>
          <t>/unit (incl shipping)</t>
        </is>
      </c>
      <c r="F185" s="57" t="n"/>
      <c r="G185" s="59" t="n"/>
      <c r="H185" s="59" t="n"/>
      <c r="I185" s="59" t="n"/>
      <c r="J185" s="59" t="n"/>
      <c r="K185" s="59" t="n"/>
      <c r="L185" s="1039" t="n"/>
      <c r="M185" s="59" t="n"/>
      <c r="N185" s="59" t="n"/>
      <c r="O185" s="59" t="n"/>
      <c r="P185" s="59" t="n"/>
      <c r="Q185" s="59" t="n"/>
      <c r="R185" s="1039" t="n"/>
      <c r="S185" s="59" t="n"/>
      <c r="T185" s="59" t="n"/>
      <c r="U185" s="59" t="n"/>
      <c r="V185" s="59" t="n"/>
      <c r="W185" s="59" t="n"/>
      <c r="X185" s="1039" t="n"/>
      <c r="Y185" s="59" t="n"/>
      <c r="Z185" s="59" t="n"/>
      <c r="AA185" s="59" t="n"/>
      <c r="AB185" s="59" t="n"/>
      <c r="AC185" s="59" t="n"/>
      <c r="AD185" s="1039" t="n"/>
      <c r="AE185" s="59" t="n"/>
      <c r="AF185" s="59" t="n"/>
      <c r="AG185" s="59" t="n"/>
      <c r="AH185" s="59" t="n"/>
      <c r="AI185" s="59" t="n"/>
      <c r="AJ185" s="1039" t="n"/>
      <c r="AK185" s="59" t="n"/>
      <c r="AL185" s="59" t="n"/>
      <c r="AM185" s="59" t="n"/>
      <c r="AN185" s="59" t="n"/>
      <c r="AO185" s="59" t="n"/>
      <c r="AP185" s="1039" t="n"/>
      <c r="AQ185" s="59" t="n"/>
      <c r="AR185" s="59" t="n"/>
      <c r="AS185" s="59" t="n"/>
      <c r="AT185" s="59" t="n"/>
      <c r="AU185" s="59" t="n"/>
      <c r="AV185" s="1039" t="n"/>
      <c r="AW185" s="59" t="n"/>
      <c r="AX185" s="59" t="n"/>
      <c r="AY185" s="59" t="n"/>
      <c r="AZ185" s="59" t="n"/>
      <c r="BA185" s="59" t="n"/>
      <c r="BB185" s="1039" t="n"/>
      <c r="BC185" s="59" t="n"/>
      <c r="BD185" s="59" t="n"/>
      <c r="BE185" s="59" t="n"/>
      <c r="BF185" s="59" t="n"/>
      <c r="BG185" s="59" t="n"/>
      <c r="BH185" s="1039" t="n"/>
      <c r="BI185" s="59" t="n"/>
      <c r="BJ185" s="59" t="n"/>
      <c r="BK185" s="59" t="n"/>
      <c r="BL185" s="59" t="n"/>
      <c r="BM185" s="59" t="n"/>
      <c r="BN185" s="1039" t="n"/>
    </row>
    <row r="186" ht="12.75" customHeight="1" s="1883">
      <c r="B186" s="56" t="n"/>
      <c r="C186" s="1148" t="n"/>
      <c r="D186" s="1063" t="n"/>
      <c r="E186" s="1139" t="n"/>
      <c r="F186" s="1139" t="n"/>
      <c r="G186" s="1063" t="n"/>
      <c r="H186" s="1063" t="n"/>
      <c r="I186" s="1063" t="n"/>
      <c r="J186" s="1063" t="n"/>
      <c r="K186" s="1063" t="n"/>
      <c r="L186" s="164" t="n"/>
      <c r="M186" s="1063" t="n"/>
      <c r="N186" s="1063" t="n"/>
      <c r="O186" s="1063" t="n"/>
      <c r="P186" s="1063" t="n"/>
      <c r="Q186" s="1063" t="n"/>
      <c r="R186" s="164" t="n"/>
      <c r="S186" s="1063" t="n"/>
      <c r="T186" s="1063" t="n"/>
      <c r="U186" s="1063" t="n"/>
      <c r="V186" s="1063" t="n"/>
      <c r="W186" s="1063" t="n"/>
      <c r="X186" s="164" t="n"/>
      <c r="Y186" s="1063" t="n"/>
      <c r="Z186" s="1063" t="n"/>
      <c r="AA186" s="1063" t="n"/>
      <c r="AB186" s="1063" t="n"/>
      <c r="AC186" s="1063" t="n"/>
      <c r="AD186" s="164" t="n"/>
      <c r="AE186" s="1063" t="n"/>
      <c r="AF186" s="1063" t="n"/>
      <c r="AG186" s="1063" t="n"/>
      <c r="AH186" s="1063" t="n"/>
      <c r="AI186" s="1063" t="n"/>
      <c r="AJ186" s="164" t="n"/>
      <c r="AK186" s="1063" t="n"/>
      <c r="AL186" s="1063" t="n"/>
      <c r="AM186" s="1063" t="n"/>
      <c r="AN186" s="1063" t="n"/>
      <c r="AO186" s="1063" t="n"/>
      <c r="AP186" s="164" t="n"/>
      <c r="AQ186" s="1063" t="n"/>
      <c r="AR186" s="1063" t="n"/>
      <c r="AS186" s="1063" t="n"/>
      <c r="AT186" s="1063" t="n"/>
      <c r="AU186" s="1063" t="n"/>
      <c r="AV186" s="164" t="n"/>
      <c r="AW186" s="1063" t="n"/>
      <c r="AX186" s="1063" t="n"/>
      <c r="AY186" s="1063" t="n"/>
      <c r="AZ186" s="1063" t="n"/>
      <c r="BA186" s="1063" t="n"/>
      <c r="BB186" s="164" t="n"/>
      <c r="BC186" s="1063" t="n"/>
      <c r="BD186" s="1063" t="n"/>
      <c r="BE186" s="1063" t="n"/>
      <c r="BF186" s="1063" t="n"/>
      <c r="BG186" s="1063" t="n"/>
      <c r="BH186" s="164" t="n"/>
      <c r="BI186" s="1063" t="n"/>
      <c r="BJ186" s="1063" t="n"/>
      <c r="BK186" s="1063" t="n"/>
      <c r="BL186" s="1063" t="n"/>
      <c r="BM186" s="1063" t="n"/>
      <c r="BN186" s="164" t="n"/>
    </row>
    <row r="187" ht="12.75" customHeight="1" s="1883">
      <c r="B187" s="56" t="n"/>
      <c r="C187" s="1114" t="inlineStr">
        <is>
          <t xml:space="preserve"> Phone</t>
        </is>
      </c>
      <c r="D187" s="55" t="n"/>
      <c r="E187" s="1140">
        <f>+E157</f>
        <v/>
      </c>
      <c r="F187" s="1140">
        <f>+F157</f>
        <v/>
      </c>
      <c r="G187" s="1140">
        <f>+G157</f>
        <v/>
      </c>
      <c r="H187" s="1140">
        <f>+H157</f>
        <v/>
      </c>
      <c r="I187" s="1140">
        <f>+I157</f>
        <v/>
      </c>
      <c r="J187" s="1140">
        <f>+J157</f>
        <v/>
      </c>
      <c r="K187" s="1140">
        <f>+K157</f>
        <v/>
      </c>
      <c r="L187" s="196">
        <f>+L157</f>
        <v/>
      </c>
      <c r="M187" s="1140">
        <f>+M157</f>
        <v/>
      </c>
      <c r="N187" s="1140">
        <f>+N157</f>
        <v/>
      </c>
      <c r="O187" s="1140">
        <f>+O157</f>
        <v/>
      </c>
      <c r="P187" s="1140">
        <f>+P157</f>
        <v/>
      </c>
      <c r="Q187" s="1140">
        <f>+Q157</f>
        <v/>
      </c>
      <c r="R187" s="196">
        <f>+R157</f>
        <v/>
      </c>
      <c r="S187" s="1140">
        <f>+S157</f>
        <v/>
      </c>
      <c r="T187" s="1140">
        <f>+T157</f>
        <v/>
      </c>
      <c r="U187" s="1140">
        <f>+U157</f>
        <v/>
      </c>
      <c r="V187" s="1140">
        <f>+V157</f>
        <v/>
      </c>
      <c r="W187" s="1140">
        <f>+W157</f>
        <v/>
      </c>
      <c r="X187" s="196">
        <f>+X157</f>
        <v/>
      </c>
      <c r="Y187" s="1140">
        <f>+Y157</f>
        <v/>
      </c>
      <c r="Z187" s="1140">
        <f>+Z157</f>
        <v/>
      </c>
      <c r="AA187" s="1140">
        <f>+AA157</f>
        <v/>
      </c>
      <c r="AB187" s="1140">
        <f>+AB157</f>
        <v/>
      </c>
      <c r="AC187" s="1140">
        <f>+AC157</f>
        <v/>
      </c>
      <c r="AD187" s="196">
        <f>+AD157</f>
        <v/>
      </c>
      <c r="AE187" s="1140">
        <f>+AE157</f>
        <v/>
      </c>
      <c r="AF187" s="1140">
        <f>+AF157</f>
        <v/>
      </c>
      <c r="AG187" s="1140">
        <f>+AG157</f>
        <v/>
      </c>
      <c r="AH187" s="1140">
        <f>+AH157</f>
        <v/>
      </c>
      <c r="AI187" s="1140">
        <f>+AI157</f>
        <v/>
      </c>
      <c r="AJ187" s="196">
        <f>+AJ157</f>
        <v/>
      </c>
      <c r="AK187" s="1140">
        <f>+AK157</f>
        <v/>
      </c>
      <c r="AL187" s="1140">
        <f>+AL157</f>
        <v/>
      </c>
      <c r="AM187" s="1140">
        <f>+AM157</f>
        <v/>
      </c>
      <c r="AN187" s="1140">
        <f>+AN157</f>
        <v/>
      </c>
      <c r="AO187" s="1140">
        <f>+AO157</f>
        <v/>
      </c>
      <c r="AP187" s="196">
        <f>+AP157</f>
        <v/>
      </c>
      <c r="AQ187" s="1140">
        <f>+AQ157</f>
        <v/>
      </c>
      <c r="AR187" s="1140">
        <f>+AR157</f>
        <v/>
      </c>
      <c r="AS187" s="1140">
        <f>+AS157</f>
        <v/>
      </c>
      <c r="AT187" s="1140">
        <f>+AT157</f>
        <v/>
      </c>
      <c r="AU187" s="1140">
        <f>+AU157</f>
        <v/>
      </c>
      <c r="AV187" s="196">
        <f>+AV157</f>
        <v/>
      </c>
      <c r="AW187" s="1140">
        <f>+AW157</f>
        <v/>
      </c>
      <c r="AX187" s="1140">
        <f>+AX157</f>
        <v/>
      </c>
      <c r="AY187" s="1140">
        <f>+AY157</f>
        <v/>
      </c>
      <c r="AZ187" s="1140">
        <f>+AZ157</f>
        <v/>
      </c>
      <c r="BA187" s="1140">
        <f>+BA157</f>
        <v/>
      </c>
      <c r="BB187" s="196">
        <f>+BB157</f>
        <v/>
      </c>
      <c r="BC187" s="1140">
        <f>+BC157</f>
        <v/>
      </c>
      <c r="BD187" s="1140">
        <f>+BD157</f>
        <v/>
      </c>
      <c r="BE187" s="1140">
        <f>+BE157</f>
        <v/>
      </c>
      <c r="BF187" s="1140">
        <f>+BF157</f>
        <v/>
      </c>
      <c r="BG187" s="1140">
        <f>+BG157</f>
        <v/>
      </c>
      <c r="BH187" s="196">
        <f>+BH157</f>
        <v/>
      </c>
      <c r="BI187" s="1140">
        <f>+BI157</f>
        <v/>
      </c>
      <c r="BJ187" s="1140">
        <f>+BJ157</f>
        <v/>
      </c>
      <c r="BK187" s="1140">
        <f>+BK157</f>
        <v/>
      </c>
      <c r="BL187" s="1140">
        <f>+BL157</f>
        <v/>
      </c>
      <c r="BM187" s="1140">
        <f>+BM157</f>
        <v/>
      </c>
      <c r="BN187" s="196">
        <f>+BN157</f>
        <v/>
      </c>
    </row>
    <row r="188" ht="12.75" customHeight="1" s="1883">
      <c r="B188" s="56" t="n"/>
      <c r="C188" s="1141" t="inlineStr">
        <is>
          <t>Units Ordered</t>
        </is>
      </c>
      <c r="D188" s="55" t="n"/>
      <c r="E188" s="87">
        <f>+'6B. Pre-Launch Exps. - Detail'!P194</f>
        <v/>
      </c>
      <c r="F188" s="87">
        <f>+'6B. Pre-Launch Exps. - Detail'!Q194</f>
        <v/>
      </c>
      <c r="G188" s="87">
        <f>+'3F. Revenue &amp; COGS Assumptions'!H29</f>
        <v/>
      </c>
      <c r="H188" s="87">
        <f>+'3F. Revenue &amp; COGS Assumptions'!I29</f>
        <v/>
      </c>
      <c r="I188" s="87">
        <f>+'3F. Revenue &amp; COGS Assumptions'!J29</f>
        <v/>
      </c>
      <c r="J188" s="87">
        <f>+'3F. Revenue &amp; COGS Assumptions'!K29</f>
        <v/>
      </c>
      <c r="K188" s="87">
        <f>+'3F. Revenue &amp; COGS Assumptions'!L29</f>
        <v/>
      </c>
      <c r="L188" s="1142">
        <f>+'3F. Revenue &amp; COGS Assumptions'!M29</f>
        <v/>
      </c>
      <c r="M188" s="87">
        <f>+'3F. Revenue &amp; COGS Assumptions'!N29</f>
        <v/>
      </c>
      <c r="N188" s="87">
        <f>+'3F. Revenue &amp; COGS Assumptions'!O29</f>
        <v/>
      </c>
      <c r="O188" s="87">
        <f>+'3F. Revenue &amp; COGS Assumptions'!P29</f>
        <v/>
      </c>
      <c r="P188" s="87">
        <f>+'3F. Revenue &amp; COGS Assumptions'!Q29</f>
        <v/>
      </c>
      <c r="Q188" s="87">
        <f>+'3F. Revenue &amp; COGS Assumptions'!R29</f>
        <v/>
      </c>
      <c r="R188" s="197">
        <f>+'3F. Revenue &amp; COGS Assumptions'!S29</f>
        <v/>
      </c>
      <c r="S188" s="87">
        <f>+'3F. Revenue &amp; COGS Assumptions'!T29</f>
        <v/>
      </c>
      <c r="T188" s="87">
        <f>+'3F. Revenue &amp; COGS Assumptions'!U29</f>
        <v/>
      </c>
      <c r="U188" s="87">
        <f>+'3F. Revenue &amp; COGS Assumptions'!V29</f>
        <v/>
      </c>
      <c r="V188" s="87">
        <f>+'3F. Revenue &amp; COGS Assumptions'!W29</f>
        <v/>
      </c>
      <c r="W188" s="87">
        <f>+'3F. Revenue &amp; COGS Assumptions'!X29</f>
        <v/>
      </c>
      <c r="X188" s="1142">
        <f>+'3F. Revenue &amp; COGS Assumptions'!Y29</f>
        <v/>
      </c>
      <c r="Y188" s="87">
        <f>+'3F. Revenue &amp; COGS Assumptions'!Z29</f>
        <v/>
      </c>
      <c r="Z188" s="87">
        <f>+'3F. Revenue &amp; COGS Assumptions'!AA29</f>
        <v/>
      </c>
      <c r="AA188" s="87">
        <f>+'3F. Revenue &amp; COGS Assumptions'!AB29</f>
        <v/>
      </c>
      <c r="AB188" s="87">
        <f>+'3F. Revenue &amp; COGS Assumptions'!AC29</f>
        <v/>
      </c>
      <c r="AC188" s="87">
        <f>+'3F. Revenue &amp; COGS Assumptions'!AD29</f>
        <v/>
      </c>
      <c r="AD188" s="1142">
        <f>+'3F. Revenue &amp; COGS Assumptions'!AE29</f>
        <v/>
      </c>
      <c r="AE188" s="87">
        <f>+'3F. Revenue &amp; COGS Assumptions'!AF29</f>
        <v/>
      </c>
      <c r="AF188" s="87">
        <f>+'3F. Revenue &amp; COGS Assumptions'!AG29</f>
        <v/>
      </c>
      <c r="AG188" s="87">
        <f>+'3F. Revenue &amp; COGS Assumptions'!AH29</f>
        <v/>
      </c>
      <c r="AH188" s="87">
        <f>+'3F. Revenue &amp; COGS Assumptions'!AI29</f>
        <v/>
      </c>
      <c r="AI188" s="87">
        <f>+'3F. Revenue &amp; COGS Assumptions'!AJ29</f>
        <v/>
      </c>
      <c r="AJ188" s="1142">
        <f>+'3F. Revenue &amp; COGS Assumptions'!AK29</f>
        <v/>
      </c>
      <c r="AK188" s="87">
        <f>+'3F. Revenue &amp; COGS Assumptions'!AL29</f>
        <v/>
      </c>
      <c r="AL188" s="87">
        <f>+'3F. Revenue &amp; COGS Assumptions'!AM29</f>
        <v/>
      </c>
      <c r="AM188" s="87">
        <f>+'3F. Revenue &amp; COGS Assumptions'!AN29</f>
        <v/>
      </c>
      <c r="AN188" s="87">
        <f>+'3F. Revenue &amp; COGS Assumptions'!AO29</f>
        <v/>
      </c>
      <c r="AO188" s="87">
        <f>+'3F. Revenue &amp; COGS Assumptions'!AP29</f>
        <v/>
      </c>
      <c r="AP188" s="1142">
        <f>+'3F. Revenue &amp; COGS Assumptions'!AQ29</f>
        <v/>
      </c>
      <c r="AQ188" s="87">
        <f>+'3F. Revenue &amp; COGS Assumptions'!AR29</f>
        <v/>
      </c>
      <c r="AR188" s="87">
        <f>+'3F. Revenue &amp; COGS Assumptions'!AS29</f>
        <v/>
      </c>
      <c r="AS188" s="87">
        <f>+'3F. Revenue &amp; COGS Assumptions'!AT29</f>
        <v/>
      </c>
      <c r="AT188" s="87">
        <f>+'3F. Revenue &amp; COGS Assumptions'!AU29</f>
        <v/>
      </c>
      <c r="AU188" s="87">
        <f>+'3F. Revenue &amp; COGS Assumptions'!AV29</f>
        <v/>
      </c>
      <c r="AV188" s="1142">
        <f>+'3F. Revenue &amp; COGS Assumptions'!AW29</f>
        <v/>
      </c>
      <c r="AW188" s="87">
        <f>+'3F. Revenue &amp; COGS Assumptions'!AX29</f>
        <v/>
      </c>
      <c r="AX188" s="87">
        <f>+'3F. Revenue &amp; COGS Assumptions'!AY29</f>
        <v/>
      </c>
      <c r="AY188" s="87">
        <f>+'3F. Revenue &amp; COGS Assumptions'!AZ29</f>
        <v/>
      </c>
      <c r="AZ188" s="87">
        <f>+'3F. Revenue &amp; COGS Assumptions'!BA29</f>
        <v/>
      </c>
      <c r="BA188" s="87">
        <f>+'3F. Revenue &amp; COGS Assumptions'!BB29</f>
        <v/>
      </c>
      <c r="BB188" s="1142">
        <f>+'3F. Revenue &amp; COGS Assumptions'!BC29</f>
        <v/>
      </c>
      <c r="BC188" s="87">
        <f>+'3F. Revenue &amp; COGS Assumptions'!BD29</f>
        <v/>
      </c>
      <c r="BD188" s="87">
        <f>+'3F. Revenue &amp; COGS Assumptions'!BE29</f>
        <v/>
      </c>
      <c r="BE188" s="87">
        <f>+'3F. Revenue &amp; COGS Assumptions'!BF29</f>
        <v/>
      </c>
      <c r="BF188" s="87">
        <f>+'3F. Revenue &amp; COGS Assumptions'!BG29</f>
        <v/>
      </c>
      <c r="BG188" s="87">
        <f>+'3F. Revenue &amp; COGS Assumptions'!BH29</f>
        <v/>
      </c>
      <c r="BH188" s="1142">
        <f>+'3F. Revenue &amp; COGS Assumptions'!BI29</f>
        <v/>
      </c>
      <c r="BI188" s="87">
        <f>+'3F. Revenue &amp; COGS Assumptions'!BJ29</f>
        <v/>
      </c>
      <c r="BJ188" s="87">
        <f>+'3F. Revenue &amp; COGS Assumptions'!BK29</f>
        <v/>
      </c>
      <c r="BK188" s="87">
        <f>+'3F. Revenue &amp; COGS Assumptions'!BL29</f>
        <v/>
      </c>
      <c r="BL188" s="87">
        <f>+'3F. Revenue &amp; COGS Assumptions'!BM29</f>
        <v/>
      </c>
      <c r="BM188" s="87">
        <f>+'3F. Revenue &amp; COGS Assumptions'!BN29</f>
        <v/>
      </c>
      <c r="BN188" s="1142">
        <f>+BM188</f>
        <v/>
      </c>
    </row>
    <row r="189" ht="12.75" customHeight="1" s="1883">
      <c r="B189" s="56" t="n"/>
      <c r="C189" s="1141" t="inlineStr">
        <is>
          <t>Value of Order ($)</t>
        </is>
      </c>
      <c r="D189" s="55" t="n"/>
      <c r="E189" s="71">
        <f>+E188*$D$183</f>
        <v/>
      </c>
      <c r="F189" s="71">
        <f>+F188*$D$183</f>
        <v/>
      </c>
      <c r="G189" s="71">
        <f>+G188*$D$183</f>
        <v/>
      </c>
      <c r="H189" s="71">
        <f>+H188*$D$183</f>
        <v/>
      </c>
      <c r="I189" s="71">
        <f>+I188*$D$183</f>
        <v/>
      </c>
      <c r="J189" s="71">
        <f>+J188*$D$183</f>
        <v/>
      </c>
      <c r="K189" s="71">
        <f>+K188*$D$183</f>
        <v/>
      </c>
      <c r="L189" s="1144">
        <f>+L188*$D$183</f>
        <v/>
      </c>
      <c r="M189" s="71">
        <f>+M188*$D$183</f>
        <v/>
      </c>
      <c r="N189" s="71">
        <f>+N188*$D$183</f>
        <v/>
      </c>
      <c r="O189" s="71">
        <f>+O188*$D$183</f>
        <v/>
      </c>
      <c r="P189" s="71">
        <f>+P188*$D$183</f>
        <v/>
      </c>
      <c r="Q189" s="71">
        <f>+Q188*$D$183</f>
        <v/>
      </c>
      <c r="R189" s="1144">
        <f>+R188*$D$183</f>
        <v/>
      </c>
      <c r="S189" s="71">
        <f>+S188*$D$183</f>
        <v/>
      </c>
      <c r="T189" s="71">
        <f>+T188*$D$183</f>
        <v/>
      </c>
      <c r="U189" s="71">
        <f>+U188*$D$183</f>
        <v/>
      </c>
      <c r="V189" s="71">
        <f>+V188*$D$183</f>
        <v/>
      </c>
      <c r="W189" s="71">
        <f>+W188*$D$183</f>
        <v/>
      </c>
      <c r="X189" s="1144">
        <f>+X188*$D$183</f>
        <v/>
      </c>
      <c r="Y189" s="71">
        <f>+Y188*$D$183</f>
        <v/>
      </c>
      <c r="Z189" s="71">
        <f>+Z188*$D$183</f>
        <v/>
      </c>
      <c r="AA189" s="71">
        <f>+AA188*$D$183</f>
        <v/>
      </c>
      <c r="AB189" s="71">
        <f>+AB188*$D$183</f>
        <v/>
      </c>
      <c r="AC189" s="71">
        <f>+AC188*$D$183</f>
        <v/>
      </c>
      <c r="AD189" s="1144">
        <f>+AD188*$D$183</f>
        <v/>
      </c>
      <c r="AE189" s="71">
        <f>+AE188*$D$183</f>
        <v/>
      </c>
      <c r="AF189" s="71">
        <f>+AF188*$D$183</f>
        <v/>
      </c>
      <c r="AG189" s="71">
        <f>+AG188*$D$183</f>
        <v/>
      </c>
      <c r="AH189" s="71">
        <f>+AH188*$D$183</f>
        <v/>
      </c>
      <c r="AI189" s="71">
        <f>+AI188*$D$183</f>
        <v/>
      </c>
      <c r="AJ189" s="1144">
        <f>+AJ188*$D$183</f>
        <v/>
      </c>
      <c r="AK189" s="71">
        <f>+AK188*$D$183</f>
        <v/>
      </c>
      <c r="AL189" s="71">
        <f>+AL188*$D$183</f>
        <v/>
      </c>
      <c r="AM189" s="71">
        <f>+AM188*$D$183</f>
        <v/>
      </c>
      <c r="AN189" s="71">
        <f>+AN188*$D$183</f>
        <v/>
      </c>
      <c r="AO189" s="71">
        <f>+AO188*$D$183</f>
        <v/>
      </c>
      <c r="AP189" s="1144">
        <f>+AP188*$D$183</f>
        <v/>
      </c>
      <c r="AQ189" s="71">
        <f>+AQ188*$D$183</f>
        <v/>
      </c>
      <c r="AR189" s="71">
        <f>+AR188*$D$183</f>
        <v/>
      </c>
      <c r="AS189" s="71">
        <f>+AS188*$D$183</f>
        <v/>
      </c>
      <c r="AT189" s="71">
        <f>+AT188*$D$183</f>
        <v/>
      </c>
      <c r="AU189" s="71">
        <f>+AU188*$D$183</f>
        <v/>
      </c>
      <c r="AV189" s="1144">
        <f>+AV188*$D$183</f>
        <v/>
      </c>
      <c r="AW189" s="71">
        <f>+AW188*$D$183</f>
        <v/>
      </c>
      <c r="AX189" s="71">
        <f>+AX188*$D$183</f>
        <v/>
      </c>
      <c r="AY189" s="71">
        <f>+AY188*$D$183</f>
        <v/>
      </c>
      <c r="AZ189" s="71">
        <f>+AZ188*$D$183</f>
        <v/>
      </c>
      <c r="BA189" s="71">
        <f>+BA188*$D$183</f>
        <v/>
      </c>
      <c r="BB189" s="1144">
        <f>+BB188*$D$183</f>
        <v/>
      </c>
      <c r="BC189" s="71">
        <f>+BC188*$D$183</f>
        <v/>
      </c>
      <c r="BD189" s="71">
        <f>+BD188*$D$183</f>
        <v/>
      </c>
      <c r="BE189" s="71">
        <f>+BE188*$D$183</f>
        <v/>
      </c>
      <c r="BF189" s="71">
        <f>+BF188*$D$183</f>
        <v/>
      </c>
      <c r="BG189" s="71">
        <f>+BG188*$D$183</f>
        <v/>
      </c>
      <c r="BH189" s="1144">
        <f>+BH188*$D$183</f>
        <v/>
      </c>
      <c r="BI189" s="71">
        <f>+BI188*$D$183</f>
        <v/>
      </c>
      <c r="BJ189" s="71">
        <f>+BJ188*$D$183</f>
        <v/>
      </c>
      <c r="BK189" s="71">
        <f>+BK188*$D$183</f>
        <v/>
      </c>
      <c r="BL189" s="71">
        <f>+BL188*$D$183</f>
        <v/>
      </c>
      <c r="BM189" s="71">
        <f>+BM188*$D$183</f>
        <v/>
      </c>
      <c r="BN189" s="1144">
        <f>+BN188*$D$183</f>
        <v/>
      </c>
    </row>
    <row r="190" ht="12.75" customHeight="1" s="1883">
      <c r="B190" s="56" t="n"/>
      <c r="C190" s="1038" t="n"/>
      <c r="D190" s="55" t="n"/>
      <c r="E190" s="57" t="n"/>
      <c r="F190" s="57" t="n"/>
      <c r="G190" s="59" t="n"/>
      <c r="H190" s="59" t="n"/>
      <c r="I190" s="59" t="n"/>
      <c r="J190" s="59" t="n"/>
      <c r="K190" s="59" t="n"/>
      <c r="L190" s="1039" t="n"/>
      <c r="M190" s="59" t="n"/>
      <c r="N190" s="59" t="n"/>
      <c r="O190" s="59" t="n"/>
      <c r="P190" s="59" t="n"/>
      <c r="Q190" s="59" t="n"/>
      <c r="R190" s="1039" t="n"/>
      <c r="S190" s="59" t="n"/>
      <c r="T190" s="59" t="n"/>
      <c r="U190" s="59" t="n"/>
      <c r="V190" s="59" t="n"/>
      <c r="W190" s="59" t="n"/>
      <c r="X190" s="1039" t="n"/>
      <c r="Y190" s="59" t="n"/>
      <c r="Z190" s="59" t="n"/>
      <c r="AA190" s="59" t="n"/>
      <c r="AB190" s="59" t="n"/>
      <c r="AC190" s="59" t="n"/>
      <c r="AD190" s="1039" t="n"/>
      <c r="AE190" s="59" t="n"/>
      <c r="AF190" s="59" t="n"/>
      <c r="AG190" s="59" t="n"/>
      <c r="AH190" s="59" t="n"/>
      <c r="AI190" s="59" t="n"/>
      <c r="AJ190" s="1039" t="n"/>
      <c r="AK190" s="59" t="n"/>
      <c r="AL190" s="59" t="n"/>
      <c r="AM190" s="59" t="n"/>
      <c r="AN190" s="59" t="n"/>
      <c r="AO190" s="59" t="n"/>
      <c r="AP190" s="1039" t="n"/>
      <c r="AQ190" s="59" t="n"/>
      <c r="AR190" s="59" t="n"/>
      <c r="AS190" s="59" t="n"/>
      <c r="AT190" s="59" t="n"/>
      <c r="AU190" s="59" t="n"/>
      <c r="AV190" s="1039" t="n"/>
      <c r="AW190" s="59" t="n"/>
      <c r="AX190" s="59" t="n"/>
      <c r="AY190" s="59" t="n"/>
      <c r="AZ190" s="59" t="n"/>
      <c r="BA190" s="59" t="n"/>
      <c r="BB190" s="1039" t="n"/>
      <c r="BC190" s="59" t="n"/>
      <c r="BD190" s="59" t="n"/>
      <c r="BE190" s="59" t="n"/>
      <c r="BF190" s="59" t="n"/>
      <c r="BG190" s="59" t="n"/>
      <c r="BH190" s="1039" t="n"/>
      <c r="BI190" s="59" t="n"/>
      <c r="BJ190" s="59" t="n"/>
      <c r="BK190" s="59" t="n"/>
      <c r="BL190" s="59" t="n"/>
      <c r="BM190" s="59" t="n"/>
      <c r="BN190" s="1039" t="n"/>
    </row>
    <row r="191" ht="12.75" customHeight="1" s="1883">
      <c r="B191" s="56" t="inlineStr">
        <is>
          <t>BS</t>
        </is>
      </c>
      <c r="C191" s="1152" t="inlineStr">
        <is>
          <t>Customer Deposits</t>
        </is>
      </c>
      <c r="D191" s="86">
        <f>+$D$180</f>
        <v/>
      </c>
      <c r="E191" s="198">
        <f>+E189*$D191</f>
        <v/>
      </c>
      <c r="F191" s="198">
        <f>+F189*$D191</f>
        <v/>
      </c>
      <c r="G191" s="198">
        <f>+G189*$D191</f>
        <v/>
      </c>
      <c r="H191" s="198">
        <f>+H189*$D191</f>
        <v/>
      </c>
      <c r="I191" s="198">
        <f>+I189*$D191</f>
        <v/>
      </c>
      <c r="J191" s="198">
        <f>+J189*$D191</f>
        <v/>
      </c>
      <c r="K191" s="198">
        <f>+K189*$D191</f>
        <v/>
      </c>
      <c r="L191" s="1145">
        <f>+L189*$D191</f>
        <v/>
      </c>
      <c r="M191" s="198">
        <f>+M189*$D191</f>
        <v/>
      </c>
      <c r="N191" s="198">
        <f>+N189*$D191</f>
        <v/>
      </c>
      <c r="O191" s="198">
        <f>+O189*$D191</f>
        <v/>
      </c>
      <c r="P191" s="198">
        <f>+P189*$D191</f>
        <v/>
      </c>
      <c r="Q191" s="198">
        <f>+Q189*$D191</f>
        <v/>
      </c>
      <c r="R191" s="1145">
        <f>+R189*$D191</f>
        <v/>
      </c>
      <c r="S191" s="198">
        <f>+S189*$D191</f>
        <v/>
      </c>
      <c r="T191" s="198">
        <f>+T189*$D191</f>
        <v/>
      </c>
      <c r="U191" s="198">
        <f>+U189*$D191</f>
        <v/>
      </c>
      <c r="V191" s="198">
        <f>+V189*$D191</f>
        <v/>
      </c>
      <c r="W191" s="198">
        <f>+W189*$D191</f>
        <v/>
      </c>
      <c r="X191" s="1145">
        <f>+X189*$D191</f>
        <v/>
      </c>
      <c r="Y191" s="198">
        <f>+Y189*$D191</f>
        <v/>
      </c>
      <c r="Z191" s="198">
        <f>+Z189*$D191</f>
        <v/>
      </c>
      <c r="AA191" s="198">
        <f>+AA189*$D191</f>
        <v/>
      </c>
      <c r="AB191" s="198">
        <f>+AB189*$D191</f>
        <v/>
      </c>
      <c r="AC191" s="198">
        <f>+AC189*$D191</f>
        <v/>
      </c>
      <c r="AD191" s="1145">
        <f>+AD189*$D191</f>
        <v/>
      </c>
      <c r="AE191" s="198">
        <f>+AE189*$D191</f>
        <v/>
      </c>
      <c r="AF191" s="198">
        <f>+AF189*$D191</f>
        <v/>
      </c>
      <c r="AG191" s="198">
        <f>+AG189*$D191</f>
        <v/>
      </c>
      <c r="AH191" s="198">
        <f>+AH189*$D191</f>
        <v/>
      </c>
      <c r="AI191" s="198">
        <f>+AI189*$D191</f>
        <v/>
      </c>
      <c r="AJ191" s="1145">
        <f>+AJ189*$D191</f>
        <v/>
      </c>
      <c r="AK191" s="198">
        <f>+AK189*$D191</f>
        <v/>
      </c>
      <c r="AL191" s="198">
        <f>+AL189*$D191</f>
        <v/>
      </c>
      <c r="AM191" s="198">
        <f>+AM189*$D191</f>
        <v/>
      </c>
      <c r="AN191" s="198">
        <f>+AN189*$D191</f>
        <v/>
      </c>
      <c r="AO191" s="198">
        <f>+AO189*$D191</f>
        <v/>
      </c>
      <c r="AP191" s="1145">
        <f>+AP189*$D191</f>
        <v/>
      </c>
      <c r="AQ191" s="198">
        <f>+AQ189*$D191</f>
        <v/>
      </c>
      <c r="AR191" s="198">
        <f>+AR189*$D191</f>
        <v/>
      </c>
      <c r="AS191" s="198">
        <f>+AS189*$D191</f>
        <v/>
      </c>
      <c r="AT191" s="198">
        <f>+AT189*$D191</f>
        <v/>
      </c>
      <c r="AU191" s="198">
        <f>+AU189*$D191</f>
        <v/>
      </c>
      <c r="AV191" s="1145">
        <f>+AV189*$D191</f>
        <v/>
      </c>
      <c r="AW191" s="198">
        <f>+AW189*$D191</f>
        <v/>
      </c>
      <c r="AX191" s="198">
        <f>+AX189*$D191</f>
        <v/>
      </c>
      <c r="AY191" s="198">
        <f>+AY189*$D191</f>
        <v/>
      </c>
      <c r="AZ191" s="198">
        <f>+AZ189*$D191</f>
        <v/>
      </c>
      <c r="BA191" s="198">
        <f>+BA189*$D191</f>
        <v/>
      </c>
      <c r="BB191" s="1145">
        <f>+BB189*$D191</f>
        <v/>
      </c>
      <c r="BC191" s="198">
        <f>+BC189*$D191</f>
        <v/>
      </c>
      <c r="BD191" s="198">
        <f>+BD189*$D191</f>
        <v/>
      </c>
      <c r="BE191" s="198">
        <f>+BE189*$D191</f>
        <v/>
      </c>
      <c r="BF191" s="198">
        <f>+BF189*$D191</f>
        <v/>
      </c>
      <c r="BG191" s="198">
        <f>+BG189*$D191</f>
        <v/>
      </c>
      <c r="BH191" s="1145">
        <f>+BH189*$D191</f>
        <v/>
      </c>
      <c r="BI191" s="198">
        <f>+BI189*$D191</f>
        <v/>
      </c>
      <c r="BJ191" s="198">
        <f>+BJ189*$D191</f>
        <v/>
      </c>
      <c r="BK191" s="198">
        <f>+BK189*$D191</f>
        <v/>
      </c>
      <c r="BL191" s="198">
        <f>+BL189*$D191</f>
        <v/>
      </c>
      <c r="BM191" s="198">
        <f>+BM189*$D191</f>
        <v/>
      </c>
      <c r="BN191" s="1145">
        <f>+BN189*$D191</f>
        <v/>
      </c>
    </row>
    <row r="192" ht="12.75" customHeight="1" s="1883">
      <c r="B192" s="56" t="n"/>
      <c r="C192" s="1152" t="inlineStr">
        <is>
          <t>Final Payment</t>
        </is>
      </c>
      <c r="D192" s="86">
        <f>+$D$181</f>
        <v/>
      </c>
      <c r="E192" s="71">
        <f>+D189*$D192</f>
        <v/>
      </c>
      <c r="F192" s="71">
        <f>+E189*$D192</f>
        <v/>
      </c>
      <c r="G192" s="71">
        <f>+F189*$D192</f>
        <v/>
      </c>
      <c r="H192" s="71">
        <f>+G189*$D192</f>
        <v/>
      </c>
      <c r="I192" s="71">
        <f>+H189*$D192</f>
        <v/>
      </c>
      <c r="J192" s="71">
        <f>+I189*$D192</f>
        <v/>
      </c>
      <c r="K192" s="71">
        <f>+J189*$D192</f>
        <v/>
      </c>
      <c r="L192" s="1144">
        <f>+K189*$D192</f>
        <v/>
      </c>
      <c r="M192" s="71">
        <f>+L189*$D192</f>
        <v/>
      </c>
      <c r="N192" s="71">
        <f>+M189*$D192</f>
        <v/>
      </c>
      <c r="O192" s="71">
        <f>+N189*$D192</f>
        <v/>
      </c>
      <c r="P192" s="71">
        <f>+O189*$D192</f>
        <v/>
      </c>
      <c r="Q192" s="71">
        <f>+P189*$D192</f>
        <v/>
      </c>
      <c r="R192" s="1144">
        <f>+Q189*$D192</f>
        <v/>
      </c>
      <c r="S192" s="71">
        <f>+R189*$D192</f>
        <v/>
      </c>
      <c r="T192" s="71">
        <f>+S189*$D192</f>
        <v/>
      </c>
      <c r="U192" s="71">
        <f>+T189*$D192</f>
        <v/>
      </c>
      <c r="V192" s="71">
        <f>+U189*$D192</f>
        <v/>
      </c>
      <c r="W192" s="71">
        <f>+V189*$D192</f>
        <v/>
      </c>
      <c r="X192" s="1144">
        <f>+W189*$D192</f>
        <v/>
      </c>
      <c r="Y192" s="71">
        <f>+X189*$D192</f>
        <v/>
      </c>
      <c r="Z192" s="71">
        <f>+Y189*$D192</f>
        <v/>
      </c>
      <c r="AA192" s="71">
        <f>+Z189*$D192</f>
        <v/>
      </c>
      <c r="AB192" s="71">
        <f>+AA189*$D192</f>
        <v/>
      </c>
      <c r="AC192" s="71">
        <f>+AB189*$D192</f>
        <v/>
      </c>
      <c r="AD192" s="1144">
        <f>+AC189*$D192</f>
        <v/>
      </c>
      <c r="AE192" s="71">
        <f>+AD189*$D192</f>
        <v/>
      </c>
      <c r="AF192" s="71">
        <f>+AE189*$D192</f>
        <v/>
      </c>
      <c r="AG192" s="71">
        <f>+AF189*$D192</f>
        <v/>
      </c>
      <c r="AH192" s="71">
        <f>+AG189*$D192</f>
        <v/>
      </c>
      <c r="AI192" s="71">
        <f>+AH189*$D192</f>
        <v/>
      </c>
      <c r="AJ192" s="1144">
        <f>+AI189*$D192</f>
        <v/>
      </c>
      <c r="AK192" s="71">
        <f>+AJ189*$D192</f>
        <v/>
      </c>
      <c r="AL192" s="71">
        <f>+AK189*$D192</f>
        <v/>
      </c>
      <c r="AM192" s="71">
        <f>+AL189*$D192</f>
        <v/>
      </c>
      <c r="AN192" s="71">
        <f>+AM189*$D192</f>
        <v/>
      </c>
      <c r="AO192" s="71">
        <f>+AN189*$D192</f>
        <v/>
      </c>
      <c r="AP192" s="1144">
        <f>+AO189*$D192</f>
        <v/>
      </c>
      <c r="AQ192" s="71">
        <f>+AP189*$D192</f>
        <v/>
      </c>
      <c r="AR192" s="71">
        <f>+AQ189*$D192</f>
        <v/>
      </c>
      <c r="AS192" s="71">
        <f>+AR189*$D192</f>
        <v/>
      </c>
      <c r="AT192" s="71">
        <f>+AS189*$D192</f>
        <v/>
      </c>
      <c r="AU192" s="71">
        <f>+AT189*$D192</f>
        <v/>
      </c>
      <c r="AV192" s="1144">
        <f>+AU189*$D192</f>
        <v/>
      </c>
      <c r="AW192" s="71">
        <f>+AV189*$D192</f>
        <v/>
      </c>
      <c r="AX192" s="71">
        <f>+AW189*$D192</f>
        <v/>
      </c>
      <c r="AY192" s="71">
        <f>+AX189*$D192</f>
        <v/>
      </c>
      <c r="AZ192" s="71">
        <f>+AY189*$D192</f>
        <v/>
      </c>
      <c r="BA192" s="71">
        <f>+AZ189*$D192</f>
        <v/>
      </c>
      <c r="BB192" s="1144">
        <f>+BA189*$D192</f>
        <v/>
      </c>
      <c r="BC192" s="71">
        <f>+BB189*$D192</f>
        <v/>
      </c>
      <c r="BD192" s="71">
        <f>+BC189*$D192</f>
        <v/>
      </c>
      <c r="BE192" s="71">
        <f>+BD189*$D192</f>
        <v/>
      </c>
      <c r="BF192" s="71">
        <f>+BE189*$D192</f>
        <v/>
      </c>
      <c r="BG192" s="71">
        <f>+BF189*$D192</f>
        <v/>
      </c>
      <c r="BH192" s="1144">
        <f>+BG189*$D192</f>
        <v/>
      </c>
      <c r="BI192" s="71">
        <f>+BH189*$D192</f>
        <v/>
      </c>
      <c r="BJ192" s="71">
        <f>+BI189*$D192</f>
        <v/>
      </c>
      <c r="BK192" s="71">
        <f>+BJ189*$D192</f>
        <v/>
      </c>
      <c r="BL192" s="71">
        <f>+BK189*$D192</f>
        <v/>
      </c>
      <c r="BM192" s="71">
        <f>+BL189*$D192</f>
        <v/>
      </c>
      <c r="BN192" s="1144">
        <f>+BM189*$D192</f>
        <v/>
      </c>
    </row>
    <row r="193" ht="12.75" customHeight="1" s="1883">
      <c r="B193" s="56" t="n"/>
      <c r="C193" s="1138" t="n"/>
      <c r="D193" s="1124" t="n"/>
      <c r="E193" s="1139" t="n"/>
      <c r="F193" s="1139" t="n"/>
      <c r="G193" s="1063" t="n"/>
      <c r="H193" s="1063" t="n"/>
      <c r="I193" s="1063" t="n"/>
      <c r="J193" s="1063" t="n"/>
      <c r="K193" s="1063" t="n"/>
      <c r="L193" s="164" t="n"/>
      <c r="M193" s="1063" t="n"/>
      <c r="N193" s="1063" t="n"/>
      <c r="O193" s="1063" t="n"/>
      <c r="P193" s="1063" t="n"/>
      <c r="Q193" s="1063" t="n"/>
      <c r="R193" s="164" t="n"/>
      <c r="S193" s="59" t="n"/>
      <c r="T193" s="59" t="n"/>
      <c r="U193" s="59" t="n"/>
      <c r="V193" s="59" t="n"/>
      <c r="W193" s="59" t="n"/>
      <c r="X193" s="1039" t="n"/>
      <c r="Y193" s="59" t="n"/>
      <c r="Z193" s="59" t="n"/>
      <c r="AA193" s="59" t="n"/>
      <c r="AB193" s="59" t="n"/>
      <c r="AC193" s="59" t="n"/>
      <c r="AD193" s="1039" t="n"/>
      <c r="AE193" s="59" t="n"/>
      <c r="AF193" s="59" t="n"/>
      <c r="AG193" s="59" t="n"/>
      <c r="AH193" s="59" t="n"/>
      <c r="AI193" s="59" t="n"/>
      <c r="AJ193" s="1039" t="n"/>
      <c r="AK193" s="59" t="n"/>
      <c r="AL193" s="59" t="n"/>
      <c r="AM193" s="59" t="n"/>
      <c r="AN193" s="59" t="n"/>
      <c r="AO193" s="59" t="n"/>
      <c r="AP193" s="1039" t="n"/>
      <c r="AQ193" s="59" t="n"/>
      <c r="AR193" s="59" t="n"/>
      <c r="AS193" s="59" t="n"/>
      <c r="AT193" s="59" t="n"/>
      <c r="AU193" s="59" t="n"/>
      <c r="AV193" s="1039" t="n"/>
      <c r="AW193" s="59" t="n"/>
      <c r="AX193" s="59" t="n"/>
      <c r="AY193" s="59" t="n"/>
      <c r="AZ193" s="59" t="n"/>
      <c r="BA193" s="59" t="n"/>
      <c r="BB193" s="1039" t="n"/>
      <c r="BC193" s="59" t="n"/>
      <c r="BD193" s="59" t="n"/>
      <c r="BE193" s="59" t="n"/>
      <c r="BF193" s="59" t="n"/>
      <c r="BG193" s="59" t="n"/>
      <c r="BH193" s="1039" t="n"/>
      <c r="BI193" s="59" t="n"/>
      <c r="BJ193" s="59" t="n"/>
      <c r="BK193" s="59" t="n"/>
      <c r="BL193" s="59" t="n"/>
      <c r="BM193" s="59" t="n"/>
      <c r="BN193" s="1039" t="n"/>
    </row>
    <row r="194" ht="12.75" customHeight="1" s="1883">
      <c r="B194" s="56" t="n"/>
      <c r="C194" s="1114" t="inlineStr">
        <is>
          <t>Companion App</t>
        </is>
      </c>
      <c r="D194" s="55" t="n"/>
      <c r="E194" s="1140">
        <f>+E187</f>
        <v/>
      </c>
      <c r="F194" s="1140">
        <f>+F187</f>
        <v/>
      </c>
      <c r="G194" s="1140">
        <f>+G187</f>
        <v/>
      </c>
      <c r="H194" s="1140">
        <f>+H187</f>
        <v/>
      </c>
      <c r="I194" s="1140">
        <f>+I187</f>
        <v/>
      </c>
      <c r="J194" s="1140">
        <f>+J187</f>
        <v/>
      </c>
      <c r="K194" s="1140">
        <f>+K187</f>
        <v/>
      </c>
      <c r="L194" s="196">
        <f>+L187</f>
        <v/>
      </c>
      <c r="M194" s="1140">
        <f>+M187</f>
        <v/>
      </c>
      <c r="N194" s="1140">
        <f>+N187</f>
        <v/>
      </c>
      <c r="O194" s="1140">
        <f>+O187</f>
        <v/>
      </c>
      <c r="P194" s="1140">
        <f>+P187</f>
        <v/>
      </c>
      <c r="Q194" s="1140">
        <f>+Q187</f>
        <v/>
      </c>
      <c r="R194" s="196">
        <f>+R187</f>
        <v/>
      </c>
      <c r="S194" s="1140">
        <f>+S187</f>
        <v/>
      </c>
      <c r="T194" s="1140">
        <f>+T187</f>
        <v/>
      </c>
      <c r="U194" s="1140">
        <f>+U187</f>
        <v/>
      </c>
      <c r="V194" s="1140">
        <f>+V187</f>
        <v/>
      </c>
      <c r="W194" s="1140">
        <f>+W187</f>
        <v/>
      </c>
      <c r="X194" s="196">
        <f>+X187</f>
        <v/>
      </c>
      <c r="Y194" s="1140">
        <f>+Y187</f>
        <v/>
      </c>
      <c r="Z194" s="1140">
        <f>+Z187</f>
        <v/>
      </c>
      <c r="AA194" s="1140">
        <f>+AA187</f>
        <v/>
      </c>
      <c r="AB194" s="1140">
        <f>+AB187</f>
        <v/>
      </c>
      <c r="AC194" s="1140">
        <f>+AC187</f>
        <v/>
      </c>
      <c r="AD194" s="196">
        <f>+AD187</f>
        <v/>
      </c>
      <c r="AE194" s="1140">
        <f>+AE187</f>
        <v/>
      </c>
      <c r="AF194" s="1140">
        <f>+AF187</f>
        <v/>
      </c>
      <c r="AG194" s="1140">
        <f>+AG187</f>
        <v/>
      </c>
      <c r="AH194" s="1140">
        <f>+AH187</f>
        <v/>
      </c>
      <c r="AI194" s="1140">
        <f>+AI187</f>
        <v/>
      </c>
      <c r="AJ194" s="196">
        <f>+AJ187</f>
        <v/>
      </c>
      <c r="AK194" s="1140">
        <f>+AK187</f>
        <v/>
      </c>
      <c r="AL194" s="1140">
        <f>+AL187</f>
        <v/>
      </c>
      <c r="AM194" s="1140">
        <f>+AM187</f>
        <v/>
      </c>
      <c r="AN194" s="1140">
        <f>+AN187</f>
        <v/>
      </c>
      <c r="AO194" s="1140">
        <f>+AO187</f>
        <v/>
      </c>
      <c r="AP194" s="196">
        <f>+AP187</f>
        <v/>
      </c>
      <c r="AQ194" s="1140">
        <f>+AQ187</f>
        <v/>
      </c>
      <c r="AR194" s="1140">
        <f>+AR187</f>
        <v/>
      </c>
      <c r="AS194" s="1140">
        <f>+AS187</f>
        <v/>
      </c>
      <c r="AT194" s="1140">
        <f>+AT187</f>
        <v/>
      </c>
      <c r="AU194" s="1140">
        <f>+AU187</f>
        <v/>
      </c>
      <c r="AV194" s="196">
        <f>+AV187</f>
        <v/>
      </c>
      <c r="AW194" s="1140">
        <f>+AW187</f>
        <v/>
      </c>
      <c r="AX194" s="1140">
        <f>+AX187</f>
        <v/>
      </c>
      <c r="AY194" s="1140">
        <f>+AY187</f>
        <v/>
      </c>
      <c r="AZ194" s="1140">
        <f>+AZ187</f>
        <v/>
      </c>
      <c r="BA194" s="1140">
        <f>+BA187</f>
        <v/>
      </c>
      <c r="BB194" s="196">
        <f>+BB187</f>
        <v/>
      </c>
      <c r="BC194" s="1140">
        <f>+BC187</f>
        <v/>
      </c>
      <c r="BD194" s="1140">
        <f>+BD187</f>
        <v/>
      </c>
      <c r="BE194" s="1140">
        <f>+BE187</f>
        <v/>
      </c>
      <c r="BF194" s="1140">
        <f>+BF187</f>
        <v/>
      </c>
      <c r="BG194" s="1140">
        <f>+BG187</f>
        <v/>
      </c>
      <c r="BH194" s="196">
        <f>+BH187</f>
        <v/>
      </c>
      <c r="BI194" s="1140">
        <f>+BI187</f>
        <v/>
      </c>
      <c r="BJ194" s="1140">
        <f>+BJ187</f>
        <v/>
      </c>
      <c r="BK194" s="1140">
        <f>+BK187</f>
        <v/>
      </c>
      <c r="BL194" s="1140">
        <f>+BL187</f>
        <v/>
      </c>
      <c r="BM194" s="1140">
        <f>+BM187</f>
        <v/>
      </c>
      <c r="BN194" s="196">
        <f>+BN187</f>
        <v/>
      </c>
    </row>
    <row r="195" ht="12.75" customHeight="1" s="1883">
      <c r="B195" s="56" t="n"/>
      <c r="C195" s="1141" t="inlineStr">
        <is>
          <t>Units Ordered</t>
        </is>
      </c>
      <c r="D195" s="55" t="n"/>
      <c r="E195" s="87">
        <f>+'6B. Pre-Launch Exps. - Detail'!P201</f>
        <v/>
      </c>
      <c r="F195" s="87">
        <f>+'6B. Pre-Launch Exps. - Detail'!Q201</f>
        <v/>
      </c>
      <c r="G195" s="87">
        <f>+'3F. Revenue &amp; COGS Assumptions'!H40</f>
        <v/>
      </c>
      <c r="H195" s="87">
        <f>+'3F. Revenue &amp; COGS Assumptions'!I40</f>
        <v/>
      </c>
      <c r="I195" s="87">
        <f>+'3F. Revenue &amp; COGS Assumptions'!J40</f>
        <v/>
      </c>
      <c r="J195" s="87">
        <f>+'3F. Revenue &amp; COGS Assumptions'!K40</f>
        <v/>
      </c>
      <c r="K195" s="87">
        <f>+'3F. Revenue &amp; COGS Assumptions'!L40</f>
        <v/>
      </c>
      <c r="L195" s="1142">
        <f>+'3F. Revenue &amp; COGS Assumptions'!M40</f>
        <v/>
      </c>
      <c r="M195" s="87">
        <f>+'3F. Revenue &amp; COGS Assumptions'!N40</f>
        <v/>
      </c>
      <c r="N195" s="87">
        <f>+'3F. Revenue &amp; COGS Assumptions'!O40</f>
        <v/>
      </c>
      <c r="O195" s="87">
        <f>+'3F. Revenue &amp; COGS Assumptions'!P40</f>
        <v/>
      </c>
      <c r="P195" s="87">
        <f>+'3F. Revenue &amp; COGS Assumptions'!Q40</f>
        <v/>
      </c>
      <c r="Q195" s="87">
        <f>+'3F. Revenue &amp; COGS Assumptions'!R40</f>
        <v/>
      </c>
      <c r="R195" s="1142">
        <f>+'3F. Revenue &amp; COGS Assumptions'!S40</f>
        <v/>
      </c>
      <c r="S195" s="87">
        <f>+'3F. Revenue &amp; COGS Assumptions'!T40</f>
        <v/>
      </c>
      <c r="T195" s="87">
        <f>+'3F. Revenue &amp; COGS Assumptions'!U40</f>
        <v/>
      </c>
      <c r="U195" s="87">
        <f>+'3F. Revenue &amp; COGS Assumptions'!V40</f>
        <v/>
      </c>
      <c r="V195" s="87">
        <f>+'3F. Revenue &amp; COGS Assumptions'!W40</f>
        <v/>
      </c>
      <c r="W195" s="87">
        <f>+'3F. Revenue &amp; COGS Assumptions'!X40</f>
        <v/>
      </c>
      <c r="X195" s="1142">
        <f>+'3F. Revenue &amp; COGS Assumptions'!Y40</f>
        <v/>
      </c>
      <c r="Y195" s="87">
        <f>+'3F. Revenue &amp; COGS Assumptions'!Z40</f>
        <v/>
      </c>
      <c r="Z195" s="87">
        <f>+'3F. Revenue &amp; COGS Assumptions'!AA40</f>
        <v/>
      </c>
      <c r="AA195" s="87">
        <f>+'3F. Revenue &amp; COGS Assumptions'!AB40</f>
        <v/>
      </c>
      <c r="AB195" s="87">
        <f>+'3F. Revenue &amp; COGS Assumptions'!AC40</f>
        <v/>
      </c>
      <c r="AC195" s="87">
        <f>+'3F. Revenue &amp; COGS Assumptions'!AD40</f>
        <v/>
      </c>
      <c r="AD195" s="1142">
        <f>+'3F. Revenue &amp; COGS Assumptions'!AE40</f>
        <v/>
      </c>
      <c r="AE195" s="87">
        <f>+'3F. Revenue &amp; COGS Assumptions'!AF40</f>
        <v/>
      </c>
      <c r="AF195" s="87">
        <f>+'3F. Revenue &amp; COGS Assumptions'!AG40</f>
        <v/>
      </c>
      <c r="AG195" s="87">
        <f>+'3F. Revenue &amp; COGS Assumptions'!AH40</f>
        <v/>
      </c>
      <c r="AH195" s="87">
        <f>+'3F. Revenue &amp; COGS Assumptions'!AI40</f>
        <v/>
      </c>
      <c r="AI195" s="87">
        <f>+'3F. Revenue &amp; COGS Assumptions'!AJ40</f>
        <v/>
      </c>
      <c r="AJ195" s="1142">
        <f>+'3F. Revenue &amp; COGS Assumptions'!AK40</f>
        <v/>
      </c>
      <c r="AK195" s="87">
        <f>+'3F. Revenue &amp; COGS Assumptions'!AL40</f>
        <v/>
      </c>
      <c r="AL195" s="87">
        <f>+'3F. Revenue &amp; COGS Assumptions'!AM40</f>
        <v/>
      </c>
      <c r="AM195" s="87">
        <f>+'3F. Revenue &amp; COGS Assumptions'!AN40</f>
        <v/>
      </c>
      <c r="AN195" s="87">
        <f>+'3F. Revenue &amp; COGS Assumptions'!AO40</f>
        <v/>
      </c>
      <c r="AO195" s="87">
        <f>+'3F. Revenue &amp; COGS Assumptions'!AP40</f>
        <v/>
      </c>
      <c r="AP195" s="1142">
        <f>+'3F. Revenue &amp; COGS Assumptions'!AQ40</f>
        <v/>
      </c>
      <c r="AQ195" s="87">
        <f>+'3F. Revenue &amp; COGS Assumptions'!AR40</f>
        <v/>
      </c>
      <c r="AR195" s="87">
        <f>+'3F. Revenue &amp; COGS Assumptions'!AS40</f>
        <v/>
      </c>
      <c r="AS195" s="87">
        <f>+'3F. Revenue &amp; COGS Assumptions'!AT40</f>
        <v/>
      </c>
      <c r="AT195" s="87">
        <f>+'3F. Revenue &amp; COGS Assumptions'!AU40</f>
        <v/>
      </c>
      <c r="AU195" s="87">
        <f>+'3F. Revenue &amp; COGS Assumptions'!AV40</f>
        <v/>
      </c>
      <c r="AV195" s="1142">
        <f>+'3F. Revenue &amp; COGS Assumptions'!AW40</f>
        <v/>
      </c>
      <c r="AW195" s="87">
        <f>+'3F. Revenue &amp; COGS Assumptions'!AX40</f>
        <v/>
      </c>
      <c r="AX195" s="87">
        <f>+'3F. Revenue &amp; COGS Assumptions'!AY40</f>
        <v/>
      </c>
      <c r="AY195" s="87">
        <f>+'3F. Revenue &amp; COGS Assumptions'!AZ40</f>
        <v/>
      </c>
      <c r="AZ195" s="87">
        <f>+'3F. Revenue &amp; COGS Assumptions'!BA40</f>
        <v/>
      </c>
      <c r="BA195" s="87">
        <f>+'3F. Revenue &amp; COGS Assumptions'!BB40</f>
        <v/>
      </c>
      <c r="BB195" s="1142">
        <f>+'3F. Revenue &amp; COGS Assumptions'!BC40</f>
        <v/>
      </c>
      <c r="BC195" s="87">
        <f>+'3F. Revenue &amp; COGS Assumptions'!BD40</f>
        <v/>
      </c>
      <c r="BD195" s="87">
        <f>+'3F. Revenue &amp; COGS Assumptions'!BE40</f>
        <v/>
      </c>
      <c r="BE195" s="87">
        <f>+'3F. Revenue &amp; COGS Assumptions'!BF40</f>
        <v/>
      </c>
      <c r="BF195" s="87">
        <f>+'3F. Revenue &amp; COGS Assumptions'!BG40</f>
        <v/>
      </c>
      <c r="BG195" s="87">
        <f>+'3F. Revenue &amp; COGS Assumptions'!BH40</f>
        <v/>
      </c>
      <c r="BH195" s="1142">
        <f>+'3F. Revenue &amp; COGS Assumptions'!BI40</f>
        <v/>
      </c>
      <c r="BI195" s="87">
        <f>+'3F. Revenue &amp; COGS Assumptions'!BJ40</f>
        <v/>
      </c>
      <c r="BJ195" s="87">
        <f>+'3F. Revenue &amp; COGS Assumptions'!BK40</f>
        <v/>
      </c>
      <c r="BK195" s="87">
        <f>+'3F. Revenue &amp; COGS Assumptions'!BL40</f>
        <v/>
      </c>
      <c r="BL195" s="87">
        <f>+'3F. Revenue &amp; COGS Assumptions'!BM40</f>
        <v/>
      </c>
      <c r="BM195" s="87">
        <f>+'3F. Revenue &amp; COGS Assumptions'!BN40</f>
        <v/>
      </c>
      <c r="BN195" s="1142">
        <f>+BM195</f>
        <v/>
      </c>
    </row>
    <row r="196" ht="12.75" customHeight="1" s="1883">
      <c r="B196" s="56" t="n"/>
      <c r="C196" s="1141" t="inlineStr">
        <is>
          <t>Value of Order ($)</t>
        </is>
      </c>
      <c r="D196" s="55" t="n"/>
      <c r="E196" s="71">
        <f>+E195*$D$184</f>
        <v/>
      </c>
      <c r="F196" s="71">
        <f>+F195*$D$184</f>
        <v/>
      </c>
      <c r="G196" s="71">
        <f>+G195*$D$184</f>
        <v/>
      </c>
      <c r="H196" s="71">
        <f>+H195*$D$184</f>
        <v/>
      </c>
      <c r="I196" s="71">
        <f>+I195*$D$184</f>
        <v/>
      </c>
      <c r="J196" s="71">
        <f>+J195*$D$184</f>
        <v/>
      </c>
      <c r="K196" s="71">
        <f>+K195*$D$184</f>
        <v/>
      </c>
      <c r="L196" s="1144">
        <f>+L195*$D$184</f>
        <v/>
      </c>
      <c r="M196" s="71">
        <f>+M195*$D$184</f>
        <v/>
      </c>
      <c r="N196" s="71">
        <f>+N195*$D$184</f>
        <v/>
      </c>
      <c r="O196" s="71">
        <f>+O195*$D$184</f>
        <v/>
      </c>
      <c r="P196" s="71">
        <f>+P195*$D$184</f>
        <v/>
      </c>
      <c r="Q196" s="71">
        <f>+Q195*$D$184</f>
        <v/>
      </c>
      <c r="R196" s="1144">
        <f>+R195*$D$184</f>
        <v/>
      </c>
      <c r="S196" s="71">
        <f>+S195*$D$184</f>
        <v/>
      </c>
      <c r="T196" s="71">
        <f>+T195*$D$184</f>
        <v/>
      </c>
      <c r="U196" s="71">
        <f>+U195*$D$184</f>
        <v/>
      </c>
      <c r="V196" s="71">
        <f>+V195*$D$184</f>
        <v/>
      </c>
      <c r="W196" s="71">
        <f>+W195*$D$184</f>
        <v/>
      </c>
      <c r="X196" s="1144">
        <f>+X195*$D$184</f>
        <v/>
      </c>
      <c r="Y196" s="71">
        <f>+Y195*$D$184</f>
        <v/>
      </c>
      <c r="Z196" s="71">
        <f>+Z195*$D$184</f>
        <v/>
      </c>
      <c r="AA196" s="71">
        <f>+AA195*$D$184</f>
        <v/>
      </c>
      <c r="AB196" s="71">
        <f>+AB195*$D$184</f>
        <v/>
      </c>
      <c r="AC196" s="71">
        <f>+AC195*$D$184</f>
        <v/>
      </c>
      <c r="AD196" s="1144">
        <f>+AD195*$D$184</f>
        <v/>
      </c>
      <c r="AE196" s="71">
        <f>+AE195*$D$184</f>
        <v/>
      </c>
      <c r="AF196" s="71">
        <f>+AF195*$D$184</f>
        <v/>
      </c>
      <c r="AG196" s="71">
        <f>+AG195*$D$184</f>
        <v/>
      </c>
      <c r="AH196" s="71">
        <f>+AH195*$D$184</f>
        <v/>
      </c>
      <c r="AI196" s="71">
        <f>+AI195*$D$184</f>
        <v/>
      </c>
      <c r="AJ196" s="1144">
        <f>+AJ195*$D$184</f>
        <v/>
      </c>
      <c r="AK196" s="71">
        <f>+AK195*$D$184</f>
        <v/>
      </c>
      <c r="AL196" s="71">
        <f>+AL195*$D$184</f>
        <v/>
      </c>
      <c r="AM196" s="71">
        <f>+AM195*$D$184</f>
        <v/>
      </c>
      <c r="AN196" s="71">
        <f>+AN195*$D$184</f>
        <v/>
      </c>
      <c r="AO196" s="71">
        <f>+AO195*$D$184</f>
        <v/>
      </c>
      <c r="AP196" s="1144">
        <f>+AP195*$D$184</f>
        <v/>
      </c>
      <c r="AQ196" s="71">
        <f>+AQ195*$D$184</f>
        <v/>
      </c>
      <c r="AR196" s="71">
        <f>+AR195*$D$184</f>
        <v/>
      </c>
      <c r="AS196" s="71">
        <f>+AS195*$D$184</f>
        <v/>
      </c>
      <c r="AT196" s="71">
        <f>+AT195*$D$184</f>
        <v/>
      </c>
      <c r="AU196" s="71">
        <f>+AU195*$D$184</f>
        <v/>
      </c>
      <c r="AV196" s="1144">
        <f>+AV195*$D$184</f>
        <v/>
      </c>
      <c r="AW196" s="71">
        <f>+AW195*$D$184</f>
        <v/>
      </c>
      <c r="AX196" s="71">
        <f>+AX195*$D$184</f>
        <v/>
      </c>
      <c r="AY196" s="71">
        <f>+AY195*$D$184</f>
        <v/>
      </c>
      <c r="AZ196" s="71">
        <f>+AZ195*$D$184</f>
        <v/>
      </c>
      <c r="BA196" s="71">
        <f>+BA195*$D$184</f>
        <v/>
      </c>
      <c r="BB196" s="1144">
        <f>+BB195*$D$184</f>
        <v/>
      </c>
      <c r="BC196" s="71">
        <f>+BC195*$D$184</f>
        <v/>
      </c>
      <c r="BD196" s="71">
        <f>+BD195*$D$184</f>
        <v/>
      </c>
      <c r="BE196" s="71">
        <f>+BE195*$D$184</f>
        <v/>
      </c>
      <c r="BF196" s="71">
        <f>+BF195*$D$184</f>
        <v/>
      </c>
      <c r="BG196" s="71">
        <f>+BG195*$D$184</f>
        <v/>
      </c>
      <c r="BH196" s="1144">
        <f>+BH195*$D$184</f>
        <v/>
      </c>
      <c r="BI196" s="71">
        <f>+BI195*$D$184</f>
        <v/>
      </c>
      <c r="BJ196" s="71">
        <f>+BJ195*$D$184</f>
        <v/>
      </c>
      <c r="BK196" s="71">
        <f>+BK195*$D$184</f>
        <v/>
      </c>
      <c r="BL196" s="71">
        <f>+BL195*$D$184</f>
        <v/>
      </c>
      <c r="BM196" s="71">
        <f>+BM195*$D$184</f>
        <v/>
      </c>
      <c r="BN196" s="1144">
        <f>+BN195*$D$184</f>
        <v/>
      </c>
    </row>
    <row r="197" ht="12.75" customHeight="1" s="1883">
      <c r="B197" s="56" t="n"/>
      <c r="C197" s="1038" t="n"/>
      <c r="D197" s="55" t="n"/>
      <c r="E197" s="57" t="n"/>
      <c r="F197" s="57" t="n"/>
      <c r="G197" s="59" t="n"/>
      <c r="H197" s="59" t="n"/>
      <c r="I197" s="59" t="n"/>
      <c r="J197" s="59" t="n"/>
      <c r="K197" s="59" t="n"/>
      <c r="L197" s="1039" t="n"/>
      <c r="M197" s="59" t="n"/>
      <c r="N197" s="59" t="n"/>
      <c r="O197" s="59" t="n"/>
      <c r="P197" s="59" t="n"/>
      <c r="Q197" s="59" t="n"/>
      <c r="R197" s="1039" t="n"/>
      <c r="S197" s="59" t="n"/>
      <c r="T197" s="59" t="n"/>
      <c r="U197" s="59" t="n"/>
      <c r="V197" s="59" t="n"/>
      <c r="W197" s="59" t="n"/>
      <c r="X197" s="1039" t="n"/>
      <c r="Y197" s="59" t="n"/>
      <c r="Z197" s="59" t="n"/>
      <c r="AA197" s="59" t="n"/>
      <c r="AB197" s="59" t="n"/>
      <c r="AC197" s="59" t="n"/>
      <c r="AD197" s="1039" t="n"/>
      <c r="AE197" s="59" t="n"/>
      <c r="AF197" s="59" t="n"/>
      <c r="AG197" s="59" t="n"/>
      <c r="AH197" s="59" t="n"/>
      <c r="AI197" s="59" t="n"/>
      <c r="AJ197" s="1039" t="n"/>
      <c r="AK197" s="59" t="n"/>
      <c r="AL197" s="59" t="n"/>
      <c r="AM197" s="59" t="n"/>
      <c r="AN197" s="59" t="n"/>
      <c r="AO197" s="59" t="n"/>
      <c r="AP197" s="1039" t="n"/>
      <c r="AQ197" s="59" t="n"/>
      <c r="AR197" s="59" t="n"/>
      <c r="AS197" s="59" t="n"/>
      <c r="AT197" s="59" t="n"/>
      <c r="AU197" s="59" t="n"/>
      <c r="AV197" s="1039" t="n"/>
      <c r="AW197" s="59" t="n"/>
      <c r="AX197" s="59" t="n"/>
      <c r="AY197" s="59" t="n"/>
      <c r="AZ197" s="59" t="n"/>
      <c r="BA197" s="59" t="n"/>
      <c r="BB197" s="1039" t="n"/>
      <c r="BC197" s="59" t="n"/>
      <c r="BD197" s="59" t="n"/>
      <c r="BE197" s="59" t="n"/>
      <c r="BF197" s="59" t="n"/>
      <c r="BG197" s="59" t="n"/>
      <c r="BH197" s="1039" t="n"/>
      <c r="BI197" s="59" t="n"/>
      <c r="BJ197" s="59" t="n"/>
      <c r="BK197" s="59" t="n"/>
      <c r="BL197" s="59" t="n"/>
      <c r="BM197" s="59" t="n"/>
      <c r="BN197" s="1039" t="n"/>
    </row>
    <row r="198" ht="12.75" customHeight="1" s="1883">
      <c r="B198" s="56" t="inlineStr">
        <is>
          <t>BS</t>
        </is>
      </c>
      <c r="C198" s="1152" t="inlineStr">
        <is>
          <t>Customer Deposits</t>
        </is>
      </c>
      <c r="D198" s="86">
        <f>+$D$180</f>
        <v/>
      </c>
      <c r="E198" s="198">
        <f>+E196*$D198</f>
        <v/>
      </c>
      <c r="F198" s="198">
        <f>+F196*$D198</f>
        <v/>
      </c>
      <c r="G198" s="198">
        <f>+G196*$D198</f>
        <v/>
      </c>
      <c r="H198" s="198">
        <f>+H196*$D198</f>
        <v/>
      </c>
      <c r="I198" s="198">
        <f>+I196*$D198</f>
        <v/>
      </c>
      <c r="J198" s="198">
        <f>+J196*$D198</f>
        <v/>
      </c>
      <c r="K198" s="198">
        <f>+K196*$D198</f>
        <v/>
      </c>
      <c r="L198" s="1145">
        <f>+L196*$D198</f>
        <v/>
      </c>
      <c r="M198" s="198">
        <f>+M196*$D198</f>
        <v/>
      </c>
      <c r="N198" s="198">
        <f>+N196*$D198</f>
        <v/>
      </c>
      <c r="O198" s="198">
        <f>+O196*$D198</f>
        <v/>
      </c>
      <c r="P198" s="198">
        <f>+P196*$D198</f>
        <v/>
      </c>
      <c r="Q198" s="198">
        <f>+Q196*$D198</f>
        <v/>
      </c>
      <c r="R198" s="1145">
        <f>+R196*$D198</f>
        <v/>
      </c>
      <c r="S198" s="198">
        <f>+S196*$D198</f>
        <v/>
      </c>
      <c r="T198" s="198">
        <f>+T196*$D198</f>
        <v/>
      </c>
      <c r="U198" s="198">
        <f>+U196*$D198</f>
        <v/>
      </c>
      <c r="V198" s="198">
        <f>+V196*$D198</f>
        <v/>
      </c>
      <c r="W198" s="198">
        <f>+W196*$D198</f>
        <v/>
      </c>
      <c r="X198" s="1145">
        <f>+X196*$D198</f>
        <v/>
      </c>
      <c r="Y198" s="198">
        <f>+Y196*$D198</f>
        <v/>
      </c>
      <c r="Z198" s="198">
        <f>+Z196*$D198</f>
        <v/>
      </c>
      <c r="AA198" s="198">
        <f>+AA196*$D198</f>
        <v/>
      </c>
      <c r="AB198" s="198">
        <f>+AB196*$D198</f>
        <v/>
      </c>
      <c r="AC198" s="198">
        <f>+AC196*$D198</f>
        <v/>
      </c>
      <c r="AD198" s="1145">
        <f>+AD196*$D198</f>
        <v/>
      </c>
      <c r="AE198" s="198">
        <f>+AE196*$D198</f>
        <v/>
      </c>
      <c r="AF198" s="198">
        <f>+AF196*$D198</f>
        <v/>
      </c>
      <c r="AG198" s="198">
        <f>+AG196*$D198</f>
        <v/>
      </c>
      <c r="AH198" s="198">
        <f>+AH196*$D198</f>
        <v/>
      </c>
      <c r="AI198" s="198">
        <f>+AI196*$D198</f>
        <v/>
      </c>
      <c r="AJ198" s="1145">
        <f>+AJ196*$D198</f>
        <v/>
      </c>
      <c r="AK198" s="198">
        <f>+AK196*$D198</f>
        <v/>
      </c>
      <c r="AL198" s="198">
        <f>+AL196*$D198</f>
        <v/>
      </c>
      <c r="AM198" s="198">
        <f>+AM196*$D198</f>
        <v/>
      </c>
      <c r="AN198" s="198">
        <f>+AN196*$D198</f>
        <v/>
      </c>
      <c r="AO198" s="198">
        <f>+AO196*$D198</f>
        <v/>
      </c>
      <c r="AP198" s="1145">
        <f>+AP196*$D198</f>
        <v/>
      </c>
      <c r="AQ198" s="198">
        <f>+AQ196*$D198</f>
        <v/>
      </c>
      <c r="AR198" s="198">
        <f>+AR196*$D198</f>
        <v/>
      </c>
      <c r="AS198" s="198">
        <f>+AS196*$D198</f>
        <v/>
      </c>
      <c r="AT198" s="198">
        <f>+AT196*$D198</f>
        <v/>
      </c>
      <c r="AU198" s="198">
        <f>+AU196*$D198</f>
        <v/>
      </c>
      <c r="AV198" s="1145">
        <f>+AV196*$D198</f>
        <v/>
      </c>
      <c r="AW198" s="198">
        <f>+AW196*$D198</f>
        <v/>
      </c>
      <c r="AX198" s="198">
        <f>+AX196*$D198</f>
        <v/>
      </c>
      <c r="AY198" s="198">
        <f>+AY196*$D198</f>
        <v/>
      </c>
      <c r="AZ198" s="198">
        <f>+AZ196*$D198</f>
        <v/>
      </c>
      <c r="BA198" s="198">
        <f>+BA196*$D198</f>
        <v/>
      </c>
      <c r="BB198" s="1145">
        <f>+BB196*$D198</f>
        <v/>
      </c>
      <c r="BC198" s="198">
        <f>+BC196*$D198</f>
        <v/>
      </c>
      <c r="BD198" s="198">
        <f>+BD196*$D198</f>
        <v/>
      </c>
      <c r="BE198" s="198">
        <f>+BE196*$D198</f>
        <v/>
      </c>
      <c r="BF198" s="198">
        <f>+BF196*$D198</f>
        <v/>
      </c>
      <c r="BG198" s="198">
        <f>+BG196*$D198</f>
        <v/>
      </c>
      <c r="BH198" s="1145">
        <f>+BH196*$D198</f>
        <v/>
      </c>
      <c r="BI198" s="198">
        <f>+BI196*$D198</f>
        <v/>
      </c>
      <c r="BJ198" s="198">
        <f>+BJ196*$D198</f>
        <v/>
      </c>
      <c r="BK198" s="198">
        <f>+BK196*$D198</f>
        <v/>
      </c>
      <c r="BL198" s="198">
        <f>+BL196*$D198</f>
        <v/>
      </c>
      <c r="BM198" s="198">
        <f>+BM196*$D198</f>
        <v/>
      </c>
      <c r="BN198" s="1145">
        <f>+BN196*$D198</f>
        <v/>
      </c>
    </row>
    <row r="199" ht="12.75" customHeight="1" s="1883">
      <c r="B199" s="56" t="n"/>
      <c r="C199" s="1152" t="inlineStr">
        <is>
          <t>Final Payment</t>
        </is>
      </c>
      <c r="D199" s="86">
        <f>+$D$181</f>
        <v/>
      </c>
      <c r="E199" s="71">
        <f>+D196*$D199</f>
        <v/>
      </c>
      <c r="F199" s="71">
        <f>+E196*$D199</f>
        <v/>
      </c>
      <c r="G199" s="71">
        <f>+F196*$D199</f>
        <v/>
      </c>
      <c r="H199" s="71">
        <f>+G196*$D199</f>
        <v/>
      </c>
      <c r="I199" s="71">
        <f>+H196*$D199</f>
        <v/>
      </c>
      <c r="J199" s="71">
        <f>+I196*$D199</f>
        <v/>
      </c>
      <c r="K199" s="71">
        <f>+J196*$D199</f>
        <v/>
      </c>
      <c r="L199" s="1144">
        <f>+K196*$D199</f>
        <v/>
      </c>
      <c r="M199" s="71">
        <f>+L196*$D199</f>
        <v/>
      </c>
      <c r="N199" s="71">
        <f>+M196*$D199</f>
        <v/>
      </c>
      <c r="O199" s="71">
        <f>+N196*$D199</f>
        <v/>
      </c>
      <c r="P199" s="71">
        <f>+O196*$D199</f>
        <v/>
      </c>
      <c r="Q199" s="71">
        <f>+P196*$D199</f>
        <v/>
      </c>
      <c r="R199" s="1144">
        <f>+Q196*$D199</f>
        <v/>
      </c>
      <c r="S199" s="71">
        <f>+R196*$D199</f>
        <v/>
      </c>
      <c r="T199" s="71">
        <f>+S196*$D199</f>
        <v/>
      </c>
      <c r="U199" s="71">
        <f>+T196*$D199</f>
        <v/>
      </c>
      <c r="V199" s="71">
        <f>+U196*$D199</f>
        <v/>
      </c>
      <c r="W199" s="71">
        <f>+V196*$D199</f>
        <v/>
      </c>
      <c r="X199" s="1144">
        <f>+W196*$D199</f>
        <v/>
      </c>
      <c r="Y199" s="71">
        <f>+X196*$D199</f>
        <v/>
      </c>
      <c r="Z199" s="71">
        <f>+Y196*$D199</f>
        <v/>
      </c>
      <c r="AA199" s="71">
        <f>+Z196*$D199</f>
        <v/>
      </c>
      <c r="AB199" s="71">
        <f>+AA196*$D199</f>
        <v/>
      </c>
      <c r="AC199" s="71">
        <f>+AB196*$D199</f>
        <v/>
      </c>
      <c r="AD199" s="1144">
        <f>+AC196*$D199</f>
        <v/>
      </c>
      <c r="AE199" s="71">
        <f>+AD196*$D199</f>
        <v/>
      </c>
      <c r="AF199" s="71">
        <f>+AE196*$D199</f>
        <v/>
      </c>
      <c r="AG199" s="71">
        <f>+AF196*$D199</f>
        <v/>
      </c>
      <c r="AH199" s="71">
        <f>+AG196*$D199</f>
        <v/>
      </c>
      <c r="AI199" s="71">
        <f>+AH196*$D199</f>
        <v/>
      </c>
      <c r="AJ199" s="1144">
        <f>+AI196*$D199</f>
        <v/>
      </c>
      <c r="AK199" s="71">
        <f>+AJ196*$D199</f>
        <v/>
      </c>
      <c r="AL199" s="71">
        <f>+AK196*$D199</f>
        <v/>
      </c>
      <c r="AM199" s="71">
        <f>+AL196*$D199</f>
        <v/>
      </c>
      <c r="AN199" s="71">
        <f>+AM196*$D199</f>
        <v/>
      </c>
      <c r="AO199" s="71">
        <f>+AN196*$D199</f>
        <v/>
      </c>
      <c r="AP199" s="1144">
        <f>+AO196*$D199</f>
        <v/>
      </c>
      <c r="AQ199" s="71">
        <f>+AP196*$D199</f>
        <v/>
      </c>
      <c r="AR199" s="71">
        <f>+AQ196*$D199</f>
        <v/>
      </c>
      <c r="AS199" s="71">
        <f>+AR196*$D199</f>
        <v/>
      </c>
      <c r="AT199" s="71">
        <f>+AS196*$D199</f>
        <v/>
      </c>
      <c r="AU199" s="71">
        <f>+AT196*$D199</f>
        <v/>
      </c>
      <c r="AV199" s="1144">
        <f>+AU196*$D199</f>
        <v/>
      </c>
      <c r="AW199" s="71">
        <f>+AV196*$D199</f>
        <v/>
      </c>
      <c r="AX199" s="71">
        <f>+AW196*$D199</f>
        <v/>
      </c>
      <c r="AY199" s="71">
        <f>+AX196*$D199</f>
        <v/>
      </c>
      <c r="AZ199" s="71">
        <f>+AY196*$D199</f>
        <v/>
      </c>
      <c r="BA199" s="71">
        <f>+AZ196*$D199</f>
        <v/>
      </c>
      <c r="BB199" s="1144">
        <f>+BA196*$D199</f>
        <v/>
      </c>
      <c r="BC199" s="71">
        <f>+BB196*$D199</f>
        <v/>
      </c>
      <c r="BD199" s="71">
        <f>+BC196*$D199</f>
        <v/>
      </c>
      <c r="BE199" s="71">
        <f>+BD196*$D199</f>
        <v/>
      </c>
      <c r="BF199" s="71">
        <f>+BE196*$D199</f>
        <v/>
      </c>
      <c r="BG199" s="71">
        <f>+BF196*$D199</f>
        <v/>
      </c>
      <c r="BH199" s="1144">
        <f>+BG196*$D199</f>
        <v/>
      </c>
      <c r="BI199" s="71">
        <f>+BH196*$D199</f>
        <v/>
      </c>
      <c r="BJ199" s="71">
        <f>+BI196*$D199</f>
        <v/>
      </c>
      <c r="BK199" s="71">
        <f>+BJ196*$D199</f>
        <v/>
      </c>
      <c r="BL199" s="71">
        <f>+BK196*$D199</f>
        <v/>
      </c>
      <c r="BM199" s="71">
        <f>+BL196*$D199</f>
        <v/>
      </c>
      <c r="BN199" s="1144">
        <f>+BM196*$D199</f>
        <v/>
      </c>
    </row>
    <row r="200" ht="12.75" customHeight="1" s="1883">
      <c r="B200" s="56" t="n"/>
      <c r="C200" s="1148" t="n"/>
      <c r="D200" s="1063" t="n"/>
      <c r="E200" s="1139" t="n"/>
      <c r="F200" s="1139" t="n"/>
      <c r="G200" s="1063" t="n"/>
      <c r="H200" s="1063" t="n"/>
      <c r="I200" s="1063" t="n"/>
      <c r="J200" s="1063" t="n"/>
      <c r="K200" s="1063" t="n"/>
      <c r="L200" s="164" t="n"/>
      <c r="M200" s="1063" t="n"/>
      <c r="N200" s="1063" t="n"/>
      <c r="O200" s="1063" t="n"/>
      <c r="P200" s="1063" t="n"/>
      <c r="Q200" s="1063" t="n"/>
      <c r="R200" s="164" t="n"/>
      <c r="S200" s="59" t="n"/>
      <c r="T200" s="59" t="n"/>
      <c r="U200" s="59" t="n"/>
      <c r="V200" s="59" t="n"/>
      <c r="W200" s="59" t="n"/>
      <c r="X200" s="1039" t="n"/>
      <c r="Y200" s="59" t="n"/>
      <c r="Z200" s="59" t="n"/>
      <c r="AA200" s="59" t="n"/>
      <c r="AB200" s="59" t="n"/>
      <c r="AC200" s="59" t="n"/>
      <c r="AD200" s="1039" t="n"/>
      <c r="AE200" s="59" t="n"/>
      <c r="AF200" s="59" t="n"/>
      <c r="AG200" s="59" t="n"/>
      <c r="AH200" s="59" t="n"/>
      <c r="AI200" s="59" t="n"/>
      <c r="AJ200" s="1039" t="n"/>
      <c r="AK200" s="59" t="n"/>
      <c r="AL200" s="59" t="n"/>
      <c r="AM200" s="59" t="n"/>
      <c r="AN200" s="59" t="n"/>
      <c r="AO200" s="59" t="n"/>
      <c r="AP200" s="1039" t="n"/>
      <c r="AQ200" s="59" t="n"/>
      <c r="AR200" s="59" t="n"/>
      <c r="AS200" s="59" t="n"/>
      <c r="AT200" s="59" t="n"/>
      <c r="AU200" s="59" t="n"/>
      <c r="AV200" s="1039" t="n"/>
      <c r="AW200" s="59" t="n"/>
      <c r="AX200" s="59" t="n"/>
      <c r="AY200" s="59" t="n"/>
      <c r="AZ200" s="59" t="n"/>
      <c r="BA200" s="59" t="n"/>
      <c r="BB200" s="1039" t="n"/>
      <c r="BC200" s="59" t="n"/>
      <c r="BD200" s="59" t="n"/>
      <c r="BE200" s="59" t="n"/>
      <c r="BF200" s="59" t="n"/>
      <c r="BG200" s="59" t="n"/>
      <c r="BH200" s="1039" t="n"/>
      <c r="BI200" s="59" t="n"/>
      <c r="BJ200" s="59" t="n"/>
      <c r="BK200" s="59" t="n"/>
      <c r="BL200" s="59" t="n"/>
      <c r="BM200" s="59" t="n"/>
      <c r="BN200" s="1039" t="n"/>
    </row>
    <row r="201" ht="12.75" customHeight="1" s="1883">
      <c r="B201" s="56" t="n"/>
      <c r="C201" s="1114" t="inlineStr">
        <is>
          <t>Computer App</t>
        </is>
      </c>
      <c r="D201" s="55" t="n"/>
      <c r="E201" s="1140">
        <f>+E194</f>
        <v/>
      </c>
      <c r="F201" s="1140">
        <f>+F194</f>
        <v/>
      </c>
      <c r="G201" s="1140">
        <f>+G194</f>
        <v/>
      </c>
      <c r="H201" s="1140">
        <f>+H194</f>
        <v/>
      </c>
      <c r="I201" s="1140">
        <f>+I194</f>
        <v/>
      </c>
      <c r="J201" s="1140">
        <f>+J194</f>
        <v/>
      </c>
      <c r="K201" s="1140">
        <f>+K194</f>
        <v/>
      </c>
      <c r="L201" s="196">
        <f>+L194</f>
        <v/>
      </c>
      <c r="M201" s="1140">
        <f>+M194</f>
        <v/>
      </c>
      <c r="N201" s="1140">
        <f>+N194</f>
        <v/>
      </c>
      <c r="O201" s="1140">
        <f>+O194</f>
        <v/>
      </c>
      <c r="P201" s="1140">
        <f>+P194</f>
        <v/>
      </c>
      <c r="Q201" s="1140">
        <f>+Q194</f>
        <v/>
      </c>
      <c r="R201" s="196">
        <f>+R194</f>
        <v/>
      </c>
      <c r="S201" s="1140">
        <f>+S194</f>
        <v/>
      </c>
      <c r="T201" s="1140">
        <f>+T194</f>
        <v/>
      </c>
      <c r="U201" s="1140">
        <f>+U194</f>
        <v/>
      </c>
      <c r="V201" s="1140">
        <f>+V194</f>
        <v/>
      </c>
      <c r="W201" s="1140">
        <f>+W194</f>
        <v/>
      </c>
      <c r="X201" s="196">
        <f>+X194</f>
        <v/>
      </c>
      <c r="Y201" s="1140">
        <f>+Y194</f>
        <v/>
      </c>
      <c r="Z201" s="1140">
        <f>+Z194</f>
        <v/>
      </c>
      <c r="AA201" s="1140">
        <f>+AA194</f>
        <v/>
      </c>
      <c r="AB201" s="1140">
        <f>+AB194</f>
        <v/>
      </c>
      <c r="AC201" s="1140">
        <f>+AC194</f>
        <v/>
      </c>
      <c r="AD201" s="196">
        <f>+AD194</f>
        <v/>
      </c>
      <c r="AE201" s="1140">
        <f>+AE194</f>
        <v/>
      </c>
      <c r="AF201" s="1140">
        <f>+AF194</f>
        <v/>
      </c>
      <c r="AG201" s="1140">
        <f>+AG194</f>
        <v/>
      </c>
      <c r="AH201" s="1140">
        <f>+AH194</f>
        <v/>
      </c>
      <c r="AI201" s="1140">
        <f>+AI194</f>
        <v/>
      </c>
      <c r="AJ201" s="196">
        <f>+AJ194</f>
        <v/>
      </c>
      <c r="AK201" s="1140">
        <f>+AK194</f>
        <v/>
      </c>
      <c r="AL201" s="1140">
        <f>+AL194</f>
        <v/>
      </c>
      <c r="AM201" s="1140">
        <f>+AM194</f>
        <v/>
      </c>
      <c r="AN201" s="1140">
        <f>+AN194</f>
        <v/>
      </c>
      <c r="AO201" s="1140">
        <f>+AO194</f>
        <v/>
      </c>
      <c r="AP201" s="196">
        <f>+AP194</f>
        <v/>
      </c>
      <c r="AQ201" s="1140">
        <f>+AQ194</f>
        <v/>
      </c>
      <c r="AR201" s="1140">
        <f>+AR194</f>
        <v/>
      </c>
      <c r="AS201" s="1140">
        <f>+AS194</f>
        <v/>
      </c>
      <c r="AT201" s="1140">
        <f>+AT194</f>
        <v/>
      </c>
      <c r="AU201" s="1140">
        <f>+AU194</f>
        <v/>
      </c>
      <c r="AV201" s="196">
        <f>+AV194</f>
        <v/>
      </c>
      <c r="AW201" s="1140">
        <f>+AW194</f>
        <v/>
      </c>
      <c r="AX201" s="1140">
        <f>+AX194</f>
        <v/>
      </c>
      <c r="AY201" s="1140">
        <f>+AY194</f>
        <v/>
      </c>
      <c r="AZ201" s="1140">
        <f>+AZ194</f>
        <v/>
      </c>
      <c r="BA201" s="1140">
        <f>+BA194</f>
        <v/>
      </c>
      <c r="BB201" s="196">
        <f>+BB194</f>
        <v/>
      </c>
      <c r="BC201" s="1140">
        <f>+BC194</f>
        <v/>
      </c>
      <c r="BD201" s="1140">
        <f>+BD194</f>
        <v/>
      </c>
      <c r="BE201" s="1140">
        <f>+BE194</f>
        <v/>
      </c>
      <c r="BF201" s="1140">
        <f>+BF194</f>
        <v/>
      </c>
      <c r="BG201" s="1140">
        <f>+BG194</f>
        <v/>
      </c>
      <c r="BH201" s="196">
        <f>+BH194</f>
        <v/>
      </c>
      <c r="BI201" s="1140">
        <f>+BI194</f>
        <v/>
      </c>
      <c r="BJ201" s="1140">
        <f>+BJ194</f>
        <v/>
      </c>
      <c r="BK201" s="1140">
        <f>+BK194</f>
        <v/>
      </c>
      <c r="BL201" s="1140">
        <f>+BL194</f>
        <v/>
      </c>
      <c r="BM201" s="1140">
        <f>+BM194</f>
        <v/>
      </c>
      <c r="BN201" s="196">
        <f>+BN194</f>
        <v/>
      </c>
    </row>
    <row r="202" ht="12.75" customHeight="1" s="1883">
      <c r="B202" s="56" t="n"/>
      <c r="C202" s="1141" t="inlineStr">
        <is>
          <t>Units Ordered</t>
        </is>
      </c>
      <c r="D202" s="55" t="n"/>
      <c r="E202" s="87">
        <f>+'6B. Pre-Launch Exps. - Detail'!P208</f>
        <v/>
      </c>
      <c r="F202" s="87">
        <f>+'6B. Pre-Launch Exps. - Detail'!Q208</f>
        <v/>
      </c>
      <c r="G202" s="87">
        <f>+'3F. Revenue &amp; COGS Assumptions'!H51</f>
        <v/>
      </c>
      <c r="H202" s="87">
        <f>+'3F. Revenue &amp; COGS Assumptions'!I51</f>
        <v/>
      </c>
      <c r="I202" s="87">
        <f>+'3F. Revenue &amp; COGS Assumptions'!J51</f>
        <v/>
      </c>
      <c r="J202" s="87">
        <f>+'3F. Revenue &amp; COGS Assumptions'!K51</f>
        <v/>
      </c>
      <c r="K202" s="87">
        <f>+'3F. Revenue &amp; COGS Assumptions'!L51</f>
        <v/>
      </c>
      <c r="L202" s="1142">
        <f>+'3F. Revenue &amp; COGS Assumptions'!M51</f>
        <v/>
      </c>
      <c r="M202" s="87">
        <f>+'3F. Revenue &amp; COGS Assumptions'!N51</f>
        <v/>
      </c>
      <c r="N202" s="87">
        <f>+'3F. Revenue &amp; COGS Assumptions'!O51</f>
        <v/>
      </c>
      <c r="O202" s="87">
        <f>+'3F. Revenue &amp; COGS Assumptions'!P51</f>
        <v/>
      </c>
      <c r="P202" s="87">
        <f>+'3F. Revenue &amp; COGS Assumptions'!Q51</f>
        <v/>
      </c>
      <c r="Q202" s="87">
        <f>+'3F. Revenue &amp; COGS Assumptions'!R51</f>
        <v/>
      </c>
      <c r="R202" s="1142">
        <f>+'3F. Revenue &amp; COGS Assumptions'!S51</f>
        <v/>
      </c>
      <c r="S202" s="87">
        <f>+'3F. Revenue &amp; COGS Assumptions'!T51</f>
        <v/>
      </c>
      <c r="T202" s="87">
        <f>+'3F. Revenue &amp; COGS Assumptions'!U51</f>
        <v/>
      </c>
      <c r="U202" s="87">
        <f>+'3F. Revenue &amp; COGS Assumptions'!V51</f>
        <v/>
      </c>
      <c r="V202" s="87">
        <f>+'3F. Revenue &amp; COGS Assumptions'!W51</f>
        <v/>
      </c>
      <c r="W202" s="87">
        <f>+'3F. Revenue &amp; COGS Assumptions'!X51</f>
        <v/>
      </c>
      <c r="X202" s="1142">
        <f>+'3F. Revenue &amp; COGS Assumptions'!Y51</f>
        <v/>
      </c>
      <c r="Y202" s="87">
        <f>+'3F. Revenue &amp; COGS Assumptions'!Z51</f>
        <v/>
      </c>
      <c r="Z202" s="87">
        <f>+'3F. Revenue &amp; COGS Assumptions'!AA51</f>
        <v/>
      </c>
      <c r="AA202" s="87">
        <f>+'3F. Revenue &amp; COGS Assumptions'!AB51</f>
        <v/>
      </c>
      <c r="AB202" s="87">
        <f>+'3F. Revenue &amp; COGS Assumptions'!AC51</f>
        <v/>
      </c>
      <c r="AC202" s="87">
        <f>+'3F. Revenue &amp; COGS Assumptions'!AD51</f>
        <v/>
      </c>
      <c r="AD202" s="1142">
        <f>+'3F. Revenue &amp; COGS Assumptions'!AE51</f>
        <v/>
      </c>
      <c r="AE202" s="87">
        <f>+'3F. Revenue &amp; COGS Assumptions'!AF51</f>
        <v/>
      </c>
      <c r="AF202" s="87">
        <f>+'3F. Revenue &amp; COGS Assumptions'!AG51</f>
        <v/>
      </c>
      <c r="AG202" s="87">
        <f>+'3F. Revenue &amp; COGS Assumptions'!AH51</f>
        <v/>
      </c>
      <c r="AH202" s="87">
        <f>+'3F. Revenue &amp; COGS Assumptions'!AI51</f>
        <v/>
      </c>
      <c r="AI202" s="87">
        <f>+'3F. Revenue &amp; COGS Assumptions'!AJ51</f>
        <v/>
      </c>
      <c r="AJ202" s="1142">
        <f>+'3F. Revenue &amp; COGS Assumptions'!AK51</f>
        <v/>
      </c>
      <c r="AK202" s="87">
        <f>+'3F. Revenue &amp; COGS Assumptions'!AL51</f>
        <v/>
      </c>
      <c r="AL202" s="87">
        <f>+'3F. Revenue &amp; COGS Assumptions'!AM51</f>
        <v/>
      </c>
      <c r="AM202" s="87">
        <f>+'3F. Revenue &amp; COGS Assumptions'!AN51</f>
        <v/>
      </c>
      <c r="AN202" s="87">
        <f>+'3F. Revenue &amp; COGS Assumptions'!AO51</f>
        <v/>
      </c>
      <c r="AO202" s="87">
        <f>+'3F. Revenue &amp; COGS Assumptions'!AP51</f>
        <v/>
      </c>
      <c r="AP202" s="1142">
        <f>+'3F. Revenue &amp; COGS Assumptions'!AQ51</f>
        <v/>
      </c>
      <c r="AQ202" s="87">
        <f>+'3F. Revenue &amp; COGS Assumptions'!AR51</f>
        <v/>
      </c>
      <c r="AR202" s="87">
        <f>+'3F. Revenue &amp; COGS Assumptions'!AS51</f>
        <v/>
      </c>
      <c r="AS202" s="87">
        <f>+'3F. Revenue &amp; COGS Assumptions'!AT51</f>
        <v/>
      </c>
      <c r="AT202" s="87">
        <f>+'3F. Revenue &amp; COGS Assumptions'!AU51</f>
        <v/>
      </c>
      <c r="AU202" s="87">
        <f>+'3F. Revenue &amp; COGS Assumptions'!AV51</f>
        <v/>
      </c>
      <c r="AV202" s="1142">
        <f>+'3F. Revenue &amp; COGS Assumptions'!AW51</f>
        <v/>
      </c>
      <c r="AW202" s="87">
        <f>+'3F. Revenue &amp; COGS Assumptions'!AX51</f>
        <v/>
      </c>
      <c r="AX202" s="87">
        <f>+'3F. Revenue &amp; COGS Assumptions'!AY51</f>
        <v/>
      </c>
      <c r="AY202" s="87">
        <f>+'3F. Revenue &amp; COGS Assumptions'!AZ51</f>
        <v/>
      </c>
      <c r="AZ202" s="87">
        <f>+'3F. Revenue &amp; COGS Assumptions'!BA51</f>
        <v/>
      </c>
      <c r="BA202" s="87">
        <f>+'3F. Revenue &amp; COGS Assumptions'!BB51</f>
        <v/>
      </c>
      <c r="BB202" s="1142">
        <f>+'3F. Revenue &amp; COGS Assumptions'!BC51</f>
        <v/>
      </c>
      <c r="BC202" s="87">
        <f>+'3F. Revenue &amp; COGS Assumptions'!BD51</f>
        <v/>
      </c>
      <c r="BD202" s="87">
        <f>+'3F. Revenue &amp; COGS Assumptions'!BE51</f>
        <v/>
      </c>
      <c r="BE202" s="87">
        <f>+'3F. Revenue &amp; COGS Assumptions'!BF51</f>
        <v/>
      </c>
      <c r="BF202" s="87">
        <f>+'3F. Revenue &amp; COGS Assumptions'!BG51</f>
        <v/>
      </c>
      <c r="BG202" s="87">
        <f>+'3F. Revenue &amp; COGS Assumptions'!BH51</f>
        <v/>
      </c>
      <c r="BH202" s="1142">
        <f>+'3F. Revenue &amp; COGS Assumptions'!BI51</f>
        <v/>
      </c>
      <c r="BI202" s="87">
        <f>+'3F. Revenue &amp; COGS Assumptions'!BJ51</f>
        <v/>
      </c>
      <c r="BJ202" s="87">
        <f>+'3F. Revenue &amp; COGS Assumptions'!BK51</f>
        <v/>
      </c>
      <c r="BK202" s="87">
        <f>+'3F. Revenue &amp; COGS Assumptions'!BL51</f>
        <v/>
      </c>
      <c r="BL202" s="87">
        <f>+'3F. Revenue &amp; COGS Assumptions'!BM51</f>
        <v/>
      </c>
      <c r="BM202" s="87">
        <f>+'3F. Revenue &amp; COGS Assumptions'!BN51</f>
        <v/>
      </c>
      <c r="BN202" s="1142">
        <f>+BM202</f>
        <v/>
      </c>
    </row>
    <row r="203" ht="12.75" customHeight="1" s="1883">
      <c r="B203" s="56" t="n"/>
      <c r="C203" s="1141" t="inlineStr">
        <is>
          <t>Value of Order ($)</t>
        </is>
      </c>
      <c r="D203" s="55" t="n"/>
      <c r="E203" s="71">
        <f>+E202*$D$185</f>
        <v/>
      </c>
      <c r="F203" s="71">
        <f>+F202*$D$185</f>
        <v/>
      </c>
      <c r="G203" s="71">
        <f>+G202*$D$185</f>
        <v/>
      </c>
      <c r="H203" s="71">
        <f>+H202*$D$185</f>
        <v/>
      </c>
      <c r="I203" s="71">
        <f>+I202*$D$185</f>
        <v/>
      </c>
      <c r="J203" s="71">
        <f>+J202*$D$185</f>
        <v/>
      </c>
      <c r="K203" s="71">
        <f>+K202*$D$185</f>
        <v/>
      </c>
      <c r="L203" s="1144">
        <f>+L202*$D$185</f>
        <v/>
      </c>
      <c r="M203" s="71">
        <f>+M202*$D$185</f>
        <v/>
      </c>
      <c r="N203" s="71">
        <f>+N202*$D$185</f>
        <v/>
      </c>
      <c r="O203" s="71">
        <f>+O202*$D$185</f>
        <v/>
      </c>
      <c r="P203" s="71">
        <f>+P202*$D$185</f>
        <v/>
      </c>
      <c r="Q203" s="71">
        <f>+Q202*$D$185</f>
        <v/>
      </c>
      <c r="R203" s="1144">
        <f>+R202*$D$185</f>
        <v/>
      </c>
      <c r="S203" s="71">
        <f>+S202*$D$185</f>
        <v/>
      </c>
      <c r="T203" s="71">
        <f>+T202*$D$185</f>
        <v/>
      </c>
      <c r="U203" s="71">
        <f>+U202*$D$185</f>
        <v/>
      </c>
      <c r="V203" s="71">
        <f>+V202*$D$185</f>
        <v/>
      </c>
      <c r="W203" s="71">
        <f>+W202*$D$185</f>
        <v/>
      </c>
      <c r="X203" s="1144">
        <f>+X202*$D$185</f>
        <v/>
      </c>
      <c r="Y203" s="71">
        <f>+Y202*$D$185</f>
        <v/>
      </c>
      <c r="Z203" s="71">
        <f>+Z202*$D$185</f>
        <v/>
      </c>
      <c r="AA203" s="71">
        <f>+AA202*$D$185</f>
        <v/>
      </c>
      <c r="AB203" s="71">
        <f>+AB202*$D$185</f>
        <v/>
      </c>
      <c r="AC203" s="71">
        <f>+AC202*$D$185</f>
        <v/>
      </c>
      <c r="AD203" s="1144">
        <f>+AD202*$D$185</f>
        <v/>
      </c>
      <c r="AE203" s="71">
        <f>+AE202*$D$185</f>
        <v/>
      </c>
      <c r="AF203" s="71">
        <f>+AF202*$D$185</f>
        <v/>
      </c>
      <c r="AG203" s="71">
        <f>+AG202*$D$185</f>
        <v/>
      </c>
      <c r="AH203" s="71">
        <f>+AH202*$D$185</f>
        <v/>
      </c>
      <c r="AI203" s="71">
        <f>+AI202*$D$185</f>
        <v/>
      </c>
      <c r="AJ203" s="1144">
        <f>+AJ202*$D$185</f>
        <v/>
      </c>
      <c r="AK203" s="71">
        <f>+AK202*$D$185</f>
        <v/>
      </c>
      <c r="AL203" s="71">
        <f>+AL202*$D$185</f>
        <v/>
      </c>
      <c r="AM203" s="71">
        <f>+AM202*$D$185</f>
        <v/>
      </c>
      <c r="AN203" s="71">
        <f>+AN202*$D$185</f>
        <v/>
      </c>
      <c r="AO203" s="71">
        <f>+AO202*$D$185</f>
        <v/>
      </c>
      <c r="AP203" s="1144">
        <f>+AP202*$D$185</f>
        <v/>
      </c>
      <c r="AQ203" s="71">
        <f>+AQ202*$D$185</f>
        <v/>
      </c>
      <c r="AR203" s="71">
        <f>+AR202*$D$185</f>
        <v/>
      </c>
      <c r="AS203" s="71">
        <f>+AS202*$D$185</f>
        <v/>
      </c>
      <c r="AT203" s="71">
        <f>+AT202*$D$185</f>
        <v/>
      </c>
      <c r="AU203" s="71">
        <f>+AU202*$D$185</f>
        <v/>
      </c>
      <c r="AV203" s="1144">
        <f>+AV202*$D$185</f>
        <v/>
      </c>
      <c r="AW203" s="71">
        <f>+AW202*$D$185</f>
        <v/>
      </c>
      <c r="AX203" s="71">
        <f>+AX202*$D$185</f>
        <v/>
      </c>
      <c r="AY203" s="71">
        <f>+AY202*$D$185</f>
        <v/>
      </c>
      <c r="AZ203" s="71">
        <f>+AZ202*$D$185</f>
        <v/>
      </c>
      <c r="BA203" s="71">
        <f>+BA202*$D$185</f>
        <v/>
      </c>
      <c r="BB203" s="1144">
        <f>+BB202*$D$185</f>
        <v/>
      </c>
      <c r="BC203" s="71">
        <f>+BC202*$D$185</f>
        <v/>
      </c>
      <c r="BD203" s="71">
        <f>+BD202*$D$185</f>
        <v/>
      </c>
      <c r="BE203" s="71">
        <f>+BE202*$D$185</f>
        <v/>
      </c>
      <c r="BF203" s="71">
        <f>+BF202*$D$185</f>
        <v/>
      </c>
      <c r="BG203" s="71">
        <f>+BG202*$D$185</f>
        <v/>
      </c>
      <c r="BH203" s="1144">
        <f>+BH202*$D$185</f>
        <v/>
      </c>
      <c r="BI203" s="71">
        <f>+BI202*$D$185</f>
        <v/>
      </c>
      <c r="BJ203" s="71">
        <f>+BJ202*$D$185</f>
        <v/>
      </c>
      <c r="BK203" s="71">
        <f>+BK202*$D$185</f>
        <v/>
      </c>
      <c r="BL203" s="71">
        <f>+BL202*$D$185</f>
        <v/>
      </c>
      <c r="BM203" s="71">
        <f>+BM202*$D$185</f>
        <v/>
      </c>
      <c r="BN203" s="1144">
        <f>+BN202*$D$185</f>
        <v/>
      </c>
    </row>
    <row r="204" ht="12.75" customHeight="1" s="1883">
      <c r="B204" s="56" t="n"/>
      <c r="C204" s="1038" t="n"/>
      <c r="D204" s="55" t="n"/>
      <c r="E204" s="57" t="n"/>
      <c r="F204" s="57" t="n"/>
      <c r="G204" s="59" t="n"/>
      <c r="H204" s="59" t="n"/>
      <c r="I204" s="59" t="n"/>
      <c r="J204" s="59" t="n"/>
      <c r="K204" s="59" t="n"/>
      <c r="L204" s="1039" t="n"/>
      <c r="M204" s="59" t="n"/>
      <c r="N204" s="59" t="n"/>
      <c r="O204" s="59" t="n"/>
      <c r="P204" s="59" t="n"/>
      <c r="Q204" s="59" t="n"/>
      <c r="R204" s="1039" t="n"/>
      <c r="S204" s="59" t="n"/>
      <c r="T204" s="59" t="n"/>
      <c r="U204" s="59" t="n"/>
      <c r="V204" s="59" t="n"/>
      <c r="W204" s="59" t="n"/>
      <c r="X204" s="1039" t="n"/>
      <c r="Y204" s="59" t="n"/>
      <c r="Z204" s="59" t="n"/>
      <c r="AA204" s="59" t="n"/>
      <c r="AB204" s="59" t="n"/>
      <c r="AC204" s="59" t="n"/>
      <c r="AD204" s="1039" t="n"/>
      <c r="AE204" s="59" t="n"/>
      <c r="AF204" s="59" t="n"/>
      <c r="AG204" s="59" t="n"/>
      <c r="AH204" s="59" t="n"/>
      <c r="AI204" s="59" t="n"/>
      <c r="AJ204" s="1039" t="n"/>
      <c r="AK204" s="59" t="n"/>
      <c r="AL204" s="59" t="n"/>
      <c r="AM204" s="59" t="n"/>
      <c r="AN204" s="59" t="n"/>
      <c r="AO204" s="59" t="n"/>
      <c r="AP204" s="1039" t="n"/>
      <c r="AQ204" s="59" t="n"/>
      <c r="AR204" s="59" t="n"/>
      <c r="AS204" s="59" t="n"/>
      <c r="AT204" s="59" t="n"/>
      <c r="AU204" s="59" t="n"/>
      <c r="AV204" s="1039" t="n"/>
      <c r="AW204" s="59" t="n"/>
      <c r="AX204" s="59" t="n"/>
      <c r="AY204" s="59" t="n"/>
      <c r="AZ204" s="59" t="n"/>
      <c r="BA204" s="59" t="n"/>
      <c r="BB204" s="1039" t="n"/>
      <c r="BC204" s="59" t="n"/>
      <c r="BD204" s="59" t="n"/>
      <c r="BE204" s="59" t="n"/>
      <c r="BF204" s="59" t="n"/>
      <c r="BG204" s="59" t="n"/>
      <c r="BH204" s="1039" t="n"/>
      <c r="BI204" s="59" t="n"/>
      <c r="BJ204" s="59" t="n"/>
      <c r="BK204" s="59" t="n"/>
      <c r="BL204" s="59" t="n"/>
      <c r="BM204" s="59" t="n"/>
      <c r="BN204" s="1039" t="n"/>
    </row>
    <row r="205" ht="12.75" customHeight="1" s="1883">
      <c r="B205" s="56" t="inlineStr">
        <is>
          <t>BS</t>
        </is>
      </c>
      <c r="C205" s="1152" t="inlineStr">
        <is>
          <t>Customer Deposits</t>
        </is>
      </c>
      <c r="D205" s="86">
        <f>+$D$180</f>
        <v/>
      </c>
      <c r="E205" s="198">
        <f>+E203*$D205</f>
        <v/>
      </c>
      <c r="F205" s="198">
        <f>+F203*$D205</f>
        <v/>
      </c>
      <c r="G205" s="198">
        <f>+G203*$D205</f>
        <v/>
      </c>
      <c r="H205" s="198">
        <f>+H203*$D205</f>
        <v/>
      </c>
      <c r="I205" s="198">
        <f>+I203*$D205</f>
        <v/>
      </c>
      <c r="J205" s="198">
        <f>+J203*$D205</f>
        <v/>
      </c>
      <c r="K205" s="198">
        <f>+K203*$D205</f>
        <v/>
      </c>
      <c r="L205" s="1145">
        <f>+L203*$D205</f>
        <v/>
      </c>
      <c r="M205" s="198">
        <f>+M203*$D205</f>
        <v/>
      </c>
      <c r="N205" s="198">
        <f>+N203*$D205</f>
        <v/>
      </c>
      <c r="O205" s="198">
        <f>+O203*$D205</f>
        <v/>
      </c>
      <c r="P205" s="198">
        <f>+P203*$D205</f>
        <v/>
      </c>
      <c r="Q205" s="198">
        <f>+Q203*$D205</f>
        <v/>
      </c>
      <c r="R205" s="1145">
        <f>+R203*$D205</f>
        <v/>
      </c>
      <c r="S205" s="198">
        <f>+S203*$D205</f>
        <v/>
      </c>
      <c r="T205" s="198">
        <f>+T203*$D205</f>
        <v/>
      </c>
      <c r="U205" s="198">
        <f>+U203*$D205</f>
        <v/>
      </c>
      <c r="V205" s="198">
        <f>+V203*$D205</f>
        <v/>
      </c>
      <c r="W205" s="198">
        <f>+W203*$D205</f>
        <v/>
      </c>
      <c r="X205" s="1145">
        <f>+X203*$D205</f>
        <v/>
      </c>
      <c r="Y205" s="198">
        <f>+Y203*$D205</f>
        <v/>
      </c>
      <c r="Z205" s="198">
        <f>+Z203*$D205</f>
        <v/>
      </c>
      <c r="AA205" s="198">
        <f>+AA203*$D205</f>
        <v/>
      </c>
      <c r="AB205" s="198">
        <f>+AB203*$D205</f>
        <v/>
      </c>
      <c r="AC205" s="198">
        <f>+AC203*$D205</f>
        <v/>
      </c>
      <c r="AD205" s="1145">
        <f>+AD203*$D205</f>
        <v/>
      </c>
      <c r="AE205" s="198">
        <f>+AE203*$D205</f>
        <v/>
      </c>
      <c r="AF205" s="198">
        <f>+AF203*$D205</f>
        <v/>
      </c>
      <c r="AG205" s="198">
        <f>+AG203*$D205</f>
        <v/>
      </c>
      <c r="AH205" s="198">
        <f>+AH203*$D205</f>
        <v/>
      </c>
      <c r="AI205" s="198">
        <f>+AI203*$D205</f>
        <v/>
      </c>
      <c r="AJ205" s="1145">
        <f>+AJ203*$D205</f>
        <v/>
      </c>
      <c r="AK205" s="198">
        <f>+AK203*$D205</f>
        <v/>
      </c>
      <c r="AL205" s="198">
        <f>+AL203*$D205</f>
        <v/>
      </c>
      <c r="AM205" s="198">
        <f>+AM203*$D205</f>
        <v/>
      </c>
      <c r="AN205" s="198">
        <f>+AN203*$D205</f>
        <v/>
      </c>
      <c r="AO205" s="198">
        <f>+AO203*$D205</f>
        <v/>
      </c>
      <c r="AP205" s="1145">
        <f>+AP203*$D205</f>
        <v/>
      </c>
      <c r="AQ205" s="198">
        <f>+AQ203*$D205</f>
        <v/>
      </c>
      <c r="AR205" s="198">
        <f>+AR203*$D205</f>
        <v/>
      </c>
      <c r="AS205" s="198">
        <f>+AS203*$D205</f>
        <v/>
      </c>
      <c r="AT205" s="198">
        <f>+AT203*$D205</f>
        <v/>
      </c>
      <c r="AU205" s="198">
        <f>+AU203*$D205</f>
        <v/>
      </c>
      <c r="AV205" s="1145">
        <f>+AV203*$D205</f>
        <v/>
      </c>
      <c r="AW205" s="198">
        <f>+AW203*$D205</f>
        <v/>
      </c>
      <c r="AX205" s="198">
        <f>+AX203*$D205</f>
        <v/>
      </c>
      <c r="AY205" s="198">
        <f>+AY203*$D205</f>
        <v/>
      </c>
      <c r="AZ205" s="198">
        <f>+AZ203*$D205</f>
        <v/>
      </c>
      <c r="BA205" s="198">
        <f>+BA203*$D205</f>
        <v/>
      </c>
      <c r="BB205" s="1145">
        <f>+BB203*$D205</f>
        <v/>
      </c>
      <c r="BC205" s="198">
        <f>+BC203*$D205</f>
        <v/>
      </c>
      <c r="BD205" s="198">
        <f>+BD203*$D205</f>
        <v/>
      </c>
      <c r="BE205" s="198">
        <f>+BE203*$D205</f>
        <v/>
      </c>
      <c r="BF205" s="198">
        <f>+BF203*$D205</f>
        <v/>
      </c>
      <c r="BG205" s="198">
        <f>+BG203*$D205</f>
        <v/>
      </c>
      <c r="BH205" s="1145">
        <f>+BH203*$D205</f>
        <v/>
      </c>
      <c r="BI205" s="198">
        <f>+BI203*$D205</f>
        <v/>
      </c>
      <c r="BJ205" s="198">
        <f>+BJ203*$D205</f>
        <v/>
      </c>
      <c r="BK205" s="198">
        <f>+BK203*$D205</f>
        <v/>
      </c>
      <c r="BL205" s="198">
        <f>+BL203*$D205</f>
        <v/>
      </c>
      <c r="BM205" s="198">
        <f>+BM203*$D205</f>
        <v/>
      </c>
      <c r="BN205" s="1145">
        <f>+BN203*$D205</f>
        <v/>
      </c>
    </row>
    <row r="206" ht="12.75" customHeight="1" s="1883">
      <c r="B206" s="56" t="n"/>
      <c r="C206" s="1152" t="inlineStr">
        <is>
          <t>Final Payment</t>
        </is>
      </c>
      <c r="D206" s="86">
        <f>+$D$181</f>
        <v/>
      </c>
      <c r="E206" s="71">
        <f>+D203*$D206</f>
        <v/>
      </c>
      <c r="F206" s="71">
        <f>+E203*$D206</f>
        <v/>
      </c>
      <c r="G206" s="71">
        <f>+F203*$D206</f>
        <v/>
      </c>
      <c r="H206" s="71">
        <f>+G203*$D206</f>
        <v/>
      </c>
      <c r="I206" s="71">
        <f>+H203*$D206</f>
        <v/>
      </c>
      <c r="J206" s="71">
        <f>+I203*$D206</f>
        <v/>
      </c>
      <c r="K206" s="71">
        <f>+J203*$D206</f>
        <v/>
      </c>
      <c r="L206" s="1144">
        <f>+K203*$D206</f>
        <v/>
      </c>
      <c r="M206" s="71">
        <f>+L203*$D206</f>
        <v/>
      </c>
      <c r="N206" s="71">
        <f>+M203*$D206</f>
        <v/>
      </c>
      <c r="O206" s="71">
        <f>+N203*$D206</f>
        <v/>
      </c>
      <c r="P206" s="71">
        <f>+O203*$D206</f>
        <v/>
      </c>
      <c r="Q206" s="71">
        <f>+P203*$D206</f>
        <v/>
      </c>
      <c r="R206" s="1144">
        <f>+Q203*$D206</f>
        <v/>
      </c>
      <c r="S206" s="71">
        <f>+R203*$D206</f>
        <v/>
      </c>
      <c r="T206" s="71">
        <f>+S203*$D206</f>
        <v/>
      </c>
      <c r="U206" s="71">
        <f>+T203*$D206</f>
        <v/>
      </c>
      <c r="V206" s="71">
        <f>+U203*$D206</f>
        <v/>
      </c>
      <c r="W206" s="71">
        <f>+V203*$D206</f>
        <v/>
      </c>
      <c r="X206" s="1144">
        <f>+W203*$D206</f>
        <v/>
      </c>
      <c r="Y206" s="71">
        <f>+X203*$D206</f>
        <v/>
      </c>
      <c r="Z206" s="71">
        <f>+Y203*$D206</f>
        <v/>
      </c>
      <c r="AA206" s="71">
        <f>+Z203*$D206</f>
        <v/>
      </c>
      <c r="AB206" s="71">
        <f>+AA203*$D206</f>
        <v/>
      </c>
      <c r="AC206" s="71">
        <f>+AB203*$D206</f>
        <v/>
      </c>
      <c r="AD206" s="1144">
        <f>+AC203*$D206</f>
        <v/>
      </c>
      <c r="AE206" s="71">
        <f>+AD203*$D206</f>
        <v/>
      </c>
      <c r="AF206" s="71">
        <f>+AE203*$D206</f>
        <v/>
      </c>
      <c r="AG206" s="71">
        <f>+AF203*$D206</f>
        <v/>
      </c>
      <c r="AH206" s="71">
        <f>+AG203*$D206</f>
        <v/>
      </c>
      <c r="AI206" s="71">
        <f>+AH203*$D206</f>
        <v/>
      </c>
      <c r="AJ206" s="1144">
        <f>+AI203*$D206</f>
        <v/>
      </c>
      <c r="AK206" s="71">
        <f>+AJ203*$D206</f>
        <v/>
      </c>
      <c r="AL206" s="71">
        <f>+AK203*$D206</f>
        <v/>
      </c>
      <c r="AM206" s="71">
        <f>+AL203*$D206</f>
        <v/>
      </c>
      <c r="AN206" s="71">
        <f>+AM203*$D206</f>
        <v/>
      </c>
      <c r="AO206" s="71">
        <f>+AN203*$D206</f>
        <v/>
      </c>
      <c r="AP206" s="1144">
        <f>+AO203*$D206</f>
        <v/>
      </c>
      <c r="AQ206" s="71">
        <f>+AP203*$D206</f>
        <v/>
      </c>
      <c r="AR206" s="71">
        <f>+AQ203*$D206</f>
        <v/>
      </c>
      <c r="AS206" s="71">
        <f>+AR203*$D206</f>
        <v/>
      </c>
      <c r="AT206" s="71">
        <f>+AS203*$D206</f>
        <v/>
      </c>
      <c r="AU206" s="71">
        <f>+AT203*$D206</f>
        <v/>
      </c>
      <c r="AV206" s="1144">
        <f>+AU203*$D206</f>
        <v/>
      </c>
      <c r="AW206" s="71">
        <f>+AV203*$D206</f>
        <v/>
      </c>
      <c r="AX206" s="71">
        <f>+AW203*$D206</f>
        <v/>
      </c>
      <c r="AY206" s="71">
        <f>+AX203*$D206</f>
        <v/>
      </c>
      <c r="AZ206" s="71">
        <f>+AY203*$D206</f>
        <v/>
      </c>
      <c r="BA206" s="71">
        <f>+AZ203*$D206</f>
        <v/>
      </c>
      <c r="BB206" s="1144">
        <f>+BA203*$D206</f>
        <v/>
      </c>
      <c r="BC206" s="71">
        <f>+BB203*$D206</f>
        <v/>
      </c>
      <c r="BD206" s="71">
        <f>+BC203*$D206</f>
        <v/>
      </c>
      <c r="BE206" s="71">
        <f>+BD203*$D206</f>
        <v/>
      </c>
      <c r="BF206" s="71">
        <f>+BE203*$D206</f>
        <v/>
      </c>
      <c r="BG206" s="71">
        <f>+BF203*$D206</f>
        <v/>
      </c>
      <c r="BH206" s="1144">
        <f>+BG203*$D206</f>
        <v/>
      </c>
      <c r="BI206" s="71">
        <f>+BH203*$D206</f>
        <v/>
      </c>
      <c r="BJ206" s="71">
        <f>+BI203*$D206</f>
        <v/>
      </c>
      <c r="BK206" s="71">
        <f>+BJ203*$D206</f>
        <v/>
      </c>
      <c r="BL206" s="71">
        <f>+BK203*$D206</f>
        <v/>
      </c>
      <c r="BM206" s="71">
        <f>+BL203*$D206</f>
        <v/>
      </c>
      <c r="BN206" s="1144">
        <f>+BM203*$D206</f>
        <v/>
      </c>
    </row>
    <row r="207" ht="12.75" customHeight="1" s="1883">
      <c r="B207" s="55" t="n"/>
      <c r="C207" s="1138" t="n"/>
      <c r="D207" s="1124" t="n"/>
      <c r="E207" s="1139" t="n"/>
      <c r="F207" s="1139" t="n"/>
      <c r="G207" s="1063" t="n"/>
      <c r="H207" s="1063" t="n"/>
      <c r="I207" s="1063" t="n"/>
      <c r="J207" s="1063" t="n"/>
      <c r="K207" s="1063" t="n"/>
      <c r="L207" s="164" t="n"/>
      <c r="M207" s="1063" t="n"/>
      <c r="N207" s="1063" t="n"/>
      <c r="O207" s="1063" t="n"/>
      <c r="P207" s="1063" t="n"/>
      <c r="Q207" s="1063" t="n"/>
      <c r="R207" s="164" t="n"/>
      <c r="S207" s="59" t="n"/>
      <c r="T207" s="59" t="n"/>
      <c r="U207" s="59" t="n"/>
      <c r="V207" s="59" t="n"/>
      <c r="W207" s="59" t="n"/>
      <c r="X207" s="1039" t="n"/>
      <c r="Y207" s="59" t="n"/>
      <c r="Z207" s="59" t="n"/>
      <c r="AA207" s="59" t="n"/>
      <c r="AB207" s="59" t="n"/>
      <c r="AC207" s="59" t="n"/>
      <c r="AD207" s="1039" t="n"/>
      <c r="AE207" s="59" t="n"/>
      <c r="AF207" s="59" t="n"/>
      <c r="AG207" s="59" t="n"/>
      <c r="AH207" s="59" t="n"/>
      <c r="AI207" s="59" t="n"/>
      <c r="AJ207" s="1039" t="n"/>
      <c r="AK207" s="59" t="n"/>
      <c r="AL207" s="59" t="n"/>
      <c r="AM207" s="59" t="n"/>
      <c r="AN207" s="59" t="n"/>
      <c r="AO207" s="59" t="n"/>
      <c r="AP207" s="1039" t="n"/>
      <c r="AQ207" s="59" t="n"/>
      <c r="AR207" s="59" t="n"/>
      <c r="AS207" s="59" t="n"/>
      <c r="AT207" s="59" t="n"/>
      <c r="AU207" s="59" t="n"/>
      <c r="AV207" s="1039" t="n"/>
      <c r="AW207" s="59" t="n"/>
      <c r="AX207" s="59" t="n"/>
      <c r="AY207" s="59" t="n"/>
      <c r="AZ207" s="59" t="n"/>
      <c r="BA207" s="59" t="n"/>
      <c r="BB207" s="1039" t="n"/>
      <c r="BC207" s="59" t="n"/>
      <c r="BD207" s="59" t="n"/>
      <c r="BE207" s="59" t="n"/>
      <c r="BF207" s="59" t="n"/>
      <c r="BG207" s="59" t="n"/>
      <c r="BH207" s="1039" t="n"/>
      <c r="BI207" s="59" t="n"/>
      <c r="BJ207" s="59" t="n"/>
      <c r="BK207" s="59" t="n"/>
      <c r="BL207" s="59" t="n"/>
      <c r="BM207" s="59" t="n"/>
      <c r="BN207" s="1039" t="n"/>
    </row>
    <row r="208" ht="12.75" customHeight="1" s="1883">
      <c r="B208" s="1153" t="n"/>
      <c r="C208" s="1918" t="inlineStr">
        <is>
          <t>PP&amp;E</t>
        </is>
      </c>
      <c r="D208" s="670" t="n"/>
      <c r="E208" s="671" t="n"/>
      <c r="F208" s="1035" t="n">
        <v>-1</v>
      </c>
      <c r="G208" s="1036">
        <f>+G3</f>
        <v/>
      </c>
      <c r="H208" s="1036">
        <f>+H3</f>
        <v/>
      </c>
      <c r="I208" s="1036">
        <f>+I3</f>
        <v/>
      </c>
      <c r="J208" s="1036">
        <f>+J3</f>
        <v/>
      </c>
      <c r="K208" s="1036">
        <f>+K3</f>
        <v/>
      </c>
      <c r="L208" s="155">
        <f>+L3</f>
        <v/>
      </c>
      <c r="M208" s="1036">
        <f>+M3</f>
        <v/>
      </c>
      <c r="N208" s="1036">
        <f>+N3</f>
        <v/>
      </c>
      <c r="O208" s="1036">
        <f>+O3</f>
        <v/>
      </c>
      <c r="P208" s="1036">
        <f>+P3</f>
        <v/>
      </c>
      <c r="Q208" s="1036">
        <f>+Q3</f>
        <v/>
      </c>
      <c r="R208" s="155">
        <f>+R3</f>
        <v/>
      </c>
      <c r="S208" s="1036">
        <f>+S3</f>
        <v/>
      </c>
      <c r="T208" s="1036">
        <f>+T3</f>
        <v/>
      </c>
      <c r="U208" s="1036">
        <f>+U3</f>
        <v/>
      </c>
      <c r="V208" s="1036">
        <f>+V3</f>
        <v/>
      </c>
      <c r="W208" s="1036">
        <f>+W3</f>
        <v/>
      </c>
      <c r="X208" s="155">
        <f>+X3</f>
        <v/>
      </c>
      <c r="Y208" s="1036">
        <f>+Y3</f>
        <v/>
      </c>
      <c r="Z208" s="1036">
        <f>+Z3</f>
        <v/>
      </c>
      <c r="AA208" s="1036">
        <f>+AA3</f>
        <v/>
      </c>
      <c r="AB208" s="1036">
        <f>+AB3</f>
        <v/>
      </c>
      <c r="AC208" s="1036">
        <f>+AC3</f>
        <v/>
      </c>
      <c r="AD208" s="155">
        <f>+AD3</f>
        <v/>
      </c>
      <c r="AE208" s="1036">
        <f>+AE3</f>
        <v/>
      </c>
      <c r="AF208" s="1036">
        <f>+AF3</f>
        <v/>
      </c>
      <c r="AG208" s="1036">
        <f>+AG3</f>
        <v/>
      </c>
      <c r="AH208" s="1036">
        <f>+AH3</f>
        <v/>
      </c>
      <c r="AI208" s="1036">
        <f>+AI3</f>
        <v/>
      </c>
      <c r="AJ208" s="155">
        <f>+AJ3</f>
        <v/>
      </c>
      <c r="AK208" s="1036">
        <f>+AK3</f>
        <v/>
      </c>
      <c r="AL208" s="1036">
        <f>+AL3</f>
        <v/>
      </c>
      <c r="AM208" s="1036">
        <f>+AM3</f>
        <v/>
      </c>
      <c r="AN208" s="1036">
        <f>+AN3</f>
        <v/>
      </c>
      <c r="AO208" s="1036">
        <f>+AO3</f>
        <v/>
      </c>
      <c r="AP208" s="155">
        <f>+AP3</f>
        <v/>
      </c>
      <c r="AQ208" s="1036">
        <f>+AQ3</f>
        <v/>
      </c>
      <c r="AR208" s="1036">
        <f>+AR3</f>
        <v/>
      </c>
      <c r="AS208" s="1036">
        <f>+AS3</f>
        <v/>
      </c>
      <c r="AT208" s="1036">
        <f>+AT3</f>
        <v/>
      </c>
      <c r="AU208" s="1036">
        <f>+AU3</f>
        <v/>
      </c>
      <c r="AV208" s="155">
        <f>+AV3</f>
        <v/>
      </c>
      <c r="AW208" s="1036">
        <f>+AW3</f>
        <v/>
      </c>
      <c r="AX208" s="1036">
        <f>+AX3</f>
        <v/>
      </c>
      <c r="AY208" s="1036">
        <f>+AY3</f>
        <v/>
      </c>
      <c r="AZ208" s="1036">
        <f>+AZ3</f>
        <v/>
      </c>
      <c r="BA208" s="1036">
        <f>+BA3</f>
        <v/>
      </c>
      <c r="BB208" s="155">
        <f>+BB3</f>
        <v/>
      </c>
      <c r="BC208" s="1036">
        <f>+BC3</f>
        <v/>
      </c>
      <c r="BD208" s="1036">
        <f>+BD3</f>
        <v/>
      </c>
      <c r="BE208" s="1036">
        <f>+BE3</f>
        <v/>
      </c>
      <c r="BF208" s="1036">
        <f>+BF3</f>
        <v/>
      </c>
      <c r="BG208" s="1036">
        <f>+BG3</f>
        <v/>
      </c>
      <c r="BH208" s="155">
        <f>+BH3</f>
        <v/>
      </c>
      <c r="BI208" s="1036">
        <f>+BI3</f>
        <v/>
      </c>
      <c r="BJ208" s="1036">
        <f>+BJ3</f>
        <v/>
      </c>
      <c r="BK208" s="1036">
        <f>+BK3</f>
        <v/>
      </c>
      <c r="BL208" s="1036">
        <f>+BL3</f>
        <v/>
      </c>
      <c r="BM208" s="1036">
        <f>+BM3</f>
        <v/>
      </c>
      <c r="BN208" s="155">
        <f>+BN3</f>
        <v/>
      </c>
    </row>
    <row r="209" ht="12.75" customHeight="1" s="1883">
      <c r="C209" s="1918" t="n"/>
      <c r="D209" s="670" t="n"/>
      <c r="E209" s="671" t="n"/>
      <c r="F209" s="56" t="n"/>
      <c r="G209" s="1081" t="n"/>
      <c r="H209" s="1081" t="n"/>
      <c r="I209" s="1081" t="n"/>
      <c r="J209" s="1081" t="n"/>
      <c r="K209" s="1081" t="n"/>
      <c r="L209" s="199" t="n"/>
      <c r="M209" s="1042" t="n"/>
      <c r="N209" s="1042" t="n"/>
      <c r="O209" s="1042" t="n"/>
      <c r="P209" s="1042" t="n"/>
      <c r="Q209" s="1042" t="n"/>
      <c r="R209" s="156" t="n"/>
      <c r="S209" s="1042" t="n"/>
      <c r="T209" s="1042" t="n"/>
      <c r="U209" s="1042" t="n"/>
      <c r="V209" s="1042" t="n"/>
      <c r="W209" s="1042" t="n"/>
      <c r="X209" s="156" t="n"/>
      <c r="Y209" s="1042" t="n"/>
      <c r="Z209" s="1042" t="n"/>
      <c r="AA209" s="1042" t="n"/>
      <c r="AB209" s="1042" t="n"/>
      <c r="AC209" s="1042" t="n"/>
      <c r="AD209" s="156" t="n"/>
      <c r="AE209" s="1042" t="n"/>
      <c r="AF209" s="1042" t="n"/>
      <c r="AG209" s="1042" t="n"/>
      <c r="AH209" s="1042" t="n"/>
      <c r="AI209" s="1042" t="n"/>
      <c r="AJ209" s="156" t="n"/>
      <c r="AK209" s="1042" t="n"/>
      <c r="AL209" s="1042" t="n"/>
      <c r="AM209" s="1042" t="n"/>
      <c r="AN209" s="1042" t="n"/>
      <c r="AO209" s="1042" t="n"/>
      <c r="AP209" s="156" t="n"/>
      <c r="AQ209" s="1042" t="n"/>
      <c r="AR209" s="1042" t="n"/>
      <c r="AS209" s="1042" t="n"/>
      <c r="AT209" s="1042" t="n"/>
      <c r="AU209" s="1042" t="n"/>
      <c r="AV209" s="156" t="n"/>
      <c r="AW209" s="1042" t="n"/>
      <c r="AX209" s="1042" t="n"/>
      <c r="AY209" s="1042" t="n"/>
      <c r="AZ209" s="1042" t="n"/>
      <c r="BA209" s="1042" t="n"/>
      <c r="BB209" s="156" t="n"/>
      <c r="BC209" s="1042" t="n"/>
      <c r="BD209" s="1042" t="n"/>
      <c r="BE209" s="1042" t="n"/>
      <c r="BF209" s="1042" t="n"/>
      <c r="BG209" s="1042" t="n"/>
      <c r="BH209" s="156" t="n"/>
      <c r="BI209" s="1042" t="n"/>
      <c r="BJ209" s="1042" t="n"/>
      <c r="BK209" s="1042" t="n"/>
      <c r="BL209" s="1042" t="n"/>
      <c r="BM209" s="1042" t="n"/>
      <c r="BN209" s="156" t="n"/>
    </row>
    <row r="210" ht="12.75" customHeight="1" s="1883">
      <c r="C210" s="1918" t="inlineStr">
        <is>
          <t>Computers</t>
        </is>
      </c>
      <c r="D210" s="1154" t="n">
        <v>0.25</v>
      </c>
      <c r="E210" s="1155" t="inlineStr">
        <is>
          <t>Annual Amort Rate</t>
        </is>
      </c>
      <c r="F210" s="56" t="n"/>
      <c r="G210" s="1081" t="n"/>
      <c r="H210" s="1081" t="n"/>
      <c r="I210" s="1081" t="n"/>
      <c r="J210" s="1081" t="n"/>
      <c r="K210" s="1081" t="n"/>
      <c r="L210" s="199" t="n"/>
      <c r="M210" s="1042" t="n"/>
      <c r="N210" s="1042" t="n"/>
      <c r="O210" s="1042" t="n"/>
      <c r="P210" s="1042" t="n"/>
      <c r="Q210" s="1042" t="n"/>
      <c r="R210" s="156" t="n"/>
      <c r="S210" s="1042" t="n"/>
      <c r="T210" s="1042" t="n"/>
      <c r="U210" s="1042" t="n"/>
      <c r="V210" s="1042" t="n"/>
      <c r="W210" s="1042" t="n"/>
      <c r="X210" s="156" t="n"/>
      <c r="Y210" s="1042" t="n"/>
      <c r="Z210" s="1042" t="n"/>
      <c r="AA210" s="1042" t="n"/>
      <c r="AB210" s="1042" t="n"/>
      <c r="AC210" s="1042" t="n"/>
      <c r="AD210" s="156" t="n"/>
      <c r="AE210" s="1042" t="n"/>
      <c r="AF210" s="1042" t="n"/>
      <c r="AG210" s="1042" t="n"/>
      <c r="AH210" s="1042" t="n"/>
      <c r="AI210" s="1042" t="n"/>
      <c r="AJ210" s="156" t="n"/>
      <c r="AK210" s="1042" t="n"/>
      <c r="AL210" s="1042" t="n"/>
      <c r="AM210" s="1042" t="n"/>
      <c r="AN210" s="1042" t="n"/>
      <c r="AO210" s="1042" t="n"/>
      <c r="AP210" s="156" t="n"/>
      <c r="AQ210" s="1042" t="n"/>
      <c r="AR210" s="1042" t="n"/>
      <c r="AS210" s="1042" t="n"/>
      <c r="AT210" s="1042" t="n"/>
      <c r="AU210" s="1042" t="n"/>
      <c r="AV210" s="156" t="n"/>
      <c r="AW210" s="1042" t="n"/>
      <c r="AX210" s="1042" t="n"/>
      <c r="AY210" s="1042" t="n"/>
      <c r="AZ210" s="1042" t="n"/>
      <c r="BA210" s="1042" t="n"/>
      <c r="BB210" s="156" t="n"/>
      <c r="BC210" s="1042" t="n"/>
      <c r="BD210" s="1042" t="n"/>
      <c r="BE210" s="1042" t="n"/>
      <c r="BF210" s="1042" t="n"/>
      <c r="BG210" s="1042" t="n"/>
      <c r="BH210" s="156" t="n"/>
      <c r="BI210" s="1042" t="n"/>
      <c r="BJ210" s="1042" t="n"/>
      <c r="BK210" s="1042" t="n"/>
      <c r="BL210" s="1042" t="n"/>
      <c r="BM210" s="1042" t="n"/>
      <c r="BN210" s="156" t="n"/>
    </row>
    <row r="211" ht="12.75" customHeight="1" s="1883">
      <c r="C211" s="1156" t="inlineStr">
        <is>
          <t>Computers (Staff) - Gross Cost Beg</t>
        </is>
      </c>
      <c r="D211" s="670" t="n"/>
      <c r="E211" s="671" t="n"/>
      <c r="F211" s="74" t="n"/>
      <c r="G211" s="1091">
        <f>+SUM('6B. Pre-Launch Exps. - Detail'!L120:Q120)</f>
        <v/>
      </c>
      <c r="H211" s="1081">
        <f>+G297</f>
        <v/>
      </c>
      <c r="I211" s="1081">
        <f>+H297</f>
        <v/>
      </c>
      <c r="J211" s="1081">
        <f>+I297</f>
        <v/>
      </c>
      <c r="K211" s="1081">
        <f>+J297</f>
        <v/>
      </c>
      <c r="L211" s="199">
        <f>+K297</f>
        <v/>
      </c>
      <c r="M211" s="1081">
        <f>+L297</f>
        <v/>
      </c>
      <c r="N211" s="1081">
        <f>+M297</f>
        <v/>
      </c>
      <c r="O211" s="1081">
        <f>+N297</f>
        <v/>
      </c>
      <c r="P211" s="1081">
        <f>+O297</f>
        <v/>
      </c>
      <c r="Q211" s="1081">
        <f>+P297</f>
        <v/>
      </c>
      <c r="R211" s="199">
        <f>+Q297</f>
        <v/>
      </c>
      <c r="S211" s="1081">
        <f>+R297</f>
        <v/>
      </c>
      <c r="T211" s="1081">
        <f>+S297</f>
        <v/>
      </c>
      <c r="U211" s="1081">
        <f>+T297</f>
        <v/>
      </c>
      <c r="V211" s="1081">
        <f>+U297</f>
        <v/>
      </c>
      <c r="W211" s="1081">
        <f>+V297</f>
        <v/>
      </c>
      <c r="X211" s="199">
        <f>+W297</f>
        <v/>
      </c>
      <c r="Y211" s="1081">
        <f>+X297</f>
        <v/>
      </c>
      <c r="Z211" s="1081">
        <f>+Y297</f>
        <v/>
      </c>
      <c r="AA211" s="1081">
        <f>+Z297</f>
        <v/>
      </c>
      <c r="AB211" s="1081">
        <f>+AA297</f>
        <v/>
      </c>
      <c r="AC211" s="1081">
        <f>+AB297</f>
        <v/>
      </c>
      <c r="AD211" s="199">
        <f>+AC297</f>
        <v/>
      </c>
      <c r="AE211" s="1081">
        <f>+AD297</f>
        <v/>
      </c>
      <c r="AF211" s="1081">
        <f>+AE297</f>
        <v/>
      </c>
      <c r="AG211" s="1081">
        <f>+AF297</f>
        <v/>
      </c>
      <c r="AH211" s="1081">
        <f>+AG297</f>
        <v/>
      </c>
      <c r="AI211" s="1081">
        <f>+AH297</f>
        <v/>
      </c>
      <c r="AJ211" s="199">
        <f>+AI297</f>
        <v/>
      </c>
      <c r="AK211" s="1081">
        <f>+AJ297</f>
        <v/>
      </c>
      <c r="AL211" s="1081">
        <f>+AK297</f>
        <v/>
      </c>
      <c r="AM211" s="1081">
        <f>+AL297</f>
        <v/>
      </c>
      <c r="AN211" s="1081">
        <f>+AM297</f>
        <v/>
      </c>
      <c r="AO211" s="1081">
        <f>+AN297</f>
        <v/>
      </c>
      <c r="AP211" s="199">
        <f>+AO297</f>
        <v/>
      </c>
      <c r="AQ211" s="1081">
        <f>+AP297</f>
        <v/>
      </c>
      <c r="AR211" s="1081">
        <f>+AQ297</f>
        <v/>
      </c>
      <c r="AS211" s="1081">
        <f>+AR297</f>
        <v/>
      </c>
      <c r="AT211" s="1081">
        <f>+AS297</f>
        <v/>
      </c>
      <c r="AU211" s="1081">
        <f>+AT297</f>
        <v/>
      </c>
      <c r="AV211" s="199">
        <f>+AU297</f>
        <v/>
      </c>
      <c r="AW211" s="1081">
        <f>+AV297</f>
        <v/>
      </c>
      <c r="AX211" s="1081">
        <f>+AW297</f>
        <v/>
      </c>
      <c r="AY211" s="1081">
        <f>+AX297</f>
        <v/>
      </c>
      <c r="AZ211" s="1081">
        <f>+AY297</f>
        <v/>
      </c>
      <c r="BA211" s="1081">
        <f>+AZ297</f>
        <v/>
      </c>
      <c r="BB211" s="199">
        <f>+BA297</f>
        <v/>
      </c>
      <c r="BC211" s="1081">
        <f>+BB297</f>
        <v/>
      </c>
      <c r="BD211" s="1081">
        <f>+BC297</f>
        <v/>
      </c>
      <c r="BE211" s="1081">
        <f>+BD297</f>
        <v/>
      </c>
      <c r="BF211" s="1081">
        <f>+BE297</f>
        <v/>
      </c>
      <c r="BG211" s="1081">
        <f>+BF297</f>
        <v/>
      </c>
      <c r="BH211" s="199">
        <f>+BG297</f>
        <v/>
      </c>
      <c r="BI211" s="1081">
        <f>+BH297</f>
        <v/>
      </c>
      <c r="BJ211" s="1081">
        <f>+BI297</f>
        <v/>
      </c>
      <c r="BK211" s="1081">
        <f>+BJ297</f>
        <v/>
      </c>
      <c r="BL211" s="1081">
        <f>+BK297</f>
        <v/>
      </c>
      <c r="BM211" s="1081">
        <f>+BL297</f>
        <v/>
      </c>
      <c r="BN211" s="199">
        <f>+BM297</f>
        <v/>
      </c>
    </row>
    <row r="212" ht="12.75" customHeight="1" s="1883">
      <c r="C212" s="1155" t="n"/>
      <c r="D212" s="670" t="n"/>
      <c r="E212" s="671" t="n"/>
      <c r="F212" s="74" t="n"/>
      <c r="G212" s="1081" t="n"/>
      <c r="H212" s="1081" t="n"/>
      <c r="I212" s="1081" t="n"/>
      <c r="J212" s="1081" t="n"/>
      <c r="K212" s="1081" t="n"/>
      <c r="L212" s="199" t="n"/>
      <c r="M212" s="1081" t="n"/>
      <c r="N212" s="1081" t="n"/>
      <c r="O212" s="1081" t="n"/>
      <c r="P212" s="1081" t="n"/>
      <c r="Q212" s="1081" t="n"/>
      <c r="R212" s="199" t="n"/>
      <c r="S212" s="1081" t="n"/>
      <c r="T212" s="1081" t="n"/>
      <c r="U212" s="1081" t="n"/>
      <c r="V212" s="1081" t="n"/>
      <c r="W212" s="1081" t="n"/>
      <c r="X212" s="199" t="n"/>
      <c r="Y212" s="1081" t="n"/>
      <c r="Z212" s="1081" t="n"/>
      <c r="AA212" s="1081" t="n"/>
      <c r="AB212" s="1081" t="n"/>
      <c r="AC212" s="1081" t="n"/>
      <c r="AD212" s="199" t="n"/>
      <c r="AE212" s="1081" t="n"/>
      <c r="AF212" s="1081" t="n"/>
      <c r="AG212" s="1081" t="n"/>
      <c r="AH212" s="1081" t="n"/>
      <c r="AI212" s="1081" t="n"/>
      <c r="AJ212" s="199" t="n"/>
      <c r="AK212" s="1081" t="n"/>
      <c r="AL212" s="1081" t="n"/>
      <c r="AM212" s="1081" t="n"/>
      <c r="AN212" s="1081" t="n"/>
      <c r="AO212" s="1081" t="n"/>
      <c r="AP212" s="199" t="n"/>
      <c r="AQ212" s="1081" t="n"/>
      <c r="AR212" s="1081" t="n"/>
      <c r="AS212" s="1081" t="n"/>
      <c r="AT212" s="1081" t="n"/>
      <c r="AU212" s="1081" t="n"/>
      <c r="AV212" s="199" t="n"/>
      <c r="AW212" s="1081" t="n"/>
      <c r="AX212" s="1081" t="n"/>
      <c r="AY212" s="1081" t="n"/>
      <c r="AZ212" s="1081" t="n"/>
      <c r="BA212" s="1081" t="n"/>
      <c r="BB212" s="199" t="n"/>
      <c r="BC212" s="1081" t="n"/>
      <c r="BD212" s="1081" t="n"/>
      <c r="BE212" s="1081" t="n"/>
      <c r="BF212" s="1081" t="n"/>
      <c r="BG212" s="1081" t="n"/>
      <c r="BH212" s="199" t="n"/>
      <c r="BI212" s="1081" t="n"/>
      <c r="BJ212" s="1081" t="n"/>
      <c r="BK212" s="1081" t="n"/>
      <c r="BL212" s="1081" t="n"/>
      <c r="BM212" s="1081" t="n"/>
      <c r="BN212" s="199" t="n"/>
    </row>
    <row r="213" ht="12.75" customHeight="1" s="1883">
      <c r="C213" s="1155" t="inlineStr">
        <is>
          <t>Existing Computers (Staff) - Gross</t>
        </is>
      </c>
      <c r="D213" s="670" t="n"/>
      <c r="E213" s="671" t="n"/>
      <c r="F213" s="74" t="n"/>
      <c r="G213" s="1091">
        <f>+G211</f>
        <v/>
      </c>
      <c r="H213" s="1091">
        <f>+G213</f>
        <v/>
      </c>
      <c r="I213" s="1091">
        <f>+H213</f>
        <v/>
      </c>
      <c r="J213" s="1091">
        <f>+I213</f>
        <v/>
      </c>
      <c r="K213" s="1091">
        <f>+J213</f>
        <v/>
      </c>
      <c r="L213" s="174">
        <f>+K213</f>
        <v/>
      </c>
      <c r="M213" s="1091">
        <f>+L213</f>
        <v/>
      </c>
      <c r="N213" s="1091">
        <f>+M213</f>
        <v/>
      </c>
      <c r="O213" s="1091">
        <f>+N213</f>
        <v/>
      </c>
      <c r="P213" s="1091">
        <f>+O213</f>
        <v/>
      </c>
      <c r="Q213" s="1091">
        <f>+P213</f>
        <v/>
      </c>
      <c r="R213" s="174">
        <f>+Q213</f>
        <v/>
      </c>
      <c r="S213" s="1091">
        <f>+R213</f>
        <v/>
      </c>
      <c r="T213" s="1091">
        <f>+S213</f>
        <v/>
      </c>
      <c r="U213" s="1091">
        <f>+T213</f>
        <v/>
      </c>
      <c r="V213" s="1091">
        <f>+U213</f>
        <v/>
      </c>
      <c r="W213" s="1091">
        <f>+V213</f>
        <v/>
      </c>
      <c r="X213" s="174">
        <f>+W213</f>
        <v/>
      </c>
      <c r="Y213" s="1091">
        <f>+X213</f>
        <v/>
      </c>
      <c r="Z213" s="1091">
        <f>+Y213</f>
        <v/>
      </c>
      <c r="AA213" s="1091">
        <f>+Z213</f>
        <v/>
      </c>
      <c r="AB213" s="1091">
        <f>+AA213</f>
        <v/>
      </c>
      <c r="AC213" s="1091">
        <f>+AB213</f>
        <v/>
      </c>
      <c r="AD213" s="174">
        <f>+AC213</f>
        <v/>
      </c>
      <c r="AE213" s="1091">
        <f>+AD213</f>
        <v/>
      </c>
      <c r="AF213" s="1091">
        <f>+AE213</f>
        <v/>
      </c>
      <c r="AG213" s="1091">
        <f>+AF213</f>
        <v/>
      </c>
      <c r="AH213" s="1091">
        <f>+AG213</f>
        <v/>
      </c>
      <c r="AI213" s="1091">
        <f>+AH213</f>
        <v/>
      </c>
      <c r="AJ213" s="174">
        <f>+AI213</f>
        <v/>
      </c>
      <c r="AK213" s="1091">
        <f>+AJ213</f>
        <v/>
      </c>
      <c r="AL213" s="1091">
        <f>+AK213</f>
        <v/>
      </c>
      <c r="AM213" s="1091">
        <f>+AL213</f>
        <v/>
      </c>
      <c r="AN213" s="1091">
        <f>+AM213</f>
        <v/>
      </c>
      <c r="AO213" s="1091">
        <f>+AN213</f>
        <v/>
      </c>
      <c r="AP213" s="174">
        <f>+AO213</f>
        <v/>
      </c>
      <c r="AQ213" s="1091">
        <f>+AP213</f>
        <v/>
      </c>
      <c r="AR213" s="1091">
        <f>+AQ213</f>
        <v/>
      </c>
      <c r="AS213" s="1091">
        <f>+AR213</f>
        <v/>
      </c>
      <c r="AT213" s="1091">
        <f>+AS213</f>
        <v/>
      </c>
      <c r="AU213" s="1091">
        <f>+AT213</f>
        <v/>
      </c>
      <c r="AV213" s="174">
        <f>+AU213</f>
        <v/>
      </c>
      <c r="AW213" s="1091">
        <f>+AV213</f>
        <v/>
      </c>
      <c r="AX213" s="1091">
        <f>+AW213</f>
        <v/>
      </c>
      <c r="AY213" s="1091">
        <f>+AX213</f>
        <v/>
      </c>
      <c r="AZ213" s="1091">
        <f>+AY213</f>
        <v/>
      </c>
      <c r="BA213" s="1091">
        <f>+AZ213</f>
        <v/>
      </c>
      <c r="BB213" s="174">
        <f>+BA213</f>
        <v/>
      </c>
      <c r="BC213" s="1091">
        <f>+BB213</f>
        <v/>
      </c>
      <c r="BD213" s="1091">
        <f>+BC213</f>
        <v/>
      </c>
      <c r="BE213" s="1091">
        <f>+BD213</f>
        <v/>
      </c>
      <c r="BF213" s="1091">
        <f>+BE213</f>
        <v/>
      </c>
      <c r="BG213" s="1091">
        <f>+BF213</f>
        <v/>
      </c>
      <c r="BH213" s="174">
        <f>+BG213</f>
        <v/>
      </c>
      <c r="BI213" s="1091">
        <f>+BH213</f>
        <v/>
      </c>
      <c r="BJ213" s="1091">
        <f>+BI213</f>
        <v/>
      </c>
      <c r="BK213" s="1091">
        <f>+BJ213</f>
        <v/>
      </c>
      <c r="BL213" s="1091">
        <f>+BK213</f>
        <v/>
      </c>
      <c r="BM213" s="1091">
        <f>+BL213</f>
        <v/>
      </c>
      <c r="BN213" s="174">
        <f>+BM213</f>
        <v/>
      </c>
    </row>
    <row r="214" ht="12.75" customHeight="1" s="1883">
      <c r="C214" s="1157" t="inlineStr">
        <is>
          <t>Accumulated Amortization - Beg</t>
        </is>
      </c>
      <c r="D214" s="670" t="n"/>
      <c r="E214" s="671" t="n"/>
      <c r="F214" s="74" t="n"/>
      <c r="G214" s="1091" t="n">
        <v>0</v>
      </c>
      <c r="H214" s="1091">
        <f>+G216</f>
        <v/>
      </c>
      <c r="I214" s="1091">
        <f>+H216</f>
        <v/>
      </c>
      <c r="J214" s="1091">
        <f>+I216</f>
        <v/>
      </c>
      <c r="K214" s="1091">
        <f>+J216</f>
        <v/>
      </c>
      <c r="L214" s="174">
        <f>+K216</f>
        <v/>
      </c>
      <c r="M214" s="1091">
        <f>+L216</f>
        <v/>
      </c>
      <c r="N214" s="1091">
        <f>+M216</f>
        <v/>
      </c>
      <c r="O214" s="1091">
        <f>+N216</f>
        <v/>
      </c>
      <c r="P214" s="1091">
        <f>+O216</f>
        <v/>
      </c>
      <c r="Q214" s="1091">
        <f>+P216</f>
        <v/>
      </c>
      <c r="R214" s="174">
        <f>+Q216</f>
        <v/>
      </c>
      <c r="S214" s="1091">
        <f>+R216</f>
        <v/>
      </c>
      <c r="T214" s="1091">
        <f>+S216</f>
        <v/>
      </c>
      <c r="U214" s="1091">
        <f>+T216</f>
        <v/>
      </c>
      <c r="V214" s="1091">
        <f>+U216</f>
        <v/>
      </c>
      <c r="W214" s="1091">
        <f>+V216</f>
        <v/>
      </c>
      <c r="X214" s="174">
        <f>+W216</f>
        <v/>
      </c>
      <c r="Y214" s="1091">
        <f>+X216</f>
        <v/>
      </c>
      <c r="Z214" s="1091">
        <f>+Y216</f>
        <v/>
      </c>
      <c r="AA214" s="1091">
        <f>+Z216</f>
        <v/>
      </c>
      <c r="AB214" s="1091">
        <f>+AA216</f>
        <v/>
      </c>
      <c r="AC214" s="1091">
        <f>+AB216</f>
        <v/>
      </c>
      <c r="AD214" s="174">
        <f>+AC216</f>
        <v/>
      </c>
      <c r="AE214" s="1091">
        <f>+AD216</f>
        <v/>
      </c>
      <c r="AF214" s="1091">
        <f>+AE216</f>
        <v/>
      </c>
      <c r="AG214" s="1091">
        <f>+AF216</f>
        <v/>
      </c>
      <c r="AH214" s="1091">
        <f>+AG216</f>
        <v/>
      </c>
      <c r="AI214" s="1091">
        <f>+AH216</f>
        <v/>
      </c>
      <c r="AJ214" s="174">
        <f>+AI216</f>
        <v/>
      </c>
      <c r="AK214" s="1091">
        <f>+AJ216</f>
        <v/>
      </c>
      <c r="AL214" s="1091">
        <f>+AK216</f>
        <v/>
      </c>
      <c r="AM214" s="1091">
        <f>+AL216</f>
        <v/>
      </c>
      <c r="AN214" s="1091">
        <f>+AM216</f>
        <v/>
      </c>
      <c r="AO214" s="1091">
        <f>+AN216</f>
        <v/>
      </c>
      <c r="AP214" s="174">
        <f>+AO216</f>
        <v/>
      </c>
      <c r="AQ214" s="1091">
        <f>+AP216</f>
        <v/>
      </c>
      <c r="AR214" s="1091">
        <f>+AQ216</f>
        <v/>
      </c>
      <c r="AS214" s="1091">
        <f>+AR216</f>
        <v/>
      </c>
      <c r="AT214" s="1091">
        <f>+AS216</f>
        <v/>
      </c>
      <c r="AU214" s="1091">
        <f>+AT216</f>
        <v/>
      </c>
      <c r="AV214" s="174">
        <f>+AU216</f>
        <v/>
      </c>
      <c r="AW214" s="1091">
        <f>+AV216</f>
        <v/>
      </c>
      <c r="AX214" s="1091">
        <f>+AW216</f>
        <v/>
      </c>
      <c r="AY214" s="1091">
        <f>+AX216</f>
        <v/>
      </c>
      <c r="AZ214" s="1091">
        <f>+AY216</f>
        <v/>
      </c>
      <c r="BA214" s="1091">
        <f>+AZ216</f>
        <v/>
      </c>
      <c r="BB214" s="174">
        <f>+BA216</f>
        <v/>
      </c>
      <c r="BC214" s="1091">
        <f>+BB216</f>
        <v/>
      </c>
      <c r="BD214" s="1091">
        <f>+BC216</f>
        <v/>
      </c>
      <c r="BE214" s="1091">
        <f>+BD216</f>
        <v/>
      </c>
      <c r="BF214" s="1091">
        <f>+BE216</f>
        <v/>
      </c>
      <c r="BG214" s="1091">
        <f>+BF216</f>
        <v/>
      </c>
      <c r="BH214" s="174">
        <f>+BG216</f>
        <v/>
      </c>
      <c r="BI214" s="1091">
        <f>+BH216</f>
        <v/>
      </c>
      <c r="BJ214" s="1091">
        <f>+BI216</f>
        <v/>
      </c>
      <c r="BK214" s="1091">
        <f>+BJ216</f>
        <v/>
      </c>
      <c r="BL214" s="1091">
        <f>+BK216</f>
        <v/>
      </c>
      <c r="BM214" s="1091">
        <f>+BL216</f>
        <v/>
      </c>
      <c r="BN214" s="174">
        <f>+BM216</f>
        <v/>
      </c>
    </row>
    <row r="215" ht="12.75" customHeight="1" s="1883">
      <c r="C215" s="1157" t="inlineStr">
        <is>
          <t>Amortization Expense</t>
        </is>
      </c>
      <c r="D215" s="670" t="n"/>
      <c r="E215" s="671" t="n"/>
      <c r="F215" s="74" t="n"/>
      <c r="G215" s="1091">
        <f>+G211*($D$210)/12</f>
        <v/>
      </c>
      <c r="H215" s="1091">
        <f>+IF(($H$211*($D$210)/12)&gt;G217,G217,($H$211*($D$210)/12))</f>
        <v/>
      </c>
      <c r="I215" s="1091">
        <f>+IF(($H$211*($D$210)/12)&gt;H217,H217,($H$211*($D$210)/12))</f>
        <v/>
      </c>
      <c r="J215" s="1091">
        <f>+IF(($H$211*($D$210)/12)&gt;I217,I217,($H$211*($D$210)/12))</f>
        <v/>
      </c>
      <c r="K215" s="1091">
        <f>+IF(($H$211*($D$210)/12)&gt;J217,J217,($H$211*($D$210)/12))</f>
        <v/>
      </c>
      <c r="L215" s="174">
        <f>+IF(($H$211*($D$210)/12)&gt;K217,K217,($H$211*($D$210)/12))</f>
        <v/>
      </c>
      <c r="M215" s="1091">
        <f>+IF(($H$211*($D$210)/12)&gt;L217,L217,($H$211*($D$210)/12))</f>
        <v/>
      </c>
      <c r="N215" s="1091">
        <f>+IF(($H$211*($D$210)/12)&gt;M217,M217,($H$211*($D$210)/12))</f>
        <v/>
      </c>
      <c r="O215" s="1091">
        <f>+IF(($H$211*($D$210)/12)&gt;N217,N217,($H$211*($D$210)/12))</f>
        <v/>
      </c>
      <c r="P215" s="1091">
        <f>+IF(($H$211*($D$210)/12)&gt;O217,O217,($H$211*($D$210)/12))</f>
        <v/>
      </c>
      <c r="Q215" s="1091">
        <f>+IF(($H$211*($D$210)/12)&gt;P217,P217,($H$211*($D$210)/12))</f>
        <v/>
      </c>
      <c r="R215" s="174">
        <f>+IF(($H$211*($D$210)/12)&gt;Q217,Q217,($H$211*($D$210)/12))</f>
        <v/>
      </c>
      <c r="S215" s="1091">
        <f>+IF(($H$211*($D$210)/12)&gt;R217,R217,($H$211*($D$210)/12))</f>
        <v/>
      </c>
      <c r="T215" s="1091">
        <f>+IF(($H$211*($D$210)/12)&gt;S217,S217,($H$211*($D$210)/12))</f>
        <v/>
      </c>
      <c r="U215" s="1091">
        <f>+IF(($H$211*($D$210)/12)&gt;T217,T217,($H$211*($D$210)/12))</f>
        <v/>
      </c>
      <c r="V215" s="1091">
        <f>+IF(($H$211*($D$210)/12)&gt;U217,U217,($H$211*($D$210)/12))</f>
        <v/>
      </c>
      <c r="W215" s="1091">
        <f>+IF(($H$211*($D$210)/12)&gt;V217,V217,($H$211*($D$210)/12))</f>
        <v/>
      </c>
      <c r="X215" s="174">
        <f>+IF(($H$211*($D$210)/12)&gt;W217,W217,($H$211*($D$210)/12))</f>
        <v/>
      </c>
      <c r="Y215" s="1091">
        <f>+IF(($H$211*($D$210)/12)&gt;X217,X217,($H$211*($D$210)/12))</f>
        <v/>
      </c>
      <c r="Z215" s="1091">
        <f>+IF(($H$211*($D$210)/12)&gt;Y217,Y217,($H$211*($D$210)/12))</f>
        <v/>
      </c>
      <c r="AA215" s="1091">
        <f>+IF(($H$211*($D$210)/12)&gt;Z217,Z217,($H$211*($D$210)/12))</f>
        <v/>
      </c>
      <c r="AB215" s="1091">
        <f>+IF(($H$211*($D$210)/12)&gt;AA217,AA217,($H$211*($D$210)/12))</f>
        <v/>
      </c>
      <c r="AC215" s="1091">
        <f>+IF(($H$211*($D$210)/12)&gt;AB217,AB217,($H$211*($D$210)/12))</f>
        <v/>
      </c>
      <c r="AD215" s="174">
        <f>+IF(($H$211*($D$210)/12)&gt;AC217,AC217,($H$211*($D$210)/12))</f>
        <v/>
      </c>
      <c r="AE215" s="1091">
        <f>+IF(($H$211*($D$210)/12)&gt;AD217,AD217,($H$211*($D$210)/12))</f>
        <v/>
      </c>
      <c r="AF215" s="1091">
        <f>+IF(($H$211*($D$210)/12)&gt;AE217,AE217,($H$211*($D$210)/12))</f>
        <v/>
      </c>
      <c r="AG215" s="1091">
        <f>+IF(($H$211*($D$210)/12)&gt;AF217,AF217,($H$211*($D$210)/12))</f>
        <v/>
      </c>
      <c r="AH215" s="1091">
        <f>+IF(($H$211*($D$210)/12)&gt;AG217,AG217,($H$211*($D$210)/12))</f>
        <v/>
      </c>
      <c r="AI215" s="1091">
        <f>+IF(($H$211*($D$210)/12)&gt;AH217,AH217,($H$211*($D$210)/12))</f>
        <v/>
      </c>
      <c r="AJ215" s="174">
        <f>+IF(($H$211*($D$210)/12)&gt;AI217,AI217,($H$211*($D$210)/12))</f>
        <v/>
      </c>
      <c r="AK215" s="1091">
        <f>+IF(($H$211*($D$210)/12)&gt;AJ217,AJ217,($H$211*($D$210)/12))</f>
        <v/>
      </c>
      <c r="AL215" s="1091">
        <f>+IF(($H$211*($D$210)/12)&gt;AK217,AK217,($H$211*($D$210)/12))</f>
        <v/>
      </c>
      <c r="AM215" s="1091">
        <f>+IF(($H$211*($D$210)/12)&gt;AL217,AL217,($H$211*($D$210)/12))</f>
        <v/>
      </c>
      <c r="AN215" s="1091">
        <f>+IF(($H$211*($D$210)/12)&gt;AM217,AM217,($H$211*($D$210)/12))</f>
        <v/>
      </c>
      <c r="AO215" s="1091">
        <f>+IF(($H$211*($D$210)/12)&gt;AN217,AN217,($H$211*($D$210)/12))</f>
        <v/>
      </c>
      <c r="AP215" s="174">
        <f>+IF(($H$211*($D$210)/12)&gt;AO217,AO217,($H$211*($D$210)/12))</f>
        <v/>
      </c>
      <c r="AQ215" s="1091">
        <f>+IF(($H$211*($D$210)/12)&gt;AP217,AP217,($H$211*($D$210)/12))</f>
        <v/>
      </c>
      <c r="AR215" s="1091">
        <f>+IF(($H$211*($D$210)/12)&gt;AQ217,AQ217,($H$211*($D$210)/12))</f>
        <v/>
      </c>
      <c r="AS215" s="1091">
        <f>+IF(($H$211*($D$210)/12)&gt;AR217,AR217,($H$211*($D$210)/12))</f>
        <v/>
      </c>
      <c r="AT215" s="1091">
        <f>+IF(($H$211*($D$210)/12)&gt;AS217,AS217,($H$211*($D$210)/12))</f>
        <v/>
      </c>
      <c r="AU215" s="1091">
        <f>+IF(($H$211*($D$210)/12)&gt;AT217,AT217,($H$211*($D$210)/12))</f>
        <v/>
      </c>
      <c r="AV215" s="174">
        <f>+IF(($H$211*($D$210)/12)&gt;AU217,AU217,($H$211*($D$210)/12))</f>
        <v/>
      </c>
      <c r="AW215" s="1091">
        <f>+IF(($H$211*($D$210)/12)&gt;AV217,AV217,($H$211*($D$210)/12))</f>
        <v/>
      </c>
      <c r="AX215" s="1091">
        <f>+IF(($H$211*($D$210)/12)&gt;AW217,AW217,($H$211*($D$210)/12))</f>
        <v/>
      </c>
      <c r="AY215" s="1091">
        <f>+IF(($H$211*($D$210)/12)&gt;AX217,AX217,($H$211*($D$210)/12))</f>
        <v/>
      </c>
      <c r="AZ215" s="1091">
        <f>+IF(($H$211*($D$210)/12)&gt;AY217,AY217,($H$211*($D$210)/12))</f>
        <v/>
      </c>
      <c r="BA215" s="1091">
        <f>+IF(($H$211*($D$210)/12)&gt;AZ217,AZ217,($H$211*($D$210)/12))</f>
        <v/>
      </c>
      <c r="BB215" s="174">
        <f>+IF(($H$211*($D$210)/12)&gt;BA217,BA217,($H$211*($D$210)/12))</f>
        <v/>
      </c>
      <c r="BC215" s="1091">
        <f>+IF(($H$211*($D$210)/12)&gt;BB217,BB217,($H$211*($D$210)/12))</f>
        <v/>
      </c>
      <c r="BD215" s="1091">
        <f>+IF(($H$211*($D$210)/12)&gt;BC217,BC217,($H$211*($D$210)/12))</f>
        <v/>
      </c>
      <c r="BE215" s="1091">
        <f>+IF(($H$211*($D$210)/12)&gt;BD217,BD217,($H$211*($D$210)/12))</f>
        <v/>
      </c>
      <c r="BF215" s="1091">
        <f>+IF(($H$211*($D$210)/12)&gt;BE217,BE217,($H$211*($D$210)/12))</f>
        <v/>
      </c>
      <c r="BG215" s="1091">
        <f>+IF(($H$211*($D$210)/12)&gt;BF217,BF217,($H$211*($D$210)/12))</f>
        <v/>
      </c>
      <c r="BH215" s="174">
        <f>+IF(($H$211*($D$210)/12)&gt;BG217,BG217,($H$211*($D$210)/12))</f>
        <v/>
      </c>
      <c r="BI215" s="1091">
        <f>+IF(($H$211*($D$210)/12)&gt;BH217,BH217,($H$211*($D$210)/12))</f>
        <v/>
      </c>
      <c r="BJ215" s="1091">
        <f>+IF(($H$211*($D$210)/12)&gt;BI217,BI217,($H$211*($D$210)/12))</f>
        <v/>
      </c>
      <c r="BK215" s="1091">
        <f>+IF(($H$211*($D$210)/12)&gt;BJ217,BJ217,($H$211*($D$210)/12))</f>
        <v/>
      </c>
      <c r="BL215" s="1091">
        <f>+IF(($H$211*($D$210)/12)&gt;BK217,BK217,($H$211*($D$210)/12))</f>
        <v/>
      </c>
      <c r="BM215" s="1091">
        <f>+IF(($H$211*($D$210)/12)&gt;BL217,BL217,($H$211*($D$210)/12))</f>
        <v/>
      </c>
      <c r="BN215" s="174">
        <f>+IF(($H$211*($D$210)/12)&gt;BM217,BM217,($H$211*($D$210)/12))</f>
        <v/>
      </c>
    </row>
    <row r="216" ht="12.75" customHeight="1" s="1883">
      <c r="C216" s="1157" t="inlineStr">
        <is>
          <t>Accumulated Amortization - End</t>
        </is>
      </c>
      <c r="D216" s="670" t="n"/>
      <c r="E216" s="671" t="n"/>
      <c r="F216" s="74" t="n"/>
      <c r="G216" s="201">
        <f>+G214+G215</f>
        <v/>
      </c>
      <c r="H216" s="201">
        <f>+H214+H215</f>
        <v/>
      </c>
      <c r="I216" s="201">
        <f>+I214+I215</f>
        <v/>
      </c>
      <c r="J216" s="201">
        <f>+J214+J215</f>
        <v/>
      </c>
      <c r="K216" s="201">
        <f>+K214+K215</f>
        <v/>
      </c>
      <c r="L216" s="200">
        <f>+L214+L215</f>
        <v/>
      </c>
      <c r="M216" s="201">
        <f>+M214+M215</f>
        <v/>
      </c>
      <c r="N216" s="201">
        <f>+N214+N215</f>
        <v/>
      </c>
      <c r="O216" s="201">
        <f>+O214+O215</f>
        <v/>
      </c>
      <c r="P216" s="201">
        <f>+P214+P215</f>
        <v/>
      </c>
      <c r="Q216" s="201">
        <f>+Q214+Q215</f>
        <v/>
      </c>
      <c r="R216" s="200">
        <f>+R214+R215</f>
        <v/>
      </c>
      <c r="S216" s="201">
        <f>+S214+S215</f>
        <v/>
      </c>
      <c r="T216" s="201">
        <f>+T214+T215</f>
        <v/>
      </c>
      <c r="U216" s="201">
        <f>+U214+U215</f>
        <v/>
      </c>
      <c r="V216" s="201">
        <f>+V214+V215</f>
        <v/>
      </c>
      <c r="W216" s="201">
        <f>+W214+W215</f>
        <v/>
      </c>
      <c r="X216" s="200">
        <f>+X214+X215</f>
        <v/>
      </c>
      <c r="Y216" s="201">
        <f>+Y214+Y215</f>
        <v/>
      </c>
      <c r="Z216" s="201">
        <f>+Z214+Z215</f>
        <v/>
      </c>
      <c r="AA216" s="201">
        <f>+AA214+AA215</f>
        <v/>
      </c>
      <c r="AB216" s="201">
        <f>+AB214+AB215</f>
        <v/>
      </c>
      <c r="AC216" s="201">
        <f>+AC214+AC215</f>
        <v/>
      </c>
      <c r="AD216" s="200">
        <f>+AD214+AD215</f>
        <v/>
      </c>
      <c r="AE216" s="201">
        <f>+AE214+AE215</f>
        <v/>
      </c>
      <c r="AF216" s="201">
        <f>+AF214+AF215</f>
        <v/>
      </c>
      <c r="AG216" s="201">
        <f>+AG214+AG215</f>
        <v/>
      </c>
      <c r="AH216" s="201">
        <f>+AH214+AH215</f>
        <v/>
      </c>
      <c r="AI216" s="201">
        <f>+AI214+AI215</f>
        <v/>
      </c>
      <c r="AJ216" s="200">
        <f>+AJ214+AJ215</f>
        <v/>
      </c>
      <c r="AK216" s="201">
        <f>+AK214+AK215</f>
        <v/>
      </c>
      <c r="AL216" s="201">
        <f>+AL214+AL215</f>
        <v/>
      </c>
      <c r="AM216" s="201">
        <f>+AM214+AM215</f>
        <v/>
      </c>
      <c r="AN216" s="201">
        <f>+AN214+AN215</f>
        <v/>
      </c>
      <c r="AO216" s="201">
        <f>+AO214+AO215</f>
        <v/>
      </c>
      <c r="AP216" s="200">
        <f>+AP214+AP215</f>
        <v/>
      </c>
      <c r="AQ216" s="201">
        <f>+AQ214+AQ215</f>
        <v/>
      </c>
      <c r="AR216" s="201">
        <f>+AR214+AR215</f>
        <v/>
      </c>
      <c r="AS216" s="201">
        <f>+AS214+AS215</f>
        <v/>
      </c>
      <c r="AT216" s="201">
        <f>+AT214+AT215</f>
        <v/>
      </c>
      <c r="AU216" s="201">
        <f>+AU214+AU215</f>
        <v/>
      </c>
      <c r="AV216" s="200">
        <f>+AV214+AV215</f>
        <v/>
      </c>
      <c r="AW216" s="201">
        <f>+AW214+AW215</f>
        <v/>
      </c>
      <c r="AX216" s="201">
        <f>+AX214+AX215</f>
        <v/>
      </c>
      <c r="AY216" s="201">
        <f>+AY214+AY215</f>
        <v/>
      </c>
      <c r="AZ216" s="201">
        <f>+AZ214+AZ215</f>
        <v/>
      </c>
      <c r="BA216" s="201">
        <f>+BA214+BA215</f>
        <v/>
      </c>
      <c r="BB216" s="200">
        <f>+BB214+BB215</f>
        <v/>
      </c>
      <c r="BC216" s="201">
        <f>+BC214+BC215</f>
        <v/>
      </c>
      <c r="BD216" s="201">
        <f>+BD214+BD215</f>
        <v/>
      </c>
      <c r="BE216" s="201">
        <f>+BE214+BE215</f>
        <v/>
      </c>
      <c r="BF216" s="201">
        <f>+BF214+BF215</f>
        <v/>
      </c>
      <c r="BG216" s="201">
        <f>+BG214+BG215</f>
        <v/>
      </c>
      <c r="BH216" s="200">
        <f>+BH214+BH215</f>
        <v/>
      </c>
      <c r="BI216" s="201">
        <f>+BI214+BI215</f>
        <v/>
      </c>
      <c r="BJ216" s="201">
        <f>+BJ214+BJ215</f>
        <v/>
      </c>
      <c r="BK216" s="201">
        <f>+BK214+BK215</f>
        <v/>
      </c>
      <c r="BL216" s="201">
        <f>+BL214+BL215</f>
        <v/>
      </c>
      <c r="BM216" s="201">
        <f>+BM214+BM215</f>
        <v/>
      </c>
      <c r="BN216" s="200">
        <f>+BN214+BN215</f>
        <v/>
      </c>
    </row>
    <row r="217" ht="12.75" customHeight="1" s="1883">
      <c r="C217" s="1157" t="inlineStr">
        <is>
          <t>Computers Existing (Staff) - Net</t>
        </is>
      </c>
      <c r="D217" s="670" t="n"/>
      <c r="E217" s="671" t="n"/>
      <c r="F217" s="74" t="n"/>
      <c r="G217" s="201">
        <f>+G213-G216</f>
        <v/>
      </c>
      <c r="H217" s="201">
        <f>+H213-H216</f>
        <v/>
      </c>
      <c r="I217" s="201">
        <f>+I213-I216</f>
        <v/>
      </c>
      <c r="J217" s="201">
        <f>+J213-J216</f>
        <v/>
      </c>
      <c r="K217" s="201">
        <f>+K213-K216</f>
        <v/>
      </c>
      <c r="L217" s="200">
        <f>+L213-L216</f>
        <v/>
      </c>
      <c r="M217" s="201">
        <f>+M213-M216</f>
        <v/>
      </c>
      <c r="N217" s="201">
        <f>+N213-N216</f>
        <v/>
      </c>
      <c r="O217" s="201">
        <f>+O213-O216</f>
        <v/>
      </c>
      <c r="P217" s="201">
        <f>+P213-P216</f>
        <v/>
      </c>
      <c r="Q217" s="201">
        <f>+Q213-Q216</f>
        <v/>
      </c>
      <c r="R217" s="200">
        <f>+R213-R216</f>
        <v/>
      </c>
      <c r="S217" s="201">
        <f>+S213-S216</f>
        <v/>
      </c>
      <c r="T217" s="201">
        <f>+T213-T216</f>
        <v/>
      </c>
      <c r="U217" s="201">
        <f>+U213-U216</f>
        <v/>
      </c>
      <c r="V217" s="201">
        <f>+V213-V216</f>
        <v/>
      </c>
      <c r="W217" s="201">
        <f>+W213-W216</f>
        <v/>
      </c>
      <c r="X217" s="200">
        <f>+X213-X216</f>
        <v/>
      </c>
      <c r="Y217" s="201">
        <f>+Y213-Y216</f>
        <v/>
      </c>
      <c r="Z217" s="201">
        <f>+Z213-Z216</f>
        <v/>
      </c>
      <c r="AA217" s="201">
        <f>+AA213-AA216</f>
        <v/>
      </c>
      <c r="AB217" s="201">
        <f>+AB213-AB216</f>
        <v/>
      </c>
      <c r="AC217" s="201">
        <f>+AC213-AC216</f>
        <v/>
      </c>
      <c r="AD217" s="200">
        <f>+AD213-AD216</f>
        <v/>
      </c>
      <c r="AE217" s="201">
        <f>+AE213-AE216</f>
        <v/>
      </c>
      <c r="AF217" s="201">
        <f>+AF213-AF216</f>
        <v/>
      </c>
      <c r="AG217" s="201">
        <f>+AG213-AG216</f>
        <v/>
      </c>
      <c r="AH217" s="201">
        <f>+AH213-AH216</f>
        <v/>
      </c>
      <c r="AI217" s="201">
        <f>+AI213-AI216</f>
        <v/>
      </c>
      <c r="AJ217" s="200">
        <f>+AJ213-AJ216</f>
        <v/>
      </c>
      <c r="AK217" s="201">
        <f>+AK213-AK216</f>
        <v/>
      </c>
      <c r="AL217" s="201">
        <f>+AL213-AL216</f>
        <v/>
      </c>
      <c r="AM217" s="201">
        <f>+AM213-AM216</f>
        <v/>
      </c>
      <c r="AN217" s="201">
        <f>+AN213-AN216</f>
        <v/>
      </c>
      <c r="AO217" s="201">
        <f>+AO213-AO216</f>
        <v/>
      </c>
      <c r="AP217" s="200">
        <f>+AP213-AP216</f>
        <v/>
      </c>
      <c r="AQ217" s="201">
        <f>+AQ213-AQ216</f>
        <v/>
      </c>
      <c r="AR217" s="201">
        <f>+AR213-AR216</f>
        <v/>
      </c>
      <c r="AS217" s="201">
        <f>+AS213-AS216</f>
        <v/>
      </c>
      <c r="AT217" s="201">
        <f>+AT213-AT216</f>
        <v/>
      </c>
      <c r="AU217" s="201">
        <f>+AU213-AU216</f>
        <v/>
      </c>
      <c r="AV217" s="200">
        <f>+AV213-AV216</f>
        <v/>
      </c>
      <c r="AW217" s="201">
        <f>+AW213-AW216</f>
        <v/>
      </c>
      <c r="AX217" s="201">
        <f>+AX213-AX216</f>
        <v/>
      </c>
      <c r="AY217" s="201">
        <f>+AY213-AY216</f>
        <v/>
      </c>
      <c r="AZ217" s="201">
        <f>+AZ213-AZ216</f>
        <v/>
      </c>
      <c r="BA217" s="201">
        <f>+BA213-BA216</f>
        <v/>
      </c>
      <c r="BB217" s="200">
        <f>+BB213-BB216</f>
        <v/>
      </c>
      <c r="BC217" s="201">
        <f>+BC213-BC216</f>
        <v/>
      </c>
      <c r="BD217" s="201">
        <f>+BD213-BD216</f>
        <v/>
      </c>
      <c r="BE217" s="201">
        <f>+BE213-BE216</f>
        <v/>
      </c>
      <c r="BF217" s="201">
        <f>+BF213-BF216</f>
        <v/>
      </c>
      <c r="BG217" s="201">
        <f>+BG213-BG216</f>
        <v/>
      </c>
      <c r="BH217" s="200">
        <f>+BH213-BH216</f>
        <v/>
      </c>
      <c r="BI217" s="201">
        <f>+BI213-BI216</f>
        <v/>
      </c>
      <c r="BJ217" s="201">
        <f>+BJ213-BJ216</f>
        <v/>
      </c>
      <c r="BK217" s="201">
        <f>+BK213-BK216</f>
        <v/>
      </c>
      <c r="BL217" s="201">
        <f>+BL213-BL216</f>
        <v/>
      </c>
      <c r="BM217" s="201">
        <f>+BM213-BM216</f>
        <v/>
      </c>
      <c r="BN217" s="200">
        <f>+BN213-BN216</f>
        <v/>
      </c>
    </row>
    <row r="218" ht="12.75" customHeight="1" s="1883">
      <c r="C218" s="1040" t="n"/>
      <c r="D218" s="670" t="n"/>
      <c r="E218" s="671" t="n"/>
      <c r="F218" s="74" t="n"/>
      <c r="G218" s="1081" t="n"/>
      <c r="H218" s="1081" t="n"/>
      <c r="I218" s="1081" t="n"/>
      <c r="J218" s="1081" t="n"/>
      <c r="K218" s="1081" t="n"/>
      <c r="L218" s="199" t="n"/>
      <c r="M218" s="1042" t="n"/>
      <c r="N218" s="1042" t="n"/>
      <c r="O218" s="1042" t="n"/>
      <c r="P218" s="1042" t="n"/>
      <c r="Q218" s="1042" t="n"/>
      <c r="R218" s="156" t="n"/>
      <c r="S218" s="1081" t="n"/>
      <c r="T218" s="1081" t="n"/>
      <c r="U218" s="1081" t="n"/>
      <c r="V218" s="1081" t="n"/>
      <c r="W218" s="1081" t="n"/>
      <c r="X218" s="199" t="n"/>
      <c r="Y218" s="1042" t="n"/>
      <c r="Z218" s="1042" t="n"/>
      <c r="AA218" s="1042" t="n"/>
      <c r="AB218" s="1042" t="n"/>
      <c r="AC218" s="1042" t="n"/>
      <c r="AD218" s="156" t="n"/>
      <c r="AE218" s="1081" t="n"/>
      <c r="AF218" s="1081" t="n"/>
      <c r="AG218" s="1081" t="n"/>
      <c r="AH218" s="1081" t="n"/>
      <c r="AI218" s="1081" t="n"/>
      <c r="AJ218" s="199" t="n"/>
      <c r="AK218" s="1042" t="n"/>
      <c r="AL218" s="1042" t="n"/>
      <c r="AM218" s="1042" t="n"/>
      <c r="AN218" s="1042" t="n"/>
      <c r="AO218" s="1042" t="n"/>
      <c r="AP218" s="156" t="n"/>
      <c r="AQ218" s="1081" t="n"/>
      <c r="AR218" s="1081" t="n"/>
      <c r="AS218" s="1081" t="n"/>
      <c r="AT218" s="1081" t="n"/>
      <c r="AU218" s="1081" t="n"/>
      <c r="AV218" s="199" t="n"/>
      <c r="AW218" s="1042" t="n"/>
      <c r="AX218" s="1042" t="n"/>
      <c r="AY218" s="1042" t="n"/>
      <c r="AZ218" s="1042" t="n"/>
      <c r="BA218" s="1042" t="n"/>
      <c r="BB218" s="156" t="n"/>
      <c r="BC218" s="1081" t="n"/>
      <c r="BD218" s="1081" t="n"/>
      <c r="BE218" s="1081" t="n"/>
      <c r="BF218" s="1081" t="n"/>
      <c r="BG218" s="1081" t="n"/>
      <c r="BH218" s="199" t="n"/>
      <c r="BI218" s="1042" t="n"/>
      <c r="BJ218" s="1042" t="n"/>
      <c r="BK218" s="1042" t="n"/>
      <c r="BL218" s="1042" t="n"/>
      <c r="BM218" s="1042" t="n"/>
      <c r="BN218" s="156" t="n"/>
    </row>
    <row r="219" ht="12.75" customHeight="1" s="1883">
      <c r="C219" s="1158" t="inlineStr">
        <is>
          <t>ADDITIONS</t>
        </is>
      </c>
      <c r="D219" s="670" t="n"/>
      <c r="E219" s="671" t="n"/>
      <c r="F219" s="74" t="n"/>
      <c r="G219" s="1081" t="n"/>
      <c r="H219" s="1081" t="n"/>
      <c r="I219" s="1081" t="n"/>
      <c r="J219" s="1081" t="n"/>
      <c r="K219" s="1081" t="n"/>
      <c r="L219" s="199" t="n"/>
      <c r="M219" s="1042" t="n"/>
      <c r="N219" s="1042" t="n"/>
      <c r="O219" s="1042" t="n"/>
      <c r="P219" s="1042" t="n"/>
      <c r="Q219" s="1042" t="n"/>
      <c r="R219" s="156" t="n"/>
      <c r="S219" s="1081" t="n"/>
      <c r="T219" s="1081" t="n"/>
      <c r="U219" s="1081" t="n"/>
      <c r="V219" s="1081" t="n"/>
      <c r="W219" s="1081" t="n"/>
      <c r="X219" s="199" t="n"/>
      <c r="Y219" s="1042" t="n"/>
      <c r="Z219" s="1042" t="n"/>
      <c r="AA219" s="1042" t="n"/>
      <c r="AB219" s="1042" t="n"/>
      <c r="AC219" s="1042" t="n"/>
      <c r="AD219" s="156" t="n"/>
      <c r="AE219" s="1081" t="n"/>
      <c r="AF219" s="1081" t="n"/>
      <c r="AG219" s="1081" t="n"/>
      <c r="AH219" s="1081" t="n"/>
      <c r="AI219" s="1081" t="n"/>
      <c r="AJ219" s="199" t="n"/>
      <c r="AK219" s="1042" t="n"/>
      <c r="AL219" s="1042" t="n"/>
      <c r="AM219" s="1042" t="n"/>
      <c r="AN219" s="1042" t="n"/>
      <c r="AO219" s="1042" t="n"/>
      <c r="AP219" s="156" t="n"/>
      <c r="AQ219" s="1081" t="n"/>
      <c r="AR219" s="1081" t="n"/>
      <c r="AS219" s="1081" t="n"/>
      <c r="AT219" s="1081" t="n"/>
      <c r="AU219" s="1081" t="n"/>
      <c r="AV219" s="199" t="n"/>
      <c r="AW219" s="1042" t="n"/>
      <c r="AX219" s="1042" t="n"/>
      <c r="AY219" s="1042" t="n"/>
      <c r="AZ219" s="1042" t="n"/>
      <c r="BA219" s="1042" t="n"/>
      <c r="BB219" s="156" t="n"/>
      <c r="BC219" s="1081" t="n"/>
      <c r="BD219" s="1081" t="n"/>
      <c r="BE219" s="1081" t="n"/>
      <c r="BF219" s="1081" t="n"/>
      <c r="BG219" s="1081" t="n"/>
      <c r="BH219" s="199" t="n"/>
      <c r="BI219" s="1042" t="n"/>
      <c r="BJ219" s="1042" t="n"/>
      <c r="BK219" s="1042" t="n"/>
      <c r="BL219" s="1042" t="n"/>
      <c r="BM219" s="1042" t="n"/>
      <c r="BN219" s="156" t="n"/>
    </row>
    <row r="220" ht="12.75" customHeight="1" s="1883">
      <c r="C220" s="1156" t="n"/>
      <c r="D220" s="670" t="inlineStr">
        <is>
          <t>Headcount</t>
        </is>
      </c>
      <c r="E220" s="671" t="n"/>
      <c r="F220" s="56">
        <f>+'6B. Pre-Launch Exps. - Detail'!Q118</f>
        <v/>
      </c>
      <c r="G220" s="56">
        <f>+'Headcount &amp; Salaries - 2'!X59</f>
        <v/>
      </c>
      <c r="H220" s="56">
        <f>+'Headcount &amp; Salaries - 2'!Y59</f>
        <v/>
      </c>
      <c r="I220" s="56">
        <f>+'Headcount &amp; Salaries - 2'!Z59</f>
        <v/>
      </c>
      <c r="J220" s="56">
        <f>+'Headcount &amp; Salaries - 2'!AA59</f>
        <v/>
      </c>
      <c r="K220" s="56">
        <f>+'Headcount &amp; Salaries - 2'!AB59</f>
        <v/>
      </c>
      <c r="L220" s="1159">
        <f>+'Headcount &amp; Salaries - 2'!AC59</f>
        <v/>
      </c>
      <c r="M220" s="56">
        <f>+'Headcount &amp; Salaries - 2'!AD59</f>
        <v/>
      </c>
      <c r="N220" s="56">
        <f>+'Headcount &amp; Salaries - 2'!AE59</f>
        <v/>
      </c>
      <c r="O220" s="56">
        <f>+'Headcount &amp; Salaries - 2'!AF59</f>
        <v/>
      </c>
      <c r="P220" s="56">
        <f>+'Headcount &amp; Salaries - 2'!AG59</f>
        <v/>
      </c>
      <c r="Q220" s="56">
        <f>+'Headcount &amp; Salaries - 2'!AH59</f>
        <v/>
      </c>
      <c r="R220" s="1159">
        <f>+'Headcount &amp; Salaries - 2'!AI59</f>
        <v/>
      </c>
      <c r="S220" s="202">
        <f>+'Headcount &amp; Salaries - 2'!AJ59</f>
        <v/>
      </c>
      <c r="T220" s="202">
        <f>+'Headcount &amp; Salaries - 2'!AK59</f>
        <v/>
      </c>
      <c r="U220" s="202">
        <f>+'Headcount &amp; Salaries - 2'!AL59</f>
        <v/>
      </c>
      <c r="V220" s="202">
        <f>+'Headcount &amp; Salaries - 2'!AM59</f>
        <v/>
      </c>
      <c r="W220" s="202">
        <f>+'Headcount &amp; Salaries - 2'!AN59</f>
        <v/>
      </c>
      <c r="X220" s="1160">
        <f>+'Headcount &amp; Salaries - 2'!AO59</f>
        <v/>
      </c>
      <c r="Y220" s="202">
        <f>+'Headcount &amp; Salaries - 2'!AP59</f>
        <v/>
      </c>
      <c r="Z220" s="202">
        <f>+'Headcount &amp; Salaries - 2'!AQ59</f>
        <v/>
      </c>
      <c r="AA220" s="202">
        <f>+'Headcount &amp; Salaries - 2'!AR59</f>
        <v/>
      </c>
      <c r="AB220" s="202">
        <f>+'Headcount &amp; Salaries - 2'!AS59</f>
        <v/>
      </c>
      <c r="AC220" s="202">
        <f>+'Headcount &amp; Salaries - 2'!AT59</f>
        <v/>
      </c>
      <c r="AD220" s="1160">
        <f>+'Headcount &amp; Salaries - 2'!AU59</f>
        <v/>
      </c>
      <c r="AE220" s="202">
        <f>+'Headcount &amp; Salaries - 2'!AV59</f>
        <v/>
      </c>
      <c r="AF220" s="202">
        <f>+'Headcount &amp; Salaries - 2'!AW59</f>
        <v/>
      </c>
      <c r="AG220" s="202">
        <f>+'Headcount &amp; Salaries - 2'!AX59</f>
        <v/>
      </c>
      <c r="AH220" s="202">
        <f>+'Headcount &amp; Salaries - 2'!AY59</f>
        <v/>
      </c>
      <c r="AI220" s="202">
        <f>+'Headcount &amp; Salaries - 2'!AZ59</f>
        <v/>
      </c>
      <c r="AJ220" s="1160">
        <f>+'Headcount &amp; Salaries - 2'!BA59</f>
        <v/>
      </c>
      <c r="AK220" s="202">
        <f>+'Headcount &amp; Salaries - 2'!BB59</f>
        <v/>
      </c>
      <c r="AL220" s="202">
        <f>+'Headcount &amp; Salaries - 2'!BC59</f>
        <v/>
      </c>
      <c r="AM220" s="202">
        <f>+'Headcount &amp; Salaries - 2'!BD59</f>
        <v/>
      </c>
      <c r="AN220" s="202">
        <f>+'Headcount &amp; Salaries - 2'!BE59</f>
        <v/>
      </c>
      <c r="AO220" s="202">
        <f>+'Headcount &amp; Salaries - 2'!BF59</f>
        <v/>
      </c>
      <c r="AP220" s="1160">
        <f>+'Headcount &amp; Salaries - 2'!BG59</f>
        <v/>
      </c>
      <c r="AQ220" s="202">
        <f>+'Headcount &amp; Salaries - 2'!BH59</f>
        <v/>
      </c>
      <c r="AR220" s="202">
        <f>+'Headcount &amp; Salaries - 2'!BI59</f>
        <v/>
      </c>
      <c r="AS220" s="202">
        <f>+'Headcount &amp; Salaries - 2'!BJ59</f>
        <v/>
      </c>
      <c r="AT220" s="202">
        <f>+'Headcount &amp; Salaries - 2'!BK59</f>
        <v/>
      </c>
      <c r="AU220" s="202">
        <f>+'Headcount &amp; Salaries - 2'!BL59</f>
        <v/>
      </c>
      <c r="AV220" s="1160">
        <f>+'Headcount &amp; Salaries - 2'!BM59</f>
        <v/>
      </c>
      <c r="AW220" s="202">
        <f>+'Headcount &amp; Salaries - 2'!BN59</f>
        <v/>
      </c>
      <c r="AX220" s="202">
        <f>+'Headcount &amp; Salaries - 2'!BO59</f>
        <v/>
      </c>
      <c r="AY220" s="202">
        <f>+'Headcount &amp; Salaries - 2'!BP59</f>
        <v/>
      </c>
      <c r="AZ220" s="202">
        <f>+'Headcount &amp; Salaries - 2'!BQ59</f>
        <v/>
      </c>
      <c r="BA220" s="202">
        <f>+'Headcount &amp; Salaries - 2'!BR59</f>
        <v/>
      </c>
      <c r="BB220" s="1160">
        <f>+'Headcount &amp; Salaries - 2'!BS59</f>
        <v/>
      </c>
      <c r="BC220" s="202">
        <f>+'Headcount &amp; Salaries - 2'!BT59</f>
        <v/>
      </c>
      <c r="BD220" s="202">
        <f>+'Headcount &amp; Salaries - 2'!BU59</f>
        <v/>
      </c>
      <c r="BE220" s="202">
        <f>+'Headcount &amp; Salaries - 2'!BV59</f>
        <v/>
      </c>
      <c r="BF220" s="202">
        <f>+'Headcount &amp; Salaries - 2'!BW59</f>
        <v/>
      </c>
      <c r="BG220" s="202">
        <f>+'Headcount &amp; Salaries - 2'!BX59</f>
        <v/>
      </c>
      <c r="BH220" s="1160">
        <f>+'Headcount &amp; Salaries - 2'!BY59</f>
        <v/>
      </c>
      <c r="BI220" s="202">
        <f>+'Headcount &amp; Salaries - 2'!BZ59</f>
        <v/>
      </c>
      <c r="BJ220" s="202">
        <f>+'Headcount &amp; Salaries - 2'!CA59</f>
        <v/>
      </c>
      <c r="BK220" s="202">
        <f>+'Headcount &amp; Salaries - 2'!CB59</f>
        <v/>
      </c>
      <c r="BL220" s="202">
        <f>+'Headcount &amp; Salaries - 2'!CC59</f>
        <v/>
      </c>
      <c r="BM220" s="202">
        <f>+'Headcount &amp; Salaries - 2'!CD59</f>
        <v/>
      </c>
      <c r="BN220" s="1160">
        <f>+'Headcount &amp; Salaries - 2'!CE59</f>
        <v/>
      </c>
    </row>
    <row r="221" ht="12.75" customHeight="1" s="1883">
      <c r="C221" s="1156" t="n"/>
      <c r="D221" s="670" t="inlineStr">
        <is>
          <t>Computer Cost/unit</t>
        </is>
      </c>
      <c r="E221" s="671" t="n"/>
      <c r="F221" s="74" t="n"/>
      <c r="G221" s="73" t="n">
        <v>750</v>
      </c>
      <c r="H221" s="69">
        <f>+G221</f>
        <v/>
      </c>
      <c r="I221" s="69">
        <f>+H221</f>
        <v/>
      </c>
      <c r="J221" s="69">
        <f>+I221</f>
        <v/>
      </c>
      <c r="K221" s="69">
        <f>+J221</f>
        <v/>
      </c>
      <c r="L221" s="1070">
        <f>+K221</f>
        <v/>
      </c>
      <c r="M221" s="69">
        <f>+L221</f>
        <v/>
      </c>
      <c r="N221" s="69">
        <f>+M221</f>
        <v/>
      </c>
      <c r="O221" s="69">
        <f>+N221</f>
        <v/>
      </c>
      <c r="P221" s="69">
        <f>+O221</f>
        <v/>
      </c>
      <c r="Q221" s="69">
        <f>+P221</f>
        <v/>
      </c>
      <c r="R221" s="1070">
        <f>+Q221</f>
        <v/>
      </c>
      <c r="S221" s="73" t="n">
        <v>750</v>
      </c>
      <c r="T221" s="69">
        <f>+S221</f>
        <v/>
      </c>
      <c r="U221" s="69">
        <f>+T221</f>
        <v/>
      </c>
      <c r="V221" s="69">
        <f>+U221</f>
        <v/>
      </c>
      <c r="W221" s="69">
        <f>+V221</f>
        <v/>
      </c>
      <c r="X221" s="1070">
        <f>+W221</f>
        <v/>
      </c>
      <c r="Y221" s="69">
        <f>+X221</f>
        <v/>
      </c>
      <c r="Z221" s="69">
        <f>+Y221</f>
        <v/>
      </c>
      <c r="AA221" s="69">
        <f>+Z221</f>
        <v/>
      </c>
      <c r="AB221" s="69">
        <f>+AA221</f>
        <v/>
      </c>
      <c r="AC221" s="69">
        <f>+AB221</f>
        <v/>
      </c>
      <c r="AD221" s="1070">
        <f>+AC221</f>
        <v/>
      </c>
      <c r="AE221" s="73" t="n">
        <v>750</v>
      </c>
      <c r="AF221" s="69">
        <f>+AE221</f>
        <v/>
      </c>
      <c r="AG221" s="69">
        <f>+AF221</f>
        <v/>
      </c>
      <c r="AH221" s="69">
        <f>+AG221</f>
        <v/>
      </c>
      <c r="AI221" s="69">
        <f>+AH221</f>
        <v/>
      </c>
      <c r="AJ221" s="1070">
        <f>+AI221</f>
        <v/>
      </c>
      <c r="AK221" s="69">
        <f>+AJ221</f>
        <v/>
      </c>
      <c r="AL221" s="69">
        <f>+AK221</f>
        <v/>
      </c>
      <c r="AM221" s="69">
        <f>+AL221</f>
        <v/>
      </c>
      <c r="AN221" s="69">
        <f>+AM221</f>
        <v/>
      </c>
      <c r="AO221" s="69">
        <f>+AN221</f>
        <v/>
      </c>
      <c r="AP221" s="1070">
        <f>+AO221</f>
        <v/>
      </c>
      <c r="AQ221" s="73" t="n">
        <v>750</v>
      </c>
      <c r="AR221" s="69">
        <f>+AQ221</f>
        <v/>
      </c>
      <c r="AS221" s="69">
        <f>+AR221</f>
        <v/>
      </c>
      <c r="AT221" s="69">
        <f>+AS221</f>
        <v/>
      </c>
      <c r="AU221" s="69">
        <f>+AT221</f>
        <v/>
      </c>
      <c r="AV221" s="1070">
        <f>+AU221</f>
        <v/>
      </c>
      <c r="AW221" s="69">
        <f>+AV221</f>
        <v/>
      </c>
      <c r="AX221" s="69">
        <f>+AW221</f>
        <v/>
      </c>
      <c r="AY221" s="69">
        <f>+AX221</f>
        <v/>
      </c>
      <c r="AZ221" s="69">
        <f>+AY221</f>
        <v/>
      </c>
      <c r="BA221" s="69">
        <f>+AZ221</f>
        <v/>
      </c>
      <c r="BB221" s="1070">
        <f>+BA221</f>
        <v/>
      </c>
      <c r="BC221" s="73" t="n">
        <v>750</v>
      </c>
      <c r="BD221" s="69">
        <f>+BC221</f>
        <v/>
      </c>
      <c r="BE221" s="69">
        <f>+BD221</f>
        <v/>
      </c>
      <c r="BF221" s="69">
        <f>+BE221</f>
        <v/>
      </c>
      <c r="BG221" s="69">
        <f>+BF221</f>
        <v/>
      </c>
      <c r="BH221" s="1070">
        <f>+BG221</f>
        <v/>
      </c>
      <c r="BI221" s="69">
        <f>+BH221</f>
        <v/>
      </c>
      <c r="BJ221" s="69">
        <f>+BI221</f>
        <v/>
      </c>
      <c r="BK221" s="69">
        <f>+BJ221</f>
        <v/>
      </c>
      <c r="BL221" s="69">
        <f>+BK221</f>
        <v/>
      </c>
      <c r="BM221" s="69">
        <f>+BL221</f>
        <v/>
      </c>
      <c r="BN221" s="1070">
        <f>+BM221</f>
        <v/>
      </c>
    </row>
    <row r="222" ht="12.75" customHeight="1" s="1883">
      <c r="C222" s="1156" t="inlineStr">
        <is>
          <t>Total ADDITIONS</t>
        </is>
      </c>
      <c r="D222" s="670" t="n"/>
      <c r="E222" s="671" t="n"/>
      <c r="F222" s="74" t="n"/>
      <c r="G222" s="1161">
        <f>+IF(G220-F220&gt;0,(G220-F220)*G221,0)</f>
        <v/>
      </c>
      <c r="H222" s="1161">
        <f>+IF(H220-G220&gt;0,(H220-G220)*H221,0)</f>
        <v/>
      </c>
      <c r="I222" s="1161">
        <f>+IF(I220-H220&gt;0,(I220-H220)*I221,0)</f>
        <v/>
      </c>
      <c r="J222" s="1161">
        <f>+IF(J220-I220&gt;0,(J220-I220)*J221,0)</f>
        <v/>
      </c>
      <c r="K222" s="1161">
        <f>+IF(K220-J220&gt;0,(K220-J220)*K221,0)</f>
        <v/>
      </c>
      <c r="L222" s="1162">
        <f>+IF(L220-K220&gt;0,(L220-K220)*L221,0)</f>
        <v/>
      </c>
      <c r="M222" s="1161">
        <f>+IF(M220-L220&gt;0,(M220-L220)*M221,0)</f>
        <v/>
      </c>
      <c r="N222" s="1161">
        <f>+IF(N220-M220&gt;0,(N220-M220)*N221,0)</f>
        <v/>
      </c>
      <c r="O222" s="1161">
        <f>+IF(O220-N220&gt;0,(O220-N220)*O221,0)</f>
        <v/>
      </c>
      <c r="P222" s="1161">
        <f>+IF(P220-O220&gt;0,(P220-O220)*P221,0)</f>
        <v/>
      </c>
      <c r="Q222" s="1161">
        <f>+IF(Q220-P220&gt;0,(Q220-P220)*Q221,0)</f>
        <v/>
      </c>
      <c r="R222" s="1162">
        <f>+IF(R220-Q220&gt;0,(R220-Q220)*R221,0)</f>
        <v/>
      </c>
      <c r="S222" s="1161">
        <f>+IF(S220-R220&gt;0,(S220-R220)*S221,0)</f>
        <v/>
      </c>
      <c r="T222" s="1161">
        <f>+IF(T220-S220&gt;0,(T220-S220)*T221,0)</f>
        <v/>
      </c>
      <c r="U222" s="1161">
        <f>+IF(U220-T220&gt;0,(U220-T220)*U221,0)</f>
        <v/>
      </c>
      <c r="V222" s="1161">
        <f>+IF(V220-U220&gt;0,(V220-U220)*V221,0)</f>
        <v/>
      </c>
      <c r="W222" s="1161">
        <f>+IF(W220-V220&gt;0,(W220-V220)*W221,0)</f>
        <v/>
      </c>
      <c r="X222" s="1162">
        <f>+IF(X220-W220&gt;0,(X220-W220)*X221,0)</f>
        <v/>
      </c>
      <c r="Y222" s="1161">
        <f>+IF(Y220-X220&gt;0,(Y220-X220)*Y221,0)</f>
        <v/>
      </c>
      <c r="Z222" s="1161">
        <f>+IF(Z220-Y220&gt;0,(Z220-Y220)*Z221,0)</f>
        <v/>
      </c>
      <c r="AA222" s="1161">
        <f>+IF(AA220-Z220&gt;0,(AA220-Z220)*AA221,0)</f>
        <v/>
      </c>
      <c r="AB222" s="1161">
        <f>+IF(AB220-AA220&gt;0,(AB220-AA220)*AB221,0)</f>
        <v/>
      </c>
      <c r="AC222" s="1161">
        <f>+IF(AC220-AB220&gt;0,(AC220-AB220)*AC221,0)</f>
        <v/>
      </c>
      <c r="AD222" s="1162">
        <f>+IF(AD220-AC220&gt;0,(AD220-AC220)*AD221,0)</f>
        <v/>
      </c>
      <c r="AE222" s="1161">
        <f>+IF(AE220-AD220&gt;0,(AE220-AD220)*AE221,0)</f>
        <v/>
      </c>
      <c r="AF222" s="1161">
        <f>+IF(AF220-AE220&gt;0,(AF220-AE220)*AF221,0)</f>
        <v/>
      </c>
      <c r="AG222" s="1161">
        <f>+IF(AG220-AF220&gt;0,(AG220-AF220)*AG221,0)</f>
        <v/>
      </c>
      <c r="AH222" s="1161">
        <f>+IF(AH220-AG220&gt;0,(AH220-AG220)*AH221,0)</f>
        <v/>
      </c>
      <c r="AI222" s="1161">
        <f>+IF(AI220-AH220&gt;0,(AI220-AH220)*AI221,0)</f>
        <v/>
      </c>
      <c r="AJ222" s="1162">
        <f>+IF(AJ220-AI220&gt;0,(AJ220-AI220)*AJ221,0)</f>
        <v/>
      </c>
      <c r="AK222" s="1161">
        <f>+IF(AK220-AJ220&gt;0,(AK220-AJ220)*AK221,0)</f>
        <v/>
      </c>
      <c r="AL222" s="1161">
        <f>+IF(AL220-AK220&gt;0,(AL220-AK220)*AL221,0)</f>
        <v/>
      </c>
      <c r="AM222" s="1161">
        <f>+IF(AM220-AL220&gt;0,(AM220-AL220)*AM221,0)</f>
        <v/>
      </c>
      <c r="AN222" s="1161">
        <f>+IF(AN220-AM220&gt;0,(AN220-AM220)*AN221,0)</f>
        <v/>
      </c>
      <c r="AO222" s="1161">
        <f>+IF(AO220-AN220&gt;0,(AO220-AN220)*AO221,0)</f>
        <v/>
      </c>
      <c r="AP222" s="1162">
        <f>+IF(AP220-AO220&gt;0,(AP220-AO220)*AP221,0)</f>
        <v/>
      </c>
      <c r="AQ222" s="1161">
        <f>+IF(AQ220-AP220&gt;0,(AQ220-AP220)*AQ221,0)</f>
        <v/>
      </c>
      <c r="AR222" s="1161">
        <f>+IF(AR220-AQ220&gt;0,(AR220-AQ220)*AR221,0)</f>
        <v/>
      </c>
      <c r="AS222" s="1161">
        <f>+IF(AS220-AR220&gt;0,(AS220-AR220)*AS221,0)</f>
        <v/>
      </c>
      <c r="AT222" s="1161">
        <f>+IF(AT220-AS220&gt;0,(AT220-AS220)*AT221,0)</f>
        <v/>
      </c>
      <c r="AU222" s="1161">
        <f>+IF(AU220-AT220&gt;0,(AU220-AT220)*AU221,0)</f>
        <v/>
      </c>
      <c r="AV222" s="1162">
        <f>+IF(AV220-AU220&gt;0,(AV220-AU220)*AV221,0)</f>
        <v/>
      </c>
      <c r="AW222" s="1161">
        <f>+IF(AW220-AV220&gt;0,(AW220-AV220)*AW221,0)</f>
        <v/>
      </c>
      <c r="AX222" s="1161">
        <f>+IF(AX220-AW220&gt;0,(AX220-AW220)*AX221,0)</f>
        <v/>
      </c>
      <c r="AY222" s="1161">
        <f>+IF(AY220-AX220&gt;0,(AY220-AX220)*AY221,0)</f>
        <v/>
      </c>
      <c r="AZ222" s="1161">
        <f>+IF(AZ220-AY220&gt;0,(AZ220-AY220)*AZ221,0)</f>
        <v/>
      </c>
      <c r="BA222" s="1161">
        <f>+IF(BA220-AZ220&gt;0,(BA220-AZ220)*BA221,0)</f>
        <v/>
      </c>
      <c r="BB222" s="1162">
        <f>+IF(BB220-BA220&gt;0,(BB220-BA220)*BB221,0)</f>
        <v/>
      </c>
      <c r="BC222" s="1161">
        <f>+IF(BC220-BB220&gt;0,(BC220-BB220)*BC221,0)</f>
        <v/>
      </c>
      <c r="BD222" s="1161">
        <f>+IF(BD220-BC220&gt;0,(BD220-BC220)*BD221,0)</f>
        <v/>
      </c>
      <c r="BE222" s="1161">
        <f>+IF(BE220-BD220&gt;0,(BE220-BD220)*BE221,0)</f>
        <v/>
      </c>
      <c r="BF222" s="1161">
        <f>+IF(BF220-BE220&gt;0,(BF220-BE220)*BF221,0)</f>
        <v/>
      </c>
      <c r="BG222" s="1161">
        <f>+IF(BG220-BF220&gt;0,(BG220-BF220)*BG221,0)</f>
        <v/>
      </c>
      <c r="BH222" s="1162">
        <f>+IF(BH220-BG220&gt;0,(BH220-BG220)*BH221,0)</f>
        <v/>
      </c>
      <c r="BI222" s="1161">
        <f>+IF(BI220-BH220&gt;0,(BI220-BH220)*BI221,0)</f>
        <v/>
      </c>
      <c r="BJ222" s="1161">
        <f>+IF(BJ220-BI220&gt;0,(BJ220-BI220)*BJ221,0)</f>
        <v/>
      </c>
      <c r="BK222" s="1161">
        <f>+IF(BK220-BJ220&gt;0,(BK220-BJ220)*BK221,0)</f>
        <v/>
      </c>
      <c r="BL222" s="1161">
        <f>+IF(BL220-BK220&gt;0,(BL220-BK220)*BL221,0)</f>
        <v/>
      </c>
      <c r="BM222" s="1161">
        <f>+IF(BM220-BL220&gt;0,(BM220-BL220)*BM221,0)</f>
        <v/>
      </c>
      <c r="BN222" s="1162">
        <f>+IF(BN220-BM220&gt;0,(BN220-BM220)*BN221,0)</f>
        <v/>
      </c>
    </row>
    <row r="223" ht="12.75" customHeight="1" s="1883">
      <c r="C223" s="1155" t="n"/>
      <c r="D223" s="670" t="n"/>
      <c r="E223" s="671" t="n"/>
      <c r="F223" s="74" t="n"/>
      <c r="G223" s="73" t="n"/>
      <c r="H223" s="1163" t="n"/>
      <c r="I223" s="1163" t="n"/>
      <c r="J223" s="1163" t="n"/>
      <c r="K223" s="1163" t="n"/>
      <c r="L223" s="203" t="n"/>
      <c r="M223" s="1163" t="n"/>
      <c r="N223" s="1163" t="n"/>
      <c r="O223" s="1163" t="n"/>
      <c r="P223" s="1163" t="n"/>
      <c r="Q223" s="1163" t="n"/>
      <c r="R223" s="203" t="n"/>
      <c r="S223" s="1163" t="n"/>
      <c r="T223" s="1163" t="n"/>
      <c r="U223" s="1163" t="n"/>
      <c r="V223" s="1163" t="n"/>
      <c r="W223" s="1163" t="n"/>
      <c r="X223" s="203" t="n"/>
      <c r="Y223" s="1163" t="n"/>
      <c r="Z223" s="1163" t="n"/>
      <c r="AA223" s="1163" t="n"/>
      <c r="AB223" s="1163" t="n"/>
      <c r="AC223" s="1163" t="n"/>
      <c r="AD223" s="203" t="n"/>
      <c r="AE223" s="1163" t="n"/>
      <c r="AF223" s="1163" t="n"/>
      <c r="AG223" s="1163" t="n"/>
      <c r="AH223" s="1163" t="n"/>
      <c r="AI223" s="1163" t="n"/>
      <c r="AJ223" s="203" t="n"/>
      <c r="AK223" s="1163" t="n"/>
      <c r="AL223" s="1163" t="n"/>
      <c r="AM223" s="1163" t="n"/>
      <c r="AN223" s="1163" t="n"/>
      <c r="AO223" s="1163" t="n"/>
      <c r="AP223" s="203" t="n"/>
      <c r="AQ223" s="1163" t="n"/>
      <c r="AR223" s="1163" t="n"/>
      <c r="AS223" s="1163" t="n"/>
      <c r="AT223" s="1163" t="n"/>
      <c r="AU223" s="1163" t="n"/>
      <c r="AV223" s="203" t="n"/>
      <c r="AW223" s="1163" t="n"/>
      <c r="AX223" s="1163" t="n"/>
      <c r="AY223" s="1163" t="n"/>
      <c r="AZ223" s="1163" t="n"/>
      <c r="BA223" s="1163" t="n"/>
      <c r="BB223" s="203" t="n"/>
      <c r="BC223" s="1163" t="n"/>
      <c r="BD223" s="1163" t="n"/>
      <c r="BE223" s="1163" t="n"/>
      <c r="BF223" s="1163" t="n"/>
      <c r="BG223" s="1163" t="n"/>
      <c r="BH223" s="203" t="n"/>
      <c r="BI223" s="1163" t="n"/>
      <c r="BJ223" s="1163" t="n"/>
      <c r="BK223" s="1163" t="n"/>
      <c r="BL223" s="1163" t="n"/>
      <c r="BM223" s="1163" t="n"/>
      <c r="BN223" s="203" t="n"/>
    </row>
    <row r="224" ht="12.75" customHeight="1" s="1883">
      <c r="C224" s="1155" t="inlineStr">
        <is>
          <t>Addition 1</t>
        </is>
      </c>
      <c r="D224" s="670" t="n"/>
      <c r="E224" s="671" t="n"/>
      <c r="F224" s="74" t="n"/>
      <c r="G224" s="73">
        <f>+IF(AND(G222-F222&gt;0,F224=0),G222-F222,F224)</f>
        <v/>
      </c>
      <c r="H224" s="73">
        <f>+IF(AND(H222-G222&gt;0,G224=0),H222-G222,G224)</f>
        <v/>
      </c>
      <c r="I224" s="73">
        <f>+IF(AND(I222-H222&gt;0,H224=0),I222-H222,H224)</f>
        <v/>
      </c>
      <c r="J224" s="73">
        <f>+IF(AND(J222-I222&gt;0,I224=0),J222-I222,I224)</f>
        <v/>
      </c>
      <c r="K224" s="73">
        <f>+IF(AND(K222-J222&gt;0,J224=0),K222-J222,J224)</f>
        <v/>
      </c>
      <c r="L224" s="1071">
        <f>+IF(AND(L222-K222&gt;0,K224=0),L222-K222,K224)</f>
        <v/>
      </c>
      <c r="M224" s="73">
        <f>+IF(AND(M222-L222&gt;0,L224=0),M222-L222,L224)</f>
        <v/>
      </c>
      <c r="N224" s="73">
        <f>+IF(AND(N222-M222&gt;0,M224=0),N222-M222,M224)</f>
        <v/>
      </c>
      <c r="O224" s="73">
        <f>+IF(AND(O222-N222&gt;0,N224=0),O222-N222,N224)</f>
        <v/>
      </c>
      <c r="P224" s="73">
        <f>+IF(AND(P222-O222&gt;0,O224=0),P222-O222,O224)</f>
        <v/>
      </c>
      <c r="Q224" s="73">
        <f>+IF(AND(Q222-P222&gt;0,P224=0),Q222-P222,P224)</f>
        <v/>
      </c>
      <c r="R224" s="1071">
        <f>+IF(AND(R222-Q222&gt;0,Q224=0),R222-Q222,Q224)</f>
        <v/>
      </c>
      <c r="S224" s="73">
        <f>+IF(AND(S222-R222&gt;0,R224=0),S222-R222,R224)</f>
        <v/>
      </c>
      <c r="T224" s="73">
        <f>+IF(AND(T222-S222&gt;0,S224=0),T222-S222,S224)</f>
        <v/>
      </c>
      <c r="U224" s="73">
        <f>+IF(AND(U222-T222&gt;0,T224=0),U222-T222,T224)</f>
        <v/>
      </c>
      <c r="V224" s="73">
        <f>+IF(AND(V222-U222&gt;0,U224=0),V222-U222,U224)</f>
        <v/>
      </c>
      <c r="W224" s="73">
        <f>+IF(AND(W222-V222&gt;0,V224=0),W222-V222,V224)</f>
        <v/>
      </c>
      <c r="X224" s="1071">
        <f>+IF(AND(X222-W222&gt;0,W224=0),X222-W222,W224)</f>
        <v/>
      </c>
      <c r="Y224" s="73">
        <f>+IF(AND(Y222-X222&gt;0,X224=0),Y222-X222,X224)</f>
        <v/>
      </c>
      <c r="Z224" s="73">
        <f>+IF(AND(Z222-Y222&gt;0,Y224=0),Z222-Y222,Y224)</f>
        <v/>
      </c>
      <c r="AA224" s="73">
        <f>+IF(AND(AA222-Z222&gt;0,Z224=0),AA222-Z222,Z224)</f>
        <v/>
      </c>
      <c r="AB224" s="73">
        <f>+IF(AND(AB222-AA222&gt;0,AA224=0),AB222-AA222,AA224)</f>
        <v/>
      </c>
      <c r="AC224" s="73">
        <f>+IF(AND(AC222-AB222&gt;0,AB224=0),AC222-AB222,AB224)</f>
        <v/>
      </c>
      <c r="AD224" s="1071">
        <f>+IF(AND(AD222-AC222&gt;0,AC224=0),AD222-AC222,AC224)</f>
        <v/>
      </c>
      <c r="AE224" s="73">
        <f>+IF(AND(AE222-AD222&gt;0,AD224=0),AE222-AD222,AD224)</f>
        <v/>
      </c>
      <c r="AF224" s="73">
        <f>+IF(AND(AF222-AE222&gt;0,AE224=0),AF222-AE222,AE224)</f>
        <v/>
      </c>
      <c r="AG224" s="73">
        <f>+IF(AND(AG222-AF222&gt;0,AF224=0),AG222-AF222,AF224)</f>
        <v/>
      </c>
      <c r="AH224" s="73">
        <f>+IF(AND(AH222-AG222&gt;0,AG224=0),AH222-AG222,AG224)</f>
        <v/>
      </c>
      <c r="AI224" s="73">
        <f>+IF(AND(AI222-AH222&gt;0,AH224=0),AI222-AH222,AH224)</f>
        <v/>
      </c>
      <c r="AJ224" s="1071">
        <f>+IF(AND(AJ222-AI222&gt;0,AI224=0),AJ222-AI222,AI224)</f>
        <v/>
      </c>
      <c r="AK224" s="73">
        <f>+IF(AND(AK222-AJ222&gt;0,AJ224=0),AK222-AJ222,AJ224)</f>
        <v/>
      </c>
      <c r="AL224" s="73">
        <f>+IF(AND(AL222-AK222&gt;0,AK224=0),AL222-AK222,AK224)</f>
        <v/>
      </c>
      <c r="AM224" s="73">
        <f>+IF(AND(AM222-AL222&gt;0,AL224=0),AM222-AL222,AL224)</f>
        <v/>
      </c>
      <c r="AN224" s="73">
        <f>+IF(AND(AN222-AM222&gt;0,AM224=0),AN222-AM222,AM224)</f>
        <v/>
      </c>
      <c r="AO224" s="73">
        <f>+IF(AND(AO222-AN222&gt;0,AN224=0),AO222-AN222,AN224)</f>
        <v/>
      </c>
      <c r="AP224" s="1071">
        <f>+IF(AND(AP222-AO222&gt;0,AO224=0),AP222-AO222,AO224)</f>
        <v/>
      </c>
      <c r="AQ224" s="73">
        <f>+IF(AND(AQ222-AP222&gt;0,AP224=0),AQ222-AP222,AP224)</f>
        <v/>
      </c>
      <c r="AR224" s="73">
        <f>+IF(AND(AR222-AQ222&gt;0,AQ224=0),AR222-AQ222,AQ224)</f>
        <v/>
      </c>
      <c r="AS224" s="73">
        <f>+IF(AND(AS222-AR222&gt;0,AR224=0),AS222-AR222,AR224)</f>
        <v/>
      </c>
      <c r="AT224" s="73">
        <f>+IF(AND(AT222-AS222&gt;0,AS224=0),AT222-AS222,AS224)</f>
        <v/>
      </c>
      <c r="AU224" s="73">
        <f>+IF(AND(AU222-AT222&gt;0,AT224=0),AU222-AT222,AT224)</f>
        <v/>
      </c>
      <c r="AV224" s="1071">
        <f>+IF(AND(AV222-AU222&gt;0,AU224=0),AV222-AU222,AU224)</f>
        <v/>
      </c>
      <c r="AW224" s="73">
        <f>+IF(AND(AW222-AV222&gt;0,AV224=0),AW222-AV222,AV224)</f>
        <v/>
      </c>
      <c r="AX224" s="73">
        <f>+IF(AND(AX222-AW222&gt;0,AW224=0),AX222-AW222,AW224)</f>
        <v/>
      </c>
      <c r="AY224" s="73">
        <f>+IF(AND(AY222-AX222&gt;0,AX224=0),AY222-AX222,AX224)</f>
        <v/>
      </c>
      <c r="AZ224" s="73">
        <f>+IF(AND(AZ222-AY222&gt;0,AY224=0),AZ222-AY222,AY224)</f>
        <v/>
      </c>
      <c r="BA224" s="73">
        <f>+IF(AND(BA222-AZ222&gt;0,AZ224=0),BA222-AZ222,AZ224)</f>
        <v/>
      </c>
      <c r="BB224" s="1071">
        <f>+IF(AND(BB222-BA222&gt;0,BA224=0),BB222-BA222,BA224)</f>
        <v/>
      </c>
      <c r="BC224" s="73">
        <f>+IF(AND(BC222-BB222&gt;0,BB224=0),BC222-BB222,BB224)</f>
        <v/>
      </c>
      <c r="BD224" s="73">
        <f>+IF(AND(BD222-BC222&gt;0,BC224=0),BD222-BC222,BC224)</f>
        <v/>
      </c>
      <c r="BE224" s="73">
        <f>+IF(AND(BE222-BD222&gt;0,BD224=0),BE222-BD222,BD224)</f>
        <v/>
      </c>
      <c r="BF224" s="73">
        <f>+IF(AND(BF222-BE222&gt;0,BE224=0),BF222-BE222,BE224)</f>
        <v/>
      </c>
      <c r="BG224" s="73">
        <f>+IF(AND(BG222-BF222&gt;0,BF224=0),BG222-BF222,BF224)</f>
        <v/>
      </c>
      <c r="BH224" s="1071">
        <f>+IF(AND(BH222-BG222&gt;0,BG224=0),BH222-BG222,BG224)</f>
        <v/>
      </c>
      <c r="BI224" s="73">
        <f>+IF(AND(BI222-BH222&gt;0,BH224=0),BI222-BH222,BH224)</f>
        <v/>
      </c>
      <c r="BJ224" s="73">
        <f>+IF(AND(BJ222-BI222&gt;0,BI224=0),BJ222-BI222,BI224)</f>
        <v/>
      </c>
      <c r="BK224" s="73">
        <f>+IF(AND(BK222-BJ222&gt;0,BJ224=0),BK222-BJ222,BJ224)</f>
        <v/>
      </c>
      <c r="BL224" s="73">
        <f>+IF(AND(BL222-BK222&gt;0,BK224=0),BL222-BK222,BK224)</f>
        <v/>
      </c>
      <c r="BM224" s="73">
        <f>+IF(AND(BM222-BL222&gt;0,BL224=0),BM222-BL222,BL224)</f>
        <v/>
      </c>
      <c r="BN224" s="1071">
        <f>+IF(AND(BN222-BM222&gt;0,BM224=0),BN222-BM222,BM224)</f>
        <v/>
      </c>
    </row>
    <row r="225" ht="12.75" customHeight="1" s="1883">
      <c r="C225" s="1155" t="inlineStr">
        <is>
          <t>Addition 2</t>
        </is>
      </c>
      <c r="D225" s="670" t="n"/>
      <c r="E225" s="671" t="n"/>
      <c r="F225" s="74" t="n"/>
      <c r="G225" s="73">
        <f>+IF(AND(F225=0,F224&gt;0,(G$222-F$222)&gt;0),G$222-F$222,F$225)</f>
        <v/>
      </c>
      <c r="H225" s="73">
        <f>+IF(AND(G225=0,G224&gt;0,(H$222-G$222)&gt;0),H$222-G$222,G$225)</f>
        <v/>
      </c>
      <c r="I225" s="73">
        <f>+IF(AND(H225=0,H224&gt;0,(I$222-H$222)&gt;0),I$222-H$222,H$225)</f>
        <v/>
      </c>
      <c r="J225" s="73">
        <f>+IF(AND(I225=0,I224&gt;0,(J$222-I$222)&gt;0),J$222-I$222,I$225)</f>
        <v/>
      </c>
      <c r="K225" s="73">
        <f>+IF(AND(J225=0,J224&gt;0,(K$222-J$222)&gt;0),K$222-J$222,J$225)</f>
        <v/>
      </c>
      <c r="L225" s="1071">
        <f>+IF(AND(K225=0,K224&gt;0,(L$222-K$222)&gt;0),L$222-K$222,K$225)</f>
        <v/>
      </c>
      <c r="M225" s="73">
        <f>+IF(AND(L225=0,L224&gt;0,(M$222-L$222)&gt;0),M$222-L$222,L$225)</f>
        <v/>
      </c>
      <c r="N225" s="73">
        <f>+IF(AND(M225=0,M224&gt;0,(N$222-M$222)&gt;0),N$222-M$222,M$225)</f>
        <v/>
      </c>
      <c r="O225" s="73">
        <f>+IF(AND(N225=0,N224&gt;0,(O$222-N$222)&gt;0),O$222-N$222,N$225)</f>
        <v/>
      </c>
      <c r="P225" s="73">
        <f>+IF(AND(O225=0,O224&gt;0,(P$222-O$222)&gt;0),P$222-O$222,O$225)</f>
        <v/>
      </c>
      <c r="Q225" s="73">
        <f>+IF(AND(P225=0,P224&gt;0,(Q$222-P$222)&gt;0),Q$222-P$222,P$225)</f>
        <v/>
      </c>
      <c r="R225" s="1071">
        <f>+IF(AND(Q225=0,Q224&gt;0,(R$222-Q$222)&gt;0),R$222-Q$222,Q$225)</f>
        <v/>
      </c>
      <c r="S225" s="73">
        <f>+IF(AND(R225=0,R224&gt;0,(S$222-R$222)&gt;0),S$222-R$222,R$225)</f>
        <v/>
      </c>
      <c r="T225" s="73">
        <f>+IF(AND(S225=0,S224&gt;0,(T$222-S$222)&gt;0),T$222-S$222,S$225)</f>
        <v/>
      </c>
      <c r="U225" s="73">
        <f>+IF(AND(T225=0,T224&gt;0,(U$222-T$222)&gt;0),U$222-T$222,T$225)</f>
        <v/>
      </c>
      <c r="V225" s="73">
        <f>+IF(AND(U225=0,U224&gt;0,(V$222-U$222)&gt;0),V$222-U$222,U$225)</f>
        <v/>
      </c>
      <c r="W225" s="73">
        <f>+IF(AND(V225=0,V224&gt;0,(W$222-V$222)&gt;0),W$222-V$222,V$225)</f>
        <v/>
      </c>
      <c r="X225" s="1071">
        <f>+IF(AND(W225=0,W224&gt;0,(X$222-W$222)&gt;0),X$222-W$222,W$225)</f>
        <v/>
      </c>
      <c r="Y225" s="73">
        <f>+IF(AND(X225=0,X224&gt;0,(Y$222-X$222)&gt;0),Y$222-X$222,X$225)</f>
        <v/>
      </c>
      <c r="Z225" s="73">
        <f>+IF(AND(Y225=0,Y224&gt;0,(Z$222-Y$222)&gt;0),Z$222-Y$222,Y$225)</f>
        <v/>
      </c>
      <c r="AA225" s="73">
        <f>+IF(AND(Z225=0,Z224&gt;0,(AA$222-Z$222)&gt;0),AA$222-Z$222,Z$225)</f>
        <v/>
      </c>
      <c r="AB225" s="73">
        <f>+IF(AND(AA225=0,AA224&gt;0,(AB$222-AA$222)&gt;0),AB$222-AA$222,AA$225)</f>
        <v/>
      </c>
      <c r="AC225" s="73">
        <f>+IF(AND(AB225=0,AB224&gt;0,(AC$222-AB$222)&gt;0),AC$222-AB$222,AB$225)</f>
        <v/>
      </c>
      <c r="AD225" s="1071">
        <f>+IF(AND(AC225=0,AC224&gt;0,(AD$222-AC$222)&gt;0),AD$222-AC$222,AC$225)</f>
        <v/>
      </c>
      <c r="AE225" s="73">
        <f>+IF(AND(AD225=0,AD224&gt;0,(AE$222-AD$222)&gt;0),AE$222-AD$222,AD$225)</f>
        <v/>
      </c>
      <c r="AF225" s="73">
        <f>+IF(AND(AE225=0,AE224&gt;0,(AF$222-AE$222)&gt;0),AF$222-AE$222,AE$225)</f>
        <v/>
      </c>
      <c r="AG225" s="73">
        <f>+IF(AND(AF225=0,AF224&gt;0,(AG$222-AF$222)&gt;0),AG$222-AF$222,AF$225)</f>
        <v/>
      </c>
      <c r="AH225" s="73">
        <f>+IF(AND(AG225=0,AG224&gt;0,(AH$222-AG$222)&gt;0),AH$222-AG$222,AG$225)</f>
        <v/>
      </c>
      <c r="AI225" s="73">
        <f>+IF(AND(AH225=0,AH224&gt;0,(AI$222-AH$222)&gt;0),AI$222-AH$222,AH$225)</f>
        <v/>
      </c>
      <c r="AJ225" s="1071">
        <f>+IF(AND(AI225=0,AI224&gt;0,(AJ$222-AI$222)&gt;0),AJ$222-AI$222,AI$225)</f>
        <v/>
      </c>
      <c r="AK225" s="73">
        <f>+IF(AND(AJ225=0,AJ224&gt;0,(AK$222-AJ$222)&gt;0),AK$222-AJ$222,AJ$225)</f>
        <v/>
      </c>
      <c r="AL225" s="73">
        <f>+IF(AND(AK225=0,AK224&gt;0,(AL$222-AK$222)&gt;0),AL$222-AK$222,AK$225)</f>
        <v/>
      </c>
      <c r="AM225" s="73">
        <f>+IF(AND(AL225=0,AL224&gt;0,(AM$222-AL$222)&gt;0),AM$222-AL$222,AL$225)</f>
        <v/>
      </c>
      <c r="AN225" s="73">
        <f>+IF(AND(AM225=0,AM224&gt;0,(AN$222-AM$222)&gt;0),AN$222-AM$222,AM$225)</f>
        <v/>
      </c>
      <c r="AO225" s="73">
        <f>+IF(AND(AN225=0,AN224&gt;0,(AO$222-AN$222)&gt;0),AO$222-AN$222,AN$225)</f>
        <v/>
      </c>
      <c r="AP225" s="1071">
        <f>+IF(AND(AO225=0,AO224&gt;0,(AP$222-AO$222)&gt;0),AP$222-AO$222,AO$225)</f>
        <v/>
      </c>
      <c r="AQ225" s="73">
        <f>+IF(AND(AP225=0,AP224&gt;0,(AQ$222-AP$222)&gt;0),AQ$222-AP$222,AP$225)</f>
        <v/>
      </c>
      <c r="AR225" s="73">
        <f>+IF(AND(AQ225=0,AQ224&gt;0,(AR$222-AQ$222)&gt;0),AR$222-AQ$222,AQ$225)</f>
        <v/>
      </c>
      <c r="AS225" s="73">
        <f>+IF(AND(AR225=0,AR224&gt;0,(AS$222-AR$222)&gt;0),AS$222-AR$222,AR$225)</f>
        <v/>
      </c>
      <c r="AT225" s="73">
        <f>+IF(AND(AS225=0,AS224&gt;0,(AT$222-AS$222)&gt;0),AT$222-AS$222,AS$225)</f>
        <v/>
      </c>
      <c r="AU225" s="73">
        <f>+IF(AND(AT225=0,AT224&gt;0,(AU$222-AT$222)&gt;0),AU$222-AT$222,AT$225)</f>
        <v/>
      </c>
      <c r="AV225" s="1071">
        <f>+IF(AND(AU225=0,AU224&gt;0,(AV$222-AU$222)&gt;0),AV$222-AU$222,AU$225)</f>
        <v/>
      </c>
      <c r="AW225" s="73">
        <f>+IF(AND(AV225=0,AV224&gt;0,(AW$222-AV$222)&gt;0),AW$222-AV$222,AV$225)</f>
        <v/>
      </c>
      <c r="AX225" s="73">
        <f>+IF(AND(AW225=0,AW224&gt;0,(AX$222-AW$222)&gt;0),AX$222-AW$222,AW$225)</f>
        <v/>
      </c>
      <c r="AY225" s="73">
        <f>+IF(AND(AX225=0,AX224&gt;0,(AY$222-AX$222)&gt;0),AY$222-AX$222,AX$225)</f>
        <v/>
      </c>
      <c r="AZ225" s="73">
        <f>+IF(AND(AY225=0,AY224&gt;0,(AZ$222-AY$222)&gt;0),AZ$222-AY$222,AY$225)</f>
        <v/>
      </c>
      <c r="BA225" s="73">
        <f>+IF(AND(AZ225=0,AZ224&gt;0,(BA$222-AZ$222)&gt;0),BA$222-AZ$222,AZ$225)</f>
        <v/>
      </c>
      <c r="BB225" s="1071">
        <f>+IF(AND(BA225=0,BA224&gt;0,(BB$222-BA$222)&gt;0),BB$222-BA$222,BA$225)</f>
        <v/>
      </c>
      <c r="BC225" s="73">
        <f>+IF(AND(BB225=0,BB224&gt;0,(BC$222-BB$222)&gt;0),BC$222-BB$222,BB$225)</f>
        <v/>
      </c>
      <c r="BD225" s="73">
        <f>+IF(AND(BC225=0,BC224&gt;0,(BD$222-BC$222)&gt;0),BD$222-BC$222,BC$225)</f>
        <v/>
      </c>
      <c r="BE225" s="73">
        <f>+IF(AND(BD225=0,BD224&gt;0,(BE$222-BD$222)&gt;0),BE$222-BD$222,BD$225)</f>
        <v/>
      </c>
      <c r="BF225" s="73">
        <f>+IF(AND(BE225=0,BE224&gt;0,(BF$222-BE$222)&gt;0),BF$222-BE$222,BE$225)</f>
        <v/>
      </c>
      <c r="BG225" s="73">
        <f>+IF(AND(BF225=0,BF224&gt;0,(BG$222-BF$222)&gt;0),BG$222-BF$222,BF$225)</f>
        <v/>
      </c>
      <c r="BH225" s="1071">
        <f>+IF(AND(BG225=0,BG224&gt;0,(BH$222-BG$222)&gt;0),BH$222-BG$222,BG$225)</f>
        <v/>
      </c>
      <c r="BI225" s="73">
        <f>+IF(AND(BH225=0,BH224&gt;0,(BI$222-BH$222)&gt;0),BI$222-BH$222,BH$225)</f>
        <v/>
      </c>
      <c r="BJ225" s="73">
        <f>+IF(AND(BI225=0,BI224&gt;0,(BJ$222-BI$222)&gt;0),BJ$222-BI$222,BI$225)</f>
        <v/>
      </c>
      <c r="BK225" s="73">
        <f>+IF(AND(BJ225=0,BJ224&gt;0,(BK$222-BJ$222)&gt;0),BK$222-BJ$222,BJ$225)</f>
        <v/>
      </c>
      <c r="BL225" s="73">
        <f>+IF(AND(BK225=0,BK224&gt;0,(BL$222-BK$222)&gt;0),BL$222-BK$222,BK$225)</f>
        <v/>
      </c>
      <c r="BM225" s="73">
        <f>+IF(AND(BL225=0,BL224&gt;0,(BM$222-BL$222)&gt;0),BM$222-BL$222,BL$225)</f>
        <v/>
      </c>
      <c r="BN225" s="1071">
        <f>+IF(AND(BM225=0,BM224&gt;0,(BN$222-BM$222)&gt;0),BN$222-BM$222,BM$225)</f>
        <v/>
      </c>
    </row>
    <row r="226" ht="12.75" customHeight="1" s="1883">
      <c r="C226" s="1155" t="inlineStr">
        <is>
          <t>Addition 3</t>
        </is>
      </c>
      <c r="D226" s="670" t="n"/>
      <c r="E226" s="671" t="n"/>
      <c r="F226" s="74" t="n"/>
      <c r="G226" s="73">
        <f>+IF(AND(F226=0,F225&gt;0,(G$222-F$222)&gt;0),G$222-F$222,F226)</f>
        <v/>
      </c>
      <c r="H226" s="73">
        <f>+IF(AND(G226=0,G225&gt;0,(H$222-G$222)&gt;0),H$222-G$222,G226)</f>
        <v/>
      </c>
      <c r="I226" s="73">
        <f>+IF(AND(H226=0,H225&gt;0,(I$222-H$222)&gt;0),I$222-H$222,H226)</f>
        <v/>
      </c>
      <c r="J226" s="73">
        <f>+IF(AND(I226=0,I225&gt;0,(J$222-I$222)&gt;0),J$222-I$222,I226)</f>
        <v/>
      </c>
      <c r="K226" s="73">
        <f>+IF(AND(J226=0,J225&gt;0,(K$222-J$222)&gt;0),K$222-J$222,J226)</f>
        <v/>
      </c>
      <c r="L226" s="1071">
        <f>+IF(AND(K226=0,K225&gt;0,(L$222-K$222)&gt;0),L$222-K$222,K226)</f>
        <v/>
      </c>
      <c r="M226" s="73">
        <f>+IF(AND(L226=0,L225&gt;0,(M$222-L$222)&gt;0),M$222-L$222,L226)</f>
        <v/>
      </c>
      <c r="N226" s="73">
        <f>+IF(AND(M226=0,M225&gt;0,(N$222-M$222)&gt;0),N$222-M$222,M226)</f>
        <v/>
      </c>
      <c r="O226" s="73">
        <f>+IF(AND(N226=0,N225&gt;0,(O$222-N$222)&gt;0),O$222-N$222,N226)</f>
        <v/>
      </c>
      <c r="P226" s="73">
        <f>+IF(AND(O226=0,O225&gt;0,(P$222-O$222)&gt;0),P$222-O$222,O226)</f>
        <v/>
      </c>
      <c r="Q226" s="73">
        <f>+IF(AND(P226=0,P225&gt;0,(Q$222-P$222)&gt;0),Q$222-P$222,P226)</f>
        <v/>
      </c>
      <c r="R226" s="1071">
        <f>+IF(AND(Q226=0,Q225&gt;0,(R$222-Q$222)&gt;0),R$222-Q$222,Q226)</f>
        <v/>
      </c>
      <c r="S226" s="73">
        <f>+IF(AND(R226=0,R225&gt;0,(S$222-R$222)&gt;0),S$222-R$222,R226)</f>
        <v/>
      </c>
      <c r="T226" s="73">
        <f>+IF(AND(S226=0,S225&gt;0,(T$222-S$222)&gt;0),T$222-S$222,S226)</f>
        <v/>
      </c>
      <c r="U226" s="73">
        <f>+IF(AND(T226=0,T225&gt;0,(U$222-T$222)&gt;0),U$222-T$222,T226)</f>
        <v/>
      </c>
      <c r="V226" s="73">
        <f>+IF(AND(U226=0,U225&gt;0,(V$222-U$222)&gt;0),V$222-U$222,U226)</f>
        <v/>
      </c>
      <c r="W226" s="73">
        <f>+IF(AND(V226=0,V225&gt;0,(W$222-V$222)&gt;0),W$222-V$222,V226)</f>
        <v/>
      </c>
      <c r="X226" s="1071">
        <f>+IF(AND(W226=0,W225&gt;0,(X$222-W$222)&gt;0),X$222-W$222,W226)</f>
        <v/>
      </c>
      <c r="Y226" s="73">
        <f>+IF(AND(X226=0,X225&gt;0,(Y$222-X$222)&gt;0),Y$222-X$222,X226)</f>
        <v/>
      </c>
      <c r="Z226" s="73">
        <f>+IF(AND(Y226=0,Y225&gt;0,(Z$222-Y$222)&gt;0),Z$222-Y$222,Y226)</f>
        <v/>
      </c>
      <c r="AA226" s="73">
        <f>+IF(AND(Z226=0,Z225&gt;0,(AA$222-Z$222)&gt;0),AA$222-Z$222,Z226)</f>
        <v/>
      </c>
      <c r="AB226" s="73">
        <f>+IF(AND(AA226=0,AA225&gt;0,(AB$222-AA$222)&gt;0),AB$222-AA$222,AA226)</f>
        <v/>
      </c>
      <c r="AC226" s="73">
        <f>+IF(AND(AB226=0,AB225&gt;0,(AC$222-AB$222)&gt;0),AC$222-AB$222,AB226)</f>
        <v/>
      </c>
      <c r="AD226" s="1071">
        <f>+IF(AND(AC226=0,AC225&gt;0,(AD$222-AC$222)&gt;0),AD$222-AC$222,AC226)</f>
        <v/>
      </c>
      <c r="AE226" s="73">
        <f>+IF(AND(AD226=0,AD225&gt;0,(AE$222-AD$222)&gt;0),AE$222-AD$222,AD226)</f>
        <v/>
      </c>
      <c r="AF226" s="73">
        <f>+IF(AND(AE226=0,AE225&gt;0,(AF$222-AE$222)&gt;0),AF$222-AE$222,AE226)</f>
        <v/>
      </c>
      <c r="AG226" s="73">
        <f>+IF(AND(AF226=0,AF225&gt;0,(AG$222-AF$222)&gt;0),AG$222-AF$222,AF226)</f>
        <v/>
      </c>
      <c r="AH226" s="73">
        <f>+IF(AND(AG226=0,AG225&gt;0,(AH$222-AG$222)&gt;0),AH$222-AG$222,AG226)</f>
        <v/>
      </c>
      <c r="AI226" s="73">
        <f>+IF(AND(AH226=0,AH225&gt;0,(AI$222-AH$222)&gt;0),AI$222-AH$222,AH226)</f>
        <v/>
      </c>
      <c r="AJ226" s="1071">
        <f>+IF(AND(AI226=0,AI225&gt;0,(AJ$222-AI$222)&gt;0),AJ$222-AI$222,AI226)</f>
        <v/>
      </c>
      <c r="AK226" s="73">
        <f>+IF(AND(AJ226=0,AJ225&gt;0,(AK$222-AJ$222)&gt;0),AK$222-AJ$222,AJ226)</f>
        <v/>
      </c>
      <c r="AL226" s="73">
        <f>+IF(AND(AK226=0,AK225&gt;0,(AL$222-AK$222)&gt;0),AL$222-AK$222,AK226)</f>
        <v/>
      </c>
      <c r="AM226" s="73">
        <f>+IF(AND(AL226=0,AL225&gt;0,(AM$222-AL$222)&gt;0),AM$222-AL$222,AL226)</f>
        <v/>
      </c>
      <c r="AN226" s="73">
        <f>+IF(AND(AM226=0,AM225&gt;0,(AN$222-AM$222)&gt;0),AN$222-AM$222,AM226)</f>
        <v/>
      </c>
      <c r="AO226" s="73">
        <f>+IF(AND(AN226=0,AN225&gt;0,(AO$222-AN$222)&gt;0),AO$222-AN$222,AN226)</f>
        <v/>
      </c>
      <c r="AP226" s="1071">
        <f>+IF(AND(AO226=0,AO225&gt;0,(AP$222-AO$222)&gt;0),AP$222-AO$222,AO226)</f>
        <v/>
      </c>
      <c r="AQ226" s="73">
        <f>+IF(AND(AP226=0,AP225&gt;0,(AQ$222-AP$222)&gt;0),AQ$222-AP$222,AP226)</f>
        <v/>
      </c>
      <c r="AR226" s="73">
        <f>+IF(AND(AQ226=0,AQ225&gt;0,(AR$222-AQ$222)&gt;0),AR$222-AQ$222,AQ226)</f>
        <v/>
      </c>
      <c r="AS226" s="73">
        <f>+IF(AND(AR226=0,AR225&gt;0,(AS$222-AR$222)&gt;0),AS$222-AR$222,AR226)</f>
        <v/>
      </c>
      <c r="AT226" s="73">
        <f>+IF(AND(AS226=0,AS225&gt;0,(AT$222-AS$222)&gt;0),AT$222-AS$222,AS226)</f>
        <v/>
      </c>
      <c r="AU226" s="73">
        <f>+IF(AND(AT226=0,AT225&gt;0,(AU$222-AT$222)&gt;0),AU$222-AT$222,AT226)</f>
        <v/>
      </c>
      <c r="AV226" s="1071">
        <f>+IF(AND(AU226=0,AU225&gt;0,(AV$222-AU$222)&gt;0),AV$222-AU$222,AU226)</f>
        <v/>
      </c>
      <c r="AW226" s="73">
        <f>+IF(AND(AV226=0,AV225&gt;0,(AW$222-AV$222)&gt;0),AW$222-AV$222,AV226)</f>
        <v/>
      </c>
      <c r="AX226" s="73">
        <f>+IF(AND(AW226=0,AW225&gt;0,(AX$222-AW$222)&gt;0),AX$222-AW$222,AW226)</f>
        <v/>
      </c>
      <c r="AY226" s="73">
        <f>+IF(AND(AX226=0,AX225&gt;0,(AY$222-AX$222)&gt;0),AY$222-AX$222,AX226)</f>
        <v/>
      </c>
      <c r="AZ226" s="73">
        <f>+IF(AND(AY226=0,AY225&gt;0,(AZ$222-AY$222)&gt;0),AZ$222-AY$222,AY226)</f>
        <v/>
      </c>
      <c r="BA226" s="73">
        <f>+IF(AND(AZ226=0,AZ225&gt;0,(BA$222-AZ$222)&gt;0),BA$222-AZ$222,AZ226)</f>
        <v/>
      </c>
      <c r="BB226" s="1071">
        <f>+IF(AND(BA226=0,BA225&gt;0,(BB$222-BA$222)&gt;0),BB$222-BA$222,BA226)</f>
        <v/>
      </c>
      <c r="BC226" s="73">
        <f>+IF(AND(BB226=0,BB225&gt;0,(BC$222-BB$222)&gt;0),BC$222-BB$222,BB226)</f>
        <v/>
      </c>
      <c r="BD226" s="73">
        <f>+IF(AND(BC226=0,BC225&gt;0,(BD$222-BC$222)&gt;0),BD$222-BC$222,BC226)</f>
        <v/>
      </c>
      <c r="BE226" s="73">
        <f>+IF(AND(BD226=0,BD225&gt;0,(BE$222-BD$222)&gt;0),BE$222-BD$222,BD226)</f>
        <v/>
      </c>
      <c r="BF226" s="73">
        <f>+IF(AND(BE226=0,BE225&gt;0,(BF$222-BE$222)&gt;0),BF$222-BE$222,BE226)</f>
        <v/>
      </c>
      <c r="BG226" s="73">
        <f>+IF(AND(BF226=0,BF225&gt;0,(BG$222-BF$222)&gt;0),BG$222-BF$222,BF226)</f>
        <v/>
      </c>
      <c r="BH226" s="1071">
        <f>+IF(AND(BG226=0,BG225&gt;0,(BH$222-BG$222)&gt;0),BH$222-BG$222,BG226)</f>
        <v/>
      </c>
      <c r="BI226" s="73">
        <f>+IF(AND(BH226=0,BH225&gt;0,(BI$222-BH$222)&gt;0),BI$222-BH$222,BH226)</f>
        <v/>
      </c>
      <c r="BJ226" s="73">
        <f>+IF(AND(BI226=0,BI225&gt;0,(BJ$222-BI$222)&gt;0),BJ$222-BI$222,BI226)</f>
        <v/>
      </c>
      <c r="BK226" s="73">
        <f>+IF(AND(BJ226=0,BJ225&gt;0,(BK$222-BJ$222)&gt;0),BK$222-BJ$222,BJ226)</f>
        <v/>
      </c>
      <c r="BL226" s="73">
        <f>+IF(AND(BK226=0,BK225&gt;0,(BL$222-BK$222)&gt;0),BL$222-BK$222,BK226)</f>
        <v/>
      </c>
      <c r="BM226" s="73">
        <f>+IF(AND(BL226=0,BL225&gt;0,(BM$222-BL$222)&gt;0),BM$222-BL$222,BL226)</f>
        <v/>
      </c>
      <c r="BN226" s="1071">
        <f>+IF(AND(BM226=0,BM225&gt;0,(BN$222-BM$222)&gt;0),BN$222-BM$222,BM226)</f>
        <v/>
      </c>
    </row>
    <row r="227" ht="12.75" customHeight="1" s="1883">
      <c r="C227" s="1155" t="inlineStr">
        <is>
          <t>Addition 4</t>
        </is>
      </c>
      <c r="D227" s="670" t="n"/>
      <c r="E227" s="671" t="n"/>
      <c r="F227" s="74" t="n"/>
      <c r="G227" s="73">
        <f>+IF(AND(F227=0,F226&gt;0,(G$222-F$222)&gt;0),G$222-F$222,F227)</f>
        <v/>
      </c>
      <c r="H227" s="73">
        <f>+IF(AND(G227=0,G226&gt;0,(H$222-G$222)&gt;0),H$222-G$222,G227)</f>
        <v/>
      </c>
      <c r="I227" s="73">
        <f>+IF(AND(H227=0,H226&gt;0,(I$222-H$222)&gt;0),I$222-H$222,H227)</f>
        <v/>
      </c>
      <c r="J227" s="73">
        <f>+IF(AND(I227=0,I226&gt;0,(J$222-I$222)&gt;0),J$222-I$222,I227)</f>
        <v/>
      </c>
      <c r="K227" s="73">
        <f>+IF(AND(J227=0,J226&gt;0,(K$222-J$222)&gt;0),K$222-J$222,J227)</f>
        <v/>
      </c>
      <c r="L227" s="1071">
        <f>+IF(AND(K227=0,K226&gt;0,(L$222-K$222)&gt;0),L$222-K$222,K227)</f>
        <v/>
      </c>
      <c r="M227" s="73">
        <f>+IF(AND(L227=0,L226&gt;0,(M$222-L$222)&gt;0),M$222-L$222,L227)</f>
        <v/>
      </c>
      <c r="N227" s="73">
        <f>+IF(AND(M227=0,M226&gt;0,(N$222-M$222)&gt;0),N$222-M$222,M227)</f>
        <v/>
      </c>
      <c r="O227" s="73">
        <f>+IF(AND(N227=0,N226&gt;0,(O$222-N$222)&gt;0),O$222-N$222,N227)</f>
        <v/>
      </c>
      <c r="P227" s="73">
        <f>+IF(AND(O227=0,O226&gt;0,(P$222-O$222)&gt;0),P$222-O$222,O227)</f>
        <v/>
      </c>
      <c r="Q227" s="73">
        <f>+IF(AND(P227=0,P226&gt;0,(Q$222-P$222)&gt;0),Q$222-P$222,P227)</f>
        <v/>
      </c>
      <c r="R227" s="1071">
        <f>+IF(AND(Q227=0,Q226&gt;0,(R$222-Q$222)&gt;0),R$222-Q$222,Q227)</f>
        <v/>
      </c>
      <c r="S227" s="73">
        <f>+IF(AND(R227=0,R226&gt;0,(S$222-R$222)&gt;0),S$222-R$222,R227)</f>
        <v/>
      </c>
      <c r="T227" s="73">
        <f>+IF(AND(S227=0,S226&gt;0,(T$222-S$222)&gt;0),T$222-S$222,S227)</f>
        <v/>
      </c>
      <c r="U227" s="73">
        <f>+IF(AND(T227=0,T226&gt;0,(U$222-T$222)&gt;0),U$222-T$222,T227)</f>
        <v/>
      </c>
      <c r="V227" s="73">
        <f>+IF(AND(U227=0,U226&gt;0,(V$222-U$222)&gt;0),V$222-U$222,U227)</f>
        <v/>
      </c>
      <c r="W227" s="73">
        <f>+IF(AND(V227=0,V226&gt;0,(W$222-V$222)&gt;0),W$222-V$222,V227)</f>
        <v/>
      </c>
      <c r="X227" s="1071">
        <f>+IF(AND(W227=0,W226&gt;0,(X$222-W$222)&gt;0),X$222-W$222,W227)</f>
        <v/>
      </c>
      <c r="Y227" s="73">
        <f>+IF(AND(X227=0,X226&gt;0,(Y$222-X$222)&gt;0),Y$222-X$222,X227)</f>
        <v/>
      </c>
      <c r="Z227" s="73">
        <f>+IF(AND(Y227=0,Y226&gt;0,(Z$222-Y$222)&gt;0),Z$222-Y$222,Y227)</f>
        <v/>
      </c>
      <c r="AA227" s="73">
        <f>+IF(AND(Z227=0,Z226&gt;0,(AA$222-Z$222)&gt;0),AA$222-Z$222,Z227)</f>
        <v/>
      </c>
      <c r="AB227" s="73">
        <f>+IF(AND(AA227=0,AA226&gt;0,(AB$222-AA$222)&gt;0),AB$222-AA$222,AA227)</f>
        <v/>
      </c>
      <c r="AC227" s="73">
        <f>+IF(AND(AB227=0,AB226&gt;0,(AC$222-AB$222)&gt;0),AC$222-AB$222,AB227)</f>
        <v/>
      </c>
      <c r="AD227" s="1071">
        <f>+IF(AND(AC227=0,AC226&gt;0,(AD$222-AC$222)&gt;0),AD$222-AC$222,AC227)</f>
        <v/>
      </c>
      <c r="AE227" s="73">
        <f>+IF(AND(AD227=0,AD226&gt;0,(AE$222-AD$222)&gt;0),AE$222-AD$222,AD227)</f>
        <v/>
      </c>
      <c r="AF227" s="73">
        <f>+IF(AND(AE227=0,AE226&gt;0,(AF$222-AE$222)&gt;0),AF$222-AE$222,AE227)</f>
        <v/>
      </c>
      <c r="AG227" s="73">
        <f>+IF(AND(AF227=0,AF226&gt;0,(AG$222-AF$222)&gt;0),AG$222-AF$222,AF227)</f>
        <v/>
      </c>
      <c r="AH227" s="73">
        <f>+IF(AND(AG227=0,AG226&gt;0,(AH$222-AG$222)&gt;0),AH$222-AG$222,AG227)</f>
        <v/>
      </c>
      <c r="AI227" s="73">
        <f>+IF(AND(AH227=0,AH226&gt;0,(AI$222-AH$222)&gt;0),AI$222-AH$222,AH227)</f>
        <v/>
      </c>
      <c r="AJ227" s="1071">
        <f>+IF(AND(AI227=0,AI226&gt;0,(AJ$222-AI$222)&gt;0),AJ$222-AI$222,AI227)</f>
        <v/>
      </c>
      <c r="AK227" s="73">
        <f>+IF(AND(AJ227=0,AJ226&gt;0,(AK$222-AJ$222)&gt;0),AK$222-AJ$222,AJ227)</f>
        <v/>
      </c>
      <c r="AL227" s="73">
        <f>+IF(AND(AK227=0,AK226&gt;0,(AL$222-AK$222)&gt;0),AL$222-AK$222,AK227)</f>
        <v/>
      </c>
      <c r="AM227" s="73">
        <f>+IF(AND(AL227=0,AL226&gt;0,(AM$222-AL$222)&gt;0),AM$222-AL$222,AL227)</f>
        <v/>
      </c>
      <c r="AN227" s="73">
        <f>+IF(AND(AM227=0,AM226&gt;0,(AN$222-AM$222)&gt;0),AN$222-AM$222,AM227)</f>
        <v/>
      </c>
      <c r="AO227" s="73">
        <f>+IF(AND(AN227=0,AN226&gt;0,(AO$222-AN$222)&gt;0),AO$222-AN$222,AN227)</f>
        <v/>
      </c>
      <c r="AP227" s="1071">
        <f>+IF(AND(AO227=0,AO226&gt;0,(AP$222-AO$222)&gt;0),AP$222-AO$222,AO227)</f>
        <v/>
      </c>
      <c r="AQ227" s="73">
        <f>+IF(AND(AP227=0,AP226&gt;0,(AQ$222-AP$222)&gt;0),AQ$222-AP$222,AP227)</f>
        <v/>
      </c>
      <c r="AR227" s="73">
        <f>+IF(AND(AQ227=0,AQ226&gt;0,(AR$222-AQ$222)&gt;0),AR$222-AQ$222,AQ227)</f>
        <v/>
      </c>
      <c r="AS227" s="73">
        <f>+IF(AND(AR227=0,AR226&gt;0,(AS$222-AR$222)&gt;0),AS$222-AR$222,AR227)</f>
        <v/>
      </c>
      <c r="AT227" s="73">
        <f>+IF(AND(AS227=0,AS226&gt;0,(AT$222-AS$222)&gt;0),AT$222-AS$222,AS227)</f>
        <v/>
      </c>
      <c r="AU227" s="73">
        <f>+IF(AND(AT227=0,AT226&gt;0,(AU$222-AT$222)&gt;0),AU$222-AT$222,AT227)</f>
        <v/>
      </c>
      <c r="AV227" s="1071">
        <f>+IF(AND(AU227=0,AU226&gt;0,(AV$222-AU$222)&gt;0),AV$222-AU$222,AU227)</f>
        <v/>
      </c>
      <c r="AW227" s="73">
        <f>+IF(AND(AV227=0,AV226&gt;0,(AW$222-AV$222)&gt;0),AW$222-AV$222,AV227)</f>
        <v/>
      </c>
      <c r="AX227" s="73">
        <f>+IF(AND(AW227=0,AW226&gt;0,(AX$222-AW$222)&gt;0),AX$222-AW$222,AW227)</f>
        <v/>
      </c>
      <c r="AY227" s="73">
        <f>+IF(AND(AX227=0,AX226&gt;0,(AY$222-AX$222)&gt;0),AY$222-AX$222,AX227)</f>
        <v/>
      </c>
      <c r="AZ227" s="73">
        <f>+IF(AND(AY227=0,AY226&gt;0,(AZ$222-AY$222)&gt;0),AZ$222-AY$222,AY227)</f>
        <v/>
      </c>
      <c r="BA227" s="73">
        <f>+IF(AND(AZ227=0,AZ226&gt;0,(BA$222-AZ$222)&gt;0),BA$222-AZ$222,AZ227)</f>
        <v/>
      </c>
      <c r="BB227" s="1071">
        <f>+IF(AND(BA227=0,BA226&gt;0,(BB$222-BA$222)&gt;0),BB$222-BA$222,BA227)</f>
        <v/>
      </c>
      <c r="BC227" s="73">
        <f>+IF(AND(BB227=0,BB226&gt;0,(BC$222-BB$222)&gt;0),BC$222-BB$222,BB227)</f>
        <v/>
      </c>
      <c r="BD227" s="73">
        <f>+IF(AND(BC227=0,BC226&gt;0,(BD$222-BC$222)&gt;0),BD$222-BC$222,BC227)</f>
        <v/>
      </c>
      <c r="BE227" s="73">
        <f>+IF(AND(BD227=0,BD226&gt;0,(BE$222-BD$222)&gt;0),BE$222-BD$222,BD227)</f>
        <v/>
      </c>
      <c r="BF227" s="73">
        <f>+IF(AND(BE227=0,BE226&gt;0,(BF$222-BE$222)&gt;0),BF$222-BE$222,BE227)</f>
        <v/>
      </c>
      <c r="BG227" s="73">
        <f>+IF(AND(BF227=0,BF226&gt;0,(BG$222-BF$222)&gt;0),BG$222-BF$222,BF227)</f>
        <v/>
      </c>
      <c r="BH227" s="1071">
        <f>+IF(AND(BG227=0,BG226&gt;0,(BH$222-BG$222)&gt;0),BH$222-BG$222,BG227)</f>
        <v/>
      </c>
      <c r="BI227" s="73">
        <f>+IF(AND(BH227=0,BH226&gt;0,(BI$222-BH$222)&gt;0),BI$222-BH$222,BH227)</f>
        <v/>
      </c>
      <c r="BJ227" s="73">
        <f>+IF(AND(BI227=0,BI226&gt;0,(BJ$222-BI$222)&gt;0),BJ$222-BI$222,BI227)</f>
        <v/>
      </c>
      <c r="BK227" s="73">
        <f>+IF(AND(BJ227=0,BJ226&gt;0,(BK$222-BJ$222)&gt;0),BK$222-BJ$222,BJ227)</f>
        <v/>
      </c>
      <c r="BL227" s="73">
        <f>+IF(AND(BK227=0,BK226&gt;0,(BL$222-BK$222)&gt;0),BL$222-BK$222,BK227)</f>
        <v/>
      </c>
      <c r="BM227" s="73">
        <f>+IF(AND(BL227=0,BL226&gt;0,(BM$222-BL$222)&gt;0),BM$222-BL$222,BL227)</f>
        <v/>
      </c>
      <c r="BN227" s="1071">
        <f>+IF(AND(BM227=0,BM226&gt;0,(BN$222-BM$222)&gt;0),BN$222-BM$222,BM227)</f>
        <v/>
      </c>
    </row>
    <row r="228" ht="12.75" customHeight="1" s="1883">
      <c r="C228" s="1155" t="inlineStr">
        <is>
          <t>Addition 5</t>
        </is>
      </c>
      <c r="D228" s="670" t="n"/>
      <c r="E228" s="671" t="n"/>
      <c r="F228" s="74" t="n"/>
      <c r="G228" s="73">
        <f>+IF(AND(F228=0,F227&gt;0,(G$222-F$222)&gt;0),G$222-F$222,F228)</f>
        <v/>
      </c>
      <c r="H228" s="73">
        <f>+IF(AND(G228=0,G227&gt;0,(H$222-G$222)&gt;0),H$222-G$222,G228)</f>
        <v/>
      </c>
      <c r="I228" s="73">
        <f>+IF(AND(H228=0,H227&gt;0,(I$222-H$222)&gt;0),I$222-H$222,H228)</f>
        <v/>
      </c>
      <c r="J228" s="73">
        <f>+IF(AND(I228=0,I227&gt;0,(J$222-I$222)&gt;0),J$222-I$222,I228)</f>
        <v/>
      </c>
      <c r="K228" s="73">
        <f>+IF(AND(J228=0,J227&gt;0,(K$222-J$222)&gt;0),K$222-J$222,J228)</f>
        <v/>
      </c>
      <c r="L228" s="1071">
        <f>+IF(AND(K228=0,K227&gt;0,(L$222-K$222)&gt;0),L$222-K$222,K228)</f>
        <v/>
      </c>
      <c r="M228" s="73">
        <f>+IF(AND(L228=0,L227&gt;0,(M$222-L$222)&gt;0),M$222-L$222,L228)</f>
        <v/>
      </c>
      <c r="N228" s="73">
        <f>+IF(AND(M228=0,M227&gt;0,(N$222-M$222)&gt;0),N$222-M$222,M228)</f>
        <v/>
      </c>
      <c r="O228" s="73">
        <f>+IF(AND(N228=0,N227&gt;0,(O$222-N$222)&gt;0),O$222-N$222,N228)</f>
        <v/>
      </c>
      <c r="P228" s="73">
        <f>+IF(AND(O228=0,O227&gt;0,(P$222-O$222)&gt;0),P$222-O$222,O228)</f>
        <v/>
      </c>
      <c r="Q228" s="73">
        <f>+IF(AND(P228=0,P227&gt;0,(Q$222-P$222)&gt;0),Q$222-P$222,P228)</f>
        <v/>
      </c>
      <c r="R228" s="1071">
        <f>+IF(AND(Q228=0,Q227&gt;0,(R$222-Q$222)&gt;0),R$222-Q$222,Q228)</f>
        <v/>
      </c>
      <c r="S228" s="73">
        <f>+IF(AND(R228=0,R227&gt;0,(S$222-R$222)&gt;0),S$222-R$222,R228)</f>
        <v/>
      </c>
      <c r="T228" s="73">
        <f>+IF(AND(S228=0,S227&gt;0,(T$222-S$222)&gt;0),T$222-S$222,S228)</f>
        <v/>
      </c>
      <c r="U228" s="73">
        <f>+IF(AND(T228=0,T227&gt;0,(U$222-T$222)&gt;0),U$222-T$222,T228)</f>
        <v/>
      </c>
      <c r="V228" s="73">
        <f>+IF(AND(U228=0,U227&gt;0,(V$222-U$222)&gt;0),V$222-U$222,U228)</f>
        <v/>
      </c>
      <c r="W228" s="73">
        <f>+IF(AND(V228=0,V227&gt;0,(W$222-V$222)&gt;0),W$222-V$222,V228)</f>
        <v/>
      </c>
      <c r="X228" s="1071">
        <f>+IF(AND(W228=0,W227&gt;0,(X$222-W$222)&gt;0),X$222-W$222,W228)</f>
        <v/>
      </c>
      <c r="Y228" s="73">
        <f>+IF(AND(X228=0,X227&gt;0,(Y$222-X$222)&gt;0),Y$222-X$222,X228)</f>
        <v/>
      </c>
      <c r="Z228" s="73">
        <f>+IF(AND(Y228=0,Y227&gt;0,(Z$222-Y$222)&gt;0),Z$222-Y$222,Y228)</f>
        <v/>
      </c>
      <c r="AA228" s="73">
        <f>+IF(AND(Z228=0,Z227&gt;0,(AA$222-Z$222)&gt;0),AA$222-Z$222,Z228)</f>
        <v/>
      </c>
      <c r="AB228" s="73">
        <f>+IF(AND(AA228=0,AA227&gt;0,(AB$222-AA$222)&gt;0),AB$222-AA$222,AA228)</f>
        <v/>
      </c>
      <c r="AC228" s="73">
        <f>+IF(AND(AB228=0,AB227&gt;0,(AC$222-AB$222)&gt;0),AC$222-AB$222,AB228)</f>
        <v/>
      </c>
      <c r="AD228" s="1071">
        <f>+IF(AND(AC228=0,AC227&gt;0,(AD$222-AC$222)&gt;0),AD$222-AC$222,AC228)</f>
        <v/>
      </c>
      <c r="AE228" s="73">
        <f>+IF(AND(AD228=0,AD227&gt;0,(AE$222-AD$222)&gt;0),AE$222-AD$222,AD228)</f>
        <v/>
      </c>
      <c r="AF228" s="73">
        <f>+IF(AND(AE228=0,AE227&gt;0,(AF$222-AE$222)&gt;0),AF$222-AE$222,AE228)</f>
        <v/>
      </c>
      <c r="AG228" s="73">
        <f>+IF(AND(AF228=0,AF227&gt;0,(AG$222-AF$222)&gt;0),AG$222-AF$222,AF228)</f>
        <v/>
      </c>
      <c r="AH228" s="73">
        <f>+IF(AND(AG228=0,AG227&gt;0,(AH$222-AG$222)&gt;0),AH$222-AG$222,AG228)</f>
        <v/>
      </c>
      <c r="AI228" s="73">
        <f>+IF(AND(AH228=0,AH227&gt;0,(AI$222-AH$222)&gt;0),AI$222-AH$222,AH228)</f>
        <v/>
      </c>
      <c r="AJ228" s="1071">
        <f>+IF(AND(AI228=0,AI227&gt;0,(AJ$222-AI$222)&gt;0),AJ$222-AI$222,AI228)</f>
        <v/>
      </c>
      <c r="AK228" s="73">
        <f>+IF(AND(AJ228=0,AJ227&gt;0,(AK$222-AJ$222)&gt;0),AK$222-AJ$222,AJ228)</f>
        <v/>
      </c>
      <c r="AL228" s="73">
        <f>+IF(AND(AK228=0,AK227&gt;0,(AL$222-AK$222)&gt;0),AL$222-AK$222,AK228)</f>
        <v/>
      </c>
      <c r="AM228" s="73">
        <f>+IF(AND(AL228=0,AL227&gt;0,(AM$222-AL$222)&gt;0),AM$222-AL$222,AL228)</f>
        <v/>
      </c>
      <c r="AN228" s="73">
        <f>+IF(AND(AM228=0,AM227&gt;0,(AN$222-AM$222)&gt;0),AN$222-AM$222,AM228)</f>
        <v/>
      </c>
      <c r="AO228" s="73">
        <f>+IF(AND(AN228=0,AN227&gt;0,(AO$222-AN$222)&gt;0),AO$222-AN$222,AN228)</f>
        <v/>
      </c>
      <c r="AP228" s="1071">
        <f>+IF(AND(AO228=0,AO227&gt;0,(AP$222-AO$222)&gt;0),AP$222-AO$222,AO228)</f>
        <v/>
      </c>
      <c r="AQ228" s="73">
        <f>+IF(AND(AP228=0,AP227&gt;0,(AQ$222-AP$222)&gt;0),AQ$222-AP$222,AP228)</f>
        <v/>
      </c>
      <c r="AR228" s="73">
        <f>+IF(AND(AQ228=0,AQ227&gt;0,(AR$222-AQ$222)&gt;0),AR$222-AQ$222,AQ228)</f>
        <v/>
      </c>
      <c r="AS228" s="73">
        <f>+IF(AND(AR228=0,AR227&gt;0,(AS$222-AR$222)&gt;0),AS$222-AR$222,AR228)</f>
        <v/>
      </c>
      <c r="AT228" s="73">
        <f>+IF(AND(AS228=0,AS227&gt;0,(AT$222-AS$222)&gt;0),AT$222-AS$222,AS228)</f>
        <v/>
      </c>
      <c r="AU228" s="73">
        <f>+IF(AND(AT228=0,AT227&gt;0,(AU$222-AT$222)&gt;0),AU$222-AT$222,AT228)</f>
        <v/>
      </c>
      <c r="AV228" s="1071">
        <f>+IF(AND(AU228=0,AU227&gt;0,(AV$222-AU$222)&gt;0),AV$222-AU$222,AU228)</f>
        <v/>
      </c>
      <c r="AW228" s="73">
        <f>+IF(AND(AV228=0,AV227&gt;0,(AW$222-AV$222)&gt;0),AW$222-AV$222,AV228)</f>
        <v/>
      </c>
      <c r="AX228" s="73">
        <f>+IF(AND(AW228=0,AW227&gt;0,(AX$222-AW$222)&gt;0),AX$222-AW$222,AW228)</f>
        <v/>
      </c>
      <c r="AY228" s="73">
        <f>+IF(AND(AX228=0,AX227&gt;0,(AY$222-AX$222)&gt;0),AY$222-AX$222,AX228)</f>
        <v/>
      </c>
      <c r="AZ228" s="73">
        <f>+IF(AND(AY228=0,AY227&gt;0,(AZ$222-AY$222)&gt;0),AZ$222-AY$222,AY228)</f>
        <v/>
      </c>
      <c r="BA228" s="73">
        <f>+IF(AND(AZ228=0,AZ227&gt;0,(BA$222-AZ$222)&gt;0),BA$222-AZ$222,AZ228)</f>
        <v/>
      </c>
      <c r="BB228" s="1071">
        <f>+IF(AND(BA228=0,BA227&gt;0,(BB$222-BA$222)&gt;0),BB$222-BA$222,BA228)</f>
        <v/>
      </c>
      <c r="BC228" s="73">
        <f>+IF(AND(BB228=0,BB227&gt;0,(BC$222-BB$222)&gt;0),BC$222-BB$222,BB228)</f>
        <v/>
      </c>
      <c r="BD228" s="73">
        <f>+IF(AND(BC228=0,BC227&gt;0,(BD$222-BC$222)&gt;0),BD$222-BC$222,BC228)</f>
        <v/>
      </c>
      <c r="BE228" s="73">
        <f>+IF(AND(BD228=0,BD227&gt;0,(BE$222-BD$222)&gt;0),BE$222-BD$222,BD228)</f>
        <v/>
      </c>
      <c r="BF228" s="73">
        <f>+IF(AND(BE228=0,BE227&gt;0,(BF$222-BE$222)&gt;0),BF$222-BE$222,BE228)</f>
        <v/>
      </c>
      <c r="BG228" s="73">
        <f>+IF(AND(BF228=0,BF227&gt;0,(BG$222-BF$222)&gt;0),BG$222-BF$222,BF228)</f>
        <v/>
      </c>
      <c r="BH228" s="1071">
        <f>+IF(AND(BG228=0,BG227&gt;0,(BH$222-BG$222)&gt;0),BH$222-BG$222,BG228)</f>
        <v/>
      </c>
      <c r="BI228" s="73">
        <f>+IF(AND(BH228=0,BH227&gt;0,(BI$222-BH$222)&gt;0),BI$222-BH$222,BH228)</f>
        <v/>
      </c>
      <c r="BJ228" s="73">
        <f>+IF(AND(BI228=0,BI227&gt;0,(BJ$222-BI$222)&gt;0),BJ$222-BI$222,BI228)</f>
        <v/>
      </c>
      <c r="BK228" s="73">
        <f>+IF(AND(BJ228=0,BJ227&gt;0,(BK$222-BJ$222)&gt;0),BK$222-BJ$222,BJ228)</f>
        <v/>
      </c>
      <c r="BL228" s="73">
        <f>+IF(AND(BK228=0,BK227&gt;0,(BL$222-BK$222)&gt;0),BL$222-BK$222,BK228)</f>
        <v/>
      </c>
      <c r="BM228" s="73">
        <f>+IF(AND(BL228=0,BL227&gt;0,(BM$222-BL$222)&gt;0),BM$222-BL$222,BL228)</f>
        <v/>
      </c>
      <c r="BN228" s="1071">
        <f>+IF(AND(BM228=0,BM227&gt;0,(BN$222-BM$222)&gt;0),BN$222-BM$222,BM228)</f>
        <v/>
      </c>
    </row>
    <row r="229" ht="12.75" customHeight="1" s="1883">
      <c r="C229" s="1155" t="inlineStr">
        <is>
          <t>Addition 6</t>
        </is>
      </c>
      <c r="D229" s="670" t="n"/>
      <c r="E229" s="671" t="n"/>
      <c r="F229" s="74" t="n"/>
      <c r="G229" s="73">
        <f>+IF(AND(F229=0,F228&gt;0,(G$222-F$222)&gt;0),G$222-F$222,F229)</f>
        <v/>
      </c>
      <c r="H229" s="73">
        <f>+IF(AND(G229=0,G228&gt;0,(H$222-G$222)&gt;0),H$222-G$222,G229)</f>
        <v/>
      </c>
      <c r="I229" s="73">
        <f>+IF(AND(H229=0,H228&gt;0,(I$222-H$222)&gt;0),I$222-H$222,H229)</f>
        <v/>
      </c>
      <c r="J229" s="73">
        <f>+IF(AND(I229=0,I228&gt;0,(J$222-I$222)&gt;0),J$222-I$222,I229)</f>
        <v/>
      </c>
      <c r="K229" s="73">
        <f>+IF(AND(J229=0,J228&gt;0,(K$222-J$222)&gt;0),K$222-J$222,J229)</f>
        <v/>
      </c>
      <c r="L229" s="1071">
        <f>+IF(AND(K229=0,K228&gt;0,(L$222-K$222)&gt;0),L$222-K$222,K229)</f>
        <v/>
      </c>
      <c r="M229" s="73">
        <f>+IF(AND(L229=0,L228&gt;0,(M$222-L$222)&gt;0),M$222-L$222,L229)</f>
        <v/>
      </c>
      <c r="N229" s="73">
        <f>+IF(AND(M229=0,M228&gt;0,(N$222-M$222)&gt;0),N$222-M$222,M229)</f>
        <v/>
      </c>
      <c r="O229" s="73">
        <f>+IF(AND(N229=0,N228&gt;0,(O$222-N$222)&gt;0),O$222-N$222,N229)</f>
        <v/>
      </c>
      <c r="P229" s="73">
        <f>+IF(AND(O229=0,O228&gt;0,(P$222-O$222)&gt;0),P$222-O$222,O229)</f>
        <v/>
      </c>
      <c r="Q229" s="73">
        <f>+IF(AND(P229=0,P228&gt;0,(Q$222-P$222)&gt;0),Q$222-P$222,P229)</f>
        <v/>
      </c>
      <c r="R229" s="1071">
        <f>+IF(AND(Q229=0,Q228&gt;0,(R$222-Q$222)&gt;0),R$222-Q$222,Q229)</f>
        <v/>
      </c>
      <c r="S229" s="73">
        <f>+IF(AND(R229=0,R228&gt;0,(S$222-R$222)&gt;0),S$222-R$222,R229)</f>
        <v/>
      </c>
      <c r="T229" s="73">
        <f>+IF(AND(S229=0,S228&gt;0,(T$222-S$222)&gt;0),T$222-S$222,S229)</f>
        <v/>
      </c>
      <c r="U229" s="73">
        <f>+IF(AND(T229=0,T228&gt;0,(U$222-T$222)&gt;0),U$222-T$222,T229)</f>
        <v/>
      </c>
      <c r="V229" s="73">
        <f>+IF(AND(U229=0,U228&gt;0,(V$222-U$222)&gt;0),V$222-U$222,U229)</f>
        <v/>
      </c>
      <c r="W229" s="73">
        <f>+IF(AND(V229=0,V228&gt;0,(W$222-V$222)&gt;0),W$222-V$222,V229)</f>
        <v/>
      </c>
      <c r="X229" s="1071">
        <f>+IF(AND(W229=0,W228&gt;0,(X$222-W$222)&gt;0),X$222-W$222,W229)</f>
        <v/>
      </c>
      <c r="Y229" s="73">
        <f>+IF(AND(X229=0,X228&gt;0,(Y$222-X$222)&gt;0),Y$222-X$222,X229)</f>
        <v/>
      </c>
      <c r="Z229" s="73">
        <f>+IF(AND(Y229=0,Y228&gt;0,(Z$222-Y$222)&gt;0),Z$222-Y$222,Y229)</f>
        <v/>
      </c>
      <c r="AA229" s="73">
        <f>+IF(AND(Z229=0,Z228&gt;0,(AA$222-Z$222)&gt;0),AA$222-Z$222,Z229)</f>
        <v/>
      </c>
      <c r="AB229" s="73">
        <f>+IF(AND(AA229=0,AA228&gt;0,(AB$222-AA$222)&gt;0),AB$222-AA$222,AA229)</f>
        <v/>
      </c>
      <c r="AC229" s="73">
        <f>+IF(AND(AB229=0,AB228&gt;0,(AC$222-AB$222)&gt;0),AC$222-AB$222,AB229)</f>
        <v/>
      </c>
      <c r="AD229" s="1071">
        <f>+IF(AND(AC229=0,AC228&gt;0,(AD$222-AC$222)&gt;0),AD$222-AC$222,AC229)</f>
        <v/>
      </c>
      <c r="AE229" s="73">
        <f>+IF(AND(AD229=0,AD228&gt;0,(AE$222-AD$222)&gt;0),AE$222-AD$222,AD229)</f>
        <v/>
      </c>
      <c r="AF229" s="73">
        <f>+IF(AND(AE229=0,AE228&gt;0,(AF$222-AE$222)&gt;0),AF$222-AE$222,AE229)</f>
        <v/>
      </c>
      <c r="AG229" s="73">
        <f>+IF(AND(AF229=0,AF228&gt;0,(AG$222-AF$222)&gt;0),AG$222-AF$222,AF229)</f>
        <v/>
      </c>
      <c r="AH229" s="73">
        <f>+IF(AND(AG229=0,AG228&gt;0,(AH$222-AG$222)&gt;0),AH$222-AG$222,AG229)</f>
        <v/>
      </c>
      <c r="AI229" s="73">
        <f>+IF(AND(AH229=0,AH228&gt;0,(AI$222-AH$222)&gt;0),AI$222-AH$222,AH229)</f>
        <v/>
      </c>
      <c r="AJ229" s="1071">
        <f>+IF(AND(AI229=0,AI228&gt;0,(AJ$222-AI$222)&gt;0),AJ$222-AI$222,AI229)</f>
        <v/>
      </c>
      <c r="AK229" s="73">
        <f>+IF(AND(AJ229=0,AJ228&gt;0,(AK$222-AJ$222)&gt;0),AK$222-AJ$222,AJ229)</f>
        <v/>
      </c>
      <c r="AL229" s="73">
        <f>+IF(AND(AK229=0,AK228&gt;0,(AL$222-AK$222)&gt;0),AL$222-AK$222,AK229)</f>
        <v/>
      </c>
      <c r="AM229" s="73">
        <f>+IF(AND(AL229=0,AL228&gt;0,(AM$222-AL$222)&gt;0),AM$222-AL$222,AL229)</f>
        <v/>
      </c>
      <c r="AN229" s="73">
        <f>+IF(AND(AM229=0,AM228&gt;0,(AN$222-AM$222)&gt;0),AN$222-AM$222,AM229)</f>
        <v/>
      </c>
      <c r="AO229" s="73">
        <f>+IF(AND(AN229=0,AN228&gt;0,(AO$222-AN$222)&gt;0),AO$222-AN$222,AN229)</f>
        <v/>
      </c>
      <c r="AP229" s="1071">
        <f>+IF(AND(AO229=0,AO228&gt;0,(AP$222-AO$222)&gt;0),AP$222-AO$222,AO229)</f>
        <v/>
      </c>
      <c r="AQ229" s="73">
        <f>+IF(AND(AP229=0,AP228&gt;0,(AQ$222-AP$222)&gt;0),AQ$222-AP$222,AP229)</f>
        <v/>
      </c>
      <c r="AR229" s="73">
        <f>+IF(AND(AQ229=0,AQ228&gt;0,(AR$222-AQ$222)&gt;0),AR$222-AQ$222,AQ229)</f>
        <v/>
      </c>
      <c r="AS229" s="73">
        <f>+IF(AND(AR229=0,AR228&gt;0,(AS$222-AR$222)&gt;0),AS$222-AR$222,AR229)</f>
        <v/>
      </c>
      <c r="AT229" s="73">
        <f>+IF(AND(AS229=0,AS228&gt;0,(AT$222-AS$222)&gt;0),AT$222-AS$222,AS229)</f>
        <v/>
      </c>
      <c r="AU229" s="73">
        <f>+IF(AND(AT229=0,AT228&gt;0,(AU$222-AT$222)&gt;0),AU$222-AT$222,AT229)</f>
        <v/>
      </c>
      <c r="AV229" s="1071">
        <f>+IF(AND(AU229=0,AU228&gt;0,(AV$222-AU$222)&gt;0),AV$222-AU$222,AU229)</f>
        <v/>
      </c>
      <c r="AW229" s="73">
        <f>+IF(AND(AV229=0,AV228&gt;0,(AW$222-AV$222)&gt;0),AW$222-AV$222,AV229)</f>
        <v/>
      </c>
      <c r="AX229" s="73">
        <f>+IF(AND(AW229=0,AW228&gt;0,(AX$222-AW$222)&gt;0),AX$222-AW$222,AW229)</f>
        <v/>
      </c>
      <c r="AY229" s="73">
        <f>+IF(AND(AX229=0,AX228&gt;0,(AY$222-AX$222)&gt;0),AY$222-AX$222,AX229)</f>
        <v/>
      </c>
      <c r="AZ229" s="73">
        <f>+IF(AND(AY229=0,AY228&gt;0,(AZ$222-AY$222)&gt;0),AZ$222-AY$222,AY229)</f>
        <v/>
      </c>
      <c r="BA229" s="73">
        <f>+IF(AND(AZ229=0,AZ228&gt;0,(BA$222-AZ$222)&gt;0),BA$222-AZ$222,AZ229)</f>
        <v/>
      </c>
      <c r="BB229" s="1071">
        <f>+IF(AND(BA229=0,BA228&gt;0,(BB$222-BA$222)&gt;0),BB$222-BA$222,BA229)</f>
        <v/>
      </c>
      <c r="BC229" s="73">
        <f>+IF(AND(BB229=0,BB228&gt;0,(BC$222-BB$222)&gt;0),BC$222-BB$222,BB229)</f>
        <v/>
      </c>
      <c r="BD229" s="73">
        <f>+IF(AND(BC229=0,BC228&gt;0,(BD$222-BC$222)&gt;0),BD$222-BC$222,BC229)</f>
        <v/>
      </c>
      <c r="BE229" s="73">
        <f>+IF(AND(BD229=0,BD228&gt;0,(BE$222-BD$222)&gt;0),BE$222-BD$222,BD229)</f>
        <v/>
      </c>
      <c r="BF229" s="73">
        <f>+IF(AND(BE229=0,BE228&gt;0,(BF$222-BE$222)&gt;0),BF$222-BE$222,BE229)</f>
        <v/>
      </c>
      <c r="BG229" s="73">
        <f>+IF(AND(BF229=0,BF228&gt;0,(BG$222-BF$222)&gt;0),BG$222-BF$222,BF229)</f>
        <v/>
      </c>
      <c r="BH229" s="1071">
        <f>+IF(AND(BG229=0,BG228&gt;0,(BH$222-BG$222)&gt;0),BH$222-BG$222,BG229)</f>
        <v/>
      </c>
      <c r="BI229" s="73">
        <f>+IF(AND(BH229=0,BH228&gt;0,(BI$222-BH$222)&gt;0),BI$222-BH$222,BH229)</f>
        <v/>
      </c>
      <c r="BJ229" s="73">
        <f>+IF(AND(BI229=0,BI228&gt;0,(BJ$222-BI$222)&gt;0),BJ$222-BI$222,BI229)</f>
        <v/>
      </c>
      <c r="BK229" s="73">
        <f>+IF(AND(BJ229=0,BJ228&gt;0,(BK$222-BJ$222)&gt;0),BK$222-BJ$222,BJ229)</f>
        <v/>
      </c>
      <c r="BL229" s="73">
        <f>+IF(AND(BK229=0,BK228&gt;0,(BL$222-BK$222)&gt;0),BL$222-BK$222,BK229)</f>
        <v/>
      </c>
      <c r="BM229" s="73">
        <f>+IF(AND(BL229=0,BL228&gt;0,(BM$222-BL$222)&gt;0),BM$222-BL$222,BL229)</f>
        <v/>
      </c>
      <c r="BN229" s="1071">
        <f>+IF(AND(BM229=0,BM228&gt;0,(BN$222-BM$222)&gt;0),BN$222-BM$222,BM229)</f>
        <v/>
      </c>
    </row>
    <row r="230" ht="12.75" customHeight="1" s="1883">
      <c r="C230" s="1155" t="inlineStr">
        <is>
          <t>Addition 7</t>
        </is>
      </c>
      <c r="D230" s="670" t="n"/>
      <c r="E230" s="671" t="n"/>
      <c r="F230" s="74" t="n"/>
      <c r="G230" s="73">
        <f>+IF(AND(F230=0,F229&gt;0,(G$222-F$222)&gt;0),G$222-F$222,F230)</f>
        <v/>
      </c>
      <c r="H230" s="73">
        <f>+IF(AND(G230=0,G229&gt;0,(H$222-G$222)&gt;0),H$222-G$222,G230)</f>
        <v/>
      </c>
      <c r="I230" s="73">
        <f>+IF(AND(H230=0,H229&gt;0,(I$222-H$222)&gt;0),I$222-H$222,H230)</f>
        <v/>
      </c>
      <c r="J230" s="73">
        <f>+IF(AND(I230=0,I229&gt;0,(J$222-I$222)&gt;0),J$222-I$222,I230)</f>
        <v/>
      </c>
      <c r="K230" s="73">
        <f>+IF(AND(J230=0,J229&gt;0,(K$222-J$222)&gt;0),K$222-J$222,J230)</f>
        <v/>
      </c>
      <c r="L230" s="1071">
        <f>+IF(AND(K230=0,K229&gt;0,(L$222-K$222)&gt;0),L$222-K$222,K230)</f>
        <v/>
      </c>
      <c r="M230" s="73">
        <f>+IF(AND(L230=0,L229&gt;0,(M$222-L$222)&gt;0),M$222-L$222,L230)</f>
        <v/>
      </c>
      <c r="N230" s="73">
        <f>+IF(AND(M230=0,M229&gt;0,(N$222-M$222)&gt;0),N$222-M$222,M230)</f>
        <v/>
      </c>
      <c r="O230" s="73">
        <f>+IF(AND(N230=0,N229&gt;0,(O$222-N$222)&gt;0),O$222-N$222,N230)</f>
        <v/>
      </c>
      <c r="P230" s="73">
        <f>+IF(AND(O230=0,O229&gt;0,(P$222-O$222)&gt;0),P$222-O$222,O230)</f>
        <v/>
      </c>
      <c r="Q230" s="73">
        <f>+IF(AND(P230=0,P229&gt;0,(Q$222-P$222)&gt;0),Q$222-P$222,P230)</f>
        <v/>
      </c>
      <c r="R230" s="1071">
        <f>+IF(AND(Q230=0,Q229&gt;0,(R$222-Q$222)&gt;0),R$222-Q$222,Q230)</f>
        <v/>
      </c>
      <c r="S230" s="73">
        <f>+IF(AND(R230=0,R229&gt;0,(S$222-R$222)&gt;0),S$222-R$222,R230)</f>
        <v/>
      </c>
      <c r="T230" s="73">
        <f>+IF(AND(S230=0,S229&gt;0,(T$222-S$222)&gt;0),T$222-S$222,S230)</f>
        <v/>
      </c>
      <c r="U230" s="73">
        <f>+IF(AND(T230=0,T229&gt;0,(U$222-T$222)&gt;0),U$222-T$222,T230)</f>
        <v/>
      </c>
      <c r="V230" s="73">
        <f>+IF(AND(U230=0,U229&gt;0,(V$222-U$222)&gt;0),V$222-U$222,U230)</f>
        <v/>
      </c>
      <c r="W230" s="73">
        <f>+IF(AND(V230=0,V229&gt;0,(W$222-V$222)&gt;0),W$222-V$222,V230)</f>
        <v/>
      </c>
      <c r="X230" s="1071">
        <f>+IF(AND(W230=0,W229&gt;0,(X$222-W$222)&gt;0),X$222-W$222,W230)</f>
        <v/>
      </c>
      <c r="Y230" s="73">
        <f>+IF(AND(X230=0,X229&gt;0,(Y$222-X$222)&gt;0),Y$222-X$222,X230)</f>
        <v/>
      </c>
      <c r="Z230" s="73">
        <f>+IF(AND(Y230=0,Y229&gt;0,(Z$222-Y$222)&gt;0),Z$222-Y$222,Y230)</f>
        <v/>
      </c>
      <c r="AA230" s="73">
        <f>+IF(AND(Z230=0,Z229&gt;0,(AA$222-Z$222)&gt;0),AA$222-Z$222,Z230)</f>
        <v/>
      </c>
      <c r="AB230" s="73">
        <f>+IF(AND(AA230=0,AA229&gt;0,(AB$222-AA$222)&gt;0),AB$222-AA$222,AA230)</f>
        <v/>
      </c>
      <c r="AC230" s="73">
        <f>+IF(AND(AB230=0,AB229&gt;0,(AC$222-AB$222)&gt;0),AC$222-AB$222,AB230)</f>
        <v/>
      </c>
      <c r="AD230" s="1071">
        <f>+IF(AND(AC230=0,AC229&gt;0,(AD$222-AC$222)&gt;0),AD$222-AC$222,AC230)</f>
        <v/>
      </c>
      <c r="AE230" s="73">
        <f>+IF(AND(AD230=0,AD229&gt;0,(AE$222-AD$222)&gt;0),AE$222-AD$222,AD230)</f>
        <v/>
      </c>
      <c r="AF230" s="73">
        <f>+IF(AND(AE230=0,AE229&gt;0,(AF$222-AE$222)&gt;0),AF$222-AE$222,AE230)</f>
        <v/>
      </c>
      <c r="AG230" s="73">
        <f>+IF(AND(AF230=0,AF229&gt;0,(AG$222-AF$222)&gt;0),AG$222-AF$222,AF230)</f>
        <v/>
      </c>
      <c r="AH230" s="73">
        <f>+IF(AND(AG230=0,AG229&gt;0,(AH$222-AG$222)&gt;0),AH$222-AG$222,AG230)</f>
        <v/>
      </c>
      <c r="AI230" s="73">
        <f>+IF(AND(AH230=0,AH229&gt;0,(AI$222-AH$222)&gt;0),AI$222-AH$222,AH230)</f>
        <v/>
      </c>
      <c r="AJ230" s="1071">
        <f>+IF(AND(AI230=0,AI229&gt;0,(AJ$222-AI$222)&gt;0),AJ$222-AI$222,AI230)</f>
        <v/>
      </c>
      <c r="AK230" s="73">
        <f>+IF(AND(AJ230=0,AJ229&gt;0,(AK$222-AJ$222)&gt;0),AK$222-AJ$222,AJ230)</f>
        <v/>
      </c>
      <c r="AL230" s="73">
        <f>+IF(AND(AK230=0,AK229&gt;0,(AL$222-AK$222)&gt;0),AL$222-AK$222,AK230)</f>
        <v/>
      </c>
      <c r="AM230" s="73">
        <f>+IF(AND(AL230=0,AL229&gt;0,(AM$222-AL$222)&gt;0),AM$222-AL$222,AL230)</f>
        <v/>
      </c>
      <c r="AN230" s="73">
        <f>+IF(AND(AM230=0,AM229&gt;0,(AN$222-AM$222)&gt;0),AN$222-AM$222,AM230)</f>
        <v/>
      </c>
      <c r="AO230" s="73">
        <f>+IF(AND(AN230=0,AN229&gt;0,(AO$222-AN$222)&gt;0),AO$222-AN$222,AN230)</f>
        <v/>
      </c>
      <c r="AP230" s="1071">
        <f>+IF(AND(AO230=0,AO229&gt;0,(AP$222-AO$222)&gt;0),AP$222-AO$222,AO230)</f>
        <v/>
      </c>
      <c r="AQ230" s="73">
        <f>+IF(AND(AP230=0,AP229&gt;0,(AQ$222-AP$222)&gt;0),AQ$222-AP$222,AP230)</f>
        <v/>
      </c>
      <c r="AR230" s="73">
        <f>+IF(AND(AQ230=0,AQ229&gt;0,(AR$222-AQ$222)&gt;0),AR$222-AQ$222,AQ230)</f>
        <v/>
      </c>
      <c r="AS230" s="73">
        <f>+IF(AND(AR230=0,AR229&gt;0,(AS$222-AR$222)&gt;0),AS$222-AR$222,AR230)</f>
        <v/>
      </c>
      <c r="AT230" s="73">
        <f>+IF(AND(AS230=0,AS229&gt;0,(AT$222-AS$222)&gt;0),AT$222-AS$222,AS230)</f>
        <v/>
      </c>
      <c r="AU230" s="73">
        <f>+IF(AND(AT230=0,AT229&gt;0,(AU$222-AT$222)&gt;0),AU$222-AT$222,AT230)</f>
        <v/>
      </c>
      <c r="AV230" s="1071">
        <f>+IF(AND(AU230=0,AU229&gt;0,(AV$222-AU$222)&gt;0),AV$222-AU$222,AU230)</f>
        <v/>
      </c>
      <c r="AW230" s="73">
        <f>+IF(AND(AV230=0,AV229&gt;0,(AW$222-AV$222)&gt;0),AW$222-AV$222,AV230)</f>
        <v/>
      </c>
      <c r="AX230" s="73">
        <f>+IF(AND(AW230=0,AW229&gt;0,(AX$222-AW$222)&gt;0),AX$222-AW$222,AW230)</f>
        <v/>
      </c>
      <c r="AY230" s="73">
        <f>+IF(AND(AX230=0,AX229&gt;0,(AY$222-AX$222)&gt;0),AY$222-AX$222,AX230)</f>
        <v/>
      </c>
      <c r="AZ230" s="73">
        <f>+IF(AND(AY230=0,AY229&gt;0,(AZ$222-AY$222)&gt;0),AZ$222-AY$222,AY230)</f>
        <v/>
      </c>
      <c r="BA230" s="73">
        <f>+IF(AND(AZ230=0,AZ229&gt;0,(BA$222-AZ$222)&gt;0),BA$222-AZ$222,AZ230)</f>
        <v/>
      </c>
      <c r="BB230" s="1071">
        <f>+IF(AND(BA230=0,BA229&gt;0,(BB$222-BA$222)&gt;0),BB$222-BA$222,BA230)</f>
        <v/>
      </c>
      <c r="BC230" s="73">
        <f>+IF(AND(BB230=0,BB229&gt;0,(BC$222-BB$222)&gt;0),BC$222-BB$222,BB230)</f>
        <v/>
      </c>
      <c r="BD230" s="73">
        <f>+IF(AND(BC230=0,BC229&gt;0,(BD$222-BC$222)&gt;0),BD$222-BC$222,BC230)</f>
        <v/>
      </c>
      <c r="BE230" s="73">
        <f>+IF(AND(BD230=0,BD229&gt;0,(BE$222-BD$222)&gt;0),BE$222-BD$222,BD230)</f>
        <v/>
      </c>
      <c r="BF230" s="73">
        <f>+IF(AND(BE230=0,BE229&gt;0,(BF$222-BE$222)&gt;0),BF$222-BE$222,BE230)</f>
        <v/>
      </c>
      <c r="BG230" s="73">
        <f>+IF(AND(BF230=0,BF229&gt;0,(BG$222-BF$222)&gt;0),BG$222-BF$222,BF230)</f>
        <v/>
      </c>
      <c r="BH230" s="1071">
        <f>+IF(AND(BG230=0,BG229&gt;0,(BH$222-BG$222)&gt;0),BH$222-BG$222,BG230)</f>
        <v/>
      </c>
      <c r="BI230" s="73">
        <f>+IF(AND(BH230=0,BH229&gt;0,(BI$222-BH$222)&gt;0),BI$222-BH$222,BH230)</f>
        <v/>
      </c>
      <c r="BJ230" s="73">
        <f>+IF(AND(BI230=0,BI229&gt;0,(BJ$222-BI$222)&gt;0),BJ$222-BI$222,BI230)</f>
        <v/>
      </c>
      <c r="BK230" s="73">
        <f>+IF(AND(BJ230=0,BJ229&gt;0,(BK$222-BJ$222)&gt;0),BK$222-BJ$222,BJ230)</f>
        <v/>
      </c>
      <c r="BL230" s="73">
        <f>+IF(AND(BK230=0,BK229&gt;0,(BL$222-BK$222)&gt;0),BL$222-BK$222,BK230)</f>
        <v/>
      </c>
      <c r="BM230" s="73">
        <f>+IF(AND(BL230=0,BL229&gt;0,(BM$222-BL$222)&gt;0),BM$222-BL$222,BL230)</f>
        <v/>
      </c>
      <c r="BN230" s="1071">
        <f>+IF(AND(BM230=0,BM229&gt;0,(BN$222-BM$222)&gt;0),BN$222-BM$222,BM230)</f>
        <v/>
      </c>
    </row>
    <row r="231" ht="12.75" customHeight="1" s="1883">
      <c r="C231" s="1155" t="inlineStr">
        <is>
          <t>Addition 8</t>
        </is>
      </c>
      <c r="D231" s="670" t="n"/>
      <c r="E231" s="671" t="n"/>
      <c r="F231" s="74" t="n"/>
      <c r="G231" s="73">
        <f>+IF(AND(F231=0,F230&gt;0,(G$222-F$222)&gt;0),G$222-F$222,F231)</f>
        <v/>
      </c>
      <c r="H231" s="73">
        <f>+IF(AND(G231=0,G230&gt;0,(H$222-G$222)&gt;0),H$222-G$222,G231)</f>
        <v/>
      </c>
      <c r="I231" s="73">
        <f>+IF(AND(H231=0,H230&gt;0,(I$222-H$222)&gt;0),I$222-H$222,H231)</f>
        <v/>
      </c>
      <c r="J231" s="73">
        <f>+IF(AND(I231=0,I230&gt;0,(J$222-I$222)&gt;0),J$222-I$222,I231)</f>
        <v/>
      </c>
      <c r="K231" s="73">
        <f>+IF(AND(J231=0,J230&gt;0,(K$222-J$222)&gt;0),K$222-J$222,J231)</f>
        <v/>
      </c>
      <c r="L231" s="1071">
        <f>+IF(AND(K231=0,K230&gt;0,(L$222-K$222)&gt;0),L$222-K$222,K231)</f>
        <v/>
      </c>
      <c r="M231" s="73">
        <f>+IF(AND(L231=0,L230&gt;0,(M$222-L$222)&gt;0),M$222-L$222,L231)</f>
        <v/>
      </c>
      <c r="N231" s="73">
        <f>+IF(AND(M231=0,M230&gt;0,(N$222-M$222)&gt;0),N$222-M$222,M231)</f>
        <v/>
      </c>
      <c r="O231" s="73">
        <f>+IF(AND(N231=0,N230&gt;0,(O$222-N$222)&gt;0),O$222-N$222,N231)</f>
        <v/>
      </c>
      <c r="P231" s="73">
        <f>+IF(AND(O231=0,O230&gt;0,(P$222-O$222)&gt;0),P$222-O$222,O231)</f>
        <v/>
      </c>
      <c r="Q231" s="73">
        <f>+IF(AND(P231=0,P230&gt;0,(Q$222-P$222)&gt;0),Q$222-P$222,P231)</f>
        <v/>
      </c>
      <c r="R231" s="1071">
        <f>+IF(AND(Q231=0,Q230&gt;0,(R$222-Q$222)&gt;0),R$222-Q$222,Q231)</f>
        <v/>
      </c>
      <c r="S231" s="73">
        <f>+IF(AND(R231=0,R230&gt;0,(S$222-R$222)&gt;0),S$222-R$222,R231)</f>
        <v/>
      </c>
      <c r="T231" s="73">
        <f>+IF(AND(S231=0,S230&gt;0,(T$222-S$222)&gt;0),T$222-S$222,S231)</f>
        <v/>
      </c>
      <c r="U231" s="73">
        <f>+IF(AND(T231=0,T230&gt;0,(U$222-T$222)&gt;0),U$222-T$222,T231)</f>
        <v/>
      </c>
      <c r="V231" s="73">
        <f>+IF(AND(U231=0,U230&gt;0,(V$222-U$222)&gt;0),V$222-U$222,U231)</f>
        <v/>
      </c>
      <c r="W231" s="73">
        <f>+IF(AND(V231=0,V230&gt;0,(W$222-V$222)&gt;0),W$222-V$222,V231)</f>
        <v/>
      </c>
      <c r="X231" s="1071">
        <f>+IF(AND(W231=0,W230&gt;0,(X$222-W$222)&gt;0),X$222-W$222,W231)</f>
        <v/>
      </c>
      <c r="Y231" s="73">
        <f>+IF(AND(X231=0,X230&gt;0,(Y$222-X$222)&gt;0),Y$222-X$222,X231)</f>
        <v/>
      </c>
      <c r="Z231" s="73">
        <f>+IF(AND(Y231=0,Y230&gt;0,(Z$222-Y$222)&gt;0),Z$222-Y$222,Y231)</f>
        <v/>
      </c>
      <c r="AA231" s="73">
        <f>+IF(AND(Z231=0,Z230&gt;0,(AA$222-Z$222)&gt;0),AA$222-Z$222,Z231)</f>
        <v/>
      </c>
      <c r="AB231" s="73">
        <f>+IF(AND(AA231=0,AA230&gt;0,(AB$222-AA$222)&gt;0),AB$222-AA$222,AA231)</f>
        <v/>
      </c>
      <c r="AC231" s="73">
        <f>+IF(AND(AB231=0,AB230&gt;0,(AC$222-AB$222)&gt;0),AC$222-AB$222,AB231)</f>
        <v/>
      </c>
      <c r="AD231" s="1071">
        <f>+IF(AND(AC231=0,AC230&gt;0,(AD$222-AC$222)&gt;0),AD$222-AC$222,AC231)</f>
        <v/>
      </c>
      <c r="AE231" s="73">
        <f>+IF(AND(AD231=0,AD230&gt;0,(AE$222-AD$222)&gt;0),AE$222-AD$222,AD231)</f>
        <v/>
      </c>
      <c r="AF231" s="73">
        <f>+IF(AND(AE231=0,AE230&gt;0,(AF$222-AE$222)&gt;0),AF$222-AE$222,AE231)</f>
        <v/>
      </c>
      <c r="AG231" s="73">
        <f>+IF(AND(AF231=0,AF230&gt;0,(AG$222-AF$222)&gt;0),AG$222-AF$222,AF231)</f>
        <v/>
      </c>
      <c r="AH231" s="73">
        <f>+IF(AND(AG231=0,AG230&gt;0,(AH$222-AG$222)&gt;0),AH$222-AG$222,AG231)</f>
        <v/>
      </c>
      <c r="AI231" s="73">
        <f>+IF(AND(AH231=0,AH230&gt;0,(AI$222-AH$222)&gt;0),AI$222-AH$222,AH231)</f>
        <v/>
      </c>
      <c r="AJ231" s="1071">
        <f>+IF(AND(AI231=0,AI230&gt;0,(AJ$222-AI$222)&gt;0),AJ$222-AI$222,AI231)</f>
        <v/>
      </c>
      <c r="AK231" s="73">
        <f>+IF(AND(AJ231=0,AJ230&gt;0,(AK$222-AJ$222)&gt;0),AK$222-AJ$222,AJ231)</f>
        <v/>
      </c>
      <c r="AL231" s="73">
        <f>+IF(AND(AK231=0,AK230&gt;0,(AL$222-AK$222)&gt;0),AL$222-AK$222,AK231)</f>
        <v/>
      </c>
      <c r="AM231" s="73">
        <f>+IF(AND(AL231=0,AL230&gt;0,(AM$222-AL$222)&gt;0),AM$222-AL$222,AL231)</f>
        <v/>
      </c>
      <c r="AN231" s="73">
        <f>+IF(AND(AM231=0,AM230&gt;0,(AN$222-AM$222)&gt;0),AN$222-AM$222,AM231)</f>
        <v/>
      </c>
      <c r="AO231" s="73">
        <f>+IF(AND(AN231=0,AN230&gt;0,(AO$222-AN$222)&gt;0),AO$222-AN$222,AN231)</f>
        <v/>
      </c>
      <c r="AP231" s="1071">
        <f>+IF(AND(AO231=0,AO230&gt;0,(AP$222-AO$222)&gt;0),AP$222-AO$222,AO231)</f>
        <v/>
      </c>
      <c r="AQ231" s="73">
        <f>+IF(AND(AP231=0,AP230&gt;0,(AQ$222-AP$222)&gt;0),AQ$222-AP$222,AP231)</f>
        <v/>
      </c>
      <c r="AR231" s="73">
        <f>+IF(AND(AQ231=0,AQ230&gt;0,(AR$222-AQ$222)&gt;0),AR$222-AQ$222,AQ231)</f>
        <v/>
      </c>
      <c r="AS231" s="73">
        <f>+IF(AND(AR231=0,AR230&gt;0,(AS$222-AR$222)&gt;0),AS$222-AR$222,AR231)</f>
        <v/>
      </c>
      <c r="AT231" s="73">
        <f>+IF(AND(AS231=0,AS230&gt;0,(AT$222-AS$222)&gt;0),AT$222-AS$222,AS231)</f>
        <v/>
      </c>
      <c r="AU231" s="73">
        <f>+IF(AND(AT231=0,AT230&gt;0,(AU$222-AT$222)&gt;0),AU$222-AT$222,AT231)</f>
        <v/>
      </c>
      <c r="AV231" s="1071">
        <f>+IF(AND(AU231=0,AU230&gt;0,(AV$222-AU$222)&gt;0),AV$222-AU$222,AU231)</f>
        <v/>
      </c>
      <c r="AW231" s="73">
        <f>+IF(AND(AV231=0,AV230&gt;0,(AW$222-AV$222)&gt;0),AW$222-AV$222,AV231)</f>
        <v/>
      </c>
      <c r="AX231" s="73">
        <f>+IF(AND(AW231=0,AW230&gt;0,(AX$222-AW$222)&gt;0),AX$222-AW$222,AW231)</f>
        <v/>
      </c>
      <c r="AY231" s="73">
        <f>+IF(AND(AX231=0,AX230&gt;0,(AY$222-AX$222)&gt;0),AY$222-AX$222,AX231)</f>
        <v/>
      </c>
      <c r="AZ231" s="73">
        <f>+IF(AND(AY231=0,AY230&gt;0,(AZ$222-AY$222)&gt;0),AZ$222-AY$222,AY231)</f>
        <v/>
      </c>
      <c r="BA231" s="73">
        <f>+IF(AND(AZ231=0,AZ230&gt;0,(BA$222-AZ$222)&gt;0),BA$222-AZ$222,AZ231)</f>
        <v/>
      </c>
      <c r="BB231" s="1071">
        <f>+IF(AND(BA231=0,BA230&gt;0,(BB$222-BA$222)&gt;0),BB$222-BA$222,BA231)</f>
        <v/>
      </c>
      <c r="BC231" s="73">
        <f>+IF(AND(BB231=0,BB230&gt;0,(BC$222-BB$222)&gt;0),BC$222-BB$222,BB231)</f>
        <v/>
      </c>
      <c r="BD231" s="73">
        <f>+IF(AND(BC231=0,BC230&gt;0,(BD$222-BC$222)&gt;0),BD$222-BC$222,BC231)</f>
        <v/>
      </c>
      <c r="BE231" s="73">
        <f>+IF(AND(BD231=0,BD230&gt;0,(BE$222-BD$222)&gt;0),BE$222-BD$222,BD231)</f>
        <v/>
      </c>
      <c r="BF231" s="73">
        <f>+IF(AND(BE231=0,BE230&gt;0,(BF$222-BE$222)&gt;0),BF$222-BE$222,BE231)</f>
        <v/>
      </c>
      <c r="BG231" s="73">
        <f>+IF(AND(BF231=0,BF230&gt;0,(BG$222-BF$222)&gt;0),BG$222-BF$222,BF231)</f>
        <v/>
      </c>
      <c r="BH231" s="1071">
        <f>+IF(AND(BG231=0,BG230&gt;0,(BH$222-BG$222)&gt;0),BH$222-BG$222,BG231)</f>
        <v/>
      </c>
      <c r="BI231" s="73">
        <f>+IF(AND(BH231=0,BH230&gt;0,(BI$222-BH$222)&gt;0),BI$222-BH$222,BH231)</f>
        <v/>
      </c>
      <c r="BJ231" s="73">
        <f>+IF(AND(BI231=0,BI230&gt;0,(BJ$222-BI$222)&gt;0),BJ$222-BI$222,BI231)</f>
        <v/>
      </c>
      <c r="BK231" s="73">
        <f>+IF(AND(BJ231=0,BJ230&gt;0,(BK$222-BJ$222)&gt;0),BK$222-BJ$222,BJ231)</f>
        <v/>
      </c>
      <c r="BL231" s="73">
        <f>+IF(AND(BK231=0,BK230&gt;0,(BL$222-BK$222)&gt;0),BL$222-BK$222,BK231)</f>
        <v/>
      </c>
      <c r="BM231" s="73">
        <f>+IF(AND(BL231=0,BL230&gt;0,(BM$222-BL$222)&gt;0),BM$222-BL$222,BL231)</f>
        <v/>
      </c>
      <c r="BN231" s="1071">
        <f>+IF(AND(BM231=0,BM230&gt;0,(BN$222-BM$222)&gt;0),BN$222-BM$222,BM231)</f>
        <v/>
      </c>
    </row>
    <row r="232" ht="12.75" customHeight="1" s="1883">
      <c r="C232" s="1155" t="inlineStr">
        <is>
          <t>Addition 9</t>
        </is>
      </c>
      <c r="D232" s="670" t="n"/>
      <c r="E232" s="671" t="n"/>
      <c r="F232" s="74" t="n"/>
      <c r="G232" s="73">
        <f>+IF(AND(F232=0,F231&gt;0,(G$222-F$222)&gt;0),G$222-F$222,F232)</f>
        <v/>
      </c>
      <c r="H232" s="73">
        <f>+IF(AND(G232=0,G231&gt;0,(H$222-G$222)&gt;0),H$222-G$222,G232)</f>
        <v/>
      </c>
      <c r="I232" s="73">
        <f>+IF(AND(H232=0,H231&gt;0,(I$222-H$222)&gt;0),I$222-H$222,H232)</f>
        <v/>
      </c>
      <c r="J232" s="73">
        <f>+IF(AND(I232=0,I231&gt;0,(J$222-I$222)&gt;0),J$222-I$222,I232)</f>
        <v/>
      </c>
      <c r="K232" s="73">
        <f>+IF(AND(J232=0,J231&gt;0,(K$222-J$222)&gt;0),K$222-J$222,J232)</f>
        <v/>
      </c>
      <c r="L232" s="1071">
        <f>+IF(AND(K232=0,K231&gt;0,(L$222-K$222)&gt;0),L$222-K$222,K232)</f>
        <v/>
      </c>
      <c r="M232" s="73">
        <f>+IF(AND(L232=0,L231&gt;0,(M$222-L$222)&gt;0),M$222-L$222,L232)</f>
        <v/>
      </c>
      <c r="N232" s="73">
        <f>+IF(AND(M232=0,M231&gt;0,(N$222-M$222)&gt;0),N$222-M$222,M232)</f>
        <v/>
      </c>
      <c r="O232" s="73">
        <f>+IF(AND(N232=0,N231&gt;0,(O$222-N$222)&gt;0),O$222-N$222,N232)</f>
        <v/>
      </c>
      <c r="P232" s="73">
        <f>+IF(AND(O232=0,O231&gt;0,(P$222-O$222)&gt;0),P$222-O$222,O232)</f>
        <v/>
      </c>
      <c r="Q232" s="73">
        <f>+IF(AND(P232=0,P231&gt;0,(Q$222-P$222)&gt;0),Q$222-P$222,P232)</f>
        <v/>
      </c>
      <c r="R232" s="1071">
        <f>+IF(AND(Q232=0,Q231&gt;0,(R$222-Q$222)&gt;0),R$222-Q$222,Q232)</f>
        <v/>
      </c>
      <c r="S232" s="73">
        <f>+IF(AND(R232=0,R231&gt;0,(S$222-R$222)&gt;0),S$222-R$222,R232)</f>
        <v/>
      </c>
      <c r="T232" s="73">
        <f>+IF(AND(S232=0,S231&gt;0,(T$222-S$222)&gt;0),T$222-S$222,S232)</f>
        <v/>
      </c>
      <c r="U232" s="73">
        <f>+IF(AND(T232=0,T231&gt;0,(U$222-T$222)&gt;0),U$222-T$222,T232)</f>
        <v/>
      </c>
      <c r="V232" s="73">
        <f>+IF(AND(U232=0,U231&gt;0,(V$222-U$222)&gt;0),V$222-U$222,U232)</f>
        <v/>
      </c>
      <c r="W232" s="73">
        <f>+IF(AND(V232=0,V231&gt;0,(W$222-V$222)&gt;0),W$222-V$222,V232)</f>
        <v/>
      </c>
      <c r="X232" s="1071">
        <f>+IF(AND(W232=0,W231&gt;0,(X$222-W$222)&gt;0),X$222-W$222,W232)</f>
        <v/>
      </c>
      <c r="Y232" s="73">
        <f>+IF(AND(X232=0,X231&gt;0,(Y$222-X$222)&gt;0),Y$222-X$222,X232)</f>
        <v/>
      </c>
      <c r="Z232" s="73">
        <f>+IF(AND(Y232=0,Y231&gt;0,(Z$222-Y$222)&gt;0),Z$222-Y$222,Y232)</f>
        <v/>
      </c>
      <c r="AA232" s="73">
        <f>+IF(AND(Z232=0,Z231&gt;0,(AA$222-Z$222)&gt;0),AA$222-Z$222,Z232)</f>
        <v/>
      </c>
      <c r="AB232" s="73">
        <f>+IF(AND(AA232=0,AA231&gt;0,(AB$222-AA$222)&gt;0),AB$222-AA$222,AA232)</f>
        <v/>
      </c>
      <c r="AC232" s="73">
        <f>+IF(AND(AB232=0,AB231&gt;0,(AC$222-AB$222)&gt;0),AC$222-AB$222,AB232)</f>
        <v/>
      </c>
      <c r="AD232" s="1071">
        <f>+IF(AND(AC232=0,AC231&gt;0,(AD$222-AC$222)&gt;0),AD$222-AC$222,AC232)</f>
        <v/>
      </c>
      <c r="AE232" s="73">
        <f>+IF(AND(AD232=0,AD231&gt;0,(AE$222-AD$222)&gt;0),AE$222-AD$222,AD232)</f>
        <v/>
      </c>
      <c r="AF232" s="73">
        <f>+IF(AND(AE232=0,AE231&gt;0,(AF$222-AE$222)&gt;0),AF$222-AE$222,AE232)</f>
        <v/>
      </c>
      <c r="AG232" s="73">
        <f>+IF(AND(AF232=0,AF231&gt;0,(AG$222-AF$222)&gt;0),AG$222-AF$222,AF232)</f>
        <v/>
      </c>
      <c r="AH232" s="73">
        <f>+IF(AND(AG232=0,AG231&gt;0,(AH$222-AG$222)&gt;0),AH$222-AG$222,AG232)</f>
        <v/>
      </c>
      <c r="AI232" s="73">
        <f>+IF(AND(AH232=0,AH231&gt;0,(AI$222-AH$222)&gt;0),AI$222-AH$222,AH232)</f>
        <v/>
      </c>
      <c r="AJ232" s="1071">
        <f>+IF(AND(AI232=0,AI231&gt;0,(AJ$222-AI$222)&gt;0),AJ$222-AI$222,AI232)</f>
        <v/>
      </c>
      <c r="AK232" s="73">
        <f>+IF(AND(AJ232=0,AJ231&gt;0,(AK$222-AJ$222)&gt;0),AK$222-AJ$222,AJ232)</f>
        <v/>
      </c>
      <c r="AL232" s="73">
        <f>+IF(AND(AK232=0,AK231&gt;0,(AL$222-AK$222)&gt;0),AL$222-AK$222,AK232)</f>
        <v/>
      </c>
      <c r="AM232" s="73">
        <f>+IF(AND(AL232=0,AL231&gt;0,(AM$222-AL$222)&gt;0),AM$222-AL$222,AL232)</f>
        <v/>
      </c>
      <c r="AN232" s="73">
        <f>+IF(AND(AM232=0,AM231&gt;0,(AN$222-AM$222)&gt;0),AN$222-AM$222,AM232)</f>
        <v/>
      </c>
      <c r="AO232" s="73">
        <f>+IF(AND(AN232=0,AN231&gt;0,(AO$222-AN$222)&gt;0),AO$222-AN$222,AN232)</f>
        <v/>
      </c>
      <c r="AP232" s="1071">
        <f>+IF(AND(AO232=0,AO231&gt;0,(AP$222-AO$222)&gt;0),AP$222-AO$222,AO232)</f>
        <v/>
      </c>
      <c r="AQ232" s="73">
        <f>+IF(AND(AP232=0,AP231&gt;0,(AQ$222-AP$222)&gt;0),AQ$222-AP$222,AP232)</f>
        <v/>
      </c>
      <c r="AR232" s="73">
        <f>+IF(AND(AQ232=0,AQ231&gt;0,(AR$222-AQ$222)&gt;0),AR$222-AQ$222,AQ232)</f>
        <v/>
      </c>
      <c r="AS232" s="73">
        <f>+IF(AND(AR232=0,AR231&gt;0,(AS$222-AR$222)&gt;0),AS$222-AR$222,AR232)</f>
        <v/>
      </c>
      <c r="AT232" s="73">
        <f>+IF(AND(AS232=0,AS231&gt;0,(AT$222-AS$222)&gt;0),AT$222-AS$222,AS232)</f>
        <v/>
      </c>
      <c r="AU232" s="73">
        <f>+IF(AND(AT232=0,AT231&gt;0,(AU$222-AT$222)&gt;0),AU$222-AT$222,AT232)</f>
        <v/>
      </c>
      <c r="AV232" s="1071">
        <f>+IF(AND(AU232=0,AU231&gt;0,(AV$222-AU$222)&gt;0),AV$222-AU$222,AU232)</f>
        <v/>
      </c>
      <c r="AW232" s="73">
        <f>+IF(AND(AV232=0,AV231&gt;0,(AW$222-AV$222)&gt;0),AW$222-AV$222,AV232)</f>
        <v/>
      </c>
      <c r="AX232" s="73">
        <f>+IF(AND(AW232=0,AW231&gt;0,(AX$222-AW$222)&gt;0),AX$222-AW$222,AW232)</f>
        <v/>
      </c>
      <c r="AY232" s="73">
        <f>+IF(AND(AX232=0,AX231&gt;0,(AY$222-AX$222)&gt;0),AY$222-AX$222,AX232)</f>
        <v/>
      </c>
      <c r="AZ232" s="73">
        <f>+IF(AND(AY232=0,AY231&gt;0,(AZ$222-AY$222)&gt;0),AZ$222-AY$222,AY232)</f>
        <v/>
      </c>
      <c r="BA232" s="73">
        <f>+IF(AND(AZ232=0,AZ231&gt;0,(BA$222-AZ$222)&gt;0),BA$222-AZ$222,AZ232)</f>
        <v/>
      </c>
      <c r="BB232" s="1071">
        <f>+IF(AND(BA232=0,BA231&gt;0,(BB$222-BA$222)&gt;0),BB$222-BA$222,BA232)</f>
        <v/>
      </c>
      <c r="BC232" s="73">
        <f>+IF(AND(BB232=0,BB231&gt;0,(BC$222-BB$222)&gt;0),BC$222-BB$222,BB232)</f>
        <v/>
      </c>
      <c r="BD232" s="73">
        <f>+IF(AND(BC232=0,BC231&gt;0,(BD$222-BC$222)&gt;0),BD$222-BC$222,BC232)</f>
        <v/>
      </c>
      <c r="BE232" s="73">
        <f>+IF(AND(BD232=0,BD231&gt;0,(BE$222-BD$222)&gt;0),BE$222-BD$222,BD232)</f>
        <v/>
      </c>
      <c r="BF232" s="73">
        <f>+IF(AND(BE232=0,BE231&gt;0,(BF$222-BE$222)&gt;0),BF$222-BE$222,BE232)</f>
        <v/>
      </c>
      <c r="BG232" s="73">
        <f>+IF(AND(BF232=0,BF231&gt;0,(BG$222-BF$222)&gt;0),BG$222-BF$222,BF232)</f>
        <v/>
      </c>
      <c r="BH232" s="1071">
        <f>+IF(AND(BG232=0,BG231&gt;0,(BH$222-BG$222)&gt;0),BH$222-BG$222,BG232)</f>
        <v/>
      </c>
      <c r="BI232" s="73">
        <f>+IF(AND(BH232=0,BH231&gt;0,(BI$222-BH$222)&gt;0),BI$222-BH$222,BH232)</f>
        <v/>
      </c>
      <c r="BJ232" s="73">
        <f>+IF(AND(BI232=0,BI231&gt;0,(BJ$222-BI$222)&gt;0),BJ$222-BI$222,BI232)</f>
        <v/>
      </c>
      <c r="BK232" s="73">
        <f>+IF(AND(BJ232=0,BJ231&gt;0,(BK$222-BJ$222)&gt;0),BK$222-BJ$222,BJ232)</f>
        <v/>
      </c>
      <c r="BL232" s="73">
        <f>+IF(AND(BK232=0,BK231&gt;0,(BL$222-BK$222)&gt;0),BL$222-BK$222,BK232)</f>
        <v/>
      </c>
      <c r="BM232" s="73">
        <f>+IF(AND(BL232=0,BL231&gt;0,(BM$222-BL$222)&gt;0),BM$222-BL$222,BL232)</f>
        <v/>
      </c>
      <c r="BN232" s="1071">
        <f>+IF(AND(BM232=0,BM231&gt;0,(BN$222-BM$222)&gt;0),BN$222-BM$222,BM232)</f>
        <v/>
      </c>
    </row>
    <row r="233" ht="12.75" customHeight="1" s="1883">
      <c r="C233" s="1155" t="inlineStr">
        <is>
          <t>Addition 10</t>
        </is>
      </c>
      <c r="D233" s="670" t="n"/>
      <c r="E233" s="671" t="n"/>
      <c r="F233" s="74" t="n"/>
      <c r="G233" s="73">
        <f>+IF(AND(F233=0,F232&gt;0,(G$222-F$222)&gt;0),G$222-F$222,F233)</f>
        <v/>
      </c>
      <c r="H233" s="73">
        <f>+IF(AND(G233=0,G232&gt;0,(H$222-G$222)&gt;0),H$222-G$222,G233)</f>
        <v/>
      </c>
      <c r="I233" s="73">
        <f>+IF(AND(H233=0,H232&gt;0,(I$222-H$222)&gt;0),I$222-H$222,H233)</f>
        <v/>
      </c>
      <c r="J233" s="73">
        <f>+IF(AND(I233=0,I232&gt;0,(J$222-I$222)&gt;0),J$222-I$222,I233)</f>
        <v/>
      </c>
      <c r="K233" s="73">
        <f>+IF(AND(J233=0,J232&gt;0,(K$222-J$222)&gt;0),K$222-J$222,J233)</f>
        <v/>
      </c>
      <c r="L233" s="1071">
        <f>+IF(AND(K233=0,K232&gt;0,(L$222-K$222)&gt;0),L$222-K$222,K233)</f>
        <v/>
      </c>
      <c r="M233" s="73">
        <f>+IF(AND(L233=0,L232&gt;0,(M$222-L$222)&gt;0),M$222-L$222,L233)</f>
        <v/>
      </c>
      <c r="N233" s="73">
        <f>+IF(AND(M233=0,M232&gt;0,(N$222-M$222)&gt;0),N$222-M$222,M233)</f>
        <v/>
      </c>
      <c r="O233" s="73">
        <f>+IF(AND(N233=0,N232&gt;0,(O$222-N$222)&gt;0),O$222-N$222,N233)</f>
        <v/>
      </c>
      <c r="P233" s="73">
        <f>+IF(AND(O233=0,O232&gt;0,(P$222-O$222)&gt;0),P$222-O$222,O233)</f>
        <v/>
      </c>
      <c r="Q233" s="73">
        <f>+IF(AND(P233=0,P232&gt;0,(Q$222-P$222)&gt;0),Q$222-P$222,P233)</f>
        <v/>
      </c>
      <c r="R233" s="1071">
        <f>+IF(AND(Q233=0,Q232&gt;0,(R$222-Q$222)&gt;0),R$222-Q$222,Q233)</f>
        <v/>
      </c>
      <c r="S233" s="73">
        <f>+IF(AND(R233=0,R232&gt;0,(S$222-R$222)&gt;0),S$222-R$222,R233)</f>
        <v/>
      </c>
      <c r="T233" s="73">
        <f>+IF(AND(S233=0,S232&gt;0,(T$222-S$222)&gt;0),T$222-S$222,S233)</f>
        <v/>
      </c>
      <c r="U233" s="73">
        <f>+IF(AND(T233=0,T232&gt;0,(U$222-T$222)&gt;0),U$222-T$222,T233)</f>
        <v/>
      </c>
      <c r="V233" s="73">
        <f>+IF(AND(U233=0,U232&gt;0,(V$222-U$222)&gt;0),V$222-U$222,U233)</f>
        <v/>
      </c>
      <c r="W233" s="73">
        <f>+IF(AND(V233=0,V232&gt;0,(W$222-V$222)&gt;0),W$222-V$222,V233)</f>
        <v/>
      </c>
      <c r="X233" s="1071">
        <f>+IF(AND(W233=0,W232&gt;0,(X$222-W$222)&gt;0),X$222-W$222,W233)</f>
        <v/>
      </c>
      <c r="Y233" s="73">
        <f>+IF(AND(X233=0,X232&gt;0,(Y$222-X$222)&gt;0),Y$222-X$222,X233)</f>
        <v/>
      </c>
      <c r="Z233" s="73">
        <f>+IF(AND(Y233=0,Y232&gt;0,(Z$222-Y$222)&gt;0),Z$222-Y$222,Y233)</f>
        <v/>
      </c>
      <c r="AA233" s="73">
        <f>+IF(AND(Z233=0,Z232&gt;0,(AA$222-Z$222)&gt;0),AA$222-Z$222,Z233)</f>
        <v/>
      </c>
      <c r="AB233" s="73">
        <f>+IF(AND(AA233=0,AA232&gt;0,(AB$222-AA$222)&gt;0),AB$222-AA$222,AA233)</f>
        <v/>
      </c>
      <c r="AC233" s="73">
        <f>+IF(AND(AB233=0,AB232&gt;0,(AC$222-AB$222)&gt;0),AC$222-AB$222,AB233)</f>
        <v/>
      </c>
      <c r="AD233" s="1071">
        <f>+IF(AND(AC233=0,AC232&gt;0,(AD$222-AC$222)&gt;0),AD$222-AC$222,AC233)</f>
        <v/>
      </c>
      <c r="AE233" s="73">
        <f>+IF(AND(AD233=0,AD232&gt;0,(AE$222-AD$222)&gt;0),AE$222-AD$222,AD233)</f>
        <v/>
      </c>
      <c r="AF233" s="73">
        <f>+IF(AND(AE233=0,AE232&gt;0,(AF$222-AE$222)&gt;0),AF$222-AE$222,AE233)</f>
        <v/>
      </c>
      <c r="AG233" s="73">
        <f>+IF(AND(AF233=0,AF232&gt;0,(AG$222-AF$222)&gt;0),AG$222-AF$222,AF233)</f>
        <v/>
      </c>
      <c r="AH233" s="73">
        <f>+IF(AND(AG233=0,AG232&gt;0,(AH$222-AG$222)&gt;0),AH$222-AG$222,AG233)</f>
        <v/>
      </c>
      <c r="AI233" s="73">
        <f>+IF(AND(AH233=0,AH232&gt;0,(AI$222-AH$222)&gt;0),AI$222-AH$222,AH233)</f>
        <v/>
      </c>
      <c r="AJ233" s="1071">
        <f>+IF(AND(AI233=0,AI232&gt;0,(AJ$222-AI$222)&gt;0),AJ$222-AI$222,AI233)</f>
        <v/>
      </c>
      <c r="AK233" s="73">
        <f>+IF(AND(AJ233=0,AJ232&gt;0,(AK$222-AJ$222)&gt;0),AK$222-AJ$222,AJ233)</f>
        <v/>
      </c>
      <c r="AL233" s="73">
        <f>+IF(AND(AK233=0,AK232&gt;0,(AL$222-AK$222)&gt;0),AL$222-AK$222,AK233)</f>
        <v/>
      </c>
      <c r="AM233" s="73">
        <f>+IF(AND(AL233=0,AL232&gt;0,(AM$222-AL$222)&gt;0),AM$222-AL$222,AL233)</f>
        <v/>
      </c>
      <c r="AN233" s="73">
        <f>+IF(AND(AM233=0,AM232&gt;0,(AN$222-AM$222)&gt;0),AN$222-AM$222,AM233)</f>
        <v/>
      </c>
      <c r="AO233" s="73">
        <f>+IF(AND(AN233=0,AN232&gt;0,(AO$222-AN$222)&gt;0),AO$222-AN$222,AN233)</f>
        <v/>
      </c>
      <c r="AP233" s="1071">
        <f>+IF(AND(AO233=0,AO232&gt;0,(AP$222-AO$222)&gt;0),AP$222-AO$222,AO233)</f>
        <v/>
      </c>
      <c r="AQ233" s="73">
        <f>+IF(AND(AP233=0,AP232&gt;0,(AQ$222-AP$222)&gt;0),AQ$222-AP$222,AP233)</f>
        <v/>
      </c>
      <c r="AR233" s="73">
        <f>+IF(AND(AQ233=0,AQ232&gt;0,(AR$222-AQ$222)&gt;0),AR$222-AQ$222,AQ233)</f>
        <v/>
      </c>
      <c r="AS233" s="73">
        <f>+IF(AND(AR233=0,AR232&gt;0,(AS$222-AR$222)&gt;0),AS$222-AR$222,AR233)</f>
        <v/>
      </c>
      <c r="AT233" s="73">
        <f>+IF(AND(AS233=0,AS232&gt;0,(AT$222-AS$222)&gt;0),AT$222-AS$222,AS233)</f>
        <v/>
      </c>
      <c r="AU233" s="73">
        <f>+IF(AND(AT233=0,AT232&gt;0,(AU$222-AT$222)&gt;0),AU$222-AT$222,AT233)</f>
        <v/>
      </c>
      <c r="AV233" s="1071">
        <f>+IF(AND(AU233=0,AU232&gt;0,(AV$222-AU$222)&gt;0),AV$222-AU$222,AU233)</f>
        <v/>
      </c>
      <c r="AW233" s="73">
        <f>+IF(AND(AV233=0,AV232&gt;0,(AW$222-AV$222)&gt;0),AW$222-AV$222,AV233)</f>
        <v/>
      </c>
      <c r="AX233" s="73">
        <f>+IF(AND(AW233=0,AW232&gt;0,(AX$222-AW$222)&gt;0),AX$222-AW$222,AW233)</f>
        <v/>
      </c>
      <c r="AY233" s="73">
        <f>+IF(AND(AX233=0,AX232&gt;0,(AY$222-AX$222)&gt;0),AY$222-AX$222,AX233)</f>
        <v/>
      </c>
      <c r="AZ233" s="73">
        <f>+IF(AND(AY233=0,AY232&gt;0,(AZ$222-AY$222)&gt;0),AZ$222-AY$222,AY233)</f>
        <v/>
      </c>
      <c r="BA233" s="73">
        <f>+IF(AND(AZ233=0,AZ232&gt;0,(BA$222-AZ$222)&gt;0),BA$222-AZ$222,AZ233)</f>
        <v/>
      </c>
      <c r="BB233" s="1071">
        <f>+IF(AND(BA233=0,BA232&gt;0,(BB$222-BA$222)&gt;0),BB$222-BA$222,BA233)</f>
        <v/>
      </c>
      <c r="BC233" s="73">
        <f>+IF(AND(BB233=0,BB232&gt;0,(BC$222-BB$222)&gt;0),BC$222-BB$222,BB233)</f>
        <v/>
      </c>
      <c r="BD233" s="73">
        <f>+IF(AND(BC233=0,BC232&gt;0,(BD$222-BC$222)&gt;0),BD$222-BC$222,BC233)</f>
        <v/>
      </c>
      <c r="BE233" s="73">
        <f>+IF(AND(BD233=0,BD232&gt;0,(BE$222-BD$222)&gt;0),BE$222-BD$222,BD233)</f>
        <v/>
      </c>
      <c r="BF233" s="73">
        <f>+IF(AND(BE233=0,BE232&gt;0,(BF$222-BE$222)&gt;0),BF$222-BE$222,BE233)</f>
        <v/>
      </c>
      <c r="BG233" s="73">
        <f>+IF(AND(BF233=0,BF232&gt;0,(BG$222-BF$222)&gt;0),BG$222-BF$222,BF233)</f>
        <v/>
      </c>
      <c r="BH233" s="1071">
        <f>+IF(AND(BG233=0,BG232&gt;0,(BH$222-BG$222)&gt;0),BH$222-BG$222,BG233)</f>
        <v/>
      </c>
      <c r="BI233" s="73">
        <f>+IF(AND(BH233=0,BH232&gt;0,(BI$222-BH$222)&gt;0),BI$222-BH$222,BH233)</f>
        <v/>
      </c>
      <c r="BJ233" s="73">
        <f>+IF(AND(BI233=0,BI232&gt;0,(BJ$222-BI$222)&gt;0),BJ$222-BI$222,BI233)</f>
        <v/>
      </c>
      <c r="BK233" s="73">
        <f>+IF(AND(BJ233=0,BJ232&gt;0,(BK$222-BJ$222)&gt;0),BK$222-BJ$222,BJ233)</f>
        <v/>
      </c>
      <c r="BL233" s="73">
        <f>+IF(AND(BK233=0,BK232&gt;0,(BL$222-BK$222)&gt;0),BL$222-BK$222,BK233)</f>
        <v/>
      </c>
      <c r="BM233" s="73">
        <f>+IF(AND(BL233=0,BL232&gt;0,(BM$222-BL$222)&gt;0),BM$222-BL$222,BL233)</f>
        <v/>
      </c>
      <c r="BN233" s="1071">
        <f>+IF(AND(BM233=0,BM232&gt;0,(BN$222-BM$222)&gt;0),BN$222-BM$222,BM233)</f>
        <v/>
      </c>
    </row>
    <row r="234" ht="12.75" customHeight="1" s="1883">
      <c r="C234" s="1155" t="inlineStr">
        <is>
          <t>Addition 11</t>
        </is>
      </c>
      <c r="D234" s="670" t="n"/>
      <c r="E234" s="671" t="n"/>
      <c r="F234" s="74" t="n"/>
      <c r="G234" s="73">
        <f>+IF(AND(F234=0,F233&gt;0,(G$222-F$222)&gt;0),G$222-F$222,F234)</f>
        <v/>
      </c>
      <c r="H234" s="73">
        <f>+IF(AND(G234=0,G233&gt;0,(H$222-G$222)&gt;0),H$222-G$222,G234)</f>
        <v/>
      </c>
      <c r="I234" s="73">
        <f>+IF(AND(H234=0,H233&gt;0,(I$222-H$222)&gt;0),I$222-H$222,H234)</f>
        <v/>
      </c>
      <c r="J234" s="73">
        <f>+IF(AND(I234=0,I233&gt;0,(J$222-I$222)&gt;0),J$222-I$222,I234)</f>
        <v/>
      </c>
      <c r="K234" s="73">
        <f>+IF(AND(J234=0,J233&gt;0,(K$222-J$222)&gt;0),K$222-J$222,J234)</f>
        <v/>
      </c>
      <c r="L234" s="1071">
        <f>+IF(AND(K234=0,K233&gt;0,(L$222-K$222)&gt;0),L$222-K$222,K234)</f>
        <v/>
      </c>
      <c r="M234" s="73">
        <f>+IF(AND(L234=0,L233&gt;0,(M$222-L$222)&gt;0),M$222-L$222,L234)</f>
        <v/>
      </c>
      <c r="N234" s="73">
        <f>+IF(AND(M234=0,M233&gt;0,(N$222-M$222)&gt;0),N$222-M$222,M234)</f>
        <v/>
      </c>
      <c r="O234" s="73">
        <f>+IF(AND(N234=0,N233&gt;0,(O$222-N$222)&gt;0),O$222-N$222,N234)</f>
        <v/>
      </c>
      <c r="P234" s="73">
        <f>+IF(AND(O234=0,O233&gt;0,(P$222-O$222)&gt;0),P$222-O$222,O234)</f>
        <v/>
      </c>
      <c r="Q234" s="73">
        <f>+IF(AND(P234=0,P233&gt;0,(Q$222-P$222)&gt;0),Q$222-P$222,P234)</f>
        <v/>
      </c>
      <c r="R234" s="1071">
        <f>+IF(AND(Q234=0,Q233&gt;0,(R$222-Q$222)&gt;0),R$222-Q$222,Q234)</f>
        <v/>
      </c>
      <c r="S234" s="73">
        <f>+IF(AND(R234=0,R233&gt;0,(S$222-R$222)&gt;0),S$222-R$222,R234)</f>
        <v/>
      </c>
      <c r="T234" s="73">
        <f>+IF(AND(S234=0,S233&gt;0,(T$222-S$222)&gt;0),T$222-S$222,S234)</f>
        <v/>
      </c>
      <c r="U234" s="73">
        <f>+IF(AND(T234=0,T233&gt;0,(U$222-T$222)&gt;0),U$222-T$222,T234)</f>
        <v/>
      </c>
      <c r="V234" s="73">
        <f>+IF(AND(U234=0,U233&gt;0,(V$222-U$222)&gt;0),V$222-U$222,U234)</f>
        <v/>
      </c>
      <c r="W234" s="73">
        <f>+IF(AND(V234=0,V233&gt;0,(W$222-V$222)&gt;0),W$222-V$222,V234)</f>
        <v/>
      </c>
      <c r="X234" s="1071">
        <f>+IF(AND(W234=0,W233&gt;0,(X$222-W$222)&gt;0),X$222-W$222,W234)</f>
        <v/>
      </c>
      <c r="Y234" s="73">
        <f>+IF(AND(X234=0,X233&gt;0,(Y$222-X$222)&gt;0),Y$222-X$222,X234)</f>
        <v/>
      </c>
      <c r="Z234" s="73">
        <f>+IF(AND(Y234=0,Y233&gt;0,(Z$222-Y$222)&gt;0),Z$222-Y$222,Y234)</f>
        <v/>
      </c>
      <c r="AA234" s="73">
        <f>+IF(AND(Z234=0,Z233&gt;0,(AA$222-Z$222)&gt;0),AA$222-Z$222,Z234)</f>
        <v/>
      </c>
      <c r="AB234" s="73">
        <f>+IF(AND(AA234=0,AA233&gt;0,(AB$222-AA$222)&gt;0),AB$222-AA$222,AA234)</f>
        <v/>
      </c>
      <c r="AC234" s="73">
        <f>+IF(AND(AB234=0,AB233&gt;0,(AC$222-AB$222)&gt;0),AC$222-AB$222,AB234)</f>
        <v/>
      </c>
      <c r="AD234" s="1071">
        <f>+IF(AND(AC234=0,AC233&gt;0,(AD$222-AC$222)&gt;0),AD$222-AC$222,AC234)</f>
        <v/>
      </c>
      <c r="AE234" s="73">
        <f>+IF(AND(AD234=0,AD233&gt;0,(AE$222-AD$222)&gt;0),AE$222-AD$222,AD234)</f>
        <v/>
      </c>
      <c r="AF234" s="73">
        <f>+IF(AND(AE234=0,AE233&gt;0,(AF$222-AE$222)&gt;0),AF$222-AE$222,AE234)</f>
        <v/>
      </c>
      <c r="AG234" s="73">
        <f>+IF(AND(AF234=0,AF233&gt;0,(AG$222-AF$222)&gt;0),AG$222-AF$222,AF234)</f>
        <v/>
      </c>
      <c r="AH234" s="73">
        <f>+IF(AND(AG234=0,AG233&gt;0,(AH$222-AG$222)&gt;0),AH$222-AG$222,AG234)</f>
        <v/>
      </c>
      <c r="AI234" s="73">
        <f>+IF(AND(AH234=0,AH233&gt;0,(AI$222-AH$222)&gt;0),AI$222-AH$222,AH234)</f>
        <v/>
      </c>
      <c r="AJ234" s="1071">
        <f>+IF(AND(AI234=0,AI233&gt;0,(AJ$222-AI$222)&gt;0),AJ$222-AI$222,AI234)</f>
        <v/>
      </c>
      <c r="AK234" s="73">
        <f>+IF(AND(AJ234=0,AJ233&gt;0,(AK$222-AJ$222)&gt;0),AK$222-AJ$222,AJ234)</f>
        <v/>
      </c>
      <c r="AL234" s="73">
        <f>+IF(AND(AK234=0,AK233&gt;0,(AL$222-AK$222)&gt;0),AL$222-AK$222,AK234)</f>
        <v/>
      </c>
      <c r="AM234" s="73">
        <f>+IF(AND(AL234=0,AL233&gt;0,(AM$222-AL$222)&gt;0),AM$222-AL$222,AL234)</f>
        <v/>
      </c>
      <c r="AN234" s="73">
        <f>+IF(AND(AM234=0,AM233&gt;0,(AN$222-AM$222)&gt;0),AN$222-AM$222,AM234)</f>
        <v/>
      </c>
      <c r="AO234" s="73">
        <f>+IF(AND(AN234=0,AN233&gt;0,(AO$222-AN$222)&gt;0),AO$222-AN$222,AN234)</f>
        <v/>
      </c>
      <c r="AP234" s="1071">
        <f>+IF(AND(AO234=0,AO233&gt;0,(AP$222-AO$222)&gt;0),AP$222-AO$222,AO234)</f>
        <v/>
      </c>
      <c r="AQ234" s="73">
        <f>+IF(AND(AP234=0,AP233&gt;0,(AQ$222-AP$222)&gt;0),AQ$222-AP$222,AP234)</f>
        <v/>
      </c>
      <c r="AR234" s="73">
        <f>+IF(AND(AQ234=0,AQ233&gt;0,(AR$222-AQ$222)&gt;0),AR$222-AQ$222,AQ234)</f>
        <v/>
      </c>
      <c r="AS234" s="73">
        <f>+IF(AND(AR234=0,AR233&gt;0,(AS$222-AR$222)&gt;0),AS$222-AR$222,AR234)</f>
        <v/>
      </c>
      <c r="AT234" s="73">
        <f>+IF(AND(AS234=0,AS233&gt;0,(AT$222-AS$222)&gt;0),AT$222-AS$222,AS234)</f>
        <v/>
      </c>
      <c r="AU234" s="73">
        <f>+IF(AND(AT234=0,AT233&gt;0,(AU$222-AT$222)&gt;0),AU$222-AT$222,AT234)</f>
        <v/>
      </c>
      <c r="AV234" s="1071">
        <f>+IF(AND(AU234=0,AU233&gt;0,(AV$222-AU$222)&gt;0),AV$222-AU$222,AU234)</f>
        <v/>
      </c>
      <c r="AW234" s="73">
        <f>+IF(AND(AV234=0,AV233&gt;0,(AW$222-AV$222)&gt;0),AW$222-AV$222,AV234)</f>
        <v/>
      </c>
      <c r="AX234" s="73">
        <f>+IF(AND(AW234=0,AW233&gt;0,(AX$222-AW$222)&gt;0),AX$222-AW$222,AW234)</f>
        <v/>
      </c>
      <c r="AY234" s="73">
        <f>+IF(AND(AX234=0,AX233&gt;0,(AY$222-AX$222)&gt;0),AY$222-AX$222,AX234)</f>
        <v/>
      </c>
      <c r="AZ234" s="73">
        <f>+IF(AND(AY234=0,AY233&gt;0,(AZ$222-AY$222)&gt;0),AZ$222-AY$222,AY234)</f>
        <v/>
      </c>
      <c r="BA234" s="73">
        <f>+IF(AND(AZ234=0,AZ233&gt;0,(BA$222-AZ$222)&gt;0),BA$222-AZ$222,AZ234)</f>
        <v/>
      </c>
      <c r="BB234" s="1071">
        <f>+IF(AND(BA234=0,BA233&gt;0,(BB$222-BA$222)&gt;0),BB$222-BA$222,BA234)</f>
        <v/>
      </c>
      <c r="BC234" s="73">
        <f>+IF(AND(BB234=0,BB233&gt;0,(BC$222-BB$222)&gt;0),BC$222-BB$222,BB234)</f>
        <v/>
      </c>
      <c r="BD234" s="73">
        <f>+IF(AND(BC234=0,BC233&gt;0,(BD$222-BC$222)&gt;0),BD$222-BC$222,BC234)</f>
        <v/>
      </c>
      <c r="BE234" s="73">
        <f>+IF(AND(BD234=0,BD233&gt;0,(BE$222-BD$222)&gt;0),BE$222-BD$222,BD234)</f>
        <v/>
      </c>
      <c r="BF234" s="73">
        <f>+IF(AND(BE234=0,BE233&gt;0,(BF$222-BE$222)&gt;0),BF$222-BE$222,BE234)</f>
        <v/>
      </c>
      <c r="BG234" s="73">
        <f>+IF(AND(BF234=0,BF233&gt;0,(BG$222-BF$222)&gt;0),BG$222-BF$222,BF234)</f>
        <v/>
      </c>
      <c r="BH234" s="1071">
        <f>+IF(AND(BG234=0,BG233&gt;0,(BH$222-BG$222)&gt;0),BH$222-BG$222,BG234)</f>
        <v/>
      </c>
      <c r="BI234" s="73">
        <f>+IF(AND(BH234=0,BH233&gt;0,(BI$222-BH$222)&gt;0),BI$222-BH$222,BH234)</f>
        <v/>
      </c>
      <c r="BJ234" s="73">
        <f>+IF(AND(BI234=0,BI233&gt;0,(BJ$222-BI$222)&gt;0),BJ$222-BI$222,BI234)</f>
        <v/>
      </c>
      <c r="BK234" s="73">
        <f>+IF(AND(BJ234=0,BJ233&gt;0,(BK$222-BJ$222)&gt;0),BK$222-BJ$222,BJ234)</f>
        <v/>
      </c>
      <c r="BL234" s="73">
        <f>+IF(AND(BK234=0,BK233&gt;0,(BL$222-BK$222)&gt;0),BL$222-BK$222,BK234)</f>
        <v/>
      </c>
      <c r="BM234" s="73">
        <f>+IF(AND(BL234=0,BL233&gt;0,(BM$222-BL$222)&gt;0),BM$222-BL$222,BL234)</f>
        <v/>
      </c>
      <c r="BN234" s="1071">
        <f>+IF(AND(BM234=0,BM233&gt;0,(BN$222-BM$222)&gt;0),BN$222-BM$222,BM234)</f>
        <v/>
      </c>
    </row>
    <row r="235" ht="12.75" customHeight="1" s="1883">
      <c r="C235" s="1155" t="inlineStr">
        <is>
          <t>Addition 12</t>
        </is>
      </c>
      <c r="D235" s="670" t="n"/>
      <c r="E235" s="671" t="n"/>
      <c r="F235" s="74" t="n"/>
      <c r="G235" s="73">
        <f>+IF(AND(F235=0,F234&gt;0,(G$222-F$222)&gt;0),G$222-F$222,F235)</f>
        <v/>
      </c>
      <c r="H235" s="73">
        <f>+IF(AND(G235=0,G234&gt;0,(H$222-G$222)&gt;0),H$222-G$222,G235)</f>
        <v/>
      </c>
      <c r="I235" s="73">
        <f>+IF(AND(H235=0,H234&gt;0,(I$222-H$222)&gt;0),I$222-H$222,H235)</f>
        <v/>
      </c>
      <c r="J235" s="73">
        <f>+IF(AND(I235=0,I234&gt;0,(J$222-I$222)&gt;0),J$222-I$222,I235)</f>
        <v/>
      </c>
      <c r="K235" s="73">
        <f>+IF(AND(J235=0,J234&gt;0,(K$222-J$222)&gt;0),K$222-J$222,J235)</f>
        <v/>
      </c>
      <c r="L235" s="1071">
        <f>+IF(AND(K235=0,K234&gt;0,(L$222-K$222)&gt;0),L$222-K$222,K235)</f>
        <v/>
      </c>
      <c r="M235" s="73">
        <f>+IF(AND(L235=0,L234&gt;0,(M$222-L$222)&gt;0),M$222-L$222,L235)</f>
        <v/>
      </c>
      <c r="N235" s="73">
        <f>+IF(AND(M235=0,M234&gt;0,(N$222-M$222)&gt;0),N$222-M$222,M235)</f>
        <v/>
      </c>
      <c r="O235" s="73">
        <f>+IF(AND(N235=0,N234&gt;0,(O$222-N$222)&gt;0),O$222-N$222,N235)</f>
        <v/>
      </c>
      <c r="P235" s="73">
        <f>+IF(AND(O235=0,O234&gt;0,(P$222-O$222)&gt;0),P$222-O$222,O235)</f>
        <v/>
      </c>
      <c r="Q235" s="73">
        <f>+IF(AND(P235=0,P234&gt;0,(Q$222-P$222)&gt;0),Q$222-P$222,P235)</f>
        <v/>
      </c>
      <c r="R235" s="1071">
        <f>+IF(AND(Q235=0,Q234&gt;0,(R$222-Q$222)&gt;0),R$222-Q$222,Q235)</f>
        <v/>
      </c>
      <c r="S235" s="73">
        <f>+IF(AND(R235=0,R234&gt;0,(S$222-R$222)&gt;0),S$222-R$222,R235)</f>
        <v/>
      </c>
      <c r="T235" s="73">
        <f>+IF(AND(S235=0,S234&gt;0,(T$222-S$222)&gt;0),T$222-S$222,S235)</f>
        <v/>
      </c>
      <c r="U235" s="73">
        <f>+IF(AND(T235=0,T234&gt;0,(U$222-T$222)&gt;0),U$222-T$222,T235)</f>
        <v/>
      </c>
      <c r="V235" s="73">
        <f>+IF(AND(U235=0,U234&gt;0,(V$222-U$222)&gt;0),V$222-U$222,U235)</f>
        <v/>
      </c>
      <c r="W235" s="73">
        <f>+IF(AND(V235=0,V234&gt;0,(W$222-V$222)&gt;0),W$222-V$222,V235)</f>
        <v/>
      </c>
      <c r="X235" s="1071">
        <f>+IF(AND(W235=0,W234&gt;0,(X$222-W$222)&gt;0),X$222-W$222,W235)</f>
        <v/>
      </c>
      <c r="Y235" s="73">
        <f>+IF(AND(X235=0,X234&gt;0,(Y$222-X$222)&gt;0),Y$222-X$222,X235)</f>
        <v/>
      </c>
      <c r="Z235" s="73">
        <f>+IF(AND(Y235=0,Y234&gt;0,(Z$222-Y$222)&gt;0),Z$222-Y$222,Y235)</f>
        <v/>
      </c>
      <c r="AA235" s="73">
        <f>+IF(AND(Z235=0,Z234&gt;0,(AA$222-Z$222)&gt;0),AA$222-Z$222,Z235)</f>
        <v/>
      </c>
      <c r="AB235" s="73">
        <f>+IF(AND(AA235=0,AA234&gt;0,(AB$222-AA$222)&gt;0),AB$222-AA$222,AA235)</f>
        <v/>
      </c>
      <c r="AC235" s="73">
        <f>+IF(AND(AB235=0,AB234&gt;0,(AC$222-AB$222)&gt;0),AC$222-AB$222,AB235)</f>
        <v/>
      </c>
      <c r="AD235" s="1071">
        <f>+IF(AND(AC235=0,AC234&gt;0,(AD$222-AC$222)&gt;0),AD$222-AC$222,AC235)</f>
        <v/>
      </c>
      <c r="AE235" s="73">
        <f>+IF(AND(AD235=0,AD234&gt;0,(AE$222-AD$222)&gt;0),AE$222-AD$222,AD235)</f>
        <v/>
      </c>
      <c r="AF235" s="73">
        <f>+IF(AND(AE235=0,AE234&gt;0,(AF$222-AE$222)&gt;0),AF$222-AE$222,AE235)</f>
        <v/>
      </c>
      <c r="AG235" s="73">
        <f>+IF(AND(AF235=0,AF234&gt;0,(AG$222-AF$222)&gt;0),AG$222-AF$222,AF235)</f>
        <v/>
      </c>
      <c r="AH235" s="73">
        <f>+IF(AND(AG235=0,AG234&gt;0,(AH$222-AG$222)&gt;0),AH$222-AG$222,AG235)</f>
        <v/>
      </c>
      <c r="AI235" s="73">
        <f>+IF(AND(AH235=0,AH234&gt;0,(AI$222-AH$222)&gt;0),AI$222-AH$222,AH235)</f>
        <v/>
      </c>
      <c r="AJ235" s="1071">
        <f>+IF(AND(AI235=0,AI234&gt;0,(AJ$222-AI$222)&gt;0),AJ$222-AI$222,AI235)</f>
        <v/>
      </c>
      <c r="AK235" s="73">
        <f>+IF(AND(AJ235=0,AJ234&gt;0,(AK$222-AJ$222)&gt;0),AK$222-AJ$222,AJ235)</f>
        <v/>
      </c>
      <c r="AL235" s="73">
        <f>+IF(AND(AK235=0,AK234&gt;0,(AL$222-AK$222)&gt;0),AL$222-AK$222,AK235)</f>
        <v/>
      </c>
      <c r="AM235" s="73">
        <f>+IF(AND(AL235=0,AL234&gt;0,(AM$222-AL$222)&gt;0),AM$222-AL$222,AL235)</f>
        <v/>
      </c>
      <c r="AN235" s="73">
        <f>+IF(AND(AM235=0,AM234&gt;0,(AN$222-AM$222)&gt;0),AN$222-AM$222,AM235)</f>
        <v/>
      </c>
      <c r="AO235" s="73">
        <f>+IF(AND(AN235=0,AN234&gt;0,(AO$222-AN$222)&gt;0),AO$222-AN$222,AN235)</f>
        <v/>
      </c>
      <c r="AP235" s="1071">
        <f>+IF(AND(AO235=0,AO234&gt;0,(AP$222-AO$222)&gt;0),AP$222-AO$222,AO235)</f>
        <v/>
      </c>
      <c r="AQ235" s="73">
        <f>+IF(AND(AP235=0,AP234&gt;0,(AQ$222-AP$222)&gt;0),AQ$222-AP$222,AP235)</f>
        <v/>
      </c>
      <c r="AR235" s="73">
        <f>+IF(AND(AQ235=0,AQ234&gt;0,(AR$222-AQ$222)&gt;0),AR$222-AQ$222,AQ235)</f>
        <v/>
      </c>
      <c r="AS235" s="73">
        <f>+IF(AND(AR235=0,AR234&gt;0,(AS$222-AR$222)&gt;0),AS$222-AR$222,AR235)</f>
        <v/>
      </c>
      <c r="AT235" s="73">
        <f>+IF(AND(AS235=0,AS234&gt;0,(AT$222-AS$222)&gt;0),AT$222-AS$222,AS235)</f>
        <v/>
      </c>
      <c r="AU235" s="73">
        <f>+IF(AND(AT235=0,AT234&gt;0,(AU$222-AT$222)&gt;0),AU$222-AT$222,AT235)</f>
        <v/>
      </c>
      <c r="AV235" s="1071">
        <f>+IF(AND(AU235=0,AU234&gt;0,(AV$222-AU$222)&gt;0),AV$222-AU$222,AU235)</f>
        <v/>
      </c>
      <c r="AW235" s="73">
        <f>+IF(AND(AV235=0,AV234&gt;0,(AW$222-AV$222)&gt;0),AW$222-AV$222,AV235)</f>
        <v/>
      </c>
      <c r="AX235" s="73">
        <f>+IF(AND(AW235=0,AW234&gt;0,(AX$222-AW$222)&gt;0),AX$222-AW$222,AW235)</f>
        <v/>
      </c>
      <c r="AY235" s="73">
        <f>+IF(AND(AX235=0,AX234&gt;0,(AY$222-AX$222)&gt;0),AY$222-AX$222,AX235)</f>
        <v/>
      </c>
      <c r="AZ235" s="73">
        <f>+IF(AND(AY235=0,AY234&gt;0,(AZ$222-AY$222)&gt;0),AZ$222-AY$222,AY235)</f>
        <v/>
      </c>
      <c r="BA235" s="73">
        <f>+IF(AND(AZ235=0,AZ234&gt;0,(BA$222-AZ$222)&gt;0),BA$222-AZ$222,AZ235)</f>
        <v/>
      </c>
      <c r="BB235" s="1071">
        <f>+IF(AND(BA235=0,BA234&gt;0,(BB$222-BA$222)&gt;0),BB$222-BA$222,BA235)</f>
        <v/>
      </c>
      <c r="BC235" s="73">
        <f>+IF(AND(BB235=0,BB234&gt;0,(BC$222-BB$222)&gt;0),BC$222-BB$222,BB235)</f>
        <v/>
      </c>
      <c r="BD235" s="73">
        <f>+IF(AND(BC235=0,BC234&gt;0,(BD$222-BC$222)&gt;0),BD$222-BC$222,BC235)</f>
        <v/>
      </c>
      <c r="BE235" s="73">
        <f>+IF(AND(BD235=0,BD234&gt;0,(BE$222-BD$222)&gt;0),BE$222-BD$222,BD235)</f>
        <v/>
      </c>
      <c r="BF235" s="73">
        <f>+IF(AND(BE235=0,BE234&gt;0,(BF$222-BE$222)&gt;0),BF$222-BE$222,BE235)</f>
        <v/>
      </c>
      <c r="BG235" s="73">
        <f>+IF(AND(BF235=0,BF234&gt;0,(BG$222-BF$222)&gt;0),BG$222-BF$222,BF235)</f>
        <v/>
      </c>
      <c r="BH235" s="1071">
        <f>+IF(AND(BG235=0,BG234&gt;0,(BH$222-BG$222)&gt;0),BH$222-BG$222,BG235)</f>
        <v/>
      </c>
      <c r="BI235" s="73">
        <f>+IF(AND(BH235=0,BH234&gt;0,(BI$222-BH$222)&gt;0),BI$222-BH$222,BH235)</f>
        <v/>
      </c>
      <c r="BJ235" s="73">
        <f>+IF(AND(BI235=0,BI234&gt;0,(BJ$222-BI$222)&gt;0),BJ$222-BI$222,BI235)</f>
        <v/>
      </c>
      <c r="BK235" s="73">
        <f>+IF(AND(BJ235=0,BJ234&gt;0,(BK$222-BJ$222)&gt;0),BK$222-BJ$222,BJ235)</f>
        <v/>
      </c>
      <c r="BL235" s="73">
        <f>+IF(AND(BK235=0,BK234&gt;0,(BL$222-BK$222)&gt;0),BL$222-BK$222,BK235)</f>
        <v/>
      </c>
      <c r="BM235" s="73">
        <f>+IF(AND(BL235=0,BL234&gt;0,(BM$222-BL$222)&gt;0),BM$222-BL$222,BL235)</f>
        <v/>
      </c>
      <c r="BN235" s="1071">
        <f>+IF(AND(BM235=0,BM234&gt;0,(BN$222-BM$222)&gt;0),BN$222-BM$222,BM235)</f>
        <v/>
      </c>
    </row>
    <row r="236" ht="12.75" customHeight="1" s="1883">
      <c r="C236" s="1155" t="inlineStr">
        <is>
          <t>Addition 13</t>
        </is>
      </c>
      <c r="D236" s="670" t="n"/>
      <c r="E236" s="671" t="n"/>
      <c r="F236" s="74" t="n"/>
      <c r="G236" s="73">
        <f>+IF(AND(F236=0,F235&gt;0,(G$222-F$222)&gt;0),G$222-F$222,F236)</f>
        <v/>
      </c>
      <c r="H236" s="73">
        <f>+IF(AND(G236=0,G235&gt;0,(H$222-G$222)&gt;0),H$222-G$222,G236)</f>
        <v/>
      </c>
      <c r="I236" s="73">
        <f>+IF(AND(H236=0,H235&gt;0,(I$222-H$222)&gt;0),I$222-H$222,H236)</f>
        <v/>
      </c>
      <c r="J236" s="73">
        <f>+IF(AND(I236=0,I235&gt;0,(J$222-I$222)&gt;0),J$222-I$222,I236)</f>
        <v/>
      </c>
      <c r="K236" s="73">
        <f>+IF(AND(J236=0,J235&gt;0,(K$222-J$222)&gt;0),K$222-J$222,J236)</f>
        <v/>
      </c>
      <c r="L236" s="1071">
        <f>+IF(AND(K236=0,K235&gt;0,(L$222-K$222)&gt;0),L$222-K$222,K236)</f>
        <v/>
      </c>
      <c r="M236" s="73">
        <f>+IF(AND(L236=0,L235&gt;0,(M$222-L$222)&gt;0),M$222-L$222,L236)</f>
        <v/>
      </c>
      <c r="N236" s="73">
        <f>+IF(AND(M236=0,M235&gt;0,(N$222-M$222)&gt;0),N$222-M$222,M236)</f>
        <v/>
      </c>
      <c r="O236" s="73">
        <f>+IF(AND(N236=0,N235&gt;0,(O$222-N$222)&gt;0),O$222-N$222,N236)</f>
        <v/>
      </c>
      <c r="P236" s="73">
        <f>+IF(AND(O236=0,O235&gt;0,(P$222-O$222)&gt;0),P$222-O$222,O236)</f>
        <v/>
      </c>
      <c r="Q236" s="73">
        <f>+IF(AND(P236=0,P235&gt;0,(Q$222-P$222)&gt;0),Q$222-P$222,P236)</f>
        <v/>
      </c>
      <c r="R236" s="1071">
        <f>+IF(AND(Q236=0,Q235&gt;0,(R$222-Q$222)&gt;0),R$222-Q$222,Q236)</f>
        <v/>
      </c>
      <c r="S236" s="73">
        <f>+IF(AND(R236=0,R235&gt;0,(S$222-R$222)&gt;0),S$222-R$222,R236)</f>
        <v/>
      </c>
      <c r="T236" s="73">
        <f>+IF(AND(S236=0,S235&gt;0,(T$222-S$222)&gt;0),T$222-S$222,S236)</f>
        <v/>
      </c>
      <c r="U236" s="73">
        <f>+IF(AND(T236=0,T235&gt;0,(U$222-T$222)&gt;0),U$222-T$222,T236)</f>
        <v/>
      </c>
      <c r="V236" s="73">
        <f>+IF(AND(U236=0,U235&gt;0,(V$222-U$222)&gt;0),V$222-U$222,U236)</f>
        <v/>
      </c>
      <c r="W236" s="73">
        <f>+IF(AND(V236=0,V235&gt;0,(W$222-V$222)&gt;0),W$222-V$222,V236)</f>
        <v/>
      </c>
      <c r="X236" s="1071">
        <f>+IF(AND(W236=0,W235&gt;0,(X$222-W$222)&gt;0),X$222-W$222,W236)</f>
        <v/>
      </c>
      <c r="Y236" s="73">
        <f>+IF(AND(X236=0,X235&gt;0,(Y$222-X$222)&gt;0),Y$222-X$222,X236)</f>
        <v/>
      </c>
      <c r="Z236" s="73">
        <f>+IF(AND(Y236=0,Y235&gt;0,(Z$222-Y$222)&gt;0),Z$222-Y$222,Y236)</f>
        <v/>
      </c>
      <c r="AA236" s="73">
        <f>+IF(AND(Z236=0,Z235&gt;0,(AA$222-Z$222)&gt;0),AA$222-Z$222,Z236)</f>
        <v/>
      </c>
      <c r="AB236" s="73">
        <f>+IF(AND(AA236=0,AA235&gt;0,(AB$222-AA$222)&gt;0),AB$222-AA$222,AA236)</f>
        <v/>
      </c>
      <c r="AC236" s="73">
        <f>+IF(AND(AB236=0,AB235&gt;0,(AC$222-AB$222)&gt;0),AC$222-AB$222,AB236)</f>
        <v/>
      </c>
      <c r="AD236" s="1071">
        <f>+IF(AND(AC236=0,AC235&gt;0,(AD$222-AC$222)&gt;0),AD$222-AC$222,AC236)</f>
        <v/>
      </c>
      <c r="AE236" s="73">
        <f>+IF(AND(AD236=0,AD235&gt;0,(AE$222-AD$222)&gt;0),AE$222-AD$222,AD236)</f>
        <v/>
      </c>
      <c r="AF236" s="73">
        <f>+IF(AND(AE236=0,AE235&gt;0,(AF$222-AE$222)&gt;0),AF$222-AE$222,AE236)</f>
        <v/>
      </c>
      <c r="AG236" s="73">
        <f>+IF(AND(AF236=0,AF235&gt;0,(AG$222-AF$222)&gt;0),AG$222-AF$222,AF236)</f>
        <v/>
      </c>
      <c r="AH236" s="73">
        <f>+IF(AND(AG236=0,AG235&gt;0,(AH$222-AG$222)&gt;0),AH$222-AG$222,AG236)</f>
        <v/>
      </c>
      <c r="AI236" s="73">
        <f>+IF(AND(AH236=0,AH235&gt;0,(AI$222-AH$222)&gt;0),AI$222-AH$222,AH236)</f>
        <v/>
      </c>
      <c r="AJ236" s="1071">
        <f>+IF(AND(AI236=0,AI235&gt;0,(AJ$222-AI$222)&gt;0),AJ$222-AI$222,AI236)</f>
        <v/>
      </c>
      <c r="AK236" s="73">
        <f>+IF(AND(AJ236=0,AJ235&gt;0,(AK$222-AJ$222)&gt;0),AK$222-AJ$222,AJ236)</f>
        <v/>
      </c>
      <c r="AL236" s="73">
        <f>+IF(AND(AK236=0,AK235&gt;0,(AL$222-AK$222)&gt;0),AL$222-AK$222,AK236)</f>
        <v/>
      </c>
      <c r="AM236" s="73">
        <f>+IF(AND(AL236=0,AL235&gt;0,(AM$222-AL$222)&gt;0),AM$222-AL$222,AL236)</f>
        <v/>
      </c>
      <c r="AN236" s="73">
        <f>+IF(AND(AM236=0,AM235&gt;0,(AN$222-AM$222)&gt;0),AN$222-AM$222,AM236)</f>
        <v/>
      </c>
      <c r="AO236" s="73">
        <f>+IF(AND(AN236=0,AN235&gt;0,(AO$222-AN$222)&gt;0),AO$222-AN$222,AN236)</f>
        <v/>
      </c>
      <c r="AP236" s="1071">
        <f>+IF(AND(AO236=0,AO235&gt;0,(AP$222-AO$222)&gt;0),AP$222-AO$222,AO236)</f>
        <v/>
      </c>
      <c r="AQ236" s="73">
        <f>+IF(AND(AP236=0,AP235&gt;0,(AQ$222-AP$222)&gt;0),AQ$222-AP$222,AP236)</f>
        <v/>
      </c>
      <c r="AR236" s="73">
        <f>+IF(AND(AQ236=0,AQ235&gt;0,(AR$222-AQ$222)&gt;0),AR$222-AQ$222,AQ236)</f>
        <v/>
      </c>
      <c r="AS236" s="73">
        <f>+IF(AND(AR236=0,AR235&gt;0,(AS$222-AR$222)&gt;0),AS$222-AR$222,AR236)</f>
        <v/>
      </c>
      <c r="AT236" s="73">
        <f>+IF(AND(AS236=0,AS235&gt;0,(AT$222-AS$222)&gt;0),AT$222-AS$222,AS236)</f>
        <v/>
      </c>
      <c r="AU236" s="73">
        <f>+IF(AND(AT236=0,AT235&gt;0,(AU$222-AT$222)&gt;0),AU$222-AT$222,AT236)</f>
        <v/>
      </c>
      <c r="AV236" s="1071">
        <f>+IF(AND(AU236=0,AU235&gt;0,(AV$222-AU$222)&gt;0),AV$222-AU$222,AU236)</f>
        <v/>
      </c>
      <c r="AW236" s="73">
        <f>+IF(AND(AV236=0,AV235&gt;0,(AW$222-AV$222)&gt;0),AW$222-AV$222,AV236)</f>
        <v/>
      </c>
      <c r="AX236" s="73">
        <f>+IF(AND(AW236=0,AW235&gt;0,(AX$222-AW$222)&gt;0),AX$222-AW$222,AW236)</f>
        <v/>
      </c>
      <c r="AY236" s="73">
        <f>+IF(AND(AX236=0,AX235&gt;0,(AY$222-AX$222)&gt;0),AY$222-AX$222,AX236)</f>
        <v/>
      </c>
      <c r="AZ236" s="73">
        <f>+IF(AND(AY236=0,AY235&gt;0,(AZ$222-AY$222)&gt;0),AZ$222-AY$222,AY236)</f>
        <v/>
      </c>
      <c r="BA236" s="73">
        <f>+IF(AND(AZ236=0,AZ235&gt;0,(BA$222-AZ$222)&gt;0),BA$222-AZ$222,AZ236)</f>
        <v/>
      </c>
      <c r="BB236" s="1071">
        <f>+IF(AND(BA236=0,BA235&gt;0,(BB$222-BA$222)&gt;0),BB$222-BA$222,BA236)</f>
        <v/>
      </c>
      <c r="BC236" s="73">
        <f>+IF(AND(BB236=0,BB235&gt;0,(BC$222-BB$222)&gt;0),BC$222-BB$222,BB236)</f>
        <v/>
      </c>
      <c r="BD236" s="73">
        <f>+IF(AND(BC236=0,BC235&gt;0,(BD$222-BC$222)&gt;0),BD$222-BC$222,BC236)</f>
        <v/>
      </c>
      <c r="BE236" s="73">
        <f>+IF(AND(BD236=0,BD235&gt;0,(BE$222-BD$222)&gt;0),BE$222-BD$222,BD236)</f>
        <v/>
      </c>
      <c r="BF236" s="73">
        <f>+IF(AND(BE236=0,BE235&gt;0,(BF$222-BE$222)&gt;0),BF$222-BE$222,BE236)</f>
        <v/>
      </c>
      <c r="BG236" s="73">
        <f>+IF(AND(BF236=0,BF235&gt;0,(BG$222-BF$222)&gt;0),BG$222-BF$222,BF236)</f>
        <v/>
      </c>
      <c r="BH236" s="1071">
        <f>+IF(AND(BG236=0,BG235&gt;0,(BH$222-BG$222)&gt;0),BH$222-BG$222,BG236)</f>
        <v/>
      </c>
      <c r="BI236" s="73">
        <f>+IF(AND(BH236=0,BH235&gt;0,(BI$222-BH$222)&gt;0),BI$222-BH$222,BH236)</f>
        <v/>
      </c>
      <c r="BJ236" s="73">
        <f>+IF(AND(BI236=0,BI235&gt;0,(BJ$222-BI$222)&gt;0),BJ$222-BI$222,BI236)</f>
        <v/>
      </c>
      <c r="BK236" s="73">
        <f>+IF(AND(BJ236=0,BJ235&gt;0,(BK$222-BJ$222)&gt;0),BK$222-BJ$222,BJ236)</f>
        <v/>
      </c>
      <c r="BL236" s="73">
        <f>+IF(AND(BK236=0,BK235&gt;0,(BL$222-BK$222)&gt;0),BL$222-BK$222,BK236)</f>
        <v/>
      </c>
      <c r="BM236" s="73">
        <f>+IF(AND(BL236=0,BL235&gt;0,(BM$222-BL$222)&gt;0),BM$222-BL$222,BL236)</f>
        <v/>
      </c>
      <c r="BN236" s="1071">
        <f>+IF(AND(BM236=0,BM235&gt;0,(BN$222-BM$222)&gt;0),BN$222-BM$222,BM236)</f>
        <v/>
      </c>
    </row>
    <row r="237" ht="12.75" customHeight="1" s="1883">
      <c r="C237" s="1155" t="inlineStr">
        <is>
          <t>Addition 14</t>
        </is>
      </c>
      <c r="D237" s="670" t="n"/>
      <c r="E237" s="671" t="n"/>
      <c r="F237" s="74" t="n"/>
      <c r="G237" s="73">
        <f>+IF(AND(F237=0,F236&gt;0,(G$222-F$222)&gt;0),G$222-F$222,F237)</f>
        <v/>
      </c>
      <c r="H237" s="73">
        <f>+IF(AND(G237=0,G236&gt;0,(H$222-G$222)&gt;0),H$222-G$222,G237)</f>
        <v/>
      </c>
      <c r="I237" s="73">
        <f>+IF(AND(H237=0,H236&gt;0,(I$222-H$222)&gt;0),I$222-H$222,H237)</f>
        <v/>
      </c>
      <c r="J237" s="73">
        <f>+IF(AND(I237=0,I236&gt;0,(J$222-I$222)&gt;0),J$222-I$222,I237)</f>
        <v/>
      </c>
      <c r="K237" s="73">
        <f>+IF(AND(J237=0,J236&gt;0,(K$222-J$222)&gt;0),K$222-J$222,J237)</f>
        <v/>
      </c>
      <c r="L237" s="1071">
        <f>+IF(AND(K237=0,K236&gt;0,(L$222-K$222)&gt;0),L$222-K$222,K237)</f>
        <v/>
      </c>
      <c r="M237" s="73">
        <f>+IF(AND(L237=0,L236&gt;0,(M$222-L$222)&gt;0),M$222-L$222,L237)</f>
        <v/>
      </c>
      <c r="N237" s="73">
        <f>+IF(AND(M237=0,M236&gt;0,(N$222-M$222)&gt;0),N$222-M$222,M237)</f>
        <v/>
      </c>
      <c r="O237" s="73">
        <f>+IF(AND(N237=0,N236&gt;0,(O$222-N$222)&gt;0),O$222-N$222,N237)</f>
        <v/>
      </c>
      <c r="P237" s="73">
        <f>+IF(AND(O237=0,O236&gt;0,(P$222-O$222)&gt;0),P$222-O$222,O237)</f>
        <v/>
      </c>
      <c r="Q237" s="73">
        <f>+IF(AND(P237=0,P236&gt;0,(Q$222-P$222)&gt;0),Q$222-P$222,P237)</f>
        <v/>
      </c>
      <c r="R237" s="1071">
        <f>+IF(AND(Q237=0,Q236&gt;0,(R$222-Q$222)&gt;0),R$222-Q$222,Q237)</f>
        <v/>
      </c>
      <c r="S237" s="73">
        <f>+IF(AND(R237=0,R236&gt;0,(S$222-R$222)&gt;0),S$222-R$222,R237)</f>
        <v/>
      </c>
      <c r="T237" s="73">
        <f>+IF(AND(S237=0,S236&gt;0,(T$222-S$222)&gt;0),T$222-S$222,S237)</f>
        <v/>
      </c>
      <c r="U237" s="73">
        <f>+IF(AND(T237=0,T236&gt;0,(U$222-T$222)&gt;0),U$222-T$222,T237)</f>
        <v/>
      </c>
      <c r="V237" s="73">
        <f>+IF(AND(U237=0,U236&gt;0,(V$222-U$222)&gt;0),V$222-U$222,U237)</f>
        <v/>
      </c>
      <c r="W237" s="73">
        <f>+IF(AND(V237=0,V236&gt;0,(W$222-V$222)&gt;0),W$222-V$222,V237)</f>
        <v/>
      </c>
      <c r="X237" s="1071">
        <f>+IF(AND(W237=0,W236&gt;0,(X$222-W$222)&gt;0),X$222-W$222,W237)</f>
        <v/>
      </c>
      <c r="Y237" s="73">
        <f>+IF(AND(X237=0,X236&gt;0,(Y$222-X$222)&gt;0),Y$222-X$222,X237)</f>
        <v/>
      </c>
      <c r="Z237" s="73">
        <f>+IF(AND(Y237=0,Y236&gt;0,(Z$222-Y$222)&gt;0),Z$222-Y$222,Y237)</f>
        <v/>
      </c>
      <c r="AA237" s="73">
        <f>+IF(AND(Z237=0,Z236&gt;0,(AA$222-Z$222)&gt;0),AA$222-Z$222,Z237)</f>
        <v/>
      </c>
      <c r="AB237" s="73">
        <f>+IF(AND(AA237=0,AA236&gt;0,(AB$222-AA$222)&gt;0),AB$222-AA$222,AA237)</f>
        <v/>
      </c>
      <c r="AC237" s="73">
        <f>+IF(AND(AB237=0,AB236&gt;0,(AC$222-AB$222)&gt;0),AC$222-AB$222,AB237)</f>
        <v/>
      </c>
      <c r="AD237" s="1071">
        <f>+IF(AND(AC237=0,AC236&gt;0,(AD$222-AC$222)&gt;0),AD$222-AC$222,AC237)</f>
        <v/>
      </c>
      <c r="AE237" s="73">
        <f>+IF(AND(AD237=0,AD236&gt;0,(AE$222-AD$222)&gt;0),AE$222-AD$222,AD237)</f>
        <v/>
      </c>
      <c r="AF237" s="73">
        <f>+IF(AND(AE237=0,AE236&gt;0,(AF$222-AE$222)&gt;0),AF$222-AE$222,AE237)</f>
        <v/>
      </c>
      <c r="AG237" s="73">
        <f>+IF(AND(AF237=0,AF236&gt;0,(AG$222-AF$222)&gt;0),AG$222-AF$222,AF237)</f>
        <v/>
      </c>
      <c r="AH237" s="73">
        <f>+IF(AND(AG237=0,AG236&gt;0,(AH$222-AG$222)&gt;0),AH$222-AG$222,AG237)</f>
        <v/>
      </c>
      <c r="AI237" s="73">
        <f>+IF(AND(AH237=0,AH236&gt;0,(AI$222-AH$222)&gt;0),AI$222-AH$222,AH237)</f>
        <v/>
      </c>
      <c r="AJ237" s="1071">
        <f>+IF(AND(AI237=0,AI236&gt;0,(AJ$222-AI$222)&gt;0),AJ$222-AI$222,AI237)</f>
        <v/>
      </c>
      <c r="AK237" s="73">
        <f>+IF(AND(AJ237=0,AJ236&gt;0,(AK$222-AJ$222)&gt;0),AK$222-AJ$222,AJ237)</f>
        <v/>
      </c>
      <c r="AL237" s="73">
        <f>+IF(AND(AK237=0,AK236&gt;0,(AL$222-AK$222)&gt;0),AL$222-AK$222,AK237)</f>
        <v/>
      </c>
      <c r="AM237" s="73">
        <f>+IF(AND(AL237=0,AL236&gt;0,(AM$222-AL$222)&gt;0),AM$222-AL$222,AL237)</f>
        <v/>
      </c>
      <c r="AN237" s="73">
        <f>+IF(AND(AM237=0,AM236&gt;0,(AN$222-AM$222)&gt;0),AN$222-AM$222,AM237)</f>
        <v/>
      </c>
      <c r="AO237" s="73">
        <f>+IF(AND(AN237=0,AN236&gt;0,(AO$222-AN$222)&gt;0),AO$222-AN$222,AN237)</f>
        <v/>
      </c>
      <c r="AP237" s="1071">
        <f>+IF(AND(AO237=0,AO236&gt;0,(AP$222-AO$222)&gt;0),AP$222-AO$222,AO237)</f>
        <v/>
      </c>
      <c r="AQ237" s="73">
        <f>+IF(AND(AP237=0,AP236&gt;0,(AQ$222-AP$222)&gt;0),AQ$222-AP$222,AP237)</f>
        <v/>
      </c>
      <c r="AR237" s="73">
        <f>+IF(AND(AQ237=0,AQ236&gt;0,(AR$222-AQ$222)&gt;0),AR$222-AQ$222,AQ237)</f>
        <v/>
      </c>
      <c r="AS237" s="73">
        <f>+IF(AND(AR237=0,AR236&gt;0,(AS$222-AR$222)&gt;0),AS$222-AR$222,AR237)</f>
        <v/>
      </c>
      <c r="AT237" s="73">
        <f>+IF(AND(AS237=0,AS236&gt;0,(AT$222-AS$222)&gt;0),AT$222-AS$222,AS237)</f>
        <v/>
      </c>
      <c r="AU237" s="73">
        <f>+IF(AND(AT237=0,AT236&gt;0,(AU$222-AT$222)&gt;0),AU$222-AT$222,AT237)</f>
        <v/>
      </c>
      <c r="AV237" s="1071">
        <f>+IF(AND(AU237=0,AU236&gt;0,(AV$222-AU$222)&gt;0),AV$222-AU$222,AU237)</f>
        <v/>
      </c>
      <c r="AW237" s="73">
        <f>+IF(AND(AV237=0,AV236&gt;0,(AW$222-AV$222)&gt;0),AW$222-AV$222,AV237)</f>
        <v/>
      </c>
      <c r="AX237" s="73">
        <f>+IF(AND(AW237=0,AW236&gt;0,(AX$222-AW$222)&gt;0),AX$222-AW$222,AW237)</f>
        <v/>
      </c>
      <c r="AY237" s="73">
        <f>+IF(AND(AX237=0,AX236&gt;0,(AY$222-AX$222)&gt;0),AY$222-AX$222,AX237)</f>
        <v/>
      </c>
      <c r="AZ237" s="73">
        <f>+IF(AND(AY237=0,AY236&gt;0,(AZ$222-AY$222)&gt;0),AZ$222-AY$222,AY237)</f>
        <v/>
      </c>
      <c r="BA237" s="73">
        <f>+IF(AND(AZ237=0,AZ236&gt;0,(BA$222-AZ$222)&gt;0),BA$222-AZ$222,AZ237)</f>
        <v/>
      </c>
      <c r="BB237" s="1071">
        <f>+IF(AND(BA237=0,BA236&gt;0,(BB$222-BA$222)&gt;0),BB$222-BA$222,BA237)</f>
        <v/>
      </c>
      <c r="BC237" s="73">
        <f>+IF(AND(BB237=0,BB236&gt;0,(BC$222-BB$222)&gt;0),BC$222-BB$222,BB237)</f>
        <v/>
      </c>
      <c r="BD237" s="73">
        <f>+IF(AND(BC237=0,BC236&gt;0,(BD$222-BC$222)&gt;0),BD$222-BC$222,BC237)</f>
        <v/>
      </c>
      <c r="BE237" s="73">
        <f>+IF(AND(BD237=0,BD236&gt;0,(BE$222-BD$222)&gt;0),BE$222-BD$222,BD237)</f>
        <v/>
      </c>
      <c r="BF237" s="73">
        <f>+IF(AND(BE237=0,BE236&gt;0,(BF$222-BE$222)&gt;0),BF$222-BE$222,BE237)</f>
        <v/>
      </c>
      <c r="BG237" s="73">
        <f>+IF(AND(BF237=0,BF236&gt;0,(BG$222-BF$222)&gt;0),BG$222-BF$222,BF237)</f>
        <v/>
      </c>
      <c r="BH237" s="1071">
        <f>+IF(AND(BG237=0,BG236&gt;0,(BH$222-BG$222)&gt;0),BH$222-BG$222,BG237)</f>
        <v/>
      </c>
      <c r="BI237" s="73">
        <f>+IF(AND(BH237=0,BH236&gt;0,(BI$222-BH$222)&gt;0),BI$222-BH$222,BH237)</f>
        <v/>
      </c>
      <c r="BJ237" s="73">
        <f>+IF(AND(BI237=0,BI236&gt;0,(BJ$222-BI$222)&gt;0),BJ$222-BI$222,BI237)</f>
        <v/>
      </c>
      <c r="BK237" s="73">
        <f>+IF(AND(BJ237=0,BJ236&gt;0,(BK$222-BJ$222)&gt;0),BK$222-BJ$222,BJ237)</f>
        <v/>
      </c>
      <c r="BL237" s="73">
        <f>+IF(AND(BK237=0,BK236&gt;0,(BL$222-BK$222)&gt;0),BL$222-BK$222,BK237)</f>
        <v/>
      </c>
      <c r="BM237" s="73">
        <f>+IF(AND(BL237=0,BL236&gt;0,(BM$222-BL$222)&gt;0),BM$222-BL$222,BL237)</f>
        <v/>
      </c>
      <c r="BN237" s="1071">
        <f>+IF(AND(BM237=0,BM236&gt;0,(BN$222-BM$222)&gt;0),BN$222-BM$222,BM237)</f>
        <v/>
      </c>
    </row>
    <row r="238" ht="12.75" customHeight="1" s="1883">
      <c r="C238" s="1155" t="inlineStr">
        <is>
          <t>Addition 15</t>
        </is>
      </c>
      <c r="D238" s="670" t="n"/>
      <c r="E238" s="671" t="n"/>
      <c r="F238" s="74" t="n"/>
      <c r="G238" s="73">
        <f>+IF(AND(F238=0,F237&gt;0,(G$222-F$222)&gt;0),G$222-F$222,F238)</f>
        <v/>
      </c>
      <c r="H238" s="73">
        <f>+IF(AND(G238=0,G237&gt;0,(H$222-G$222)&gt;0),H$222-G$222,G238)</f>
        <v/>
      </c>
      <c r="I238" s="73">
        <f>+IF(AND(H238=0,H237&gt;0,(I$222-H$222)&gt;0),I$222-H$222,H238)</f>
        <v/>
      </c>
      <c r="J238" s="73">
        <f>+IF(AND(I238=0,I237&gt;0,(J$222-I$222)&gt;0),J$222-I$222,I238)</f>
        <v/>
      </c>
      <c r="K238" s="73">
        <f>+IF(AND(J238=0,J237&gt;0,(K$222-J$222)&gt;0),K$222-J$222,J238)</f>
        <v/>
      </c>
      <c r="L238" s="1071">
        <f>+IF(AND(K238=0,K237&gt;0,(L$222-K$222)&gt;0),L$222-K$222,K238)</f>
        <v/>
      </c>
      <c r="M238" s="73">
        <f>+IF(AND(L238=0,L237&gt;0,(M$222-L$222)&gt;0),M$222-L$222,L238)</f>
        <v/>
      </c>
      <c r="N238" s="73">
        <f>+IF(AND(M238=0,M237&gt;0,(N$222-M$222)&gt;0),N$222-M$222,M238)</f>
        <v/>
      </c>
      <c r="O238" s="73">
        <f>+IF(AND(N238=0,N237&gt;0,(O$222-N$222)&gt;0),O$222-N$222,N238)</f>
        <v/>
      </c>
      <c r="P238" s="73">
        <f>+IF(AND(O238=0,O237&gt;0,(P$222-O$222)&gt;0),P$222-O$222,O238)</f>
        <v/>
      </c>
      <c r="Q238" s="73">
        <f>+IF(AND(P238=0,P237&gt;0,(Q$222-P$222)&gt;0),Q$222-P$222,P238)</f>
        <v/>
      </c>
      <c r="R238" s="1071">
        <f>+IF(AND(Q238=0,Q237&gt;0,(R$222-Q$222)&gt;0),R$222-Q$222,Q238)</f>
        <v/>
      </c>
      <c r="S238" s="73">
        <f>+IF(AND(R238=0,R237&gt;0,(S$222-R$222)&gt;0),S$222-R$222,R238)</f>
        <v/>
      </c>
      <c r="T238" s="73">
        <f>+IF(AND(S238=0,S237&gt;0,(T$222-S$222)&gt;0),T$222-S$222,S238)</f>
        <v/>
      </c>
      <c r="U238" s="73">
        <f>+IF(AND(T238=0,T237&gt;0,(U$222-T$222)&gt;0),U$222-T$222,T238)</f>
        <v/>
      </c>
      <c r="V238" s="73">
        <f>+IF(AND(U238=0,U237&gt;0,(V$222-U$222)&gt;0),V$222-U$222,U238)</f>
        <v/>
      </c>
      <c r="W238" s="73">
        <f>+IF(AND(V238=0,V237&gt;0,(W$222-V$222)&gt;0),W$222-V$222,V238)</f>
        <v/>
      </c>
      <c r="X238" s="1071">
        <f>+IF(AND(W238=0,W237&gt;0,(X$222-W$222)&gt;0),X$222-W$222,W238)</f>
        <v/>
      </c>
      <c r="Y238" s="73">
        <f>+IF(AND(X238=0,X237&gt;0,(Y$222-X$222)&gt;0),Y$222-X$222,X238)</f>
        <v/>
      </c>
      <c r="Z238" s="73">
        <f>+IF(AND(Y238=0,Y237&gt;0,(Z$222-Y$222)&gt;0),Z$222-Y$222,Y238)</f>
        <v/>
      </c>
      <c r="AA238" s="73">
        <f>+IF(AND(Z238=0,Z237&gt;0,(AA$222-Z$222)&gt;0),AA$222-Z$222,Z238)</f>
        <v/>
      </c>
      <c r="AB238" s="73">
        <f>+IF(AND(AA238=0,AA237&gt;0,(AB$222-AA$222)&gt;0),AB$222-AA$222,AA238)</f>
        <v/>
      </c>
      <c r="AC238" s="73">
        <f>+IF(AND(AB238=0,AB237&gt;0,(AC$222-AB$222)&gt;0),AC$222-AB$222,AB238)</f>
        <v/>
      </c>
      <c r="AD238" s="1071">
        <f>+IF(AND(AC238=0,AC237&gt;0,(AD$222-AC$222)&gt;0),AD$222-AC$222,AC238)</f>
        <v/>
      </c>
      <c r="AE238" s="73">
        <f>+IF(AND(AD238=0,AD237&gt;0,(AE$222-AD$222)&gt;0),AE$222-AD$222,AD238)</f>
        <v/>
      </c>
      <c r="AF238" s="73">
        <f>+IF(AND(AE238=0,AE237&gt;0,(AF$222-AE$222)&gt;0),AF$222-AE$222,AE238)</f>
        <v/>
      </c>
      <c r="AG238" s="73">
        <f>+IF(AND(AF238=0,AF237&gt;0,(AG$222-AF$222)&gt;0),AG$222-AF$222,AF238)</f>
        <v/>
      </c>
      <c r="AH238" s="73">
        <f>+IF(AND(AG238=0,AG237&gt;0,(AH$222-AG$222)&gt;0),AH$222-AG$222,AG238)</f>
        <v/>
      </c>
      <c r="AI238" s="73">
        <f>+IF(AND(AH238=0,AH237&gt;0,(AI$222-AH$222)&gt;0),AI$222-AH$222,AH238)</f>
        <v/>
      </c>
      <c r="AJ238" s="1071">
        <f>+IF(AND(AI238=0,AI237&gt;0,(AJ$222-AI$222)&gt;0),AJ$222-AI$222,AI238)</f>
        <v/>
      </c>
      <c r="AK238" s="73">
        <f>+IF(AND(AJ238=0,AJ237&gt;0,(AK$222-AJ$222)&gt;0),AK$222-AJ$222,AJ238)</f>
        <v/>
      </c>
      <c r="AL238" s="73">
        <f>+IF(AND(AK238=0,AK237&gt;0,(AL$222-AK$222)&gt;0),AL$222-AK$222,AK238)</f>
        <v/>
      </c>
      <c r="AM238" s="73">
        <f>+IF(AND(AL238=0,AL237&gt;0,(AM$222-AL$222)&gt;0),AM$222-AL$222,AL238)</f>
        <v/>
      </c>
      <c r="AN238" s="73">
        <f>+IF(AND(AM238=0,AM237&gt;0,(AN$222-AM$222)&gt;0),AN$222-AM$222,AM238)</f>
        <v/>
      </c>
      <c r="AO238" s="73">
        <f>+IF(AND(AN238=0,AN237&gt;0,(AO$222-AN$222)&gt;0),AO$222-AN$222,AN238)</f>
        <v/>
      </c>
      <c r="AP238" s="1071">
        <f>+IF(AND(AO238=0,AO237&gt;0,(AP$222-AO$222)&gt;0),AP$222-AO$222,AO238)</f>
        <v/>
      </c>
      <c r="AQ238" s="73">
        <f>+IF(AND(AP238=0,AP237&gt;0,(AQ$222-AP$222)&gt;0),AQ$222-AP$222,AP238)</f>
        <v/>
      </c>
      <c r="AR238" s="73">
        <f>+IF(AND(AQ238=0,AQ237&gt;0,(AR$222-AQ$222)&gt;0),AR$222-AQ$222,AQ238)</f>
        <v/>
      </c>
      <c r="AS238" s="73">
        <f>+IF(AND(AR238=0,AR237&gt;0,(AS$222-AR$222)&gt;0),AS$222-AR$222,AR238)</f>
        <v/>
      </c>
      <c r="AT238" s="73">
        <f>+IF(AND(AS238=0,AS237&gt;0,(AT$222-AS$222)&gt;0),AT$222-AS$222,AS238)</f>
        <v/>
      </c>
      <c r="AU238" s="73">
        <f>+IF(AND(AT238=0,AT237&gt;0,(AU$222-AT$222)&gt;0),AU$222-AT$222,AT238)</f>
        <v/>
      </c>
      <c r="AV238" s="1071">
        <f>+IF(AND(AU238=0,AU237&gt;0,(AV$222-AU$222)&gt;0),AV$222-AU$222,AU238)</f>
        <v/>
      </c>
      <c r="AW238" s="73">
        <f>+IF(AND(AV238=0,AV237&gt;0,(AW$222-AV$222)&gt;0),AW$222-AV$222,AV238)</f>
        <v/>
      </c>
      <c r="AX238" s="73">
        <f>+IF(AND(AW238=0,AW237&gt;0,(AX$222-AW$222)&gt;0),AX$222-AW$222,AW238)</f>
        <v/>
      </c>
      <c r="AY238" s="73">
        <f>+IF(AND(AX238=0,AX237&gt;0,(AY$222-AX$222)&gt;0),AY$222-AX$222,AX238)</f>
        <v/>
      </c>
      <c r="AZ238" s="73">
        <f>+IF(AND(AY238=0,AY237&gt;0,(AZ$222-AY$222)&gt;0),AZ$222-AY$222,AY238)</f>
        <v/>
      </c>
      <c r="BA238" s="73">
        <f>+IF(AND(AZ238=0,AZ237&gt;0,(BA$222-AZ$222)&gt;0),BA$222-AZ$222,AZ238)</f>
        <v/>
      </c>
      <c r="BB238" s="1071">
        <f>+IF(AND(BA238=0,BA237&gt;0,(BB$222-BA$222)&gt;0),BB$222-BA$222,BA238)</f>
        <v/>
      </c>
      <c r="BC238" s="73">
        <f>+IF(AND(BB238=0,BB237&gt;0,(BC$222-BB$222)&gt;0),BC$222-BB$222,BB238)</f>
        <v/>
      </c>
      <c r="BD238" s="73">
        <f>+IF(AND(BC238=0,BC237&gt;0,(BD$222-BC$222)&gt;0),BD$222-BC$222,BC238)</f>
        <v/>
      </c>
      <c r="BE238" s="73">
        <f>+IF(AND(BD238=0,BD237&gt;0,(BE$222-BD$222)&gt;0),BE$222-BD$222,BD238)</f>
        <v/>
      </c>
      <c r="BF238" s="73">
        <f>+IF(AND(BE238=0,BE237&gt;0,(BF$222-BE$222)&gt;0),BF$222-BE$222,BE238)</f>
        <v/>
      </c>
      <c r="BG238" s="73">
        <f>+IF(AND(BF238=0,BF237&gt;0,(BG$222-BF$222)&gt;0),BG$222-BF$222,BF238)</f>
        <v/>
      </c>
      <c r="BH238" s="1071">
        <f>+IF(AND(BG238=0,BG237&gt;0,(BH$222-BG$222)&gt;0),BH$222-BG$222,BG238)</f>
        <v/>
      </c>
      <c r="BI238" s="73">
        <f>+IF(AND(BH238=0,BH237&gt;0,(BI$222-BH$222)&gt;0),BI$222-BH$222,BH238)</f>
        <v/>
      </c>
      <c r="BJ238" s="73">
        <f>+IF(AND(BI238=0,BI237&gt;0,(BJ$222-BI$222)&gt;0),BJ$222-BI$222,BI238)</f>
        <v/>
      </c>
      <c r="BK238" s="73">
        <f>+IF(AND(BJ238=0,BJ237&gt;0,(BK$222-BJ$222)&gt;0),BK$222-BJ$222,BJ238)</f>
        <v/>
      </c>
      <c r="BL238" s="73">
        <f>+IF(AND(BK238=0,BK237&gt;0,(BL$222-BK$222)&gt;0),BL$222-BK$222,BK238)</f>
        <v/>
      </c>
      <c r="BM238" s="73">
        <f>+IF(AND(BL238=0,BL237&gt;0,(BM$222-BL$222)&gt;0),BM$222-BL$222,BL238)</f>
        <v/>
      </c>
      <c r="BN238" s="1071">
        <f>+IF(AND(BM238=0,BM237&gt;0,(BN$222-BM$222)&gt;0),BN$222-BM$222,BM238)</f>
        <v/>
      </c>
    </row>
    <row r="239" ht="12.75" customHeight="1" s="1883">
      <c r="C239" s="1155" t="inlineStr">
        <is>
          <t>Addition 16</t>
        </is>
      </c>
      <c r="D239" s="670" t="n"/>
      <c r="E239" s="671" t="n"/>
      <c r="F239" s="74" t="n"/>
      <c r="G239" s="73">
        <f>+IF(AND(F239=0,F238&gt;0,(G$222-F$222)&gt;0),G$222-F$222,F239)</f>
        <v/>
      </c>
      <c r="H239" s="73">
        <f>+IF(AND(G239=0,G238&gt;0,(H$222-G$222)&gt;0),H$222-G$222,G239)</f>
        <v/>
      </c>
      <c r="I239" s="73">
        <f>+IF(AND(H239=0,H238&gt;0,(I$222-H$222)&gt;0),I$222-H$222,H239)</f>
        <v/>
      </c>
      <c r="J239" s="73">
        <f>+IF(AND(I239=0,I238&gt;0,(J$222-I$222)&gt;0),J$222-I$222,I239)</f>
        <v/>
      </c>
      <c r="K239" s="73">
        <f>+IF(AND(J239=0,J238&gt;0,(K$222-J$222)&gt;0),K$222-J$222,J239)</f>
        <v/>
      </c>
      <c r="L239" s="1071">
        <f>+IF(AND(K239=0,K238&gt;0,(L$222-K$222)&gt;0),L$222-K$222,K239)</f>
        <v/>
      </c>
      <c r="M239" s="73">
        <f>+IF(AND(L239=0,L238&gt;0,(M$222-L$222)&gt;0),M$222-L$222,L239)</f>
        <v/>
      </c>
      <c r="N239" s="73">
        <f>+IF(AND(M239=0,M238&gt;0,(N$222-M$222)&gt;0),N$222-M$222,M239)</f>
        <v/>
      </c>
      <c r="O239" s="73">
        <f>+IF(AND(N239=0,N238&gt;0,(O$222-N$222)&gt;0),O$222-N$222,N239)</f>
        <v/>
      </c>
      <c r="P239" s="73">
        <f>+IF(AND(O239=0,O238&gt;0,(P$222-O$222)&gt;0),P$222-O$222,O239)</f>
        <v/>
      </c>
      <c r="Q239" s="73">
        <f>+IF(AND(P239=0,P238&gt;0,(Q$222-P$222)&gt;0),Q$222-P$222,P239)</f>
        <v/>
      </c>
      <c r="R239" s="1071">
        <f>+IF(AND(Q239=0,Q238&gt;0,(R$222-Q$222)&gt;0),R$222-Q$222,Q239)</f>
        <v/>
      </c>
      <c r="S239" s="73">
        <f>+IF(AND(R239=0,R238&gt;0,(S$222-R$222)&gt;0),S$222-R$222,R239)</f>
        <v/>
      </c>
      <c r="T239" s="73">
        <f>+IF(AND(S239=0,S238&gt;0,(T$222-S$222)&gt;0),T$222-S$222,S239)</f>
        <v/>
      </c>
      <c r="U239" s="73">
        <f>+IF(AND(T239=0,T238&gt;0,(U$222-T$222)&gt;0),U$222-T$222,T239)</f>
        <v/>
      </c>
      <c r="V239" s="73">
        <f>+IF(AND(U239=0,U238&gt;0,(V$222-U$222)&gt;0),V$222-U$222,U239)</f>
        <v/>
      </c>
      <c r="W239" s="73">
        <f>+IF(AND(V239=0,V238&gt;0,(W$222-V$222)&gt;0),W$222-V$222,V239)</f>
        <v/>
      </c>
      <c r="X239" s="1071">
        <f>+IF(AND(W239=0,W238&gt;0,(X$222-W$222)&gt;0),X$222-W$222,W239)</f>
        <v/>
      </c>
      <c r="Y239" s="73">
        <f>+IF(AND(X239=0,X238&gt;0,(Y$222-X$222)&gt;0),Y$222-X$222,X239)</f>
        <v/>
      </c>
      <c r="Z239" s="73">
        <f>+IF(AND(Y239=0,Y238&gt;0,(Z$222-Y$222)&gt;0),Z$222-Y$222,Y239)</f>
        <v/>
      </c>
      <c r="AA239" s="73">
        <f>+IF(AND(Z239=0,Z238&gt;0,(AA$222-Z$222)&gt;0),AA$222-Z$222,Z239)</f>
        <v/>
      </c>
      <c r="AB239" s="73">
        <f>+IF(AND(AA239=0,AA238&gt;0,(AB$222-AA$222)&gt;0),AB$222-AA$222,AA239)</f>
        <v/>
      </c>
      <c r="AC239" s="73">
        <f>+IF(AND(AB239=0,AB238&gt;0,(AC$222-AB$222)&gt;0),AC$222-AB$222,AB239)</f>
        <v/>
      </c>
      <c r="AD239" s="1071">
        <f>+IF(AND(AC239=0,AC238&gt;0,(AD$222-AC$222)&gt;0),AD$222-AC$222,AC239)</f>
        <v/>
      </c>
      <c r="AE239" s="73">
        <f>+IF(AND(AD239=0,AD238&gt;0,(AE$222-AD$222)&gt;0),AE$222-AD$222,AD239)</f>
        <v/>
      </c>
      <c r="AF239" s="73">
        <f>+IF(AND(AE239=0,AE238&gt;0,(AF$222-AE$222)&gt;0),AF$222-AE$222,AE239)</f>
        <v/>
      </c>
      <c r="AG239" s="73">
        <f>+IF(AND(AF239=0,AF238&gt;0,(AG$222-AF$222)&gt;0),AG$222-AF$222,AF239)</f>
        <v/>
      </c>
      <c r="AH239" s="73">
        <f>+IF(AND(AG239=0,AG238&gt;0,(AH$222-AG$222)&gt;0),AH$222-AG$222,AG239)</f>
        <v/>
      </c>
      <c r="AI239" s="73">
        <f>+IF(AND(AH239=0,AH238&gt;0,(AI$222-AH$222)&gt;0),AI$222-AH$222,AH239)</f>
        <v/>
      </c>
      <c r="AJ239" s="1071">
        <f>+IF(AND(AI239=0,AI238&gt;0,(AJ$222-AI$222)&gt;0),AJ$222-AI$222,AI239)</f>
        <v/>
      </c>
      <c r="AK239" s="73">
        <f>+IF(AND(AJ239=0,AJ238&gt;0,(AK$222-AJ$222)&gt;0),AK$222-AJ$222,AJ239)</f>
        <v/>
      </c>
      <c r="AL239" s="73">
        <f>+IF(AND(AK239=0,AK238&gt;0,(AL$222-AK$222)&gt;0),AL$222-AK$222,AK239)</f>
        <v/>
      </c>
      <c r="AM239" s="73">
        <f>+IF(AND(AL239=0,AL238&gt;0,(AM$222-AL$222)&gt;0),AM$222-AL$222,AL239)</f>
        <v/>
      </c>
      <c r="AN239" s="73">
        <f>+IF(AND(AM239=0,AM238&gt;0,(AN$222-AM$222)&gt;0),AN$222-AM$222,AM239)</f>
        <v/>
      </c>
      <c r="AO239" s="73">
        <f>+IF(AND(AN239=0,AN238&gt;0,(AO$222-AN$222)&gt;0),AO$222-AN$222,AN239)</f>
        <v/>
      </c>
      <c r="AP239" s="1071">
        <f>+IF(AND(AO239=0,AO238&gt;0,(AP$222-AO$222)&gt;0),AP$222-AO$222,AO239)</f>
        <v/>
      </c>
      <c r="AQ239" s="73">
        <f>+IF(AND(AP239=0,AP238&gt;0,(AQ$222-AP$222)&gt;0),AQ$222-AP$222,AP239)</f>
        <v/>
      </c>
      <c r="AR239" s="73">
        <f>+IF(AND(AQ239=0,AQ238&gt;0,(AR$222-AQ$222)&gt;0),AR$222-AQ$222,AQ239)</f>
        <v/>
      </c>
      <c r="AS239" s="73">
        <f>+IF(AND(AR239=0,AR238&gt;0,(AS$222-AR$222)&gt;0),AS$222-AR$222,AR239)</f>
        <v/>
      </c>
      <c r="AT239" s="73">
        <f>+IF(AND(AS239=0,AS238&gt;0,(AT$222-AS$222)&gt;0),AT$222-AS$222,AS239)</f>
        <v/>
      </c>
      <c r="AU239" s="73">
        <f>+IF(AND(AT239=0,AT238&gt;0,(AU$222-AT$222)&gt;0),AU$222-AT$222,AT239)</f>
        <v/>
      </c>
      <c r="AV239" s="1071">
        <f>+IF(AND(AU239=0,AU238&gt;0,(AV$222-AU$222)&gt;0),AV$222-AU$222,AU239)</f>
        <v/>
      </c>
      <c r="AW239" s="73">
        <f>+IF(AND(AV239=0,AV238&gt;0,(AW$222-AV$222)&gt;0),AW$222-AV$222,AV239)</f>
        <v/>
      </c>
      <c r="AX239" s="73">
        <f>+IF(AND(AW239=0,AW238&gt;0,(AX$222-AW$222)&gt;0),AX$222-AW$222,AW239)</f>
        <v/>
      </c>
      <c r="AY239" s="73">
        <f>+IF(AND(AX239=0,AX238&gt;0,(AY$222-AX$222)&gt;0),AY$222-AX$222,AX239)</f>
        <v/>
      </c>
      <c r="AZ239" s="73">
        <f>+IF(AND(AY239=0,AY238&gt;0,(AZ$222-AY$222)&gt;0),AZ$222-AY$222,AY239)</f>
        <v/>
      </c>
      <c r="BA239" s="73">
        <f>+IF(AND(AZ239=0,AZ238&gt;0,(BA$222-AZ$222)&gt;0),BA$222-AZ$222,AZ239)</f>
        <v/>
      </c>
      <c r="BB239" s="1071">
        <f>+IF(AND(BA239=0,BA238&gt;0,(BB$222-BA$222)&gt;0),BB$222-BA$222,BA239)</f>
        <v/>
      </c>
      <c r="BC239" s="73">
        <f>+IF(AND(BB239=0,BB238&gt;0,(BC$222-BB$222)&gt;0),BC$222-BB$222,BB239)</f>
        <v/>
      </c>
      <c r="BD239" s="73">
        <f>+IF(AND(BC239=0,BC238&gt;0,(BD$222-BC$222)&gt;0),BD$222-BC$222,BC239)</f>
        <v/>
      </c>
      <c r="BE239" s="73">
        <f>+IF(AND(BD239=0,BD238&gt;0,(BE$222-BD$222)&gt;0),BE$222-BD$222,BD239)</f>
        <v/>
      </c>
      <c r="BF239" s="73">
        <f>+IF(AND(BE239=0,BE238&gt;0,(BF$222-BE$222)&gt;0),BF$222-BE$222,BE239)</f>
        <v/>
      </c>
      <c r="BG239" s="73">
        <f>+IF(AND(BF239=0,BF238&gt;0,(BG$222-BF$222)&gt;0),BG$222-BF$222,BF239)</f>
        <v/>
      </c>
      <c r="BH239" s="1071">
        <f>+IF(AND(BG239=0,BG238&gt;0,(BH$222-BG$222)&gt;0),BH$222-BG$222,BG239)</f>
        <v/>
      </c>
      <c r="BI239" s="73">
        <f>+IF(AND(BH239=0,BH238&gt;0,(BI$222-BH$222)&gt;0),BI$222-BH$222,BH239)</f>
        <v/>
      </c>
      <c r="BJ239" s="73">
        <f>+IF(AND(BI239=0,BI238&gt;0,(BJ$222-BI$222)&gt;0),BJ$222-BI$222,BI239)</f>
        <v/>
      </c>
      <c r="BK239" s="73">
        <f>+IF(AND(BJ239=0,BJ238&gt;0,(BK$222-BJ$222)&gt;0),BK$222-BJ$222,BJ239)</f>
        <v/>
      </c>
      <c r="BL239" s="73">
        <f>+IF(AND(BK239=0,BK238&gt;0,(BL$222-BK$222)&gt;0),BL$222-BK$222,BK239)</f>
        <v/>
      </c>
      <c r="BM239" s="73">
        <f>+IF(AND(BL239=0,BL238&gt;0,(BM$222-BL$222)&gt;0),BM$222-BL$222,BL239)</f>
        <v/>
      </c>
      <c r="BN239" s="1071">
        <f>+IF(AND(BM239=0,BM238&gt;0,(BN$222-BM$222)&gt;0),BN$222-BM$222,BM239)</f>
        <v/>
      </c>
    </row>
    <row r="240" ht="12.75" customHeight="1" s="1883">
      <c r="C240" s="1155" t="inlineStr">
        <is>
          <t>Addition 17</t>
        </is>
      </c>
      <c r="D240" s="670" t="n"/>
      <c r="E240" s="671" t="n"/>
      <c r="F240" s="74" t="n"/>
      <c r="G240" s="73">
        <f>+IF(AND(F240=0,F239&gt;0,(G$222-F$222)&gt;0),G$222-F$222,F240)</f>
        <v/>
      </c>
      <c r="H240" s="73">
        <f>+IF(AND(G240=0,G239&gt;0,(H$222-G$222)&gt;0),H$222-G$222,G240)</f>
        <v/>
      </c>
      <c r="I240" s="73">
        <f>+IF(AND(H240=0,H239&gt;0,(I$222-H$222)&gt;0),I$222-H$222,H240)</f>
        <v/>
      </c>
      <c r="J240" s="73">
        <f>+IF(AND(I240=0,I239&gt;0,(J$222-I$222)&gt;0),J$222-I$222,I240)</f>
        <v/>
      </c>
      <c r="K240" s="73">
        <f>+IF(AND(J240=0,J239&gt;0,(K$222-J$222)&gt;0),K$222-J$222,J240)</f>
        <v/>
      </c>
      <c r="L240" s="1071">
        <f>+IF(AND(K240=0,K239&gt;0,(L$222-K$222)&gt;0),L$222-K$222,K240)</f>
        <v/>
      </c>
      <c r="M240" s="73">
        <f>+IF(AND(L240=0,L239&gt;0,(M$222-L$222)&gt;0),M$222-L$222,L240)</f>
        <v/>
      </c>
      <c r="N240" s="73">
        <f>+IF(AND(M240=0,M239&gt;0,(N$222-M$222)&gt;0),N$222-M$222,M240)</f>
        <v/>
      </c>
      <c r="O240" s="73">
        <f>+IF(AND(N240=0,N239&gt;0,(O$222-N$222)&gt;0),O$222-N$222,N240)</f>
        <v/>
      </c>
      <c r="P240" s="73">
        <f>+IF(AND(O240=0,O239&gt;0,(P$222-O$222)&gt;0),P$222-O$222,O240)</f>
        <v/>
      </c>
      <c r="Q240" s="73">
        <f>+IF(AND(P240=0,P239&gt;0,(Q$222-P$222)&gt;0),Q$222-P$222,P240)</f>
        <v/>
      </c>
      <c r="R240" s="1071">
        <f>+IF(AND(Q240=0,Q239&gt;0,(R$222-Q$222)&gt;0),R$222-Q$222,Q240)</f>
        <v/>
      </c>
      <c r="S240" s="73">
        <f>+IF(AND(R240=0,R239&gt;0,(S$222-R$222)&gt;0),S$222-R$222,R240)</f>
        <v/>
      </c>
      <c r="T240" s="73">
        <f>+IF(AND(S240=0,S239&gt;0,(T$222-S$222)&gt;0),T$222-S$222,S240)</f>
        <v/>
      </c>
      <c r="U240" s="73">
        <f>+IF(AND(T240=0,T239&gt;0,(U$222-T$222)&gt;0),U$222-T$222,T240)</f>
        <v/>
      </c>
      <c r="V240" s="73">
        <f>+IF(AND(U240=0,U239&gt;0,(V$222-U$222)&gt;0),V$222-U$222,U240)</f>
        <v/>
      </c>
      <c r="W240" s="73">
        <f>+IF(AND(V240=0,V239&gt;0,(W$222-V$222)&gt;0),W$222-V$222,V240)</f>
        <v/>
      </c>
      <c r="X240" s="1071">
        <f>+IF(AND(W240=0,W239&gt;0,(X$222-W$222)&gt;0),X$222-W$222,W240)</f>
        <v/>
      </c>
      <c r="Y240" s="73">
        <f>+IF(AND(X240=0,X239&gt;0,(Y$222-X$222)&gt;0),Y$222-X$222,X240)</f>
        <v/>
      </c>
      <c r="Z240" s="73">
        <f>+IF(AND(Y240=0,Y239&gt;0,(Z$222-Y$222)&gt;0),Z$222-Y$222,Y240)</f>
        <v/>
      </c>
      <c r="AA240" s="73">
        <f>+IF(AND(Z240=0,Z239&gt;0,(AA$222-Z$222)&gt;0),AA$222-Z$222,Z240)</f>
        <v/>
      </c>
      <c r="AB240" s="73">
        <f>+IF(AND(AA240=0,AA239&gt;0,(AB$222-AA$222)&gt;0),AB$222-AA$222,AA240)</f>
        <v/>
      </c>
      <c r="AC240" s="73">
        <f>+IF(AND(AB240=0,AB239&gt;0,(AC$222-AB$222)&gt;0),AC$222-AB$222,AB240)</f>
        <v/>
      </c>
      <c r="AD240" s="1071">
        <f>+IF(AND(AC240=0,AC239&gt;0,(AD$222-AC$222)&gt;0),AD$222-AC$222,AC240)</f>
        <v/>
      </c>
      <c r="AE240" s="73">
        <f>+IF(AND(AD240=0,AD239&gt;0,(AE$222-AD$222)&gt;0),AE$222-AD$222,AD240)</f>
        <v/>
      </c>
      <c r="AF240" s="73">
        <f>+IF(AND(AE240=0,AE239&gt;0,(AF$222-AE$222)&gt;0),AF$222-AE$222,AE240)</f>
        <v/>
      </c>
      <c r="AG240" s="73">
        <f>+IF(AND(AF240=0,AF239&gt;0,(AG$222-AF$222)&gt;0),AG$222-AF$222,AF240)</f>
        <v/>
      </c>
      <c r="AH240" s="73">
        <f>+IF(AND(AG240=0,AG239&gt;0,(AH$222-AG$222)&gt;0),AH$222-AG$222,AG240)</f>
        <v/>
      </c>
      <c r="AI240" s="73">
        <f>+IF(AND(AH240=0,AH239&gt;0,(AI$222-AH$222)&gt;0),AI$222-AH$222,AH240)</f>
        <v/>
      </c>
      <c r="AJ240" s="1071">
        <f>+IF(AND(AI240=0,AI239&gt;0,(AJ$222-AI$222)&gt;0),AJ$222-AI$222,AI240)</f>
        <v/>
      </c>
      <c r="AK240" s="73">
        <f>+IF(AND(AJ240=0,AJ239&gt;0,(AK$222-AJ$222)&gt;0),AK$222-AJ$222,AJ240)</f>
        <v/>
      </c>
      <c r="AL240" s="73">
        <f>+IF(AND(AK240=0,AK239&gt;0,(AL$222-AK$222)&gt;0),AL$222-AK$222,AK240)</f>
        <v/>
      </c>
      <c r="AM240" s="73">
        <f>+IF(AND(AL240=0,AL239&gt;0,(AM$222-AL$222)&gt;0),AM$222-AL$222,AL240)</f>
        <v/>
      </c>
      <c r="AN240" s="73">
        <f>+IF(AND(AM240=0,AM239&gt;0,(AN$222-AM$222)&gt;0),AN$222-AM$222,AM240)</f>
        <v/>
      </c>
      <c r="AO240" s="73">
        <f>+IF(AND(AN240=0,AN239&gt;0,(AO$222-AN$222)&gt;0),AO$222-AN$222,AN240)</f>
        <v/>
      </c>
      <c r="AP240" s="1071">
        <f>+IF(AND(AO240=0,AO239&gt;0,(AP$222-AO$222)&gt;0),AP$222-AO$222,AO240)</f>
        <v/>
      </c>
      <c r="AQ240" s="73">
        <f>+IF(AND(AP240=0,AP239&gt;0,(AQ$222-AP$222)&gt;0),AQ$222-AP$222,AP240)</f>
        <v/>
      </c>
      <c r="AR240" s="73">
        <f>+IF(AND(AQ240=0,AQ239&gt;0,(AR$222-AQ$222)&gt;0),AR$222-AQ$222,AQ240)</f>
        <v/>
      </c>
      <c r="AS240" s="73">
        <f>+IF(AND(AR240=0,AR239&gt;0,(AS$222-AR$222)&gt;0),AS$222-AR$222,AR240)</f>
        <v/>
      </c>
      <c r="AT240" s="73">
        <f>+IF(AND(AS240=0,AS239&gt;0,(AT$222-AS$222)&gt;0),AT$222-AS$222,AS240)</f>
        <v/>
      </c>
      <c r="AU240" s="73">
        <f>+IF(AND(AT240=0,AT239&gt;0,(AU$222-AT$222)&gt;0),AU$222-AT$222,AT240)</f>
        <v/>
      </c>
      <c r="AV240" s="1071">
        <f>+IF(AND(AU240=0,AU239&gt;0,(AV$222-AU$222)&gt;0),AV$222-AU$222,AU240)</f>
        <v/>
      </c>
      <c r="AW240" s="73">
        <f>+IF(AND(AV240=0,AV239&gt;0,(AW$222-AV$222)&gt;0),AW$222-AV$222,AV240)</f>
        <v/>
      </c>
      <c r="AX240" s="73">
        <f>+IF(AND(AW240=0,AW239&gt;0,(AX$222-AW$222)&gt;0),AX$222-AW$222,AW240)</f>
        <v/>
      </c>
      <c r="AY240" s="73">
        <f>+IF(AND(AX240=0,AX239&gt;0,(AY$222-AX$222)&gt;0),AY$222-AX$222,AX240)</f>
        <v/>
      </c>
      <c r="AZ240" s="73">
        <f>+IF(AND(AY240=0,AY239&gt;0,(AZ$222-AY$222)&gt;0),AZ$222-AY$222,AY240)</f>
        <v/>
      </c>
      <c r="BA240" s="73">
        <f>+IF(AND(AZ240=0,AZ239&gt;0,(BA$222-AZ$222)&gt;0),BA$222-AZ$222,AZ240)</f>
        <v/>
      </c>
      <c r="BB240" s="1071">
        <f>+IF(AND(BA240=0,BA239&gt;0,(BB$222-BA$222)&gt;0),BB$222-BA$222,BA240)</f>
        <v/>
      </c>
      <c r="BC240" s="73">
        <f>+IF(AND(BB240=0,BB239&gt;0,(BC$222-BB$222)&gt;0),BC$222-BB$222,BB240)</f>
        <v/>
      </c>
      <c r="BD240" s="73">
        <f>+IF(AND(BC240=0,BC239&gt;0,(BD$222-BC$222)&gt;0),BD$222-BC$222,BC240)</f>
        <v/>
      </c>
      <c r="BE240" s="73">
        <f>+IF(AND(BD240=0,BD239&gt;0,(BE$222-BD$222)&gt;0),BE$222-BD$222,BD240)</f>
        <v/>
      </c>
      <c r="BF240" s="73">
        <f>+IF(AND(BE240=0,BE239&gt;0,(BF$222-BE$222)&gt;0),BF$222-BE$222,BE240)</f>
        <v/>
      </c>
      <c r="BG240" s="73">
        <f>+IF(AND(BF240=0,BF239&gt;0,(BG$222-BF$222)&gt;0),BG$222-BF$222,BF240)</f>
        <v/>
      </c>
      <c r="BH240" s="1071">
        <f>+IF(AND(BG240=0,BG239&gt;0,(BH$222-BG$222)&gt;0),BH$222-BG$222,BG240)</f>
        <v/>
      </c>
      <c r="BI240" s="73">
        <f>+IF(AND(BH240=0,BH239&gt;0,(BI$222-BH$222)&gt;0),BI$222-BH$222,BH240)</f>
        <v/>
      </c>
      <c r="BJ240" s="73">
        <f>+IF(AND(BI240=0,BI239&gt;0,(BJ$222-BI$222)&gt;0),BJ$222-BI$222,BI240)</f>
        <v/>
      </c>
      <c r="BK240" s="73">
        <f>+IF(AND(BJ240=0,BJ239&gt;0,(BK$222-BJ$222)&gt;0),BK$222-BJ$222,BJ240)</f>
        <v/>
      </c>
      <c r="BL240" s="73">
        <f>+IF(AND(BK240=0,BK239&gt;0,(BL$222-BK$222)&gt;0),BL$222-BK$222,BK240)</f>
        <v/>
      </c>
      <c r="BM240" s="73">
        <f>+IF(AND(BL240=0,BL239&gt;0,(BM$222-BL$222)&gt;0),BM$222-BL$222,BL240)</f>
        <v/>
      </c>
      <c r="BN240" s="1071">
        <f>+IF(AND(BM240=0,BM239&gt;0,(BN$222-BM$222)&gt;0),BN$222-BM$222,BM240)</f>
        <v/>
      </c>
    </row>
    <row r="241" ht="12.75" customHeight="1" s="1883">
      <c r="C241" s="1155" t="inlineStr">
        <is>
          <t>Addition 18</t>
        </is>
      </c>
      <c r="D241" s="670" t="n"/>
      <c r="E241" s="671" t="n"/>
      <c r="F241" s="74" t="n"/>
      <c r="G241" s="73">
        <f>+IF(AND(F241=0,F240&gt;0,(G$222-F$222)&gt;0),G$222-F$222,F241)</f>
        <v/>
      </c>
      <c r="H241" s="73">
        <f>+IF(AND(G241=0,G240&gt;0,(H$222-G$222)&gt;0),H$222-G$222,G241)</f>
        <v/>
      </c>
      <c r="I241" s="73">
        <f>+IF(AND(H241=0,H240&gt;0,(I$222-H$222)&gt;0),I$222-H$222,H241)</f>
        <v/>
      </c>
      <c r="J241" s="73">
        <f>+IF(AND(I241=0,I240&gt;0,(J$222-I$222)&gt;0),J$222-I$222,I241)</f>
        <v/>
      </c>
      <c r="K241" s="73">
        <f>+IF(AND(J241=0,J240&gt;0,(K$222-J$222)&gt;0),K$222-J$222,J241)</f>
        <v/>
      </c>
      <c r="L241" s="1071">
        <f>+IF(AND(K241=0,K240&gt;0,(L$222-K$222)&gt;0),L$222-K$222,K241)</f>
        <v/>
      </c>
      <c r="M241" s="73">
        <f>+IF(AND(L241=0,L240&gt;0,(M$222-L$222)&gt;0),M$222-L$222,L241)</f>
        <v/>
      </c>
      <c r="N241" s="73">
        <f>+IF(AND(M241=0,M240&gt;0,(N$222-M$222)&gt;0),N$222-M$222,M241)</f>
        <v/>
      </c>
      <c r="O241" s="73">
        <f>+IF(AND(N241=0,N240&gt;0,(O$222-N$222)&gt;0),O$222-N$222,N241)</f>
        <v/>
      </c>
      <c r="P241" s="73">
        <f>+IF(AND(O241=0,O240&gt;0,(P$222-O$222)&gt;0),P$222-O$222,O241)</f>
        <v/>
      </c>
      <c r="Q241" s="73">
        <f>+IF(AND(P241=0,P240&gt;0,(Q$222-P$222)&gt;0),Q$222-P$222,P241)</f>
        <v/>
      </c>
      <c r="R241" s="1071">
        <f>+IF(AND(Q241=0,Q240&gt;0,(R$222-Q$222)&gt;0),R$222-Q$222,Q241)</f>
        <v/>
      </c>
      <c r="S241" s="73">
        <f>+IF(AND(R241=0,R240&gt;0,(S$222-R$222)&gt;0),S$222-R$222,R241)</f>
        <v/>
      </c>
      <c r="T241" s="73">
        <f>+IF(AND(S241=0,S240&gt;0,(T$222-S$222)&gt;0),T$222-S$222,S241)</f>
        <v/>
      </c>
      <c r="U241" s="73">
        <f>+IF(AND(T241=0,T240&gt;0,(U$222-T$222)&gt;0),U$222-T$222,T241)</f>
        <v/>
      </c>
      <c r="V241" s="73">
        <f>+IF(AND(U241=0,U240&gt;0,(V$222-U$222)&gt;0),V$222-U$222,U241)</f>
        <v/>
      </c>
      <c r="W241" s="73">
        <f>+IF(AND(V241=0,V240&gt;0,(W$222-V$222)&gt;0),W$222-V$222,V241)</f>
        <v/>
      </c>
      <c r="X241" s="1071">
        <f>+IF(AND(W241=0,W240&gt;0,(X$222-W$222)&gt;0),X$222-W$222,W241)</f>
        <v/>
      </c>
      <c r="Y241" s="73">
        <f>+IF(AND(X241=0,X240&gt;0,(Y$222-X$222)&gt;0),Y$222-X$222,X241)</f>
        <v/>
      </c>
      <c r="Z241" s="73">
        <f>+IF(AND(Y241=0,Y240&gt;0,(Z$222-Y$222)&gt;0),Z$222-Y$222,Y241)</f>
        <v/>
      </c>
      <c r="AA241" s="73">
        <f>+IF(AND(Z241=0,Z240&gt;0,(AA$222-Z$222)&gt;0),AA$222-Z$222,Z241)</f>
        <v/>
      </c>
      <c r="AB241" s="73">
        <f>+IF(AND(AA241=0,AA240&gt;0,(AB$222-AA$222)&gt;0),AB$222-AA$222,AA241)</f>
        <v/>
      </c>
      <c r="AC241" s="73">
        <f>+IF(AND(AB241=0,AB240&gt;0,(AC$222-AB$222)&gt;0),AC$222-AB$222,AB241)</f>
        <v/>
      </c>
      <c r="AD241" s="1071">
        <f>+IF(AND(AC241=0,AC240&gt;0,(AD$222-AC$222)&gt;0),AD$222-AC$222,AC241)</f>
        <v/>
      </c>
      <c r="AE241" s="73">
        <f>+IF(AND(AD241=0,AD240&gt;0,(AE$222-AD$222)&gt;0),AE$222-AD$222,AD241)</f>
        <v/>
      </c>
      <c r="AF241" s="73">
        <f>+IF(AND(AE241=0,AE240&gt;0,(AF$222-AE$222)&gt;0),AF$222-AE$222,AE241)</f>
        <v/>
      </c>
      <c r="AG241" s="73">
        <f>+IF(AND(AF241=0,AF240&gt;0,(AG$222-AF$222)&gt;0),AG$222-AF$222,AF241)</f>
        <v/>
      </c>
      <c r="AH241" s="73">
        <f>+IF(AND(AG241=0,AG240&gt;0,(AH$222-AG$222)&gt;0),AH$222-AG$222,AG241)</f>
        <v/>
      </c>
      <c r="AI241" s="73">
        <f>+IF(AND(AH241=0,AH240&gt;0,(AI$222-AH$222)&gt;0),AI$222-AH$222,AH241)</f>
        <v/>
      </c>
      <c r="AJ241" s="1071">
        <f>+IF(AND(AI241=0,AI240&gt;0,(AJ$222-AI$222)&gt;0),AJ$222-AI$222,AI241)</f>
        <v/>
      </c>
      <c r="AK241" s="73">
        <f>+IF(AND(AJ241=0,AJ240&gt;0,(AK$222-AJ$222)&gt;0),AK$222-AJ$222,AJ241)</f>
        <v/>
      </c>
      <c r="AL241" s="73">
        <f>+IF(AND(AK241=0,AK240&gt;0,(AL$222-AK$222)&gt;0),AL$222-AK$222,AK241)</f>
        <v/>
      </c>
      <c r="AM241" s="73">
        <f>+IF(AND(AL241=0,AL240&gt;0,(AM$222-AL$222)&gt;0),AM$222-AL$222,AL241)</f>
        <v/>
      </c>
      <c r="AN241" s="73">
        <f>+IF(AND(AM241=0,AM240&gt;0,(AN$222-AM$222)&gt;0),AN$222-AM$222,AM241)</f>
        <v/>
      </c>
      <c r="AO241" s="73">
        <f>+IF(AND(AN241=0,AN240&gt;0,(AO$222-AN$222)&gt;0),AO$222-AN$222,AN241)</f>
        <v/>
      </c>
      <c r="AP241" s="1071">
        <f>+IF(AND(AO241=0,AO240&gt;0,(AP$222-AO$222)&gt;0),AP$222-AO$222,AO241)</f>
        <v/>
      </c>
      <c r="AQ241" s="73">
        <f>+IF(AND(AP241=0,AP240&gt;0,(AQ$222-AP$222)&gt;0),AQ$222-AP$222,AP241)</f>
        <v/>
      </c>
      <c r="AR241" s="73">
        <f>+IF(AND(AQ241=0,AQ240&gt;0,(AR$222-AQ$222)&gt;0),AR$222-AQ$222,AQ241)</f>
        <v/>
      </c>
      <c r="AS241" s="73">
        <f>+IF(AND(AR241=0,AR240&gt;0,(AS$222-AR$222)&gt;0),AS$222-AR$222,AR241)</f>
        <v/>
      </c>
      <c r="AT241" s="73">
        <f>+IF(AND(AS241=0,AS240&gt;0,(AT$222-AS$222)&gt;0),AT$222-AS$222,AS241)</f>
        <v/>
      </c>
      <c r="AU241" s="73">
        <f>+IF(AND(AT241=0,AT240&gt;0,(AU$222-AT$222)&gt;0),AU$222-AT$222,AT241)</f>
        <v/>
      </c>
      <c r="AV241" s="1071">
        <f>+IF(AND(AU241=0,AU240&gt;0,(AV$222-AU$222)&gt;0),AV$222-AU$222,AU241)</f>
        <v/>
      </c>
      <c r="AW241" s="73">
        <f>+IF(AND(AV241=0,AV240&gt;0,(AW$222-AV$222)&gt;0),AW$222-AV$222,AV241)</f>
        <v/>
      </c>
      <c r="AX241" s="73">
        <f>+IF(AND(AW241=0,AW240&gt;0,(AX$222-AW$222)&gt;0),AX$222-AW$222,AW241)</f>
        <v/>
      </c>
      <c r="AY241" s="73">
        <f>+IF(AND(AX241=0,AX240&gt;0,(AY$222-AX$222)&gt;0),AY$222-AX$222,AX241)</f>
        <v/>
      </c>
      <c r="AZ241" s="73">
        <f>+IF(AND(AY241=0,AY240&gt;0,(AZ$222-AY$222)&gt;0),AZ$222-AY$222,AY241)</f>
        <v/>
      </c>
      <c r="BA241" s="73">
        <f>+IF(AND(AZ241=0,AZ240&gt;0,(BA$222-AZ$222)&gt;0),BA$222-AZ$222,AZ241)</f>
        <v/>
      </c>
      <c r="BB241" s="1071">
        <f>+IF(AND(BA241=0,BA240&gt;0,(BB$222-BA$222)&gt;0),BB$222-BA$222,BA241)</f>
        <v/>
      </c>
      <c r="BC241" s="73">
        <f>+IF(AND(BB241=0,BB240&gt;0,(BC$222-BB$222)&gt;0),BC$222-BB$222,BB241)</f>
        <v/>
      </c>
      <c r="BD241" s="73">
        <f>+IF(AND(BC241=0,BC240&gt;0,(BD$222-BC$222)&gt;0),BD$222-BC$222,BC241)</f>
        <v/>
      </c>
      <c r="BE241" s="73">
        <f>+IF(AND(BD241=0,BD240&gt;0,(BE$222-BD$222)&gt;0),BE$222-BD$222,BD241)</f>
        <v/>
      </c>
      <c r="BF241" s="73">
        <f>+IF(AND(BE241=0,BE240&gt;0,(BF$222-BE$222)&gt;0),BF$222-BE$222,BE241)</f>
        <v/>
      </c>
      <c r="BG241" s="73">
        <f>+IF(AND(BF241=0,BF240&gt;0,(BG$222-BF$222)&gt;0),BG$222-BF$222,BF241)</f>
        <v/>
      </c>
      <c r="BH241" s="1071">
        <f>+IF(AND(BG241=0,BG240&gt;0,(BH$222-BG$222)&gt;0),BH$222-BG$222,BG241)</f>
        <v/>
      </c>
      <c r="BI241" s="73">
        <f>+IF(AND(BH241=0,BH240&gt;0,(BI$222-BH$222)&gt;0),BI$222-BH$222,BH241)</f>
        <v/>
      </c>
      <c r="BJ241" s="73">
        <f>+IF(AND(BI241=0,BI240&gt;0,(BJ$222-BI$222)&gt;0),BJ$222-BI$222,BI241)</f>
        <v/>
      </c>
      <c r="BK241" s="73">
        <f>+IF(AND(BJ241=0,BJ240&gt;0,(BK$222-BJ$222)&gt;0),BK$222-BJ$222,BJ241)</f>
        <v/>
      </c>
      <c r="BL241" s="73">
        <f>+IF(AND(BK241=0,BK240&gt;0,(BL$222-BK$222)&gt;0),BL$222-BK$222,BK241)</f>
        <v/>
      </c>
      <c r="BM241" s="73">
        <f>+IF(AND(BL241=0,BL240&gt;0,(BM$222-BL$222)&gt;0),BM$222-BL$222,BL241)</f>
        <v/>
      </c>
      <c r="BN241" s="1071">
        <f>+IF(AND(BM241=0,BM240&gt;0,(BN$222-BM$222)&gt;0),BN$222-BM$222,BM241)</f>
        <v/>
      </c>
    </row>
    <row r="242" ht="12.75" customHeight="1" s="1883">
      <c r="C242" s="1155" t="inlineStr">
        <is>
          <t>Addition 19</t>
        </is>
      </c>
      <c r="D242" s="670" t="n"/>
      <c r="E242" s="671" t="n"/>
      <c r="F242" s="74" t="n"/>
      <c r="G242" s="73">
        <f>+IF(AND(F242=0,F241&gt;0,(G$222-F$222)&gt;0),G$222-F$222,F242)</f>
        <v/>
      </c>
      <c r="H242" s="73">
        <f>+IF(AND(G242=0,G241&gt;0,(H$222-G$222)&gt;0),H$222-G$222,G242)</f>
        <v/>
      </c>
      <c r="I242" s="73">
        <f>+IF(AND(H242=0,H241&gt;0,(I$222-H$222)&gt;0),I$222-H$222,H242)</f>
        <v/>
      </c>
      <c r="J242" s="73">
        <f>+IF(AND(I242=0,I241&gt;0,(J$222-I$222)&gt;0),J$222-I$222,I242)</f>
        <v/>
      </c>
      <c r="K242" s="73">
        <f>+IF(AND(J242=0,J241&gt;0,(K$222-J$222)&gt;0),K$222-J$222,J242)</f>
        <v/>
      </c>
      <c r="L242" s="1071">
        <f>+IF(AND(K242=0,K241&gt;0,(L$222-K$222)&gt;0),L$222-K$222,K242)</f>
        <v/>
      </c>
      <c r="M242" s="73">
        <f>+IF(AND(L242=0,L241&gt;0,(M$222-L$222)&gt;0),M$222-L$222,L242)</f>
        <v/>
      </c>
      <c r="N242" s="73">
        <f>+IF(AND(M242=0,M241&gt;0,(N$222-M$222)&gt;0),N$222-M$222,M242)</f>
        <v/>
      </c>
      <c r="O242" s="73">
        <f>+IF(AND(N242=0,N241&gt;0,(O$222-N$222)&gt;0),O$222-N$222,N242)</f>
        <v/>
      </c>
      <c r="P242" s="73">
        <f>+IF(AND(O242=0,O241&gt;0,(P$222-O$222)&gt;0),P$222-O$222,O242)</f>
        <v/>
      </c>
      <c r="Q242" s="73">
        <f>+IF(AND(P242=0,P241&gt;0,(Q$222-P$222)&gt;0),Q$222-P$222,P242)</f>
        <v/>
      </c>
      <c r="R242" s="1071">
        <f>+IF(AND(Q242=0,Q241&gt;0,(R$222-Q$222)&gt;0),R$222-Q$222,Q242)</f>
        <v/>
      </c>
      <c r="S242" s="73">
        <f>+IF(AND(R242=0,R241&gt;0,(S$222-R$222)&gt;0),S$222-R$222,R242)</f>
        <v/>
      </c>
      <c r="T242" s="73">
        <f>+IF(AND(S242=0,S241&gt;0,(T$222-S$222)&gt;0),T$222-S$222,S242)</f>
        <v/>
      </c>
      <c r="U242" s="73">
        <f>+IF(AND(T242=0,T241&gt;0,(U$222-T$222)&gt;0),U$222-T$222,T242)</f>
        <v/>
      </c>
      <c r="V242" s="73">
        <f>+IF(AND(U242=0,U241&gt;0,(V$222-U$222)&gt;0),V$222-U$222,U242)</f>
        <v/>
      </c>
      <c r="W242" s="73">
        <f>+IF(AND(V242=0,V241&gt;0,(W$222-V$222)&gt;0),W$222-V$222,V242)</f>
        <v/>
      </c>
      <c r="X242" s="1071">
        <f>+IF(AND(W242=0,W241&gt;0,(X$222-W$222)&gt;0),X$222-W$222,W242)</f>
        <v/>
      </c>
      <c r="Y242" s="73">
        <f>+IF(AND(X242=0,X241&gt;0,(Y$222-X$222)&gt;0),Y$222-X$222,X242)</f>
        <v/>
      </c>
      <c r="Z242" s="73">
        <f>+IF(AND(Y242=0,Y241&gt;0,(Z$222-Y$222)&gt;0),Z$222-Y$222,Y242)</f>
        <v/>
      </c>
      <c r="AA242" s="73">
        <f>+IF(AND(Z242=0,Z241&gt;0,(AA$222-Z$222)&gt;0),AA$222-Z$222,Z242)</f>
        <v/>
      </c>
      <c r="AB242" s="73">
        <f>+IF(AND(AA242=0,AA241&gt;0,(AB$222-AA$222)&gt;0),AB$222-AA$222,AA242)</f>
        <v/>
      </c>
      <c r="AC242" s="73">
        <f>+IF(AND(AB242=0,AB241&gt;0,(AC$222-AB$222)&gt;0),AC$222-AB$222,AB242)</f>
        <v/>
      </c>
      <c r="AD242" s="1071">
        <f>+IF(AND(AC242=0,AC241&gt;0,(AD$222-AC$222)&gt;0),AD$222-AC$222,AC242)</f>
        <v/>
      </c>
      <c r="AE242" s="73">
        <f>+IF(AND(AD242=0,AD241&gt;0,(AE$222-AD$222)&gt;0),AE$222-AD$222,AD242)</f>
        <v/>
      </c>
      <c r="AF242" s="73">
        <f>+IF(AND(AE242=0,AE241&gt;0,(AF$222-AE$222)&gt;0),AF$222-AE$222,AE242)</f>
        <v/>
      </c>
      <c r="AG242" s="73">
        <f>+IF(AND(AF242=0,AF241&gt;0,(AG$222-AF$222)&gt;0),AG$222-AF$222,AF242)</f>
        <v/>
      </c>
      <c r="AH242" s="73">
        <f>+IF(AND(AG242=0,AG241&gt;0,(AH$222-AG$222)&gt;0),AH$222-AG$222,AG242)</f>
        <v/>
      </c>
      <c r="AI242" s="73">
        <f>+IF(AND(AH242=0,AH241&gt;0,(AI$222-AH$222)&gt;0),AI$222-AH$222,AH242)</f>
        <v/>
      </c>
      <c r="AJ242" s="1071">
        <f>+IF(AND(AI242=0,AI241&gt;0,(AJ$222-AI$222)&gt;0),AJ$222-AI$222,AI242)</f>
        <v/>
      </c>
      <c r="AK242" s="73">
        <f>+IF(AND(AJ242=0,AJ241&gt;0,(AK$222-AJ$222)&gt;0),AK$222-AJ$222,AJ242)</f>
        <v/>
      </c>
      <c r="AL242" s="73">
        <f>+IF(AND(AK242=0,AK241&gt;0,(AL$222-AK$222)&gt;0),AL$222-AK$222,AK242)</f>
        <v/>
      </c>
      <c r="AM242" s="73">
        <f>+IF(AND(AL242=0,AL241&gt;0,(AM$222-AL$222)&gt;0),AM$222-AL$222,AL242)</f>
        <v/>
      </c>
      <c r="AN242" s="73">
        <f>+IF(AND(AM242=0,AM241&gt;0,(AN$222-AM$222)&gt;0),AN$222-AM$222,AM242)</f>
        <v/>
      </c>
      <c r="AO242" s="73">
        <f>+IF(AND(AN242=0,AN241&gt;0,(AO$222-AN$222)&gt;0),AO$222-AN$222,AN242)</f>
        <v/>
      </c>
      <c r="AP242" s="1071">
        <f>+IF(AND(AO242=0,AO241&gt;0,(AP$222-AO$222)&gt;0),AP$222-AO$222,AO242)</f>
        <v/>
      </c>
      <c r="AQ242" s="73">
        <f>+IF(AND(AP242=0,AP241&gt;0,(AQ$222-AP$222)&gt;0),AQ$222-AP$222,AP242)</f>
        <v/>
      </c>
      <c r="AR242" s="73">
        <f>+IF(AND(AQ242=0,AQ241&gt;0,(AR$222-AQ$222)&gt;0),AR$222-AQ$222,AQ242)</f>
        <v/>
      </c>
      <c r="AS242" s="73">
        <f>+IF(AND(AR242=0,AR241&gt;0,(AS$222-AR$222)&gt;0),AS$222-AR$222,AR242)</f>
        <v/>
      </c>
      <c r="AT242" s="73">
        <f>+IF(AND(AS242=0,AS241&gt;0,(AT$222-AS$222)&gt;0),AT$222-AS$222,AS242)</f>
        <v/>
      </c>
      <c r="AU242" s="73">
        <f>+IF(AND(AT242=0,AT241&gt;0,(AU$222-AT$222)&gt;0),AU$222-AT$222,AT242)</f>
        <v/>
      </c>
      <c r="AV242" s="1071">
        <f>+IF(AND(AU242=0,AU241&gt;0,(AV$222-AU$222)&gt;0),AV$222-AU$222,AU242)</f>
        <v/>
      </c>
      <c r="AW242" s="73">
        <f>+IF(AND(AV242=0,AV241&gt;0,(AW$222-AV$222)&gt;0),AW$222-AV$222,AV242)</f>
        <v/>
      </c>
      <c r="AX242" s="73">
        <f>+IF(AND(AW242=0,AW241&gt;0,(AX$222-AW$222)&gt;0),AX$222-AW$222,AW242)</f>
        <v/>
      </c>
      <c r="AY242" s="73">
        <f>+IF(AND(AX242=0,AX241&gt;0,(AY$222-AX$222)&gt;0),AY$222-AX$222,AX242)</f>
        <v/>
      </c>
      <c r="AZ242" s="73">
        <f>+IF(AND(AY242=0,AY241&gt;0,(AZ$222-AY$222)&gt;0),AZ$222-AY$222,AY242)</f>
        <v/>
      </c>
      <c r="BA242" s="73">
        <f>+IF(AND(AZ242=0,AZ241&gt;0,(BA$222-AZ$222)&gt;0),BA$222-AZ$222,AZ242)</f>
        <v/>
      </c>
      <c r="BB242" s="1071">
        <f>+IF(AND(BA242=0,BA241&gt;0,(BB$222-BA$222)&gt;0),BB$222-BA$222,BA242)</f>
        <v/>
      </c>
      <c r="BC242" s="73">
        <f>+IF(AND(BB242=0,BB241&gt;0,(BC$222-BB$222)&gt;0),BC$222-BB$222,BB242)</f>
        <v/>
      </c>
      <c r="BD242" s="73">
        <f>+IF(AND(BC242=0,BC241&gt;0,(BD$222-BC$222)&gt;0),BD$222-BC$222,BC242)</f>
        <v/>
      </c>
      <c r="BE242" s="73">
        <f>+IF(AND(BD242=0,BD241&gt;0,(BE$222-BD$222)&gt;0),BE$222-BD$222,BD242)</f>
        <v/>
      </c>
      <c r="BF242" s="73">
        <f>+IF(AND(BE242=0,BE241&gt;0,(BF$222-BE$222)&gt;0),BF$222-BE$222,BE242)</f>
        <v/>
      </c>
      <c r="BG242" s="73">
        <f>+IF(AND(BF242=0,BF241&gt;0,(BG$222-BF$222)&gt;0),BG$222-BF$222,BF242)</f>
        <v/>
      </c>
      <c r="BH242" s="1071">
        <f>+IF(AND(BG242=0,BG241&gt;0,(BH$222-BG$222)&gt;0),BH$222-BG$222,BG242)</f>
        <v/>
      </c>
      <c r="BI242" s="73">
        <f>+IF(AND(BH242=0,BH241&gt;0,(BI$222-BH$222)&gt;0),BI$222-BH$222,BH242)</f>
        <v/>
      </c>
      <c r="BJ242" s="73">
        <f>+IF(AND(BI242=0,BI241&gt;0,(BJ$222-BI$222)&gt;0),BJ$222-BI$222,BI242)</f>
        <v/>
      </c>
      <c r="BK242" s="73">
        <f>+IF(AND(BJ242=0,BJ241&gt;0,(BK$222-BJ$222)&gt;0),BK$222-BJ$222,BJ242)</f>
        <v/>
      </c>
      <c r="BL242" s="73">
        <f>+IF(AND(BK242=0,BK241&gt;0,(BL$222-BK$222)&gt;0),BL$222-BK$222,BK242)</f>
        <v/>
      </c>
      <c r="BM242" s="73">
        <f>+IF(AND(BL242=0,BL241&gt;0,(BM$222-BL$222)&gt;0),BM$222-BL$222,BL242)</f>
        <v/>
      </c>
      <c r="BN242" s="1071">
        <f>+IF(AND(BM242=0,BM241&gt;0,(BN$222-BM$222)&gt;0),BN$222-BM$222,BM242)</f>
        <v/>
      </c>
    </row>
    <row r="243" ht="12.75" customHeight="1" s="1883">
      <c r="C243" s="1155" t="inlineStr">
        <is>
          <t>Addition 20</t>
        </is>
      </c>
      <c r="D243" s="670" t="n"/>
      <c r="E243" s="671" t="n"/>
      <c r="F243" s="74" t="n"/>
      <c r="G243" s="73">
        <f>+IF(AND(F243=0,F242&gt;0,(G$222-F$222)&gt;0),G$222-F$222,F243)</f>
        <v/>
      </c>
      <c r="H243" s="73">
        <f>+IF(AND(G243=0,G242&gt;0,(H$222-G$222)&gt;0),H$222-G$222,G243)</f>
        <v/>
      </c>
      <c r="I243" s="73">
        <f>+IF(AND(H243=0,H242&gt;0,(I$222-H$222)&gt;0),I$222-H$222,H243)</f>
        <v/>
      </c>
      <c r="J243" s="73">
        <f>+IF(AND(I243=0,I242&gt;0,(J$222-I$222)&gt;0),J$222-I$222,I243)</f>
        <v/>
      </c>
      <c r="K243" s="73">
        <f>+IF(AND(J243=0,J242&gt;0,(K$222-J$222)&gt;0),K$222-J$222,J243)</f>
        <v/>
      </c>
      <c r="L243" s="1071">
        <f>+IF(AND(K243=0,K242&gt;0,(L$222-K$222)&gt;0),L$222-K$222,K243)</f>
        <v/>
      </c>
      <c r="M243" s="73">
        <f>+IF(AND(L243=0,L242&gt;0,(M$222-L$222)&gt;0),M$222-L$222,L243)</f>
        <v/>
      </c>
      <c r="N243" s="73">
        <f>+IF(AND(M243=0,M242&gt;0,(N$222-M$222)&gt;0),N$222-M$222,M243)</f>
        <v/>
      </c>
      <c r="O243" s="73">
        <f>+IF(AND(N243=0,N242&gt;0,(O$222-N$222)&gt;0),O$222-N$222,N243)</f>
        <v/>
      </c>
      <c r="P243" s="73">
        <f>+IF(AND(O243=0,O242&gt;0,(P$222-O$222)&gt;0),P$222-O$222,O243)</f>
        <v/>
      </c>
      <c r="Q243" s="73">
        <f>+IF(AND(P243=0,P242&gt;0,(Q$222-P$222)&gt;0),Q$222-P$222,P243)</f>
        <v/>
      </c>
      <c r="R243" s="1071">
        <f>+IF(AND(Q243=0,Q242&gt;0,(R$222-Q$222)&gt;0),R$222-Q$222,Q243)</f>
        <v/>
      </c>
      <c r="S243" s="73">
        <f>+IF(AND(R243=0,R242&gt;0,(S$222-R$222)&gt;0),S$222-R$222,R243)</f>
        <v/>
      </c>
      <c r="T243" s="73">
        <f>+IF(AND(S243=0,S242&gt;0,(T$222-S$222)&gt;0),T$222-S$222,S243)</f>
        <v/>
      </c>
      <c r="U243" s="73">
        <f>+IF(AND(T243=0,T242&gt;0,(U$222-T$222)&gt;0),U$222-T$222,T243)</f>
        <v/>
      </c>
      <c r="V243" s="73">
        <f>+IF(AND(U243=0,U242&gt;0,(V$222-U$222)&gt;0),V$222-U$222,U243)</f>
        <v/>
      </c>
      <c r="W243" s="73">
        <f>+IF(AND(V243=0,V242&gt;0,(W$222-V$222)&gt;0),W$222-V$222,V243)</f>
        <v/>
      </c>
      <c r="X243" s="1071">
        <f>+IF(AND(W243=0,W242&gt;0,(X$222-W$222)&gt;0),X$222-W$222,W243)</f>
        <v/>
      </c>
      <c r="Y243" s="73">
        <f>+IF(AND(X243=0,X242&gt;0,(Y$222-X$222)&gt;0),Y$222-X$222,X243)</f>
        <v/>
      </c>
      <c r="Z243" s="73">
        <f>+IF(AND(Y243=0,Y242&gt;0,(Z$222-Y$222)&gt;0),Z$222-Y$222,Y243)</f>
        <v/>
      </c>
      <c r="AA243" s="73">
        <f>+IF(AND(Z243=0,Z242&gt;0,(AA$222-Z$222)&gt;0),AA$222-Z$222,Z243)</f>
        <v/>
      </c>
      <c r="AB243" s="73">
        <f>+IF(AND(AA243=0,AA242&gt;0,(AB$222-AA$222)&gt;0),AB$222-AA$222,AA243)</f>
        <v/>
      </c>
      <c r="AC243" s="73">
        <f>+IF(AND(AB243=0,AB242&gt;0,(AC$222-AB$222)&gt;0),AC$222-AB$222,AB243)</f>
        <v/>
      </c>
      <c r="AD243" s="1071">
        <f>+IF(AND(AC243=0,AC242&gt;0,(AD$222-AC$222)&gt;0),AD$222-AC$222,AC243)</f>
        <v/>
      </c>
      <c r="AE243" s="73">
        <f>+IF(AND(AD243=0,AD242&gt;0,(AE$222-AD$222)&gt;0),AE$222-AD$222,AD243)</f>
        <v/>
      </c>
      <c r="AF243" s="73">
        <f>+IF(AND(AE243=0,AE242&gt;0,(AF$222-AE$222)&gt;0),AF$222-AE$222,AE243)</f>
        <v/>
      </c>
      <c r="AG243" s="73">
        <f>+IF(AND(AF243=0,AF242&gt;0,(AG$222-AF$222)&gt;0),AG$222-AF$222,AF243)</f>
        <v/>
      </c>
      <c r="AH243" s="73">
        <f>+IF(AND(AG243=0,AG242&gt;0,(AH$222-AG$222)&gt;0),AH$222-AG$222,AG243)</f>
        <v/>
      </c>
      <c r="AI243" s="73">
        <f>+IF(AND(AH243=0,AH242&gt;0,(AI$222-AH$222)&gt;0),AI$222-AH$222,AH243)</f>
        <v/>
      </c>
      <c r="AJ243" s="1071">
        <f>+IF(AND(AI243=0,AI242&gt;0,(AJ$222-AI$222)&gt;0),AJ$222-AI$222,AI243)</f>
        <v/>
      </c>
      <c r="AK243" s="73">
        <f>+IF(AND(AJ243=0,AJ242&gt;0,(AK$222-AJ$222)&gt;0),AK$222-AJ$222,AJ243)</f>
        <v/>
      </c>
      <c r="AL243" s="73">
        <f>+IF(AND(AK243=0,AK242&gt;0,(AL$222-AK$222)&gt;0),AL$222-AK$222,AK243)</f>
        <v/>
      </c>
      <c r="AM243" s="73">
        <f>+IF(AND(AL243=0,AL242&gt;0,(AM$222-AL$222)&gt;0),AM$222-AL$222,AL243)</f>
        <v/>
      </c>
      <c r="AN243" s="73">
        <f>+IF(AND(AM243=0,AM242&gt;0,(AN$222-AM$222)&gt;0),AN$222-AM$222,AM243)</f>
        <v/>
      </c>
      <c r="AO243" s="73">
        <f>+IF(AND(AN243=0,AN242&gt;0,(AO$222-AN$222)&gt;0),AO$222-AN$222,AN243)</f>
        <v/>
      </c>
      <c r="AP243" s="1071">
        <f>+IF(AND(AO243=0,AO242&gt;0,(AP$222-AO$222)&gt;0),AP$222-AO$222,AO243)</f>
        <v/>
      </c>
      <c r="AQ243" s="73">
        <f>+IF(AND(AP243=0,AP242&gt;0,(AQ$222-AP$222)&gt;0),AQ$222-AP$222,AP243)</f>
        <v/>
      </c>
      <c r="AR243" s="73">
        <f>+IF(AND(AQ243=0,AQ242&gt;0,(AR$222-AQ$222)&gt;0),AR$222-AQ$222,AQ243)</f>
        <v/>
      </c>
      <c r="AS243" s="73">
        <f>+IF(AND(AR243=0,AR242&gt;0,(AS$222-AR$222)&gt;0),AS$222-AR$222,AR243)</f>
        <v/>
      </c>
      <c r="AT243" s="73">
        <f>+IF(AND(AS243=0,AS242&gt;0,(AT$222-AS$222)&gt;0),AT$222-AS$222,AS243)</f>
        <v/>
      </c>
      <c r="AU243" s="73">
        <f>+IF(AND(AT243=0,AT242&gt;0,(AU$222-AT$222)&gt;0),AU$222-AT$222,AT243)</f>
        <v/>
      </c>
      <c r="AV243" s="1071">
        <f>+IF(AND(AU243=0,AU242&gt;0,(AV$222-AU$222)&gt;0),AV$222-AU$222,AU243)</f>
        <v/>
      </c>
      <c r="AW243" s="73">
        <f>+IF(AND(AV243=0,AV242&gt;0,(AW$222-AV$222)&gt;0),AW$222-AV$222,AV243)</f>
        <v/>
      </c>
      <c r="AX243" s="73">
        <f>+IF(AND(AW243=0,AW242&gt;0,(AX$222-AW$222)&gt;0),AX$222-AW$222,AW243)</f>
        <v/>
      </c>
      <c r="AY243" s="73">
        <f>+IF(AND(AX243=0,AX242&gt;0,(AY$222-AX$222)&gt;0),AY$222-AX$222,AX243)</f>
        <v/>
      </c>
      <c r="AZ243" s="73">
        <f>+IF(AND(AY243=0,AY242&gt;0,(AZ$222-AY$222)&gt;0),AZ$222-AY$222,AY243)</f>
        <v/>
      </c>
      <c r="BA243" s="73">
        <f>+IF(AND(AZ243=0,AZ242&gt;0,(BA$222-AZ$222)&gt;0),BA$222-AZ$222,AZ243)</f>
        <v/>
      </c>
      <c r="BB243" s="1071">
        <f>+IF(AND(BA243=0,BA242&gt;0,(BB$222-BA$222)&gt;0),BB$222-BA$222,BA243)</f>
        <v/>
      </c>
      <c r="BC243" s="73">
        <f>+IF(AND(BB243=0,BB242&gt;0,(BC$222-BB$222)&gt;0),BC$222-BB$222,BB243)</f>
        <v/>
      </c>
      <c r="BD243" s="73">
        <f>+IF(AND(BC243=0,BC242&gt;0,(BD$222-BC$222)&gt;0),BD$222-BC$222,BC243)</f>
        <v/>
      </c>
      <c r="BE243" s="73">
        <f>+IF(AND(BD243=0,BD242&gt;0,(BE$222-BD$222)&gt;0),BE$222-BD$222,BD243)</f>
        <v/>
      </c>
      <c r="BF243" s="73">
        <f>+IF(AND(BE243=0,BE242&gt;0,(BF$222-BE$222)&gt;0),BF$222-BE$222,BE243)</f>
        <v/>
      </c>
      <c r="BG243" s="73">
        <f>+IF(AND(BF243=0,BF242&gt;0,(BG$222-BF$222)&gt;0),BG$222-BF$222,BF243)</f>
        <v/>
      </c>
      <c r="BH243" s="1071">
        <f>+IF(AND(BG243=0,BG242&gt;0,(BH$222-BG$222)&gt;0),BH$222-BG$222,BG243)</f>
        <v/>
      </c>
      <c r="BI243" s="73">
        <f>+IF(AND(BH243=0,BH242&gt;0,(BI$222-BH$222)&gt;0),BI$222-BH$222,BH243)</f>
        <v/>
      </c>
      <c r="BJ243" s="73">
        <f>+IF(AND(BI243=0,BI242&gt;0,(BJ$222-BI$222)&gt;0),BJ$222-BI$222,BI243)</f>
        <v/>
      </c>
      <c r="BK243" s="73">
        <f>+IF(AND(BJ243=0,BJ242&gt;0,(BK$222-BJ$222)&gt;0),BK$222-BJ$222,BJ243)</f>
        <v/>
      </c>
      <c r="BL243" s="73">
        <f>+IF(AND(BK243=0,BK242&gt;0,(BL$222-BK$222)&gt;0),BL$222-BK$222,BK243)</f>
        <v/>
      </c>
      <c r="BM243" s="73">
        <f>+IF(AND(BL243=0,BL242&gt;0,(BM$222-BL$222)&gt;0),BM$222-BL$222,BL243)</f>
        <v/>
      </c>
      <c r="BN243" s="1071">
        <f>+IF(AND(BM243=0,BM242&gt;0,(BN$222-BM$222)&gt;0),BN$222-BM$222,BM243)</f>
        <v/>
      </c>
    </row>
    <row r="244" ht="12.75" customHeight="1" s="1883">
      <c r="C244" s="1155" t="inlineStr">
        <is>
          <t>Addition 21</t>
        </is>
      </c>
      <c r="D244" s="670" t="n"/>
      <c r="E244" s="671" t="n"/>
      <c r="F244" s="74" t="n"/>
      <c r="G244" s="73">
        <f>+IF(AND(F244=0,F243&gt;0,(G$222-F$222)&gt;0),G$222-F$222,F244)</f>
        <v/>
      </c>
      <c r="H244" s="73">
        <f>+IF(AND(G244=0,G243&gt;0,(H$222-G$222)&gt;0),H$222-G$222,G244)</f>
        <v/>
      </c>
      <c r="I244" s="73">
        <f>+IF(AND(H244=0,H243&gt;0,(I$222-H$222)&gt;0),I$222-H$222,H244)</f>
        <v/>
      </c>
      <c r="J244" s="73">
        <f>+IF(AND(I244=0,I243&gt;0,(J$222-I$222)&gt;0),J$222-I$222,I244)</f>
        <v/>
      </c>
      <c r="K244" s="73">
        <f>+IF(AND(J244=0,J243&gt;0,(K$222-J$222)&gt;0),K$222-J$222,J244)</f>
        <v/>
      </c>
      <c r="L244" s="1071">
        <f>+IF(AND(K244=0,K243&gt;0,(L$222-K$222)&gt;0),L$222-K$222,K244)</f>
        <v/>
      </c>
      <c r="M244" s="73">
        <f>+IF(AND(L244=0,L243&gt;0,(M$222-L$222)&gt;0),M$222-L$222,L244)</f>
        <v/>
      </c>
      <c r="N244" s="73">
        <f>+IF(AND(M244=0,M243&gt;0,(N$222-M$222)&gt;0),N$222-M$222,M244)</f>
        <v/>
      </c>
      <c r="O244" s="73">
        <f>+IF(AND(N244=0,N243&gt;0,(O$222-N$222)&gt;0),O$222-N$222,N244)</f>
        <v/>
      </c>
      <c r="P244" s="73">
        <f>+IF(AND(O244=0,O243&gt;0,(P$222-O$222)&gt;0),P$222-O$222,O244)</f>
        <v/>
      </c>
      <c r="Q244" s="73">
        <f>+IF(AND(P244=0,P243&gt;0,(Q$222-P$222)&gt;0),Q$222-P$222,P244)</f>
        <v/>
      </c>
      <c r="R244" s="1071">
        <f>+IF(AND(Q244=0,Q243&gt;0,(R$222-Q$222)&gt;0),R$222-Q$222,Q244)</f>
        <v/>
      </c>
      <c r="S244" s="73">
        <f>+IF(AND(R244=0,R243&gt;0,(S$222-R$222)&gt;0),S$222-R$222,R244)</f>
        <v/>
      </c>
      <c r="T244" s="73">
        <f>+IF(AND(S244=0,S243&gt;0,(T$222-S$222)&gt;0),T$222-S$222,S244)</f>
        <v/>
      </c>
      <c r="U244" s="73">
        <f>+IF(AND(T244=0,T243&gt;0,(U$222-T$222)&gt;0),U$222-T$222,T244)</f>
        <v/>
      </c>
      <c r="V244" s="73">
        <f>+IF(AND(U244=0,U243&gt;0,(V$222-U$222)&gt;0),V$222-U$222,U244)</f>
        <v/>
      </c>
      <c r="W244" s="73">
        <f>+IF(AND(V244=0,V243&gt;0,(W$222-V$222)&gt;0),W$222-V$222,V244)</f>
        <v/>
      </c>
      <c r="X244" s="1071">
        <f>+IF(AND(W244=0,W243&gt;0,(X$222-W$222)&gt;0),X$222-W$222,W244)</f>
        <v/>
      </c>
      <c r="Y244" s="73">
        <f>+IF(AND(X244=0,X243&gt;0,(Y$222-X$222)&gt;0),Y$222-X$222,X244)</f>
        <v/>
      </c>
      <c r="Z244" s="73">
        <f>+IF(AND(Y244=0,Y243&gt;0,(Z$222-Y$222)&gt;0),Z$222-Y$222,Y244)</f>
        <v/>
      </c>
      <c r="AA244" s="73">
        <f>+IF(AND(Z244=0,Z243&gt;0,(AA$222-Z$222)&gt;0),AA$222-Z$222,Z244)</f>
        <v/>
      </c>
      <c r="AB244" s="73">
        <f>+IF(AND(AA244=0,AA243&gt;0,(AB$222-AA$222)&gt;0),AB$222-AA$222,AA244)</f>
        <v/>
      </c>
      <c r="AC244" s="73">
        <f>+IF(AND(AB244=0,AB243&gt;0,(AC$222-AB$222)&gt;0),AC$222-AB$222,AB244)</f>
        <v/>
      </c>
      <c r="AD244" s="1071">
        <f>+IF(AND(AC244=0,AC243&gt;0,(AD$222-AC$222)&gt;0),AD$222-AC$222,AC244)</f>
        <v/>
      </c>
      <c r="AE244" s="73">
        <f>+IF(AND(AD244=0,AD243&gt;0,(AE$222-AD$222)&gt;0),AE$222-AD$222,AD244)</f>
        <v/>
      </c>
      <c r="AF244" s="73">
        <f>+IF(AND(AE244=0,AE243&gt;0,(AF$222-AE$222)&gt;0),AF$222-AE$222,AE244)</f>
        <v/>
      </c>
      <c r="AG244" s="73">
        <f>+IF(AND(AF244=0,AF243&gt;0,(AG$222-AF$222)&gt;0),AG$222-AF$222,AF244)</f>
        <v/>
      </c>
      <c r="AH244" s="73">
        <f>+IF(AND(AG244=0,AG243&gt;0,(AH$222-AG$222)&gt;0),AH$222-AG$222,AG244)</f>
        <v/>
      </c>
      <c r="AI244" s="73">
        <f>+IF(AND(AH244=0,AH243&gt;0,(AI$222-AH$222)&gt;0),AI$222-AH$222,AH244)</f>
        <v/>
      </c>
      <c r="AJ244" s="1071">
        <f>+IF(AND(AI244=0,AI243&gt;0,(AJ$222-AI$222)&gt;0),AJ$222-AI$222,AI244)</f>
        <v/>
      </c>
      <c r="AK244" s="73">
        <f>+IF(AND(AJ244=0,AJ243&gt;0,(AK$222-AJ$222)&gt;0),AK$222-AJ$222,AJ244)</f>
        <v/>
      </c>
      <c r="AL244" s="73">
        <f>+IF(AND(AK244=0,AK243&gt;0,(AL$222-AK$222)&gt;0),AL$222-AK$222,AK244)</f>
        <v/>
      </c>
      <c r="AM244" s="73">
        <f>+IF(AND(AL244=0,AL243&gt;0,(AM$222-AL$222)&gt;0),AM$222-AL$222,AL244)</f>
        <v/>
      </c>
      <c r="AN244" s="73">
        <f>+IF(AND(AM244=0,AM243&gt;0,(AN$222-AM$222)&gt;0),AN$222-AM$222,AM244)</f>
        <v/>
      </c>
      <c r="AO244" s="73">
        <f>+IF(AND(AN244=0,AN243&gt;0,(AO$222-AN$222)&gt;0),AO$222-AN$222,AN244)</f>
        <v/>
      </c>
      <c r="AP244" s="1071">
        <f>+IF(AND(AO244=0,AO243&gt;0,(AP$222-AO$222)&gt;0),AP$222-AO$222,AO244)</f>
        <v/>
      </c>
      <c r="AQ244" s="73">
        <f>+IF(AND(AP244=0,AP243&gt;0,(AQ$222-AP$222)&gt;0),AQ$222-AP$222,AP244)</f>
        <v/>
      </c>
      <c r="AR244" s="73">
        <f>+IF(AND(AQ244=0,AQ243&gt;0,(AR$222-AQ$222)&gt;0),AR$222-AQ$222,AQ244)</f>
        <v/>
      </c>
      <c r="AS244" s="73">
        <f>+IF(AND(AR244=0,AR243&gt;0,(AS$222-AR$222)&gt;0),AS$222-AR$222,AR244)</f>
        <v/>
      </c>
      <c r="AT244" s="73">
        <f>+IF(AND(AS244=0,AS243&gt;0,(AT$222-AS$222)&gt;0),AT$222-AS$222,AS244)</f>
        <v/>
      </c>
      <c r="AU244" s="73">
        <f>+IF(AND(AT244=0,AT243&gt;0,(AU$222-AT$222)&gt;0),AU$222-AT$222,AT244)</f>
        <v/>
      </c>
      <c r="AV244" s="1071">
        <f>+IF(AND(AU244=0,AU243&gt;0,(AV$222-AU$222)&gt;0),AV$222-AU$222,AU244)</f>
        <v/>
      </c>
      <c r="AW244" s="73">
        <f>+IF(AND(AV244=0,AV243&gt;0,(AW$222-AV$222)&gt;0),AW$222-AV$222,AV244)</f>
        <v/>
      </c>
      <c r="AX244" s="73">
        <f>+IF(AND(AW244=0,AW243&gt;0,(AX$222-AW$222)&gt;0),AX$222-AW$222,AW244)</f>
        <v/>
      </c>
      <c r="AY244" s="73">
        <f>+IF(AND(AX244=0,AX243&gt;0,(AY$222-AX$222)&gt;0),AY$222-AX$222,AX244)</f>
        <v/>
      </c>
      <c r="AZ244" s="73">
        <f>+IF(AND(AY244=0,AY243&gt;0,(AZ$222-AY$222)&gt;0),AZ$222-AY$222,AY244)</f>
        <v/>
      </c>
      <c r="BA244" s="73">
        <f>+IF(AND(AZ244=0,AZ243&gt;0,(BA$222-AZ$222)&gt;0),BA$222-AZ$222,AZ244)</f>
        <v/>
      </c>
      <c r="BB244" s="1071">
        <f>+IF(AND(BA244=0,BA243&gt;0,(BB$222-BA$222)&gt;0),BB$222-BA$222,BA244)</f>
        <v/>
      </c>
      <c r="BC244" s="73">
        <f>+IF(AND(BB244=0,BB243&gt;0,(BC$222-BB$222)&gt;0),BC$222-BB$222,BB244)</f>
        <v/>
      </c>
      <c r="BD244" s="73">
        <f>+IF(AND(BC244=0,BC243&gt;0,(BD$222-BC$222)&gt;0),BD$222-BC$222,BC244)</f>
        <v/>
      </c>
      <c r="BE244" s="73">
        <f>+IF(AND(BD244=0,BD243&gt;0,(BE$222-BD$222)&gt;0),BE$222-BD$222,BD244)</f>
        <v/>
      </c>
      <c r="BF244" s="73">
        <f>+IF(AND(BE244=0,BE243&gt;0,(BF$222-BE$222)&gt;0),BF$222-BE$222,BE244)</f>
        <v/>
      </c>
      <c r="BG244" s="73">
        <f>+IF(AND(BF244=0,BF243&gt;0,(BG$222-BF$222)&gt;0),BG$222-BF$222,BF244)</f>
        <v/>
      </c>
      <c r="BH244" s="1071">
        <f>+IF(AND(BG244=0,BG243&gt;0,(BH$222-BG$222)&gt;0),BH$222-BG$222,BG244)</f>
        <v/>
      </c>
      <c r="BI244" s="73">
        <f>+IF(AND(BH244=0,BH243&gt;0,(BI$222-BH$222)&gt;0),BI$222-BH$222,BH244)</f>
        <v/>
      </c>
      <c r="BJ244" s="73">
        <f>+IF(AND(BI244=0,BI243&gt;0,(BJ$222-BI$222)&gt;0),BJ$222-BI$222,BI244)</f>
        <v/>
      </c>
      <c r="BK244" s="73">
        <f>+IF(AND(BJ244=0,BJ243&gt;0,(BK$222-BJ$222)&gt;0),BK$222-BJ$222,BJ244)</f>
        <v/>
      </c>
      <c r="BL244" s="73">
        <f>+IF(AND(BK244=0,BK243&gt;0,(BL$222-BK$222)&gt;0),BL$222-BK$222,BK244)</f>
        <v/>
      </c>
      <c r="BM244" s="73">
        <f>+IF(AND(BL244=0,BL243&gt;0,(BM$222-BL$222)&gt;0),BM$222-BL$222,BL244)</f>
        <v/>
      </c>
      <c r="BN244" s="1071">
        <f>+IF(AND(BM244=0,BM243&gt;0,(BN$222-BM$222)&gt;0),BN$222-BM$222,BM244)</f>
        <v/>
      </c>
    </row>
    <row r="245" ht="12.75" customHeight="1" s="1883">
      <c r="C245" s="1155" t="inlineStr">
        <is>
          <t>Addition 22</t>
        </is>
      </c>
      <c r="D245" s="670" t="n"/>
      <c r="E245" s="671" t="n"/>
      <c r="F245" s="74" t="n"/>
      <c r="G245" s="73">
        <f>+IF(AND(F245=0,F244&gt;0,(G$222-F$222)&gt;0),G$222-F$222,F245)</f>
        <v/>
      </c>
      <c r="H245" s="73">
        <f>+IF(AND(G245=0,G244&gt;0,(H$222-G$222)&gt;0),H$222-G$222,G245)</f>
        <v/>
      </c>
      <c r="I245" s="73">
        <f>+IF(AND(H245=0,H244&gt;0,(I$222-H$222)&gt;0),I$222-H$222,H245)</f>
        <v/>
      </c>
      <c r="J245" s="73">
        <f>+IF(AND(I245=0,I244&gt;0,(J$222-I$222)&gt;0),J$222-I$222,I245)</f>
        <v/>
      </c>
      <c r="K245" s="73">
        <f>+IF(AND(J245=0,J244&gt;0,(K$222-J$222)&gt;0),K$222-J$222,J245)</f>
        <v/>
      </c>
      <c r="L245" s="1071">
        <f>+IF(AND(K245=0,K244&gt;0,(L$222-K$222)&gt;0),L$222-K$222,K245)</f>
        <v/>
      </c>
      <c r="M245" s="73">
        <f>+IF(AND(L245=0,L244&gt;0,(M$222-L$222)&gt;0),M$222-L$222,L245)</f>
        <v/>
      </c>
      <c r="N245" s="73">
        <f>+IF(AND(M245=0,M244&gt;0,(N$222-M$222)&gt;0),N$222-M$222,M245)</f>
        <v/>
      </c>
      <c r="O245" s="73">
        <f>+IF(AND(N245=0,N244&gt;0,(O$222-N$222)&gt;0),O$222-N$222,N245)</f>
        <v/>
      </c>
      <c r="P245" s="73">
        <f>+IF(AND(O245=0,O244&gt;0,(P$222-O$222)&gt;0),P$222-O$222,O245)</f>
        <v/>
      </c>
      <c r="Q245" s="73">
        <f>+IF(AND(P245=0,P244&gt;0,(Q$222-P$222)&gt;0),Q$222-P$222,P245)</f>
        <v/>
      </c>
      <c r="R245" s="1071">
        <f>+IF(AND(Q245=0,Q244&gt;0,(R$222-Q$222)&gt;0),R$222-Q$222,Q245)</f>
        <v/>
      </c>
      <c r="S245" s="73">
        <f>+IF(AND(R245=0,R244&gt;0,(S$222-R$222)&gt;0),S$222-R$222,R245)</f>
        <v/>
      </c>
      <c r="T245" s="73">
        <f>+IF(AND(S245=0,S244&gt;0,(T$222-S$222)&gt;0),T$222-S$222,S245)</f>
        <v/>
      </c>
      <c r="U245" s="73">
        <f>+IF(AND(T245=0,T244&gt;0,(U$222-T$222)&gt;0),U$222-T$222,T245)</f>
        <v/>
      </c>
      <c r="V245" s="73">
        <f>+IF(AND(U245=0,U244&gt;0,(V$222-U$222)&gt;0),V$222-U$222,U245)</f>
        <v/>
      </c>
      <c r="W245" s="73">
        <f>+IF(AND(V245=0,V244&gt;0,(W$222-V$222)&gt;0),W$222-V$222,V245)</f>
        <v/>
      </c>
      <c r="X245" s="1071">
        <f>+IF(AND(W245=0,W244&gt;0,(X$222-W$222)&gt;0),X$222-W$222,W245)</f>
        <v/>
      </c>
      <c r="Y245" s="73">
        <f>+IF(AND(X245=0,X244&gt;0,(Y$222-X$222)&gt;0),Y$222-X$222,X245)</f>
        <v/>
      </c>
      <c r="Z245" s="73">
        <f>+IF(AND(Y245=0,Y244&gt;0,(Z$222-Y$222)&gt;0),Z$222-Y$222,Y245)</f>
        <v/>
      </c>
      <c r="AA245" s="73">
        <f>+IF(AND(Z245=0,Z244&gt;0,(AA$222-Z$222)&gt;0),AA$222-Z$222,Z245)</f>
        <v/>
      </c>
      <c r="AB245" s="73">
        <f>+IF(AND(AA245=0,AA244&gt;0,(AB$222-AA$222)&gt;0),AB$222-AA$222,AA245)</f>
        <v/>
      </c>
      <c r="AC245" s="73">
        <f>+IF(AND(AB245=0,AB244&gt;0,(AC$222-AB$222)&gt;0),AC$222-AB$222,AB245)</f>
        <v/>
      </c>
      <c r="AD245" s="1071">
        <f>+IF(AND(AC245=0,AC244&gt;0,(AD$222-AC$222)&gt;0),AD$222-AC$222,AC245)</f>
        <v/>
      </c>
      <c r="AE245" s="73">
        <f>+IF(AND(AD245=0,AD244&gt;0,(AE$222-AD$222)&gt;0),AE$222-AD$222,AD245)</f>
        <v/>
      </c>
      <c r="AF245" s="73">
        <f>+IF(AND(AE245=0,AE244&gt;0,(AF$222-AE$222)&gt;0),AF$222-AE$222,AE245)</f>
        <v/>
      </c>
      <c r="AG245" s="73">
        <f>+IF(AND(AF245=0,AF244&gt;0,(AG$222-AF$222)&gt;0),AG$222-AF$222,AF245)</f>
        <v/>
      </c>
      <c r="AH245" s="73">
        <f>+IF(AND(AG245=0,AG244&gt;0,(AH$222-AG$222)&gt;0),AH$222-AG$222,AG245)</f>
        <v/>
      </c>
      <c r="AI245" s="73">
        <f>+IF(AND(AH245=0,AH244&gt;0,(AI$222-AH$222)&gt;0),AI$222-AH$222,AH245)</f>
        <v/>
      </c>
      <c r="AJ245" s="1071">
        <f>+IF(AND(AI245=0,AI244&gt;0,(AJ$222-AI$222)&gt;0),AJ$222-AI$222,AI245)</f>
        <v/>
      </c>
      <c r="AK245" s="73">
        <f>+IF(AND(AJ245=0,AJ244&gt;0,(AK$222-AJ$222)&gt;0),AK$222-AJ$222,AJ245)</f>
        <v/>
      </c>
      <c r="AL245" s="73">
        <f>+IF(AND(AK245=0,AK244&gt;0,(AL$222-AK$222)&gt;0),AL$222-AK$222,AK245)</f>
        <v/>
      </c>
      <c r="AM245" s="73">
        <f>+IF(AND(AL245=0,AL244&gt;0,(AM$222-AL$222)&gt;0),AM$222-AL$222,AL245)</f>
        <v/>
      </c>
      <c r="AN245" s="73">
        <f>+IF(AND(AM245=0,AM244&gt;0,(AN$222-AM$222)&gt;0),AN$222-AM$222,AM245)</f>
        <v/>
      </c>
      <c r="AO245" s="73">
        <f>+IF(AND(AN245=0,AN244&gt;0,(AO$222-AN$222)&gt;0),AO$222-AN$222,AN245)</f>
        <v/>
      </c>
      <c r="AP245" s="1071">
        <f>+IF(AND(AO245=0,AO244&gt;0,(AP$222-AO$222)&gt;0),AP$222-AO$222,AO245)</f>
        <v/>
      </c>
      <c r="AQ245" s="73">
        <f>+IF(AND(AP245=0,AP244&gt;0,(AQ$222-AP$222)&gt;0),AQ$222-AP$222,AP245)</f>
        <v/>
      </c>
      <c r="AR245" s="73">
        <f>+IF(AND(AQ245=0,AQ244&gt;0,(AR$222-AQ$222)&gt;0),AR$222-AQ$222,AQ245)</f>
        <v/>
      </c>
      <c r="AS245" s="73">
        <f>+IF(AND(AR245=0,AR244&gt;0,(AS$222-AR$222)&gt;0),AS$222-AR$222,AR245)</f>
        <v/>
      </c>
      <c r="AT245" s="73">
        <f>+IF(AND(AS245=0,AS244&gt;0,(AT$222-AS$222)&gt;0),AT$222-AS$222,AS245)</f>
        <v/>
      </c>
      <c r="AU245" s="73">
        <f>+IF(AND(AT245=0,AT244&gt;0,(AU$222-AT$222)&gt;0),AU$222-AT$222,AT245)</f>
        <v/>
      </c>
      <c r="AV245" s="1071">
        <f>+IF(AND(AU245=0,AU244&gt;0,(AV$222-AU$222)&gt;0),AV$222-AU$222,AU245)</f>
        <v/>
      </c>
      <c r="AW245" s="73">
        <f>+IF(AND(AV245=0,AV244&gt;0,(AW$222-AV$222)&gt;0),AW$222-AV$222,AV245)</f>
        <v/>
      </c>
      <c r="AX245" s="73">
        <f>+IF(AND(AW245=0,AW244&gt;0,(AX$222-AW$222)&gt;0),AX$222-AW$222,AW245)</f>
        <v/>
      </c>
      <c r="AY245" s="73">
        <f>+IF(AND(AX245=0,AX244&gt;0,(AY$222-AX$222)&gt;0),AY$222-AX$222,AX245)</f>
        <v/>
      </c>
      <c r="AZ245" s="73">
        <f>+IF(AND(AY245=0,AY244&gt;0,(AZ$222-AY$222)&gt;0),AZ$222-AY$222,AY245)</f>
        <v/>
      </c>
      <c r="BA245" s="73">
        <f>+IF(AND(AZ245=0,AZ244&gt;0,(BA$222-AZ$222)&gt;0),BA$222-AZ$222,AZ245)</f>
        <v/>
      </c>
      <c r="BB245" s="1071">
        <f>+IF(AND(BA245=0,BA244&gt;0,(BB$222-BA$222)&gt;0),BB$222-BA$222,BA245)</f>
        <v/>
      </c>
      <c r="BC245" s="73">
        <f>+IF(AND(BB245=0,BB244&gt;0,(BC$222-BB$222)&gt;0),BC$222-BB$222,BB245)</f>
        <v/>
      </c>
      <c r="BD245" s="73">
        <f>+IF(AND(BC245=0,BC244&gt;0,(BD$222-BC$222)&gt;0),BD$222-BC$222,BC245)</f>
        <v/>
      </c>
      <c r="BE245" s="73">
        <f>+IF(AND(BD245=0,BD244&gt;0,(BE$222-BD$222)&gt;0),BE$222-BD$222,BD245)</f>
        <v/>
      </c>
      <c r="BF245" s="73">
        <f>+IF(AND(BE245=0,BE244&gt;0,(BF$222-BE$222)&gt;0),BF$222-BE$222,BE245)</f>
        <v/>
      </c>
      <c r="BG245" s="73">
        <f>+IF(AND(BF245=0,BF244&gt;0,(BG$222-BF$222)&gt;0),BG$222-BF$222,BF245)</f>
        <v/>
      </c>
      <c r="BH245" s="1071">
        <f>+IF(AND(BG245=0,BG244&gt;0,(BH$222-BG$222)&gt;0),BH$222-BG$222,BG245)</f>
        <v/>
      </c>
      <c r="BI245" s="73">
        <f>+IF(AND(BH245=0,BH244&gt;0,(BI$222-BH$222)&gt;0),BI$222-BH$222,BH245)</f>
        <v/>
      </c>
      <c r="BJ245" s="73">
        <f>+IF(AND(BI245=0,BI244&gt;0,(BJ$222-BI$222)&gt;0),BJ$222-BI$222,BI245)</f>
        <v/>
      </c>
      <c r="BK245" s="73">
        <f>+IF(AND(BJ245=0,BJ244&gt;0,(BK$222-BJ$222)&gt;0),BK$222-BJ$222,BJ245)</f>
        <v/>
      </c>
      <c r="BL245" s="73">
        <f>+IF(AND(BK245=0,BK244&gt;0,(BL$222-BK$222)&gt;0),BL$222-BK$222,BK245)</f>
        <v/>
      </c>
      <c r="BM245" s="73">
        <f>+IF(AND(BL245=0,BL244&gt;0,(BM$222-BL$222)&gt;0),BM$222-BL$222,BL245)</f>
        <v/>
      </c>
      <c r="BN245" s="1071">
        <f>+IF(AND(BM245=0,BM244&gt;0,(BN$222-BM$222)&gt;0),BN$222-BM$222,BM245)</f>
        <v/>
      </c>
    </row>
    <row r="246" ht="12.75" customHeight="1" s="1883">
      <c r="C246" s="1155" t="inlineStr">
        <is>
          <t>Addition 23</t>
        </is>
      </c>
      <c r="D246" s="670" t="n"/>
      <c r="E246" s="671" t="n"/>
      <c r="F246" s="74" t="n"/>
      <c r="G246" s="73">
        <f>+IF(AND(F246=0,F245&gt;0,(G$222-F$222)&gt;0),G$222-F$222,F246)</f>
        <v/>
      </c>
      <c r="H246" s="73">
        <f>+IF(AND(G246=0,G245&gt;0,(H$222-G$222)&gt;0),H$222-G$222,G246)</f>
        <v/>
      </c>
      <c r="I246" s="73">
        <f>+IF(AND(H246=0,H245&gt;0,(I$222-H$222)&gt;0),I$222-H$222,H246)</f>
        <v/>
      </c>
      <c r="J246" s="73">
        <f>+IF(AND(I246=0,I245&gt;0,(J$222-I$222)&gt;0),J$222-I$222,I246)</f>
        <v/>
      </c>
      <c r="K246" s="73">
        <f>+IF(AND(J246=0,J245&gt;0,(K$222-J$222)&gt;0),K$222-J$222,J246)</f>
        <v/>
      </c>
      <c r="L246" s="1071">
        <f>+IF(AND(K246=0,K245&gt;0,(L$222-K$222)&gt;0),L$222-K$222,K246)</f>
        <v/>
      </c>
      <c r="M246" s="73">
        <f>+IF(AND(L246=0,L245&gt;0,(M$222-L$222)&gt;0),M$222-L$222,L246)</f>
        <v/>
      </c>
      <c r="N246" s="73">
        <f>+IF(AND(M246=0,M245&gt;0,(N$222-M$222)&gt;0),N$222-M$222,M246)</f>
        <v/>
      </c>
      <c r="O246" s="73">
        <f>+IF(AND(N246=0,N245&gt;0,(O$222-N$222)&gt;0),O$222-N$222,N246)</f>
        <v/>
      </c>
      <c r="P246" s="73">
        <f>+IF(AND(O246=0,O245&gt;0,(P$222-O$222)&gt;0),P$222-O$222,O246)</f>
        <v/>
      </c>
      <c r="Q246" s="73">
        <f>+IF(AND(P246=0,P245&gt;0,(Q$222-P$222)&gt;0),Q$222-P$222,P246)</f>
        <v/>
      </c>
      <c r="R246" s="1071">
        <f>+IF(AND(Q246=0,Q245&gt;0,(R$222-Q$222)&gt;0),R$222-Q$222,Q246)</f>
        <v/>
      </c>
      <c r="S246" s="73">
        <f>+IF(AND(R246=0,R245&gt;0,(S$222-R$222)&gt;0),S$222-R$222,R246)</f>
        <v/>
      </c>
      <c r="T246" s="73">
        <f>+IF(AND(S246=0,S245&gt;0,(T$222-S$222)&gt;0),T$222-S$222,S246)</f>
        <v/>
      </c>
      <c r="U246" s="73">
        <f>+IF(AND(T246=0,T245&gt;0,(U$222-T$222)&gt;0),U$222-T$222,T246)</f>
        <v/>
      </c>
      <c r="V246" s="73">
        <f>+IF(AND(U246=0,U245&gt;0,(V$222-U$222)&gt;0),V$222-U$222,U246)</f>
        <v/>
      </c>
      <c r="W246" s="73">
        <f>+IF(AND(V246=0,V245&gt;0,(W$222-V$222)&gt;0),W$222-V$222,V246)</f>
        <v/>
      </c>
      <c r="X246" s="1071">
        <f>+IF(AND(W246=0,W245&gt;0,(X$222-W$222)&gt;0),X$222-W$222,W246)</f>
        <v/>
      </c>
      <c r="Y246" s="73">
        <f>+IF(AND(X246=0,X245&gt;0,(Y$222-X$222)&gt;0),Y$222-X$222,X246)</f>
        <v/>
      </c>
      <c r="Z246" s="73">
        <f>+IF(AND(Y246=0,Y245&gt;0,(Z$222-Y$222)&gt;0),Z$222-Y$222,Y246)</f>
        <v/>
      </c>
      <c r="AA246" s="73">
        <f>+IF(AND(Z246=0,Z245&gt;0,(AA$222-Z$222)&gt;0),AA$222-Z$222,Z246)</f>
        <v/>
      </c>
      <c r="AB246" s="73">
        <f>+IF(AND(AA246=0,AA245&gt;0,(AB$222-AA$222)&gt;0),AB$222-AA$222,AA246)</f>
        <v/>
      </c>
      <c r="AC246" s="73">
        <f>+IF(AND(AB246=0,AB245&gt;0,(AC$222-AB$222)&gt;0),AC$222-AB$222,AB246)</f>
        <v/>
      </c>
      <c r="AD246" s="1071">
        <f>+IF(AND(AC246=0,AC245&gt;0,(AD$222-AC$222)&gt;0),AD$222-AC$222,AC246)</f>
        <v/>
      </c>
      <c r="AE246" s="73">
        <f>+IF(AND(AD246=0,AD245&gt;0,(AE$222-AD$222)&gt;0),AE$222-AD$222,AD246)</f>
        <v/>
      </c>
      <c r="AF246" s="73">
        <f>+IF(AND(AE246=0,AE245&gt;0,(AF$222-AE$222)&gt;0),AF$222-AE$222,AE246)</f>
        <v/>
      </c>
      <c r="AG246" s="73">
        <f>+IF(AND(AF246=0,AF245&gt;0,(AG$222-AF$222)&gt;0),AG$222-AF$222,AF246)</f>
        <v/>
      </c>
      <c r="AH246" s="73">
        <f>+IF(AND(AG246=0,AG245&gt;0,(AH$222-AG$222)&gt;0),AH$222-AG$222,AG246)</f>
        <v/>
      </c>
      <c r="AI246" s="73">
        <f>+IF(AND(AH246=0,AH245&gt;0,(AI$222-AH$222)&gt;0),AI$222-AH$222,AH246)</f>
        <v/>
      </c>
      <c r="AJ246" s="1071">
        <f>+IF(AND(AI246=0,AI245&gt;0,(AJ$222-AI$222)&gt;0),AJ$222-AI$222,AI246)</f>
        <v/>
      </c>
      <c r="AK246" s="73">
        <f>+IF(AND(AJ246=0,AJ245&gt;0,(AK$222-AJ$222)&gt;0),AK$222-AJ$222,AJ246)</f>
        <v/>
      </c>
      <c r="AL246" s="73">
        <f>+IF(AND(AK246=0,AK245&gt;0,(AL$222-AK$222)&gt;0),AL$222-AK$222,AK246)</f>
        <v/>
      </c>
      <c r="AM246" s="73">
        <f>+IF(AND(AL246=0,AL245&gt;0,(AM$222-AL$222)&gt;0),AM$222-AL$222,AL246)</f>
        <v/>
      </c>
      <c r="AN246" s="73">
        <f>+IF(AND(AM246=0,AM245&gt;0,(AN$222-AM$222)&gt;0),AN$222-AM$222,AM246)</f>
        <v/>
      </c>
      <c r="AO246" s="73">
        <f>+IF(AND(AN246=0,AN245&gt;0,(AO$222-AN$222)&gt;0),AO$222-AN$222,AN246)</f>
        <v/>
      </c>
      <c r="AP246" s="1071">
        <f>+IF(AND(AO246=0,AO245&gt;0,(AP$222-AO$222)&gt;0),AP$222-AO$222,AO246)</f>
        <v/>
      </c>
      <c r="AQ246" s="73">
        <f>+IF(AND(AP246=0,AP245&gt;0,(AQ$222-AP$222)&gt;0),AQ$222-AP$222,AP246)</f>
        <v/>
      </c>
      <c r="AR246" s="73">
        <f>+IF(AND(AQ246=0,AQ245&gt;0,(AR$222-AQ$222)&gt;0),AR$222-AQ$222,AQ246)</f>
        <v/>
      </c>
      <c r="AS246" s="73">
        <f>+IF(AND(AR246=0,AR245&gt;0,(AS$222-AR$222)&gt;0),AS$222-AR$222,AR246)</f>
        <v/>
      </c>
      <c r="AT246" s="73">
        <f>+IF(AND(AS246=0,AS245&gt;0,(AT$222-AS$222)&gt;0),AT$222-AS$222,AS246)</f>
        <v/>
      </c>
      <c r="AU246" s="73">
        <f>+IF(AND(AT246=0,AT245&gt;0,(AU$222-AT$222)&gt;0),AU$222-AT$222,AT246)</f>
        <v/>
      </c>
      <c r="AV246" s="1071">
        <f>+IF(AND(AU246=0,AU245&gt;0,(AV$222-AU$222)&gt;0),AV$222-AU$222,AU246)</f>
        <v/>
      </c>
      <c r="AW246" s="73">
        <f>+IF(AND(AV246=0,AV245&gt;0,(AW$222-AV$222)&gt;0),AW$222-AV$222,AV246)</f>
        <v/>
      </c>
      <c r="AX246" s="73">
        <f>+IF(AND(AW246=0,AW245&gt;0,(AX$222-AW$222)&gt;0),AX$222-AW$222,AW246)</f>
        <v/>
      </c>
      <c r="AY246" s="73">
        <f>+IF(AND(AX246=0,AX245&gt;0,(AY$222-AX$222)&gt;0),AY$222-AX$222,AX246)</f>
        <v/>
      </c>
      <c r="AZ246" s="73">
        <f>+IF(AND(AY246=0,AY245&gt;0,(AZ$222-AY$222)&gt;0),AZ$222-AY$222,AY246)</f>
        <v/>
      </c>
      <c r="BA246" s="73">
        <f>+IF(AND(AZ246=0,AZ245&gt;0,(BA$222-AZ$222)&gt;0),BA$222-AZ$222,AZ246)</f>
        <v/>
      </c>
      <c r="BB246" s="1071">
        <f>+IF(AND(BA246=0,BA245&gt;0,(BB$222-BA$222)&gt;0),BB$222-BA$222,BA246)</f>
        <v/>
      </c>
      <c r="BC246" s="73">
        <f>+IF(AND(BB246=0,BB245&gt;0,(BC$222-BB$222)&gt;0),BC$222-BB$222,BB246)</f>
        <v/>
      </c>
      <c r="BD246" s="73">
        <f>+IF(AND(BC246=0,BC245&gt;0,(BD$222-BC$222)&gt;0),BD$222-BC$222,BC246)</f>
        <v/>
      </c>
      <c r="BE246" s="73">
        <f>+IF(AND(BD246=0,BD245&gt;0,(BE$222-BD$222)&gt;0),BE$222-BD$222,BD246)</f>
        <v/>
      </c>
      <c r="BF246" s="73">
        <f>+IF(AND(BE246=0,BE245&gt;0,(BF$222-BE$222)&gt;0),BF$222-BE$222,BE246)</f>
        <v/>
      </c>
      <c r="BG246" s="73">
        <f>+IF(AND(BF246=0,BF245&gt;0,(BG$222-BF$222)&gt;0),BG$222-BF$222,BF246)</f>
        <v/>
      </c>
      <c r="BH246" s="1071">
        <f>+IF(AND(BG246=0,BG245&gt;0,(BH$222-BG$222)&gt;0),BH$222-BG$222,BG246)</f>
        <v/>
      </c>
      <c r="BI246" s="73">
        <f>+IF(AND(BH246=0,BH245&gt;0,(BI$222-BH$222)&gt;0),BI$222-BH$222,BH246)</f>
        <v/>
      </c>
      <c r="BJ246" s="73">
        <f>+IF(AND(BI246=0,BI245&gt;0,(BJ$222-BI$222)&gt;0),BJ$222-BI$222,BI246)</f>
        <v/>
      </c>
      <c r="BK246" s="73">
        <f>+IF(AND(BJ246=0,BJ245&gt;0,(BK$222-BJ$222)&gt;0),BK$222-BJ$222,BJ246)</f>
        <v/>
      </c>
      <c r="BL246" s="73">
        <f>+IF(AND(BK246=0,BK245&gt;0,(BL$222-BK$222)&gt;0),BL$222-BK$222,BK246)</f>
        <v/>
      </c>
      <c r="BM246" s="73">
        <f>+IF(AND(BL246=0,BL245&gt;0,(BM$222-BL$222)&gt;0),BM$222-BL$222,BL246)</f>
        <v/>
      </c>
      <c r="BN246" s="1071">
        <f>+IF(AND(BM246=0,BM245&gt;0,(BN$222-BM$222)&gt;0),BN$222-BM$222,BM246)</f>
        <v/>
      </c>
    </row>
    <row r="247" ht="12.75" customHeight="1" s="1883">
      <c r="C247" s="1155" t="inlineStr">
        <is>
          <t>Addition 24</t>
        </is>
      </c>
      <c r="D247" s="670" t="n"/>
      <c r="E247" s="671" t="n"/>
      <c r="F247" s="74" t="n"/>
      <c r="G247" s="73">
        <f>+IF(AND(F247=0,F246&gt;0,(G$222-F$222)&gt;0),G$222-F$222,F247)</f>
        <v/>
      </c>
      <c r="H247" s="73">
        <f>+IF(AND(G247=0,G246&gt;0,(H$222-G$222)&gt;0),H$222-G$222,G247)</f>
        <v/>
      </c>
      <c r="I247" s="73">
        <f>+IF(AND(H247=0,H246&gt;0,(I$222-H$222)&gt;0),I$222-H$222,H247)</f>
        <v/>
      </c>
      <c r="J247" s="73">
        <f>+IF(AND(I247=0,I246&gt;0,(J$222-I$222)&gt;0),J$222-I$222,I247)</f>
        <v/>
      </c>
      <c r="K247" s="73">
        <f>+IF(AND(J247=0,J246&gt;0,(K$222-J$222)&gt;0),K$222-J$222,J247)</f>
        <v/>
      </c>
      <c r="L247" s="1071">
        <f>+IF(AND(K247=0,K246&gt;0,(L$222-K$222)&gt;0),L$222-K$222,K247)</f>
        <v/>
      </c>
      <c r="M247" s="73">
        <f>+IF(AND(L247=0,L246&gt;0,(M$222-L$222)&gt;0),M$222-L$222,L247)</f>
        <v/>
      </c>
      <c r="N247" s="73">
        <f>+IF(AND(M247=0,M246&gt;0,(N$222-M$222)&gt;0),N$222-M$222,M247)</f>
        <v/>
      </c>
      <c r="O247" s="73">
        <f>+IF(AND(N247=0,N246&gt;0,(O$222-N$222)&gt;0),O$222-N$222,N247)</f>
        <v/>
      </c>
      <c r="P247" s="73">
        <f>+IF(AND(O247=0,O246&gt;0,(P$222-O$222)&gt;0),P$222-O$222,O247)</f>
        <v/>
      </c>
      <c r="Q247" s="73">
        <f>+IF(AND(P247=0,P246&gt;0,(Q$222-P$222)&gt;0),Q$222-P$222,P247)</f>
        <v/>
      </c>
      <c r="R247" s="1071">
        <f>+IF(AND(Q247=0,Q246&gt;0,(R$222-Q$222)&gt;0),R$222-Q$222,Q247)</f>
        <v/>
      </c>
      <c r="S247" s="73">
        <f>+IF(AND(R247=0,R246&gt;0,(S$222-R$222)&gt;0),S$222-R$222,R247)</f>
        <v/>
      </c>
      <c r="T247" s="73">
        <f>+IF(AND(S247=0,S246&gt;0,(T$222-S$222)&gt;0),T$222-S$222,S247)</f>
        <v/>
      </c>
      <c r="U247" s="73">
        <f>+IF(AND(T247=0,T246&gt;0,(U$222-T$222)&gt;0),U$222-T$222,T247)</f>
        <v/>
      </c>
      <c r="V247" s="73">
        <f>+IF(AND(U247=0,U246&gt;0,(V$222-U$222)&gt;0),V$222-U$222,U247)</f>
        <v/>
      </c>
      <c r="W247" s="73">
        <f>+IF(AND(V247=0,V246&gt;0,(W$222-V$222)&gt;0),W$222-V$222,V247)</f>
        <v/>
      </c>
      <c r="X247" s="1071">
        <f>+IF(AND(W247=0,W246&gt;0,(X$222-W$222)&gt;0),X$222-W$222,W247)</f>
        <v/>
      </c>
      <c r="Y247" s="73">
        <f>+IF(AND(X247=0,X246&gt;0,(Y$222-X$222)&gt;0),Y$222-X$222,X247)</f>
        <v/>
      </c>
      <c r="Z247" s="73">
        <f>+IF(AND(Y247=0,Y246&gt;0,(Z$222-Y$222)&gt;0),Z$222-Y$222,Y247)</f>
        <v/>
      </c>
      <c r="AA247" s="73">
        <f>+IF(AND(Z247=0,Z246&gt;0,(AA$222-Z$222)&gt;0),AA$222-Z$222,Z247)</f>
        <v/>
      </c>
      <c r="AB247" s="73">
        <f>+IF(AND(AA247=0,AA246&gt;0,(AB$222-AA$222)&gt;0),AB$222-AA$222,AA247)</f>
        <v/>
      </c>
      <c r="AC247" s="73">
        <f>+IF(AND(AB247=0,AB246&gt;0,(AC$222-AB$222)&gt;0),AC$222-AB$222,AB247)</f>
        <v/>
      </c>
      <c r="AD247" s="1071">
        <f>+IF(AND(AC247=0,AC246&gt;0,(AD$222-AC$222)&gt;0),AD$222-AC$222,AC247)</f>
        <v/>
      </c>
      <c r="AE247" s="73">
        <f>+IF(AND(AD247=0,AD246&gt;0,(AE$222-AD$222)&gt;0),AE$222-AD$222,AD247)</f>
        <v/>
      </c>
      <c r="AF247" s="73">
        <f>+IF(AND(AE247=0,AE246&gt;0,(AF$222-AE$222)&gt;0),AF$222-AE$222,AE247)</f>
        <v/>
      </c>
      <c r="AG247" s="73">
        <f>+IF(AND(AF247=0,AF246&gt;0,(AG$222-AF$222)&gt;0),AG$222-AF$222,AF247)</f>
        <v/>
      </c>
      <c r="AH247" s="73">
        <f>+IF(AND(AG247=0,AG246&gt;0,(AH$222-AG$222)&gt;0),AH$222-AG$222,AG247)</f>
        <v/>
      </c>
      <c r="AI247" s="73">
        <f>+IF(AND(AH247=0,AH246&gt;0,(AI$222-AH$222)&gt;0),AI$222-AH$222,AH247)</f>
        <v/>
      </c>
      <c r="AJ247" s="1071">
        <f>+IF(AND(AI247=0,AI246&gt;0,(AJ$222-AI$222)&gt;0),AJ$222-AI$222,AI247)</f>
        <v/>
      </c>
      <c r="AK247" s="73">
        <f>+IF(AND(AJ247=0,AJ246&gt;0,(AK$222-AJ$222)&gt;0),AK$222-AJ$222,AJ247)</f>
        <v/>
      </c>
      <c r="AL247" s="73">
        <f>+IF(AND(AK247=0,AK246&gt;0,(AL$222-AK$222)&gt;0),AL$222-AK$222,AK247)</f>
        <v/>
      </c>
      <c r="AM247" s="73">
        <f>+IF(AND(AL247=0,AL246&gt;0,(AM$222-AL$222)&gt;0),AM$222-AL$222,AL247)</f>
        <v/>
      </c>
      <c r="AN247" s="73">
        <f>+IF(AND(AM247=0,AM246&gt;0,(AN$222-AM$222)&gt;0),AN$222-AM$222,AM247)</f>
        <v/>
      </c>
      <c r="AO247" s="73">
        <f>+IF(AND(AN247=0,AN246&gt;0,(AO$222-AN$222)&gt;0),AO$222-AN$222,AN247)</f>
        <v/>
      </c>
      <c r="AP247" s="1071">
        <f>+IF(AND(AO247=0,AO246&gt;0,(AP$222-AO$222)&gt;0),AP$222-AO$222,AO247)</f>
        <v/>
      </c>
      <c r="AQ247" s="73">
        <f>+IF(AND(AP247=0,AP246&gt;0,(AQ$222-AP$222)&gt;0),AQ$222-AP$222,AP247)</f>
        <v/>
      </c>
      <c r="AR247" s="73">
        <f>+IF(AND(AQ247=0,AQ246&gt;0,(AR$222-AQ$222)&gt;0),AR$222-AQ$222,AQ247)</f>
        <v/>
      </c>
      <c r="AS247" s="73">
        <f>+IF(AND(AR247=0,AR246&gt;0,(AS$222-AR$222)&gt;0),AS$222-AR$222,AR247)</f>
        <v/>
      </c>
      <c r="AT247" s="73">
        <f>+IF(AND(AS247=0,AS246&gt;0,(AT$222-AS$222)&gt;0),AT$222-AS$222,AS247)</f>
        <v/>
      </c>
      <c r="AU247" s="73">
        <f>+IF(AND(AT247=0,AT246&gt;0,(AU$222-AT$222)&gt;0),AU$222-AT$222,AT247)</f>
        <v/>
      </c>
      <c r="AV247" s="1071">
        <f>+IF(AND(AU247=0,AU246&gt;0,(AV$222-AU$222)&gt;0),AV$222-AU$222,AU247)</f>
        <v/>
      </c>
      <c r="AW247" s="73">
        <f>+IF(AND(AV247=0,AV246&gt;0,(AW$222-AV$222)&gt;0),AW$222-AV$222,AV247)</f>
        <v/>
      </c>
      <c r="AX247" s="73">
        <f>+IF(AND(AW247=0,AW246&gt;0,(AX$222-AW$222)&gt;0),AX$222-AW$222,AW247)</f>
        <v/>
      </c>
      <c r="AY247" s="73">
        <f>+IF(AND(AX247=0,AX246&gt;0,(AY$222-AX$222)&gt;0),AY$222-AX$222,AX247)</f>
        <v/>
      </c>
      <c r="AZ247" s="73">
        <f>+IF(AND(AY247=0,AY246&gt;0,(AZ$222-AY$222)&gt;0),AZ$222-AY$222,AY247)</f>
        <v/>
      </c>
      <c r="BA247" s="73">
        <f>+IF(AND(AZ247=0,AZ246&gt;0,(BA$222-AZ$222)&gt;0),BA$222-AZ$222,AZ247)</f>
        <v/>
      </c>
      <c r="BB247" s="1071">
        <f>+IF(AND(BA247=0,BA246&gt;0,(BB$222-BA$222)&gt;0),BB$222-BA$222,BA247)</f>
        <v/>
      </c>
      <c r="BC247" s="73">
        <f>+IF(AND(BB247=0,BB246&gt;0,(BC$222-BB$222)&gt;0),BC$222-BB$222,BB247)</f>
        <v/>
      </c>
      <c r="BD247" s="73">
        <f>+IF(AND(BC247=0,BC246&gt;0,(BD$222-BC$222)&gt;0),BD$222-BC$222,BC247)</f>
        <v/>
      </c>
      <c r="BE247" s="73">
        <f>+IF(AND(BD247=0,BD246&gt;0,(BE$222-BD$222)&gt;0),BE$222-BD$222,BD247)</f>
        <v/>
      </c>
      <c r="BF247" s="73">
        <f>+IF(AND(BE247=0,BE246&gt;0,(BF$222-BE$222)&gt;0),BF$222-BE$222,BE247)</f>
        <v/>
      </c>
      <c r="BG247" s="73">
        <f>+IF(AND(BF247=0,BF246&gt;0,(BG$222-BF$222)&gt;0),BG$222-BF$222,BF247)</f>
        <v/>
      </c>
      <c r="BH247" s="1071">
        <f>+IF(AND(BG247=0,BG246&gt;0,(BH$222-BG$222)&gt;0),BH$222-BG$222,BG247)</f>
        <v/>
      </c>
      <c r="BI247" s="73">
        <f>+IF(AND(BH247=0,BH246&gt;0,(BI$222-BH$222)&gt;0),BI$222-BH$222,BH247)</f>
        <v/>
      </c>
      <c r="BJ247" s="73">
        <f>+IF(AND(BI247=0,BI246&gt;0,(BJ$222-BI$222)&gt;0),BJ$222-BI$222,BI247)</f>
        <v/>
      </c>
      <c r="BK247" s="73">
        <f>+IF(AND(BJ247=0,BJ246&gt;0,(BK$222-BJ$222)&gt;0),BK$222-BJ$222,BJ247)</f>
        <v/>
      </c>
      <c r="BL247" s="73">
        <f>+IF(AND(BK247=0,BK246&gt;0,(BL$222-BK$222)&gt;0),BL$222-BK$222,BK247)</f>
        <v/>
      </c>
      <c r="BM247" s="73">
        <f>+IF(AND(BL247=0,BL246&gt;0,(BM$222-BL$222)&gt;0),BM$222-BL$222,BL247)</f>
        <v/>
      </c>
      <c r="BN247" s="1071">
        <f>+IF(AND(BM247=0,BM246&gt;0,(BN$222-BM$222)&gt;0),BN$222-BM$222,BM247)</f>
        <v/>
      </c>
    </row>
    <row r="248" ht="12.75" customHeight="1" s="1883">
      <c r="C248" s="1155" t="inlineStr">
        <is>
          <t>Addition 25</t>
        </is>
      </c>
      <c r="D248" s="670" t="n"/>
      <c r="E248" s="671" t="n"/>
      <c r="F248" s="74" t="n"/>
      <c r="G248" s="73">
        <f>+IF(AND(F248=0,F247&gt;0,(G$222-F$222)&gt;0),G$222-F$222,F248)</f>
        <v/>
      </c>
      <c r="H248" s="73">
        <f>+IF(AND(G248=0,G247&gt;0,(H$222-G$222)&gt;0),H$222-G$222,G248)</f>
        <v/>
      </c>
      <c r="I248" s="73">
        <f>+IF(AND(H248=0,H247&gt;0,(I$222-H$222)&gt;0),I$222-H$222,H248)</f>
        <v/>
      </c>
      <c r="J248" s="73">
        <f>+IF(AND(I248=0,I247&gt;0,(J$222-I$222)&gt;0),J$222-I$222,I248)</f>
        <v/>
      </c>
      <c r="K248" s="73">
        <f>+IF(AND(J248=0,J247&gt;0,(K$222-J$222)&gt;0),K$222-J$222,J248)</f>
        <v/>
      </c>
      <c r="L248" s="1071">
        <f>+IF(AND(K248=0,K247&gt;0,(L$222-K$222)&gt;0),L$222-K$222,K248)</f>
        <v/>
      </c>
      <c r="M248" s="73">
        <f>+IF(AND(L248=0,L247&gt;0,(M$222-L$222)&gt;0),M$222-L$222,L248)</f>
        <v/>
      </c>
      <c r="N248" s="73">
        <f>+IF(AND(M248=0,M247&gt;0,(N$222-M$222)&gt;0),N$222-M$222,M248)</f>
        <v/>
      </c>
      <c r="O248" s="73">
        <f>+IF(AND(N248=0,N247&gt;0,(O$222-N$222)&gt;0),O$222-N$222,N248)</f>
        <v/>
      </c>
      <c r="P248" s="73">
        <f>+IF(AND(O248=0,O247&gt;0,(P$222-O$222)&gt;0),P$222-O$222,O248)</f>
        <v/>
      </c>
      <c r="Q248" s="73">
        <f>+IF(AND(P248=0,P247&gt;0,(Q$222-P$222)&gt;0),Q$222-P$222,P248)</f>
        <v/>
      </c>
      <c r="R248" s="1071">
        <f>+IF(AND(Q248=0,Q247&gt;0,(R$222-Q$222)&gt;0),R$222-Q$222,Q248)</f>
        <v/>
      </c>
      <c r="S248" s="73">
        <f>+IF(AND(R248=0,R247&gt;0,(S$222-R$222)&gt;0),S$222-R$222,R248)</f>
        <v/>
      </c>
      <c r="T248" s="73">
        <f>+IF(AND(S248=0,S247&gt;0,(T$222-S$222)&gt;0),T$222-S$222,S248)</f>
        <v/>
      </c>
      <c r="U248" s="73">
        <f>+IF(AND(T248=0,T247&gt;0,(U$222-T$222)&gt;0),U$222-T$222,T248)</f>
        <v/>
      </c>
      <c r="V248" s="73">
        <f>+IF(AND(U248=0,U247&gt;0,(V$222-U$222)&gt;0),V$222-U$222,U248)</f>
        <v/>
      </c>
      <c r="W248" s="73">
        <f>+IF(AND(V248=0,V247&gt;0,(W$222-V$222)&gt;0),W$222-V$222,V248)</f>
        <v/>
      </c>
      <c r="X248" s="1071">
        <f>+IF(AND(W248=0,W247&gt;0,(X$222-W$222)&gt;0),X$222-W$222,W248)</f>
        <v/>
      </c>
      <c r="Y248" s="73">
        <f>+IF(AND(X248=0,X247&gt;0,(Y$222-X$222)&gt;0),Y$222-X$222,X248)</f>
        <v/>
      </c>
      <c r="Z248" s="73">
        <f>+IF(AND(Y248=0,Y247&gt;0,(Z$222-Y$222)&gt;0),Z$222-Y$222,Y248)</f>
        <v/>
      </c>
      <c r="AA248" s="73">
        <f>+IF(AND(Z248=0,Z247&gt;0,(AA$222-Z$222)&gt;0),AA$222-Z$222,Z248)</f>
        <v/>
      </c>
      <c r="AB248" s="73">
        <f>+IF(AND(AA248=0,AA247&gt;0,(AB$222-AA$222)&gt;0),AB$222-AA$222,AA248)</f>
        <v/>
      </c>
      <c r="AC248" s="73">
        <f>+IF(AND(AB248=0,AB247&gt;0,(AC$222-AB$222)&gt;0),AC$222-AB$222,AB248)</f>
        <v/>
      </c>
      <c r="AD248" s="1071">
        <f>+IF(AND(AC248=0,AC247&gt;0,(AD$222-AC$222)&gt;0),AD$222-AC$222,AC248)</f>
        <v/>
      </c>
      <c r="AE248" s="73">
        <f>+IF(AND(AD248=0,AD247&gt;0,(AE$222-AD$222)&gt;0),AE$222-AD$222,AD248)</f>
        <v/>
      </c>
      <c r="AF248" s="73">
        <f>+IF(AND(AE248=0,AE247&gt;0,(AF$222-AE$222)&gt;0),AF$222-AE$222,AE248)</f>
        <v/>
      </c>
      <c r="AG248" s="73">
        <f>+IF(AND(AF248=0,AF247&gt;0,(AG$222-AF$222)&gt;0),AG$222-AF$222,AF248)</f>
        <v/>
      </c>
      <c r="AH248" s="73">
        <f>+IF(AND(AG248=0,AG247&gt;0,(AH$222-AG$222)&gt;0),AH$222-AG$222,AG248)</f>
        <v/>
      </c>
      <c r="AI248" s="73">
        <f>+IF(AND(AH248=0,AH247&gt;0,(AI$222-AH$222)&gt;0),AI$222-AH$222,AH248)</f>
        <v/>
      </c>
      <c r="AJ248" s="1071">
        <f>+IF(AND(AI248=0,AI247&gt;0,(AJ$222-AI$222)&gt;0),AJ$222-AI$222,AI248)</f>
        <v/>
      </c>
      <c r="AK248" s="73">
        <f>+IF(AND(AJ248=0,AJ247&gt;0,(AK$222-AJ$222)&gt;0),AK$222-AJ$222,AJ248)</f>
        <v/>
      </c>
      <c r="AL248" s="73">
        <f>+IF(AND(AK248=0,AK247&gt;0,(AL$222-AK$222)&gt;0),AL$222-AK$222,AK248)</f>
        <v/>
      </c>
      <c r="AM248" s="73">
        <f>+IF(AND(AL248=0,AL247&gt;0,(AM$222-AL$222)&gt;0),AM$222-AL$222,AL248)</f>
        <v/>
      </c>
      <c r="AN248" s="73">
        <f>+IF(AND(AM248=0,AM247&gt;0,(AN$222-AM$222)&gt;0),AN$222-AM$222,AM248)</f>
        <v/>
      </c>
      <c r="AO248" s="73">
        <f>+IF(AND(AN248=0,AN247&gt;0,(AO$222-AN$222)&gt;0),AO$222-AN$222,AN248)</f>
        <v/>
      </c>
      <c r="AP248" s="1071">
        <f>+IF(AND(AO248=0,AO247&gt;0,(AP$222-AO$222)&gt;0),AP$222-AO$222,AO248)</f>
        <v/>
      </c>
      <c r="AQ248" s="73">
        <f>+IF(AND(AP248=0,AP247&gt;0,(AQ$222-AP$222)&gt;0),AQ$222-AP$222,AP248)</f>
        <v/>
      </c>
      <c r="AR248" s="73">
        <f>+IF(AND(AQ248=0,AQ247&gt;0,(AR$222-AQ$222)&gt;0),AR$222-AQ$222,AQ248)</f>
        <v/>
      </c>
      <c r="AS248" s="73">
        <f>+IF(AND(AR248=0,AR247&gt;0,(AS$222-AR$222)&gt;0),AS$222-AR$222,AR248)</f>
        <v/>
      </c>
      <c r="AT248" s="73">
        <f>+IF(AND(AS248=0,AS247&gt;0,(AT$222-AS$222)&gt;0),AT$222-AS$222,AS248)</f>
        <v/>
      </c>
      <c r="AU248" s="73">
        <f>+IF(AND(AT248=0,AT247&gt;0,(AU$222-AT$222)&gt;0),AU$222-AT$222,AT248)</f>
        <v/>
      </c>
      <c r="AV248" s="1071">
        <f>+IF(AND(AU248=0,AU247&gt;0,(AV$222-AU$222)&gt;0),AV$222-AU$222,AU248)</f>
        <v/>
      </c>
      <c r="AW248" s="73">
        <f>+IF(AND(AV248=0,AV247&gt;0,(AW$222-AV$222)&gt;0),AW$222-AV$222,AV248)</f>
        <v/>
      </c>
      <c r="AX248" s="73">
        <f>+IF(AND(AW248=0,AW247&gt;0,(AX$222-AW$222)&gt;0),AX$222-AW$222,AW248)</f>
        <v/>
      </c>
      <c r="AY248" s="73">
        <f>+IF(AND(AX248=0,AX247&gt;0,(AY$222-AX$222)&gt;0),AY$222-AX$222,AX248)</f>
        <v/>
      </c>
      <c r="AZ248" s="73">
        <f>+IF(AND(AY248=0,AY247&gt;0,(AZ$222-AY$222)&gt;0),AZ$222-AY$222,AY248)</f>
        <v/>
      </c>
      <c r="BA248" s="73">
        <f>+IF(AND(AZ248=0,AZ247&gt;0,(BA$222-AZ$222)&gt;0),BA$222-AZ$222,AZ248)</f>
        <v/>
      </c>
      <c r="BB248" s="1071">
        <f>+IF(AND(BA248=0,BA247&gt;0,(BB$222-BA$222)&gt;0),BB$222-BA$222,BA248)</f>
        <v/>
      </c>
      <c r="BC248" s="73">
        <f>+IF(AND(BB248=0,BB247&gt;0,(BC$222-BB$222)&gt;0),BC$222-BB$222,BB248)</f>
        <v/>
      </c>
      <c r="BD248" s="73">
        <f>+IF(AND(BC248=0,BC247&gt;0,(BD$222-BC$222)&gt;0),BD$222-BC$222,BC248)</f>
        <v/>
      </c>
      <c r="BE248" s="73">
        <f>+IF(AND(BD248=0,BD247&gt;0,(BE$222-BD$222)&gt;0),BE$222-BD$222,BD248)</f>
        <v/>
      </c>
      <c r="BF248" s="73">
        <f>+IF(AND(BE248=0,BE247&gt;0,(BF$222-BE$222)&gt;0),BF$222-BE$222,BE248)</f>
        <v/>
      </c>
      <c r="BG248" s="73">
        <f>+IF(AND(BF248=0,BF247&gt;0,(BG$222-BF$222)&gt;0),BG$222-BF$222,BF248)</f>
        <v/>
      </c>
      <c r="BH248" s="1071">
        <f>+IF(AND(BG248=0,BG247&gt;0,(BH$222-BG$222)&gt;0),BH$222-BG$222,BG248)</f>
        <v/>
      </c>
      <c r="BI248" s="73">
        <f>+IF(AND(BH248=0,BH247&gt;0,(BI$222-BH$222)&gt;0),BI$222-BH$222,BH248)</f>
        <v/>
      </c>
      <c r="BJ248" s="73">
        <f>+IF(AND(BI248=0,BI247&gt;0,(BJ$222-BI$222)&gt;0),BJ$222-BI$222,BI248)</f>
        <v/>
      </c>
      <c r="BK248" s="73">
        <f>+IF(AND(BJ248=0,BJ247&gt;0,(BK$222-BJ$222)&gt;0),BK$222-BJ$222,BJ248)</f>
        <v/>
      </c>
      <c r="BL248" s="73">
        <f>+IF(AND(BK248=0,BK247&gt;0,(BL$222-BK$222)&gt;0),BL$222-BK$222,BK248)</f>
        <v/>
      </c>
      <c r="BM248" s="73">
        <f>+IF(AND(BL248=0,BL247&gt;0,(BM$222-BL$222)&gt;0),BM$222-BL$222,BL248)</f>
        <v/>
      </c>
      <c r="BN248" s="1071">
        <f>+IF(AND(BM248=0,BM247&gt;0,(BN$222-BM$222)&gt;0),BN$222-BM$222,BM248)</f>
        <v/>
      </c>
    </row>
    <row r="249" ht="12.75" customHeight="1" s="1883">
      <c r="C249" s="1155" t="inlineStr">
        <is>
          <t>Addition 26</t>
        </is>
      </c>
      <c r="D249" s="670" t="n"/>
      <c r="E249" s="671" t="n"/>
      <c r="F249" s="74" t="n"/>
      <c r="G249" s="73">
        <f>+IF(AND(F249=0,F248&gt;0,(G$222-F$222)&gt;0),G$222-F$222,F249)</f>
        <v/>
      </c>
      <c r="H249" s="73">
        <f>+IF(AND(G249=0,G248&gt;0,(H$222-G$222)&gt;0),H$222-G$222,G249)</f>
        <v/>
      </c>
      <c r="I249" s="73">
        <f>+IF(AND(H249=0,H248&gt;0,(I$222-H$222)&gt;0),I$222-H$222,H249)</f>
        <v/>
      </c>
      <c r="J249" s="73">
        <f>+IF(AND(I249=0,I248&gt;0,(J$222-I$222)&gt;0),J$222-I$222,I249)</f>
        <v/>
      </c>
      <c r="K249" s="73">
        <f>+IF(AND(J249=0,J248&gt;0,(K$222-J$222)&gt;0),K$222-J$222,J249)</f>
        <v/>
      </c>
      <c r="L249" s="1071">
        <f>+IF(AND(K249=0,K248&gt;0,(L$222-K$222)&gt;0),L$222-K$222,K249)</f>
        <v/>
      </c>
      <c r="M249" s="73">
        <f>+IF(AND(L249=0,L248&gt;0,(M$222-L$222)&gt;0),M$222-L$222,L249)</f>
        <v/>
      </c>
      <c r="N249" s="73">
        <f>+IF(AND(M249=0,M248&gt;0,(N$222-M$222)&gt;0),N$222-M$222,M249)</f>
        <v/>
      </c>
      <c r="O249" s="73">
        <f>+IF(AND(N249=0,N248&gt;0,(O$222-N$222)&gt;0),O$222-N$222,N249)</f>
        <v/>
      </c>
      <c r="P249" s="73">
        <f>+IF(AND(O249=0,O248&gt;0,(P$222-O$222)&gt;0),P$222-O$222,O249)</f>
        <v/>
      </c>
      <c r="Q249" s="73">
        <f>+IF(AND(P249=0,P248&gt;0,(Q$222-P$222)&gt;0),Q$222-P$222,P249)</f>
        <v/>
      </c>
      <c r="R249" s="1071">
        <f>+IF(AND(Q249=0,Q248&gt;0,(R$222-Q$222)&gt;0),R$222-Q$222,Q249)</f>
        <v/>
      </c>
      <c r="S249" s="73">
        <f>+IF(AND(R249=0,R248&gt;0,(S$222-R$222)&gt;0),S$222-R$222,R249)</f>
        <v/>
      </c>
      <c r="T249" s="73">
        <f>+IF(AND(S249=0,S248&gt;0,(T$222-S$222)&gt;0),T$222-S$222,S249)</f>
        <v/>
      </c>
      <c r="U249" s="73">
        <f>+IF(AND(T249=0,T248&gt;0,(U$222-T$222)&gt;0),U$222-T$222,T249)</f>
        <v/>
      </c>
      <c r="V249" s="73">
        <f>+IF(AND(U249=0,U248&gt;0,(V$222-U$222)&gt;0),V$222-U$222,U249)</f>
        <v/>
      </c>
      <c r="W249" s="73">
        <f>+IF(AND(V249=0,V248&gt;0,(W$222-V$222)&gt;0),W$222-V$222,V249)</f>
        <v/>
      </c>
      <c r="X249" s="1071">
        <f>+IF(AND(W249=0,W248&gt;0,(X$222-W$222)&gt;0),X$222-W$222,W249)</f>
        <v/>
      </c>
      <c r="Y249" s="73">
        <f>+IF(AND(X249=0,X248&gt;0,(Y$222-X$222)&gt;0),Y$222-X$222,X249)</f>
        <v/>
      </c>
      <c r="Z249" s="73">
        <f>+IF(AND(Y249=0,Y248&gt;0,(Z$222-Y$222)&gt;0),Z$222-Y$222,Y249)</f>
        <v/>
      </c>
      <c r="AA249" s="73">
        <f>+IF(AND(Z249=0,Z248&gt;0,(AA$222-Z$222)&gt;0),AA$222-Z$222,Z249)</f>
        <v/>
      </c>
      <c r="AB249" s="73">
        <f>+IF(AND(AA249=0,AA248&gt;0,(AB$222-AA$222)&gt;0),AB$222-AA$222,AA249)</f>
        <v/>
      </c>
      <c r="AC249" s="73">
        <f>+IF(AND(AB249=0,AB248&gt;0,(AC$222-AB$222)&gt;0),AC$222-AB$222,AB249)</f>
        <v/>
      </c>
      <c r="AD249" s="1071">
        <f>+IF(AND(AC249=0,AC248&gt;0,(AD$222-AC$222)&gt;0),AD$222-AC$222,AC249)</f>
        <v/>
      </c>
      <c r="AE249" s="73">
        <f>+IF(AND(AD249=0,AD248&gt;0,(AE$222-AD$222)&gt;0),AE$222-AD$222,AD249)</f>
        <v/>
      </c>
      <c r="AF249" s="73">
        <f>+IF(AND(AE249=0,AE248&gt;0,(AF$222-AE$222)&gt;0),AF$222-AE$222,AE249)</f>
        <v/>
      </c>
      <c r="AG249" s="73">
        <f>+IF(AND(AF249=0,AF248&gt;0,(AG$222-AF$222)&gt;0),AG$222-AF$222,AF249)</f>
        <v/>
      </c>
      <c r="AH249" s="73">
        <f>+IF(AND(AG249=0,AG248&gt;0,(AH$222-AG$222)&gt;0),AH$222-AG$222,AG249)</f>
        <v/>
      </c>
      <c r="AI249" s="73">
        <f>+IF(AND(AH249=0,AH248&gt;0,(AI$222-AH$222)&gt;0),AI$222-AH$222,AH249)</f>
        <v/>
      </c>
      <c r="AJ249" s="1071">
        <f>+IF(AND(AI249=0,AI248&gt;0,(AJ$222-AI$222)&gt;0),AJ$222-AI$222,AI249)</f>
        <v/>
      </c>
      <c r="AK249" s="73">
        <f>+IF(AND(AJ249=0,AJ248&gt;0,(AK$222-AJ$222)&gt;0),AK$222-AJ$222,AJ249)</f>
        <v/>
      </c>
      <c r="AL249" s="73">
        <f>+IF(AND(AK249=0,AK248&gt;0,(AL$222-AK$222)&gt;0),AL$222-AK$222,AK249)</f>
        <v/>
      </c>
      <c r="AM249" s="73">
        <f>+IF(AND(AL249=0,AL248&gt;0,(AM$222-AL$222)&gt;0),AM$222-AL$222,AL249)</f>
        <v/>
      </c>
      <c r="AN249" s="73">
        <f>+IF(AND(AM249=0,AM248&gt;0,(AN$222-AM$222)&gt;0),AN$222-AM$222,AM249)</f>
        <v/>
      </c>
      <c r="AO249" s="73">
        <f>+IF(AND(AN249=0,AN248&gt;0,(AO$222-AN$222)&gt;0),AO$222-AN$222,AN249)</f>
        <v/>
      </c>
      <c r="AP249" s="1071">
        <f>+IF(AND(AO249=0,AO248&gt;0,(AP$222-AO$222)&gt;0),AP$222-AO$222,AO249)</f>
        <v/>
      </c>
      <c r="AQ249" s="73">
        <f>+IF(AND(AP249=0,AP248&gt;0,(AQ$222-AP$222)&gt;0),AQ$222-AP$222,AP249)</f>
        <v/>
      </c>
      <c r="AR249" s="73">
        <f>+IF(AND(AQ249=0,AQ248&gt;0,(AR$222-AQ$222)&gt;0),AR$222-AQ$222,AQ249)</f>
        <v/>
      </c>
      <c r="AS249" s="73">
        <f>+IF(AND(AR249=0,AR248&gt;0,(AS$222-AR$222)&gt;0),AS$222-AR$222,AR249)</f>
        <v/>
      </c>
      <c r="AT249" s="73">
        <f>+IF(AND(AS249=0,AS248&gt;0,(AT$222-AS$222)&gt;0),AT$222-AS$222,AS249)</f>
        <v/>
      </c>
      <c r="AU249" s="73">
        <f>+IF(AND(AT249=0,AT248&gt;0,(AU$222-AT$222)&gt;0),AU$222-AT$222,AT249)</f>
        <v/>
      </c>
      <c r="AV249" s="1071">
        <f>+IF(AND(AU249=0,AU248&gt;0,(AV$222-AU$222)&gt;0),AV$222-AU$222,AU249)</f>
        <v/>
      </c>
      <c r="AW249" s="73">
        <f>+IF(AND(AV249=0,AV248&gt;0,(AW$222-AV$222)&gt;0),AW$222-AV$222,AV249)</f>
        <v/>
      </c>
      <c r="AX249" s="73">
        <f>+IF(AND(AW249=0,AW248&gt;0,(AX$222-AW$222)&gt;0),AX$222-AW$222,AW249)</f>
        <v/>
      </c>
      <c r="AY249" s="73">
        <f>+IF(AND(AX249=0,AX248&gt;0,(AY$222-AX$222)&gt;0),AY$222-AX$222,AX249)</f>
        <v/>
      </c>
      <c r="AZ249" s="73">
        <f>+IF(AND(AY249=0,AY248&gt;0,(AZ$222-AY$222)&gt;0),AZ$222-AY$222,AY249)</f>
        <v/>
      </c>
      <c r="BA249" s="73">
        <f>+IF(AND(AZ249=0,AZ248&gt;0,(BA$222-AZ$222)&gt;0),BA$222-AZ$222,AZ249)</f>
        <v/>
      </c>
      <c r="BB249" s="1071">
        <f>+IF(AND(BA249=0,BA248&gt;0,(BB$222-BA$222)&gt;0),BB$222-BA$222,BA249)</f>
        <v/>
      </c>
      <c r="BC249" s="73">
        <f>+IF(AND(BB249=0,BB248&gt;0,(BC$222-BB$222)&gt;0),BC$222-BB$222,BB249)</f>
        <v/>
      </c>
      <c r="BD249" s="73">
        <f>+IF(AND(BC249=0,BC248&gt;0,(BD$222-BC$222)&gt;0),BD$222-BC$222,BC249)</f>
        <v/>
      </c>
      <c r="BE249" s="73">
        <f>+IF(AND(BD249=0,BD248&gt;0,(BE$222-BD$222)&gt;0),BE$222-BD$222,BD249)</f>
        <v/>
      </c>
      <c r="BF249" s="73">
        <f>+IF(AND(BE249=0,BE248&gt;0,(BF$222-BE$222)&gt;0),BF$222-BE$222,BE249)</f>
        <v/>
      </c>
      <c r="BG249" s="73">
        <f>+IF(AND(BF249=0,BF248&gt;0,(BG$222-BF$222)&gt;0),BG$222-BF$222,BF249)</f>
        <v/>
      </c>
      <c r="BH249" s="1071">
        <f>+IF(AND(BG249=0,BG248&gt;0,(BH$222-BG$222)&gt;0),BH$222-BG$222,BG249)</f>
        <v/>
      </c>
      <c r="BI249" s="73">
        <f>+IF(AND(BH249=0,BH248&gt;0,(BI$222-BH$222)&gt;0),BI$222-BH$222,BH249)</f>
        <v/>
      </c>
      <c r="BJ249" s="73">
        <f>+IF(AND(BI249=0,BI248&gt;0,(BJ$222-BI$222)&gt;0),BJ$222-BI$222,BI249)</f>
        <v/>
      </c>
      <c r="BK249" s="73">
        <f>+IF(AND(BJ249=0,BJ248&gt;0,(BK$222-BJ$222)&gt;0),BK$222-BJ$222,BJ249)</f>
        <v/>
      </c>
      <c r="BL249" s="73">
        <f>+IF(AND(BK249=0,BK248&gt;0,(BL$222-BK$222)&gt;0),BL$222-BK$222,BK249)</f>
        <v/>
      </c>
      <c r="BM249" s="73">
        <f>+IF(AND(BL249=0,BL248&gt;0,(BM$222-BL$222)&gt;0),BM$222-BL$222,BL249)</f>
        <v/>
      </c>
      <c r="BN249" s="1071">
        <f>+IF(AND(BM249=0,BM248&gt;0,(BN$222-BM$222)&gt;0),BN$222-BM$222,BM249)</f>
        <v/>
      </c>
    </row>
    <row r="250" ht="12.75" customHeight="1" s="1883">
      <c r="C250" s="1155" t="inlineStr">
        <is>
          <t>Addition 27</t>
        </is>
      </c>
      <c r="D250" s="670" t="n"/>
      <c r="E250" s="671" t="n"/>
      <c r="F250" s="74" t="n"/>
      <c r="G250" s="73">
        <f>+IF(AND(F250=0,F249&gt;0,(G$222-F$222)&gt;0),G$222-F$222,F250)</f>
        <v/>
      </c>
      <c r="H250" s="73">
        <f>+IF(AND(G250=0,G249&gt;0,(H$222-G$222)&gt;0),H$222-G$222,G250)</f>
        <v/>
      </c>
      <c r="I250" s="73">
        <f>+IF(AND(H250=0,H249&gt;0,(I$222-H$222)&gt;0),I$222-H$222,H250)</f>
        <v/>
      </c>
      <c r="J250" s="73">
        <f>+IF(AND(I250=0,I249&gt;0,(J$222-I$222)&gt;0),J$222-I$222,I250)</f>
        <v/>
      </c>
      <c r="K250" s="73">
        <f>+IF(AND(J250=0,J249&gt;0,(K$222-J$222)&gt;0),K$222-J$222,J250)</f>
        <v/>
      </c>
      <c r="L250" s="1071">
        <f>+IF(AND(K250=0,K249&gt;0,(L$222-K$222)&gt;0),L$222-K$222,K250)</f>
        <v/>
      </c>
      <c r="M250" s="73">
        <f>+IF(AND(L250=0,L249&gt;0,(M$222-L$222)&gt;0),M$222-L$222,L250)</f>
        <v/>
      </c>
      <c r="N250" s="73">
        <f>+IF(AND(M250=0,M249&gt;0,(N$222-M$222)&gt;0),N$222-M$222,M250)</f>
        <v/>
      </c>
      <c r="O250" s="73">
        <f>+IF(AND(N250=0,N249&gt;0,(O$222-N$222)&gt;0),O$222-N$222,N250)</f>
        <v/>
      </c>
      <c r="P250" s="73">
        <f>+IF(AND(O250=0,O249&gt;0,(P$222-O$222)&gt;0),P$222-O$222,O250)</f>
        <v/>
      </c>
      <c r="Q250" s="73">
        <f>+IF(AND(P250=0,P249&gt;0,(Q$222-P$222)&gt;0),Q$222-P$222,P250)</f>
        <v/>
      </c>
      <c r="R250" s="1071">
        <f>+IF(AND(Q250=0,Q249&gt;0,(R$222-Q$222)&gt;0),R$222-Q$222,Q250)</f>
        <v/>
      </c>
      <c r="S250" s="73">
        <f>+IF(AND(R250=0,R249&gt;0,(S$222-R$222)&gt;0),S$222-R$222,R250)</f>
        <v/>
      </c>
      <c r="T250" s="73">
        <f>+IF(AND(S250=0,S249&gt;0,(T$222-S$222)&gt;0),T$222-S$222,S250)</f>
        <v/>
      </c>
      <c r="U250" s="73">
        <f>+IF(AND(T250=0,T249&gt;0,(U$222-T$222)&gt;0),U$222-T$222,T250)</f>
        <v/>
      </c>
      <c r="V250" s="73">
        <f>+IF(AND(U250=0,U249&gt;0,(V$222-U$222)&gt;0),V$222-U$222,U250)</f>
        <v/>
      </c>
      <c r="W250" s="73">
        <f>+IF(AND(V250=0,V249&gt;0,(W$222-V$222)&gt;0),W$222-V$222,V250)</f>
        <v/>
      </c>
      <c r="X250" s="1071">
        <f>+IF(AND(W250=0,W249&gt;0,(X$222-W$222)&gt;0),X$222-W$222,W250)</f>
        <v/>
      </c>
      <c r="Y250" s="73">
        <f>+IF(AND(X250=0,X249&gt;0,(Y$222-X$222)&gt;0),Y$222-X$222,X250)</f>
        <v/>
      </c>
      <c r="Z250" s="73">
        <f>+IF(AND(Y250=0,Y249&gt;0,(Z$222-Y$222)&gt;0),Z$222-Y$222,Y250)</f>
        <v/>
      </c>
      <c r="AA250" s="73">
        <f>+IF(AND(Z250=0,Z249&gt;0,(AA$222-Z$222)&gt;0),AA$222-Z$222,Z250)</f>
        <v/>
      </c>
      <c r="AB250" s="73">
        <f>+IF(AND(AA250=0,AA249&gt;0,(AB$222-AA$222)&gt;0),AB$222-AA$222,AA250)</f>
        <v/>
      </c>
      <c r="AC250" s="73">
        <f>+IF(AND(AB250=0,AB249&gt;0,(AC$222-AB$222)&gt;0),AC$222-AB$222,AB250)</f>
        <v/>
      </c>
      <c r="AD250" s="1071">
        <f>+IF(AND(AC250=0,AC249&gt;0,(AD$222-AC$222)&gt;0),AD$222-AC$222,AC250)</f>
        <v/>
      </c>
      <c r="AE250" s="73">
        <f>+IF(AND(AD250=0,AD249&gt;0,(AE$222-AD$222)&gt;0),AE$222-AD$222,AD250)</f>
        <v/>
      </c>
      <c r="AF250" s="73">
        <f>+IF(AND(AE250=0,AE249&gt;0,(AF$222-AE$222)&gt;0),AF$222-AE$222,AE250)</f>
        <v/>
      </c>
      <c r="AG250" s="73">
        <f>+IF(AND(AF250=0,AF249&gt;0,(AG$222-AF$222)&gt;0),AG$222-AF$222,AF250)</f>
        <v/>
      </c>
      <c r="AH250" s="73">
        <f>+IF(AND(AG250=0,AG249&gt;0,(AH$222-AG$222)&gt;0),AH$222-AG$222,AG250)</f>
        <v/>
      </c>
      <c r="AI250" s="73">
        <f>+IF(AND(AH250=0,AH249&gt;0,(AI$222-AH$222)&gt;0),AI$222-AH$222,AH250)</f>
        <v/>
      </c>
      <c r="AJ250" s="1071">
        <f>+IF(AND(AI250=0,AI249&gt;0,(AJ$222-AI$222)&gt;0),AJ$222-AI$222,AI250)</f>
        <v/>
      </c>
      <c r="AK250" s="73">
        <f>+IF(AND(AJ250=0,AJ249&gt;0,(AK$222-AJ$222)&gt;0),AK$222-AJ$222,AJ250)</f>
        <v/>
      </c>
      <c r="AL250" s="73">
        <f>+IF(AND(AK250=0,AK249&gt;0,(AL$222-AK$222)&gt;0),AL$222-AK$222,AK250)</f>
        <v/>
      </c>
      <c r="AM250" s="73">
        <f>+IF(AND(AL250=0,AL249&gt;0,(AM$222-AL$222)&gt;0),AM$222-AL$222,AL250)</f>
        <v/>
      </c>
      <c r="AN250" s="73">
        <f>+IF(AND(AM250=0,AM249&gt;0,(AN$222-AM$222)&gt;0),AN$222-AM$222,AM250)</f>
        <v/>
      </c>
      <c r="AO250" s="73">
        <f>+IF(AND(AN250=0,AN249&gt;0,(AO$222-AN$222)&gt;0),AO$222-AN$222,AN250)</f>
        <v/>
      </c>
      <c r="AP250" s="1071">
        <f>+IF(AND(AO250=0,AO249&gt;0,(AP$222-AO$222)&gt;0),AP$222-AO$222,AO250)</f>
        <v/>
      </c>
      <c r="AQ250" s="73">
        <f>+IF(AND(AP250=0,AP249&gt;0,(AQ$222-AP$222)&gt;0),AQ$222-AP$222,AP250)</f>
        <v/>
      </c>
      <c r="AR250" s="73">
        <f>+IF(AND(AQ250=0,AQ249&gt;0,(AR$222-AQ$222)&gt;0),AR$222-AQ$222,AQ250)</f>
        <v/>
      </c>
      <c r="AS250" s="73">
        <f>+IF(AND(AR250=0,AR249&gt;0,(AS$222-AR$222)&gt;0),AS$222-AR$222,AR250)</f>
        <v/>
      </c>
      <c r="AT250" s="73">
        <f>+IF(AND(AS250=0,AS249&gt;0,(AT$222-AS$222)&gt;0),AT$222-AS$222,AS250)</f>
        <v/>
      </c>
      <c r="AU250" s="73">
        <f>+IF(AND(AT250=0,AT249&gt;0,(AU$222-AT$222)&gt;0),AU$222-AT$222,AT250)</f>
        <v/>
      </c>
      <c r="AV250" s="1071">
        <f>+IF(AND(AU250=0,AU249&gt;0,(AV$222-AU$222)&gt;0),AV$222-AU$222,AU250)</f>
        <v/>
      </c>
      <c r="AW250" s="73">
        <f>+IF(AND(AV250=0,AV249&gt;0,(AW$222-AV$222)&gt;0),AW$222-AV$222,AV250)</f>
        <v/>
      </c>
      <c r="AX250" s="73">
        <f>+IF(AND(AW250=0,AW249&gt;0,(AX$222-AW$222)&gt;0),AX$222-AW$222,AW250)</f>
        <v/>
      </c>
      <c r="AY250" s="73">
        <f>+IF(AND(AX250=0,AX249&gt;0,(AY$222-AX$222)&gt;0),AY$222-AX$222,AX250)</f>
        <v/>
      </c>
      <c r="AZ250" s="73">
        <f>+IF(AND(AY250=0,AY249&gt;0,(AZ$222-AY$222)&gt;0),AZ$222-AY$222,AY250)</f>
        <v/>
      </c>
      <c r="BA250" s="73">
        <f>+IF(AND(AZ250=0,AZ249&gt;0,(BA$222-AZ$222)&gt;0),BA$222-AZ$222,AZ250)</f>
        <v/>
      </c>
      <c r="BB250" s="1071">
        <f>+IF(AND(BA250=0,BA249&gt;0,(BB$222-BA$222)&gt;0),BB$222-BA$222,BA250)</f>
        <v/>
      </c>
      <c r="BC250" s="73">
        <f>+IF(AND(BB250=0,BB249&gt;0,(BC$222-BB$222)&gt;0),BC$222-BB$222,BB250)</f>
        <v/>
      </c>
      <c r="BD250" s="73">
        <f>+IF(AND(BC250=0,BC249&gt;0,(BD$222-BC$222)&gt;0),BD$222-BC$222,BC250)</f>
        <v/>
      </c>
      <c r="BE250" s="73">
        <f>+IF(AND(BD250=0,BD249&gt;0,(BE$222-BD$222)&gt;0),BE$222-BD$222,BD250)</f>
        <v/>
      </c>
      <c r="BF250" s="73">
        <f>+IF(AND(BE250=0,BE249&gt;0,(BF$222-BE$222)&gt;0),BF$222-BE$222,BE250)</f>
        <v/>
      </c>
      <c r="BG250" s="73">
        <f>+IF(AND(BF250=0,BF249&gt;0,(BG$222-BF$222)&gt;0),BG$222-BF$222,BF250)</f>
        <v/>
      </c>
      <c r="BH250" s="1071">
        <f>+IF(AND(BG250=0,BG249&gt;0,(BH$222-BG$222)&gt;0),BH$222-BG$222,BG250)</f>
        <v/>
      </c>
      <c r="BI250" s="73">
        <f>+IF(AND(BH250=0,BH249&gt;0,(BI$222-BH$222)&gt;0),BI$222-BH$222,BH250)</f>
        <v/>
      </c>
      <c r="BJ250" s="73">
        <f>+IF(AND(BI250=0,BI249&gt;0,(BJ$222-BI$222)&gt;0),BJ$222-BI$222,BI250)</f>
        <v/>
      </c>
      <c r="BK250" s="73">
        <f>+IF(AND(BJ250=0,BJ249&gt;0,(BK$222-BJ$222)&gt;0),BK$222-BJ$222,BJ250)</f>
        <v/>
      </c>
      <c r="BL250" s="73">
        <f>+IF(AND(BK250=0,BK249&gt;0,(BL$222-BK$222)&gt;0),BL$222-BK$222,BK250)</f>
        <v/>
      </c>
      <c r="BM250" s="73">
        <f>+IF(AND(BL250=0,BL249&gt;0,(BM$222-BL$222)&gt;0),BM$222-BL$222,BL250)</f>
        <v/>
      </c>
      <c r="BN250" s="1071">
        <f>+IF(AND(BM250=0,BM249&gt;0,(BN$222-BM$222)&gt;0),BN$222-BM$222,BM250)</f>
        <v/>
      </c>
    </row>
    <row r="251" ht="12.75" customHeight="1" s="1883">
      <c r="C251" s="1155" t="inlineStr">
        <is>
          <t>Addition 28</t>
        </is>
      </c>
      <c r="D251" s="670" t="n"/>
      <c r="E251" s="671" t="n"/>
      <c r="F251" s="74" t="n"/>
      <c r="G251" s="73">
        <f>+IF(AND(F251=0,F250&gt;0,(G$222-F$222)&gt;0),G$222-F$222,F251)</f>
        <v/>
      </c>
      <c r="H251" s="73">
        <f>+IF(AND(G251=0,G250&gt;0,(H$222-G$222)&gt;0),H$222-G$222,G251)</f>
        <v/>
      </c>
      <c r="I251" s="73">
        <f>+IF(AND(H251=0,H250&gt;0,(I$222-H$222)&gt;0),I$222-H$222,H251)</f>
        <v/>
      </c>
      <c r="J251" s="73">
        <f>+IF(AND(I251=0,I250&gt;0,(J$222-I$222)&gt;0),J$222-I$222,I251)</f>
        <v/>
      </c>
      <c r="K251" s="73">
        <f>+IF(AND(J251=0,J250&gt;0,(K$222-J$222)&gt;0),K$222-J$222,J251)</f>
        <v/>
      </c>
      <c r="L251" s="1071">
        <f>+IF(AND(K251=0,K250&gt;0,(L$222-K$222)&gt;0),L$222-K$222,K251)</f>
        <v/>
      </c>
      <c r="M251" s="73">
        <f>+IF(AND(L251=0,L250&gt;0,(M$222-L$222)&gt;0),M$222-L$222,L251)</f>
        <v/>
      </c>
      <c r="N251" s="73">
        <f>+IF(AND(M251=0,M250&gt;0,(N$222-M$222)&gt;0),N$222-M$222,M251)</f>
        <v/>
      </c>
      <c r="O251" s="73">
        <f>+IF(AND(N251=0,N250&gt;0,(O$222-N$222)&gt;0),O$222-N$222,N251)</f>
        <v/>
      </c>
      <c r="P251" s="73">
        <f>+IF(AND(O251=0,O250&gt;0,(P$222-O$222)&gt;0),P$222-O$222,O251)</f>
        <v/>
      </c>
      <c r="Q251" s="73">
        <f>+IF(AND(P251=0,P250&gt;0,(Q$222-P$222)&gt;0),Q$222-P$222,P251)</f>
        <v/>
      </c>
      <c r="R251" s="1071">
        <f>+IF(AND(Q251=0,Q250&gt;0,(R$222-Q$222)&gt;0),R$222-Q$222,Q251)</f>
        <v/>
      </c>
      <c r="S251" s="73">
        <f>+IF(AND(R251=0,R250&gt;0,(S$222-R$222)&gt;0),S$222-R$222,R251)</f>
        <v/>
      </c>
      <c r="T251" s="73">
        <f>+IF(AND(S251=0,S250&gt;0,(T$222-S$222)&gt;0),T$222-S$222,S251)</f>
        <v/>
      </c>
      <c r="U251" s="73">
        <f>+IF(AND(T251=0,T250&gt;0,(U$222-T$222)&gt;0),U$222-T$222,T251)</f>
        <v/>
      </c>
      <c r="V251" s="73">
        <f>+IF(AND(U251=0,U250&gt;0,(V$222-U$222)&gt;0),V$222-U$222,U251)</f>
        <v/>
      </c>
      <c r="W251" s="73">
        <f>+IF(AND(V251=0,V250&gt;0,(W$222-V$222)&gt;0),W$222-V$222,V251)</f>
        <v/>
      </c>
      <c r="X251" s="1071">
        <f>+IF(AND(W251=0,W250&gt;0,(X$222-W$222)&gt;0),X$222-W$222,W251)</f>
        <v/>
      </c>
      <c r="Y251" s="73">
        <f>+IF(AND(X251=0,X250&gt;0,(Y$222-X$222)&gt;0),Y$222-X$222,X251)</f>
        <v/>
      </c>
      <c r="Z251" s="73">
        <f>+IF(AND(Y251=0,Y250&gt;0,(Z$222-Y$222)&gt;0),Z$222-Y$222,Y251)</f>
        <v/>
      </c>
      <c r="AA251" s="73">
        <f>+IF(AND(Z251=0,Z250&gt;0,(AA$222-Z$222)&gt;0),AA$222-Z$222,Z251)</f>
        <v/>
      </c>
      <c r="AB251" s="73">
        <f>+IF(AND(AA251=0,AA250&gt;0,(AB$222-AA$222)&gt;0),AB$222-AA$222,AA251)</f>
        <v/>
      </c>
      <c r="AC251" s="73">
        <f>+IF(AND(AB251=0,AB250&gt;0,(AC$222-AB$222)&gt;0),AC$222-AB$222,AB251)</f>
        <v/>
      </c>
      <c r="AD251" s="1071">
        <f>+IF(AND(AC251=0,AC250&gt;0,(AD$222-AC$222)&gt;0),AD$222-AC$222,AC251)</f>
        <v/>
      </c>
      <c r="AE251" s="73">
        <f>+IF(AND(AD251=0,AD250&gt;0,(AE$222-AD$222)&gt;0),AE$222-AD$222,AD251)</f>
        <v/>
      </c>
      <c r="AF251" s="73">
        <f>+IF(AND(AE251=0,AE250&gt;0,(AF$222-AE$222)&gt;0),AF$222-AE$222,AE251)</f>
        <v/>
      </c>
      <c r="AG251" s="73">
        <f>+IF(AND(AF251=0,AF250&gt;0,(AG$222-AF$222)&gt;0),AG$222-AF$222,AF251)</f>
        <v/>
      </c>
      <c r="AH251" s="73">
        <f>+IF(AND(AG251=0,AG250&gt;0,(AH$222-AG$222)&gt;0),AH$222-AG$222,AG251)</f>
        <v/>
      </c>
      <c r="AI251" s="73">
        <f>+IF(AND(AH251=0,AH250&gt;0,(AI$222-AH$222)&gt;0),AI$222-AH$222,AH251)</f>
        <v/>
      </c>
      <c r="AJ251" s="1071">
        <f>+IF(AND(AI251=0,AI250&gt;0,(AJ$222-AI$222)&gt;0),AJ$222-AI$222,AI251)</f>
        <v/>
      </c>
      <c r="AK251" s="73">
        <f>+IF(AND(AJ251=0,AJ250&gt;0,(AK$222-AJ$222)&gt;0),AK$222-AJ$222,AJ251)</f>
        <v/>
      </c>
      <c r="AL251" s="73">
        <f>+IF(AND(AK251=0,AK250&gt;0,(AL$222-AK$222)&gt;0),AL$222-AK$222,AK251)</f>
        <v/>
      </c>
      <c r="AM251" s="73">
        <f>+IF(AND(AL251=0,AL250&gt;0,(AM$222-AL$222)&gt;0),AM$222-AL$222,AL251)</f>
        <v/>
      </c>
      <c r="AN251" s="73">
        <f>+IF(AND(AM251=0,AM250&gt;0,(AN$222-AM$222)&gt;0),AN$222-AM$222,AM251)</f>
        <v/>
      </c>
      <c r="AO251" s="73">
        <f>+IF(AND(AN251=0,AN250&gt;0,(AO$222-AN$222)&gt;0),AO$222-AN$222,AN251)</f>
        <v/>
      </c>
      <c r="AP251" s="1071">
        <f>+IF(AND(AO251=0,AO250&gt;0,(AP$222-AO$222)&gt;0),AP$222-AO$222,AO251)</f>
        <v/>
      </c>
      <c r="AQ251" s="73">
        <f>+IF(AND(AP251=0,AP250&gt;0,(AQ$222-AP$222)&gt;0),AQ$222-AP$222,AP251)</f>
        <v/>
      </c>
      <c r="AR251" s="73">
        <f>+IF(AND(AQ251=0,AQ250&gt;0,(AR$222-AQ$222)&gt;0),AR$222-AQ$222,AQ251)</f>
        <v/>
      </c>
      <c r="AS251" s="73">
        <f>+IF(AND(AR251=0,AR250&gt;0,(AS$222-AR$222)&gt;0),AS$222-AR$222,AR251)</f>
        <v/>
      </c>
      <c r="AT251" s="73">
        <f>+IF(AND(AS251=0,AS250&gt;0,(AT$222-AS$222)&gt;0),AT$222-AS$222,AS251)</f>
        <v/>
      </c>
      <c r="AU251" s="73">
        <f>+IF(AND(AT251=0,AT250&gt;0,(AU$222-AT$222)&gt;0),AU$222-AT$222,AT251)</f>
        <v/>
      </c>
      <c r="AV251" s="1071">
        <f>+IF(AND(AU251=0,AU250&gt;0,(AV$222-AU$222)&gt;0),AV$222-AU$222,AU251)</f>
        <v/>
      </c>
      <c r="AW251" s="73">
        <f>+IF(AND(AV251=0,AV250&gt;0,(AW$222-AV$222)&gt;0),AW$222-AV$222,AV251)</f>
        <v/>
      </c>
      <c r="AX251" s="73">
        <f>+IF(AND(AW251=0,AW250&gt;0,(AX$222-AW$222)&gt;0),AX$222-AW$222,AW251)</f>
        <v/>
      </c>
      <c r="AY251" s="73">
        <f>+IF(AND(AX251=0,AX250&gt;0,(AY$222-AX$222)&gt;0),AY$222-AX$222,AX251)</f>
        <v/>
      </c>
      <c r="AZ251" s="73">
        <f>+IF(AND(AY251=0,AY250&gt;0,(AZ$222-AY$222)&gt;0),AZ$222-AY$222,AY251)</f>
        <v/>
      </c>
      <c r="BA251" s="73">
        <f>+IF(AND(AZ251=0,AZ250&gt;0,(BA$222-AZ$222)&gt;0),BA$222-AZ$222,AZ251)</f>
        <v/>
      </c>
      <c r="BB251" s="1071">
        <f>+IF(AND(BA251=0,BA250&gt;0,(BB$222-BA$222)&gt;0),BB$222-BA$222,BA251)</f>
        <v/>
      </c>
      <c r="BC251" s="73">
        <f>+IF(AND(BB251=0,BB250&gt;0,(BC$222-BB$222)&gt;0),BC$222-BB$222,BB251)</f>
        <v/>
      </c>
      <c r="BD251" s="73">
        <f>+IF(AND(BC251=0,BC250&gt;0,(BD$222-BC$222)&gt;0),BD$222-BC$222,BC251)</f>
        <v/>
      </c>
      <c r="BE251" s="73">
        <f>+IF(AND(BD251=0,BD250&gt;0,(BE$222-BD$222)&gt;0),BE$222-BD$222,BD251)</f>
        <v/>
      </c>
      <c r="BF251" s="73">
        <f>+IF(AND(BE251=0,BE250&gt;0,(BF$222-BE$222)&gt;0),BF$222-BE$222,BE251)</f>
        <v/>
      </c>
      <c r="BG251" s="73">
        <f>+IF(AND(BF251=0,BF250&gt;0,(BG$222-BF$222)&gt;0),BG$222-BF$222,BF251)</f>
        <v/>
      </c>
      <c r="BH251" s="1071">
        <f>+IF(AND(BG251=0,BG250&gt;0,(BH$222-BG$222)&gt;0),BH$222-BG$222,BG251)</f>
        <v/>
      </c>
      <c r="BI251" s="73">
        <f>+IF(AND(BH251=0,BH250&gt;0,(BI$222-BH$222)&gt;0),BI$222-BH$222,BH251)</f>
        <v/>
      </c>
      <c r="BJ251" s="73">
        <f>+IF(AND(BI251=0,BI250&gt;0,(BJ$222-BI$222)&gt;0),BJ$222-BI$222,BI251)</f>
        <v/>
      </c>
      <c r="BK251" s="73">
        <f>+IF(AND(BJ251=0,BJ250&gt;0,(BK$222-BJ$222)&gt;0),BK$222-BJ$222,BJ251)</f>
        <v/>
      </c>
      <c r="BL251" s="73">
        <f>+IF(AND(BK251=0,BK250&gt;0,(BL$222-BK$222)&gt;0),BL$222-BK$222,BK251)</f>
        <v/>
      </c>
      <c r="BM251" s="73">
        <f>+IF(AND(BL251=0,BL250&gt;0,(BM$222-BL$222)&gt;0),BM$222-BL$222,BL251)</f>
        <v/>
      </c>
      <c r="BN251" s="1071">
        <f>+IF(AND(BM251=0,BM250&gt;0,(BN$222-BM$222)&gt;0),BN$222-BM$222,BM251)</f>
        <v/>
      </c>
    </row>
    <row r="252" ht="12.75" customHeight="1" s="1883">
      <c r="C252" s="1155" t="inlineStr">
        <is>
          <t>Addition 29</t>
        </is>
      </c>
      <c r="D252" s="670" t="n"/>
      <c r="E252" s="671" t="n"/>
      <c r="F252" s="74" t="n"/>
      <c r="G252" s="73">
        <f>+IF(AND(F252=0,F251&gt;0,(G$222-F$222)&gt;0),G$222-F$222,F252)</f>
        <v/>
      </c>
      <c r="H252" s="73">
        <f>+IF(AND(G252=0,G251&gt;0,(H$222-G$222)&gt;0),H$222-G$222,G252)</f>
        <v/>
      </c>
      <c r="I252" s="73">
        <f>+IF(AND(H252=0,H251&gt;0,(I$222-H$222)&gt;0),I$222-H$222,H252)</f>
        <v/>
      </c>
      <c r="J252" s="73">
        <f>+IF(AND(I252=0,I251&gt;0,(J$222-I$222)&gt;0),J$222-I$222,I252)</f>
        <v/>
      </c>
      <c r="K252" s="73">
        <f>+IF(AND(J252=0,J251&gt;0,(K$222-J$222)&gt;0),K$222-J$222,J252)</f>
        <v/>
      </c>
      <c r="L252" s="1071">
        <f>+IF(AND(K252=0,K251&gt;0,(L$222-K$222)&gt;0),L$222-K$222,K252)</f>
        <v/>
      </c>
      <c r="M252" s="73">
        <f>+IF(AND(L252=0,L251&gt;0,(M$222-L$222)&gt;0),M$222-L$222,L252)</f>
        <v/>
      </c>
      <c r="N252" s="73">
        <f>+IF(AND(M252=0,M251&gt;0,(N$222-M$222)&gt;0),N$222-M$222,M252)</f>
        <v/>
      </c>
      <c r="O252" s="73">
        <f>+IF(AND(N252=0,N251&gt;0,(O$222-N$222)&gt;0),O$222-N$222,N252)</f>
        <v/>
      </c>
      <c r="P252" s="73">
        <f>+IF(AND(O252=0,O251&gt;0,(P$222-O$222)&gt;0),P$222-O$222,O252)</f>
        <v/>
      </c>
      <c r="Q252" s="73">
        <f>+IF(AND(P252=0,P251&gt;0,(Q$222-P$222)&gt;0),Q$222-P$222,P252)</f>
        <v/>
      </c>
      <c r="R252" s="1071">
        <f>+IF(AND(Q252=0,Q251&gt;0,(R$222-Q$222)&gt;0),R$222-Q$222,Q252)</f>
        <v/>
      </c>
      <c r="S252" s="73">
        <f>+IF(AND(R252=0,R251&gt;0,(S$222-R$222)&gt;0),S$222-R$222,R252)</f>
        <v/>
      </c>
      <c r="T252" s="73">
        <f>+IF(AND(S252=0,S251&gt;0,(T$222-S$222)&gt;0),T$222-S$222,S252)</f>
        <v/>
      </c>
      <c r="U252" s="73">
        <f>+IF(AND(T252=0,T251&gt;0,(U$222-T$222)&gt;0),U$222-T$222,T252)</f>
        <v/>
      </c>
      <c r="V252" s="73">
        <f>+IF(AND(U252=0,U251&gt;0,(V$222-U$222)&gt;0),V$222-U$222,U252)</f>
        <v/>
      </c>
      <c r="W252" s="73">
        <f>+IF(AND(V252=0,V251&gt;0,(W$222-V$222)&gt;0),W$222-V$222,V252)</f>
        <v/>
      </c>
      <c r="X252" s="1071">
        <f>+IF(AND(W252=0,W251&gt;0,(X$222-W$222)&gt;0),X$222-W$222,W252)</f>
        <v/>
      </c>
      <c r="Y252" s="73">
        <f>+IF(AND(X252=0,X251&gt;0,(Y$222-X$222)&gt;0),Y$222-X$222,X252)</f>
        <v/>
      </c>
      <c r="Z252" s="73">
        <f>+IF(AND(Y252=0,Y251&gt;0,(Z$222-Y$222)&gt;0),Z$222-Y$222,Y252)</f>
        <v/>
      </c>
      <c r="AA252" s="73">
        <f>+IF(AND(Z252=0,Z251&gt;0,(AA$222-Z$222)&gt;0),AA$222-Z$222,Z252)</f>
        <v/>
      </c>
      <c r="AB252" s="73">
        <f>+IF(AND(AA252=0,AA251&gt;0,(AB$222-AA$222)&gt;0),AB$222-AA$222,AA252)</f>
        <v/>
      </c>
      <c r="AC252" s="73">
        <f>+IF(AND(AB252=0,AB251&gt;0,(AC$222-AB$222)&gt;0),AC$222-AB$222,AB252)</f>
        <v/>
      </c>
      <c r="AD252" s="1071">
        <f>+IF(AND(AC252=0,AC251&gt;0,(AD$222-AC$222)&gt;0),AD$222-AC$222,AC252)</f>
        <v/>
      </c>
      <c r="AE252" s="73">
        <f>+IF(AND(AD252=0,AD251&gt;0,(AE$222-AD$222)&gt;0),AE$222-AD$222,AD252)</f>
        <v/>
      </c>
      <c r="AF252" s="73">
        <f>+IF(AND(AE252=0,AE251&gt;0,(AF$222-AE$222)&gt;0),AF$222-AE$222,AE252)</f>
        <v/>
      </c>
      <c r="AG252" s="73">
        <f>+IF(AND(AF252=0,AF251&gt;0,(AG$222-AF$222)&gt;0),AG$222-AF$222,AF252)</f>
        <v/>
      </c>
      <c r="AH252" s="73">
        <f>+IF(AND(AG252=0,AG251&gt;0,(AH$222-AG$222)&gt;0),AH$222-AG$222,AG252)</f>
        <v/>
      </c>
      <c r="AI252" s="73">
        <f>+IF(AND(AH252=0,AH251&gt;0,(AI$222-AH$222)&gt;0),AI$222-AH$222,AH252)</f>
        <v/>
      </c>
      <c r="AJ252" s="1071">
        <f>+IF(AND(AI252=0,AI251&gt;0,(AJ$222-AI$222)&gt;0),AJ$222-AI$222,AI252)</f>
        <v/>
      </c>
      <c r="AK252" s="73">
        <f>+IF(AND(AJ252=0,AJ251&gt;0,(AK$222-AJ$222)&gt;0),AK$222-AJ$222,AJ252)</f>
        <v/>
      </c>
      <c r="AL252" s="73">
        <f>+IF(AND(AK252=0,AK251&gt;0,(AL$222-AK$222)&gt;0),AL$222-AK$222,AK252)</f>
        <v/>
      </c>
      <c r="AM252" s="73">
        <f>+IF(AND(AL252=0,AL251&gt;0,(AM$222-AL$222)&gt;0),AM$222-AL$222,AL252)</f>
        <v/>
      </c>
      <c r="AN252" s="73">
        <f>+IF(AND(AM252=0,AM251&gt;0,(AN$222-AM$222)&gt;0),AN$222-AM$222,AM252)</f>
        <v/>
      </c>
      <c r="AO252" s="73">
        <f>+IF(AND(AN252=0,AN251&gt;0,(AO$222-AN$222)&gt;0),AO$222-AN$222,AN252)</f>
        <v/>
      </c>
      <c r="AP252" s="1071">
        <f>+IF(AND(AO252=0,AO251&gt;0,(AP$222-AO$222)&gt;0),AP$222-AO$222,AO252)</f>
        <v/>
      </c>
      <c r="AQ252" s="73">
        <f>+IF(AND(AP252=0,AP251&gt;0,(AQ$222-AP$222)&gt;0),AQ$222-AP$222,AP252)</f>
        <v/>
      </c>
      <c r="AR252" s="73">
        <f>+IF(AND(AQ252=0,AQ251&gt;0,(AR$222-AQ$222)&gt;0),AR$222-AQ$222,AQ252)</f>
        <v/>
      </c>
      <c r="AS252" s="73">
        <f>+IF(AND(AR252=0,AR251&gt;0,(AS$222-AR$222)&gt;0),AS$222-AR$222,AR252)</f>
        <v/>
      </c>
      <c r="AT252" s="73">
        <f>+IF(AND(AS252=0,AS251&gt;0,(AT$222-AS$222)&gt;0),AT$222-AS$222,AS252)</f>
        <v/>
      </c>
      <c r="AU252" s="73">
        <f>+IF(AND(AT252=0,AT251&gt;0,(AU$222-AT$222)&gt;0),AU$222-AT$222,AT252)</f>
        <v/>
      </c>
      <c r="AV252" s="1071">
        <f>+IF(AND(AU252=0,AU251&gt;0,(AV$222-AU$222)&gt;0),AV$222-AU$222,AU252)</f>
        <v/>
      </c>
      <c r="AW252" s="73">
        <f>+IF(AND(AV252=0,AV251&gt;0,(AW$222-AV$222)&gt;0),AW$222-AV$222,AV252)</f>
        <v/>
      </c>
      <c r="AX252" s="73">
        <f>+IF(AND(AW252=0,AW251&gt;0,(AX$222-AW$222)&gt;0),AX$222-AW$222,AW252)</f>
        <v/>
      </c>
      <c r="AY252" s="73">
        <f>+IF(AND(AX252=0,AX251&gt;0,(AY$222-AX$222)&gt;0),AY$222-AX$222,AX252)</f>
        <v/>
      </c>
      <c r="AZ252" s="73">
        <f>+IF(AND(AY252=0,AY251&gt;0,(AZ$222-AY$222)&gt;0),AZ$222-AY$222,AY252)</f>
        <v/>
      </c>
      <c r="BA252" s="73">
        <f>+IF(AND(AZ252=0,AZ251&gt;0,(BA$222-AZ$222)&gt;0),BA$222-AZ$222,AZ252)</f>
        <v/>
      </c>
      <c r="BB252" s="1071">
        <f>+IF(AND(BA252=0,BA251&gt;0,(BB$222-BA$222)&gt;0),BB$222-BA$222,BA252)</f>
        <v/>
      </c>
      <c r="BC252" s="73">
        <f>+IF(AND(BB252=0,BB251&gt;0,(BC$222-BB$222)&gt;0),BC$222-BB$222,BB252)</f>
        <v/>
      </c>
      <c r="BD252" s="73">
        <f>+IF(AND(BC252=0,BC251&gt;0,(BD$222-BC$222)&gt;0),BD$222-BC$222,BC252)</f>
        <v/>
      </c>
      <c r="BE252" s="73">
        <f>+IF(AND(BD252=0,BD251&gt;0,(BE$222-BD$222)&gt;0),BE$222-BD$222,BD252)</f>
        <v/>
      </c>
      <c r="BF252" s="73">
        <f>+IF(AND(BE252=0,BE251&gt;0,(BF$222-BE$222)&gt;0),BF$222-BE$222,BE252)</f>
        <v/>
      </c>
      <c r="BG252" s="73">
        <f>+IF(AND(BF252=0,BF251&gt;0,(BG$222-BF$222)&gt;0),BG$222-BF$222,BF252)</f>
        <v/>
      </c>
      <c r="BH252" s="1071">
        <f>+IF(AND(BG252=0,BG251&gt;0,(BH$222-BG$222)&gt;0),BH$222-BG$222,BG252)</f>
        <v/>
      </c>
      <c r="BI252" s="73">
        <f>+IF(AND(BH252=0,BH251&gt;0,(BI$222-BH$222)&gt;0),BI$222-BH$222,BH252)</f>
        <v/>
      </c>
      <c r="BJ252" s="73">
        <f>+IF(AND(BI252=0,BI251&gt;0,(BJ$222-BI$222)&gt;0),BJ$222-BI$222,BI252)</f>
        <v/>
      </c>
      <c r="BK252" s="73">
        <f>+IF(AND(BJ252=0,BJ251&gt;0,(BK$222-BJ$222)&gt;0),BK$222-BJ$222,BJ252)</f>
        <v/>
      </c>
      <c r="BL252" s="73">
        <f>+IF(AND(BK252=0,BK251&gt;0,(BL$222-BK$222)&gt;0),BL$222-BK$222,BK252)</f>
        <v/>
      </c>
      <c r="BM252" s="73">
        <f>+IF(AND(BL252=0,BL251&gt;0,(BM$222-BL$222)&gt;0),BM$222-BL$222,BL252)</f>
        <v/>
      </c>
      <c r="BN252" s="1071">
        <f>+IF(AND(BM252=0,BM251&gt;0,(BN$222-BM$222)&gt;0),BN$222-BM$222,BM252)</f>
        <v/>
      </c>
    </row>
    <row r="253" ht="12.75" customHeight="1" s="1883">
      <c r="C253" s="1155" t="inlineStr">
        <is>
          <t>Addition 30</t>
        </is>
      </c>
      <c r="D253" s="670" t="n"/>
      <c r="E253" s="671" t="n"/>
      <c r="F253" s="74" t="n"/>
      <c r="G253" s="73">
        <f>+IF(AND(F253=0,F252&gt;0,(G$222-F$222)&gt;0),G$222-F$222,F253)</f>
        <v/>
      </c>
      <c r="H253" s="73">
        <f>+IF(AND(G253=0,G252&gt;0,(H$222-G$222)&gt;0),H$222-G$222,G253)</f>
        <v/>
      </c>
      <c r="I253" s="73">
        <f>+IF(AND(H253=0,H252&gt;0,(I$222-H$222)&gt;0),I$222-H$222,H253)</f>
        <v/>
      </c>
      <c r="J253" s="73">
        <f>+IF(AND(I253=0,I252&gt;0,(J$222-I$222)&gt;0),J$222-I$222,I253)</f>
        <v/>
      </c>
      <c r="K253" s="73">
        <f>+IF(AND(J253=0,J252&gt;0,(K$222-J$222)&gt;0),K$222-J$222,J253)</f>
        <v/>
      </c>
      <c r="L253" s="1071">
        <f>+IF(AND(K253=0,K252&gt;0,(L$222-K$222)&gt;0),L$222-K$222,K253)</f>
        <v/>
      </c>
      <c r="M253" s="73">
        <f>+IF(AND(L253=0,L252&gt;0,(M$222-L$222)&gt;0),M$222-L$222,L253)</f>
        <v/>
      </c>
      <c r="N253" s="73">
        <f>+IF(AND(M253=0,M252&gt;0,(N$222-M$222)&gt;0),N$222-M$222,M253)</f>
        <v/>
      </c>
      <c r="O253" s="73">
        <f>+IF(AND(N253=0,N252&gt;0,(O$222-N$222)&gt;0),O$222-N$222,N253)</f>
        <v/>
      </c>
      <c r="P253" s="73">
        <f>+IF(AND(O253=0,O252&gt;0,(P$222-O$222)&gt;0),P$222-O$222,O253)</f>
        <v/>
      </c>
      <c r="Q253" s="73">
        <f>+IF(AND(P253=0,P252&gt;0,(Q$222-P$222)&gt;0),Q$222-P$222,P253)</f>
        <v/>
      </c>
      <c r="R253" s="1071">
        <f>+IF(AND(Q253=0,Q252&gt;0,(R$222-Q$222)&gt;0),R$222-Q$222,Q253)</f>
        <v/>
      </c>
      <c r="S253" s="73">
        <f>+IF(AND(R253=0,R252&gt;0,(S$222-R$222)&gt;0),S$222-R$222,R253)</f>
        <v/>
      </c>
      <c r="T253" s="73">
        <f>+IF(AND(S253=0,S252&gt;0,(T$222-S$222)&gt;0),T$222-S$222,S253)</f>
        <v/>
      </c>
      <c r="U253" s="73">
        <f>+IF(AND(T253=0,T252&gt;0,(U$222-T$222)&gt;0),U$222-T$222,T253)</f>
        <v/>
      </c>
      <c r="V253" s="73">
        <f>+IF(AND(U253=0,U252&gt;0,(V$222-U$222)&gt;0),V$222-U$222,U253)</f>
        <v/>
      </c>
      <c r="W253" s="73">
        <f>+IF(AND(V253=0,V252&gt;0,(W$222-V$222)&gt;0),W$222-V$222,V253)</f>
        <v/>
      </c>
      <c r="X253" s="1071">
        <f>+IF(AND(W253=0,W252&gt;0,(X$222-W$222)&gt;0),X$222-W$222,W253)</f>
        <v/>
      </c>
      <c r="Y253" s="73">
        <f>+IF(AND(X253=0,X252&gt;0,(Y$222-X$222)&gt;0),Y$222-X$222,X253)</f>
        <v/>
      </c>
      <c r="Z253" s="73">
        <f>+IF(AND(Y253=0,Y252&gt;0,(Z$222-Y$222)&gt;0),Z$222-Y$222,Y253)</f>
        <v/>
      </c>
      <c r="AA253" s="73">
        <f>+IF(AND(Z253=0,Z252&gt;0,(AA$222-Z$222)&gt;0),AA$222-Z$222,Z253)</f>
        <v/>
      </c>
      <c r="AB253" s="73">
        <f>+IF(AND(AA253=0,AA252&gt;0,(AB$222-AA$222)&gt;0),AB$222-AA$222,AA253)</f>
        <v/>
      </c>
      <c r="AC253" s="73">
        <f>+IF(AND(AB253=0,AB252&gt;0,(AC$222-AB$222)&gt;0),AC$222-AB$222,AB253)</f>
        <v/>
      </c>
      <c r="AD253" s="1071">
        <f>+IF(AND(AC253=0,AC252&gt;0,(AD$222-AC$222)&gt;0),AD$222-AC$222,AC253)</f>
        <v/>
      </c>
      <c r="AE253" s="73">
        <f>+IF(AND(AD253=0,AD252&gt;0,(AE$222-AD$222)&gt;0),AE$222-AD$222,AD253)</f>
        <v/>
      </c>
      <c r="AF253" s="73">
        <f>+IF(AND(AE253=0,AE252&gt;0,(AF$222-AE$222)&gt;0),AF$222-AE$222,AE253)</f>
        <v/>
      </c>
      <c r="AG253" s="73">
        <f>+IF(AND(AF253=0,AF252&gt;0,(AG$222-AF$222)&gt;0),AG$222-AF$222,AF253)</f>
        <v/>
      </c>
      <c r="AH253" s="73">
        <f>+IF(AND(AG253=0,AG252&gt;0,(AH$222-AG$222)&gt;0),AH$222-AG$222,AG253)</f>
        <v/>
      </c>
      <c r="AI253" s="73">
        <f>+IF(AND(AH253=0,AH252&gt;0,(AI$222-AH$222)&gt;0),AI$222-AH$222,AH253)</f>
        <v/>
      </c>
      <c r="AJ253" s="1071">
        <f>+IF(AND(AI253=0,AI252&gt;0,(AJ$222-AI$222)&gt;0),AJ$222-AI$222,AI253)</f>
        <v/>
      </c>
      <c r="AK253" s="73">
        <f>+IF(AND(AJ253=0,AJ252&gt;0,(AK$222-AJ$222)&gt;0),AK$222-AJ$222,AJ253)</f>
        <v/>
      </c>
      <c r="AL253" s="73">
        <f>+IF(AND(AK253=0,AK252&gt;0,(AL$222-AK$222)&gt;0),AL$222-AK$222,AK253)</f>
        <v/>
      </c>
      <c r="AM253" s="73">
        <f>+IF(AND(AL253=0,AL252&gt;0,(AM$222-AL$222)&gt;0),AM$222-AL$222,AL253)</f>
        <v/>
      </c>
      <c r="AN253" s="73">
        <f>+IF(AND(AM253=0,AM252&gt;0,(AN$222-AM$222)&gt;0),AN$222-AM$222,AM253)</f>
        <v/>
      </c>
      <c r="AO253" s="73">
        <f>+IF(AND(AN253=0,AN252&gt;0,(AO$222-AN$222)&gt;0),AO$222-AN$222,AN253)</f>
        <v/>
      </c>
      <c r="AP253" s="1071">
        <f>+IF(AND(AO253=0,AO252&gt;0,(AP$222-AO$222)&gt;0),AP$222-AO$222,AO253)</f>
        <v/>
      </c>
      <c r="AQ253" s="73">
        <f>+IF(AND(AP253=0,AP252&gt;0,(AQ$222-AP$222)&gt;0),AQ$222-AP$222,AP253)</f>
        <v/>
      </c>
      <c r="AR253" s="73">
        <f>+IF(AND(AQ253=0,AQ252&gt;0,(AR$222-AQ$222)&gt;0),AR$222-AQ$222,AQ253)</f>
        <v/>
      </c>
      <c r="AS253" s="73">
        <f>+IF(AND(AR253=0,AR252&gt;0,(AS$222-AR$222)&gt;0),AS$222-AR$222,AR253)</f>
        <v/>
      </c>
      <c r="AT253" s="73">
        <f>+IF(AND(AS253=0,AS252&gt;0,(AT$222-AS$222)&gt;0),AT$222-AS$222,AS253)</f>
        <v/>
      </c>
      <c r="AU253" s="73">
        <f>+IF(AND(AT253=0,AT252&gt;0,(AU$222-AT$222)&gt;0),AU$222-AT$222,AT253)</f>
        <v/>
      </c>
      <c r="AV253" s="1071">
        <f>+IF(AND(AU253=0,AU252&gt;0,(AV$222-AU$222)&gt;0),AV$222-AU$222,AU253)</f>
        <v/>
      </c>
      <c r="AW253" s="73">
        <f>+IF(AND(AV253=0,AV252&gt;0,(AW$222-AV$222)&gt;0),AW$222-AV$222,AV253)</f>
        <v/>
      </c>
      <c r="AX253" s="73">
        <f>+IF(AND(AW253=0,AW252&gt;0,(AX$222-AW$222)&gt;0),AX$222-AW$222,AW253)</f>
        <v/>
      </c>
      <c r="AY253" s="73">
        <f>+IF(AND(AX253=0,AX252&gt;0,(AY$222-AX$222)&gt;0),AY$222-AX$222,AX253)</f>
        <v/>
      </c>
      <c r="AZ253" s="73">
        <f>+IF(AND(AY253=0,AY252&gt;0,(AZ$222-AY$222)&gt;0),AZ$222-AY$222,AY253)</f>
        <v/>
      </c>
      <c r="BA253" s="73">
        <f>+IF(AND(AZ253=0,AZ252&gt;0,(BA$222-AZ$222)&gt;0),BA$222-AZ$222,AZ253)</f>
        <v/>
      </c>
      <c r="BB253" s="1071">
        <f>+IF(AND(BA253=0,BA252&gt;0,(BB$222-BA$222)&gt;0),BB$222-BA$222,BA253)</f>
        <v/>
      </c>
      <c r="BC253" s="73">
        <f>+IF(AND(BB253=0,BB252&gt;0,(BC$222-BB$222)&gt;0),BC$222-BB$222,BB253)</f>
        <v/>
      </c>
      <c r="BD253" s="73">
        <f>+IF(AND(BC253=0,BC252&gt;0,(BD$222-BC$222)&gt;0),BD$222-BC$222,BC253)</f>
        <v/>
      </c>
      <c r="BE253" s="73">
        <f>+IF(AND(BD253=0,BD252&gt;0,(BE$222-BD$222)&gt;0),BE$222-BD$222,BD253)</f>
        <v/>
      </c>
      <c r="BF253" s="73">
        <f>+IF(AND(BE253=0,BE252&gt;0,(BF$222-BE$222)&gt;0),BF$222-BE$222,BE253)</f>
        <v/>
      </c>
      <c r="BG253" s="73">
        <f>+IF(AND(BF253=0,BF252&gt;0,(BG$222-BF$222)&gt;0),BG$222-BF$222,BF253)</f>
        <v/>
      </c>
      <c r="BH253" s="1071">
        <f>+IF(AND(BG253=0,BG252&gt;0,(BH$222-BG$222)&gt;0),BH$222-BG$222,BG253)</f>
        <v/>
      </c>
      <c r="BI253" s="73">
        <f>+IF(AND(BH253=0,BH252&gt;0,(BI$222-BH$222)&gt;0),BI$222-BH$222,BH253)</f>
        <v/>
      </c>
      <c r="BJ253" s="73">
        <f>+IF(AND(BI253=0,BI252&gt;0,(BJ$222-BI$222)&gt;0),BJ$222-BI$222,BI253)</f>
        <v/>
      </c>
      <c r="BK253" s="73">
        <f>+IF(AND(BJ253=0,BJ252&gt;0,(BK$222-BJ$222)&gt;0),BK$222-BJ$222,BJ253)</f>
        <v/>
      </c>
      <c r="BL253" s="73">
        <f>+IF(AND(BK253=0,BK252&gt;0,(BL$222-BK$222)&gt;0),BL$222-BK$222,BK253)</f>
        <v/>
      </c>
      <c r="BM253" s="73">
        <f>+IF(AND(BL253=0,BL252&gt;0,(BM$222-BL$222)&gt;0),BM$222-BL$222,BL253)</f>
        <v/>
      </c>
      <c r="BN253" s="1071">
        <f>+IF(AND(BM253=0,BM252&gt;0,(BN$222-BM$222)&gt;0),BN$222-BM$222,BM253)</f>
        <v/>
      </c>
    </row>
    <row r="254" ht="12.75" customHeight="1" s="1883">
      <c r="C254" s="1155" t="inlineStr">
        <is>
          <t>Addition 31</t>
        </is>
      </c>
      <c r="D254" s="670" t="n"/>
      <c r="E254" s="671" t="n"/>
      <c r="F254" s="74" t="n"/>
      <c r="G254" s="73">
        <f>+IF(AND(F254=0,F253&gt;0,(G$222-F$222)&gt;0),G$222-F$222,F254)</f>
        <v/>
      </c>
      <c r="H254" s="73">
        <f>+IF(AND(G254=0,G253&gt;0,(H$222-G$222)&gt;0),H$222-G$222,G254)</f>
        <v/>
      </c>
      <c r="I254" s="73">
        <f>+IF(AND(H254=0,H253&gt;0,(I$222-H$222)&gt;0),I$222-H$222,H254)</f>
        <v/>
      </c>
      <c r="J254" s="73">
        <f>+IF(AND(I254=0,I253&gt;0,(J$222-I$222)&gt;0),J$222-I$222,I254)</f>
        <v/>
      </c>
      <c r="K254" s="73">
        <f>+IF(AND(J254=0,J253&gt;0,(K$222-J$222)&gt;0),K$222-J$222,J254)</f>
        <v/>
      </c>
      <c r="L254" s="1071">
        <f>+IF(AND(K254=0,K253&gt;0,(L$222-K$222)&gt;0),L$222-K$222,K254)</f>
        <v/>
      </c>
      <c r="M254" s="73">
        <f>+IF(AND(L254=0,L253&gt;0,(M$222-L$222)&gt;0),M$222-L$222,L254)</f>
        <v/>
      </c>
      <c r="N254" s="73">
        <f>+IF(AND(M254=0,M253&gt;0,(N$222-M$222)&gt;0),N$222-M$222,M254)</f>
        <v/>
      </c>
      <c r="O254" s="73">
        <f>+IF(AND(N254=0,N253&gt;0,(O$222-N$222)&gt;0),O$222-N$222,N254)</f>
        <v/>
      </c>
      <c r="P254" s="73">
        <f>+IF(AND(O254=0,O253&gt;0,(P$222-O$222)&gt;0),P$222-O$222,O254)</f>
        <v/>
      </c>
      <c r="Q254" s="73">
        <f>+IF(AND(P254=0,P253&gt;0,(Q$222-P$222)&gt;0),Q$222-P$222,P254)</f>
        <v/>
      </c>
      <c r="R254" s="1071">
        <f>+IF(AND(Q254=0,Q253&gt;0,(R$222-Q$222)&gt;0),R$222-Q$222,Q254)</f>
        <v/>
      </c>
      <c r="S254" s="73">
        <f>+IF(AND(R254=0,R253&gt;0,(S$222-R$222)&gt;0),S$222-R$222,R254)</f>
        <v/>
      </c>
      <c r="T254" s="73">
        <f>+IF(AND(S254=0,S253&gt;0,(T$222-S$222)&gt;0),T$222-S$222,S254)</f>
        <v/>
      </c>
      <c r="U254" s="73">
        <f>+IF(AND(T254=0,T253&gt;0,(U$222-T$222)&gt;0),U$222-T$222,T254)</f>
        <v/>
      </c>
      <c r="V254" s="73">
        <f>+IF(AND(U254=0,U253&gt;0,(V$222-U$222)&gt;0),V$222-U$222,U254)</f>
        <v/>
      </c>
      <c r="W254" s="73">
        <f>+IF(AND(V254=0,V253&gt;0,(W$222-V$222)&gt;0),W$222-V$222,V254)</f>
        <v/>
      </c>
      <c r="X254" s="1071">
        <f>+IF(AND(W254=0,W253&gt;0,(X$222-W$222)&gt;0),X$222-W$222,W254)</f>
        <v/>
      </c>
      <c r="Y254" s="73">
        <f>+IF(AND(X254=0,X253&gt;0,(Y$222-X$222)&gt;0),Y$222-X$222,X254)</f>
        <v/>
      </c>
      <c r="Z254" s="73">
        <f>+IF(AND(Y254=0,Y253&gt;0,(Z$222-Y$222)&gt;0),Z$222-Y$222,Y254)</f>
        <v/>
      </c>
      <c r="AA254" s="73">
        <f>+IF(AND(Z254=0,Z253&gt;0,(AA$222-Z$222)&gt;0),AA$222-Z$222,Z254)</f>
        <v/>
      </c>
      <c r="AB254" s="73">
        <f>+IF(AND(AA254=0,AA253&gt;0,(AB$222-AA$222)&gt;0),AB$222-AA$222,AA254)</f>
        <v/>
      </c>
      <c r="AC254" s="73">
        <f>+IF(AND(AB254=0,AB253&gt;0,(AC$222-AB$222)&gt;0),AC$222-AB$222,AB254)</f>
        <v/>
      </c>
      <c r="AD254" s="1071">
        <f>+IF(AND(AC254=0,AC253&gt;0,(AD$222-AC$222)&gt;0),AD$222-AC$222,AC254)</f>
        <v/>
      </c>
      <c r="AE254" s="73">
        <f>+IF(AND(AD254=0,AD253&gt;0,(AE$222-AD$222)&gt;0),AE$222-AD$222,AD254)</f>
        <v/>
      </c>
      <c r="AF254" s="73">
        <f>+IF(AND(AE254=0,AE253&gt;0,(AF$222-AE$222)&gt;0),AF$222-AE$222,AE254)</f>
        <v/>
      </c>
      <c r="AG254" s="73">
        <f>+IF(AND(AF254=0,AF253&gt;0,(AG$222-AF$222)&gt;0),AG$222-AF$222,AF254)</f>
        <v/>
      </c>
      <c r="AH254" s="73">
        <f>+IF(AND(AG254=0,AG253&gt;0,(AH$222-AG$222)&gt;0),AH$222-AG$222,AG254)</f>
        <v/>
      </c>
      <c r="AI254" s="73">
        <f>+IF(AND(AH254=0,AH253&gt;0,(AI$222-AH$222)&gt;0),AI$222-AH$222,AH254)</f>
        <v/>
      </c>
      <c r="AJ254" s="1071">
        <f>+IF(AND(AI254=0,AI253&gt;0,(AJ$222-AI$222)&gt;0),AJ$222-AI$222,AI254)</f>
        <v/>
      </c>
      <c r="AK254" s="73">
        <f>+IF(AND(AJ254=0,AJ253&gt;0,(AK$222-AJ$222)&gt;0),AK$222-AJ$222,AJ254)</f>
        <v/>
      </c>
      <c r="AL254" s="73">
        <f>+IF(AND(AK254=0,AK253&gt;0,(AL$222-AK$222)&gt;0),AL$222-AK$222,AK254)</f>
        <v/>
      </c>
      <c r="AM254" s="73">
        <f>+IF(AND(AL254=0,AL253&gt;0,(AM$222-AL$222)&gt;0),AM$222-AL$222,AL254)</f>
        <v/>
      </c>
      <c r="AN254" s="73">
        <f>+IF(AND(AM254=0,AM253&gt;0,(AN$222-AM$222)&gt;0),AN$222-AM$222,AM254)</f>
        <v/>
      </c>
      <c r="AO254" s="73">
        <f>+IF(AND(AN254=0,AN253&gt;0,(AO$222-AN$222)&gt;0),AO$222-AN$222,AN254)</f>
        <v/>
      </c>
      <c r="AP254" s="1071">
        <f>+IF(AND(AO254=0,AO253&gt;0,(AP$222-AO$222)&gt;0),AP$222-AO$222,AO254)</f>
        <v/>
      </c>
      <c r="AQ254" s="73">
        <f>+IF(AND(AP254=0,AP253&gt;0,(AQ$222-AP$222)&gt;0),AQ$222-AP$222,AP254)</f>
        <v/>
      </c>
      <c r="AR254" s="73">
        <f>+IF(AND(AQ254=0,AQ253&gt;0,(AR$222-AQ$222)&gt;0),AR$222-AQ$222,AQ254)</f>
        <v/>
      </c>
      <c r="AS254" s="73">
        <f>+IF(AND(AR254=0,AR253&gt;0,(AS$222-AR$222)&gt;0),AS$222-AR$222,AR254)</f>
        <v/>
      </c>
      <c r="AT254" s="73">
        <f>+IF(AND(AS254=0,AS253&gt;0,(AT$222-AS$222)&gt;0),AT$222-AS$222,AS254)</f>
        <v/>
      </c>
      <c r="AU254" s="73">
        <f>+IF(AND(AT254=0,AT253&gt;0,(AU$222-AT$222)&gt;0),AU$222-AT$222,AT254)</f>
        <v/>
      </c>
      <c r="AV254" s="1071">
        <f>+IF(AND(AU254=0,AU253&gt;0,(AV$222-AU$222)&gt;0),AV$222-AU$222,AU254)</f>
        <v/>
      </c>
      <c r="AW254" s="73">
        <f>+IF(AND(AV254=0,AV253&gt;0,(AW$222-AV$222)&gt;0),AW$222-AV$222,AV254)</f>
        <v/>
      </c>
      <c r="AX254" s="73">
        <f>+IF(AND(AW254=0,AW253&gt;0,(AX$222-AW$222)&gt;0),AX$222-AW$222,AW254)</f>
        <v/>
      </c>
      <c r="AY254" s="73">
        <f>+IF(AND(AX254=0,AX253&gt;0,(AY$222-AX$222)&gt;0),AY$222-AX$222,AX254)</f>
        <v/>
      </c>
      <c r="AZ254" s="73">
        <f>+IF(AND(AY254=0,AY253&gt;0,(AZ$222-AY$222)&gt;0),AZ$222-AY$222,AY254)</f>
        <v/>
      </c>
      <c r="BA254" s="73">
        <f>+IF(AND(AZ254=0,AZ253&gt;0,(BA$222-AZ$222)&gt;0),BA$222-AZ$222,AZ254)</f>
        <v/>
      </c>
      <c r="BB254" s="1071">
        <f>+IF(AND(BA254=0,BA253&gt;0,(BB$222-BA$222)&gt;0),BB$222-BA$222,BA254)</f>
        <v/>
      </c>
      <c r="BC254" s="73">
        <f>+IF(AND(BB254=0,BB253&gt;0,(BC$222-BB$222)&gt;0),BC$222-BB$222,BB254)</f>
        <v/>
      </c>
      <c r="BD254" s="73">
        <f>+IF(AND(BC254=0,BC253&gt;0,(BD$222-BC$222)&gt;0),BD$222-BC$222,BC254)</f>
        <v/>
      </c>
      <c r="BE254" s="73">
        <f>+IF(AND(BD254=0,BD253&gt;0,(BE$222-BD$222)&gt;0),BE$222-BD$222,BD254)</f>
        <v/>
      </c>
      <c r="BF254" s="73">
        <f>+IF(AND(BE254=0,BE253&gt;0,(BF$222-BE$222)&gt;0),BF$222-BE$222,BE254)</f>
        <v/>
      </c>
      <c r="BG254" s="73">
        <f>+IF(AND(BF254=0,BF253&gt;0,(BG$222-BF$222)&gt;0),BG$222-BF$222,BF254)</f>
        <v/>
      </c>
      <c r="BH254" s="1071">
        <f>+IF(AND(BG254=0,BG253&gt;0,(BH$222-BG$222)&gt;0),BH$222-BG$222,BG254)</f>
        <v/>
      </c>
      <c r="BI254" s="73">
        <f>+IF(AND(BH254=0,BH253&gt;0,(BI$222-BH$222)&gt;0),BI$222-BH$222,BH254)</f>
        <v/>
      </c>
      <c r="BJ254" s="73">
        <f>+IF(AND(BI254=0,BI253&gt;0,(BJ$222-BI$222)&gt;0),BJ$222-BI$222,BI254)</f>
        <v/>
      </c>
      <c r="BK254" s="73">
        <f>+IF(AND(BJ254=0,BJ253&gt;0,(BK$222-BJ$222)&gt;0),BK$222-BJ$222,BJ254)</f>
        <v/>
      </c>
      <c r="BL254" s="73">
        <f>+IF(AND(BK254=0,BK253&gt;0,(BL$222-BK$222)&gt;0),BL$222-BK$222,BK254)</f>
        <v/>
      </c>
      <c r="BM254" s="73">
        <f>+IF(AND(BL254=0,BL253&gt;0,(BM$222-BL$222)&gt;0),BM$222-BL$222,BL254)</f>
        <v/>
      </c>
      <c r="BN254" s="1071">
        <f>+IF(AND(BM254=0,BM253&gt;0,(BN$222-BM$222)&gt;0),BN$222-BM$222,BM254)</f>
        <v/>
      </c>
    </row>
    <row r="255" ht="12.75" customHeight="1" s="1883">
      <c r="C255" s="1155" t="inlineStr">
        <is>
          <t>Addition 32</t>
        </is>
      </c>
      <c r="D255" s="670" t="n"/>
      <c r="E255" s="671" t="n"/>
      <c r="F255" s="74" t="n"/>
      <c r="G255" s="73">
        <f>+IF(AND(F255=0,F254&gt;0,(G$222-F$222)&gt;0),G$222-F$222,F255)</f>
        <v/>
      </c>
      <c r="H255" s="73">
        <f>+IF(AND(G255=0,G254&gt;0,(H$222-G$222)&gt;0),H$222-G$222,G255)</f>
        <v/>
      </c>
      <c r="I255" s="73">
        <f>+IF(AND(H255=0,H254&gt;0,(I$222-H$222)&gt;0),I$222-H$222,H255)</f>
        <v/>
      </c>
      <c r="J255" s="73">
        <f>+IF(AND(I255=0,I254&gt;0,(J$222-I$222)&gt;0),J$222-I$222,I255)</f>
        <v/>
      </c>
      <c r="K255" s="73">
        <f>+IF(AND(J255=0,J254&gt;0,(K$222-J$222)&gt;0),K$222-J$222,J255)</f>
        <v/>
      </c>
      <c r="L255" s="1071">
        <f>+IF(AND(K255=0,K254&gt;0,(L$222-K$222)&gt;0),L$222-K$222,K255)</f>
        <v/>
      </c>
      <c r="M255" s="73">
        <f>+IF(AND(L255=0,L254&gt;0,(M$222-L$222)&gt;0),M$222-L$222,L255)</f>
        <v/>
      </c>
      <c r="N255" s="73">
        <f>+IF(AND(M255=0,M254&gt;0,(N$222-M$222)&gt;0),N$222-M$222,M255)</f>
        <v/>
      </c>
      <c r="O255" s="73">
        <f>+IF(AND(N255=0,N254&gt;0,(O$222-N$222)&gt;0),O$222-N$222,N255)</f>
        <v/>
      </c>
      <c r="P255" s="73">
        <f>+IF(AND(O255=0,O254&gt;0,(P$222-O$222)&gt;0),P$222-O$222,O255)</f>
        <v/>
      </c>
      <c r="Q255" s="73">
        <f>+IF(AND(P255=0,P254&gt;0,(Q$222-P$222)&gt;0),Q$222-P$222,P255)</f>
        <v/>
      </c>
      <c r="R255" s="1071">
        <f>+IF(AND(Q255=0,Q254&gt;0,(R$222-Q$222)&gt;0),R$222-Q$222,Q255)</f>
        <v/>
      </c>
      <c r="S255" s="73">
        <f>+IF(AND(R255=0,R254&gt;0,(S$222-R$222)&gt;0),S$222-R$222,R255)</f>
        <v/>
      </c>
      <c r="T255" s="73">
        <f>+IF(AND(S255=0,S254&gt;0,(T$222-S$222)&gt;0),T$222-S$222,S255)</f>
        <v/>
      </c>
      <c r="U255" s="73">
        <f>+IF(AND(T255=0,T254&gt;0,(U$222-T$222)&gt;0),U$222-T$222,T255)</f>
        <v/>
      </c>
      <c r="V255" s="73">
        <f>+IF(AND(U255=0,U254&gt;0,(V$222-U$222)&gt;0),V$222-U$222,U255)</f>
        <v/>
      </c>
      <c r="W255" s="73">
        <f>+IF(AND(V255=0,V254&gt;0,(W$222-V$222)&gt;0),W$222-V$222,V255)</f>
        <v/>
      </c>
      <c r="X255" s="1071">
        <f>+IF(AND(W255=0,W254&gt;0,(X$222-W$222)&gt;0),X$222-W$222,W255)</f>
        <v/>
      </c>
      <c r="Y255" s="73">
        <f>+IF(AND(X255=0,X254&gt;0,(Y$222-X$222)&gt;0),Y$222-X$222,X255)</f>
        <v/>
      </c>
      <c r="Z255" s="73">
        <f>+IF(AND(Y255=0,Y254&gt;0,(Z$222-Y$222)&gt;0),Z$222-Y$222,Y255)</f>
        <v/>
      </c>
      <c r="AA255" s="73">
        <f>+IF(AND(Z255=0,Z254&gt;0,(AA$222-Z$222)&gt;0),AA$222-Z$222,Z255)</f>
        <v/>
      </c>
      <c r="AB255" s="73">
        <f>+IF(AND(AA255=0,AA254&gt;0,(AB$222-AA$222)&gt;0),AB$222-AA$222,AA255)</f>
        <v/>
      </c>
      <c r="AC255" s="73">
        <f>+IF(AND(AB255=0,AB254&gt;0,(AC$222-AB$222)&gt;0),AC$222-AB$222,AB255)</f>
        <v/>
      </c>
      <c r="AD255" s="1071">
        <f>+IF(AND(AC255=0,AC254&gt;0,(AD$222-AC$222)&gt;0),AD$222-AC$222,AC255)</f>
        <v/>
      </c>
      <c r="AE255" s="73">
        <f>+IF(AND(AD255=0,AD254&gt;0,(AE$222-AD$222)&gt;0),AE$222-AD$222,AD255)</f>
        <v/>
      </c>
      <c r="AF255" s="73">
        <f>+IF(AND(AE255=0,AE254&gt;0,(AF$222-AE$222)&gt;0),AF$222-AE$222,AE255)</f>
        <v/>
      </c>
      <c r="AG255" s="73">
        <f>+IF(AND(AF255=0,AF254&gt;0,(AG$222-AF$222)&gt;0),AG$222-AF$222,AF255)</f>
        <v/>
      </c>
      <c r="AH255" s="73">
        <f>+IF(AND(AG255=0,AG254&gt;0,(AH$222-AG$222)&gt;0),AH$222-AG$222,AG255)</f>
        <v/>
      </c>
      <c r="AI255" s="73">
        <f>+IF(AND(AH255=0,AH254&gt;0,(AI$222-AH$222)&gt;0),AI$222-AH$222,AH255)</f>
        <v/>
      </c>
      <c r="AJ255" s="1071">
        <f>+IF(AND(AI255=0,AI254&gt;0,(AJ$222-AI$222)&gt;0),AJ$222-AI$222,AI255)</f>
        <v/>
      </c>
      <c r="AK255" s="73">
        <f>+IF(AND(AJ255=0,AJ254&gt;0,(AK$222-AJ$222)&gt;0),AK$222-AJ$222,AJ255)</f>
        <v/>
      </c>
      <c r="AL255" s="73">
        <f>+IF(AND(AK255=0,AK254&gt;0,(AL$222-AK$222)&gt;0),AL$222-AK$222,AK255)</f>
        <v/>
      </c>
      <c r="AM255" s="73">
        <f>+IF(AND(AL255=0,AL254&gt;0,(AM$222-AL$222)&gt;0),AM$222-AL$222,AL255)</f>
        <v/>
      </c>
      <c r="AN255" s="73">
        <f>+IF(AND(AM255=0,AM254&gt;0,(AN$222-AM$222)&gt;0),AN$222-AM$222,AM255)</f>
        <v/>
      </c>
      <c r="AO255" s="73">
        <f>+IF(AND(AN255=0,AN254&gt;0,(AO$222-AN$222)&gt;0),AO$222-AN$222,AN255)</f>
        <v/>
      </c>
      <c r="AP255" s="1071">
        <f>+IF(AND(AO255=0,AO254&gt;0,(AP$222-AO$222)&gt;0),AP$222-AO$222,AO255)</f>
        <v/>
      </c>
      <c r="AQ255" s="73">
        <f>+IF(AND(AP255=0,AP254&gt;0,(AQ$222-AP$222)&gt;0),AQ$222-AP$222,AP255)</f>
        <v/>
      </c>
      <c r="AR255" s="73">
        <f>+IF(AND(AQ255=0,AQ254&gt;0,(AR$222-AQ$222)&gt;0),AR$222-AQ$222,AQ255)</f>
        <v/>
      </c>
      <c r="AS255" s="73">
        <f>+IF(AND(AR255=0,AR254&gt;0,(AS$222-AR$222)&gt;0),AS$222-AR$222,AR255)</f>
        <v/>
      </c>
      <c r="AT255" s="73">
        <f>+IF(AND(AS255=0,AS254&gt;0,(AT$222-AS$222)&gt;0),AT$222-AS$222,AS255)</f>
        <v/>
      </c>
      <c r="AU255" s="73">
        <f>+IF(AND(AT255=0,AT254&gt;0,(AU$222-AT$222)&gt;0),AU$222-AT$222,AT255)</f>
        <v/>
      </c>
      <c r="AV255" s="1071">
        <f>+IF(AND(AU255=0,AU254&gt;0,(AV$222-AU$222)&gt;0),AV$222-AU$222,AU255)</f>
        <v/>
      </c>
      <c r="AW255" s="73">
        <f>+IF(AND(AV255=0,AV254&gt;0,(AW$222-AV$222)&gt;0),AW$222-AV$222,AV255)</f>
        <v/>
      </c>
      <c r="AX255" s="73">
        <f>+IF(AND(AW255=0,AW254&gt;0,(AX$222-AW$222)&gt;0),AX$222-AW$222,AW255)</f>
        <v/>
      </c>
      <c r="AY255" s="73">
        <f>+IF(AND(AX255=0,AX254&gt;0,(AY$222-AX$222)&gt;0),AY$222-AX$222,AX255)</f>
        <v/>
      </c>
      <c r="AZ255" s="73">
        <f>+IF(AND(AY255=0,AY254&gt;0,(AZ$222-AY$222)&gt;0),AZ$222-AY$222,AY255)</f>
        <v/>
      </c>
      <c r="BA255" s="73">
        <f>+IF(AND(AZ255=0,AZ254&gt;0,(BA$222-AZ$222)&gt;0),BA$222-AZ$222,AZ255)</f>
        <v/>
      </c>
      <c r="BB255" s="1071">
        <f>+IF(AND(BA255=0,BA254&gt;0,(BB$222-BA$222)&gt;0),BB$222-BA$222,BA255)</f>
        <v/>
      </c>
      <c r="BC255" s="73">
        <f>+IF(AND(BB255=0,BB254&gt;0,(BC$222-BB$222)&gt;0),BC$222-BB$222,BB255)</f>
        <v/>
      </c>
      <c r="BD255" s="73">
        <f>+IF(AND(BC255=0,BC254&gt;0,(BD$222-BC$222)&gt;0),BD$222-BC$222,BC255)</f>
        <v/>
      </c>
      <c r="BE255" s="73">
        <f>+IF(AND(BD255=0,BD254&gt;0,(BE$222-BD$222)&gt;0),BE$222-BD$222,BD255)</f>
        <v/>
      </c>
      <c r="BF255" s="73">
        <f>+IF(AND(BE255=0,BE254&gt;0,(BF$222-BE$222)&gt;0),BF$222-BE$222,BE255)</f>
        <v/>
      </c>
      <c r="BG255" s="73">
        <f>+IF(AND(BF255=0,BF254&gt;0,(BG$222-BF$222)&gt;0),BG$222-BF$222,BF255)</f>
        <v/>
      </c>
      <c r="BH255" s="1071">
        <f>+IF(AND(BG255=0,BG254&gt;0,(BH$222-BG$222)&gt;0),BH$222-BG$222,BG255)</f>
        <v/>
      </c>
      <c r="BI255" s="73">
        <f>+IF(AND(BH255=0,BH254&gt;0,(BI$222-BH$222)&gt;0),BI$222-BH$222,BH255)</f>
        <v/>
      </c>
      <c r="BJ255" s="73">
        <f>+IF(AND(BI255=0,BI254&gt;0,(BJ$222-BI$222)&gt;0),BJ$222-BI$222,BI255)</f>
        <v/>
      </c>
      <c r="BK255" s="73">
        <f>+IF(AND(BJ255=0,BJ254&gt;0,(BK$222-BJ$222)&gt;0),BK$222-BJ$222,BJ255)</f>
        <v/>
      </c>
      <c r="BL255" s="73">
        <f>+IF(AND(BK255=0,BK254&gt;0,(BL$222-BK$222)&gt;0),BL$222-BK$222,BK255)</f>
        <v/>
      </c>
      <c r="BM255" s="73">
        <f>+IF(AND(BL255=0,BL254&gt;0,(BM$222-BL$222)&gt;0),BM$222-BL$222,BL255)</f>
        <v/>
      </c>
      <c r="BN255" s="1071">
        <f>+IF(AND(BM255=0,BM254&gt;0,(BN$222-BM$222)&gt;0),BN$222-BM$222,BM255)</f>
        <v/>
      </c>
    </row>
    <row r="256" ht="12.75" customHeight="1" s="1883">
      <c r="C256" s="1155" t="inlineStr">
        <is>
          <t>Addition 33</t>
        </is>
      </c>
      <c r="D256" s="670" t="n"/>
      <c r="E256" s="671" t="n"/>
      <c r="F256" s="74" t="n"/>
      <c r="G256" s="73">
        <f>+IF(AND(F256=0,F255&gt;0,(G$222-F$222)&gt;0),G$222-F$222,F256)</f>
        <v/>
      </c>
      <c r="H256" s="73">
        <f>+IF(AND(G256=0,G255&gt;0,(H$222-G$222)&gt;0),H$222-G$222,G256)</f>
        <v/>
      </c>
      <c r="I256" s="73">
        <f>+IF(AND(H256=0,H255&gt;0,(I$222-H$222)&gt;0),I$222-H$222,H256)</f>
        <v/>
      </c>
      <c r="J256" s="73">
        <f>+IF(AND(I256=0,I255&gt;0,(J$222-I$222)&gt;0),J$222-I$222,I256)</f>
        <v/>
      </c>
      <c r="K256" s="73">
        <f>+IF(AND(J256=0,J255&gt;0,(K$222-J$222)&gt;0),K$222-J$222,J256)</f>
        <v/>
      </c>
      <c r="L256" s="1071">
        <f>+IF(AND(K256=0,K255&gt;0,(L$222-K$222)&gt;0),L$222-K$222,K256)</f>
        <v/>
      </c>
      <c r="M256" s="73">
        <f>+IF(AND(L256=0,L255&gt;0,(M$222-L$222)&gt;0),M$222-L$222,L256)</f>
        <v/>
      </c>
      <c r="N256" s="73">
        <f>+IF(AND(M256=0,M255&gt;0,(N$222-M$222)&gt;0),N$222-M$222,M256)</f>
        <v/>
      </c>
      <c r="O256" s="73">
        <f>+IF(AND(N256=0,N255&gt;0,(O$222-N$222)&gt;0),O$222-N$222,N256)</f>
        <v/>
      </c>
      <c r="P256" s="73">
        <f>+IF(AND(O256=0,O255&gt;0,(P$222-O$222)&gt;0),P$222-O$222,O256)</f>
        <v/>
      </c>
      <c r="Q256" s="73">
        <f>+IF(AND(P256=0,P255&gt;0,(Q$222-P$222)&gt;0),Q$222-P$222,P256)</f>
        <v/>
      </c>
      <c r="R256" s="1071">
        <f>+IF(AND(Q256=0,Q255&gt;0,(R$222-Q$222)&gt;0),R$222-Q$222,Q256)</f>
        <v/>
      </c>
      <c r="S256" s="73">
        <f>+IF(AND(R256=0,R255&gt;0,(S$222-R$222)&gt;0),S$222-R$222,R256)</f>
        <v/>
      </c>
      <c r="T256" s="73">
        <f>+IF(AND(S256=0,S255&gt;0,(T$222-S$222)&gt;0),T$222-S$222,S256)</f>
        <v/>
      </c>
      <c r="U256" s="73">
        <f>+IF(AND(T256=0,T255&gt;0,(U$222-T$222)&gt;0),U$222-T$222,T256)</f>
        <v/>
      </c>
      <c r="V256" s="73">
        <f>+IF(AND(U256=0,U255&gt;0,(V$222-U$222)&gt;0),V$222-U$222,U256)</f>
        <v/>
      </c>
      <c r="W256" s="73">
        <f>+IF(AND(V256=0,V255&gt;0,(W$222-V$222)&gt;0),W$222-V$222,V256)</f>
        <v/>
      </c>
      <c r="X256" s="1071">
        <f>+IF(AND(W256=0,W255&gt;0,(X$222-W$222)&gt;0),X$222-W$222,W256)</f>
        <v/>
      </c>
      <c r="Y256" s="73">
        <f>+IF(AND(X256=0,X255&gt;0,(Y$222-X$222)&gt;0),Y$222-X$222,X256)</f>
        <v/>
      </c>
      <c r="Z256" s="73">
        <f>+IF(AND(Y256=0,Y255&gt;0,(Z$222-Y$222)&gt;0),Z$222-Y$222,Y256)</f>
        <v/>
      </c>
      <c r="AA256" s="73">
        <f>+IF(AND(Z256=0,Z255&gt;0,(AA$222-Z$222)&gt;0),AA$222-Z$222,Z256)</f>
        <v/>
      </c>
      <c r="AB256" s="73">
        <f>+IF(AND(AA256=0,AA255&gt;0,(AB$222-AA$222)&gt;0),AB$222-AA$222,AA256)</f>
        <v/>
      </c>
      <c r="AC256" s="73">
        <f>+IF(AND(AB256=0,AB255&gt;0,(AC$222-AB$222)&gt;0),AC$222-AB$222,AB256)</f>
        <v/>
      </c>
      <c r="AD256" s="1071">
        <f>+IF(AND(AC256=0,AC255&gt;0,(AD$222-AC$222)&gt;0),AD$222-AC$222,AC256)</f>
        <v/>
      </c>
      <c r="AE256" s="73">
        <f>+IF(AND(AD256=0,AD255&gt;0,(AE$222-AD$222)&gt;0),AE$222-AD$222,AD256)</f>
        <v/>
      </c>
      <c r="AF256" s="73">
        <f>+IF(AND(AE256=0,AE255&gt;0,(AF$222-AE$222)&gt;0),AF$222-AE$222,AE256)</f>
        <v/>
      </c>
      <c r="AG256" s="73">
        <f>+IF(AND(AF256=0,AF255&gt;0,(AG$222-AF$222)&gt;0),AG$222-AF$222,AF256)</f>
        <v/>
      </c>
      <c r="AH256" s="73">
        <f>+IF(AND(AG256=0,AG255&gt;0,(AH$222-AG$222)&gt;0),AH$222-AG$222,AG256)</f>
        <v/>
      </c>
      <c r="AI256" s="73">
        <f>+IF(AND(AH256=0,AH255&gt;0,(AI$222-AH$222)&gt;0),AI$222-AH$222,AH256)</f>
        <v/>
      </c>
      <c r="AJ256" s="1071">
        <f>+IF(AND(AI256=0,AI255&gt;0,(AJ$222-AI$222)&gt;0),AJ$222-AI$222,AI256)</f>
        <v/>
      </c>
      <c r="AK256" s="73">
        <f>+IF(AND(AJ256=0,AJ255&gt;0,(AK$222-AJ$222)&gt;0),AK$222-AJ$222,AJ256)</f>
        <v/>
      </c>
      <c r="AL256" s="73">
        <f>+IF(AND(AK256=0,AK255&gt;0,(AL$222-AK$222)&gt;0),AL$222-AK$222,AK256)</f>
        <v/>
      </c>
      <c r="AM256" s="73">
        <f>+IF(AND(AL256=0,AL255&gt;0,(AM$222-AL$222)&gt;0),AM$222-AL$222,AL256)</f>
        <v/>
      </c>
      <c r="AN256" s="73">
        <f>+IF(AND(AM256=0,AM255&gt;0,(AN$222-AM$222)&gt;0),AN$222-AM$222,AM256)</f>
        <v/>
      </c>
      <c r="AO256" s="73">
        <f>+IF(AND(AN256=0,AN255&gt;0,(AO$222-AN$222)&gt;0),AO$222-AN$222,AN256)</f>
        <v/>
      </c>
      <c r="AP256" s="1071">
        <f>+IF(AND(AO256=0,AO255&gt;0,(AP$222-AO$222)&gt;0),AP$222-AO$222,AO256)</f>
        <v/>
      </c>
      <c r="AQ256" s="73">
        <f>+IF(AND(AP256=0,AP255&gt;0,(AQ$222-AP$222)&gt;0),AQ$222-AP$222,AP256)</f>
        <v/>
      </c>
      <c r="AR256" s="73">
        <f>+IF(AND(AQ256=0,AQ255&gt;0,(AR$222-AQ$222)&gt;0),AR$222-AQ$222,AQ256)</f>
        <v/>
      </c>
      <c r="AS256" s="73">
        <f>+IF(AND(AR256=0,AR255&gt;0,(AS$222-AR$222)&gt;0),AS$222-AR$222,AR256)</f>
        <v/>
      </c>
      <c r="AT256" s="73">
        <f>+IF(AND(AS256=0,AS255&gt;0,(AT$222-AS$222)&gt;0),AT$222-AS$222,AS256)</f>
        <v/>
      </c>
      <c r="AU256" s="73">
        <f>+IF(AND(AT256=0,AT255&gt;0,(AU$222-AT$222)&gt;0),AU$222-AT$222,AT256)</f>
        <v/>
      </c>
      <c r="AV256" s="1071">
        <f>+IF(AND(AU256=0,AU255&gt;0,(AV$222-AU$222)&gt;0),AV$222-AU$222,AU256)</f>
        <v/>
      </c>
      <c r="AW256" s="73">
        <f>+IF(AND(AV256=0,AV255&gt;0,(AW$222-AV$222)&gt;0),AW$222-AV$222,AV256)</f>
        <v/>
      </c>
      <c r="AX256" s="73">
        <f>+IF(AND(AW256=0,AW255&gt;0,(AX$222-AW$222)&gt;0),AX$222-AW$222,AW256)</f>
        <v/>
      </c>
      <c r="AY256" s="73">
        <f>+IF(AND(AX256=0,AX255&gt;0,(AY$222-AX$222)&gt;0),AY$222-AX$222,AX256)</f>
        <v/>
      </c>
      <c r="AZ256" s="73">
        <f>+IF(AND(AY256=0,AY255&gt;0,(AZ$222-AY$222)&gt;0),AZ$222-AY$222,AY256)</f>
        <v/>
      </c>
      <c r="BA256" s="73">
        <f>+IF(AND(AZ256=0,AZ255&gt;0,(BA$222-AZ$222)&gt;0),BA$222-AZ$222,AZ256)</f>
        <v/>
      </c>
      <c r="BB256" s="1071">
        <f>+IF(AND(BA256=0,BA255&gt;0,(BB$222-BA$222)&gt;0),BB$222-BA$222,BA256)</f>
        <v/>
      </c>
      <c r="BC256" s="73">
        <f>+IF(AND(BB256=0,BB255&gt;0,(BC$222-BB$222)&gt;0),BC$222-BB$222,BB256)</f>
        <v/>
      </c>
      <c r="BD256" s="73">
        <f>+IF(AND(BC256=0,BC255&gt;0,(BD$222-BC$222)&gt;0),BD$222-BC$222,BC256)</f>
        <v/>
      </c>
      <c r="BE256" s="73">
        <f>+IF(AND(BD256=0,BD255&gt;0,(BE$222-BD$222)&gt;0),BE$222-BD$222,BD256)</f>
        <v/>
      </c>
      <c r="BF256" s="73">
        <f>+IF(AND(BE256=0,BE255&gt;0,(BF$222-BE$222)&gt;0),BF$222-BE$222,BE256)</f>
        <v/>
      </c>
      <c r="BG256" s="73">
        <f>+IF(AND(BF256=0,BF255&gt;0,(BG$222-BF$222)&gt;0),BG$222-BF$222,BF256)</f>
        <v/>
      </c>
      <c r="BH256" s="1071">
        <f>+IF(AND(BG256=0,BG255&gt;0,(BH$222-BG$222)&gt;0),BH$222-BG$222,BG256)</f>
        <v/>
      </c>
      <c r="BI256" s="73">
        <f>+IF(AND(BH256=0,BH255&gt;0,(BI$222-BH$222)&gt;0),BI$222-BH$222,BH256)</f>
        <v/>
      </c>
      <c r="BJ256" s="73">
        <f>+IF(AND(BI256=0,BI255&gt;0,(BJ$222-BI$222)&gt;0),BJ$222-BI$222,BI256)</f>
        <v/>
      </c>
      <c r="BK256" s="73">
        <f>+IF(AND(BJ256=0,BJ255&gt;0,(BK$222-BJ$222)&gt;0),BK$222-BJ$222,BJ256)</f>
        <v/>
      </c>
      <c r="BL256" s="73">
        <f>+IF(AND(BK256=0,BK255&gt;0,(BL$222-BK$222)&gt;0),BL$222-BK$222,BK256)</f>
        <v/>
      </c>
      <c r="BM256" s="73">
        <f>+IF(AND(BL256=0,BL255&gt;0,(BM$222-BL$222)&gt;0),BM$222-BL$222,BL256)</f>
        <v/>
      </c>
      <c r="BN256" s="1071">
        <f>+IF(AND(BM256=0,BM255&gt;0,(BN$222-BM$222)&gt;0),BN$222-BM$222,BM256)</f>
        <v/>
      </c>
    </row>
    <row r="257" ht="12.75" customHeight="1" s="1883">
      <c r="C257" s="1155" t="inlineStr">
        <is>
          <t>Total ADDITIONS - Cost</t>
        </is>
      </c>
      <c r="D257" s="670" t="n"/>
      <c r="E257" s="671" t="n"/>
      <c r="F257" s="74" t="n"/>
      <c r="G257" s="1161">
        <f>SUM(G224:G256)</f>
        <v/>
      </c>
      <c r="H257" s="1161">
        <f>SUM(H224:H256)</f>
        <v/>
      </c>
      <c r="I257" s="1161">
        <f>SUM(I224:I256)</f>
        <v/>
      </c>
      <c r="J257" s="1161">
        <f>SUM(J224:J256)</f>
        <v/>
      </c>
      <c r="K257" s="1161">
        <f>SUM(K224:K256)</f>
        <v/>
      </c>
      <c r="L257" s="1162">
        <f>SUM(L224:L256)</f>
        <v/>
      </c>
      <c r="M257" s="1161">
        <f>SUM(M224:M256)</f>
        <v/>
      </c>
      <c r="N257" s="1161">
        <f>SUM(N224:N256)</f>
        <v/>
      </c>
      <c r="O257" s="1161">
        <f>SUM(O224:O256)</f>
        <v/>
      </c>
      <c r="P257" s="1161">
        <f>SUM(P224:P256)</f>
        <v/>
      </c>
      <c r="Q257" s="1161">
        <f>SUM(Q224:Q256)</f>
        <v/>
      </c>
      <c r="R257" s="1162">
        <f>SUM(R224:R256)</f>
        <v/>
      </c>
      <c r="S257" s="1161">
        <f>SUM(S224:S256)</f>
        <v/>
      </c>
      <c r="T257" s="1161">
        <f>SUM(T224:T256)</f>
        <v/>
      </c>
      <c r="U257" s="1161">
        <f>SUM(U224:U256)</f>
        <v/>
      </c>
      <c r="V257" s="1161">
        <f>SUM(V224:V256)</f>
        <v/>
      </c>
      <c r="W257" s="1161">
        <f>SUM(W224:W256)</f>
        <v/>
      </c>
      <c r="X257" s="1162">
        <f>SUM(X224:X256)</f>
        <v/>
      </c>
      <c r="Y257" s="1161">
        <f>SUM(Y224:Y256)</f>
        <v/>
      </c>
      <c r="Z257" s="1161">
        <f>SUM(Z224:Z256)</f>
        <v/>
      </c>
      <c r="AA257" s="1161">
        <f>SUM(AA224:AA256)</f>
        <v/>
      </c>
      <c r="AB257" s="1161">
        <f>SUM(AB224:AB256)</f>
        <v/>
      </c>
      <c r="AC257" s="1161">
        <f>SUM(AC224:AC256)</f>
        <v/>
      </c>
      <c r="AD257" s="1162">
        <f>SUM(AD224:AD256)</f>
        <v/>
      </c>
      <c r="AE257" s="1161">
        <f>SUM(AE224:AE256)</f>
        <v/>
      </c>
      <c r="AF257" s="1161">
        <f>SUM(AF224:AF256)</f>
        <v/>
      </c>
      <c r="AG257" s="1161">
        <f>SUM(AG224:AG256)</f>
        <v/>
      </c>
      <c r="AH257" s="1161">
        <f>SUM(AH224:AH256)</f>
        <v/>
      </c>
      <c r="AI257" s="1161">
        <f>SUM(AI224:AI256)</f>
        <v/>
      </c>
      <c r="AJ257" s="1162">
        <f>SUM(AJ224:AJ256)</f>
        <v/>
      </c>
      <c r="AK257" s="1161">
        <f>SUM(AK224:AK256)</f>
        <v/>
      </c>
      <c r="AL257" s="1161">
        <f>SUM(AL224:AL256)</f>
        <v/>
      </c>
      <c r="AM257" s="1161">
        <f>SUM(AM224:AM256)</f>
        <v/>
      </c>
      <c r="AN257" s="1161">
        <f>SUM(AN224:AN256)</f>
        <v/>
      </c>
      <c r="AO257" s="1161">
        <f>SUM(AO224:AO256)</f>
        <v/>
      </c>
      <c r="AP257" s="1162">
        <f>SUM(AP224:AP256)</f>
        <v/>
      </c>
      <c r="AQ257" s="1161">
        <f>SUM(AQ224:AQ256)</f>
        <v/>
      </c>
      <c r="AR257" s="1161">
        <f>SUM(AR224:AR256)</f>
        <v/>
      </c>
      <c r="AS257" s="1161">
        <f>SUM(AS224:AS256)</f>
        <v/>
      </c>
      <c r="AT257" s="1161">
        <f>SUM(AT224:AT256)</f>
        <v/>
      </c>
      <c r="AU257" s="1161">
        <f>SUM(AU224:AU256)</f>
        <v/>
      </c>
      <c r="AV257" s="1162">
        <f>SUM(AV224:AV256)</f>
        <v/>
      </c>
      <c r="AW257" s="1161">
        <f>SUM(AW224:AW256)</f>
        <v/>
      </c>
      <c r="AX257" s="1161">
        <f>SUM(AX224:AX256)</f>
        <v/>
      </c>
      <c r="AY257" s="1161">
        <f>SUM(AY224:AY256)</f>
        <v/>
      </c>
      <c r="AZ257" s="1161">
        <f>SUM(AZ224:AZ256)</f>
        <v/>
      </c>
      <c r="BA257" s="1161">
        <f>SUM(BA224:BA256)</f>
        <v/>
      </c>
      <c r="BB257" s="1162">
        <f>SUM(BB224:BB256)</f>
        <v/>
      </c>
      <c r="BC257" s="1161">
        <f>SUM(BC224:BC256)</f>
        <v/>
      </c>
      <c r="BD257" s="1161">
        <f>SUM(BD224:BD256)</f>
        <v/>
      </c>
      <c r="BE257" s="1161">
        <f>SUM(BE224:BE256)</f>
        <v/>
      </c>
      <c r="BF257" s="1161">
        <f>SUM(BF224:BF256)</f>
        <v/>
      </c>
      <c r="BG257" s="1161">
        <f>SUM(BG224:BG256)</f>
        <v/>
      </c>
      <c r="BH257" s="1162">
        <f>SUM(BH224:BH256)</f>
        <v/>
      </c>
      <c r="BI257" s="1161">
        <f>SUM(BI224:BI256)</f>
        <v/>
      </c>
      <c r="BJ257" s="1161">
        <f>SUM(BJ224:BJ256)</f>
        <v/>
      </c>
      <c r="BK257" s="1161">
        <f>SUM(BK224:BK256)</f>
        <v/>
      </c>
      <c r="BL257" s="1161">
        <f>SUM(BL224:BL256)</f>
        <v/>
      </c>
      <c r="BM257" s="1161">
        <f>SUM(BM224:BM256)</f>
        <v/>
      </c>
      <c r="BN257" s="1162">
        <f>SUM(BN224:BN256)</f>
        <v/>
      </c>
    </row>
    <row r="258" ht="12.75" customHeight="1" s="1883">
      <c r="C258" s="1155" t="n"/>
      <c r="D258" s="670" t="n"/>
      <c r="E258" s="671" t="n"/>
      <c r="F258" s="74" t="n"/>
      <c r="G258" s="73" t="n"/>
      <c r="H258" s="73" t="n"/>
      <c r="I258" s="73" t="n"/>
      <c r="J258" s="73" t="n"/>
      <c r="K258" s="73" t="n"/>
      <c r="L258" s="1071" t="n"/>
      <c r="M258" s="73" t="n"/>
      <c r="N258" s="73" t="n"/>
      <c r="O258" s="73" t="n"/>
      <c r="P258" s="73" t="n"/>
      <c r="Q258" s="73" t="n"/>
      <c r="R258" s="1071" t="n"/>
      <c r="S258" s="73" t="n"/>
      <c r="T258" s="73" t="n"/>
      <c r="U258" s="73" t="n"/>
      <c r="V258" s="73" t="n"/>
      <c r="W258" s="73" t="n"/>
      <c r="X258" s="1071" t="n"/>
      <c r="Y258" s="73" t="n"/>
      <c r="Z258" s="73" t="n"/>
      <c r="AA258" s="73" t="n"/>
      <c r="AB258" s="73" t="n"/>
      <c r="AC258" s="73" t="n"/>
      <c r="AD258" s="1071" t="n"/>
      <c r="AE258" s="73" t="n"/>
      <c r="AF258" s="73" t="n"/>
      <c r="AG258" s="73" t="n"/>
      <c r="AH258" s="73" t="n"/>
      <c r="AI258" s="73" t="n"/>
      <c r="AJ258" s="1071" t="n"/>
      <c r="AK258" s="73" t="n"/>
      <c r="AL258" s="73" t="n"/>
      <c r="AM258" s="73" t="n"/>
      <c r="AN258" s="73" t="n"/>
      <c r="AO258" s="73" t="n"/>
      <c r="AP258" s="1071" t="n"/>
      <c r="AQ258" s="73" t="n"/>
      <c r="AR258" s="73" t="n"/>
      <c r="AS258" s="73" t="n"/>
      <c r="AT258" s="73" t="n"/>
      <c r="AU258" s="73" t="n"/>
      <c r="AV258" s="1071" t="n"/>
      <c r="AW258" s="73" t="n"/>
      <c r="AX258" s="73" t="n"/>
      <c r="AY258" s="73" t="n"/>
      <c r="AZ258" s="73" t="n"/>
      <c r="BA258" s="73" t="n"/>
      <c r="BB258" s="1071" t="n"/>
      <c r="BC258" s="73" t="n"/>
      <c r="BD258" s="73" t="n"/>
      <c r="BE258" s="73" t="n"/>
      <c r="BF258" s="73" t="n"/>
      <c r="BG258" s="73" t="n"/>
      <c r="BH258" s="1071" t="n"/>
      <c r="BI258" s="73" t="n"/>
      <c r="BJ258" s="73" t="n"/>
      <c r="BK258" s="73" t="n"/>
      <c r="BL258" s="73" t="n"/>
      <c r="BM258" s="73" t="n"/>
      <c r="BN258" s="1071" t="n"/>
    </row>
    <row r="259" ht="12.75" customHeight="1" s="1883">
      <c r="C259" s="1157" t="inlineStr">
        <is>
          <t>Accumulated Amortization - Beg</t>
        </is>
      </c>
      <c r="D259" s="670" t="n"/>
      <c r="E259" s="671" t="n"/>
      <c r="F259" s="74" t="n"/>
      <c r="G259" s="1091" t="n">
        <v>0</v>
      </c>
      <c r="H259" s="1091">
        <f>+G294</f>
        <v/>
      </c>
      <c r="I259" s="1091">
        <f>+H294</f>
        <v/>
      </c>
      <c r="J259" s="1091">
        <f>+I294</f>
        <v/>
      </c>
      <c r="K259" s="1091">
        <f>+J294</f>
        <v/>
      </c>
      <c r="L259" s="174">
        <f>+K294</f>
        <v/>
      </c>
      <c r="M259" s="1091">
        <f>+L294</f>
        <v/>
      </c>
      <c r="N259" s="1091">
        <f>+M294</f>
        <v/>
      </c>
      <c r="O259" s="1091">
        <f>+N294</f>
        <v/>
      </c>
      <c r="P259" s="1091">
        <f>+O294</f>
        <v/>
      </c>
      <c r="Q259" s="1091">
        <f>+P294</f>
        <v/>
      </c>
      <c r="R259" s="174">
        <f>+Q294</f>
        <v/>
      </c>
      <c r="S259" s="1091">
        <f>+R294</f>
        <v/>
      </c>
      <c r="T259" s="1091">
        <f>+S294</f>
        <v/>
      </c>
      <c r="U259" s="1091">
        <f>+T294</f>
        <v/>
      </c>
      <c r="V259" s="1091">
        <f>+U294</f>
        <v/>
      </c>
      <c r="W259" s="1091">
        <f>+V294</f>
        <v/>
      </c>
      <c r="X259" s="174">
        <f>+W294</f>
        <v/>
      </c>
      <c r="Y259" s="1091">
        <f>+X294</f>
        <v/>
      </c>
      <c r="Z259" s="1091">
        <f>+Y294</f>
        <v/>
      </c>
      <c r="AA259" s="1091">
        <f>+Z294</f>
        <v/>
      </c>
      <c r="AB259" s="1091">
        <f>+AA294</f>
        <v/>
      </c>
      <c r="AC259" s="1091">
        <f>+AB294</f>
        <v/>
      </c>
      <c r="AD259" s="174">
        <f>+AC294</f>
        <v/>
      </c>
      <c r="AE259" s="1091">
        <f>+AD294</f>
        <v/>
      </c>
      <c r="AF259" s="1091">
        <f>+AE294</f>
        <v/>
      </c>
      <c r="AG259" s="1091">
        <f>+AF294</f>
        <v/>
      </c>
      <c r="AH259" s="1091">
        <f>+AG294</f>
        <v/>
      </c>
      <c r="AI259" s="1091">
        <f>+AH294</f>
        <v/>
      </c>
      <c r="AJ259" s="174">
        <f>+AI294</f>
        <v/>
      </c>
      <c r="AK259" s="1091">
        <f>+AJ294</f>
        <v/>
      </c>
      <c r="AL259" s="1091">
        <f>+AK294</f>
        <v/>
      </c>
      <c r="AM259" s="1091">
        <f>+AL294</f>
        <v/>
      </c>
      <c r="AN259" s="1091">
        <f>+AM294</f>
        <v/>
      </c>
      <c r="AO259" s="1091">
        <f>+AN294</f>
        <v/>
      </c>
      <c r="AP259" s="174">
        <f>+AO294</f>
        <v/>
      </c>
      <c r="AQ259" s="1091">
        <f>+AP294</f>
        <v/>
      </c>
      <c r="AR259" s="1091">
        <f>+AQ294</f>
        <v/>
      </c>
      <c r="AS259" s="1091">
        <f>+AR294</f>
        <v/>
      </c>
      <c r="AT259" s="1091">
        <f>+AS294</f>
        <v/>
      </c>
      <c r="AU259" s="1091">
        <f>+AT294</f>
        <v/>
      </c>
      <c r="AV259" s="174">
        <f>+AU294</f>
        <v/>
      </c>
      <c r="AW259" s="1091">
        <f>+AV294</f>
        <v/>
      </c>
      <c r="AX259" s="1091">
        <f>+AW294</f>
        <v/>
      </c>
      <c r="AY259" s="1091">
        <f>+AX294</f>
        <v/>
      </c>
      <c r="AZ259" s="1091">
        <f>+AY294</f>
        <v/>
      </c>
      <c r="BA259" s="1091">
        <f>+AZ294</f>
        <v/>
      </c>
      <c r="BB259" s="174">
        <f>+BA294</f>
        <v/>
      </c>
      <c r="BC259" s="1091">
        <f>+BB294</f>
        <v/>
      </c>
      <c r="BD259" s="1091">
        <f>+BC294</f>
        <v/>
      </c>
      <c r="BE259" s="1091">
        <f>+BD294</f>
        <v/>
      </c>
      <c r="BF259" s="1091">
        <f>+BE294</f>
        <v/>
      </c>
      <c r="BG259" s="1091">
        <f>+BF294</f>
        <v/>
      </c>
      <c r="BH259" s="174">
        <f>+BG294</f>
        <v/>
      </c>
      <c r="BI259" s="1091">
        <f>+BH294</f>
        <v/>
      </c>
      <c r="BJ259" s="1091">
        <f>+BI294</f>
        <v/>
      </c>
      <c r="BK259" s="1091">
        <f>+BJ294</f>
        <v/>
      </c>
      <c r="BL259" s="1091">
        <f>+BK294</f>
        <v/>
      </c>
      <c r="BM259" s="1091">
        <f>+BL294</f>
        <v/>
      </c>
      <c r="BN259" s="174">
        <f>+BM294</f>
        <v/>
      </c>
    </row>
    <row r="260" ht="12.75" customHeight="1" s="1883">
      <c r="C260" s="1157" t="n"/>
      <c r="D260" s="670" t="n"/>
      <c r="E260" s="671" t="n"/>
      <c r="F260" s="74" t="n"/>
      <c r="G260" s="1091" t="n"/>
      <c r="H260" s="1091" t="n"/>
      <c r="I260" s="1091" t="n"/>
      <c r="J260" s="1091" t="n"/>
      <c r="K260" s="1091" t="n"/>
      <c r="L260" s="174" t="n"/>
      <c r="M260" s="1091" t="n"/>
      <c r="N260" s="1091" t="n"/>
      <c r="O260" s="1091" t="n"/>
      <c r="P260" s="1091" t="n"/>
      <c r="Q260" s="1091" t="n"/>
      <c r="R260" s="174" t="n"/>
      <c r="S260" s="1091" t="n"/>
      <c r="T260" s="1091" t="n"/>
      <c r="U260" s="1091" t="n"/>
      <c r="V260" s="1091" t="n"/>
      <c r="W260" s="1091" t="n"/>
      <c r="X260" s="174" t="n"/>
      <c r="Y260" s="1091" t="n"/>
      <c r="Z260" s="1091" t="n"/>
      <c r="AA260" s="1091" t="n"/>
      <c r="AB260" s="1091" t="n"/>
      <c r="AC260" s="1091" t="n"/>
      <c r="AD260" s="174" t="n"/>
      <c r="AE260" s="1091" t="n"/>
      <c r="AF260" s="1091" t="n"/>
      <c r="AG260" s="1091" t="n"/>
      <c r="AH260" s="1091" t="n"/>
      <c r="AI260" s="1091" t="n"/>
      <c r="AJ260" s="174" t="n"/>
      <c r="AK260" s="1091" t="n"/>
      <c r="AL260" s="1091" t="n"/>
      <c r="AM260" s="1091" t="n"/>
      <c r="AN260" s="1091" t="n"/>
      <c r="AO260" s="1091" t="n"/>
      <c r="AP260" s="174" t="n"/>
      <c r="AQ260" s="1091" t="n"/>
      <c r="AR260" s="1091" t="n"/>
      <c r="AS260" s="1091" t="n"/>
      <c r="AT260" s="1091" t="n"/>
      <c r="AU260" s="1091" t="n"/>
      <c r="AV260" s="174" t="n"/>
      <c r="AW260" s="1091" t="n"/>
      <c r="AX260" s="1091" t="n"/>
      <c r="AY260" s="1091" t="n"/>
      <c r="AZ260" s="1091" t="n"/>
      <c r="BA260" s="1091" t="n"/>
      <c r="BB260" s="174" t="n"/>
      <c r="BC260" s="1091" t="n"/>
      <c r="BD260" s="1091" t="n"/>
      <c r="BE260" s="1091" t="n"/>
      <c r="BF260" s="1091" t="n"/>
      <c r="BG260" s="1091" t="n"/>
      <c r="BH260" s="174" t="n"/>
      <c r="BI260" s="1091" t="n"/>
      <c r="BJ260" s="1091" t="n"/>
      <c r="BK260" s="1091" t="n"/>
      <c r="BL260" s="1091" t="n"/>
      <c r="BM260" s="1091" t="n"/>
      <c r="BN260" s="174" t="n"/>
    </row>
    <row r="261" ht="12.75" customHeight="1" s="1883">
      <c r="C261" s="1157" t="inlineStr">
        <is>
          <t>Amortization Expense - 1</t>
        </is>
      </c>
      <c r="D261" s="670" t="n"/>
      <c r="E261" s="671" t="n"/>
      <c r="F261" s="74" t="n"/>
      <c r="G261" s="1091">
        <f>+IF(AND(F224=0,G224&gt;0),G224*($D$210/12),F261)</f>
        <v/>
      </c>
      <c r="H261" s="1091">
        <f>+IF(AND(G224=0,H224&gt;0),H224*($D$210/12),G261)</f>
        <v/>
      </c>
      <c r="I261" s="1091">
        <f>+IF(AND(H224=0,I224&gt;0),I224*($D$210/12),H261)</f>
        <v/>
      </c>
      <c r="J261" s="1091">
        <f>+IF(AND(I224=0,J224&gt;0),J224*($D$210/12),I261)</f>
        <v/>
      </c>
      <c r="K261" s="1091">
        <f>+IF(AND(J224=0,K224&gt;0),K224*($D$210/12),J261)</f>
        <v/>
      </c>
      <c r="L261" s="174">
        <f>+IF(AND(K224=0,L224&gt;0),L224*($D$210/12),K261)</f>
        <v/>
      </c>
      <c r="M261" s="1091">
        <f>+IF(AND(L224=0,M224&gt;0),M224*($D$210/12),L261)</f>
        <v/>
      </c>
      <c r="N261" s="1091">
        <f>+IF(AND(M224=0,N224&gt;0),N224*($D$210/12),M261)</f>
        <v/>
      </c>
      <c r="O261" s="1091">
        <f>+IF(AND(N224=0,O224&gt;0),O224*($D$210/12),N261)</f>
        <v/>
      </c>
      <c r="P261" s="1091">
        <f>+IF(AND(O224=0,P224&gt;0),P224*($D$210/12),O261)</f>
        <v/>
      </c>
      <c r="Q261" s="1091">
        <f>+IF(AND(P224=0,Q224&gt;0),Q224*($D$210/12),P261)</f>
        <v/>
      </c>
      <c r="R261" s="174">
        <f>+IF(AND(Q224=0,R224&gt;0),R224*($D$210/12),Q261)</f>
        <v/>
      </c>
      <c r="S261" s="1091">
        <f>+IF(AND(R224=0,S224&gt;0),S224*($D$210/12),R261)</f>
        <v/>
      </c>
      <c r="T261" s="1091">
        <f>+IF(AND(S224=0,T224&gt;0),T224*($D$210/12),S261)</f>
        <v/>
      </c>
      <c r="U261" s="1091">
        <f>+IF(AND(T224=0,U224&gt;0),U224*($D$210/12),T261)</f>
        <v/>
      </c>
      <c r="V261" s="1091">
        <f>+IF(AND(U224=0,V224&gt;0),V224*($D$210/12),U261)</f>
        <v/>
      </c>
      <c r="W261" s="1091">
        <f>+IF(AND(V224=0,W224&gt;0),W224*($D$210/12),V261)</f>
        <v/>
      </c>
      <c r="X261" s="174">
        <f>+IF(AND(W224=0,X224&gt;0),X224*($D$210/12),W261)</f>
        <v/>
      </c>
      <c r="Y261" s="1091">
        <f>+IF(AND(X224=0,Y224&gt;0),Y224*($D$210/12),X261)</f>
        <v/>
      </c>
      <c r="Z261" s="1091">
        <f>+IF(AND(Y224=0,Z224&gt;0),Z224*($D$210/12),Y261)</f>
        <v/>
      </c>
      <c r="AA261" s="1091">
        <f>+IF(AND(Z224=0,AA224&gt;0),AA224*($D$210/12),Z261)</f>
        <v/>
      </c>
      <c r="AB261" s="1091">
        <f>+IF(AND(AA224=0,AB224&gt;0),AB224*($D$210/12),AA261)</f>
        <v/>
      </c>
      <c r="AC261" s="1091">
        <f>+IF(AND(AB224=0,AC224&gt;0),AC224*($D$210/12),AB261)</f>
        <v/>
      </c>
      <c r="AD261" s="174">
        <f>+IF(AND(AC224=0,AD224&gt;0),AD224*($D$210/12),AC261)</f>
        <v/>
      </c>
      <c r="AE261" s="1091">
        <f>+IF(AND(AD224=0,AE224&gt;0),AE224*($D$210/12),AD261)</f>
        <v/>
      </c>
      <c r="AF261" s="1091">
        <f>+IF(AND(AE224=0,AF224&gt;0),AF224*($D$210/12),AE261)</f>
        <v/>
      </c>
      <c r="AG261" s="1091">
        <f>+IF(AND(AF224=0,AG224&gt;0),AG224*($D$210/12),AF261)</f>
        <v/>
      </c>
      <c r="AH261" s="1091">
        <f>+IF(AND(AG224=0,AH224&gt;0),AH224*($D$210/12),AG261)</f>
        <v/>
      </c>
      <c r="AI261" s="1091">
        <f>+IF(AND(AH224=0,AI224&gt;0),AI224*($D$210/12),AH261)</f>
        <v/>
      </c>
      <c r="AJ261" s="174">
        <f>+IF(AND(AI224=0,AJ224&gt;0),AJ224*($D$210/12),AI261)</f>
        <v/>
      </c>
      <c r="AK261" s="1091">
        <f>+IF(AND(AJ224=0,AK224&gt;0),AK224*($D$210/12),AJ261)</f>
        <v/>
      </c>
      <c r="AL261" s="1091">
        <f>+IF(AND(AK224=0,AL224&gt;0),AL224*($D$210/12),AK261)</f>
        <v/>
      </c>
      <c r="AM261" s="1091">
        <f>+IF(AND(AL224=0,AM224&gt;0),AM224*($D$210/12),AL261)</f>
        <v/>
      </c>
      <c r="AN261" s="1091">
        <f>+IF(AND(AM224=0,AN224&gt;0),AN224*($D$210/12),AM261)</f>
        <v/>
      </c>
      <c r="AO261" s="1091">
        <f>+IF(AND(AN224=0,AO224&gt;0),AO224*($D$210/12),AN261)</f>
        <v/>
      </c>
      <c r="AP261" s="174">
        <f>+IF(AND(AO224=0,AP224&gt;0),AP224*($D$210/12),AO261)</f>
        <v/>
      </c>
      <c r="AQ261" s="1091">
        <f>+IF(AND(AP224=0,AQ224&gt;0),AQ224*($D$210/12),AP261)</f>
        <v/>
      </c>
      <c r="AR261" s="1091">
        <f>+IF(AND(AQ224=0,AR224&gt;0),AR224*($D$210/12),AQ261)</f>
        <v/>
      </c>
      <c r="AS261" s="1091">
        <f>+IF(AND(AR224=0,AS224&gt;0),AS224*($D$210/12),AR261)</f>
        <v/>
      </c>
      <c r="AT261" s="1091">
        <f>+IF(AND(AS224=0,AT224&gt;0),AT224*($D$210/12),AS261)</f>
        <v/>
      </c>
      <c r="AU261" s="1091">
        <f>+IF(AND(AT224=0,AU224&gt;0),AU224*($D$210/12),AT261)</f>
        <v/>
      </c>
      <c r="AV261" s="174">
        <f>+IF(AND(AU224=0,AV224&gt;0),AV224*($D$210/12),AU261)</f>
        <v/>
      </c>
      <c r="AW261" s="1091">
        <f>+IF(AND(AV224=0,AW224&gt;0),AW224*($D$210/12),AV261)</f>
        <v/>
      </c>
      <c r="AX261" s="1091">
        <f>+IF(AND(AW224=0,AX224&gt;0),AX224*($D$210/12),AW261)</f>
        <v/>
      </c>
      <c r="AY261" s="1091">
        <f>+IF(AND(AX224=0,AY224&gt;0),AY224*($D$210/12),AX261)</f>
        <v/>
      </c>
      <c r="AZ261" s="1091">
        <f>+IF(AND(AY224=0,AZ224&gt;0),AZ224*($D$210/12),AY261)</f>
        <v/>
      </c>
      <c r="BA261" s="1091">
        <f>+IF(AND(AZ224=0,BA224&gt;0),BA224*($D$210/12),AZ261)</f>
        <v/>
      </c>
      <c r="BB261" s="174">
        <f>+IF(AND(BA224=0,BB224&gt;0),BB224*($D$210/12),BA261)</f>
        <v/>
      </c>
      <c r="BC261" s="1091">
        <f>+IF(AND(BB224=0,BC224&gt;0),BC224*($D$210/12),BB261)</f>
        <v/>
      </c>
      <c r="BD261" s="1091">
        <f>+IF(AND(BC224=0,BD224&gt;0),BD224*($D$210/12),BC261)</f>
        <v/>
      </c>
      <c r="BE261" s="1091">
        <f>+IF(AND(BD224=0,BE224&gt;0),BE224*($D$210/12),BD261)</f>
        <v/>
      </c>
      <c r="BF261" s="1091">
        <f>+IF(AND(BE224=0,BF224&gt;0),BF224*($D$210/12),BE261)</f>
        <v/>
      </c>
      <c r="BG261" s="1091">
        <f>+IF(AND(BF224=0,BG224&gt;0),BG224*($D$210/12),BF261)</f>
        <v/>
      </c>
      <c r="BH261" s="174">
        <f>+IF(AND(BG224=0,BH224&gt;0),BH224*($D$210/12),BG261)</f>
        <v/>
      </c>
      <c r="BI261" s="1091">
        <f>+IF(AND(BH224=0,BI224&gt;0),BI224*($D$210/12),BH261)</f>
        <v/>
      </c>
      <c r="BJ261" s="1091">
        <f>+IF(AND(BI224=0,BJ224&gt;0),BJ224*($D$210/12),BI261)</f>
        <v/>
      </c>
      <c r="BK261" s="1091">
        <f>+IF(AND(BJ224=0,BK224&gt;0),BK224*($D$210/12),BJ261)</f>
        <v/>
      </c>
      <c r="BL261" s="1091">
        <f>+IF(AND(BK224=0,BL224&gt;0),BL224*($D$210/12),BK261)</f>
        <v/>
      </c>
      <c r="BM261" s="1091">
        <f>+IF(AND(BL224=0,BM224&gt;0),BM224*($D$210/12),BL261)</f>
        <v/>
      </c>
      <c r="BN261" s="174">
        <f>+IF(AND(BM224=0,BN224&gt;0),BN224*($D$210/12),BM261)</f>
        <v/>
      </c>
    </row>
    <row r="262" ht="12.75" customHeight="1" s="1883">
      <c r="C262" s="1157" t="inlineStr">
        <is>
          <t>Amortization Expense - 2</t>
        </is>
      </c>
      <c r="D262" s="670" t="n"/>
      <c r="E262" s="671" t="n"/>
      <c r="F262" s="74" t="n"/>
      <c r="G262" s="1091">
        <f>+IF(AND(F225=0,G225&gt;0),G225*($D$210/12),F262)</f>
        <v/>
      </c>
      <c r="H262" s="1091">
        <f>+IF(AND(G225=0,H225&gt;0),H225*($D$210/12),G262)</f>
        <v/>
      </c>
      <c r="I262" s="1091">
        <f>+IF(AND(H225=0,I225&gt;0),I225*($D$210/12),H262)</f>
        <v/>
      </c>
      <c r="J262" s="1091">
        <f>+IF(AND(I225=0,J225&gt;0),J225*($D$210/12),I262)</f>
        <v/>
      </c>
      <c r="K262" s="1091">
        <f>+IF(AND(J225=0,K225&gt;0),K225*($D$210/12),J262)</f>
        <v/>
      </c>
      <c r="L262" s="174">
        <f>+IF(AND(K225=0,L225&gt;0),L225*($D$210/12),K262)</f>
        <v/>
      </c>
      <c r="M262" s="1091">
        <f>+IF(AND(L225=0,M225&gt;0),M225*($D$210/12),L262)</f>
        <v/>
      </c>
      <c r="N262" s="1091">
        <f>+IF(AND(M225=0,N225&gt;0),N225*($D$210/12),M262)</f>
        <v/>
      </c>
      <c r="O262" s="1091">
        <f>+IF(AND(N225=0,O225&gt;0),O225*($D$210/12),N262)</f>
        <v/>
      </c>
      <c r="P262" s="1091">
        <f>+IF(AND(O225=0,P225&gt;0),P225*($D$210/12),O262)</f>
        <v/>
      </c>
      <c r="Q262" s="1091">
        <f>+IF(AND(P225=0,Q225&gt;0),Q225*($D$210/12),P262)</f>
        <v/>
      </c>
      <c r="R262" s="174">
        <f>+IF(AND(Q225=0,R225&gt;0),R225*($D$210/12),Q262)</f>
        <v/>
      </c>
      <c r="S262" s="1091">
        <f>+IF(AND(R225=0,S225&gt;0),S225*($D$210/12),R262)</f>
        <v/>
      </c>
      <c r="T262" s="1091">
        <f>+IF(AND(S225=0,T225&gt;0),T225*($D$210/12),S262)</f>
        <v/>
      </c>
      <c r="U262" s="1091">
        <f>+IF(AND(T225=0,U225&gt;0),U225*($D$210/12),T262)</f>
        <v/>
      </c>
      <c r="V262" s="1091">
        <f>+IF(AND(U225=0,V225&gt;0),V225*($D$210/12),U262)</f>
        <v/>
      </c>
      <c r="W262" s="1091">
        <f>+IF(AND(V225=0,W225&gt;0),W225*($D$210/12),V262)</f>
        <v/>
      </c>
      <c r="X262" s="174">
        <f>+IF(AND(W225=0,X225&gt;0),X225*($D$210/12),W262)</f>
        <v/>
      </c>
      <c r="Y262" s="1091">
        <f>+IF(AND(X225=0,Y225&gt;0),Y225*($D$210/12),X262)</f>
        <v/>
      </c>
      <c r="Z262" s="1091">
        <f>+IF(AND(Y225=0,Z225&gt;0),Z225*($D$210/12),Y262)</f>
        <v/>
      </c>
      <c r="AA262" s="1091">
        <f>+IF(AND(Z225=0,AA225&gt;0),AA225*($D$210/12),Z262)</f>
        <v/>
      </c>
      <c r="AB262" s="1091">
        <f>+IF(AND(AA225=0,AB225&gt;0),AB225*($D$210/12),AA262)</f>
        <v/>
      </c>
      <c r="AC262" s="1091">
        <f>+IF(AND(AB225=0,AC225&gt;0),AC225*($D$210/12),AB262)</f>
        <v/>
      </c>
      <c r="AD262" s="174">
        <f>+IF(AND(AC225=0,AD225&gt;0),AD225*($D$210/12),AC262)</f>
        <v/>
      </c>
      <c r="AE262" s="1091">
        <f>+IF(AND(AD225=0,AE225&gt;0),AE225*($D$210/12),AD262)</f>
        <v/>
      </c>
      <c r="AF262" s="1091">
        <f>+IF(AND(AE225=0,AF225&gt;0),AF225*($D$210/12),AE262)</f>
        <v/>
      </c>
      <c r="AG262" s="1091">
        <f>+IF(AND(AF225=0,AG225&gt;0),AG225*($D$210/12),AF262)</f>
        <v/>
      </c>
      <c r="AH262" s="1091">
        <f>+IF(AND(AG225=0,AH225&gt;0),AH225*($D$210/12),AG262)</f>
        <v/>
      </c>
      <c r="AI262" s="1091">
        <f>+IF(AND(AH225=0,AI225&gt;0),AI225*($D$210/12),AH262)</f>
        <v/>
      </c>
      <c r="AJ262" s="174">
        <f>+IF(AND(AI225=0,AJ225&gt;0),AJ225*($D$210/12),AI262)</f>
        <v/>
      </c>
      <c r="AK262" s="1091">
        <f>+IF(AND(AJ225=0,AK225&gt;0),AK225*($D$210/12),AJ262)</f>
        <v/>
      </c>
      <c r="AL262" s="1091">
        <f>+IF(AND(AK225=0,AL225&gt;0),AL225*($D$210/12),AK262)</f>
        <v/>
      </c>
      <c r="AM262" s="1091">
        <f>+IF(AND(AL225=0,AM225&gt;0),AM225*($D$210/12),AL262)</f>
        <v/>
      </c>
      <c r="AN262" s="1091">
        <f>+IF(AND(AM225=0,AN225&gt;0),AN225*($D$210/12),AM262)</f>
        <v/>
      </c>
      <c r="AO262" s="1091">
        <f>+IF(AND(AN225=0,AO225&gt;0),AO225*($D$210/12),AN262)</f>
        <v/>
      </c>
      <c r="AP262" s="174">
        <f>+IF(AND(AO225=0,AP225&gt;0),AP225*($D$210/12),AO262)</f>
        <v/>
      </c>
      <c r="AQ262" s="1091">
        <f>+IF(AND(AP225=0,AQ225&gt;0),AQ225*($D$210/12),AP262)</f>
        <v/>
      </c>
      <c r="AR262" s="1091">
        <f>+IF(AND(AQ225=0,AR225&gt;0),AR225*($D$210/12),AQ262)</f>
        <v/>
      </c>
      <c r="AS262" s="1091">
        <f>+IF(AND(AR225=0,AS225&gt;0),AS225*($D$210/12),AR262)</f>
        <v/>
      </c>
      <c r="AT262" s="1091">
        <f>+IF(AND(AS225=0,AT225&gt;0),AT225*($D$210/12),AS262)</f>
        <v/>
      </c>
      <c r="AU262" s="1091">
        <f>+IF(AND(AT225=0,AU225&gt;0),AU225*($D$210/12),AT262)</f>
        <v/>
      </c>
      <c r="AV262" s="174">
        <f>+IF(AND(AU225=0,AV225&gt;0),AV225*($D$210/12),AU262)</f>
        <v/>
      </c>
      <c r="AW262" s="1091">
        <f>+IF(AND(AV225=0,AW225&gt;0),AW225*($D$210/12),AV262)</f>
        <v/>
      </c>
      <c r="AX262" s="1091">
        <f>+IF(AND(AW225=0,AX225&gt;0),AX225*($D$210/12),AW262)</f>
        <v/>
      </c>
      <c r="AY262" s="1091">
        <f>+IF(AND(AX225=0,AY225&gt;0),AY225*($D$210/12),AX262)</f>
        <v/>
      </c>
      <c r="AZ262" s="1091">
        <f>+IF(AND(AY225=0,AZ225&gt;0),AZ225*($D$210/12),AY262)</f>
        <v/>
      </c>
      <c r="BA262" s="1091">
        <f>+IF(AND(AZ225=0,BA225&gt;0),BA225*($D$210/12),AZ262)</f>
        <v/>
      </c>
      <c r="BB262" s="174">
        <f>+IF(AND(BA225=0,BB225&gt;0),BB225*($D$210/12),BA262)</f>
        <v/>
      </c>
      <c r="BC262" s="1091">
        <f>+IF(AND(BB225=0,BC225&gt;0),BC225*($D$210/12),BB262)</f>
        <v/>
      </c>
      <c r="BD262" s="1091">
        <f>+IF(AND(BC225=0,BD225&gt;0),BD225*($D$210/12),BC262)</f>
        <v/>
      </c>
      <c r="BE262" s="1091">
        <f>+IF(AND(BD225=0,BE225&gt;0),BE225*($D$210/12),BD262)</f>
        <v/>
      </c>
      <c r="BF262" s="1091">
        <f>+IF(AND(BE225=0,BF225&gt;0),BF225*($D$210/12),BE262)</f>
        <v/>
      </c>
      <c r="BG262" s="1091">
        <f>+IF(AND(BF225=0,BG225&gt;0),BG225*($D$210/12),BF262)</f>
        <v/>
      </c>
      <c r="BH262" s="174">
        <f>+IF(AND(BG225=0,BH225&gt;0),BH225*($D$210/12),BG262)</f>
        <v/>
      </c>
      <c r="BI262" s="1091">
        <f>+IF(AND(BH225=0,BI225&gt;0),BI225*($D$210/12),BH262)</f>
        <v/>
      </c>
      <c r="BJ262" s="1091">
        <f>+IF(AND(BI225=0,BJ225&gt;0),BJ225*($D$210/12),BI262)</f>
        <v/>
      </c>
      <c r="BK262" s="1091">
        <f>+IF(AND(BJ225=0,BK225&gt;0),BK225*($D$210/12),BJ262)</f>
        <v/>
      </c>
      <c r="BL262" s="1091">
        <f>+IF(AND(BK225=0,BL225&gt;0),BL225*($D$210/12),BK262)</f>
        <v/>
      </c>
      <c r="BM262" s="1091">
        <f>+IF(AND(BL225=0,BM225&gt;0),BM225*($D$210/12),BL262)</f>
        <v/>
      </c>
      <c r="BN262" s="174">
        <f>+IF(AND(BM225=0,BN225&gt;0),BN225*($D$210/12),BM262)</f>
        <v/>
      </c>
    </row>
    <row r="263" ht="12.75" customHeight="1" s="1883">
      <c r="C263" s="1157" t="inlineStr">
        <is>
          <t>Amortization Expense - 3</t>
        </is>
      </c>
      <c r="D263" s="670" t="n"/>
      <c r="E263" s="671" t="n"/>
      <c r="F263" s="74" t="n"/>
      <c r="G263" s="1091">
        <f>+IF(AND(F226=0,G226&gt;0),G226*($D$210/12),F263)</f>
        <v/>
      </c>
      <c r="H263" s="1091">
        <f>+IF(AND(G226=0,H226&gt;0),H226*($D$210/12),G263)</f>
        <v/>
      </c>
      <c r="I263" s="1091">
        <f>+IF(AND(H226=0,I226&gt;0),I226*($D$210/12),H263)</f>
        <v/>
      </c>
      <c r="J263" s="1091">
        <f>+IF(AND(I226=0,J226&gt;0),J226*($D$210/12),I263)</f>
        <v/>
      </c>
      <c r="K263" s="1091">
        <f>+IF(AND(J226=0,K226&gt;0),K226*($D$210/12),J263)</f>
        <v/>
      </c>
      <c r="L263" s="174">
        <f>+IF(AND(K226=0,L226&gt;0),L226*($D$210/12),K263)</f>
        <v/>
      </c>
      <c r="M263" s="1091">
        <f>+IF(AND(L226=0,M226&gt;0),M226*($D$210/12),L263)</f>
        <v/>
      </c>
      <c r="N263" s="1091">
        <f>+IF(AND(M226=0,N226&gt;0),N226*($D$210/12),M263)</f>
        <v/>
      </c>
      <c r="O263" s="1091">
        <f>+IF(AND(N226=0,O226&gt;0),O226*($D$210/12),N263)</f>
        <v/>
      </c>
      <c r="P263" s="1091">
        <f>+IF(AND(O226=0,P226&gt;0),P226*($D$210/12),O263)</f>
        <v/>
      </c>
      <c r="Q263" s="1091">
        <f>+IF(AND(P226=0,Q226&gt;0),Q226*($D$210/12),P263)</f>
        <v/>
      </c>
      <c r="R263" s="174">
        <f>+IF(AND(Q226=0,R226&gt;0),R226*($D$210/12),Q263)</f>
        <v/>
      </c>
      <c r="S263" s="1091">
        <f>+IF(AND(R226=0,S226&gt;0),S226*($D$210/12),R263)</f>
        <v/>
      </c>
      <c r="T263" s="1091">
        <f>+IF(AND(S226=0,T226&gt;0),T226*($D$210/12),S263)</f>
        <v/>
      </c>
      <c r="U263" s="1091">
        <f>+IF(AND(T226=0,U226&gt;0),U226*($D$210/12),T263)</f>
        <v/>
      </c>
      <c r="V263" s="1091">
        <f>+IF(AND(U226=0,V226&gt;0),V226*($D$210/12),U263)</f>
        <v/>
      </c>
      <c r="W263" s="1091">
        <f>+IF(AND(V226=0,W226&gt;0),W226*($D$210/12),V263)</f>
        <v/>
      </c>
      <c r="X263" s="174">
        <f>+IF(AND(W226=0,X226&gt;0),X226*($D$210/12),W263)</f>
        <v/>
      </c>
      <c r="Y263" s="1091">
        <f>+IF(AND(X226=0,Y226&gt;0),Y226*($D$210/12),X263)</f>
        <v/>
      </c>
      <c r="Z263" s="1091">
        <f>+IF(AND(Y226=0,Z226&gt;0),Z226*($D$210/12),Y263)</f>
        <v/>
      </c>
      <c r="AA263" s="1091">
        <f>+IF(AND(Z226=0,AA226&gt;0),AA226*($D$210/12),Z263)</f>
        <v/>
      </c>
      <c r="AB263" s="1091">
        <f>+IF(AND(AA226=0,AB226&gt;0),AB226*($D$210/12),AA263)</f>
        <v/>
      </c>
      <c r="AC263" s="1091">
        <f>+IF(AND(AB226=0,AC226&gt;0),AC226*($D$210/12),AB263)</f>
        <v/>
      </c>
      <c r="AD263" s="174">
        <f>+IF(AND(AC226=0,AD226&gt;0),AD226*($D$210/12),AC263)</f>
        <v/>
      </c>
      <c r="AE263" s="1091">
        <f>+IF(AND(AD226=0,AE226&gt;0),AE226*($D$210/12),AD263)</f>
        <v/>
      </c>
      <c r="AF263" s="1091">
        <f>+IF(AND(AE226=0,AF226&gt;0),AF226*($D$210/12),AE263)</f>
        <v/>
      </c>
      <c r="AG263" s="1091">
        <f>+IF(AND(AF226=0,AG226&gt;0),AG226*($D$210/12),AF263)</f>
        <v/>
      </c>
      <c r="AH263" s="1091">
        <f>+IF(AND(AG226=0,AH226&gt;0),AH226*($D$210/12),AG263)</f>
        <v/>
      </c>
      <c r="AI263" s="1091">
        <f>+IF(AND(AH226=0,AI226&gt;0),AI226*($D$210/12),AH263)</f>
        <v/>
      </c>
      <c r="AJ263" s="174">
        <f>+IF(AND(AI226=0,AJ226&gt;0),AJ226*($D$210/12),AI263)</f>
        <v/>
      </c>
      <c r="AK263" s="1091">
        <f>+IF(AND(AJ226=0,AK226&gt;0),AK226*($D$210/12),AJ263)</f>
        <v/>
      </c>
      <c r="AL263" s="1091">
        <f>+IF(AND(AK226=0,AL226&gt;0),AL226*($D$210/12),AK263)</f>
        <v/>
      </c>
      <c r="AM263" s="1091">
        <f>+IF(AND(AL226=0,AM226&gt;0),AM226*($D$210/12),AL263)</f>
        <v/>
      </c>
      <c r="AN263" s="1091">
        <f>+IF(AND(AM226=0,AN226&gt;0),AN226*($D$210/12),AM263)</f>
        <v/>
      </c>
      <c r="AO263" s="1091">
        <f>+IF(AND(AN226=0,AO226&gt;0),AO226*($D$210/12),AN263)</f>
        <v/>
      </c>
      <c r="AP263" s="174">
        <f>+IF(AND(AO226=0,AP226&gt;0),AP226*($D$210/12),AO263)</f>
        <v/>
      </c>
      <c r="AQ263" s="1091">
        <f>+IF(AND(AP226=0,AQ226&gt;0),AQ226*($D$210/12),AP263)</f>
        <v/>
      </c>
      <c r="AR263" s="1091">
        <f>+IF(AND(AQ226=0,AR226&gt;0),AR226*($D$210/12),AQ263)</f>
        <v/>
      </c>
      <c r="AS263" s="1091">
        <f>+IF(AND(AR226=0,AS226&gt;0),AS226*($D$210/12),AR263)</f>
        <v/>
      </c>
      <c r="AT263" s="1091">
        <f>+IF(AND(AS226=0,AT226&gt;0),AT226*($D$210/12),AS263)</f>
        <v/>
      </c>
      <c r="AU263" s="1091">
        <f>+IF(AND(AT226=0,AU226&gt;0),AU226*($D$210/12),AT263)</f>
        <v/>
      </c>
      <c r="AV263" s="174">
        <f>+IF(AND(AU226=0,AV226&gt;0),AV226*($D$210/12),AU263)</f>
        <v/>
      </c>
      <c r="AW263" s="1091">
        <f>+IF(AND(AV226=0,AW226&gt;0),AW226*($D$210/12),AV263)</f>
        <v/>
      </c>
      <c r="AX263" s="1091">
        <f>+IF(AND(AW226=0,AX226&gt;0),AX226*($D$210/12),AW263)</f>
        <v/>
      </c>
      <c r="AY263" s="1091">
        <f>+IF(AND(AX226=0,AY226&gt;0),AY226*($D$210/12),AX263)</f>
        <v/>
      </c>
      <c r="AZ263" s="1091">
        <f>+IF(AND(AY226=0,AZ226&gt;0),AZ226*($D$210/12),AY263)</f>
        <v/>
      </c>
      <c r="BA263" s="1091">
        <f>+IF(AND(AZ226=0,BA226&gt;0),BA226*($D$210/12),AZ263)</f>
        <v/>
      </c>
      <c r="BB263" s="174">
        <f>+IF(AND(BA226=0,BB226&gt;0),BB226*($D$210/12),BA263)</f>
        <v/>
      </c>
      <c r="BC263" s="1091">
        <f>+IF(AND(BB226=0,BC226&gt;0),BC226*($D$210/12),BB263)</f>
        <v/>
      </c>
      <c r="BD263" s="1091">
        <f>+IF(AND(BC226=0,BD226&gt;0),BD226*($D$210/12),BC263)</f>
        <v/>
      </c>
      <c r="BE263" s="1091">
        <f>+IF(AND(BD226=0,BE226&gt;0),BE226*($D$210/12),BD263)</f>
        <v/>
      </c>
      <c r="BF263" s="1091">
        <f>+IF(AND(BE226=0,BF226&gt;0),BF226*($D$210/12),BE263)</f>
        <v/>
      </c>
      <c r="BG263" s="1091">
        <f>+IF(AND(BF226=0,BG226&gt;0),BG226*($D$210/12),BF263)</f>
        <v/>
      </c>
      <c r="BH263" s="174">
        <f>+IF(AND(BG226=0,BH226&gt;0),BH226*($D$210/12),BG263)</f>
        <v/>
      </c>
      <c r="BI263" s="1091">
        <f>+IF(AND(BH226=0,BI226&gt;0),BI226*($D$210/12),BH263)</f>
        <v/>
      </c>
      <c r="BJ263" s="1091">
        <f>+IF(AND(BI226=0,BJ226&gt;0),BJ226*($D$210/12),BI263)</f>
        <v/>
      </c>
      <c r="BK263" s="1091">
        <f>+IF(AND(BJ226=0,BK226&gt;0),BK226*($D$210/12),BJ263)</f>
        <v/>
      </c>
      <c r="BL263" s="1091">
        <f>+IF(AND(BK226=0,BL226&gt;0),BL226*($D$210/12),BK263)</f>
        <v/>
      </c>
      <c r="BM263" s="1091">
        <f>+IF(AND(BL226=0,BM226&gt;0),BM226*($D$210/12),BL263)</f>
        <v/>
      </c>
      <c r="BN263" s="174">
        <f>+IF(AND(BM226=0,BN226&gt;0),BN226*($D$210/12),BM263)</f>
        <v/>
      </c>
    </row>
    <row r="264" ht="12.75" customHeight="1" s="1883">
      <c r="C264" s="1157" t="inlineStr">
        <is>
          <t>Amortization Expense - 4</t>
        </is>
      </c>
      <c r="D264" s="670" t="n"/>
      <c r="E264" s="671" t="n"/>
      <c r="F264" s="74" t="n"/>
      <c r="G264" s="1091">
        <f>+IF(AND(F227=0,G227&gt;0),G227*($D$210/12),F264)</f>
        <v/>
      </c>
      <c r="H264" s="1091">
        <f>+IF(AND(G227=0,H227&gt;0),H227*($D$210/12),G264)</f>
        <v/>
      </c>
      <c r="I264" s="1091">
        <f>+IF(AND(H227=0,I227&gt;0),I227*($D$210/12),H264)</f>
        <v/>
      </c>
      <c r="J264" s="1091">
        <f>+IF(AND(I227=0,J227&gt;0),J227*($D$210/12),I264)</f>
        <v/>
      </c>
      <c r="K264" s="1091">
        <f>+IF(AND(J227=0,K227&gt;0),K227*($D$210/12),J264)</f>
        <v/>
      </c>
      <c r="L264" s="174">
        <f>+IF(AND(K227=0,L227&gt;0),L227*($D$210/12),K264)</f>
        <v/>
      </c>
      <c r="M264" s="1091">
        <f>+IF(AND(L227=0,M227&gt;0),M227*($D$210/12),L264)</f>
        <v/>
      </c>
      <c r="N264" s="1091">
        <f>+IF(AND(M227=0,N227&gt;0),N227*($D$210/12),M264)</f>
        <v/>
      </c>
      <c r="O264" s="1091">
        <f>+IF(AND(N227=0,O227&gt;0),O227*($D$210/12),N264)</f>
        <v/>
      </c>
      <c r="P264" s="1091">
        <f>+IF(AND(O227=0,P227&gt;0),P227*($D$210/12),O264)</f>
        <v/>
      </c>
      <c r="Q264" s="1091">
        <f>+IF(AND(P227=0,Q227&gt;0),Q227*($D$210/12),P264)</f>
        <v/>
      </c>
      <c r="R264" s="174">
        <f>+IF(AND(Q227=0,R227&gt;0),R227*($D$210/12),Q264)</f>
        <v/>
      </c>
      <c r="S264" s="1091">
        <f>+IF(AND(R227=0,S227&gt;0),S227*($D$210/12),R264)</f>
        <v/>
      </c>
      <c r="T264" s="1091">
        <f>+IF(AND(S227=0,T227&gt;0),T227*($D$210/12),S264)</f>
        <v/>
      </c>
      <c r="U264" s="1091">
        <f>+IF(AND(T227=0,U227&gt;0),U227*($D$210/12),T264)</f>
        <v/>
      </c>
      <c r="V264" s="1091">
        <f>+IF(AND(U227=0,V227&gt;0),V227*($D$210/12),U264)</f>
        <v/>
      </c>
      <c r="W264" s="1091">
        <f>+IF(AND(V227=0,W227&gt;0),W227*($D$210/12),V264)</f>
        <v/>
      </c>
      <c r="X264" s="174">
        <f>+IF(AND(W227=0,X227&gt;0),X227*($D$210/12),W264)</f>
        <v/>
      </c>
      <c r="Y264" s="1091">
        <f>+IF(AND(X227=0,Y227&gt;0),Y227*($D$210/12),X264)</f>
        <v/>
      </c>
      <c r="Z264" s="1091">
        <f>+IF(AND(Y227=0,Z227&gt;0),Z227*($D$210/12),Y264)</f>
        <v/>
      </c>
      <c r="AA264" s="1091">
        <f>+IF(AND(Z227=0,AA227&gt;0),AA227*($D$210/12),Z264)</f>
        <v/>
      </c>
      <c r="AB264" s="1091">
        <f>+IF(AND(AA227=0,AB227&gt;0),AB227*($D$210/12),AA264)</f>
        <v/>
      </c>
      <c r="AC264" s="1091">
        <f>+IF(AND(AB227=0,AC227&gt;0),AC227*($D$210/12),AB264)</f>
        <v/>
      </c>
      <c r="AD264" s="174">
        <f>+IF(AND(AC227=0,AD227&gt;0),AD227*($D$210/12),AC264)</f>
        <v/>
      </c>
      <c r="AE264" s="1091">
        <f>+IF(AND(AD227=0,AE227&gt;0),AE227*($D$210/12),AD264)</f>
        <v/>
      </c>
      <c r="AF264" s="1091">
        <f>+IF(AND(AE227=0,AF227&gt;0),AF227*($D$210/12),AE264)</f>
        <v/>
      </c>
      <c r="AG264" s="1091">
        <f>+IF(AND(AF227=0,AG227&gt;0),AG227*($D$210/12),AF264)</f>
        <v/>
      </c>
      <c r="AH264" s="1091">
        <f>+IF(AND(AG227=0,AH227&gt;0),AH227*($D$210/12),AG264)</f>
        <v/>
      </c>
      <c r="AI264" s="1091">
        <f>+IF(AND(AH227=0,AI227&gt;0),AI227*($D$210/12),AH264)</f>
        <v/>
      </c>
      <c r="AJ264" s="174">
        <f>+IF(AND(AI227=0,AJ227&gt;0),AJ227*($D$210/12),AI264)</f>
        <v/>
      </c>
      <c r="AK264" s="1091">
        <f>+IF(AND(AJ227=0,AK227&gt;0),AK227*($D$210/12),AJ264)</f>
        <v/>
      </c>
      <c r="AL264" s="1091">
        <f>+IF(AND(AK227=0,AL227&gt;0),AL227*($D$210/12),AK264)</f>
        <v/>
      </c>
      <c r="AM264" s="1091">
        <f>+IF(AND(AL227=0,AM227&gt;0),AM227*($D$210/12),AL264)</f>
        <v/>
      </c>
      <c r="AN264" s="1091">
        <f>+IF(AND(AM227=0,AN227&gt;0),AN227*($D$210/12),AM264)</f>
        <v/>
      </c>
      <c r="AO264" s="1091">
        <f>+IF(AND(AN227=0,AO227&gt;0),AO227*($D$210/12),AN264)</f>
        <v/>
      </c>
      <c r="AP264" s="174">
        <f>+IF(AND(AO227=0,AP227&gt;0),AP227*($D$210/12),AO264)</f>
        <v/>
      </c>
      <c r="AQ264" s="1091">
        <f>+IF(AND(AP227=0,AQ227&gt;0),AQ227*($D$210/12),AP264)</f>
        <v/>
      </c>
      <c r="AR264" s="1091">
        <f>+IF(AND(AQ227=0,AR227&gt;0),AR227*($D$210/12),AQ264)</f>
        <v/>
      </c>
      <c r="AS264" s="1091">
        <f>+IF(AND(AR227=0,AS227&gt;0),AS227*($D$210/12),AR264)</f>
        <v/>
      </c>
      <c r="AT264" s="1091">
        <f>+IF(AND(AS227=0,AT227&gt;0),AT227*($D$210/12),AS264)</f>
        <v/>
      </c>
      <c r="AU264" s="1091">
        <f>+IF(AND(AT227=0,AU227&gt;0),AU227*($D$210/12),AT264)</f>
        <v/>
      </c>
      <c r="AV264" s="174">
        <f>+IF(AND(AU227=0,AV227&gt;0),AV227*($D$210/12),AU264)</f>
        <v/>
      </c>
      <c r="AW264" s="1091">
        <f>+IF(AND(AV227=0,AW227&gt;0),AW227*($D$210/12),AV264)</f>
        <v/>
      </c>
      <c r="AX264" s="1091">
        <f>+IF(AND(AW227=0,AX227&gt;0),AX227*($D$210/12),AW264)</f>
        <v/>
      </c>
      <c r="AY264" s="1091">
        <f>+IF(AND(AX227=0,AY227&gt;0),AY227*($D$210/12),AX264)</f>
        <v/>
      </c>
      <c r="AZ264" s="1091">
        <f>+IF(AND(AY227=0,AZ227&gt;0),AZ227*($D$210/12),AY264)</f>
        <v/>
      </c>
      <c r="BA264" s="1091">
        <f>+IF(AND(AZ227=0,BA227&gt;0),BA227*($D$210/12),AZ264)</f>
        <v/>
      </c>
      <c r="BB264" s="174">
        <f>+IF(AND(BA227=0,BB227&gt;0),BB227*($D$210/12),BA264)</f>
        <v/>
      </c>
      <c r="BC264" s="1091">
        <f>+IF(AND(BB227=0,BC227&gt;0),BC227*($D$210/12),BB264)</f>
        <v/>
      </c>
      <c r="BD264" s="1091">
        <f>+IF(AND(BC227=0,BD227&gt;0),BD227*($D$210/12),BC264)</f>
        <v/>
      </c>
      <c r="BE264" s="1091">
        <f>+IF(AND(BD227=0,BE227&gt;0),BE227*($D$210/12),BD264)</f>
        <v/>
      </c>
      <c r="BF264" s="1091">
        <f>+IF(AND(BE227=0,BF227&gt;0),BF227*($D$210/12),BE264)</f>
        <v/>
      </c>
      <c r="BG264" s="1091">
        <f>+IF(AND(BF227=0,BG227&gt;0),BG227*($D$210/12),BF264)</f>
        <v/>
      </c>
      <c r="BH264" s="174">
        <f>+IF(AND(BG227=0,BH227&gt;0),BH227*($D$210/12),BG264)</f>
        <v/>
      </c>
      <c r="BI264" s="1091">
        <f>+IF(AND(BH227=0,BI227&gt;0),BI227*($D$210/12),BH264)</f>
        <v/>
      </c>
      <c r="BJ264" s="1091">
        <f>+IF(AND(BI227=0,BJ227&gt;0),BJ227*($D$210/12),BI264)</f>
        <v/>
      </c>
      <c r="BK264" s="1091">
        <f>+IF(AND(BJ227=0,BK227&gt;0),BK227*($D$210/12),BJ264)</f>
        <v/>
      </c>
      <c r="BL264" s="1091">
        <f>+IF(AND(BK227=0,BL227&gt;0),BL227*($D$210/12),BK264)</f>
        <v/>
      </c>
      <c r="BM264" s="1091">
        <f>+IF(AND(BL227=0,BM227&gt;0),BM227*($D$210/12),BL264)</f>
        <v/>
      </c>
      <c r="BN264" s="174">
        <f>+IF(AND(BM227=0,BN227&gt;0),BN227*($D$210/12),BM264)</f>
        <v/>
      </c>
    </row>
    <row r="265" ht="12.75" customHeight="1" s="1883">
      <c r="C265" s="1157" t="inlineStr">
        <is>
          <t>Amortization Expense - 5</t>
        </is>
      </c>
      <c r="D265" s="670" t="n"/>
      <c r="E265" s="671" t="n"/>
      <c r="F265" s="74" t="n"/>
      <c r="G265" s="1091">
        <f>+IF(AND(F228=0,G228&gt;0),G228*($D$210/12),F265)</f>
        <v/>
      </c>
      <c r="H265" s="1091">
        <f>+IF(AND(G228=0,H228&gt;0),H228*($D$210/12),G265)</f>
        <v/>
      </c>
      <c r="I265" s="1091">
        <f>+IF(AND(H228=0,I228&gt;0),I228*($D$210/12),H265)</f>
        <v/>
      </c>
      <c r="J265" s="1091">
        <f>+IF(AND(I228=0,J228&gt;0),J228*($D$210/12),I265)</f>
        <v/>
      </c>
      <c r="K265" s="1091">
        <f>+IF(AND(J228=0,K228&gt;0),K228*($D$210/12),J265)</f>
        <v/>
      </c>
      <c r="L265" s="174">
        <f>+IF(AND(K228=0,L228&gt;0),L228*($D$210/12),K265)</f>
        <v/>
      </c>
      <c r="M265" s="1091">
        <f>+IF(AND(L228=0,M228&gt;0),M228*($D$210/12),L265)</f>
        <v/>
      </c>
      <c r="N265" s="1091">
        <f>+IF(AND(M228=0,N228&gt;0),N228*($D$210/12),M265)</f>
        <v/>
      </c>
      <c r="O265" s="1091">
        <f>+IF(AND(N228=0,O228&gt;0),O228*($D$210/12),N265)</f>
        <v/>
      </c>
      <c r="P265" s="1091">
        <f>+IF(AND(O228=0,P228&gt;0),P228*($D$210/12),O265)</f>
        <v/>
      </c>
      <c r="Q265" s="1091">
        <f>+IF(AND(P228=0,Q228&gt;0),Q228*($D$210/12),P265)</f>
        <v/>
      </c>
      <c r="R265" s="174">
        <f>+IF(AND(Q228=0,R228&gt;0),R228*($D$210/12),Q265)</f>
        <v/>
      </c>
      <c r="S265" s="1091">
        <f>+IF(AND(R228=0,S228&gt;0),S228*($D$210/12),R265)</f>
        <v/>
      </c>
      <c r="T265" s="1091">
        <f>+IF(AND(S228=0,T228&gt;0),T228*($D$210/12),S265)</f>
        <v/>
      </c>
      <c r="U265" s="1091">
        <f>+IF(AND(T228=0,U228&gt;0),U228*($D$210/12),T265)</f>
        <v/>
      </c>
      <c r="V265" s="1091">
        <f>+IF(AND(U228=0,V228&gt;0),V228*($D$210/12),U265)</f>
        <v/>
      </c>
      <c r="W265" s="1091">
        <f>+IF(AND(V228=0,W228&gt;0),W228*($D$210/12),V265)</f>
        <v/>
      </c>
      <c r="X265" s="174">
        <f>+IF(AND(W228=0,X228&gt;0),X228*($D$210/12),W265)</f>
        <v/>
      </c>
      <c r="Y265" s="1091">
        <f>+IF(AND(X228=0,Y228&gt;0),Y228*($D$210/12),X265)</f>
        <v/>
      </c>
      <c r="Z265" s="1091">
        <f>+IF(AND(Y228=0,Z228&gt;0),Z228*($D$210/12),Y265)</f>
        <v/>
      </c>
      <c r="AA265" s="1091">
        <f>+IF(AND(Z228=0,AA228&gt;0),AA228*($D$210/12),Z265)</f>
        <v/>
      </c>
      <c r="AB265" s="1091">
        <f>+IF(AND(AA228=0,AB228&gt;0),AB228*($D$210/12),AA265)</f>
        <v/>
      </c>
      <c r="AC265" s="1091">
        <f>+IF(AND(AB228=0,AC228&gt;0),AC228*($D$210/12),AB265)</f>
        <v/>
      </c>
      <c r="AD265" s="174">
        <f>+IF(AND(AC228=0,AD228&gt;0),AD228*($D$210/12),AC265)</f>
        <v/>
      </c>
      <c r="AE265" s="1091">
        <f>+IF(AND(AD228=0,AE228&gt;0),AE228*($D$210/12),AD265)</f>
        <v/>
      </c>
      <c r="AF265" s="1091">
        <f>+IF(AND(AE228=0,AF228&gt;0),AF228*($D$210/12),AE265)</f>
        <v/>
      </c>
      <c r="AG265" s="1091">
        <f>+IF(AND(AF228=0,AG228&gt;0),AG228*($D$210/12),AF265)</f>
        <v/>
      </c>
      <c r="AH265" s="1091">
        <f>+IF(AND(AG228=0,AH228&gt;0),AH228*($D$210/12),AG265)</f>
        <v/>
      </c>
      <c r="AI265" s="1091">
        <f>+IF(AND(AH228=0,AI228&gt;0),AI228*($D$210/12),AH265)</f>
        <v/>
      </c>
      <c r="AJ265" s="174">
        <f>+IF(AND(AI228=0,AJ228&gt;0),AJ228*($D$210/12),AI265)</f>
        <v/>
      </c>
      <c r="AK265" s="1091">
        <f>+IF(AND(AJ228=0,AK228&gt;0),AK228*($D$210/12),AJ265)</f>
        <v/>
      </c>
      <c r="AL265" s="1091">
        <f>+IF(AND(AK228=0,AL228&gt;0),AL228*($D$210/12),AK265)</f>
        <v/>
      </c>
      <c r="AM265" s="1091">
        <f>+IF(AND(AL228=0,AM228&gt;0),AM228*($D$210/12),AL265)</f>
        <v/>
      </c>
      <c r="AN265" s="1091">
        <f>+IF(AND(AM228=0,AN228&gt;0),AN228*($D$210/12),AM265)</f>
        <v/>
      </c>
      <c r="AO265" s="1091">
        <f>+IF(AND(AN228=0,AO228&gt;0),AO228*($D$210/12),AN265)</f>
        <v/>
      </c>
      <c r="AP265" s="174">
        <f>+IF(AND(AO228=0,AP228&gt;0),AP228*($D$210/12),AO265)</f>
        <v/>
      </c>
      <c r="AQ265" s="1091">
        <f>+IF(AND(AP228=0,AQ228&gt;0),AQ228*($D$210/12),AP265)</f>
        <v/>
      </c>
      <c r="AR265" s="1091">
        <f>+IF(AND(AQ228=0,AR228&gt;0),AR228*($D$210/12),AQ265)</f>
        <v/>
      </c>
      <c r="AS265" s="1091">
        <f>+IF(AND(AR228=0,AS228&gt;0),AS228*($D$210/12),AR265)</f>
        <v/>
      </c>
      <c r="AT265" s="1091">
        <f>+IF(AND(AS228=0,AT228&gt;0),AT228*($D$210/12),AS265)</f>
        <v/>
      </c>
      <c r="AU265" s="1091">
        <f>+IF(AND(AT228=0,AU228&gt;0),AU228*($D$210/12),AT265)</f>
        <v/>
      </c>
      <c r="AV265" s="174">
        <f>+IF(AND(AU228=0,AV228&gt;0),AV228*($D$210/12),AU265)</f>
        <v/>
      </c>
      <c r="AW265" s="1091">
        <f>+IF(AND(AV228=0,AW228&gt;0),AW228*($D$210/12),AV265)</f>
        <v/>
      </c>
      <c r="AX265" s="1091">
        <f>+IF(AND(AW228=0,AX228&gt;0),AX228*($D$210/12),AW265)</f>
        <v/>
      </c>
      <c r="AY265" s="1091">
        <f>+IF(AND(AX228=0,AY228&gt;0),AY228*($D$210/12),AX265)</f>
        <v/>
      </c>
      <c r="AZ265" s="1091">
        <f>+IF(AND(AY228=0,AZ228&gt;0),AZ228*($D$210/12),AY265)</f>
        <v/>
      </c>
      <c r="BA265" s="1091">
        <f>+IF(AND(AZ228=0,BA228&gt;0),BA228*($D$210/12),AZ265)</f>
        <v/>
      </c>
      <c r="BB265" s="174">
        <f>+IF(AND(BA228=0,BB228&gt;0),BB228*($D$210/12),BA265)</f>
        <v/>
      </c>
      <c r="BC265" s="1091">
        <f>+IF(AND(BB228=0,BC228&gt;0),BC228*($D$210/12),BB265)</f>
        <v/>
      </c>
      <c r="BD265" s="1091">
        <f>+IF(AND(BC228=0,BD228&gt;0),BD228*($D$210/12),BC265)</f>
        <v/>
      </c>
      <c r="BE265" s="1091">
        <f>+IF(AND(BD228=0,BE228&gt;0),BE228*($D$210/12),BD265)</f>
        <v/>
      </c>
      <c r="BF265" s="1091">
        <f>+IF(AND(BE228=0,BF228&gt;0),BF228*($D$210/12),BE265)</f>
        <v/>
      </c>
      <c r="BG265" s="1091">
        <f>+IF(AND(BF228=0,BG228&gt;0),BG228*($D$210/12),BF265)</f>
        <v/>
      </c>
      <c r="BH265" s="174">
        <f>+IF(AND(BG228=0,BH228&gt;0),BH228*($D$210/12),BG265)</f>
        <v/>
      </c>
      <c r="BI265" s="1091">
        <f>+IF(AND(BH228=0,BI228&gt;0),BI228*($D$210/12),BH265)</f>
        <v/>
      </c>
      <c r="BJ265" s="1091">
        <f>+IF(AND(BI228=0,BJ228&gt;0),BJ228*($D$210/12),BI265)</f>
        <v/>
      </c>
      <c r="BK265" s="1091">
        <f>+IF(AND(BJ228=0,BK228&gt;0),BK228*($D$210/12),BJ265)</f>
        <v/>
      </c>
      <c r="BL265" s="1091">
        <f>+IF(AND(BK228=0,BL228&gt;0),BL228*($D$210/12),BK265)</f>
        <v/>
      </c>
      <c r="BM265" s="1091">
        <f>+IF(AND(BL228=0,BM228&gt;0),BM228*($D$210/12),BL265)</f>
        <v/>
      </c>
      <c r="BN265" s="174">
        <f>+IF(AND(BM228=0,BN228&gt;0),BN228*($D$210/12),BM265)</f>
        <v/>
      </c>
    </row>
    <row r="266" ht="12.75" customHeight="1" s="1883">
      <c r="C266" s="1157" t="inlineStr">
        <is>
          <t>Amortization Expense - 6</t>
        </is>
      </c>
      <c r="D266" s="670" t="n"/>
      <c r="E266" s="671" t="n"/>
      <c r="F266" s="74" t="n"/>
      <c r="G266" s="1091">
        <f>+IF(AND(F229=0,G229&gt;0),G229*($D$210/12),F266)</f>
        <v/>
      </c>
      <c r="H266" s="1091">
        <f>+IF(AND(G229=0,H229&gt;0),H229*($D$210/12),G266)</f>
        <v/>
      </c>
      <c r="I266" s="1091">
        <f>+IF(AND(H229=0,I229&gt;0),I229*($D$210/12),H266)</f>
        <v/>
      </c>
      <c r="J266" s="1091">
        <f>+IF(AND(I229=0,J229&gt;0),J229*($D$210/12),I266)</f>
        <v/>
      </c>
      <c r="K266" s="1091">
        <f>+IF(AND(J229=0,K229&gt;0),K229*($D$210/12),J266)</f>
        <v/>
      </c>
      <c r="L266" s="174">
        <f>+IF(AND(K229=0,L229&gt;0),L229*($D$210/12),K266)</f>
        <v/>
      </c>
      <c r="M266" s="1091">
        <f>+IF(AND(L229=0,M229&gt;0),M229*($D$210/12),L266)</f>
        <v/>
      </c>
      <c r="N266" s="1091">
        <f>+IF(AND(M229=0,N229&gt;0),N229*($D$210/12),M266)</f>
        <v/>
      </c>
      <c r="O266" s="1091">
        <f>+IF(AND(N229=0,O229&gt;0),O229*($D$210/12),N266)</f>
        <v/>
      </c>
      <c r="P266" s="1091">
        <f>+IF(AND(O229=0,P229&gt;0),P229*($D$210/12),O266)</f>
        <v/>
      </c>
      <c r="Q266" s="1091">
        <f>+IF(AND(P229=0,Q229&gt;0),Q229*($D$210/12),P266)</f>
        <v/>
      </c>
      <c r="R266" s="174">
        <f>+IF(AND(Q229=0,R229&gt;0),R229*($D$210/12),Q266)</f>
        <v/>
      </c>
      <c r="S266" s="1091">
        <f>+IF(AND(R229=0,S229&gt;0),S229*($D$210/12),R266)</f>
        <v/>
      </c>
      <c r="T266" s="1091">
        <f>+IF(AND(S229=0,T229&gt;0),T229*($D$210/12),S266)</f>
        <v/>
      </c>
      <c r="U266" s="1091">
        <f>+IF(AND(T229=0,U229&gt;0),U229*($D$210/12),T266)</f>
        <v/>
      </c>
      <c r="V266" s="1091">
        <f>+IF(AND(U229=0,V229&gt;0),V229*($D$210/12),U266)</f>
        <v/>
      </c>
      <c r="W266" s="1091">
        <f>+IF(AND(V229=0,W229&gt;0),W229*($D$210/12),V266)</f>
        <v/>
      </c>
      <c r="X266" s="174">
        <f>+IF(AND(W229=0,X229&gt;0),X229*($D$210/12),W266)</f>
        <v/>
      </c>
      <c r="Y266" s="1091">
        <f>+IF(AND(X229=0,Y229&gt;0),Y229*($D$210/12),X266)</f>
        <v/>
      </c>
      <c r="Z266" s="1091">
        <f>+IF(AND(Y229=0,Z229&gt;0),Z229*($D$210/12),Y266)</f>
        <v/>
      </c>
      <c r="AA266" s="1091">
        <f>+IF(AND(Z229=0,AA229&gt;0),AA229*($D$210/12),Z266)</f>
        <v/>
      </c>
      <c r="AB266" s="1091">
        <f>+IF(AND(AA229=0,AB229&gt;0),AB229*($D$210/12),AA266)</f>
        <v/>
      </c>
      <c r="AC266" s="1091">
        <f>+IF(AND(AB229=0,AC229&gt;0),AC229*($D$210/12),AB266)</f>
        <v/>
      </c>
      <c r="AD266" s="174">
        <f>+IF(AND(AC229=0,AD229&gt;0),AD229*($D$210/12),AC266)</f>
        <v/>
      </c>
      <c r="AE266" s="1091">
        <f>+IF(AND(AD229=0,AE229&gt;0),AE229*($D$210/12),AD266)</f>
        <v/>
      </c>
      <c r="AF266" s="1091">
        <f>+IF(AND(AE229=0,AF229&gt;0),AF229*($D$210/12),AE266)</f>
        <v/>
      </c>
      <c r="AG266" s="1091">
        <f>+IF(AND(AF229=0,AG229&gt;0),AG229*($D$210/12),AF266)</f>
        <v/>
      </c>
      <c r="AH266" s="1091">
        <f>+IF(AND(AG229=0,AH229&gt;0),AH229*($D$210/12),AG266)</f>
        <v/>
      </c>
      <c r="AI266" s="1091">
        <f>+IF(AND(AH229=0,AI229&gt;0),AI229*($D$210/12),AH266)</f>
        <v/>
      </c>
      <c r="AJ266" s="174">
        <f>+IF(AND(AI229=0,AJ229&gt;0),AJ229*($D$210/12),AI266)</f>
        <v/>
      </c>
      <c r="AK266" s="1091">
        <f>+IF(AND(AJ229=0,AK229&gt;0),AK229*($D$210/12),AJ266)</f>
        <v/>
      </c>
      <c r="AL266" s="1091">
        <f>+IF(AND(AK229=0,AL229&gt;0),AL229*($D$210/12),AK266)</f>
        <v/>
      </c>
      <c r="AM266" s="1091">
        <f>+IF(AND(AL229=0,AM229&gt;0),AM229*($D$210/12),AL266)</f>
        <v/>
      </c>
      <c r="AN266" s="1091">
        <f>+IF(AND(AM229=0,AN229&gt;0),AN229*($D$210/12),AM266)</f>
        <v/>
      </c>
      <c r="AO266" s="1091">
        <f>+IF(AND(AN229=0,AO229&gt;0),AO229*($D$210/12),AN266)</f>
        <v/>
      </c>
      <c r="AP266" s="174">
        <f>+IF(AND(AO229=0,AP229&gt;0),AP229*($D$210/12),AO266)</f>
        <v/>
      </c>
      <c r="AQ266" s="1091">
        <f>+IF(AND(AP229=0,AQ229&gt;0),AQ229*($D$210/12),AP266)</f>
        <v/>
      </c>
      <c r="AR266" s="1091">
        <f>+IF(AND(AQ229=0,AR229&gt;0),AR229*($D$210/12),AQ266)</f>
        <v/>
      </c>
      <c r="AS266" s="1091">
        <f>+IF(AND(AR229=0,AS229&gt;0),AS229*($D$210/12),AR266)</f>
        <v/>
      </c>
      <c r="AT266" s="1091">
        <f>+IF(AND(AS229=0,AT229&gt;0),AT229*($D$210/12),AS266)</f>
        <v/>
      </c>
      <c r="AU266" s="1091">
        <f>+IF(AND(AT229=0,AU229&gt;0),AU229*($D$210/12),AT266)</f>
        <v/>
      </c>
      <c r="AV266" s="174">
        <f>+IF(AND(AU229=0,AV229&gt;0),AV229*($D$210/12),AU266)</f>
        <v/>
      </c>
      <c r="AW266" s="1091">
        <f>+IF(AND(AV229=0,AW229&gt;0),AW229*($D$210/12),AV266)</f>
        <v/>
      </c>
      <c r="AX266" s="1091">
        <f>+IF(AND(AW229=0,AX229&gt;0),AX229*($D$210/12),AW266)</f>
        <v/>
      </c>
      <c r="AY266" s="1091">
        <f>+IF(AND(AX229=0,AY229&gt;0),AY229*($D$210/12),AX266)</f>
        <v/>
      </c>
      <c r="AZ266" s="1091">
        <f>+IF(AND(AY229=0,AZ229&gt;0),AZ229*($D$210/12),AY266)</f>
        <v/>
      </c>
      <c r="BA266" s="1091">
        <f>+IF(AND(AZ229=0,BA229&gt;0),BA229*($D$210/12),AZ266)</f>
        <v/>
      </c>
      <c r="BB266" s="174">
        <f>+IF(AND(BA229=0,BB229&gt;0),BB229*($D$210/12),BA266)</f>
        <v/>
      </c>
      <c r="BC266" s="1091">
        <f>+IF(AND(BB229=0,BC229&gt;0),BC229*($D$210/12),BB266)</f>
        <v/>
      </c>
      <c r="BD266" s="1091">
        <f>+IF(AND(BC229=0,BD229&gt;0),BD229*($D$210/12),BC266)</f>
        <v/>
      </c>
      <c r="BE266" s="1091">
        <f>+IF(AND(BD229=0,BE229&gt;0),BE229*($D$210/12),BD266)</f>
        <v/>
      </c>
      <c r="BF266" s="1091">
        <f>+IF(AND(BE229=0,BF229&gt;0),BF229*($D$210/12),BE266)</f>
        <v/>
      </c>
      <c r="BG266" s="1091">
        <f>+IF(AND(BF229=0,BG229&gt;0),BG229*($D$210/12),BF266)</f>
        <v/>
      </c>
      <c r="BH266" s="174">
        <f>+IF(AND(BG229=0,BH229&gt;0),BH229*($D$210/12),BG266)</f>
        <v/>
      </c>
      <c r="BI266" s="1091">
        <f>+IF(AND(BH229=0,BI229&gt;0),BI229*($D$210/12),BH266)</f>
        <v/>
      </c>
      <c r="BJ266" s="1091">
        <f>+IF(AND(BI229=0,BJ229&gt;0),BJ229*($D$210/12),BI266)</f>
        <v/>
      </c>
      <c r="BK266" s="1091">
        <f>+IF(AND(BJ229=0,BK229&gt;0),BK229*($D$210/12),BJ266)</f>
        <v/>
      </c>
      <c r="BL266" s="1091">
        <f>+IF(AND(BK229=0,BL229&gt;0),BL229*($D$210/12),BK266)</f>
        <v/>
      </c>
      <c r="BM266" s="1091">
        <f>+IF(AND(BL229=0,BM229&gt;0),BM229*($D$210/12),BL266)</f>
        <v/>
      </c>
      <c r="BN266" s="174">
        <f>+IF(AND(BM229=0,BN229&gt;0),BN229*($D$210/12),BM266)</f>
        <v/>
      </c>
    </row>
    <row r="267" ht="12.75" customHeight="1" s="1883">
      <c r="C267" s="1157" t="inlineStr">
        <is>
          <t>Amortization Expense - 7</t>
        </is>
      </c>
      <c r="D267" s="670" t="n"/>
      <c r="E267" s="671" t="n"/>
      <c r="F267" s="74" t="n"/>
      <c r="G267" s="1091">
        <f>+IF(AND(F230=0,G230&gt;0),G230*($D$210/12),F267)</f>
        <v/>
      </c>
      <c r="H267" s="1091">
        <f>+IF(AND(G230=0,H230&gt;0),H230*($D$210/12),G267)</f>
        <v/>
      </c>
      <c r="I267" s="1091">
        <f>+IF(AND(H230=0,I230&gt;0),I230*($D$210/12),H267)</f>
        <v/>
      </c>
      <c r="J267" s="1091">
        <f>+IF(AND(I230=0,J230&gt;0),J230*($D$210/12),I267)</f>
        <v/>
      </c>
      <c r="K267" s="1091">
        <f>+IF(AND(J230=0,K230&gt;0),K230*($D$210/12),J267)</f>
        <v/>
      </c>
      <c r="L267" s="174">
        <f>+IF(AND(K230=0,L230&gt;0),L230*($D$210/12),K267)</f>
        <v/>
      </c>
      <c r="M267" s="1091">
        <f>+IF(AND(L230=0,M230&gt;0),M230*($D$210/12),L267)</f>
        <v/>
      </c>
      <c r="N267" s="1091">
        <f>+IF(AND(M230=0,N230&gt;0),N230*($D$210/12),M267)</f>
        <v/>
      </c>
      <c r="O267" s="1091">
        <f>+IF(AND(N230=0,O230&gt;0),O230*($D$210/12),N267)</f>
        <v/>
      </c>
      <c r="P267" s="1091">
        <f>+IF(AND(O230=0,P230&gt;0),P230*($D$210/12),O267)</f>
        <v/>
      </c>
      <c r="Q267" s="1091">
        <f>+IF(AND(P230=0,Q230&gt;0),Q230*($D$210/12),P267)</f>
        <v/>
      </c>
      <c r="R267" s="174">
        <f>+IF(AND(Q230=0,R230&gt;0),R230*($D$210/12),Q267)</f>
        <v/>
      </c>
      <c r="S267" s="1091">
        <f>+IF(AND(R230=0,S230&gt;0),S230*($D$210/12),R267)</f>
        <v/>
      </c>
      <c r="T267" s="1091">
        <f>+IF(AND(S230=0,T230&gt;0),T230*($D$210/12),S267)</f>
        <v/>
      </c>
      <c r="U267" s="1091">
        <f>+IF(AND(T230=0,U230&gt;0),U230*($D$210/12),T267)</f>
        <v/>
      </c>
      <c r="V267" s="1091">
        <f>+IF(AND(U230=0,V230&gt;0),V230*($D$210/12),U267)</f>
        <v/>
      </c>
      <c r="W267" s="1091">
        <f>+IF(AND(V230=0,W230&gt;0),W230*($D$210/12),V267)</f>
        <v/>
      </c>
      <c r="X267" s="174">
        <f>+IF(AND(W230=0,X230&gt;0),X230*($D$210/12),W267)</f>
        <v/>
      </c>
      <c r="Y267" s="1091">
        <f>+IF(AND(X230=0,Y230&gt;0),Y230*($D$210/12),X267)</f>
        <v/>
      </c>
      <c r="Z267" s="1091">
        <f>+IF(AND(Y230=0,Z230&gt;0),Z230*($D$210/12),Y267)</f>
        <v/>
      </c>
      <c r="AA267" s="1091">
        <f>+IF(AND(Z230=0,AA230&gt;0),AA230*($D$210/12),Z267)</f>
        <v/>
      </c>
      <c r="AB267" s="1091">
        <f>+IF(AND(AA230=0,AB230&gt;0),AB230*($D$210/12),AA267)</f>
        <v/>
      </c>
      <c r="AC267" s="1091">
        <f>+IF(AND(AB230=0,AC230&gt;0),AC230*($D$210/12),AB267)</f>
        <v/>
      </c>
      <c r="AD267" s="174">
        <f>+IF(AND(AC230=0,AD230&gt;0),AD230*($D$210/12),AC267)</f>
        <v/>
      </c>
      <c r="AE267" s="1091">
        <f>+IF(AND(AD230=0,AE230&gt;0),AE230*($D$210/12),AD267)</f>
        <v/>
      </c>
      <c r="AF267" s="1091">
        <f>+IF(AND(AE230=0,AF230&gt;0),AF230*($D$210/12),AE267)</f>
        <v/>
      </c>
      <c r="AG267" s="1091">
        <f>+IF(AND(AF230=0,AG230&gt;0),AG230*($D$210/12),AF267)</f>
        <v/>
      </c>
      <c r="AH267" s="1091">
        <f>+IF(AND(AG230=0,AH230&gt;0),AH230*($D$210/12),AG267)</f>
        <v/>
      </c>
      <c r="AI267" s="1091">
        <f>+IF(AND(AH230=0,AI230&gt;0),AI230*($D$210/12),AH267)</f>
        <v/>
      </c>
      <c r="AJ267" s="174">
        <f>+IF(AND(AI230=0,AJ230&gt;0),AJ230*($D$210/12),AI267)</f>
        <v/>
      </c>
      <c r="AK267" s="1091">
        <f>+IF(AND(AJ230=0,AK230&gt;0),AK230*($D$210/12),AJ267)</f>
        <v/>
      </c>
      <c r="AL267" s="1091">
        <f>+IF(AND(AK230=0,AL230&gt;0),AL230*($D$210/12),AK267)</f>
        <v/>
      </c>
      <c r="AM267" s="1091">
        <f>+IF(AND(AL230=0,AM230&gt;0),AM230*($D$210/12),AL267)</f>
        <v/>
      </c>
      <c r="AN267" s="1091">
        <f>+IF(AND(AM230=0,AN230&gt;0),AN230*($D$210/12),AM267)</f>
        <v/>
      </c>
      <c r="AO267" s="1091">
        <f>+IF(AND(AN230=0,AO230&gt;0),AO230*($D$210/12),AN267)</f>
        <v/>
      </c>
      <c r="AP267" s="174">
        <f>+IF(AND(AO230=0,AP230&gt;0),AP230*($D$210/12),AO267)</f>
        <v/>
      </c>
      <c r="AQ267" s="1091">
        <f>+IF(AND(AP230=0,AQ230&gt;0),AQ230*($D$210/12),AP267)</f>
        <v/>
      </c>
      <c r="AR267" s="1091">
        <f>+IF(AND(AQ230=0,AR230&gt;0),AR230*($D$210/12),AQ267)</f>
        <v/>
      </c>
      <c r="AS267" s="1091">
        <f>+IF(AND(AR230=0,AS230&gt;0),AS230*($D$210/12),AR267)</f>
        <v/>
      </c>
      <c r="AT267" s="1091">
        <f>+IF(AND(AS230=0,AT230&gt;0),AT230*($D$210/12),AS267)</f>
        <v/>
      </c>
      <c r="AU267" s="1091">
        <f>+IF(AND(AT230=0,AU230&gt;0),AU230*($D$210/12),AT267)</f>
        <v/>
      </c>
      <c r="AV267" s="174">
        <f>+IF(AND(AU230=0,AV230&gt;0),AV230*($D$210/12),AU267)</f>
        <v/>
      </c>
      <c r="AW267" s="1091">
        <f>+IF(AND(AV230=0,AW230&gt;0),AW230*($D$210/12),AV267)</f>
        <v/>
      </c>
      <c r="AX267" s="1091">
        <f>+IF(AND(AW230=0,AX230&gt;0),AX230*($D$210/12),AW267)</f>
        <v/>
      </c>
      <c r="AY267" s="1091">
        <f>+IF(AND(AX230=0,AY230&gt;0),AY230*($D$210/12),AX267)</f>
        <v/>
      </c>
      <c r="AZ267" s="1091">
        <f>+IF(AND(AY230=0,AZ230&gt;0),AZ230*($D$210/12),AY267)</f>
        <v/>
      </c>
      <c r="BA267" s="1091">
        <f>+IF(AND(AZ230=0,BA230&gt;0),BA230*($D$210/12),AZ267)</f>
        <v/>
      </c>
      <c r="BB267" s="174">
        <f>+IF(AND(BA230=0,BB230&gt;0),BB230*($D$210/12),BA267)</f>
        <v/>
      </c>
      <c r="BC267" s="1091">
        <f>+IF(AND(BB230=0,BC230&gt;0),BC230*($D$210/12),BB267)</f>
        <v/>
      </c>
      <c r="BD267" s="1091">
        <f>+IF(AND(BC230=0,BD230&gt;0),BD230*($D$210/12),BC267)</f>
        <v/>
      </c>
      <c r="BE267" s="1091">
        <f>+IF(AND(BD230=0,BE230&gt;0),BE230*($D$210/12),BD267)</f>
        <v/>
      </c>
      <c r="BF267" s="1091">
        <f>+IF(AND(BE230=0,BF230&gt;0),BF230*($D$210/12),BE267)</f>
        <v/>
      </c>
      <c r="BG267" s="1091">
        <f>+IF(AND(BF230=0,BG230&gt;0),BG230*($D$210/12),BF267)</f>
        <v/>
      </c>
      <c r="BH267" s="174">
        <f>+IF(AND(BG230=0,BH230&gt;0),BH230*($D$210/12),BG267)</f>
        <v/>
      </c>
      <c r="BI267" s="1091">
        <f>+IF(AND(BH230=0,BI230&gt;0),BI230*($D$210/12),BH267)</f>
        <v/>
      </c>
      <c r="BJ267" s="1091">
        <f>+IF(AND(BI230=0,BJ230&gt;0),BJ230*($D$210/12),BI267)</f>
        <v/>
      </c>
      <c r="BK267" s="1091">
        <f>+IF(AND(BJ230=0,BK230&gt;0),BK230*($D$210/12),BJ267)</f>
        <v/>
      </c>
      <c r="BL267" s="1091">
        <f>+IF(AND(BK230=0,BL230&gt;0),BL230*($D$210/12),BK267)</f>
        <v/>
      </c>
      <c r="BM267" s="1091">
        <f>+IF(AND(BL230=0,BM230&gt;0),BM230*($D$210/12),BL267)</f>
        <v/>
      </c>
      <c r="BN267" s="174">
        <f>+IF(AND(BM230=0,BN230&gt;0),BN230*($D$210/12),BM267)</f>
        <v/>
      </c>
    </row>
    <row r="268" ht="12.75" customHeight="1" s="1883">
      <c r="C268" s="1157" t="inlineStr">
        <is>
          <t>Amortization Expense - 8</t>
        </is>
      </c>
      <c r="D268" s="670" t="n"/>
      <c r="E268" s="671" t="n"/>
      <c r="F268" s="74" t="n"/>
      <c r="G268" s="1091">
        <f>+IF(AND(F231=0,G231&gt;0),G231*($D$210/12),F268)</f>
        <v/>
      </c>
      <c r="H268" s="1091">
        <f>+IF(AND(G231=0,H231&gt;0),H231*($D$210/12),G268)</f>
        <v/>
      </c>
      <c r="I268" s="1091">
        <f>+IF(AND(H231=0,I231&gt;0),I231*($D$210/12),H268)</f>
        <v/>
      </c>
      <c r="J268" s="1091">
        <f>+IF(AND(I231=0,J231&gt;0),J231*($D$210/12),I268)</f>
        <v/>
      </c>
      <c r="K268" s="1091">
        <f>+IF(AND(J231=0,K231&gt;0),K231*($D$210/12),J268)</f>
        <v/>
      </c>
      <c r="L268" s="174">
        <f>+IF(AND(K231=0,L231&gt;0),L231*($D$210/12),K268)</f>
        <v/>
      </c>
      <c r="M268" s="1091">
        <f>+IF(AND(L231=0,M231&gt;0),M231*($D$210/12),L268)</f>
        <v/>
      </c>
      <c r="N268" s="1091">
        <f>+IF(AND(M231=0,N231&gt;0),N231*($D$210/12),M268)</f>
        <v/>
      </c>
      <c r="O268" s="1091">
        <f>+IF(AND(N231=0,O231&gt;0),O231*($D$210/12),N268)</f>
        <v/>
      </c>
      <c r="P268" s="1091">
        <f>+IF(AND(O231=0,P231&gt;0),P231*($D$210/12),O268)</f>
        <v/>
      </c>
      <c r="Q268" s="1091">
        <f>+IF(AND(P231=0,Q231&gt;0),Q231*($D$210/12),P268)</f>
        <v/>
      </c>
      <c r="R268" s="174">
        <f>+IF(AND(Q231=0,R231&gt;0),R231*($D$210/12),Q268)</f>
        <v/>
      </c>
      <c r="S268" s="1091">
        <f>+IF(AND(R231=0,S231&gt;0),S231*($D$210/12),R268)</f>
        <v/>
      </c>
      <c r="T268" s="1091">
        <f>+IF(AND(S231=0,T231&gt;0),T231*($D$210/12),S268)</f>
        <v/>
      </c>
      <c r="U268" s="1091">
        <f>+IF(AND(T231=0,U231&gt;0),U231*($D$210/12),T268)</f>
        <v/>
      </c>
      <c r="V268" s="1091">
        <f>+IF(AND(U231=0,V231&gt;0),V231*($D$210/12),U268)</f>
        <v/>
      </c>
      <c r="W268" s="1091">
        <f>+IF(AND(V231=0,W231&gt;0),W231*($D$210/12),V268)</f>
        <v/>
      </c>
      <c r="X268" s="174">
        <f>+IF(AND(W231=0,X231&gt;0),X231*($D$210/12),W268)</f>
        <v/>
      </c>
      <c r="Y268" s="1091">
        <f>+IF(AND(X231=0,Y231&gt;0),Y231*($D$210/12),X268)</f>
        <v/>
      </c>
      <c r="Z268" s="1091">
        <f>+IF(AND(Y231=0,Z231&gt;0),Z231*($D$210/12),Y268)</f>
        <v/>
      </c>
      <c r="AA268" s="1091">
        <f>+IF(AND(Z231=0,AA231&gt;0),AA231*($D$210/12),Z268)</f>
        <v/>
      </c>
      <c r="AB268" s="1091">
        <f>+IF(AND(AA231=0,AB231&gt;0),AB231*($D$210/12),AA268)</f>
        <v/>
      </c>
      <c r="AC268" s="1091">
        <f>+IF(AND(AB231=0,AC231&gt;0),AC231*($D$210/12),AB268)</f>
        <v/>
      </c>
      <c r="AD268" s="174">
        <f>+IF(AND(AC231=0,AD231&gt;0),AD231*($D$210/12),AC268)</f>
        <v/>
      </c>
      <c r="AE268" s="1091">
        <f>+IF(AND(AD231=0,AE231&gt;0),AE231*($D$210/12),AD268)</f>
        <v/>
      </c>
      <c r="AF268" s="1091">
        <f>+IF(AND(AE231=0,AF231&gt;0),AF231*($D$210/12),AE268)</f>
        <v/>
      </c>
      <c r="AG268" s="1091">
        <f>+IF(AND(AF231=0,AG231&gt;0),AG231*($D$210/12),AF268)</f>
        <v/>
      </c>
      <c r="AH268" s="1091">
        <f>+IF(AND(AG231=0,AH231&gt;0),AH231*($D$210/12),AG268)</f>
        <v/>
      </c>
      <c r="AI268" s="1091">
        <f>+IF(AND(AH231=0,AI231&gt;0),AI231*($D$210/12),AH268)</f>
        <v/>
      </c>
      <c r="AJ268" s="174">
        <f>+IF(AND(AI231=0,AJ231&gt;0),AJ231*($D$210/12),AI268)</f>
        <v/>
      </c>
      <c r="AK268" s="1091">
        <f>+IF(AND(AJ231=0,AK231&gt;0),AK231*($D$210/12),AJ268)</f>
        <v/>
      </c>
      <c r="AL268" s="1091">
        <f>+IF(AND(AK231=0,AL231&gt;0),AL231*($D$210/12),AK268)</f>
        <v/>
      </c>
      <c r="AM268" s="1091">
        <f>+IF(AND(AL231=0,AM231&gt;0),AM231*($D$210/12),AL268)</f>
        <v/>
      </c>
      <c r="AN268" s="1091">
        <f>+IF(AND(AM231=0,AN231&gt;0),AN231*($D$210/12),AM268)</f>
        <v/>
      </c>
      <c r="AO268" s="1091">
        <f>+IF(AND(AN231=0,AO231&gt;0),AO231*($D$210/12),AN268)</f>
        <v/>
      </c>
      <c r="AP268" s="174">
        <f>+IF(AND(AO231=0,AP231&gt;0),AP231*($D$210/12),AO268)</f>
        <v/>
      </c>
      <c r="AQ268" s="1091">
        <f>+IF(AND(AP231=0,AQ231&gt;0),AQ231*($D$210/12),AP268)</f>
        <v/>
      </c>
      <c r="AR268" s="1091">
        <f>+IF(AND(AQ231=0,AR231&gt;0),AR231*($D$210/12),AQ268)</f>
        <v/>
      </c>
      <c r="AS268" s="1091">
        <f>+IF(AND(AR231=0,AS231&gt;0),AS231*($D$210/12),AR268)</f>
        <v/>
      </c>
      <c r="AT268" s="1091">
        <f>+IF(AND(AS231=0,AT231&gt;0),AT231*($D$210/12),AS268)</f>
        <v/>
      </c>
      <c r="AU268" s="1091">
        <f>+IF(AND(AT231=0,AU231&gt;0),AU231*($D$210/12),AT268)</f>
        <v/>
      </c>
      <c r="AV268" s="174">
        <f>+IF(AND(AU231=0,AV231&gt;0),AV231*($D$210/12),AU268)</f>
        <v/>
      </c>
      <c r="AW268" s="1091">
        <f>+IF(AND(AV231=0,AW231&gt;0),AW231*($D$210/12),AV268)</f>
        <v/>
      </c>
      <c r="AX268" s="1091">
        <f>+IF(AND(AW231=0,AX231&gt;0),AX231*($D$210/12),AW268)</f>
        <v/>
      </c>
      <c r="AY268" s="1091">
        <f>+IF(AND(AX231=0,AY231&gt;0),AY231*($D$210/12),AX268)</f>
        <v/>
      </c>
      <c r="AZ268" s="1091">
        <f>+IF(AND(AY231=0,AZ231&gt;0),AZ231*($D$210/12),AY268)</f>
        <v/>
      </c>
      <c r="BA268" s="1091">
        <f>+IF(AND(AZ231=0,BA231&gt;0),BA231*($D$210/12),AZ268)</f>
        <v/>
      </c>
      <c r="BB268" s="174">
        <f>+IF(AND(BA231=0,BB231&gt;0),BB231*($D$210/12),BA268)</f>
        <v/>
      </c>
      <c r="BC268" s="1091">
        <f>+IF(AND(BB231=0,BC231&gt;0),BC231*($D$210/12),BB268)</f>
        <v/>
      </c>
      <c r="BD268" s="1091">
        <f>+IF(AND(BC231=0,BD231&gt;0),BD231*($D$210/12),BC268)</f>
        <v/>
      </c>
      <c r="BE268" s="1091">
        <f>+IF(AND(BD231=0,BE231&gt;0),BE231*($D$210/12),BD268)</f>
        <v/>
      </c>
      <c r="BF268" s="1091">
        <f>+IF(AND(BE231=0,BF231&gt;0),BF231*($D$210/12),BE268)</f>
        <v/>
      </c>
      <c r="BG268" s="1091">
        <f>+IF(AND(BF231=0,BG231&gt;0),BG231*($D$210/12),BF268)</f>
        <v/>
      </c>
      <c r="BH268" s="174">
        <f>+IF(AND(BG231=0,BH231&gt;0),BH231*($D$210/12),BG268)</f>
        <v/>
      </c>
      <c r="BI268" s="1091">
        <f>+IF(AND(BH231=0,BI231&gt;0),BI231*($D$210/12),BH268)</f>
        <v/>
      </c>
      <c r="BJ268" s="1091">
        <f>+IF(AND(BI231=0,BJ231&gt;0),BJ231*($D$210/12),BI268)</f>
        <v/>
      </c>
      <c r="BK268" s="1091">
        <f>+IF(AND(BJ231=0,BK231&gt;0),BK231*($D$210/12),BJ268)</f>
        <v/>
      </c>
      <c r="BL268" s="1091">
        <f>+IF(AND(BK231=0,BL231&gt;0),BL231*($D$210/12),BK268)</f>
        <v/>
      </c>
      <c r="BM268" s="1091">
        <f>+IF(AND(BL231=0,BM231&gt;0),BM231*($D$210/12),BL268)</f>
        <v/>
      </c>
      <c r="BN268" s="174">
        <f>+IF(AND(BM231=0,BN231&gt;0),BN231*($D$210/12),BM268)</f>
        <v/>
      </c>
    </row>
    <row r="269" ht="12.75" customHeight="1" s="1883">
      <c r="C269" s="1157" t="inlineStr">
        <is>
          <t>Amortization Expense - 9</t>
        </is>
      </c>
      <c r="D269" s="670" t="n"/>
      <c r="E269" s="671" t="n"/>
      <c r="F269" s="74" t="n"/>
      <c r="G269" s="1091">
        <f>+IF(AND(F232=0,G232&gt;0),G232*($D$210/12),F269)</f>
        <v/>
      </c>
      <c r="H269" s="1091">
        <f>+IF(AND(G232=0,H232&gt;0),H232*($D$210/12),G269)</f>
        <v/>
      </c>
      <c r="I269" s="1091">
        <f>+IF(AND(H232=0,I232&gt;0),I232*($D$210/12),H269)</f>
        <v/>
      </c>
      <c r="J269" s="1091">
        <f>+IF(AND(I232=0,J232&gt;0),J232*($D$210/12),I269)</f>
        <v/>
      </c>
      <c r="K269" s="1091">
        <f>+IF(AND(J232=0,K232&gt;0),K232*($D$210/12),J269)</f>
        <v/>
      </c>
      <c r="L269" s="174">
        <f>+IF(AND(K232=0,L232&gt;0),L232*($D$210/12),K269)</f>
        <v/>
      </c>
      <c r="M269" s="1091">
        <f>+IF(AND(L232=0,M232&gt;0),M232*($D$210/12),L269)</f>
        <v/>
      </c>
      <c r="N269" s="1091">
        <f>+IF(AND(M232=0,N232&gt;0),N232*($D$210/12),M269)</f>
        <v/>
      </c>
      <c r="O269" s="1091">
        <f>+IF(AND(N232=0,O232&gt;0),O232*($D$210/12),N269)</f>
        <v/>
      </c>
      <c r="P269" s="1091">
        <f>+IF(AND(O232=0,P232&gt;0),P232*($D$210/12),O269)</f>
        <v/>
      </c>
      <c r="Q269" s="1091">
        <f>+IF(AND(P232=0,Q232&gt;0),Q232*($D$210/12),P269)</f>
        <v/>
      </c>
      <c r="R269" s="174">
        <f>+IF(AND(Q232=0,R232&gt;0),R232*($D$210/12),Q269)</f>
        <v/>
      </c>
      <c r="S269" s="1091">
        <f>+IF(AND(R232=0,S232&gt;0),S232*($D$210/12),R269)</f>
        <v/>
      </c>
      <c r="T269" s="1091">
        <f>+IF(AND(S232=0,T232&gt;0),T232*($D$210/12),S269)</f>
        <v/>
      </c>
      <c r="U269" s="1091">
        <f>+IF(AND(T232=0,U232&gt;0),U232*($D$210/12),T269)</f>
        <v/>
      </c>
      <c r="V269" s="1091">
        <f>+IF(AND(U232=0,V232&gt;0),V232*($D$210/12),U269)</f>
        <v/>
      </c>
      <c r="W269" s="1091">
        <f>+IF(AND(V232=0,W232&gt;0),W232*($D$210/12),V269)</f>
        <v/>
      </c>
      <c r="X269" s="174">
        <f>+IF(AND(W232=0,X232&gt;0),X232*($D$210/12),W269)</f>
        <v/>
      </c>
      <c r="Y269" s="1091">
        <f>+IF(AND(X232=0,Y232&gt;0),Y232*($D$210/12),X269)</f>
        <v/>
      </c>
      <c r="Z269" s="1091">
        <f>+IF(AND(Y232=0,Z232&gt;0),Z232*($D$210/12),Y269)</f>
        <v/>
      </c>
      <c r="AA269" s="1091">
        <f>+IF(AND(Z232=0,AA232&gt;0),AA232*($D$210/12),Z269)</f>
        <v/>
      </c>
      <c r="AB269" s="1091">
        <f>+IF(AND(AA232=0,AB232&gt;0),AB232*($D$210/12),AA269)</f>
        <v/>
      </c>
      <c r="AC269" s="1091">
        <f>+IF(AND(AB232=0,AC232&gt;0),AC232*($D$210/12),AB269)</f>
        <v/>
      </c>
      <c r="AD269" s="174">
        <f>+IF(AND(AC232=0,AD232&gt;0),AD232*($D$210/12),AC269)</f>
        <v/>
      </c>
      <c r="AE269" s="1091">
        <f>+IF(AND(AD232=0,AE232&gt;0),AE232*($D$210/12),AD269)</f>
        <v/>
      </c>
      <c r="AF269" s="1091">
        <f>+IF(AND(AE232=0,AF232&gt;0),AF232*($D$210/12),AE269)</f>
        <v/>
      </c>
      <c r="AG269" s="1091">
        <f>+IF(AND(AF232=0,AG232&gt;0),AG232*($D$210/12),AF269)</f>
        <v/>
      </c>
      <c r="AH269" s="1091">
        <f>+IF(AND(AG232=0,AH232&gt;0),AH232*($D$210/12),AG269)</f>
        <v/>
      </c>
      <c r="AI269" s="1091">
        <f>+IF(AND(AH232=0,AI232&gt;0),AI232*($D$210/12),AH269)</f>
        <v/>
      </c>
      <c r="AJ269" s="174">
        <f>+IF(AND(AI232=0,AJ232&gt;0),AJ232*($D$210/12),AI269)</f>
        <v/>
      </c>
      <c r="AK269" s="1091">
        <f>+IF(AND(AJ232=0,AK232&gt;0),AK232*($D$210/12),AJ269)</f>
        <v/>
      </c>
      <c r="AL269" s="1091">
        <f>+IF(AND(AK232=0,AL232&gt;0),AL232*($D$210/12),AK269)</f>
        <v/>
      </c>
      <c r="AM269" s="1091">
        <f>+IF(AND(AL232=0,AM232&gt;0),AM232*($D$210/12),AL269)</f>
        <v/>
      </c>
      <c r="AN269" s="1091">
        <f>+IF(AND(AM232=0,AN232&gt;0),AN232*($D$210/12),AM269)</f>
        <v/>
      </c>
      <c r="AO269" s="1091">
        <f>+IF(AND(AN232=0,AO232&gt;0),AO232*($D$210/12),AN269)</f>
        <v/>
      </c>
      <c r="AP269" s="174">
        <f>+IF(AND(AO232=0,AP232&gt;0),AP232*($D$210/12),AO269)</f>
        <v/>
      </c>
      <c r="AQ269" s="1091">
        <f>+IF(AND(AP232=0,AQ232&gt;0),AQ232*($D$210/12),AP269)</f>
        <v/>
      </c>
      <c r="AR269" s="1091">
        <f>+IF(AND(AQ232=0,AR232&gt;0),AR232*($D$210/12),AQ269)</f>
        <v/>
      </c>
      <c r="AS269" s="1091">
        <f>+IF(AND(AR232=0,AS232&gt;0),AS232*($D$210/12),AR269)</f>
        <v/>
      </c>
      <c r="AT269" s="1091">
        <f>+IF(AND(AS232=0,AT232&gt;0),AT232*($D$210/12),AS269)</f>
        <v/>
      </c>
      <c r="AU269" s="1091">
        <f>+IF(AND(AT232=0,AU232&gt;0),AU232*($D$210/12),AT269)</f>
        <v/>
      </c>
      <c r="AV269" s="174">
        <f>+IF(AND(AU232=0,AV232&gt;0),AV232*($D$210/12),AU269)</f>
        <v/>
      </c>
      <c r="AW269" s="1091">
        <f>+IF(AND(AV232=0,AW232&gt;0),AW232*($D$210/12),AV269)</f>
        <v/>
      </c>
      <c r="AX269" s="1091">
        <f>+IF(AND(AW232=0,AX232&gt;0),AX232*($D$210/12),AW269)</f>
        <v/>
      </c>
      <c r="AY269" s="1091">
        <f>+IF(AND(AX232=0,AY232&gt;0),AY232*($D$210/12),AX269)</f>
        <v/>
      </c>
      <c r="AZ269" s="1091">
        <f>+IF(AND(AY232=0,AZ232&gt;0),AZ232*($D$210/12),AY269)</f>
        <v/>
      </c>
      <c r="BA269" s="1091">
        <f>+IF(AND(AZ232=0,BA232&gt;0),BA232*($D$210/12),AZ269)</f>
        <v/>
      </c>
      <c r="BB269" s="174">
        <f>+IF(AND(BA232=0,BB232&gt;0),BB232*($D$210/12),BA269)</f>
        <v/>
      </c>
      <c r="BC269" s="1091">
        <f>+IF(AND(BB232=0,BC232&gt;0),BC232*($D$210/12),BB269)</f>
        <v/>
      </c>
      <c r="BD269" s="1091">
        <f>+IF(AND(BC232=0,BD232&gt;0),BD232*($D$210/12),BC269)</f>
        <v/>
      </c>
      <c r="BE269" s="1091">
        <f>+IF(AND(BD232=0,BE232&gt;0),BE232*($D$210/12),BD269)</f>
        <v/>
      </c>
      <c r="BF269" s="1091">
        <f>+IF(AND(BE232=0,BF232&gt;0),BF232*($D$210/12),BE269)</f>
        <v/>
      </c>
      <c r="BG269" s="1091">
        <f>+IF(AND(BF232=0,BG232&gt;0),BG232*($D$210/12),BF269)</f>
        <v/>
      </c>
      <c r="BH269" s="174">
        <f>+IF(AND(BG232=0,BH232&gt;0),BH232*($D$210/12),BG269)</f>
        <v/>
      </c>
      <c r="BI269" s="1091">
        <f>+IF(AND(BH232=0,BI232&gt;0),BI232*($D$210/12),BH269)</f>
        <v/>
      </c>
      <c r="BJ269" s="1091">
        <f>+IF(AND(BI232=0,BJ232&gt;0),BJ232*($D$210/12),BI269)</f>
        <v/>
      </c>
      <c r="BK269" s="1091">
        <f>+IF(AND(BJ232=0,BK232&gt;0),BK232*($D$210/12),BJ269)</f>
        <v/>
      </c>
      <c r="BL269" s="1091">
        <f>+IF(AND(BK232=0,BL232&gt;0),BL232*($D$210/12),BK269)</f>
        <v/>
      </c>
      <c r="BM269" s="1091">
        <f>+IF(AND(BL232=0,BM232&gt;0),BM232*($D$210/12),BL269)</f>
        <v/>
      </c>
      <c r="BN269" s="174">
        <f>+IF(AND(BM232=0,BN232&gt;0),BN232*($D$210/12),BM269)</f>
        <v/>
      </c>
    </row>
    <row r="270" ht="12.75" customHeight="1" s="1883">
      <c r="C270" s="1157" t="inlineStr">
        <is>
          <t>Amortization Expense - 10</t>
        </is>
      </c>
      <c r="D270" s="670" t="n"/>
      <c r="E270" s="671" t="n"/>
      <c r="F270" s="74" t="n"/>
      <c r="G270" s="1091">
        <f>+IF(AND(F233=0,G233&gt;0),G233*($D$210/12),F270)</f>
        <v/>
      </c>
      <c r="H270" s="1091">
        <f>+IF(AND(G233=0,H233&gt;0),H233*($D$210/12),G270)</f>
        <v/>
      </c>
      <c r="I270" s="1091">
        <f>+IF(AND(H233=0,I233&gt;0),I233*($D$210/12),H270)</f>
        <v/>
      </c>
      <c r="J270" s="1091">
        <f>+IF(AND(I233=0,J233&gt;0),J233*($D$210/12),I270)</f>
        <v/>
      </c>
      <c r="K270" s="1091">
        <f>+IF(AND(J233=0,K233&gt;0),K233*($D$210/12),J270)</f>
        <v/>
      </c>
      <c r="L270" s="174">
        <f>+IF(AND(K233=0,L233&gt;0),L233*($D$210/12),K270)</f>
        <v/>
      </c>
      <c r="M270" s="1091">
        <f>+IF(AND(L233=0,M233&gt;0),M233*($D$210/12),L270)</f>
        <v/>
      </c>
      <c r="N270" s="1091">
        <f>+IF(AND(M233=0,N233&gt;0),N233*($D$210/12),M270)</f>
        <v/>
      </c>
      <c r="O270" s="1091">
        <f>+IF(AND(N233=0,O233&gt;0),O233*($D$210/12),N270)</f>
        <v/>
      </c>
      <c r="P270" s="1091">
        <f>+IF(AND(O233=0,P233&gt;0),P233*($D$210/12),O270)</f>
        <v/>
      </c>
      <c r="Q270" s="1091">
        <f>+IF(AND(P233=0,Q233&gt;0),Q233*($D$210/12),P270)</f>
        <v/>
      </c>
      <c r="R270" s="174">
        <f>+IF(AND(Q233=0,R233&gt;0),R233*($D$210/12),Q270)</f>
        <v/>
      </c>
      <c r="S270" s="1091">
        <f>+IF(AND(R233=0,S233&gt;0),S233*($D$210/12),R270)</f>
        <v/>
      </c>
      <c r="T270" s="1091">
        <f>+IF(AND(S233=0,T233&gt;0),T233*($D$210/12),S270)</f>
        <v/>
      </c>
      <c r="U270" s="1091">
        <f>+IF(AND(T233=0,U233&gt;0),U233*($D$210/12),T270)</f>
        <v/>
      </c>
      <c r="V270" s="1091">
        <f>+IF(AND(U233=0,V233&gt;0),V233*($D$210/12),U270)</f>
        <v/>
      </c>
      <c r="W270" s="1091">
        <f>+IF(AND(V233=0,W233&gt;0),W233*($D$210/12),V270)</f>
        <v/>
      </c>
      <c r="X270" s="174">
        <f>+IF(AND(W233=0,X233&gt;0),X233*($D$210/12),W270)</f>
        <v/>
      </c>
      <c r="Y270" s="1091">
        <f>+IF(AND(X233=0,Y233&gt;0),Y233*($D$210/12),X270)</f>
        <v/>
      </c>
      <c r="Z270" s="1091">
        <f>+IF(AND(Y233=0,Z233&gt;0),Z233*($D$210/12),Y270)</f>
        <v/>
      </c>
      <c r="AA270" s="1091">
        <f>+IF(AND(Z233=0,AA233&gt;0),AA233*($D$210/12),Z270)</f>
        <v/>
      </c>
      <c r="AB270" s="1091">
        <f>+IF(AND(AA233=0,AB233&gt;0),AB233*($D$210/12),AA270)</f>
        <v/>
      </c>
      <c r="AC270" s="1091">
        <f>+IF(AND(AB233=0,AC233&gt;0),AC233*($D$210/12),AB270)</f>
        <v/>
      </c>
      <c r="AD270" s="174">
        <f>+IF(AND(AC233=0,AD233&gt;0),AD233*($D$210/12),AC270)</f>
        <v/>
      </c>
      <c r="AE270" s="1091">
        <f>+IF(AND(AD233=0,AE233&gt;0),AE233*($D$210/12),AD270)</f>
        <v/>
      </c>
      <c r="AF270" s="1091">
        <f>+IF(AND(AE233=0,AF233&gt;0),AF233*($D$210/12),AE270)</f>
        <v/>
      </c>
      <c r="AG270" s="1091">
        <f>+IF(AND(AF233=0,AG233&gt;0),AG233*($D$210/12),AF270)</f>
        <v/>
      </c>
      <c r="AH270" s="1091">
        <f>+IF(AND(AG233=0,AH233&gt;0),AH233*($D$210/12),AG270)</f>
        <v/>
      </c>
      <c r="AI270" s="1091">
        <f>+IF(AND(AH233=0,AI233&gt;0),AI233*($D$210/12),AH270)</f>
        <v/>
      </c>
      <c r="AJ270" s="174">
        <f>+IF(AND(AI233=0,AJ233&gt;0),AJ233*($D$210/12),AI270)</f>
        <v/>
      </c>
      <c r="AK270" s="1091">
        <f>+IF(AND(AJ233=0,AK233&gt;0),AK233*($D$210/12),AJ270)</f>
        <v/>
      </c>
      <c r="AL270" s="1091">
        <f>+IF(AND(AK233=0,AL233&gt;0),AL233*($D$210/12),AK270)</f>
        <v/>
      </c>
      <c r="AM270" s="1091">
        <f>+IF(AND(AL233=0,AM233&gt;0),AM233*($D$210/12),AL270)</f>
        <v/>
      </c>
      <c r="AN270" s="1091">
        <f>+IF(AND(AM233=0,AN233&gt;0),AN233*($D$210/12),AM270)</f>
        <v/>
      </c>
      <c r="AO270" s="1091">
        <f>+IF(AND(AN233=0,AO233&gt;0),AO233*($D$210/12),AN270)</f>
        <v/>
      </c>
      <c r="AP270" s="174">
        <f>+IF(AND(AO233=0,AP233&gt;0),AP233*($D$210/12),AO270)</f>
        <v/>
      </c>
      <c r="AQ270" s="1091">
        <f>+IF(AND(AP233=0,AQ233&gt;0),AQ233*($D$210/12),AP270)</f>
        <v/>
      </c>
      <c r="AR270" s="1091">
        <f>+IF(AND(AQ233=0,AR233&gt;0),AR233*($D$210/12),AQ270)</f>
        <v/>
      </c>
      <c r="AS270" s="1091">
        <f>+IF(AND(AR233=0,AS233&gt;0),AS233*($D$210/12),AR270)</f>
        <v/>
      </c>
      <c r="AT270" s="1091">
        <f>+IF(AND(AS233=0,AT233&gt;0),AT233*($D$210/12),AS270)</f>
        <v/>
      </c>
      <c r="AU270" s="1091">
        <f>+IF(AND(AT233=0,AU233&gt;0),AU233*($D$210/12),AT270)</f>
        <v/>
      </c>
      <c r="AV270" s="174">
        <f>+IF(AND(AU233=0,AV233&gt;0),AV233*($D$210/12),AU270)</f>
        <v/>
      </c>
      <c r="AW270" s="1091">
        <f>+IF(AND(AV233=0,AW233&gt;0),AW233*($D$210/12),AV270)</f>
        <v/>
      </c>
      <c r="AX270" s="1091">
        <f>+IF(AND(AW233=0,AX233&gt;0),AX233*($D$210/12),AW270)</f>
        <v/>
      </c>
      <c r="AY270" s="1091">
        <f>+IF(AND(AX233=0,AY233&gt;0),AY233*($D$210/12),AX270)</f>
        <v/>
      </c>
      <c r="AZ270" s="1091">
        <f>+IF(AND(AY233=0,AZ233&gt;0),AZ233*($D$210/12),AY270)</f>
        <v/>
      </c>
      <c r="BA270" s="1091">
        <f>+IF(AND(AZ233=0,BA233&gt;0),BA233*($D$210/12),AZ270)</f>
        <v/>
      </c>
      <c r="BB270" s="174">
        <f>+IF(AND(BA233=0,BB233&gt;0),BB233*($D$210/12),BA270)</f>
        <v/>
      </c>
      <c r="BC270" s="1091">
        <f>+IF(AND(BB233=0,BC233&gt;0),BC233*($D$210/12),BB270)</f>
        <v/>
      </c>
      <c r="BD270" s="1091">
        <f>+IF(AND(BC233=0,BD233&gt;0),BD233*($D$210/12),BC270)</f>
        <v/>
      </c>
      <c r="BE270" s="1091">
        <f>+IF(AND(BD233=0,BE233&gt;0),BE233*($D$210/12),BD270)</f>
        <v/>
      </c>
      <c r="BF270" s="1091">
        <f>+IF(AND(BE233=0,BF233&gt;0),BF233*($D$210/12),BE270)</f>
        <v/>
      </c>
      <c r="BG270" s="1091">
        <f>+IF(AND(BF233=0,BG233&gt;0),BG233*($D$210/12),BF270)</f>
        <v/>
      </c>
      <c r="BH270" s="174">
        <f>+IF(AND(BG233=0,BH233&gt;0),BH233*($D$210/12),BG270)</f>
        <v/>
      </c>
      <c r="BI270" s="1091">
        <f>+IF(AND(BH233=0,BI233&gt;0),BI233*($D$210/12),BH270)</f>
        <v/>
      </c>
      <c r="BJ270" s="1091">
        <f>+IF(AND(BI233=0,BJ233&gt;0),BJ233*($D$210/12),BI270)</f>
        <v/>
      </c>
      <c r="BK270" s="1091">
        <f>+IF(AND(BJ233=0,BK233&gt;0),BK233*($D$210/12),BJ270)</f>
        <v/>
      </c>
      <c r="BL270" s="1091">
        <f>+IF(AND(BK233=0,BL233&gt;0),BL233*($D$210/12),BK270)</f>
        <v/>
      </c>
      <c r="BM270" s="1091">
        <f>+IF(AND(BL233=0,BM233&gt;0),BM233*($D$210/12),BL270)</f>
        <v/>
      </c>
      <c r="BN270" s="174">
        <f>+IF(AND(BM233=0,BN233&gt;0),BN233*($D$210/12),BM270)</f>
        <v/>
      </c>
    </row>
    <row r="271" ht="12.75" customHeight="1" s="1883">
      <c r="C271" s="1157" t="inlineStr">
        <is>
          <t>Amortization Expense - 11</t>
        </is>
      </c>
      <c r="D271" s="670" t="n"/>
      <c r="E271" s="671" t="n"/>
      <c r="F271" s="74" t="n"/>
      <c r="G271" s="1091">
        <f>+IF(AND(F234=0,G234&gt;0),G234*($D$210/12),F271)</f>
        <v/>
      </c>
      <c r="H271" s="1091">
        <f>+IF(AND(G234=0,H234&gt;0),H234*($D$210/12),G271)</f>
        <v/>
      </c>
      <c r="I271" s="1091">
        <f>+IF(AND(H234=0,I234&gt;0),I234*($D$210/12),H271)</f>
        <v/>
      </c>
      <c r="J271" s="1091">
        <f>+IF(AND(I234=0,J234&gt;0),J234*($D$210/12),I271)</f>
        <v/>
      </c>
      <c r="K271" s="1091">
        <f>+IF(AND(J234=0,K234&gt;0),K234*($D$210/12),J271)</f>
        <v/>
      </c>
      <c r="L271" s="174">
        <f>+IF(AND(K234=0,L234&gt;0),L234*($D$210/12),K271)</f>
        <v/>
      </c>
      <c r="M271" s="1091">
        <f>+IF(AND(L234=0,M234&gt;0),M234*($D$210/12),L271)</f>
        <v/>
      </c>
      <c r="N271" s="1091">
        <f>+IF(AND(M234=0,N234&gt;0),N234*($D$210/12),M271)</f>
        <v/>
      </c>
      <c r="O271" s="1091">
        <f>+IF(AND(N234=0,O234&gt;0),O234*($D$210/12),N271)</f>
        <v/>
      </c>
      <c r="P271" s="1091">
        <f>+IF(AND(O234=0,P234&gt;0),P234*($D$210/12),O271)</f>
        <v/>
      </c>
      <c r="Q271" s="1091">
        <f>+IF(AND(P234=0,Q234&gt;0),Q234*($D$210/12),P271)</f>
        <v/>
      </c>
      <c r="R271" s="174">
        <f>+IF(AND(Q234=0,R234&gt;0),R234*($D$210/12),Q271)</f>
        <v/>
      </c>
      <c r="S271" s="1091">
        <f>+IF(AND(R234=0,S234&gt;0),S234*($D$210/12),R271)</f>
        <v/>
      </c>
      <c r="T271" s="1091">
        <f>+IF(AND(S234=0,T234&gt;0),T234*($D$210/12),S271)</f>
        <v/>
      </c>
      <c r="U271" s="1091">
        <f>+IF(AND(T234=0,U234&gt;0),U234*($D$210/12),T271)</f>
        <v/>
      </c>
      <c r="V271" s="1091">
        <f>+IF(AND(U234=0,V234&gt;0),V234*($D$210/12),U271)</f>
        <v/>
      </c>
      <c r="W271" s="1091">
        <f>+IF(AND(V234=0,W234&gt;0),W234*($D$210/12),V271)</f>
        <v/>
      </c>
      <c r="X271" s="174">
        <f>+IF(AND(W234=0,X234&gt;0),X234*($D$210/12),W271)</f>
        <v/>
      </c>
      <c r="Y271" s="1091">
        <f>+IF(AND(X234=0,Y234&gt;0),Y234*($D$210/12),X271)</f>
        <v/>
      </c>
      <c r="Z271" s="1091">
        <f>+IF(AND(Y234=0,Z234&gt;0),Z234*($D$210/12),Y271)</f>
        <v/>
      </c>
      <c r="AA271" s="1091">
        <f>+IF(AND(Z234=0,AA234&gt;0),AA234*($D$210/12),Z271)</f>
        <v/>
      </c>
      <c r="AB271" s="1091">
        <f>+IF(AND(AA234=0,AB234&gt;0),AB234*($D$210/12),AA271)</f>
        <v/>
      </c>
      <c r="AC271" s="1091">
        <f>+IF(AND(AB234=0,AC234&gt;0),AC234*($D$210/12),AB271)</f>
        <v/>
      </c>
      <c r="AD271" s="174">
        <f>+IF(AND(AC234=0,AD234&gt;0),AD234*($D$210/12),AC271)</f>
        <v/>
      </c>
      <c r="AE271" s="1091">
        <f>+IF(AND(AD234=0,AE234&gt;0),AE234*($D$210/12),AD271)</f>
        <v/>
      </c>
      <c r="AF271" s="1091">
        <f>+IF(AND(AE234=0,AF234&gt;0),AF234*($D$210/12),AE271)</f>
        <v/>
      </c>
      <c r="AG271" s="1091">
        <f>+IF(AND(AF234=0,AG234&gt;0),AG234*($D$210/12),AF271)</f>
        <v/>
      </c>
      <c r="AH271" s="1091">
        <f>+IF(AND(AG234=0,AH234&gt;0),AH234*($D$210/12),AG271)</f>
        <v/>
      </c>
      <c r="AI271" s="1091">
        <f>+IF(AND(AH234=0,AI234&gt;0),AI234*($D$210/12),AH271)</f>
        <v/>
      </c>
      <c r="AJ271" s="174">
        <f>+IF(AND(AI234=0,AJ234&gt;0),AJ234*($D$210/12),AI271)</f>
        <v/>
      </c>
      <c r="AK271" s="1091">
        <f>+IF(AND(AJ234=0,AK234&gt;0),AK234*($D$210/12),AJ271)</f>
        <v/>
      </c>
      <c r="AL271" s="1091">
        <f>+IF(AND(AK234=0,AL234&gt;0),AL234*($D$210/12),AK271)</f>
        <v/>
      </c>
      <c r="AM271" s="1091">
        <f>+IF(AND(AL234=0,AM234&gt;0),AM234*($D$210/12),AL271)</f>
        <v/>
      </c>
      <c r="AN271" s="1091">
        <f>+IF(AND(AM234=0,AN234&gt;0),AN234*($D$210/12),AM271)</f>
        <v/>
      </c>
      <c r="AO271" s="1091">
        <f>+IF(AND(AN234=0,AO234&gt;0),AO234*($D$210/12),AN271)</f>
        <v/>
      </c>
      <c r="AP271" s="174">
        <f>+IF(AND(AO234=0,AP234&gt;0),AP234*($D$210/12),AO271)</f>
        <v/>
      </c>
      <c r="AQ271" s="1091">
        <f>+IF(AND(AP234=0,AQ234&gt;0),AQ234*($D$210/12),AP271)</f>
        <v/>
      </c>
      <c r="AR271" s="1091">
        <f>+IF(AND(AQ234=0,AR234&gt;0),AR234*($D$210/12),AQ271)</f>
        <v/>
      </c>
      <c r="AS271" s="1091">
        <f>+IF(AND(AR234=0,AS234&gt;0),AS234*($D$210/12),AR271)</f>
        <v/>
      </c>
      <c r="AT271" s="1091">
        <f>+IF(AND(AS234=0,AT234&gt;0),AT234*($D$210/12),AS271)</f>
        <v/>
      </c>
      <c r="AU271" s="1091">
        <f>+IF(AND(AT234=0,AU234&gt;0),AU234*($D$210/12),AT271)</f>
        <v/>
      </c>
      <c r="AV271" s="174">
        <f>+IF(AND(AU234=0,AV234&gt;0),AV234*($D$210/12),AU271)</f>
        <v/>
      </c>
      <c r="AW271" s="1091">
        <f>+IF(AND(AV234=0,AW234&gt;0),AW234*($D$210/12),AV271)</f>
        <v/>
      </c>
      <c r="AX271" s="1091">
        <f>+IF(AND(AW234=0,AX234&gt;0),AX234*($D$210/12),AW271)</f>
        <v/>
      </c>
      <c r="AY271" s="1091">
        <f>+IF(AND(AX234=0,AY234&gt;0),AY234*($D$210/12),AX271)</f>
        <v/>
      </c>
      <c r="AZ271" s="1091">
        <f>+IF(AND(AY234=0,AZ234&gt;0),AZ234*($D$210/12),AY271)</f>
        <v/>
      </c>
      <c r="BA271" s="1091">
        <f>+IF(AND(AZ234=0,BA234&gt;0),BA234*($D$210/12),AZ271)</f>
        <v/>
      </c>
      <c r="BB271" s="174">
        <f>+IF(AND(BA234=0,BB234&gt;0),BB234*($D$210/12),BA271)</f>
        <v/>
      </c>
      <c r="BC271" s="1091">
        <f>+IF(AND(BB234=0,BC234&gt;0),BC234*($D$210/12),BB271)</f>
        <v/>
      </c>
      <c r="BD271" s="1091">
        <f>+IF(AND(BC234=0,BD234&gt;0),BD234*($D$210/12),BC271)</f>
        <v/>
      </c>
      <c r="BE271" s="1091">
        <f>+IF(AND(BD234=0,BE234&gt;0),BE234*($D$210/12),BD271)</f>
        <v/>
      </c>
      <c r="BF271" s="1091">
        <f>+IF(AND(BE234=0,BF234&gt;0),BF234*($D$210/12),BE271)</f>
        <v/>
      </c>
      <c r="BG271" s="1091">
        <f>+IF(AND(BF234=0,BG234&gt;0),BG234*($D$210/12),BF271)</f>
        <v/>
      </c>
      <c r="BH271" s="174">
        <f>+IF(AND(BG234=0,BH234&gt;0),BH234*($D$210/12),BG271)</f>
        <v/>
      </c>
      <c r="BI271" s="1091">
        <f>+IF(AND(BH234=0,BI234&gt;0),BI234*($D$210/12),BH271)</f>
        <v/>
      </c>
      <c r="BJ271" s="1091">
        <f>+IF(AND(BI234=0,BJ234&gt;0),BJ234*($D$210/12),BI271)</f>
        <v/>
      </c>
      <c r="BK271" s="1091">
        <f>+IF(AND(BJ234=0,BK234&gt;0),BK234*($D$210/12),BJ271)</f>
        <v/>
      </c>
      <c r="BL271" s="1091">
        <f>+IF(AND(BK234=0,BL234&gt;0),BL234*($D$210/12),BK271)</f>
        <v/>
      </c>
      <c r="BM271" s="1091">
        <f>+IF(AND(BL234=0,BM234&gt;0),BM234*($D$210/12),BL271)</f>
        <v/>
      </c>
      <c r="BN271" s="174">
        <f>+IF(AND(BM234=0,BN234&gt;0),BN234*($D$210/12),BM271)</f>
        <v/>
      </c>
    </row>
    <row r="272" ht="12.75" customHeight="1" s="1883">
      <c r="C272" s="1157" t="inlineStr">
        <is>
          <t>Amortization Expense - 12</t>
        </is>
      </c>
      <c r="D272" s="670" t="n"/>
      <c r="E272" s="671" t="n"/>
      <c r="F272" s="74" t="n"/>
      <c r="G272" s="1091">
        <f>+IF(AND(F235=0,G235&gt;0),G235*($D$210/12),F272)</f>
        <v/>
      </c>
      <c r="H272" s="1091">
        <f>+IF(AND(G235=0,H235&gt;0),H235*($D$210/12),G272)</f>
        <v/>
      </c>
      <c r="I272" s="1091">
        <f>+IF(AND(H235=0,I235&gt;0),I235*($D$210/12),H272)</f>
        <v/>
      </c>
      <c r="J272" s="1091">
        <f>+IF(AND(I235=0,J235&gt;0),J235*($D$210/12),I272)</f>
        <v/>
      </c>
      <c r="K272" s="1091">
        <f>+IF(AND(J235=0,K235&gt;0),K235*($D$210/12),J272)</f>
        <v/>
      </c>
      <c r="L272" s="174">
        <f>+IF(AND(K235=0,L235&gt;0),L235*($D$210/12),K272)</f>
        <v/>
      </c>
      <c r="M272" s="1091">
        <f>+IF(AND(L235=0,M235&gt;0),M235*($D$210/12),L272)</f>
        <v/>
      </c>
      <c r="N272" s="1091">
        <f>+IF(AND(M235=0,N235&gt;0),N235*($D$210/12),M272)</f>
        <v/>
      </c>
      <c r="O272" s="1091">
        <f>+IF(AND(N235=0,O235&gt;0),O235*($D$210/12),N272)</f>
        <v/>
      </c>
      <c r="P272" s="1091">
        <f>+IF(AND(O235=0,P235&gt;0),P235*($D$210/12),O272)</f>
        <v/>
      </c>
      <c r="Q272" s="1091">
        <f>+IF(AND(P235=0,Q235&gt;0),Q235*($D$210/12),P272)</f>
        <v/>
      </c>
      <c r="R272" s="174">
        <f>+IF(AND(Q235=0,R235&gt;0),R235*($D$210/12),Q272)</f>
        <v/>
      </c>
      <c r="S272" s="1091">
        <f>+IF(AND(R235=0,S235&gt;0),S235*($D$210/12),R272)</f>
        <v/>
      </c>
      <c r="T272" s="1091">
        <f>+IF(AND(S235=0,T235&gt;0),T235*($D$210/12),S272)</f>
        <v/>
      </c>
      <c r="U272" s="1091">
        <f>+IF(AND(T235=0,U235&gt;0),U235*($D$210/12),T272)</f>
        <v/>
      </c>
      <c r="V272" s="1091">
        <f>+IF(AND(U235=0,V235&gt;0),V235*($D$210/12),U272)</f>
        <v/>
      </c>
      <c r="W272" s="1091">
        <f>+IF(AND(V235=0,W235&gt;0),W235*($D$210/12),V272)</f>
        <v/>
      </c>
      <c r="X272" s="174">
        <f>+IF(AND(W235=0,X235&gt;0),X235*($D$210/12),W272)</f>
        <v/>
      </c>
      <c r="Y272" s="1091">
        <f>+IF(AND(X235=0,Y235&gt;0),Y235*($D$210/12),X272)</f>
        <v/>
      </c>
      <c r="Z272" s="1091">
        <f>+IF(AND(Y235=0,Z235&gt;0),Z235*($D$210/12),Y272)</f>
        <v/>
      </c>
      <c r="AA272" s="1091">
        <f>+IF(AND(Z235=0,AA235&gt;0),AA235*($D$210/12),Z272)</f>
        <v/>
      </c>
      <c r="AB272" s="1091">
        <f>+IF(AND(AA235=0,AB235&gt;0),AB235*($D$210/12),AA272)</f>
        <v/>
      </c>
      <c r="AC272" s="1091">
        <f>+IF(AND(AB235=0,AC235&gt;0),AC235*($D$210/12),AB272)</f>
        <v/>
      </c>
      <c r="AD272" s="174">
        <f>+IF(AND(AC235=0,AD235&gt;0),AD235*($D$210/12),AC272)</f>
        <v/>
      </c>
      <c r="AE272" s="1091">
        <f>+IF(AND(AD235=0,AE235&gt;0),AE235*($D$210/12),AD272)</f>
        <v/>
      </c>
      <c r="AF272" s="1091">
        <f>+IF(AND(AE235=0,AF235&gt;0),AF235*($D$210/12),AE272)</f>
        <v/>
      </c>
      <c r="AG272" s="1091">
        <f>+IF(AND(AF235=0,AG235&gt;0),AG235*($D$210/12),AF272)</f>
        <v/>
      </c>
      <c r="AH272" s="1091">
        <f>+IF(AND(AG235=0,AH235&gt;0),AH235*($D$210/12),AG272)</f>
        <v/>
      </c>
      <c r="AI272" s="1091">
        <f>+IF(AND(AH235=0,AI235&gt;0),AI235*($D$210/12),AH272)</f>
        <v/>
      </c>
      <c r="AJ272" s="174">
        <f>+IF(AND(AI235=0,AJ235&gt;0),AJ235*($D$210/12),AI272)</f>
        <v/>
      </c>
      <c r="AK272" s="1091">
        <f>+IF(AND(AJ235=0,AK235&gt;0),AK235*($D$210/12),AJ272)</f>
        <v/>
      </c>
      <c r="AL272" s="1091">
        <f>+IF(AND(AK235=0,AL235&gt;0),AL235*($D$210/12),AK272)</f>
        <v/>
      </c>
      <c r="AM272" s="1091">
        <f>+IF(AND(AL235=0,AM235&gt;0),AM235*($D$210/12),AL272)</f>
        <v/>
      </c>
      <c r="AN272" s="1091">
        <f>+IF(AND(AM235=0,AN235&gt;0),AN235*($D$210/12),AM272)</f>
        <v/>
      </c>
      <c r="AO272" s="1091">
        <f>+IF(AND(AN235=0,AO235&gt;0),AO235*($D$210/12),AN272)</f>
        <v/>
      </c>
      <c r="AP272" s="174">
        <f>+IF(AND(AO235=0,AP235&gt;0),AP235*($D$210/12),AO272)</f>
        <v/>
      </c>
      <c r="AQ272" s="1091">
        <f>+IF(AND(AP235=0,AQ235&gt;0),AQ235*($D$210/12),AP272)</f>
        <v/>
      </c>
      <c r="AR272" s="1091">
        <f>+IF(AND(AQ235=0,AR235&gt;0),AR235*($D$210/12),AQ272)</f>
        <v/>
      </c>
      <c r="AS272" s="1091">
        <f>+IF(AND(AR235=0,AS235&gt;0),AS235*($D$210/12),AR272)</f>
        <v/>
      </c>
      <c r="AT272" s="1091">
        <f>+IF(AND(AS235=0,AT235&gt;0),AT235*($D$210/12),AS272)</f>
        <v/>
      </c>
      <c r="AU272" s="1091">
        <f>+IF(AND(AT235=0,AU235&gt;0),AU235*($D$210/12),AT272)</f>
        <v/>
      </c>
      <c r="AV272" s="174">
        <f>+IF(AND(AU235=0,AV235&gt;0),AV235*($D$210/12),AU272)</f>
        <v/>
      </c>
      <c r="AW272" s="1091">
        <f>+IF(AND(AV235=0,AW235&gt;0),AW235*($D$210/12),AV272)</f>
        <v/>
      </c>
      <c r="AX272" s="1091">
        <f>+IF(AND(AW235=0,AX235&gt;0),AX235*($D$210/12),AW272)</f>
        <v/>
      </c>
      <c r="AY272" s="1091">
        <f>+IF(AND(AX235=0,AY235&gt;0),AY235*($D$210/12),AX272)</f>
        <v/>
      </c>
      <c r="AZ272" s="1091">
        <f>+IF(AND(AY235=0,AZ235&gt;0),AZ235*($D$210/12),AY272)</f>
        <v/>
      </c>
      <c r="BA272" s="1091">
        <f>+IF(AND(AZ235=0,BA235&gt;0),BA235*($D$210/12),AZ272)</f>
        <v/>
      </c>
      <c r="BB272" s="174">
        <f>+IF(AND(BA235=0,BB235&gt;0),BB235*($D$210/12),BA272)</f>
        <v/>
      </c>
      <c r="BC272" s="1091">
        <f>+IF(AND(BB235=0,BC235&gt;0),BC235*($D$210/12),BB272)</f>
        <v/>
      </c>
      <c r="BD272" s="1091">
        <f>+IF(AND(BC235=0,BD235&gt;0),BD235*($D$210/12),BC272)</f>
        <v/>
      </c>
      <c r="BE272" s="1091">
        <f>+IF(AND(BD235=0,BE235&gt;0),BE235*($D$210/12),BD272)</f>
        <v/>
      </c>
      <c r="BF272" s="1091">
        <f>+IF(AND(BE235=0,BF235&gt;0),BF235*($D$210/12),BE272)</f>
        <v/>
      </c>
      <c r="BG272" s="1091">
        <f>+IF(AND(BF235=0,BG235&gt;0),BG235*($D$210/12),BF272)</f>
        <v/>
      </c>
      <c r="BH272" s="174">
        <f>+IF(AND(BG235=0,BH235&gt;0),BH235*($D$210/12),BG272)</f>
        <v/>
      </c>
      <c r="BI272" s="1091">
        <f>+IF(AND(BH235=0,BI235&gt;0),BI235*($D$210/12),BH272)</f>
        <v/>
      </c>
      <c r="BJ272" s="1091">
        <f>+IF(AND(BI235=0,BJ235&gt;0),BJ235*($D$210/12),BI272)</f>
        <v/>
      </c>
      <c r="BK272" s="1091">
        <f>+IF(AND(BJ235=0,BK235&gt;0),BK235*($D$210/12),BJ272)</f>
        <v/>
      </c>
      <c r="BL272" s="1091">
        <f>+IF(AND(BK235=0,BL235&gt;0),BL235*($D$210/12),BK272)</f>
        <v/>
      </c>
      <c r="BM272" s="1091">
        <f>+IF(AND(BL235=0,BM235&gt;0),BM235*($D$210/12),BL272)</f>
        <v/>
      </c>
      <c r="BN272" s="174">
        <f>+IF(AND(BM235=0,BN235&gt;0),BN235*($D$210/12),BM272)</f>
        <v/>
      </c>
    </row>
    <row r="273" ht="12.75" customHeight="1" s="1883">
      <c r="C273" s="1157" t="inlineStr">
        <is>
          <t>Amortization Expense - 13</t>
        </is>
      </c>
      <c r="D273" s="670" t="n"/>
      <c r="E273" s="671" t="n"/>
      <c r="F273" s="74" t="n"/>
      <c r="G273" s="1091">
        <f>+IF(AND(F236=0,G236&gt;0),G236*($D$210/12),F273)</f>
        <v/>
      </c>
      <c r="H273" s="1091">
        <f>+IF(AND(G236=0,H236&gt;0),H236*($D$210/12),G273)</f>
        <v/>
      </c>
      <c r="I273" s="1091">
        <f>+IF(AND(H236=0,I236&gt;0),I236*($D$210/12),H273)</f>
        <v/>
      </c>
      <c r="J273" s="1091">
        <f>+IF(AND(I236=0,J236&gt;0),J236*($D$210/12),I273)</f>
        <v/>
      </c>
      <c r="K273" s="1091">
        <f>+IF(AND(J236=0,K236&gt;0),K236*($D$210/12),J273)</f>
        <v/>
      </c>
      <c r="L273" s="174">
        <f>+IF(AND(K236=0,L236&gt;0),L236*($D$210/12),K273)</f>
        <v/>
      </c>
      <c r="M273" s="1091">
        <f>+IF(AND(L236=0,M236&gt;0),M236*($D$210/12),L273)</f>
        <v/>
      </c>
      <c r="N273" s="1091">
        <f>+IF(AND(M236=0,N236&gt;0),N236*($D$210/12),M273)</f>
        <v/>
      </c>
      <c r="O273" s="1091">
        <f>+IF(AND(N236=0,O236&gt;0),O236*($D$210/12),N273)</f>
        <v/>
      </c>
      <c r="P273" s="1091">
        <f>+IF(AND(O236=0,P236&gt;0),P236*($D$210/12),O273)</f>
        <v/>
      </c>
      <c r="Q273" s="1091">
        <f>+IF(AND(P236=0,Q236&gt;0),Q236*($D$210/12),P273)</f>
        <v/>
      </c>
      <c r="R273" s="174">
        <f>+IF(AND(Q236=0,R236&gt;0),R236*($D$210/12),Q273)</f>
        <v/>
      </c>
      <c r="S273" s="1091">
        <f>+IF(AND(R236=0,S236&gt;0),S236*($D$210/12),R273)</f>
        <v/>
      </c>
      <c r="T273" s="1091">
        <f>+IF(AND(S236=0,T236&gt;0),T236*($D$210/12),S273)</f>
        <v/>
      </c>
      <c r="U273" s="1091">
        <f>+IF(AND(T236=0,U236&gt;0),U236*($D$210/12),T273)</f>
        <v/>
      </c>
      <c r="V273" s="1091">
        <f>+IF(AND(U236=0,V236&gt;0),V236*($D$210/12),U273)</f>
        <v/>
      </c>
      <c r="W273" s="1091">
        <f>+IF(AND(V236=0,W236&gt;0),W236*($D$210/12),V273)</f>
        <v/>
      </c>
      <c r="X273" s="174">
        <f>+IF(AND(W236=0,X236&gt;0),X236*($D$210/12),W273)</f>
        <v/>
      </c>
      <c r="Y273" s="1091">
        <f>+IF(AND(X236=0,Y236&gt;0),Y236*($D$210/12),X273)</f>
        <v/>
      </c>
      <c r="Z273" s="1091">
        <f>+IF(AND(Y236=0,Z236&gt;0),Z236*($D$210/12),Y273)</f>
        <v/>
      </c>
      <c r="AA273" s="1091">
        <f>+IF(AND(Z236=0,AA236&gt;0),AA236*($D$210/12),Z273)</f>
        <v/>
      </c>
      <c r="AB273" s="1091">
        <f>+IF(AND(AA236=0,AB236&gt;0),AB236*($D$210/12),AA273)</f>
        <v/>
      </c>
      <c r="AC273" s="1091">
        <f>+IF(AND(AB236=0,AC236&gt;0),AC236*($D$210/12),AB273)</f>
        <v/>
      </c>
      <c r="AD273" s="174">
        <f>+IF(AND(AC236=0,AD236&gt;0),AD236*($D$210/12),AC273)</f>
        <v/>
      </c>
      <c r="AE273" s="1091">
        <f>+IF(AND(AD236=0,AE236&gt;0),AE236*($D$210/12),AD273)</f>
        <v/>
      </c>
      <c r="AF273" s="1091">
        <f>+IF(AND(AE236=0,AF236&gt;0),AF236*($D$210/12),AE273)</f>
        <v/>
      </c>
      <c r="AG273" s="1091">
        <f>+IF(AND(AF236=0,AG236&gt;0),AG236*($D$210/12),AF273)</f>
        <v/>
      </c>
      <c r="AH273" s="1091">
        <f>+IF(AND(AG236=0,AH236&gt;0),AH236*($D$210/12),AG273)</f>
        <v/>
      </c>
      <c r="AI273" s="1091">
        <f>+IF(AND(AH236=0,AI236&gt;0),AI236*($D$210/12),AH273)</f>
        <v/>
      </c>
      <c r="AJ273" s="174">
        <f>+IF(AND(AI236=0,AJ236&gt;0),AJ236*($D$210/12),AI273)</f>
        <v/>
      </c>
      <c r="AK273" s="1091">
        <f>+IF(AND(AJ236=0,AK236&gt;0),AK236*($D$210/12),AJ273)</f>
        <v/>
      </c>
      <c r="AL273" s="1091">
        <f>+IF(AND(AK236=0,AL236&gt;0),AL236*($D$210/12),AK273)</f>
        <v/>
      </c>
      <c r="AM273" s="1091">
        <f>+IF(AND(AL236=0,AM236&gt;0),AM236*($D$210/12),AL273)</f>
        <v/>
      </c>
      <c r="AN273" s="1091">
        <f>+IF(AND(AM236=0,AN236&gt;0),AN236*($D$210/12),AM273)</f>
        <v/>
      </c>
      <c r="AO273" s="1091">
        <f>+IF(AND(AN236=0,AO236&gt;0),AO236*($D$210/12),AN273)</f>
        <v/>
      </c>
      <c r="AP273" s="174">
        <f>+IF(AND(AO236=0,AP236&gt;0),AP236*($D$210/12),AO273)</f>
        <v/>
      </c>
      <c r="AQ273" s="1091">
        <f>+IF(AND(AP236=0,AQ236&gt;0),AQ236*($D$210/12),AP273)</f>
        <v/>
      </c>
      <c r="AR273" s="1091">
        <f>+IF(AND(AQ236=0,AR236&gt;0),AR236*($D$210/12),AQ273)</f>
        <v/>
      </c>
      <c r="AS273" s="1091">
        <f>+IF(AND(AR236=0,AS236&gt;0),AS236*($D$210/12),AR273)</f>
        <v/>
      </c>
      <c r="AT273" s="1091">
        <f>+IF(AND(AS236=0,AT236&gt;0),AT236*($D$210/12),AS273)</f>
        <v/>
      </c>
      <c r="AU273" s="1091">
        <f>+IF(AND(AT236=0,AU236&gt;0),AU236*($D$210/12),AT273)</f>
        <v/>
      </c>
      <c r="AV273" s="174">
        <f>+IF(AND(AU236=0,AV236&gt;0),AV236*($D$210/12),AU273)</f>
        <v/>
      </c>
      <c r="AW273" s="1091">
        <f>+IF(AND(AV236=0,AW236&gt;0),AW236*($D$210/12),AV273)</f>
        <v/>
      </c>
      <c r="AX273" s="1091">
        <f>+IF(AND(AW236=0,AX236&gt;0),AX236*($D$210/12),AW273)</f>
        <v/>
      </c>
      <c r="AY273" s="1091">
        <f>+IF(AND(AX236=0,AY236&gt;0),AY236*($D$210/12),AX273)</f>
        <v/>
      </c>
      <c r="AZ273" s="1091">
        <f>+IF(AND(AY236=0,AZ236&gt;0),AZ236*($D$210/12),AY273)</f>
        <v/>
      </c>
      <c r="BA273" s="1091">
        <f>+IF(AND(AZ236=0,BA236&gt;0),BA236*($D$210/12),AZ273)</f>
        <v/>
      </c>
      <c r="BB273" s="174">
        <f>+IF(AND(BA236=0,BB236&gt;0),BB236*($D$210/12),BA273)</f>
        <v/>
      </c>
      <c r="BC273" s="1091">
        <f>+IF(AND(BB236=0,BC236&gt;0),BC236*($D$210/12),BB273)</f>
        <v/>
      </c>
      <c r="BD273" s="1091">
        <f>+IF(AND(BC236=0,BD236&gt;0),BD236*($D$210/12),BC273)</f>
        <v/>
      </c>
      <c r="BE273" s="1091">
        <f>+IF(AND(BD236=0,BE236&gt;0),BE236*($D$210/12),BD273)</f>
        <v/>
      </c>
      <c r="BF273" s="1091">
        <f>+IF(AND(BE236=0,BF236&gt;0),BF236*($D$210/12),BE273)</f>
        <v/>
      </c>
      <c r="BG273" s="1091">
        <f>+IF(AND(BF236=0,BG236&gt;0),BG236*($D$210/12),BF273)</f>
        <v/>
      </c>
      <c r="BH273" s="174">
        <f>+IF(AND(BG236=0,BH236&gt;0),BH236*($D$210/12),BG273)</f>
        <v/>
      </c>
      <c r="BI273" s="1091">
        <f>+IF(AND(BH236=0,BI236&gt;0),BI236*($D$210/12),BH273)</f>
        <v/>
      </c>
      <c r="BJ273" s="1091">
        <f>+IF(AND(BI236=0,BJ236&gt;0),BJ236*($D$210/12),BI273)</f>
        <v/>
      </c>
      <c r="BK273" s="1091">
        <f>+IF(AND(BJ236=0,BK236&gt;0),BK236*($D$210/12),BJ273)</f>
        <v/>
      </c>
      <c r="BL273" s="1091">
        <f>+IF(AND(BK236=0,BL236&gt;0),BL236*($D$210/12),BK273)</f>
        <v/>
      </c>
      <c r="BM273" s="1091">
        <f>+IF(AND(BL236=0,BM236&gt;0),BM236*($D$210/12),BL273)</f>
        <v/>
      </c>
      <c r="BN273" s="174">
        <f>+IF(AND(BM236=0,BN236&gt;0),BN236*($D$210/12),BM273)</f>
        <v/>
      </c>
    </row>
    <row r="274" ht="12.75" customHeight="1" s="1883">
      <c r="C274" s="1157" t="inlineStr">
        <is>
          <t>Amortization Expense - 14</t>
        </is>
      </c>
      <c r="D274" s="670" t="n"/>
      <c r="E274" s="671" t="n"/>
      <c r="F274" s="74" t="n"/>
      <c r="G274" s="1091">
        <f>+IF(AND(F237=0,G237&gt;0),G237*($D$210/12),F274)</f>
        <v/>
      </c>
      <c r="H274" s="1091">
        <f>+IF(AND(G237=0,H237&gt;0),H237*($D$210/12),G274)</f>
        <v/>
      </c>
      <c r="I274" s="1091">
        <f>+IF(AND(H237=0,I237&gt;0),I237*($D$210/12),H274)</f>
        <v/>
      </c>
      <c r="J274" s="1091">
        <f>+IF(AND(I237=0,J237&gt;0),J237*($D$210/12),I274)</f>
        <v/>
      </c>
      <c r="K274" s="1091">
        <f>+IF(AND(J237=0,K237&gt;0),K237*($D$210/12),J274)</f>
        <v/>
      </c>
      <c r="L274" s="174">
        <f>+IF(AND(K237=0,L237&gt;0),L237*($D$210/12),K274)</f>
        <v/>
      </c>
      <c r="M274" s="1091">
        <f>+IF(AND(L237=0,M237&gt;0),M237*($D$210/12),L274)</f>
        <v/>
      </c>
      <c r="N274" s="1091">
        <f>+IF(AND(M237=0,N237&gt;0),N237*($D$210/12),M274)</f>
        <v/>
      </c>
      <c r="O274" s="1091">
        <f>+IF(AND(N237=0,O237&gt;0),O237*($D$210/12),N274)</f>
        <v/>
      </c>
      <c r="P274" s="1091">
        <f>+IF(AND(O237=0,P237&gt;0),P237*($D$210/12),O274)</f>
        <v/>
      </c>
      <c r="Q274" s="1091">
        <f>+IF(AND(P237=0,Q237&gt;0),Q237*($D$210/12),P274)</f>
        <v/>
      </c>
      <c r="R274" s="174">
        <f>+IF(AND(Q237=0,R237&gt;0),R237*($D$210/12),Q274)</f>
        <v/>
      </c>
      <c r="S274" s="1091">
        <f>+IF(AND(R237=0,S237&gt;0),S237*($D$210/12),R274)</f>
        <v/>
      </c>
      <c r="T274" s="1091">
        <f>+IF(AND(S237=0,T237&gt;0),T237*($D$210/12),S274)</f>
        <v/>
      </c>
      <c r="U274" s="1091">
        <f>+IF(AND(T237=0,U237&gt;0),U237*($D$210/12),T274)</f>
        <v/>
      </c>
      <c r="V274" s="1091">
        <f>+IF(AND(U237=0,V237&gt;0),V237*($D$210/12),U274)</f>
        <v/>
      </c>
      <c r="W274" s="1091">
        <f>+IF(AND(V237=0,W237&gt;0),W237*($D$210/12),V274)</f>
        <v/>
      </c>
      <c r="X274" s="174">
        <f>+IF(AND(W237=0,X237&gt;0),X237*($D$210/12),W274)</f>
        <v/>
      </c>
      <c r="Y274" s="1091">
        <f>+IF(AND(X237=0,Y237&gt;0),Y237*($D$210/12),X274)</f>
        <v/>
      </c>
      <c r="Z274" s="1091">
        <f>+IF(AND(Y237=0,Z237&gt;0),Z237*($D$210/12),Y274)</f>
        <v/>
      </c>
      <c r="AA274" s="1091">
        <f>+IF(AND(Z237=0,AA237&gt;0),AA237*($D$210/12),Z274)</f>
        <v/>
      </c>
      <c r="AB274" s="1091">
        <f>+IF(AND(AA237=0,AB237&gt;0),AB237*($D$210/12),AA274)</f>
        <v/>
      </c>
      <c r="AC274" s="1091">
        <f>+IF(AND(AB237=0,AC237&gt;0),AC237*($D$210/12),AB274)</f>
        <v/>
      </c>
      <c r="AD274" s="174">
        <f>+IF(AND(AC237=0,AD237&gt;0),AD237*($D$210/12),AC274)</f>
        <v/>
      </c>
      <c r="AE274" s="1091">
        <f>+IF(AND(AD237=0,AE237&gt;0),AE237*($D$210/12),AD274)</f>
        <v/>
      </c>
      <c r="AF274" s="1091">
        <f>+IF(AND(AE237=0,AF237&gt;0),AF237*($D$210/12),AE274)</f>
        <v/>
      </c>
      <c r="AG274" s="1091">
        <f>+IF(AND(AF237=0,AG237&gt;0),AG237*($D$210/12),AF274)</f>
        <v/>
      </c>
      <c r="AH274" s="1091">
        <f>+IF(AND(AG237=0,AH237&gt;0),AH237*($D$210/12),AG274)</f>
        <v/>
      </c>
      <c r="AI274" s="1091">
        <f>+IF(AND(AH237=0,AI237&gt;0),AI237*($D$210/12),AH274)</f>
        <v/>
      </c>
      <c r="AJ274" s="174">
        <f>+IF(AND(AI237=0,AJ237&gt;0),AJ237*($D$210/12),AI274)</f>
        <v/>
      </c>
      <c r="AK274" s="1091">
        <f>+IF(AND(AJ237=0,AK237&gt;0),AK237*($D$210/12),AJ274)</f>
        <v/>
      </c>
      <c r="AL274" s="1091">
        <f>+IF(AND(AK237=0,AL237&gt;0),AL237*($D$210/12),AK274)</f>
        <v/>
      </c>
      <c r="AM274" s="1091">
        <f>+IF(AND(AL237=0,AM237&gt;0),AM237*($D$210/12),AL274)</f>
        <v/>
      </c>
      <c r="AN274" s="1091">
        <f>+IF(AND(AM237=0,AN237&gt;0),AN237*($D$210/12),AM274)</f>
        <v/>
      </c>
      <c r="AO274" s="1091">
        <f>+IF(AND(AN237=0,AO237&gt;0),AO237*($D$210/12),AN274)</f>
        <v/>
      </c>
      <c r="AP274" s="174">
        <f>+IF(AND(AO237=0,AP237&gt;0),AP237*($D$210/12),AO274)</f>
        <v/>
      </c>
      <c r="AQ274" s="1091">
        <f>+IF(AND(AP237=0,AQ237&gt;0),AQ237*($D$210/12),AP274)</f>
        <v/>
      </c>
      <c r="AR274" s="1091">
        <f>+IF(AND(AQ237=0,AR237&gt;0),AR237*($D$210/12),AQ274)</f>
        <v/>
      </c>
      <c r="AS274" s="1091">
        <f>+IF(AND(AR237=0,AS237&gt;0),AS237*($D$210/12),AR274)</f>
        <v/>
      </c>
      <c r="AT274" s="1091">
        <f>+IF(AND(AS237=0,AT237&gt;0),AT237*($D$210/12),AS274)</f>
        <v/>
      </c>
      <c r="AU274" s="1091">
        <f>+IF(AND(AT237=0,AU237&gt;0),AU237*($D$210/12),AT274)</f>
        <v/>
      </c>
      <c r="AV274" s="174">
        <f>+IF(AND(AU237=0,AV237&gt;0),AV237*($D$210/12),AU274)</f>
        <v/>
      </c>
      <c r="AW274" s="1091">
        <f>+IF(AND(AV237=0,AW237&gt;0),AW237*($D$210/12),AV274)</f>
        <v/>
      </c>
      <c r="AX274" s="1091">
        <f>+IF(AND(AW237=0,AX237&gt;0),AX237*($D$210/12),AW274)</f>
        <v/>
      </c>
      <c r="AY274" s="1091">
        <f>+IF(AND(AX237=0,AY237&gt;0),AY237*($D$210/12),AX274)</f>
        <v/>
      </c>
      <c r="AZ274" s="1091">
        <f>+IF(AND(AY237=0,AZ237&gt;0),AZ237*($D$210/12),AY274)</f>
        <v/>
      </c>
      <c r="BA274" s="1091">
        <f>+IF(AND(AZ237=0,BA237&gt;0),BA237*($D$210/12),AZ274)</f>
        <v/>
      </c>
      <c r="BB274" s="174">
        <f>+IF(AND(BA237=0,BB237&gt;0),BB237*($D$210/12),BA274)</f>
        <v/>
      </c>
      <c r="BC274" s="1091">
        <f>+IF(AND(BB237=0,BC237&gt;0),BC237*($D$210/12),BB274)</f>
        <v/>
      </c>
      <c r="BD274" s="1091">
        <f>+IF(AND(BC237=0,BD237&gt;0),BD237*($D$210/12),BC274)</f>
        <v/>
      </c>
      <c r="BE274" s="1091">
        <f>+IF(AND(BD237=0,BE237&gt;0),BE237*($D$210/12),BD274)</f>
        <v/>
      </c>
      <c r="BF274" s="1091">
        <f>+IF(AND(BE237=0,BF237&gt;0),BF237*($D$210/12),BE274)</f>
        <v/>
      </c>
      <c r="BG274" s="1091">
        <f>+IF(AND(BF237=0,BG237&gt;0),BG237*($D$210/12),BF274)</f>
        <v/>
      </c>
      <c r="BH274" s="174">
        <f>+IF(AND(BG237=0,BH237&gt;0),BH237*($D$210/12),BG274)</f>
        <v/>
      </c>
      <c r="BI274" s="1091">
        <f>+IF(AND(BH237=0,BI237&gt;0),BI237*($D$210/12),BH274)</f>
        <v/>
      </c>
      <c r="BJ274" s="1091">
        <f>+IF(AND(BI237=0,BJ237&gt;0),BJ237*($D$210/12),BI274)</f>
        <v/>
      </c>
      <c r="BK274" s="1091">
        <f>+IF(AND(BJ237=0,BK237&gt;0),BK237*($D$210/12),BJ274)</f>
        <v/>
      </c>
      <c r="BL274" s="1091">
        <f>+IF(AND(BK237=0,BL237&gt;0),BL237*($D$210/12),BK274)</f>
        <v/>
      </c>
      <c r="BM274" s="1091">
        <f>+IF(AND(BL237=0,BM237&gt;0),BM237*($D$210/12),BL274)</f>
        <v/>
      </c>
      <c r="BN274" s="174">
        <f>+IF(AND(BM237=0,BN237&gt;0),BN237*($D$210/12),BM274)</f>
        <v/>
      </c>
    </row>
    <row r="275" ht="12.75" customHeight="1" s="1883">
      <c r="C275" s="1157" t="inlineStr">
        <is>
          <t>Amortization Expense - 15</t>
        </is>
      </c>
      <c r="D275" s="670" t="n"/>
      <c r="E275" s="671" t="n"/>
      <c r="F275" s="74" t="n"/>
      <c r="G275" s="1091">
        <f>+IF(AND(F238=0,G238&gt;0),G238*($D$210/12),F275)</f>
        <v/>
      </c>
      <c r="H275" s="1091">
        <f>+IF(AND(G238=0,H238&gt;0),H238*($D$210/12),G275)</f>
        <v/>
      </c>
      <c r="I275" s="1091">
        <f>+IF(AND(H238=0,I238&gt;0),I238*($D$210/12),H275)</f>
        <v/>
      </c>
      <c r="J275" s="1091">
        <f>+IF(AND(I238=0,J238&gt;0),J238*($D$210/12),I275)</f>
        <v/>
      </c>
      <c r="K275" s="1091">
        <f>+IF(AND(J238=0,K238&gt;0),K238*($D$210/12),J275)</f>
        <v/>
      </c>
      <c r="L275" s="174">
        <f>+IF(AND(K238=0,L238&gt;0),L238*($D$210/12),K275)</f>
        <v/>
      </c>
      <c r="M275" s="1091">
        <f>+IF(AND(L238=0,M238&gt;0),M238*($D$210/12),L275)</f>
        <v/>
      </c>
      <c r="N275" s="1091">
        <f>+IF(AND(M238=0,N238&gt;0),N238*($D$210/12),M275)</f>
        <v/>
      </c>
      <c r="O275" s="1091">
        <f>+IF(AND(N238=0,O238&gt;0),O238*($D$210/12),N275)</f>
        <v/>
      </c>
      <c r="P275" s="1091">
        <f>+IF(AND(O238=0,P238&gt;0),P238*($D$210/12),O275)</f>
        <v/>
      </c>
      <c r="Q275" s="1091">
        <f>+IF(AND(P238=0,Q238&gt;0),Q238*($D$210/12),P275)</f>
        <v/>
      </c>
      <c r="R275" s="174">
        <f>+IF(AND(Q238=0,R238&gt;0),R238*($D$210/12),Q275)</f>
        <v/>
      </c>
      <c r="S275" s="1091">
        <f>+IF(AND(R238=0,S238&gt;0),S238*($D$210/12),R275)</f>
        <v/>
      </c>
      <c r="T275" s="1091">
        <f>+IF(AND(S238=0,T238&gt;0),T238*($D$210/12),S275)</f>
        <v/>
      </c>
      <c r="U275" s="1091">
        <f>+IF(AND(T238=0,U238&gt;0),U238*($D$210/12),T275)</f>
        <v/>
      </c>
      <c r="V275" s="1091">
        <f>+IF(AND(U238=0,V238&gt;0),V238*($D$210/12),U275)</f>
        <v/>
      </c>
      <c r="W275" s="1091">
        <f>+IF(AND(V238=0,W238&gt;0),W238*($D$210/12),V275)</f>
        <v/>
      </c>
      <c r="X275" s="174">
        <f>+IF(AND(W238=0,X238&gt;0),X238*($D$210/12),W275)</f>
        <v/>
      </c>
      <c r="Y275" s="1091">
        <f>+IF(AND(X238=0,Y238&gt;0),Y238*($D$210/12),X275)</f>
        <v/>
      </c>
      <c r="Z275" s="1091">
        <f>+IF(AND(Y238=0,Z238&gt;0),Z238*($D$210/12),Y275)</f>
        <v/>
      </c>
      <c r="AA275" s="1091">
        <f>+IF(AND(Z238=0,AA238&gt;0),AA238*($D$210/12),Z275)</f>
        <v/>
      </c>
      <c r="AB275" s="1091">
        <f>+IF(AND(AA238=0,AB238&gt;0),AB238*($D$210/12),AA275)</f>
        <v/>
      </c>
      <c r="AC275" s="1091">
        <f>+IF(AND(AB238=0,AC238&gt;0),AC238*($D$210/12),AB275)</f>
        <v/>
      </c>
      <c r="AD275" s="174">
        <f>+IF(AND(AC238=0,AD238&gt;0),AD238*($D$210/12),AC275)</f>
        <v/>
      </c>
      <c r="AE275" s="1091">
        <f>+IF(AND(AD238=0,AE238&gt;0),AE238*($D$210/12),AD275)</f>
        <v/>
      </c>
      <c r="AF275" s="1091">
        <f>+IF(AND(AE238=0,AF238&gt;0),AF238*($D$210/12),AE275)</f>
        <v/>
      </c>
      <c r="AG275" s="1091">
        <f>+IF(AND(AF238=0,AG238&gt;0),AG238*($D$210/12),AF275)</f>
        <v/>
      </c>
      <c r="AH275" s="1091">
        <f>+IF(AND(AG238=0,AH238&gt;0),AH238*($D$210/12),AG275)</f>
        <v/>
      </c>
      <c r="AI275" s="1091">
        <f>+IF(AND(AH238=0,AI238&gt;0),AI238*($D$210/12),AH275)</f>
        <v/>
      </c>
      <c r="AJ275" s="174">
        <f>+IF(AND(AI238=0,AJ238&gt;0),AJ238*($D$210/12),AI275)</f>
        <v/>
      </c>
      <c r="AK275" s="1091">
        <f>+IF(AND(AJ238=0,AK238&gt;0),AK238*($D$210/12),AJ275)</f>
        <v/>
      </c>
      <c r="AL275" s="1091">
        <f>+IF(AND(AK238=0,AL238&gt;0),AL238*($D$210/12),AK275)</f>
        <v/>
      </c>
      <c r="AM275" s="1091">
        <f>+IF(AND(AL238=0,AM238&gt;0),AM238*($D$210/12),AL275)</f>
        <v/>
      </c>
      <c r="AN275" s="1091">
        <f>+IF(AND(AM238=0,AN238&gt;0),AN238*($D$210/12),AM275)</f>
        <v/>
      </c>
      <c r="AO275" s="1091">
        <f>+IF(AND(AN238=0,AO238&gt;0),AO238*($D$210/12),AN275)</f>
        <v/>
      </c>
      <c r="AP275" s="174">
        <f>+IF(AND(AO238=0,AP238&gt;0),AP238*($D$210/12),AO275)</f>
        <v/>
      </c>
      <c r="AQ275" s="1091">
        <f>+IF(AND(AP238=0,AQ238&gt;0),AQ238*($D$210/12),AP275)</f>
        <v/>
      </c>
      <c r="AR275" s="1091">
        <f>+IF(AND(AQ238=0,AR238&gt;0),AR238*($D$210/12),AQ275)</f>
        <v/>
      </c>
      <c r="AS275" s="1091">
        <f>+IF(AND(AR238=0,AS238&gt;0),AS238*($D$210/12),AR275)</f>
        <v/>
      </c>
      <c r="AT275" s="1091">
        <f>+IF(AND(AS238=0,AT238&gt;0),AT238*($D$210/12),AS275)</f>
        <v/>
      </c>
      <c r="AU275" s="1091">
        <f>+IF(AND(AT238=0,AU238&gt;0),AU238*($D$210/12),AT275)</f>
        <v/>
      </c>
      <c r="AV275" s="174">
        <f>+IF(AND(AU238=0,AV238&gt;0),AV238*($D$210/12),AU275)</f>
        <v/>
      </c>
      <c r="AW275" s="1091">
        <f>+IF(AND(AV238=0,AW238&gt;0),AW238*($D$210/12),AV275)</f>
        <v/>
      </c>
      <c r="AX275" s="1091">
        <f>+IF(AND(AW238=0,AX238&gt;0),AX238*($D$210/12),AW275)</f>
        <v/>
      </c>
      <c r="AY275" s="1091">
        <f>+IF(AND(AX238=0,AY238&gt;0),AY238*($D$210/12),AX275)</f>
        <v/>
      </c>
      <c r="AZ275" s="1091">
        <f>+IF(AND(AY238=0,AZ238&gt;0),AZ238*($D$210/12),AY275)</f>
        <v/>
      </c>
      <c r="BA275" s="1091">
        <f>+IF(AND(AZ238=0,BA238&gt;0),BA238*($D$210/12),AZ275)</f>
        <v/>
      </c>
      <c r="BB275" s="174">
        <f>+IF(AND(BA238=0,BB238&gt;0),BB238*($D$210/12),BA275)</f>
        <v/>
      </c>
      <c r="BC275" s="1091">
        <f>+IF(AND(BB238=0,BC238&gt;0),BC238*($D$210/12),BB275)</f>
        <v/>
      </c>
      <c r="BD275" s="1091">
        <f>+IF(AND(BC238=0,BD238&gt;0),BD238*($D$210/12),BC275)</f>
        <v/>
      </c>
      <c r="BE275" s="1091">
        <f>+IF(AND(BD238=0,BE238&gt;0),BE238*($D$210/12),BD275)</f>
        <v/>
      </c>
      <c r="BF275" s="1091">
        <f>+IF(AND(BE238=0,BF238&gt;0),BF238*($D$210/12),BE275)</f>
        <v/>
      </c>
      <c r="BG275" s="1091">
        <f>+IF(AND(BF238=0,BG238&gt;0),BG238*($D$210/12),BF275)</f>
        <v/>
      </c>
      <c r="BH275" s="174">
        <f>+IF(AND(BG238=0,BH238&gt;0),BH238*($D$210/12),BG275)</f>
        <v/>
      </c>
      <c r="BI275" s="1091">
        <f>+IF(AND(BH238=0,BI238&gt;0),BI238*($D$210/12),BH275)</f>
        <v/>
      </c>
      <c r="BJ275" s="1091">
        <f>+IF(AND(BI238=0,BJ238&gt;0),BJ238*($D$210/12),BI275)</f>
        <v/>
      </c>
      <c r="BK275" s="1091">
        <f>+IF(AND(BJ238=0,BK238&gt;0),BK238*($D$210/12),BJ275)</f>
        <v/>
      </c>
      <c r="BL275" s="1091">
        <f>+IF(AND(BK238=0,BL238&gt;0),BL238*($D$210/12),BK275)</f>
        <v/>
      </c>
      <c r="BM275" s="1091">
        <f>+IF(AND(BL238=0,BM238&gt;0),BM238*($D$210/12),BL275)</f>
        <v/>
      </c>
      <c r="BN275" s="174">
        <f>+IF(AND(BM238=0,BN238&gt;0),BN238*($D$210/12),BM275)</f>
        <v/>
      </c>
    </row>
    <row r="276" ht="12.75" customHeight="1" s="1883">
      <c r="C276" s="1157" t="inlineStr">
        <is>
          <t>Amortization Expense - 16</t>
        </is>
      </c>
      <c r="D276" s="670" t="n"/>
      <c r="E276" s="671" t="n"/>
      <c r="F276" s="74" t="n"/>
      <c r="G276" s="1091">
        <f>+IF(AND(F239=0,G239&gt;0),G239*($D$210/12),F276)</f>
        <v/>
      </c>
      <c r="H276" s="1091">
        <f>+IF(AND(G239=0,H239&gt;0),H239*($D$210/12),G276)</f>
        <v/>
      </c>
      <c r="I276" s="1091">
        <f>+IF(AND(H239=0,I239&gt;0),I239*($D$210/12),H276)</f>
        <v/>
      </c>
      <c r="J276" s="1091">
        <f>+IF(AND(I239=0,J239&gt;0),J239*($D$210/12),I276)</f>
        <v/>
      </c>
      <c r="K276" s="1091">
        <f>+IF(AND(J239=0,K239&gt;0),K239*($D$210/12),J276)</f>
        <v/>
      </c>
      <c r="L276" s="174">
        <f>+IF(AND(K239=0,L239&gt;0),L239*($D$210/12),K276)</f>
        <v/>
      </c>
      <c r="M276" s="1091">
        <f>+IF(AND(L239=0,M239&gt;0),M239*($D$210/12),L276)</f>
        <v/>
      </c>
      <c r="N276" s="1091">
        <f>+IF(AND(M239=0,N239&gt;0),N239*($D$210/12),M276)</f>
        <v/>
      </c>
      <c r="O276" s="1091">
        <f>+IF(AND(N239=0,O239&gt;0),O239*($D$210/12),N276)</f>
        <v/>
      </c>
      <c r="P276" s="1091">
        <f>+IF(AND(O239=0,P239&gt;0),P239*($D$210/12),O276)</f>
        <v/>
      </c>
      <c r="Q276" s="1091">
        <f>+IF(AND(P239=0,Q239&gt;0),Q239*($D$210/12),P276)</f>
        <v/>
      </c>
      <c r="R276" s="174">
        <f>+IF(AND(Q239=0,R239&gt;0),R239*($D$210/12),Q276)</f>
        <v/>
      </c>
      <c r="S276" s="1091">
        <f>+IF(AND(R239=0,S239&gt;0),S239*($D$210/12),R276)</f>
        <v/>
      </c>
      <c r="T276" s="1091">
        <f>+IF(AND(S239=0,T239&gt;0),T239*($D$210/12),S276)</f>
        <v/>
      </c>
      <c r="U276" s="1091">
        <f>+IF(AND(T239=0,U239&gt;0),U239*($D$210/12),T276)</f>
        <v/>
      </c>
      <c r="V276" s="1091">
        <f>+IF(AND(U239=0,V239&gt;0),V239*($D$210/12),U276)</f>
        <v/>
      </c>
      <c r="W276" s="1091">
        <f>+IF(AND(V239=0,W239&gt;0),W239*($D$210/12),V276)</f>
        <v/>
      </c>
      <c r="X276" s="174">
        <f>+IF(AND(W239=0,X239&gt;0),X239*($D$210/12),W276)</f>
        <v/>
      </c>
      <c r="Y276" s="1091">
        <f>+IF(AND(X239=0,Y239&gt;0),Y239*($D$210/12),X276)</f>
        <v/>
      </c>
      <c r="Z276" s="1091">
        <f>+IF(AND(Y239=0,Z239&gt;0),Z239*($D$210/12),Y276)</f>
        <v/>
      </c>
      <c r="AA276" s="1091">
        <f>+IF(AND(Z239=0,AA239&gt;0),AA239*($D$210/12),Z276)</f>
        <v/>
      </c>
      <c r="AB276" s="1091">
        <f>+IF(AND(AA239=0,AB239&gt;0),AB239*($D$210/12),AA276)</f>
        <v/>
      </c>
      <c r="AC276" s="1091">
        <f>+IF(AND(AB239=0,AC239&gt;0),AC239*($D$210/12),AB276)</f>
        <v/>
      </c>
      <c r="AD276" s="174">
        <f>+IF(AND(AC239=0,AD239&gt;0),AD239*($D$210/12),AC276)</f>
        <v/>
      </c>
      <c r="AE276" s="1091">
        <f>+IF(AND(AD239=0,AE239&gt;0),AE239*($D$210/12),AD276)</f>
        <v/>
      </c>
      <c r="AF276" s="1091">
        <f>+IF(AND(AE239=0,AF239&gt;0),AF239*($D$210/12),AE276)</f>
        <v/>
      </c>
      <c r="AG276" s="1091">
        <f>+IF(AND(AF239=0,AG239&gt;0),AG239*($D$210/12),AF276)</f>
        <v/>
      </c>
      <c r="AH276" s="1091">
        <f>+IF(AND(AG239=0,AH239&gt;0),AH239*($D$210/12),AG276)</f>
        <v/>
      </c>
      <c r="AI276" s="1091">
        <f>+IF(AND(AH239=0,AI239&gt;0),AI239*($D$210/12),AH276)</f>
        <v/>
      </c>
      <c r="AJ276" s="174">
        <f>+IF(AND(AI239=0,AJ239&gt;0),AJ239*($D$210/12),AI276)</f>
        <v/>
      </c>
      <c r="AK276" s="1091">
        <f>+IF(AND(AJ239=0,AK239&gt;0),AK239*($D$210/12),AJ276)</f>
        <v/>
      </c>
      <c r="AL276" s="1091">
        <f>+IF(AND(AK239=0,AL239&gt;0),AL239*($D$210/12),AK276)</f>
        <v/>
      </c>
      <c r="AM276" s="1091">
        <f>+IF(AND(AL239=0,AM239&gt;0),AM239*($D$210/12),AL276)</f>
        <v/>
      </c>
      <c r="AN276" s="1091">
        <f>+IF(AND(AM239=0,AN239&gt;0),AN239*($D$210/12),AM276)</f>
        <v/>
      </c>
      <c r="AO276" s="1091">
        <f>+IF(AND(AN239=0,AO239&gt;0),AO239*($D$210/12),AN276)</f>
        <v/>
      </c>
      <c r="AP276" s="174">
        <f>+IF(AND(AO239=0,AP239&gt;0),AP239*($D$210/12),AO276)</f>
        <v/>
      </c>
      <c r="AQ276" s="1091">
        <f>+IF(AND(AP239=0,AQ239&gt;0),AQ239*($D$210/12),AP276)</f>
        <v/>
      </c>
      <c r="AR276" s="1091">
        <f>+IF(AND(AQ239=0,AR239&gt;0),AR239*($D$210/12),AQ276)</f>
        <v/>
      </c>
      <c r="AS276" s="1091">
        <f>+IF(AND(AR239=0,AS239&gt;0),AS239*($D$210/12),AR276)</f>
        <v/>
      </c>
      <c r="AT276" s="1091">
        <f>+IF(AND(AS239=0,AT239&gt;0),AT239*($D$210/12),AS276)</f>
        <v/>
      </c>
      <c r="AU276" s="1091">
        <f>+IF(AND(AT239=0,AU239&gt;0),AU239*($D$210/12),AT276)</f>
        <v/>
      </c>
      <c r="AV276" s="174">
        <f>+IF(AND(AU239=0,AV239&gt;0),AV239*($D$210/12),AU276)</f>
        <v/>
      </c>
      <c r="AW276" s="1091">
        <f>+IF(AND(AV239=0,AW239&gt;0),AW239*($D$210/12),AV276)</f>
        <v/>
      </c>
      <c r="AX276" s="1091">
        <f>+IF(AND(AW239=0,AX239&gt;0),AX239*($D$210/12),AW276)</f>
        <v/>
      </c>
      <c r="AY276" s="1091">
        <f>+IF(AND(AX239=0,AY239&gt;0),AY239*($D$210/12),AX276)</f>
        <v/>
      </c>
      <c r="AZ276" s="1091">
        <f>+IF(AND(AY239=0,AZ239&gt;0),AZ239*($D$210/12),AY276)</f>
        <v/>
      </c>
      <c r="BA276" s="1091">
        <f>+IF(AND(AZ239=0,BA239&gt;0),BA239*($D$210/12),AZ276)</f>
        <v/>
      </c>
      <c r="BB276" s="174">
        <f>+IF(AND(BA239=0,BB239&gt;0),BB239*($D$210/12),BA276)</f>
        <v/>
      </c>
      <c r="BC276" s="1091">
        <f>+IF(AND(BB239=0,BC239&gt;0),BC239*($D$210/12),BB276)</f>
        <v/>
      </c>
      <c r="BD276" s="1091">
        <f>+IF(AND(BC239=0,BD239&gt;0),BD239*($D$210/12),BC276)</f>
        <v/>
      </c>
      <c r="BE276" s="1091">
        <f>+IF(AND(BD239=0,BE239&gt;0),BE239*($D$210/12),BD276)</f>
        <v/>
      </c>
      <c r="BF276" s="1091">
        <f>+IF(AND(BE239=0,BF239&gt;0),BF239*($D$210/12),BE276)</f>
        <v/>
      </c>
      <c r="BG276" s="1091">
        <f>+IF(AND(BF239=0,BG239&gt;0),BG239*($D$210/12),BF276)</f>
        <v/>
      </c>
      <c r="BH276" s="174">
        <f>+IF(AND(BG239=0,BH239&gt;0),BH239*($D$210/12),BG276)</f>
        <v/>
      </c>
      <c r="BI276" s="1091">
        <f>+IF(AND(BH239=0,BI239&gt;0),BI239*($D$210/12),BH276)</f>
        <v/>
      </c>
      <c r="BJ276" s="1091">
        <f>+IF(AND(BI239=0,BJ239&gt;0),BJ239*($D$210/12),BI276)</f>
        <v/>
      </c>
      <c r="BK276" s="1091">
        <f>+IF(AND(BJ239=0,BK239&gt;0),BK239*($D$210/12),BJ276)</f>
        <v/>
      </c>
      <c r="BL276" s="1091">
        <f>+IF(AND(BK239=0,BL239&gt;0),BL239*($D$210/12),BK276)</f>
        <v/>
      </c>
      <c r="BM276" s="1091">
        <f>+IF(AND(BL239=0,BM239&gt;0),BM239*($D$210/12),BL276)</f>
        <v/>
      </c>
      <c r="BN276" s="174">
        <f>+IF(AND(BM239=0,BN239&gt;0),BN239*($D$210/12),BM276)</f>
        <v/>
      </c>
    </row>
    <row r="277" ht="12.75" customHeight="1" s="1883">
      <c r="C277" s="1157" t="inlineStr">
        <is>
          <t>Amortization Expense - 17</t>
        </is>
      </c>
      <c r="D277" s="670" t="n"/>
      <c r="E277" s="671" t="n"/>
      <c r="F277" s="74" t="n"/>
      <c r="G277" s="1091">
        <f>+IF(AND(F240=0,G240&gt;0),G240*($D$210/12),F277)</f>
        <v/>
      </c>
      <c r="H277" s="1091">
        <f>+IF(AND(G240=0,H240&gt;0),H240*($D$210/12),G277)</f>
        <v/>
      </c>
      <c r="I277" s="1091">
        <f>+IF(AND(H240=0,I240&gt;0),I240*($D$210/12),H277)</f>
        <v/>
      </c>
      <c r="J277" s="1091">
        <f>+IF(AND(I240=0,J240&gt;0),J240*($D$210/12),I277)</f>
        <v/>
      </c>
      <c r="K277" s="1091">
        <f>+IF(AND(J240=0,K240&gt;0),K240*($D$210/12),J277)</f>
        <v/>
      </c>
      <c r="L277" s="174">
        <f>+IF(AND(K240=0,L240&gt;0),L240*($D$210/12),K277)</f>
        <v/>
      </c>
      <c r="M277" s="1091">
        <f>+IF(AND(L240=0,M240&gt;0),M240*($D$210/12),L277)</f>
        <v/>
      </c>
      <c r="N277" s="1091">
        <f>+IF(AND(M240=0,N240&gt;0),N240*($D$210/12),M277)</f>
        <v/>
      </c>
      <c r="O277" s="1091">
        <f>+IF(AND(N240=0,O240&gt;0),O240*($D$210/12),N277)</f>
        <v/>
      </c>
      <c r="P277" s="1091">
        <f>+IF(AND(O240=0,P240&gt;0),P240*($D$210/12),O277)</f>
        <v/>
      </c>
      <c r="Q277" s="1091">
        <f>+IF(AND(P240=0,Q240&gt;0),Q240*($D$210/12),P277)</f>
        <v/>
      </c>
      <c r="R277" s="174">
        <f>+IF(AND(Q240=0,R240&gt;0),R240*($D$210/12),Q277)</f>
        <v/>
      </c>
      <c r="S277" s="1091">
        <f>+IF(AND(R240=0,S240&gt;0),S240*($D$210/12),R277)</f>
        <v/>
      </c>
      <c r="T277" s="1091">
        <f>+IF(AND(S240=0,T240&gt;0),T240*($D$210/12),S277)</f>
        <v/>
      </c>
      <c r="U277" s="1091">
        <f>+IF(AND(T240=0,U240&gt;0),U240*($D$210/12),T277)</f>
        <v/>
      </c>
      <c r="V277" s="1091">
        <f>+IF(AND(U240=0,V240&gt;0),V240*($D$210/12),U277)</f>
        <v/>
      </c>
      <c r="W277" s="1091">
        <f>+IF(AND(V240=0,W240&gt;0),W240*($D$210/12),V277)</f>
        <v/>
      </c>
      <c r="X277" s="174">
        <f>+IF(AND(W240=0,X240&gt;0),X240*($D$210/12),W277)</f>
        <v/>
      </c>
      <c r="Y277" s="1091">
        <f>+IF(AND(X240=0,Y240&gt;0),Y240*($D$210/12),X277)</f>
        <v/>
      </c>
      <c r="Z277" s="1091">
        <f>+IF(AND(Y240=0,Z240&gt;0),Z240*($D$210/12),Y277)</f>
        <v/>
      </c>
      <c r="AA277" s="1091">
        <f>+IF(AND(Z240=0,AA240&gt;0),AA240*($D$210/12),Z277)</f>
        <v/>
      </c>
      <c r="AB277" s="1091">
        <f>+IF(AND(AA240=0,AB240&gt;0),AB240*($D$210/12),AA277)</f>
        <v/>
      </c>
      <c r="AC277" s="1091">
        <f>+IF(AND(AB240=0,AC240&gt;0),AC240*($D$210/12),AB277)</f>
        <v/>
      </c>
      <c r="AD277" s="174">
        <f>+IF(AND(AC240=0,AD240&gt;0),AD240*($D$210/12),AC277)</f>
        <v/>
      </c>
      <c r="AE277" s="1091">
        <f>+IF(AND(AD240=0,AE240&gt;0),AE240*($D$210/12),AD277)</f>
        <v/>
      </c>
      <c r="AF277" s="1091">
        <f>+IF(AND(AE240=0,AF240&gt;0),AF240*($D$210/12),AE277)</f>
        <v/>
      </c>
      <c r="AG277" s="1091">
        <f>+IF(AND(AF240=0,AG240&gt;0),AG240*($D$210/12),AF277)</f>
        <v/>
      </c>
      <c r="AH277" s="1091">
        <f>+IF(AND(AG240=0,AH240&gt;0),AH240*($D$210/12),AG277)</f>
        <v/>
      </c>
      <c r="AI277" s="1091">
        <f>+IF(AND(AH240=0,AI240&gt;0),AI240*($D$210/12),AH277)</f>
        <v/>
      </c>
      <c r="AJ277" s="174">
        <f>+IF(AND(AI240=0,AJ240&gt;0),AJ240*($D$210/12),AI277)</f>
        <v/>
      </c>
      <c r="AK277" s="1091">
        <f>+IF(AND(AJ240=0,AK240&gt;0),AK240*($D$210/12),AJ277)</f>
        <v/>
      </c>
      <c r="AL277" s="1091">
        <f>+IF(AND(AK240=0,AL240&gt;0),AL240*($D$210/12),AK277)</f>
        <v/>
      </c>
      <c r="AM277" s="1091">
        <f>+IF(AND(AL240=0,AM240&gt;0),AM240*($D$210/12),AL277)</f>
        <v/>
      </c>
      <c r="AN277" s="1091">
        <f>+IF(AND(AM240=0,AN240&gt;0),AN240*($D$210/12),AM277)</f>
        <v/>
      </c>
      <c r="AO277" s="1091">
        <f>+IF(AND(AN240=0,AO240&gt;0),AO240*($D$210/12),AN277)</f>
        <v/>
      </c>
      <c r="AP277" s="174">
        <f>+IF(AND(AO240=0,AP240&gt;0),AP240*($D$210/12),AO277)</f>
        <v/>
      </c>
      <c r="AQ277" s="1091">
        <f>+IF(AND(AP240=0,AQ240&gt;0),AQ240*($D$210/12),AP277)</f>
        <v/>
      </c>
      <c r="AR277" s="1091">
        <f>+IF(AND(AQ240=0,AR240&gt;0),AR240*($D$210/12),AQ277)</f>
        <v/>
      </c>
      <c r="AS277" s="1091">
        <f>+IF(AND(AR240=0,AS240&gt;0),AS240*($D$210/12),AR277)</f>
        <v/>
      </c>
      <c r="AT277" s="1091">
        <f>+IF(AND(AS240=0,AT240&gt;0),AT240*($D$210/12),AS277)</f>
        <v/>
      </c>
      <c r="AU277" s="1091">
        <f>+IF(AND(AT240=0,AU240&gt;0),AU240*($D$210/12),AT277)</f>
        <v/>
      </c>
      <c r="AV277" s="174">
        <f>+IF(AND(AU240=0,AV240&gt;0),AV240*($D$210/12),AU277)</f>
        <v/>
      </c>
      <c r="AW277" s="1091">
        <f>+IF(AND(AV240=0,AW240&gt;0),AW240*($D$210/12),AV277)</f>
        <v/>
      </c>
      <c r="AX277" s="1091">
        <f>+IF(AND(AW240=0,AX240&gt;0),AX240*($D$210/12),AW277)</f>
        <v/>
      </c>
      <c r="AY277" s="1091">
        <f>+IF(AND(AX240=0,AY240&gt;0),AY240*($D$210/12),AX277)</f>
        <v/>
      </c>
      <c r="AZ277" s="1091">
        <f>+IF(AND(AY240=0,AZ240&gt;0),AZ240*($D$210/12),AY277)</f>
        <v/>
      </c>
      <c r="BA277" s="1091">
        <f>+IF(AND(AZ240=0,BA240&gt;0),BA240*($D$210/12),AZ277)</f>
        <v/>
      </c>
      <c r="BB277" s="174">
        <f>+IF(AND(BA240=0,BB240&gt;0),BB240*($D$210/12),BA277)</f>
        <v/>
      </c>
      <c r="BC277" s="1091">
        <f>+IF(AND(BB240=0,BC240&gt;0),BC240*($D$210/12),BB277)</f>
        <v/>
      </c>
      <c r="BD277" s="1091">
        <f>+IF(AND(BC240=0,BD240&gt;0),BD240*($D$210/12),BC277)</f>
        <v/>
      </c>
      <c r="BE277" s="1091">
        <f>+IF(AND(BD240=0,BE240&gt;0),BE240*($D$210/12),BD277)</f>
        <v/>
      </c>
      <c r="BF277" s="1091">
        <f>+IF(AND(BE240=0,BF240&gt;0),BF240*($D$210/12),BE277)</f>
        <v/>
      </c>
      <c r="BG277" s="1091">
        <f>+IF(AND(BF240=0,BG240&gt;0),BG240*($D$210/12),BF277)</f>
        <v/>
      </c>
      <c r="BH277" s="174">
        <f>+IF(AND(BG240=0,BH240&gt;0),BH240*($D$210/12),BG277)</f>
        <v/>
      </c>
      <c r="BI277" s="1091">
        <f>+IF(AND(BH240=0,BI240&gt;0),BI240*($D$210/12),BH277)</f>
        <v/>
      </c>
      <c r="BJ277" s="1091">
        <f>+IF(AND(BI240=0,BJ240&gt;0),BJ240*($D$210/12),BI277)</f>
        <v/>
      </c>
      <c r="BK277" s="1091">
        <f>+IF(AND(BJ240=0,BK240&gt;0),BK240*($D$210/12),BJ277)</f>
        <v/>
      </c>
      <c r="BL277" s="1091">
        <f>+IF(AND(BK240=0,BL240&gt;0),BL240*($D$210/12),BK277)</f>
        <v/>
      </c>
      <c r="BM277" s="1091">
        <f>+IF(AND(BL240=0,BM240&gt;0),BM240*($D$210/12),BL277)</f>
        <v/>
      </c>
      <c r="BN277" s="174">
        <f>+IF(AND(BM240=0,BN240&gt;0),BN240*($D$210/12),BM277)</f>
        <v/>
      </c>
    </row>
    <row r="278" ht="12.75" customHeight="1" s="1883">
      <c r="C278" s="1157" t="inlineStr">
        <is>
          <t>Amortization Expense - 18</t>
        </is>
      </c>
      <c r="D278" s="670" t="n"/>
      <c r="E278" s="671" t="n"/>
      <c r="F278" s="74" t="n"/>
      <c r="G278" s="1091">
        <f>+IF(AND(F241=0,G241&gt;0),G241*($D$210/12),F278)</f>
        <v/>
      </c>
      <c r="H278" s="1091">
        <f>+IF(AND(G241=0,H241&gt;0),H241*($D$210/12),G278)</f>
        <v/>
      </c>
      <c r="I278" s="1091">
        <f>+IF(AND(H241=0,I241&gt;0),I241*($D$210/12),H278)</f>
        <v/>
      </c>
      <c r="J278" s="1091">
        <f>+IF(AND(I241=0,J241&gt;0),J241*($D$210/12),I278)</f>
        <v/>
      </c>
      <c r="K278" s="1091">
        <f>+IF(AND(J241=0,K241&gt;0),K241*($D$210/12),J278)</f>
        <v/>
      </c>
      <c r="L278" s="174">
        <f>+IF(AND(K241=0,L241&gt;0),L241*($D$210/12),K278)</f>
        <v/>
      </c>
      <c r="M278" s="1091">
        <f>+IF(AND(L241=0,M241&gt;0),M241*($D$210/12),L278)</f>
        <v/>
      </c>
      <c r="N278" s="1091">
        <f>+IF(AND(M241=0,N241&gt;0),N241*($D$210/12),M278)</f>
        <v/>
      </c>
      <c r="O278" s="1091">
        <f>+IF(AND(N241=0,O241&gt;0),O241*($D$210/12),N278)</f>
        <v/>
      </c>
      <c r="P278" s="1091">
        <f>+IF(AND(O241=0,P241&gt;0),P241*($D$210/12),O278)</f>
        <v/>
      </c>
      <c r="Q278" s="1091">
        <f>+IF(AND(P241=0,Q241&gt;0),Q241*($D$210/12),P278)</f>
        <v/>
      </c>
      <c r="R278" s="174">
        <f>+IF(AND(Q241=0,R241&gt;0),R241*($D$210/12),Q278)</f>
        <v/>
      </c>
      <c r="S278" s="1091">
        <f>+IF(AND(R241=0,S241&gt;0),S241*($D$210/12),R278)</f>
        <v/>
      </c>
      <c r="T278" s="1091">
        <f>+IF(AND(S241=0,T241&gt;0),T241*($D$210/12),S278)</f>
        <v/>
      </c>
      <c r="U278" s="1091">
        <f>+IF(AND(T241=0,U241&gt;0),U241*($D$210/12),T278)</f>
        <v/>
      </c>
      <c r="V278" s="1091">
        <f>+IF(AND(U241=0,V241&gt;0),V241*($D$210/12),U278)</f>
        <v/>
      </c>
      <c r="W278" s="1091">
        <f>+IF(AND(V241=0,W241&gt;0),W241*($D$210/12),V278)</f>
        <v/>
      </c>
      <c r="X278" s="174">
        <f>+IF(AND(W241=0,X241&gt;0),X241*($D$210/12),W278)</f>
        <v/>
      </c>
      <c r="Y278" s="1091">
        <f>+IF(AND(X241=0,Y241&gt;0),Y241*($D$210/12),X278)</f>
        <v/>
      </c>
      <c r="Z278" s="1091">
        <f>+IF(AND(Y241=0,Z241&gt;0),Z241*($D$210/12),Y278)</f>
        <v/>
      </c>
      <c r="AA278" s="1091">
        <f>+IF(AND(Z241=0,AA241&gt;0),AA241*($D$210/12),Z278)</f>
        <v/>
      </c>
      <c r="AB278" s="1091">
        <f>+IF(AND(AA241=0,AB241&gt;0),AB241*($D$210/12),AA278)</f>
        <v/>
      </c>
      <c r="AC278" s="1091">
        <f>+IF(AND(AB241=0,AC241&gt;0),AC241*($D$210/12),AB278)</f>
        <v/>
      </c>
      <c r="AD278" s="174">
        <f>+IF(AND(AC241=0,AD241&gt;0),AD241*($D$210/12),AC278)</f>
        <v/>
      </c>
      <c r="AE278" s="1091">
        <f>+IF(AND(AD241=0,AE241&gt;0),AE241*($D$210/12),AD278)</f>
        <v/>
      </c>
      <c r="AF278" s="1091">
        <f>+IF(AND(AE241=0,AF241&gt;0),AF241*($D$210/12),AE278)</f>
        <v/>
      </c>
      <c r="AG278" s="1091">
        <f>+IF(AND(AF241=0,AG241&gt;0),AG241*($D$210/12),AF278)</f>
        <v/>
      </c>
      <c r="AH278" s="1091">
        <f>+IF(AND(AG241=0,AH241&gt;0),AH241*($D$210/12),AG278)</f>
        <v/>
      </c>
      <c r="AI278" s="1091">
        <f>+IF(AND(AH241=0,AI241&gt;0),AI241*($D$210/12),AH278)</f>
        <v/>
      </c>
      <c r="AJ278" s="174">
        <f>+IF(AND(AI241=0,AJ241&gt;0),AJ241*($D$210/12),AI278)</f>
        <v/>
      </c>
      <c r="AK278" s="1091">
        <f>+IF(AND(AJ241=0,AK241&gt;0),AK241*($D$210/12),AJ278)</f>
        <v/>
      </c>
      <c r="AL278" s="1091">
        <f>+IF(AND(AK241=0,AL241&gt;0),AL241*($D$210/12),AK278)</f>
        <v/>
      </c>
      <c r="AM278" s="1091">
        <f>+IF(AND(AL241=0,AM241&gt;0),AM241*($D$210/12),AL278)</f>
        <v/>
      </c>
      <c r="AN278" s="1091">
        <f>+IF(AND(AM241=0,AN241&gt;0),AN241*($D$210/12),AM278)</f>
        <v/>
      </c>
      <c r="AO278" s="1091">
        <f>+IF(AND(AN241=0,AO241&gt;0),AO241*($D$210/12),AN278)</f>
        <v/>
      </c>
      <c r="AP278" s="174">
        <f>+IF(AND(AO241=0,AP241&gt;0),AP241*($D$210/12),AO278)</f>
        <v/>
      </c>
      <c r="AQ278" s="1091">
        <f>+IF(AND(AP241=0,AQ241&gt;0),AQ241*($D$210/12),AP278)</f>
        <v/>
      </c>
      <c r="AR278" s="1091">
        <f>+IF(AND(AQ241=0,AR241&gt;0),AR241*($D$210/12),AQ278)</f>
        <v/>
      </c>
      <c r="AS278" s="1091">
        <f>+IF(AND(AR241=0,AS241&gt;0),AS241*($D$210/12),AR278)</f>
        <v/>
      </c>
      <c r="AT278" s="1091">
        <f>+IF(AND(AS241=0,AT241&gt;0),AT241*($D$210/12),AS278)</f>
        <v/>
      </c>
      <c r="AU278" s="1091">
        <f>+IF(AND(AT241=0,AU241&gt;0),AU241*($D$210/12),AT278)</f>
        <v/>
      </c>
      <c r="AV278" s="174">
        <f>+IF(AND(AU241=0,AV241&gt;0),AV241*($D$210/12),AU278)</f>
        <v/>
      </c>
      <c r="AW278" s="1091">
        <f>+IF(AND(AV241=0,AW241&gt;0),AW241*($D$210/12),AV278)</f>
        <v/>
      </c>
      <c r="AX278" s="1091">
        <f>+IF(AND(AW241=0,AX241&gt;0),AX241*($D$210/12),AW278)</f>
        <v/>
      </c>
      <c r="AY278" s="1091">
        <f>+IF(AND(AX241=0,AY241&gt;0),AY241*($D$210/12),AX278)</f>
        <v/>
      </c>
      <c r="AZ278" s="1091">
        <f>+IF(AND(AY241=0,AZ241&gt;0),AZ241*($D$210/12),AY278)</f>
        <v/>
      </c>
      <c r="BA278" s="1091">
        <f>+IF(AND(AZ241=0,BA241&gt;0),BA241*($D$210/12),AZ278)</f>
        <v/>
      </c>
      <c r="BB278" s="174">
        <f>+IF(AND(BA241=0,BB241&gt;0),BB241*($D$210/12),BA278)</f>
        <v/>
      </c>
      <c r="BC278" s="1091">
        <f>+IF(AND(BB241=0,BC241&gt;0),BC241*($D$210/12),BB278)</f>
        <v/>
      </c>
      <c r="BD278" s="1091">
        <f>+IF(AND(BC241=0,BD241&gt;0),BD241*($D$210/12),BC278)</f>
        <v/>
      </c>
      <c r="BE278" s="1091">
        <f>+IF(AND(BD241=0,BE241&gt;0),BE241*($D$210/12),BD278)</f>
        <v/>
      </c>
      <c r="BF278" s="1091">
        <f>+IF(AND(BE241=0,BF241&gt;0),BF241*($D$210/12),BE278)</f>
        <v/>
      </c>
      <c r="BG278" s="1091">
        <f>+IF(AND(BF241=0,BG241&gt;0),BG241*($D$210/12),BF278)</f>
        <v/>
      </c>
      <c r="BH278" s="174">
        <f>+IF(AND(BG241=0,BH241&gt;0),BH241*($D$210/12),BG278)</f>
        <v/>
      </c>
      <c r="BI278" s="1091">
        <f>+IF(AND(BH241=0,BI241&gt;0),BI241*($D$210/12),BH278)</f>
        <v/>
      </c>
      <c r="BJ278" s="1091">
        <f>+IF(AND(BI241=0,BJ241&gt;0),BJ241*($D$210/12),BI278)</f>
        <v/>
      </c>
      <c r="BK278" s="1091">
        <f>+IF(AND(BJ241=0,BK241&gt;0),BK241*($D$210/12),BJ278)</f>
        <v/>
      </c>
      <c r="BL278" s="1091">
        <f>+IF(AND(BK241=0,BL241&gt;0),BL241*($D$210/12),BK278)</f>
        <v/>
      </c>
      <c r="BM278" s="1091">
        <f>+IF(AND(BL241=0,BM241&gt;0),BM241*($D$210/12),BL278)</f>
        <v/>
      </c>
      <c r="BN278" s="174">
        <f>+IF(AND(BM241=0,BN241&gt;0),BN241*($D$210/12),BM278)</f>
        <v/>
      </c>
    </row>
    <row r="279" ht="12.75" customHeight="1" s="1883">
      <c r="C279" s="1157" t="inlineStr">
        <is>
          <t>Amortization Expense - 19</t>
        </is>
      </c>
      <c r="D279" s="670" t="n"/>
      <c r="E279" s="671" t="n"/>
      <c r="F279" s="74" t="n"/>
      <c r="G279" s="1091">
        <f>+IF(AND(F242=0,G242&gt;0),G242*($D$210/12),F279)</f>
        <v/>
      </c>
      <c r="H279" s="1091">
        <f>+IF(AND(G242=0,H242&gt;0),H242*($D$210/12),G279)</f>
        <v/>
      </c>
      <c r="I279" s="1091">
        <f>+IF(AND(H242=0,I242&gt;0),I242*($D$210/12),H279)</f>
        <v/>
      </c>
      <c r="J279" s="1091">
        <f>+IF(AND(I242=0,J242&gt;0),J242*($D$210/12),I279)</f>
        <v/>
      </c>
      <c r="K279" s="1091">
        <f>+IF(AND(J242=0,K242&gt;0),K242*($D$210/12),J279)</f>
        <v/>
      </c>
      <c r="L279" s="174">
        <f>+IF(AND(K242=0,L242&gt;0),L242*($D$210/12),K279)</f>
        <v/>
      </c>
      <c r="M279" s="1091">
        <f>+IF(AND(L242=0,M242&gt;0),M242*($D$210/12),L279)</f>
        <v/>
      </c>
      <c r="N279" s="1091">
        <f>+IF(AND(M242=0,N242&gt;0),N242*($D$210/12),M279)</f>
        <v/>
      </c>
      <c r="O279" s="1091">
        <f>+IF(AND(N242=0,O242&gt;0),O242*($D$210/12),N279)</f>
        <v/>
      </c>
      <c r="P279" s="1091">
        <f>+IF(AND(O242=0,P242&gt;0),P242*($D$210/12),O279)</f>
        <v/>
      </c>
      <c r="Q279" s="1091">
        <f>+IF(AND(P242=0,Q242&gt;0),Q242*($D$210/12),P279)</f>
        <v/>
      </c>
      <c r="R279" s="174">
        <f>+IF(AND(Q242=0,R242&gt;0),R242*($D$210/12),Q279)</f>
        <v/>
      </c>
      <c r="S279" s="1091">
        <f>+IF(AND(R242=0,S242&gt;0),S242*($D$210/12),R279)</f>
        <v/>
      </c>
      <c r="T279" s="1091">
        <f>+IF(AND(S242=0,T242&gt;0),T242*($D$210/12),S279)</f>
        <v/>
      </c>
      <c r="U279" s="1091">
        <f>+IF(AND(T242=0,U242&gt;0),U242*($D$210/12),T279)</f>
        <v/>
      </c>
      <c r="V279" s="1091">
        <f>+IF(AND(U242=0,V242&gt;0),V242*($D$210/12),U279)</f>
        <v/>
      </c>
      <c r="W279" s="1091">
        <f>+IF(AND(V242=0,W242&gt;0),W242*($D$210/12),V279)</f>
        <v/>
      </c>
      <c r="X279" s="174">
        <f>+IF(AND(W242=0,X242&gt;0),X242*($D$210/12),W279)</f>
        <v/>
      </c>
      <c r="Y279" s="1091">
        <f>+IF(AND(X242=0,Y242&gt;0),Y242*($D$210/12),X279)</f>
        <v/>
      </c>
      <c r="Z279" s="1091">
        <f>+IF(AND(Y242=0,Z242&gt;0),Z242*($D$210/12),Y279)</f>
        <v/>
      </c>
      <c r="AA279" s="1091">
        <f>+IF(AND(Z242=0,AA242&gt;0),AA242*($D$210/12),Z279)</f>
        <v/>
      </c>
      <c r="AB279" s="1091">
        <f>+IF(AND(AA242=0,AB242&gt;0),AB242*($D$210/12),AA279)</f>
        <v/>
      </c>
      <c r="AC279" s="1091">
        <f>+IF(AND(AB242=0,AC242&gt;0),AC242*($D$210/12),AB279)</f>
        <v/>
      </c>
      <c r="AD279" s="174">
        <f>+IF(AND(AC242=0,AD242&gt;0),AD242*($D$210/12),AC279)</f>
        <v/>
      </c>
      <c r="AE279" s="1091">
        <f>+IF(AND(AD242=0,AE242&gt;0),AE242*($D$210/12),AD279)</f>
        <v/>
      </c>
      <c r="AF279" s="1091">
        <f>+IF(AND(AE242=0,AF242&gt;0),AF242*($D$210/12),AE279)</f>
        <v/>
      </c>
      <c r="AG279" s="1091">
        <f>+IF(AND(AF242=0,AG242&gt;0),AG242*($D$210/12),AF279)</f>
        <v/>
      </c>
      <c r="AH279" s="1091">
        <f>+IF(AND(AG242=0,AH242&gt;0),AH242*($D$210/12),AG279)</f>
        <v/>
      </c>
      <c r="AI279" s="1091">
        <f>+IF(AND(AH242=0,AI242&gt;0),AI242*($D$210/12),AH279)</f>
        <v/>
      </c>
      <c r="AJ279" s="174">
        <f>+IF(AND(AI242=0,AJ242&gt;0),AJ242*($D$210/12),AI279)</f>
        <v/>
      </c>
      <c r="AK279" s="1091">
        <f>+IF(AND(AJ242=0,AK242&gt;0),AK242*($D$210/12),AJ279)</f>
        <v/>
      </c>
      <c r="AL279" s="1091">
        <f>+IF(AND(AK242=0,AL242&gt;0),AL242*($D$210/12),AK279)</f>
        <v/>
      </c>
      <c r="AM279" s="1091">
        <f>+IF(AND(AL242=0,AM242&gt;0),AM242*($D$210/12),AL279)</f>
        <v/>
      </c>
      <c r="AN279" s="1091">
        <f>+IF(AND(AM242=0,AN242&gt;0),AN242*($D$210/12),AM279)</f>
        <v/>
      </c>
      <c r="AO279" s="1091">
        <f>+IF(AND(AN242=0,AO242&gt;0),AO242*($D$210/12),AN279)</f>
        <v/>
      </c>
      <c r="AP279" s="174">
        <f>+IF(AND(AO242=0,AP242&gt;0),AP242*($D$210/12),AO279)</f>
        <v/>
      </c>
      <c r="AQ279" s="1091">
        <f>+IF(AND(AP242=0,AQ242&gt;0),AQ242*($D$210/12),AP279)</f>
        <v/>
      </c>
      <c r="AR279" s="1091">
        <f>+IF(AND(AQ242=0,AR242&gt;0),AR242*($D$210/12),AQ279)</f>
        <v/>
      </c>
      <c r="AS279" s="1091">
        <f>+IF(AND(AR242=0,AS242&gt;0),AS242*($D$210/12),AR279)</f>
        <v/>
      </c>
      <c r="AT279" s="1091">
        <f>+IF(AND(AS242=0,AT242&gt;0),AT242*($D$210/12),AS279)</f>
        <v/>
      </c>
      <c r="AU279" s="1091">
        <f>+IF(AND(AT242=0,AU242&gt;0),AU242*($D$210/12),AT279)</f>
        <v/>
      </c>
      <c r="AV279" s="174">
        <f>+IF(AND(AU242=0,AV242&gt;0),AV242*($D$210/12),AU279)</f>
        <v/>
      </c>
      <c r="AW279" s="1091">
        <f>+IF(AND(AV242=0,AW242&gt;0),AW242*($D$210/12),AV279)</f>
        <v/>
      </c>
      <c r="AX279" s="1091">
        <f>+IF(AND(AW242=0,AX242&gt;0),AX242*($D$210/12),AW279)</f>
        <v/>
      </c>
      <c r="AY279" s="1091">
        <f>+IF(AND(AX242=0,AY242&gt;0),AY242*($D$210/12),AX279)</f>
        <v/>
      </c>
      <c r="AZ279" s="1091">
        <f>+IF(AND(AY242=0,AZ242&gt;0),AZ242*($D$210/12),AY279)</f>
        <v/>
      </c>
      <c r="BA279" s="1091">
        <f>+IF(AND(AZ242=0,BA242&gt;0),BA242*($D$210/12),AZ279)</f>
        <v/>
      </c>
      <c r="BB279" s="174">
        <f>+IF(AND(BA242=0,BB242&gt;0),BB242*($D$210/12),BA279)</f>
        <v/>
      </c>
      <c r="BC279" s="1091">
        <f>+IF(AND(BB242=0,BC242&gt;0),BC242*($D$210/12),BB279)</f>
        <v/>
      </c>
      <c r="BD279" s="1091">
        <f>+IF(AND(BC242=0,BD242&gt;0),BD242*($D$210/12),BC279)</f>
        <v/>
      </c>
      <c r="BE279" s="1091">
        <f>+IF(AND(BD242=0,BE242&gt;0),BE242*($D$210/12),BD279)</f>
        <v/>
      </c>
      <c r="BF279" s="1091">
        <f>+IF(AND(BE242=0,BF242&gt;0),BF242*($D$210/12),BE279)</f>
        <v/>
      </c>
      <c r="BG279" s="1091">
        <f>+IF(AND(BF242=0,BG242&gt;0),BG242*($D$210/12),BF279)</f>
        <v/>
      </c>
      <c r="BH279" s="174">
        <f>+IF(AND(BG242=0,BH242&gt;0),BH242*($D$210/12),BG279)</f>
        <v/>
      </c>
      <c r="BI279" s="1091">
        <f>+IF(AND(BH242=0,BI242&gt;0),BI242*($D$210/12),BH279)</f>
        <v/>
      </c>
      <c r="BJ279" s="1091">
        <f>+IF(AND(BI242=0,BJ242&gt;0),BJ242*($D$210/12),BI279)</f>
        <v/>
      </c>
      <c r="BK279" s="1091">
        <f>+IF(AND(BJ242=0,BK242&gt;0),BK242*($D$210/12),BJ279)</f>
        <v/>
      </c>
      <c r="BL279" s="1091">
        <f>+IF(AND(BK242=0,BL242&gt;0),BL242*($D$210/12),BK279)</f>
        <v/>
      </c>
      <c r="BM279" s="1091">
        <f>+IF(AND(BL242=0,BM242&gt;0),BM242*($D$210/12),BL279)</f>
        <v/>
      </c>
      <c r="BN279" s="174">
        <f>+IF(AND(BM242=0,BN242&gt;0),BN242*($D$210/12),BM279)</f>
        <v/>
      </c>
    </row>
    <row r="280" ht="12.75" customHeight="1" s="1883">
      <c r="C280" s="1157" t="inlineStr">
        <is>
          <t>Amortization Expense - 20</t>
        </is>
      </c>
      <c r="D280" s="670" t="n"/>
      <c r="E280" s="671" t="n"/>
      <c r="F280" s="74" t="n"/>
      <c r="G280" s="1091">
        <f>+IF(AND(F243=0,G243&gt;0),G243*($D$210/12),F280)</f>
        <v/>
      </c>
      <c r="H280" s="1091">
        <f>+IF(AND(G243=0,H243&gt;0),H243*($D$210/12),G280)</f>
        <v/>
      </c>
      <c r="I280" s="1091">
        <f>+IF(AND(H243=0,I243&gt;0),I243*($D$210/12),H280)</f>
        <v/>
      </c>
      <c r="J280" s="1091">
        <f>+IF(AND(I243=0,J243&gt;0),J243*($D$210/12),I280)</f>
        <v/>
      </c>
      <c r="K280" s="1091">
        <f>+IF(AND(J243=0,K243&gt;0),K243*($D$210/12),J280)</f>
        <v/>
      </c>
      <c r="L280" s="174">
        <f>+IF(AND(K243=0,L243&gt;0),L243*($D$210/12),K280)</f>
        <v/>
      </c>
      <c r="M280" s="1091">
        <f>+IF(AND(L243=0,M243&gt;0),M243*($D$210/12),L280)</f>
        <v/>
      </c>
      <c r="N280" s="1091">
        <f>+IF(AND(M243=0,N243&gt;0),N243*($D$210/12),M280)</f>
        <v/>
      </c>
      <c r="O280" s="1091">
        <f>+IF(AND(N243=0,O243&gt;0),O243*($D$210/12),N280)</f>
        <v/>
      </c>
      <c r="P280" s="1091">
        <f>+IF(AND(O243=0,P243&gt;0),P243*($D$210/12),O280)</f>
        <v/>
      </c>
      <c r="Q280" s="1091">
        <f>+IF(AND(P243=0,Q243&gt;0),Q243*($D$210/12),P280)</f>
        <v/>
      </c>
      <c r="R280" s="174">
        <f>+IF(AND(Q243=0,R243&gt;0),R243*($D$210/12),Q280)</f>
        <v/>
      </c>
      <c r="S280" s="1091">
        <f>+IF(AND(R243=0,S243&gt;0),S243*($D$210/12),R280)</f>
        <v/>
      </c>
      <c r="T280" s="1091">
        <f>+IF(AND(S243=0,T243&gt;0),T243*($D$210/12),S280)</f>
        <v/>
      </c>
      <c r="U280" s="1091">
        <f>+IF(AND(T243=0,U243&gt;0),U243*($D$210/12),T280)</f>
        <v/>
      </c>
      <c r="V280" s="1091">
        <f>+IF(AND(U243=0,V243&gt;0),V243*($D$210/12),U280)</f>
        <v/>
      </c>
      <c r="W280" s="1091">
        <f>+IF(AND(V243=0,W243&gt;0),W243*($D$210/12),V280)</f>
        <v/>
      </c>
      <c r="X280" s="174">
        <f>+IF(AND(W243=0,X243&gt;0),X243*($D$210/12),W280)</f>
        <v/>
      </c>
      <c r="Y280" s="1091">
        <f>+IF(AND(X243=0,Y243&gt;0),Y243*($D$210/12),X280)</f>
        <v/>
      </c>
      <c r="Z280" s="1091">
        <f>+IF(AND(Y243=0,Z243&gt;0),Z243*($D$210/12),Y280)</f>
        <v/>
      </c>
      <c r="AA280" s="1091">
        <f>+IF(AND(Z243=0,AA243&gt;0),AA243*($D$210/12),Z280)</f>
        <v/>
      </c>
      <c r="AB280" s="1091">
        <f>+IF(AND(AA243=0,AB243&gt;0),AB243*($D$210/12),AA280)</f>
        <v/>
      </c>
      <c r="AC280" s="1091">
        <f>+IF(AND(AB243=0,AC243&gt;0),AC243*($D$210/12),AB280)</f>
        <v/>
      </c>
      <c r="AD280" s="174">
        <f>+IF(AND(AC243=0,AD243&gt;0),AD243*($D$210/12),AC280)</f>
        <v/>
      </c>
      <c r="AE280" s="1091">
        <f>+IF(AND(AD243=0,AE243&gt;0),AE243*($D$210/12),AD280)</f>
        <v/>
      </c>
      <c r="AF280" s="1091">
        <f>+IF(AND(AE243=0,AF243&gt;0),AF243*($D$210/12),AE280)</f>
        <v/>
      </c>
      <c r="AG280" s="1091">
        <f>+IF(AND(AF243=0,AG243&gt;0),AG243*($D$210/12),AF280)</f>
        <v/>
      </c>
      <c r="AH280" s="1091">
        <f>+IF(AND(AG243=0,AH243&gt;0),AH243*($D$210/12),AG280)</f>
        <v/>
      </c>
      <c r="AI280" s="1091">
        <f>+IF(AND(AH243=0,AI243&gt;0),AI243*($D$210/12),AH280)</f>
        <v/>
      </c>
      <c r="AJ280" s="174">
        <f>+IF(AND(AI243=0,AJ243&gt;0),AJ243*($D$210/12),AI280)</f>
        <v/>
      </c>
      <c r="AK280" s="1091">
        <f>+IF(AND(AJ243=0,AK243&gt;0),AK243*($D$210/12),AJ280)</f>
        <v/>
      </c>
      <c r="AL280" s="1091">
        <f>+IF(AND(AK243=0,AL243&gt;0),AL243*($D$210/12),AK280)</f>
        <v/>
      </c>
      <c r="AM280" s="1091">
        <f>+IF(AND(AL243=0,AM243&gt;0),AM243*($D$210/12),AL280)</f>
        <v/>
      </c>
      <c r="AN280" s="1091">
        <f>+IF(AND(AM243=0,AN243&gt;0),AN243*($D$210/12),AM280)</f>
        <v/>
      </c>
      <c r="AO280" s="1091">
        <f>+IF(AND(AN243=0,AO243&gt;0),AO243*($D$210/12),AN280)</f>
        <v/>
      </c>
      <c r="AP280" s="174">
        <f>+IF(AND(AO243=0,AP243&gt;0),AP243*($D$210/12),AO280)</f>
        <v/>
      </c>
      <c r="AQ280" s="1091">
        <f>+IF(AND(AP243=0,AQ243&gt;0),AQ243*($D$210/12),AP280)</f>
        <v/>
      </c>
      <c r="AR280" s="1091">
        <f>+IF(AND(AQ243=0,AR243&gt;0),AR243*($D$210/12),AQ280)</f>
        <v/>
      </c>
      <c r="AS280" s="1091">
        <f>+IF(AND(AR243=0,AS243&gt;0),AS243*($D$210/12),AR280)</f>
        <v/>
      </c>
      <c r="AT280" s="1091">
        <f>+IF(AND(AS243=0,AT243&gt;0),AT243*($D$210/12),AS280)</f>
        <v/>
      </c>
      <c r="AU280" s="1091">
        <f>+IF(AND(AT243=0,AU243&gt;0),AU243*($D$210/12),AT280)</f>
        <v/>
      </c>
      <c r="AV280" s="174">
        <f>+IF(AND(AU243=0,AV243&gt;0),AV243*($D$210/12),AU280)</f>
        <v/>
      </c>
      <c r="AW280" s="1091">
        <f>+IF(AND(AV243=0,AW243&gt;0),AW243*($D$210/12),AV280)</f>
        <v/>
      </c>
      <c r="AX280" s="1091">
        <f>+IF(AND(AW243=0,AX243&gt;0),AX243*($D$210/12),AW280)</f>
        <v/>
      </c>
      <c r="AY280" s="1091">
        <f>+IF(AND(AX243=0,AY243&gt;0),AY243*($D$210/12),AX280)</f>
        <v/>
      </c>
      <c r="AZ280" s="1091">
        <f>+IF(AND(AY243=0,AZ243&gt;0),AZ243*($D$210/12),AY280)</f>
        <v/>
      </c>
      <c r="BA280" s="1091">
        <f>+IF(AND(AZ243=0,BA243&gt;0),BA243*($D$210/12),AZ280)</f>
        <v/>
      </c>
      <c r="BB280" s="174">
        <f>+IF(AND(BA243=0,BB243&gt;0),BB243*($D$210/12),BA280)</f>
        <v/>
      </c>
      <c r="BC280" s="1091">
        <f>+IF(AND(BB243=0,BC243&gt;0),BC243*($D$210/12),BB280)</f>
        <v/>
      </c>
      <c r="BD280" s="1091">
        <f>+IF(AND(BC243=0,BD243&gt;0),BD243*($D$210/12),BC280)</f>
        <v/>
      </c>
      <c r="BE280" s="1091">
        <f>+IF(AND(BD243=0,BE243&gt;0),BE243*($D$210/12),BD280)</f>
        <v/>
      </c>
      <c r="BF280" s="1091">
        <f>+IF(AND(BE243=0,BF243&gt;0),BF243*($D$210/12),BE280)</f>
        <v/>
      </c>
      <c r="BG280" s="1091">
        <f>+IF(AND(BF243=0,BG243&gt;0),BG243*($D$210/12),BF280)</f>
        <v/>
      </c>
      <c r="BH280" s="174">
        <f>+IF(AND(BG243=0,BH243&gt;0),BH243*($D$210/12),BG280)</f>
        <v/>
      </c>
      <c r="BI280" s="1091">
        <f>+IF(AND(BH243=0,BI243&gt;0),BI243*($D$210/12),BH280)</f>
        <v/>
      </c>
      <c r="BJ280" s="1091">
        <f>+IF(AND(BI243=0,BJ243&gt;0),BJ243*($D$210/12),BI280)</f>
        <v/>
      </c>
      <c r="BK280" s="1091">
        <f>+IF(AND(BJ243=0,BK243&gt;0),BK243*($D$210/12),BJ280)</f>
        <v/>
      </c>
      <c r="BL280" s="1091">
        <f>+IF(AND(BK243=0,BL243&gt;0),BL243*($D$210/12),BK280)</f>
        <v/>
      </c>
      <c r="BM280" s="1091">
        <f>+IF(AND(BL243=0,BM243&gt;0),BM243*($D$210/12),BL280)</f>
        <v/>
      </c>
      <c r="BN280" s="174">
        <f>+IF(AND(BM243=0,BN243&gt;0),BN243*($D$210/12),BM280)</f>
        <v/>
      </c>
    </row>
    <row r="281" ht="12.75" customHeight="1" s="1883">
      <c r="C281" s="1157" t="inlineStr">
        <is>
          <t>Amortization Expense - 21</t>
        </is>
      </c>
      <c r="D281" s="670" t="n"/>
      <c r="E281" s="671" t="n"/>
      <c r="F281" s="74" t="n"/>
      <c r="G281" s="1091">
        <f>+IF(AND(F244=0,G244&gt;0),G244*($D$210/12),F281)</f>
        <v/>
      </c>
      <c r="H281" s="1091">
        <f>+IF(AND(G244=0,H244&gt;0),H244*($D$210/12),G281)</f>
        <v/>
      </c>
      <c r="I281" s="1091">
        <f>+IF(AND(H244=0,I244&gt;0),I244*($D$210/12),H281)</f>
        <v/>
      </c>
      <c r="J281" s="1091">
        <f>+IF(AND(I244=0,J244&gt;0),J244*($D$210/12),I281)</f>
        <v/>
      </c>
      <c r="K281" s="1091">
        <f>+IF(AND(J244=0,K244&gt;0),K244*($D$210/12),J281)</f>
        <v/>
      </c>
      <c r="L281" s="174">
        <f>+IF(AND(K244=0,L244&gt;0),L244*($D$210/12),K281)</f>
        <v/>
      </c>
      <c r="M281" s="1091">
        <f>+IF(AND(L244=0,M244&gt;0),M244*($D$210/12),L281)</f>
        <v/>
      </c>
      <c r="N281" s="1091">
        <f>+IF(AND(M244=0,N244&gt;0),N244*($D$210/12),M281)</f>
        <v/>
      </c>
      <c r="O281" s="1091">
        <f>+IF(AND(N244=0,O244&gt;0),O244*($D$210/12),N281)</f>
        <v/>
      </c>
      <c r="P281" s="1091">
        <f>+IF(AND(O244=0,P244&gt;0),P244*($D$210/12),O281)</f>
        <v/>
      </c>
      <c r="Q281" s="1091">
        <f>+IF(AND(P244=0,Q244&gt;0),Q244*($D$210/12),P281)</f>
        <v/>
      </c>
      <c r="R281" s="174">
        <f>+IF(AND(Q244=0,R244&gt;0),R244*($D$210/12),Q281)</f>
        <v/>
      </c>
      <c r="S281" s="1091">
        <f>+IF(AND(R244=0,S244&gt;0),S244*($D$210/12),R281)</f>
        <v/>
      </c>
      <c r="T281" s="1091">
        <f>+IF(AND(S244=0,T244&gt;0),T244*($D$210/12),S281)</f>
        <v/>
      </c>
      <c r="U281" s="1091">
        <f>+IF(AND(T244=0,U244&gt;0),U244*($D$210/12),T281)</f>
        <v/>
      </c>
      <c r="V281" s="1091">
        <f>+IF(AND(U244=0,V244&gt;0),V244*($D$210/12),U281)</f>
        <v/>
      </c>
      <c r="W281" s="1091">
        <f>+IF(AND(V244=0,W244&gt;0),W244*($D$210/12),V281)</f>
        <v/>
      </c>
      <c r="X281" s="174">
        <f>+IF(AND(W244=0,X244&gt;0),X244*($D$210/12),W281)</f>
        <v/>
      </c>
      <c r="Y281" s="1091">
        <f>+IF(AND(X244=0,Y244&gt;0),Y244*($D$210/12),X281)</f>
        <v/>
      </c>
      <c r="Z281" s="1091">
        <f>+IF(AND(Y244=0,Z244&gt;0),Z244*($D$210/12),Y281)</f>
        <v/>
      </c>
      <c r="AA281" s="1091">
        <f>+IF(AND(Z244=0,AA244&gt;0),AA244*($D$210/12),Z281)</f>
        <v/>
      </c>
      <c r="AB281" s="1091">
        <f>+IF(AND(AA244=0,AB244&gt;0),AB244*($D$210/12),AA281)</f>
        <v/>
      </c>
      <c r="AC281" s="1091">
        <f>+IF(AND(AB244=0,AC244&gt;0),AC244*($D$210/12),AB281)</f>
        <v/>
      </c>
      <c r="AD281" s="174">
        <f>+IF(AND(AC244=0,AD244&gt;0),AD244*($D$210/12),AC281)</f>
        <v/>
      </c>
      <c r="AE281" s="1091">
        <f>+IF(AND(AD244=0,AE244&gt;0),AE244*($D$210/12),AD281)</f>
        <v/>
      </c>
      <c r="AF281" s="1091">
        <f>+IF(AND(AE244=0,AF244&gt;0),AF244*($D$210/12),AE281)</f>
        <v/>
      </c>
      <c r="AG281" s="1091">
        <f>+IF(AND(AF244=0,AG244&gt;0),AG244*($D$210/12),AF281)</f>
        <v/>
      </c>
      <c r="AH281" s="1091">
        <f>+IF(AND(AG244=0,AH244&gt;0),AH244*($D$210/12),AG281)</f>
        <v/>
      </c>
      <c r="AI281" s="1091">
        <f>+IF(AND(AH244=0,AI244&gt;0),AI244*($D$210/12),AH281)</f>
        <v/>
      </c>
      <c r="AJ281" s="174">
        <f>+IF(AND(AI244=0,AJ244&gt;0),AJ244*($D$210/12),AI281)</f>
        <v/>
      </c>
      <c r="AK281" s="1091">
        <f>+IF(AND(AJ244=0,AK244&gt;0),AK244*($D$210/12),AJ281)</f>
        <v/>
      </c>
      <c r="AL281" s="1091">
        <f>+IF(AND(AK244=0,AL244&gt;0),AL244*($D$210/12),AK281)</f>
        <v/>
      </c>
      <c r="AM281" s="1091">
        <f>+IF(AND(AL244=0,AM244&gt;0),AM244*($D$210/12),AL281)</f>
        <v/>
      </c>
      <c r="AN281" s="1091">
        <f>+IF(AND(AM244=0,AN244&gt;0),AN244*($D$210/12),AM281)</f>
        <v/>
      </c>
      <c r="AO281" s="1091">
        <f>+IF(AND(AN244=0,AO244&gt;0),AO244*($D$210/12),AN281)</f>
        <v/>
      </c>
      <c r="AP281" s="174">
        <f>+IF(AND(AO244=0,AP244&gt;0),AP244*($D$210/12),AO281)</f>
        <v/>
      </c>
      <c r="AQ281" s="1091">
        <f>+IF(AND(AP244=0,AQ244&gt;0),AQ244*($D$210/12),AP281)</f>
        <v/>
      </c>
      <c r="AR281" s="1091">
        <f>+IF(AND(AQ244=0,AR244&gt;0),AR244*($D$210/12),AQ281)</f>
        <v/>
      </c>
      <c r="AS281" s="1091">
        <f>+IF(AND(AR244=0,AS244&gt;0),AS244*($D$210/12),AR281)</f>
        <v/>
      </c>
      <c r="AT281" s="1091">
        <f>+IF(AND(AS244=0,AT244&gt;0),AT244*($D$210/12),AS281)</f>
        <v/>
      </c>
      <c r="AU281" s="1091">
        <f>+IF(AND(AT244=0,AU244&gt;0),AU244*($D$210/12),AT281)</f>
        <v/>
      </c>
      <c r="AV281" s="174">
        <f>+IF(AND(AU244=0,AV244&gt;0),AV244*($D$210/12),AU281)</f>
        <v/>
      </c>
      <c r="AW281" s="1091">
        <f>+IF(AND(AV244=0,AW244&gt;0),AW244*($D$210/12),AV281)</f>
        <v/>
      </c>
      <c r="AX281" s="1091">
        <f>+IF(AND(AW244=0,AX244&gt;0),AX244*($D$210/12),AW281)</f>
        <v/>
      </c>
      <c r="AY281" s="1091">
        <f>+IF(AND(AX244=0,AY244&gt;0),AY244*($D$210/12),AX281)</f>
        <v/>
      </c>
      <c r="AZ281" s="1091">
        <f>+IF(AND(AY244=0,AZ244&gt;0),AZ244*($D$210/12),AY281)</f>
        <v/>
      </c>
      <c r="BA281" s="1091">
        <f>+IF(AND(AZ244=0,BA244&gt;0),BA244*($D$210/12),AZ281)</f>
        <v/>
      </c>
      <c r="BB281" s="174">
        <f>+IF(AND(BA244=0,BB244&gt;0),BB244*($D$210/12),BA281)</f>
        <v/>
      </c>
      <c r="BC281" s="1091">
        <f>+IF(AND(BB244=0,BC244&gt;0),BC244*($D$210/12),BB281)</f>
        <v/>
      </c>
      <c r="BD281" s="1091">
        <f>+IF(AND(BC244=0,BD244&gt;0),BD244*($D$210/12),BC281)</f>
        <v/>
      </c>
      <c r="BE281" s="1091">
        <f>+IF(AND(BD244=0,BE244&gt;0),BE244*($D$210/12),BD281)</f>
        <v/>
      </c>
      <c r="BF281" s="1091">
        <f>+IF(AND(BE244=0,BF244&gt;0),BF244*($D$210/12),BE281)</f>
        <v/>
      </c>
      <c r="BG281" s="1091">
        <f>+IF(AND(BF244=0,BG244&gt;0),BG244*($D$210/12),BF281)</f>
        <v/>
      </c>
      <c r="BH281" s="174">
        <f>+IF(AND(BG244=0,BH244&gt;0),BH244*($D$210/12),BG281)</f>
        <v/>
      </c>
      <c r="BI281" s="1091">
        <f>+IF(AND(BH244=0,BI244&gt;0),BI244*($D$210/12),BH281)</f>
        <v/>
      </c>
      <c r="BJ281" s="1091">
        <f>+IF(AND(BI244=0,BJ244&gt;0),BJ244*($D$210/12),BI281)</f>
        <v/>
      </c>
      <c r="BK281" s="1091">
        <f>+IF(AND(BJ244=0,BK244&gt;0),BK244*($D$210/12),BJ281)</f>
        <v/>
      </c>
      <c r="BL281" s="1091">
        <f>+IF(AND(BK244=0,BL244&gt;0),BL244*($D$210/12),BK281)</f>
        <v/>
      </c>
      <c r="BM281" s="1091">
        <f>+IF(AND(BL244=0,BM244&gt;0),BM244*($D$210/12),BL281)</f>
        <v/>
      </c>
      <c r="BN281" s="174">
        <f>+IF(AND(BM244=0,BN244&gt;0),BN244*($D$210/12),BM281)</f>
        <v/>
      </c>
    </row>
    <row r="282" ht="12.75" customHeight="1" s="1883">
      <c r="C282" s="1157" t="inlineStr">
        <is>
          <t>Amortization Expense - 22</t>
        </is>
      </c>
      <c r="D282" s="670" t="n"/>
      <c r="E282" s="671" t="n"/>
      <c r="F282" s="74" t="n"/>
      <c r="G282" s="1091">
        <f>+IF(AND(F245=0,G245&gt;0),G245*($D$210/12),F282)</f>
        <v/>
      </c>
      <c r="H282" s="1091">
        <f>+IF(AND(G245=0,H245&gt;0),H245*($D$210/12),G282)</f>
        <v/>
      </c>
      <c r="I282" s="1091">
        <f>+IF(AND(H245=0,I245&gt;0),I245*($D$210/12),H282)</f>
        <v/>
      </c>
      <c r="J282" s="1091">
        <f>+IF(AND(I245=0,J245&gt;0),J245*($D$210/12),I282)</f>
        <v/>
      </c>
      <c r="K282" s="1091">
        <f>+IF(AND(J245=0,K245&gt;0),K245*($D$210/12),J282)</f>
        <v/>
      </c>
      <c r="L282" s="174">
        <f>+IF(AND(K245=0,L245&gt;0),L245*($D$210/12),K282)</f>
        <v/>
      </c>
      <c r="M282" s="1091">
        <f>+IF(AND(L245=0,M245&gt;0),M245*($D$210/12),L282)</f>
        <v/>
      </c>
      <c r="N282" s="1091">
        <f>+IF(AND(M245=0,N245&gt;0),N245*($D$210/12),M282)</f>
        <v/>
      </c>
      <c r="O282" s="1091">
        <f>+IF(AND(N245=0,O245&gt;0),O245*($D$210/12),N282)</f>
        <v/>
      </c>
      <c r="P282" s="1091">
        <f>+IF(AND(O245=0,P245&gt;0),P245*($D$210/12),O282)</f>
        <v/>
      </c>
      <c r="Q282" s="1091">
        <f>+IF(AND(P245=0,Q245&gt;0),Q245*($D$210/12),P282)</f>
        <v/>
      </c>
      <c r="R282" s="174">
        <f>+IF(AND(Q245=0,R245&gt;0),R245*($D$210/12),Q282)</f>
        <v/>
      </c>
      <c r="S282" s="1091">
        <f>+IF(AND(R245=0,S245&gt;0),S245*($D$210/12),R282)</f>
        <v/>
      </c>
      <c r="T282" s="1091">
        <f>+IF(AND(S245=0,T245&gt;0),T245*($D$210/12),S282)</f>
        <v/>
      </c>
      <c r="U282" s="1091">
        <f>+IF(AND(T245=0,U245&gt;0),U245*($D$210/12),T282)</f>
        <v/>
      </c>
      <c r="V282" s="1091">
        <f>+IF(AND(U245=0,V245&gt;0),V245*($D$210/12),U282)</f>
        <v/>
      </c>
      <c r="W282" s="1091">
        <f>+IF(AND(V245=0,W245&gt;0),W245*($D$210/12),V282)</f>
        <v/>
      </c>
      <c r="X282" s="174">
        <f>+IF(AND(W245=0,X245&gt;0),X245*($D$210/12),W282)</f>
        <v/>
      </c>
      <c r="Y282" s="1091">
        <f>+IF(AND(X245=0,Y245&gt;0),Y245*($D$210/12),X282)</f>
        <v/>
      </c>
      <c r="Z282" s="1091">
        <f>+IF(AND(Y245=0,Z245&gt;0),Z245*($D$210/12),Y282)</f>
        <v/>
      </c>
      <c r="AA282" s="1091">
        <f>+IF(AND(Z245=0,AA245&gt;0),AA245*($D$210/12),Z282)</f>
        <v/>
      </c>
      <c r="AB282" s="1091">
        <f>+IF(AND(AA245=0,AB245&gt;0),AB245*($D$210/12),AA282)</f>
        <v/>
      </c>
      <c r="AC282" s="1091">
        <f>+IF(AND(AB245=0,AC245&gt;0),AC245*($D$210/12),AB282)</f>
        <v/>
      </c>
      <c r="AD282" s="174">
        <f>+IF(AND(AC245=0,AD245&gt;0),AD245*($D$210/12),AC282)</f>
        <v/>
      </c>
      <c r="AE282" s="1091">
        <f>+IF(AND(AD245=0,AE245&gt;0),AE245*($D$210/12),AD282)</f>
        <v/>
      </c>
      <c r="AF282" s="1091">
        <f>+IF(AND(AE245=0,AF245&gt;0),AF245*($D$210/12),AE282)</f>
        <v/>
      </c>
      <c r="AG282" s="1091">
        <f>+IF(AND(AF245=0,AG245&gt;0),AG245*($D$210/12),AF282)</f>
        <v/>
      </c>
      <c r="AH282" s="1091">
        <f>+IF(AND(AG245=0,AH245&gt;0),AH245*($D$210/12),AG282)</f>
        <v/>
      </c>
      <c r="AI282" s="1091">
        <f>+IF(AND(AH245=0,AI245&gt;0),AI245*($D$210/12),AH282)</f>
        <v/>
      </c>
      <c r="AJ282" s="174">
        <f>+IF(AND(AI245=0,AJ245&gt;0),AJ245*($D$210/12),AI282)</f>
        <v/>
      </c>
      <c r="AK282" s="1091">
        <f>+IF(AND(AJ245=0,AK245&gt;0),AK245*($D$210/12),AJ282)</f>
        <v/>
      </c>
      <c r="AL282" s="1091">
        <f>+IF(AND(AK245=0,AL245&gt;0),AL245*($D$210/12),AK282)</f>
        <v/>
      </c>
      <c r="AM282" s="1091">
        <f>+IF(AND(AL245=0,AM245&gt;0),AM245*($D$210/12),AL282)</f>
        <v/>
      </c>
      <c r="AN282" s="1091">
        <f>+IF(AND(AM245=0,AN245&gt;0),AN245*($D$210/12),AM282)</f>
        <v/>
      </c>
      <c r="AO282" s="1091">
        <f>+IF(AND(AN245=0,AO245&gt;0),AO245*($D$210/12),AN282)</f>
        <v/>
      </c>
      <c r="AP282" s="174">
        <f>+IF(AND(AO245=0,AP245&gt;0),AP245*($D$210/12),AO282)</f>
        <v/>
      </c>
      <c r="AQ282" s="1091">
        <f>+IF(AND(AP245=0,AQ245&gt;0),AQ245*($D$210/12),AP282)</f>
        <v/>
      </c>
      <c r="AR282" s="1091">
        <f>+IF(AND(AQ245=0,AR245&gt;0),AR245*($D$210/12),AQ282)</f>
        <v/>
      </c>
      <c r="AS282" s="1091">
        <f>+IF(AND(AR245=0,AS245&gt;0),AS245*($D$210/12),AR282)</f>
        <v/>
      </c>
      <c r="AT282" s="1091">
        <f>+IF(AND(AS245=0,AT245&gt;0),AT245*($D$210/12),AS282)</f>
        <v/>
      </c>
      <c r="AU282" s="1091">
        <f>+IF(AND(AT245=0,AU245&gt;0),AU245*($D$210/12),AT282)</f>
        <v/>
      </c>
      <c r="AV282" s="174">
        <f>+IF(AND(AU245=0,AV245&gt;0),AV245*($D$210/12),AU282)</f>
        <v/>
      </c>
      <c r="AW282" s="1091">
        <f>+IF(AND(AV245=0,AW245&gt;0),AW245*($D$210/12),AV282)</f>
        <v/>
      </c>
      <c r="AX282" s="1091">
        <f>+IF(AND(AW245=0,AX245&gt;0),AX245*($D$210/12),AW282)</f>
        <v/>
      </c>
      <c r="AY282" s="1091">
        <f>+IF(AND(AX245=0,AY245&gt;0),AY245*($D$210/12),AX282)</f>
        <v/>
      </c>
      <c r="AZ282" s="1091">
        <f>+IF(AND(AY245=0,AZ245&gt;0),AZ245*($D$210/12),AY282)</f>
        <v/>
      </c>
      <c r="BA282" s="1091">
        <f>+IF(AND(AZ245=0,BA245&gt;0),BA245*($D$210/12),AZ282)</f>
        <v/>
      </c>
      <c r="BB282" s="174">
        <f>+IF(AND(BA245=0,BB245&gt;0),BB245*($D$210/12),BA282)</f>
        <v/>
      </c>
      <c r="BC282" s="1091">
        <f>+IF(AND(BB245=0,BC245&gt;0),BC245*($D$210/12),BB282)</f>
        <v/>
      </c>
      <c r="BD282" s="1091">
        <f>+IF(AND(BC245=0,BD245&gt;0),BD245*($D$210/12),BC282)</f>
        <v/>
      </c>
      <c r="BE282" s="1091">
        <f>+IF(AND(BD245=0,BE245&gt;0),BE245*($D$210/12),BD282)</f>
        <v/>
      </c>
      <c r="BF282" s="1091">
        <f>+IF(AND(BE245=0,BF245&gt;0),BF245*($D$210/12),BE282)</f>
        <v/>
      </c>
      <c r="BG282" s="1091">
        <f>+IF(AND(BF245=0,BG245&gt;0),BG245*($D$210/12),BF282)</f>
        <v/>
      </c>
      <c r="BH282" s="174">
        <f>+IF(AND(BG245=0,BH245&gt;0),BH245*($D$210/12),BG282)</f>
        <v/>
      </c>
      <c r="BI282" s="1091">
        <f>+IF(AND(BH245=0,BI245&gt;0),BI245*($D$210/12),BH282)</f>
        <v/>
      </c>
      <c r="BJ282" s="1091">
        <f>+IF(AND(BI245=0,BJ245&gt;0),BJ245*($D$210/12),BI282)</f>
        <v/>
      </c>
      <c r="BK282" s="1091">
        <f>+IF(AND(BJ245=0,BK245&gt;0),BK245*($D$210/12),BJ282)</f>
        <v/>
      </c>
      <c r="BL282" s="1091">
        <f>+IF(AND(BK245=0,BL245&gt;0),BL245*($D$210/12),BK282)</f>
        <v/>
      </c>
      <c r="BM282" s="1091">
        <f>+IF(AND(BL245=0,BM245&gt;0),BM245*($D$210/12),BL282)</f>
        <v/>
      </c>
      <c r="BN282" s="174">
        <f>+IF(AND(BM245=0,BN245&gt;0),BN245*($D$210/12),BM282)</f>
        <v/>
      </c>
    </row>
    <row r="283" ht="12.75" customHeight="1" s="1883">
      <c r="C283" s="1157" t="inlineStr">
        <is>
          <t>Amortization Expense - 23</t>
        </is>
      </c>
      <c r="D283" s="670" t="n"/>
      <c r="E283" s="671" t="n"/>
      <c r="F283" s="74" t="n"/>
      <c r="G283" s="1091">
        <f>+IF(AND(F246=0,G246&gt;0),G246*($D$210/12),F283)</f>
        <v/>
      </c>
      <c r="H283" s="1091">
        <f>+IF(AND(G246=0,H246&gt;0),H246*($D$210/12),G283)</f>
        <v/>
      </c>
      <c r="I283" s="1091">
        <f>+IF(AND(H246=0,I246&gt;0),I246*($D$210/12),H283)</f>
        <v/>
      </c>
      <c r="J283" s="1091">
        <f>+IF(AND(I246=0,J246&gt;0),J246*($D$210/12),I283)</f>
        <v/>
      </c>
      <c r="K283" s="1091">
        <f>+IF(AND(J246=0,K246&gt;0),K246*($D$210/12),J283)</f>
        <v/>
      </c>
      <c r="L283" s="174">
        <f>+IF(AND(K246=0,L246&gt;0),L246*($D$210/12),K283)</f>
        <v/>
      </c>
      <c r="M283" s="1091">
        <f>+IF(AND(L246=0,M246&gt;0),M246*($D$210/12),L283)</f>
        <v/>
      </c>
      <c r="N283" s="1091">
        <f>+IF(AND(M246=0,N246&gt;0),N246*($D$210/12),M283)</f>
        <v/>
      </c>
      <c r="O283" s="1091">
        <f>+IF(AND(N246=0,O246&gt;0),O246*($D$210/12),N283)</f>
        <v/>
      </c>
      <c r="P283" s="1091">
        <f>+IF(AND(O246=0,P246&gt;0),P246*($D$210/12),O283)</f>
        <v/>
      </c>
      <c r="Q283" s="1091">
        <f>+IF(AND(P246=0,Q246&gt;0),Q246*($D$210/12),P283)</f>
        <v/>
      </c>
      <c r="R283" s="174">
        <f>+IF(AND(Q246=0,R246&gt;0),R246*($D$210/12),Q283)</f>
        <v/>
      </c>
      <c r="S283" s="1091">
        <f>+IF(AND(R246=0,S246&gt;0),S246*($D$210/12),R283)</f>
        <v/>
      </c>
      <c r="T283" s="1091">
        <f>+IF(AND(S246=0,T246&gt;0),T246*($D$210/12),S283)</f>
        <v/>
      </c>
      <c r="U283" s="1091">
        <f>+IF(AND(T246=0,U246&gt;0),U246*($D$210/12),T283)</f>
        <v/>
      </c>
      <c r="V283" s="1091">
        <f>+IF(AND(U246=0,V246&gt;0),V246*($D$210/12),U283)</f>
        <v/>
      </c>
      <c r="W283" s="1091">
        <f>+IF(AND(V246=0,W246&gt;0),W246*($D$210/12),V283)</f>
        <v/>
      </c>
      <c r="X283" s="174">
        <f>+IF(AND(W246=0,X246&gt;0),X246*($D$210/12),W283)</f>
        <v/>
      </c>
      <c r="Y283" s="1091">
        <f>+IF(AND(X246=0,Y246&gt;0),Y246*($D$210/12),X283)</f>
        <v/>
      </c>
      <c r="Z283" s="1091">
        <f>+IF(AND(Y246=0,Z246&gt;0),Z246*($D$210/12),Y283)</f>
        <v/>
      </c>
      <c r="AA283" s="1091">
        <f>+IF(AND(Z246=0,AA246&gt;0),AA246*($D$210/12),Z283)</f>
        <v/>
      </c>
      <c r="AB283" s="1091">
        <f>+IF(AND(AA246=0,AB246&gt;0),AB246*($D$210/12),AA283)</f>
        <v/>
      </c>
      <c r="AC283" s="1091">
        <f>+IF(AND(AB246=0,AC246&gt;0),AC246*($D$210/12),AB283)</f>
        <v/>
      </c>
      <c r="AD283" s="174">
        <f>+IF(AND(AC246=0,AD246&gt;0),AD246*($D$210/12),AC283)</f>
        <v/>
      </c>
      <c r="AE283" s="1091">
        <f>+IF(AND(AD246=0,AE246&gt;0),AE246*($D$210/12),AD283)</f>
        <v/>
      </c>
      <c r="AF283" s="1091">
        <f>+IF(AND(AE246=0,AF246&gt;0),AF246*($D$210/12),AE283)</f>
        <v/>
      </c>
      <c r="AG283" s="1091">
        <f>+IF(AND(AF246=0,AG246&gt;0),AG246*($D$210/12),AF283)</f>
        <v/>
      </c>
      <c r="AH283" s="1091">
        <f>+IF(AND(AG246=0,AH246&gt;0),AH246*($D$210/12),AG283)</f>
        <v/>
      </c>
      <c r="AI283" s="1091">
        <f>+IF(AND(AH246=0,AI246&gt;0),AI246*($D$210/12),AH283)</f>
        <v/>
      </c>
      <c r="AJ283" s="174">
        <f>+IF(AND(AI246=0,AJ246&gt;0),AJ246*($D$210/12),AI283)</f>
        <v/>
      </c>
      <c r="AK283" s="1091">
        <f>+IF(AND(AJ246=0,AK246&gt;0),AK246*($D$210/12),AJ283)</f>
        <v/>
      </c>
      <c r="AL283" s="1091">
        <f>+IF(AND(AK246=0,AL246&gt;0),AL246*($D$210/12),AK283)</f>
        <v/>
      </c>
      <c r="AM283" s="1091">
        <f>+IF(AND(AL246=0,AM246&gt;0),AM246*($D$210/12),AL283)</f>
        <v/>
      </c>
      <c r="AN283" s="1091">
        <f>+IF(AND(AM246=0,AN246&gt;0),AN246*($D$210/12),AM283)</f>
        <v/>
      </c>
      <c r="AO283" s="1091">
        <f>+IF(AND(AN246=0,AO246&gt;0),AO246*($D$210/12),AN283)</f>
        <v/>
      </c>
      <c r="AP283" s="174">
        <f>+IF(AND(AO246=0,AP246&gt;0),AP246*($D$210/12),AO283)</f>
        <v/>
      </c>
      <c r="AQ283" s="1091">
        <f>+IF(AND(AP246=0,AQ246&gt;0),AQ246*($D$210/12),AP283)</f>
        <v/>
      </c>
      <c r="AR283" s="1091">
        <f>+IF(AND(AQ246=0,AR246&gt;0),AR246*($D$210/12),AQ283)</f>
        <v/>
      </c>
      <c r="AS283" s="1091">
        <f>+IF(AND(AR246=0,AS246&gt;0),AS246*($D$210/12),AR283)</f>
        <v/>
      </c>
      <c r="AT283" s="1091">
        <f>+IF(AND(AS246=0,AT246&gt;0),AT246*($D$210/12),AS283)</f>
        <v/>
      </c>
      <c r="AU283" s="1091">
        <f>+IF(AND(AT246=0,AU246&gt;0),AU246*($D$210/12),AT283)</f>
        <v/>
      </c>
      <c r="AV283" s="174">
        <f>+IF(AND(AU246=0,AV246&gt;0),AV246*($D$210/12),AU283)</f>
        <v/>
      </c>
      <c r="AW283" s="1091">
        <f>+IF(AND(AV246=0,AW246&gt;0),AW246*($D$210/12),AV283)</f>
        <v/>
      </c>
      <c r="AX283" s="1091">
        <f>+IF(AND(AW246=0,AX246&gt;0),AX246*($D$210/12),AW283)</f>
        <v/>
      </c>
      <c r="AY283" s="1091">
        <f>+IF(AND(AX246=0,AY246&gt;0),AY246*($D$210/12),AX283)</f>
        <v/>
      </c>
      <c r="AZ283" s="1091">
        <f>+IF(AND(AY246=0,AZ246&gt;0),AZ246*($D$210/12),AY283)</f>
        <v/>
      </c>
      <c r="BA283" s="1091">
        <f>+IF(AND(AZ246=0,BA246&gt;0),BA246*($D$210/12),AZ283)</f>
        <v/>
      </c>
      <c r="BB283" s="174">
        <f>+IF(AND(BA246=0,BB246&gt;0),BB246*($D$210/12),BA283)</f>
        <v/>
      </c>
      <c r="BC283" s="1091">
        <f>+IF(AND(BB246=0,BC246&gt;0),BC246*($D$210/12),BB283)</f>
        <v/>
      </c>
      <c r="BD283" s="1091">
        <f>+IF(AND(BC246=0,BD246&gt;0),BD246*($D$210/12),BC283)</f>
        <v/>
      </c>
      <c r="BE283" s="1091">
        <f>+IF(AND(BD246=0,BE246&gt;0),BE246*($D$210/12),BD283)</f>
        <v/>
      </c>
      <c r="BF283" s="1091">
        <f>+IF(AND(BE246=0,BF246&gt;0),BF246*($D$210/12),BE283)</f>
        <v/>
      </c>
      <c r="BG283" s="1091">
        <f>+IF(AND(BF246=0,BG246&gt;0),BG246*($D$210/12),BF283)</f>
        <v/>
      </c>
      <c r="BH283" s="174">
        <f>+IF(AND(BG246=0,BH246&gt;0),BH246*($D$210/12),BG283)</f>
        <v/>
      </c>
      <c r="BI283" s="1091">
        <f>+IF(AND(BH246=0,BI246&gt;0),BI246*($D$210/12),BH283)</f>
        <v/>
      </c>
      <c r="BJ283" s="1091">
        <f>+IF(AND(BI246=0,BJ246&gt;0),BJ246*($D$210/12),BI283)</f>
        <v/>
      </c>
      <c r="BK283" s="1091">
        <f>+IF(AND(BJ246=0,BK246&gt;0),BK246*($D$210/12),BJ283)</f>
        <v/>
      </c>
      <c r="BL283" s="1091">
        <f>+IF(AND(BK246=0,BL246&gt;0),BL246*($D$210/12),BK283)</f>
        <v/>
      </c>
      <c r="BM283" s="1091">
        <f>+IF(AND(BL246=0,BM246&gt;0),BM246*($D$210/12),BL283)</f>
        <v/>
      </c>
      <c r="BN283" s="174">
        <f>+IF(AND(BM246=0,BN246&gt;0),BN246*($D$210/12),BM283)</f>
        <v/>
      </c>
    </row>
    <row r="284" ht="12.75" customHeight="1" s="1883">
      <c r="C284" s="1157" t="inlineStr">
        <is>
          <t>Amortization Expense - 24</t>
        </is>
      </c>
      <c r="D284" s="670" t="n"/>
      <c r="E284" s="671" t="n"/>
      <c r="F284" s="74" t="n"/>
      <c r="G284" s="1091">
        <f>+IF(AND(F247=0,G247&gt;0),G247*($D$210/12),F284)</f>
        <v/>
      </c>
      <c r="H284" s="1091">
        <f>+IF(AND(G247=0,H247&gt;0),H247*($D$210/12),G284)</f>
        <v/>
      </c>
      <c r="I284" s="1091">
        <f>+IF(AND(H247=0,I247&gt;0),I247*($D$210/12),H284)</f>
        <v/>
      </c>
      <c r="J284" s="1091">
        <f>+IF(AND(I247=0,J247&gt;0),J247*($D$210/12),I284)</f>
        <v/>
      </c>
      <c r="K284" s="1091">
        <f>+IF(AND(J247=0,K247&gt;0),K247*($D$210/12),J284)</f>
        <v/>
      </c>
      <c r="L284" s="174">
        <f>+IF(AND(K247=0,L247&gt;0),L247*($D$210/12),K284)</f>
        <v/>
      </c>
      <c r="M284" s="1091">
        <f>+IF(AND(L247=0,M247&gt;0),M247*($D$210/12),L284)</f>
        <v/>
      </c>
      <c r="N284" s="1091">
        <f>+IF(AND(M247=0,N247&gt;0),N247*($D$210/12),M284)</f>
        <v/>
      </c>
      <c r="O284" s="1091">
        <f>+IF(AND(N247=0,O247&gt;0),O247*($D$210/12),N284)</f>
        <v/>
      </c>
      <c r="P284" s="1091">
        <f>+IF(AND(O247=0,P247&gt;0),P247*($D$210/12),O284)</f>
        <v/>
      </c>
      <c r="Q284" s="1091">
        <f>+IF(AND(P247=0,Q247&gt;0),Q247*($D$210/12),P284)</f>
        <v/>
      </c>
      <c r="R284" s="174">
        <f>+IF(AND(Q247=0,R247&gt;0),R247*($D$210/12),Q284)</f>
        <v/>
      </c>
      <c r="S284" s="1091">
        <f>+IF(AND(R247=0,S247&gt;0),S247*($D$210/12),R284)</f>
        <v/>
      </c>
      <c r="T284" s="1091">
        <f>+IF(AND(S247=0,T247&gt;0),T247*($D$210/12),S284)</f>
        <v/>
      </c>
      <c r="U284" s="1091">
        <f>+IF(AND(T247=0,U247&gt;0),U247*($D$210/12),T284)</f>
        <v/>
      </c>
      <c r="V284" s="1091">
        <f>+IF(AND(U247=0,V247&gt;0),V247*($D$210/12),U284)</f>
        <v/>
      </c>
      <c r="W284" s="1091">
        <f>+IF(AND(V247=0,W247&gt;0),W247*($D$210/12),V284)</f>
        <v/>
      </c>
      <c r="X284" s="174">
        <f>+IF(AND(W247=0,X247&gt;0),X247*($D$210/12),W284)</f>
        <v/>
      </c>
      <c r="Y284" s="1091">
        <f>+IF(AND(X247=0,Y247&gt;0),Y247*($D$210/12),X284)</f>
        <v/>
      </c>
      <c r="Z284" s="1091">
        <f>+IF(AND(Y247=0,Z247&gt;0),Z247*($D$210/12),Y284)</f>
        <v/>
      </c>
      <c r="AA284" s="1091">
        <f>+IF(AND(Z247=0,AA247&gt;0),AA247*($D$210/12),Z284)</f>
        <v/>
      </c>
      <c r="AB284" s="1091">
        <f>+IF(AND(AA247=0,AB247&gt;0),AB247*($D$210/12),AA284)</f>
        <v/>
      </c>
      <c r="AC284" s="1091">
        <f>+IF(AND(AB247=0,AC247&gt;0),AC247*($D$210/12),AB284)</f>
        <v/>
      </c>
      <c r="AD284" s="174">
        <f>+IF(AND(AC247=0,AD247&gt;0),AD247*($D$210/12),AC284)</f>
        <v/>
      </c>
      <c r="AE284" s="1091">
        <f>+IF(AND(AD247=0,AE247&gt;0),AE247*($D$210/12),AD284)</f>
        <v/>
      </c>
      <c r="AF284" s="1091">
        <f>+IF(AND(AE247=0,AF247&gt;0),AF247*($D$210/12),AE284)</f>
        <v/>
      </c>
      <c r="AG284" s="1091">
        <f>+IF(AND(AF247=0,AG247&gt;0),AG247*($D$210/12),AF284)</f>
        <v/>
      </c>
      <c r="AH284" s="1091">
        <f>+IF(AND(AG247=0,AH247&gt;0),AH247*($D$210/12),AG284)</f>
        <v/>
      </c>
      <c r="AI284" s="1091">
        <f>+IF(AND(AH247=0,AI247&gt;0),AI247*($D$210/12),AH284)</f>
        <v/>
      </c>
      <c r="AJ284" s="174">
        <f>+IF(AND(AI247=0,AJ247&gt;0),AJ247*($D$210/12),AI284)</f>
        <v/>
      </c>
      <c r="AK284" s="1091">
        <f>+IF(AND(AJ247=0,AK247&gt;0),AK247*($D$210/12),AJ284)</f>
        <v/>
      </c>
      <c r="AL284" s="1091">
        <f>+IF(AND(AK247=0,AL247&gt;0),AL247*($D$210/12),AK284)</f>
        <v/>
      </c>
      <c r="AM284" s="1091">
        <f>+IF(AND(AL247=0,AM247&gt;0),AM247*($D$210/12),AL284)</f>
        <v/>
      </c>
      <c r="AN284" s="1091">
        <f>+IF(AND(AM247=0,AN247&gt;0),AN247*($D$210/12),AM284)</f>
        <v/>
      </c>
      <c r="AO284" s="1091">
        <f>+IF(AND(AN247=0,AO247&gt;0),AO247*($D$210/12),AN284)</f>
        <v/>
      </c>
      <c r="AP284" s="174">
        <f>+IF(AND(AO247=0,AP247&gt;0),AP247*($D$210/12),AO284)</f>
        <v/>
      </c>
      <c r="AQ284" s="1091">
        <f>+IF(AND(AP247=0,AQ247&gt;0),AQ247*($D$210/12),AP284)</f>
        <v/>
      </c>
      <c r="AR284" s="1091">
        <f>+IF(AND(AQ247=0,AR247&gt;0),AR247*($D$210/12),AQ284)</f>
        <v/>
      </c>
      <c r="AS284" s="1091">
        <f>+IF(AND(AR247=0,AS247&gt;0),AS247*($D$210/12),AR284)</f>
        <v/>
      </c>
      <c r="AT284" s="1091">
        <f>+IF(AND(AS247=0,AT247&gt;0),AT247*($D$210/12),AS284)</f>
        <v/>
      </c>
      <c r="AU284" s="1091">
        <f>+IF(AND(AT247=0,AU247&gt;0),AU247*($D$210/12),AT284)</f>
        <v/>
      </c>
      <c r="AV284" s="174">
        <f>+IF(AND(AU247=0,AV247&gt;0),AV247*($D$210/12),AU284)</f>
        <v/>
      </c>
      <c r="AW284" s="1091">
        <f>+IF(AND(AV247=0,AW247&gt;0),AW247*($D$210/12),AV284)</f>
        <v/>
      </c>
      <c r="AX284" s="1091">
        <f>+IF(AND(AW247=0,AX247&gt;0),AX247*($D$210/12),AW284)</f>
        <v/>
      </c>
      <c r="AY284" s="1091">
        <f>+IF(AND(AX247=0,AY247&gt;0),AY247*($D$210/12),AX284)</f>
        <v/>
      </c>
      <c r="AZ284" s="1091">
        <f>+IF(AND(AY247=0,AZ247&gt;0),AZ247*($D$210/12),AY284)</f>
        <v/>
      </c>
      <c r="BA284" s="1091">
        <f>+IF(AND(AZ247=0,BA247&gt;0),BA247*($D$210/12),AZ284)</f>
        <v/>
      </c>
      <c r="BB284" s="174">
        <f>+IF(AND(BA247=0,BB247&gt;0),BB247*($D$210/12),BA284)</f>
        <v/>
      </c>
      <c r="BC284" s="1091">
        <f>+IF(AND(BB247=0,BC247&gt;0),BC247*($D$210/12),BB284)</f>
        <v/>
      </c>
      <c r="BD284" s="1091">
        <f>+IF(AND(BC247=0,BD247&gt;0),BD247*($D$210/12),BC284)</f>
        <v/>
      </c>
      <c r="BE284" s="1091">
        <f>+IF(AND(BD247=0,BE247&gt;0),BE247*($D$210/12),BD284)</f>
        <v/>
      </c>
      <c r="BF284" s="1091">
        <f>+IF(AND(BE247=0,BF247&gt;0),BF247*($D$210/12),BE284)</f>
        <v/>
      </c>
      <c r="BG284" s="1091">
        <f>+IF(AND(BF247=0,BG247&gt;0),BG247*($D$210/12),BF284)</f>
        <v/>
      </c>
      <c r="BH284" s="174">
        <f>+IF(AND(BG247=0,BH247&gt;0),BH247*($D$210/12),BG284)</f>
        <v/>
      </c>
      <c r="BI284" s="1091">
        <f>+IF(AND(BH247=0,BI247&gt;0),BI247*($D$210/12),BH284)</f>
        <v/>
      </c>
      <c r="BJ284" s="1091">
        <f>+IF(AND(BI247=0,BJ247&gt;0),BJ247*($D$210/12),BI284)</f>
        <v/>
      </c>
      <c r="BK284" s="1091">
        <f>+IF(AND(BJ247=0,BK247&gt;0),BK247*($D$210/12),BJ284)</f>
        <v/>
      </c>
      <c r="BL284" s="1091">
        <f>+IF(AND(BK247=0,BL247&gt;0),BL247*($D$210/12),BK284)</f>
        <v/>
      </c>
      <c r="BM284" s="1091">
        <f>+IF(AND(BL247=0,BM247&gt;0),BM247*($D$210/12),BL284)</f>
        <v/>
      </c>
      <c r="BN284" s="174">
        <f>+IF(AND(BM247=0,BN247&gt;0),BN247*($D$210/12),BM284)</f>
        <v/>
      </c>
    </row>
    <row r="285" ht="12.75" customHeight="1" s="1883">
      <c r="C285" s="1157" t="inlineStr">
        <is>
          <t>Amortization Expense - 25</t>
        </is>
      </c>
      <c r="D285" s="670" t="n"/>
      <c r="E285" s="671" t="n"/>
      <c r="F285" s="74" t="n"/>
      <c r="G285" s="1091">
        <f>+IF(AND(F248=0,G248&gt;0),G248*($D$210/12),F285)</f>
        <v/>
      </c>
      <c r="H285" s="1091">
        <f>+IF(AND(G248=0,H248&gt;0),H248*($D$210/12),G285)</f>
        <v/>
      </c>
      <c r="I285" s="1091">
        <f>+IF(AND(H248=0,I248&gt;0),I248*($D$210/12),H285)</f>
        <v/>
      </c>
      <c r="J285" s="1091">
        <f>+IF(AND(I248=0,J248&gt;0),J248*($D$210/12),I285)</f>
        <v/>
      </c>
      <c r="K285" s="1091">
        <f>+IF(AND(J248=0,K248&gt;0),K248*($D$210/12),J285)</f>
        <v/>
      </c>
      <c r="L285" s="174">
        <f>+IF(AND(K248=0,L248&gt;0),L248*($D$210/12),K285)</f>
        <v/>
      </c>
      <c r="M285" s="1091">
        <f>+IF(AND(L248=0,M248&gt;0),M248*($D$210/12),L285)</f>
        <v/>
      </c>
      <c r="N285" s="1091">
        <f>+IF(AND(M248=0,N248&gt;0),N248*($D$210/12),M285)</f>
        <v/>
      </c>
      <c r="O285" s="1091">
        <f>+IF(AND(N248=0,O248&gt;0),O248*($D$210/12),N285)</f>
        <v/>
      </c>
      <c r="P285" s="1091">
        <f>+IF(AND(O248=0,P248&gt;0),P248*($D$210/12),O285)</f>
        <v/>
      </c>
      <c r="Q285" s="1091">
        <f>+IF(AND(P248=0,Q248&gt;0),Q248*($D$210/12),P285)</f>
        <v/>
      </c>
      <c r="R285" s="174">
        <f>+IF(AND(Q248=0,R248&gt;0),R248*($D$210/12),Q285)</f>
        <v/>
      </c>
      <c r="S285" s="1091">
        <f>+IF(AND(R248=0,S248&gt;0),S248*($D$210/12),R285)</f>
        <v/>
      </c>
      <c r="T285" s="1091">
        <f>+IF(AND(S248=0,T248&gt;0),T248*($D$210/12),S285)</f>
        <v/>
      </c>
      <c r="U285" s="1091">
        <f>+IF(AND(T248=0,U248&gt;0),U248*($D$210/12),T285)</f>
        <v/>
      </c>
      <c r="V285" s="1091">
        <f>+IF(AND(U248=0,V248&gt;0),V248*($D$210/12),U285)</f>
        <v/>
      </c>
      <c r="W285" s="1091">
        <f>+IF(AND(V248=0,W248&gt;0),W248*($D$210/12),V285)</f>
        <v/>
      </c>
      <c r="X285" s="174">
        <f>+IF(AND(W248=0,X248&gt;0),X248*($D$210/12),W285)</f>
        <v/>
      </c>
      <c r="Y285" s="1091">
        <f>+IF(AND(X248=0,Y248&gt;0),Y248*($D$210/12),X285)</f>
        <v/>
      </c>
      <c r="Z285" s="1091">
        <f>+IF(AND(Y248=0,Z248&gt;0),Z248*($D$210/12),Y285)</f>
        <v/>
      </c>
      <c r="AA285" s="1091">
        <f>+IF(AND(Z248=0,AA248&gt;0),AA248*($D$210/12),Z285)</f>
        <v/>
      </c>
      <c r="AB285" s="1091">
        <f>+IF(AND(AA248=0,AB248&gt;0),AB248*($D$210/12),AA285)</f>
        <v/>
      </c>
      <c r="AC285" s="1091">
        <f>+IF(AND(AB248=0,AC248&gt;0),AC248*($D$210/12),AB285)</f>
        <v/>
      </c>
      <c r="AD285" s="174">
        <f>+IF(AND(AC248=0,AD248&gt;0),AD248*($D$210/12),AC285)</f>
        <v/>
      </c>
      <c r="AE285" s="1091">
        <f>+IF(AND(AD248=0,AE248&gt;0),AE248*($D$210/12),AD285)</f>
        <v/>
      </c>
      <c r="AF285" s="1091">
        <f>+IF(AND(AE248=0,AF248&gt;0),AF248*($D$210/12),AE285)</f>
        <v/>
      </c>
      <c r="AG285" s="1091">
        <f>+IF(AND(AF248=0,AG248&gt;0),AG248*($D$210/12),AF285)</f>
        <v/>
      </c>
      <c r="AH285" s="1091">
        <f>+IF(AND(AG248=0,AH248&gt;0),AH248*($D$210/12),AG285)</f>
        <v/>
      </c>
      <c r="AI285" s="1091">
        <f>+IF(AND(AH248=0,AI248&gt;0),AI248*($D$210/12),AH285)</f>
        <v/>
      </c>
      <c r="AJ285" s="174">
        <f>+IF(AND(AI248=0,AJ248&gt;0),AJ248*($D$210/12),AI285)</f>
        <v/>
      </c>
      <c r="AK285" s="1091">
        <f>+IF(AND(AJ248=0,AK248&gt;0),AK248*($D$210/12),AJ285)</f>
        <v/>
      </c>
      <c r="AL285" s="1091">
        <f>+IF(AND(AK248=0,AL248&gt;0),AL248*($D$210/12),AK285)</f>
        <v/>
      </c>
      <c r="AM285" s="1091">
        <f>+IF(AND(AL248=0,AM248&gt;0),AM248*($D$210/12),AL285)</f>
        <v/>
      </c>
      <c r="AN285" s="1091">
        <f>+IF(AND(AM248=0,AN248&gt;0),AN248*($D$210/12),AM285)</f>
        <v/>
      </c>
      <c r="AO285" s="1091">
        <f>+IF(AND(AN248=0,AO248&gt;0),AO248*($D$210/12),AN285)</f>
        <v/>
      </c>
      <c r="AP285" s="174">
        <f>+IF(AND(AO248=0,AP248&gt;0),AP248*($D$210/12),AO285)</f>
        <v/>
      </c>
      <c r="AQ285" s="1091">
        <f>+IF(AND(AP248=0,AQ248&gt;0),AQ248*($D$210/12),AP285)</f>
        <v/>
      </c>
      <c r="AR285" s="1091">
        <f>+IF(AND(AQ248=0,AR248&gt;0),AR248*($D$210/12),AQ285)</f>
        <v/>
      </c>
      <c r="AS285" s="1091">
        <f>+IF(AND(AR248=0,AS248&gt;0),AS248*($D$210/12),AR285)</f>
        <v/>
      </c>
      <c r="AT285" s="1091">
        <f>+IF(AND(AS248=0,AT248&gt;0),AT248*($D$210/12),AS285)</f>
        <v/>
      </c>
      <c r="AU285" s="1091">
        <f>+IF(AND(AT248=0,AU248&gt;0),AU248*($D$210/12),AT285)</f>
        <v/>
      </c>
      <c r="AV285" s="174">
        <f>+IF(AND(AU248=0,AV248&gt;0),AV248*($D$210/12),AU285)</f>
        <v/>
      </c>
      <c r="AW285" s="1091">
        <f>+IF(AND(AV248=0,AW248&gt;0),AW248*($D$210/12),AV285)</f>
        <v/>
      </c>
      <c r="AX285" s="1091">
        <f>+IF(AND(AW248=0,AX248&gt;0),AX248*($D$210/12),AW285)</f>
        <v/>
      </c>
      <c r="AY285" s="1091">
        <f>+IF(AND(AX248=0,AY248&gt;0),AY248*($D$210/12),AX285)</f>
        <v/>
      </c>
      <c r="AZ285" s="1091">
        <f>+IF(AND(AY248=0,AZ248&gt;0),AZ248*($D$210/12),AY285)</f>
        <v/>
      </c>
      <c r="BA285" s="1091">
        <f>+IF(AND(AZ248=0,BA248&gt;0),BA248*($D$210/12),AZ285)</f>
        <v/>
      </c>
      <c r="BB285" s="174">
        <f>+IF(AND(BA248=0,BB248&gt;0),BB248*($D$210/12),BA285)</f>
        <v/>
      </c>
      <c r="BC285" s="1091">
        <f>+IF(AND(BB248=0,BC248&gt;0),BC248*($D$210/12),BB285)</f>
        <v/>
      </c>
      <c r="BD285" s="1091">
        <f>+IF(AND(BC248=0,BD248&gt;0),BD248*($D$210/12),BC285)</f>
        <v/>
      </c>
      <c r="BE285" s="1091">
        <f>+IF(AND(BD248=0,BE248&gt;0),BE248*($D$210/12),BD285)</f>
        <v/>
      </c>
      <c r="BF285" s="1091">
        <f>+IF(AND(BE248=0,BF248&gt;0),BF248*($D$210/12),BE285)</f>
        <v/>
      </c>
      <c r="BG285" s="1091">
        <f>+IF(AND(BF248=0,BG248&gt;0),BG248*($D$210/12),BF285)</f>
        <v/>
      </c>
      <c r="BH285" s="174">
        <f>+IF(AND(BG248=0,BH248&gt;0),BH248*($D$210/12),BG285)</f>
        <v/>
      </c>
      <c r="BI285" s="1091">
        <f>+IF(AND(BH248=0,BI248&gt;0),BI248*($D$210/12),BH285)</f>
        <v/>
      </c>
      <c r="BJ285" s="1091">
        <f>+IF(AND(BI248=0,BJ248&gt;0),BJ248*($D$210/12),BI285)</f>
        <v/>
      </c>
      <c r="BK285" s="1091">
        <f>+IF(AND(BJ248=0,BK248&gt;0),BK248*($D$210/12),BJ285)</f>
        <v/>
      </c>
      <c r="BL285" s="1091">
        <f>+IF(AND(BK248=0,BL248&gt;0),BL248*($D$210/12),BK285)</f>
        <v/>
      </c>
      <c r="BM285" s="1091">
        <f>+IF(AND(BL248=0,BM248&gt;0),BM248*($D$210/12),BL285)</f>
        <v/>
      </c>
      <c r="BN285" s="174">
        <f>+IF(AND(BM248=0,BN248&gt;0),BN248*($D$210/12),BM285)</f>
        <v/>
      </c>
    </row>
    <row r="286" ht="12.75" customHeight="1" s="1883">
      <c r="C286" s="1157" t="inlineStr">
        <is>
          <t>Amortization Expense - 26</t>
        </is>
      </c>
      <c r="D286" s="670" t="n"/>
      <c r="E286" s="671" t="n"/>
      <c r="F286" s="74" t="n"/>
      <c r="G286" s="1091">
        <f>+IF(AND(F249=0,G249&gt;0),G249*($D$210/12),F286)</f>
        <v/>
      </c>
      <c r="H286" s="1091">
        <f>+IF(AND(G249=0,H249&gt;0),H249*($D$210/12),G286)</f>
        <v/>
      </c>
      <c r="I286" s="1091">
        <f>+IF(AND(H249=0,I249&gt;0),I249*($D$210/12),H286)</f>
        <v/>
      </c>
      <c r="J286" s="1091">
        <f>+IF(AND(I249=0,J249&gt;0),J249*($D$210/12),I286)</f>
        <v/>
      </c>
      <c r="K286" s="1091">
        <f>+IF(AND(J249=0,K249&gt;0),K249*($D$210/12),J286)</f>
        <v/>
      </c>
      <c r="L286" s="174">
        <f>+IF(AND(K249=0,L249&gt;0),L249*($D$210/12),K286)</f>
        <v/>
      </c>
      <c r="M286" s="1091">
        <f>+IF(AND(L249=0,M249&gt;0),M249*($D$210/12),L286)</f>
        <v/>
      </c>
      <c r="N286" s="1091">
        <f>+IF(AND(M249=0,N249&gt;0),N249*($D$210/12),M286)</f>
        <v/>
      </c>
      <c r="O286" s="1091">
        <f>+IF(AND(N249=0,O249&gt;0),O249*($D$210/12),N286)</f>
        <v/>
      </c>
      <c r="P286" s="1091">
        <f>+IF(AND(O249=0,P249&gt;0),P249*($D$210/12),O286)</f>
        <v/>
      </c>
      <c r="Q286" s="1091">
        <f>+IF(AND(P249=0,Q249&gt;0),Q249*($D$210/12),P286)</f>
        <v/>
      </c>
      <c r="R286" s="174">
        <f>+IF(AND(Q249=0,R249&gt;0),R249*($D$210/12),Q286)</f>
        <v/>
      </c>
      <c r="S286" s="1091">
        <f>+IF(AND(R249=0,S249&gt;0),S249*($D$210/12),R286)</f>
        <v/>
      </c>
      <c r="T286" s="1091">
        <f>+IF(AND(S249=0,T249&gt;0),T249*($D$210/12),S286)</f>
        <v/>
      </c>
      <c r="U286" s="1091">
        <f>+IF(AND(T249=0,U249&gt;0),U249*($D$210/12),T286)</f>
        <v/>
      </c>
      <c r="V286" s="1091">
        <f>+IF(AND(U249=0,V249&gt;0),V249*($D$210/12),U286)</f>
        <v/>
      </c>
      <c r="W286" s="1091">
        <f>+IF(AND(V249=0,W249&gt;0),W249*($D$210/12),V286)</f>
        <v/>
      </c>
      <c r="X286" s="174">
        <f>+IF(AND(W249=0,X249&gt;0),X249*($D$210/12),W286)</f>
        <v/>
      </c>
      <c r="Y286" s="1091">
        <f>+IF(AND(X249=0,Y249&gt;0),Y249*($D$210/12),X286)</f>
        <v/>
      </c>
      <c r="Z286" s="1091">
        <f>+IF(AND(Y249=0,Z249&gt;0),Z249*($D$210/12),Y286)</f>
        <v/>
      </c>
      <c r="AA286" s="1091">
        <f>+IF(AND(Z249=0,AA249&gt;0),AA249*($D$210/12),Z286)</f>
        <v/>
      </c>
      <c r="AB286" s="1091">
        <f>+IF(AND(AA249=0,AB249&gt;0),AB249*($D$210/12),AA286)</f>
        <v/>
      </c>
      <c r="AC286" s="1091">
        <f>+IF(AND(AB249=0,AC249&gt;0),AC249*($D$210/12),AB286)</f>
        <v/>
      </c>
      <c r="AD286" s="174">
        <f>+IF(AND(AC249=0,AD249&gt;0),AD249*($D$210/12),AC286)</f>
        <v/>
      </c>
      <c r="AE286" s="1091">
        <f>+IF(AND(AD249=0,AE249&gt;0),AE249*($D$210/12),AD286)</f>
        <v/>
      </c>
      <c r="AF286" s="1091">
        <f>+IF(AND(AE249=0,AF249&gt;0),AF249*($D$210/12),AE286)</f>
        <v/>
      </c>
      <c r="AG286" s="1091">
        <f>+IF(AND(AF249=0,AG249&gt;0),AG249*($D$210/12),AF286)</f>
        <v/>
      </c>
      <c r="AH286" s="1091">
        <f>+IF(AND(AG249=0,AH249&gt;0),AH249*($D$210/12),AG286)</f>
        <v/>
      </c>
      <c r="AI286" s="1091">
        <f>+IF(AND(AH249=0,AI249&gt;0),AI249*($D$210/12),AH286)</f>
        <v/>
      </c>
      <c r="AJ286" s="174">
        <f>+IF(AND(AI249=0,AJ249&gt;0),AJ249*($D$210/12),AI286)</f>
        <v/>
      </c>
      <c r="AK286" s="1091">
        <f>+IF(AND(AJ249=0,AK249&gt;0),AK249*($D$210/12),AJ286)</f>
        <v/>
      </c>
      <c r="AL286" s="1091">
        <f>+IF(AND(AK249=0,AL249&gt;0),AL249*($D$210/12),AK286)</f>
        <v/>
      </c>
      <c r="AM286" s="1091">
        <f>+IF(AND(AL249=0,AM249&gt;0),AM249*($D$210/12),AL286)</f>
        <v/>
      </c>
      <c r="AN286" s="1091">
        <f>+IF(AND(AM249=0,AN249&gt;0),AN249*($D$210/12),AM286)</f>
        <v/>
      </c>
      <c r="AO286" s="1091">
        <f>+IF(AND(AN249=0,AO249&gt;0),AO249*($D$210/12),AN286)</f>
        <v/>
      </c>
      <c r="AP286" s="174">
        <f>+IF(AND(AO249=0,AP249&gt;0),AP249*($D$210/12),AO286)</f>
        <v/>
      </c>
      <c r="AQ286" s="1091">
        <f>+IF(AND(AP249=0,AQ249&gt;0),AQ249*($D$210/12),AP286)</f>
        <v/>
      </c>
      <c r="AR286" s="1091">
        <f>+IF(AND(AQ249=0,AR249&gt;0),AR249*($D$210/12),AQ286)</f>
        <v/>
      </c>
      <c r="AS286" s="1091">
        <f>+IF(AND(AR249=0,AS249&gt;0),AS249*($D$210/12),AR286)</f>
        <v/>
      </c>
      <c r="AT286" s="1091">
        <f>+IF(AND(AS249=0,AT249&gt;0),AT249*($D$210/12),AS286)</f>
        <v/>
      </c>
      <c r="AU286" s="1091">
        <f>+IF(AND(AT249=0,AU249&gt;0),AU249*($D$210/12),AT286)</f>
        <v/>
      </c>
      <c r="AV286" s="174">
        <f>+IF(AND(AU249=0,AV249&gt;0),AV249*($D$210/12),AU286)</f>
        <v/>
      </c>
      <c r="AW286" s="1091">
        <f>+IF(AND(AV249=0,AW249&gt;0),AW249*($D$210/12),AV286)</f>
        <v/>
      </c>
      <c r="AX286" s="1091">
        <f>+IF(AND(AW249=0,AX249&gt;0),AX249*($D$210/12),AW286)</f>
        <v/>
      </c>
      <c r="AY286" s="1091">
        <f>+IF(AND(AX249=0,AY249&gt;0),AY249*($D$210/12),AX286)</f>
        <v/>
      </c>
      <c r="AZ286" s="1091">
        <f>+IF(AND(AY249=0,AZ249&gt;0),AZ249*($D$210/12),AY286)</f>
        <v/>
      </c>
      <c r="BA286" s="1091">
        <f>+IF(AND(AZ249=0,BA249&gt;0),BA249*($D$210/12),AZ286)</f>
        <v/>
      </c>
      <c r="BB286" s="174">
        <f>+IF(AND(BA249=0,BB249&gt;0),BB249*($D$210/12),BA286)</f>
        <v/>
      </c>
      <c r="BC286" s="1091">
        <f>+IF(AND(BB249=0,BC249&gt;0),BC249*($D$210/12),BB286)</f>
        <v/>
      </c>
      <c r="BD286" s="1091">
        <f>+IF(AND(BC249=0,BD249&gt;0),BD249*($D$210/12),BC286)</f>
        <v/>
      </c>
      <c r="BE286" s="1091">
        <f>+IF(AND(BD249=0,BE249&gt;0),BE249*($D$210/12),BD286)</f>
        <v/>
      </c>
      <c r="BF286" s="1091">
        <f>+IF(AND(BE249=0,BF249&gt;0),BF249*($D$210/12),BE286)</f>
        <v/>
      </c>
      <c r="BG286" s="1091">
        <f>+IF(AND(BF249=0,BG249&gt;0),BG249*($D$210/12),BF286)</f>
        <v/>
      </c>
      <c r="BH286" s="174">
        <f>+IF(AND(BG249=0,BH249&gt;0),BH249*($D$210/12),BG286)</f>
        <v/>
      </c>
      <c r="BI286" s="1091">
        <f>+IF(AND(BH249=0,BI249&gt;0),BI249*($D$210/12),BH286)</f>
        <v/>
      </c>
      <c r="BJ286" s="1091">
        <f>+IF(AND(BI249=0,BJ249&gt;0),BJ249*($D$210/12),BI286)</f>
        <v/>
      </c>
      <c r="BK286" s="1091">
        <f>+IF(AND(BJ249=0,BK249&gt;0),BK249*($D$210/12),BJ286)</f>
        <v/>
      </c>
      <c r="BL286" s="1091">
        <f>+IF(AND(BK249=0,BL249&gt;0),BL249*($D$210/12),BK286)</f>
        <v/>
      </c>
      <c r="BM286" s="1091">
        <f>+IF(AND(BL249=0,BM249&gt;0),BM249*($D$210/12),BL286)</f>
        <v/>
      </c>
      <c r="BN286" s="174">
        <f>+IF(AND(BM249=0,BN249&gt;0),BN249*($D$210/12),BM286)</f>
        <v/>
      </c>
    </row>
    <row r="287" ht="12.75" customHeight="1" s="1883">
      <c r="C287" s="1157" t="inlineStr">
        <is>
          <t>Amortization Expense - 27</t>
        </is>
      </c>
      <c r="D287" s="670" t="n"/>
      <c r="E287" s="671" t="n"/>
      <c r="F287" s="74" t="n"/>
      <c r="G287" s="1091">
        <f>+IF(AND(F250=0,G250&gt;0),G250*($D$210/12),F287)</f>
        <v/>
      </c>
      <c r="H287" s="1091">
        <f>+IF(AND(G250=0,H250&gt;0),H250*($D$210/12),G287)</f>
        <v/>
      </c>
      <c r="I287" s="1091">
        <f>+IF(AND(H250=0,I250&gt;0),I250*($D$210/12),H287)</f>
        <v/>
      </c>
      <c r="J287" s="1091">
        <f>+IF(AND(I250=0,J250&gt;0),J250*($D$210/12),I287)</f>
        <v/>
      </c>
      <c r="K287" s="1091">
        <f>+IF(AND(J250=0,K250&gt;0),K250*($D$210/12),J287)</f>
        <v/>
      </c>
      <c r="L287" s="174">
        <f>+IF(AND(K250=0,L250&gt;0),L250*($D$210/12),K287)</f>
        <v/>
      </c>
      <c r="M287" s="1091">
        <f>+IF(AND(L250=0,M250&gt;0),M250*($D$210/12),L287)</f>
        <v/>
      </c>
      <c r="N287" s="1091">
        <f>+IF(AND(M250=0,N250&gt;0),N250*($D$210/12),M287)</f>
        <v/>
      </c>
      <c r="O287" s="1091">
        <f>+IF(AND(N250=0,O250&gt;0),O250*($D$210/12),N287)</f>
        <v/>
      </c>
      <c r="P287" s="1091">
        <f>+IF(AND(O250=0,P250&gt;0),P250*($D$210/12),O287)</f>
        <v/>
      </c>
      <c r="Q287" s="1091">
        <f>+IF(AND(P250=0,Q250&gt;0),Q250*($D$210/12),P287)</f>
        <v/>
      </c>
      <c r="R287" s="174">
        <f>+IF(AND(Q250=0,R250&gt;0),R250*($D$210/12),Q287)</f>
        <v/>
      </c>
      <c r="S287" s="1091">
        <f>+IF(AND(R250=0,S250&gt;0),S250*($D$210/12),R287)</f>
        <v/>
      </c>
      <c r="T287" s="1091">
        <f>+IF(AND(S250=0,T250&gt;0),T250*($D$210/12),S287)</f>
        <v/>
      </c>
      <c r="U287" s="1091">
        <f>+IF(AND(T250=0,U250&gt;0),U250*($D$210/12),T287)</f>
        <v/>
      </c>
      <c r="V287" s="1091">
        <f>+IF(AND(U250=0,V250&gt;0),V250*($D$210/12),U287)</f>
        <v/>
      </c>
      <c r="W287" s="1091">
        <f>+IF(AND(V250=0,W250&gt;0),W250*($D$210/12),V287)</f>
        <v/>
      </c>
      <c r="X287" s="174">
        <f>+IF(AND(W250=0,X250&gt;0),X250*($D$210/12),W287)</f>
        <v/>
      </c>
      <c r="Y287" s="1091">
        <f>+IF(AND(X250=0,Y250&gt;0),Y250*($D$210/12),X287)</f>
        <v/>
      </c>
      <c r="Z287" s="1091">
        <f>+IF(AND(Y250=0,Z250&gt;0),Z250*($D$210/12),Y287)</f>
        <v/>
      </c>
      <c r="AA287" s="1091">
        <f>+IF(AND(Z250=0,AA250&gt;0),AA250*($D$210/12),Z287)</f>
        <v/>
      </c>
      <c r="AB287" s="1091">
        <f>+IF(AND(AA250=0,AB250&gt;0),AB250*($D$210/12),AA287)</f>
        <v/>
      </c>
      <c r="AC287" s="1091">
        <f>+IF(AND(AB250=0,AC250&gt;0),AC250*($D$210/12),AB287)</f>
        <v/>
      </c>
      <c r="AD287" s="174">
        <f>+IF(AND(AC250=0,AD250&gt;0),AD250*($D$210/12),AC287)</f>
        <v/>
      </c>
      <c r="AE287" s="1091">
        <f>+IF(AND(AD250=0,AE250&gt;0),AE250*($D$210/12),AD287)</f>
        <v/>
      </c>
      <c r="AF287" s="1091">
        <f>+IF(AND(AE250=0,AF250&gt;0),AF250*($D$210/12),AE287)</f>
        <v/>
      </c>
      <c r="AG287" s="1091">
        <f>+IF(AND(AF250=0,AG250&gt;0),AG250*($D$210/12),AF287)</f>
        <v/>
      </c>
      <c r="AH287" s="1091">
        <f>+IF(AND(AG250=0,AH250&gt;0),AH250*($D$210/12),AG287)</f>
        <v/>
      </c>
      <c r="AI287" s="1091">
        <f>+IF(AND(AH250=0,AI250&gt;0),AI250*($D$210/12),AH287)</f>
        <v/>
      </c>
      <c r="AJ287" s="174">
        <f>+IF(AND(AI250=0,AJ250&gt;0),AJ250*($D$210/12),AI287)</f>
        <v/>
      </c>
      <c r="AK287" s="1091">
        <f>+IF(AND(AJ250=0,AK250&gt;0),AK250*($D$210/12),AJ287)</f>
        <v/>
      </c>
      <c r="AL287" s="1091">
        <f>+IF(AND(AK250=0,AL250&gt;0),AL250*($D$210/12),AK287)</f>
        <v/>
      </c>
      <c r="AM287" s="1091">
        <f>+IF(AND(AL250=0,AM250&gt;0),AM250*($D$210/12),AL287)</f>
        <v/>
      </c>
      <c r="AN287" s="1091">
        <f>+IF(AND(AM250=0,AN250&gt;0),AN250*($D$210/12),AM287)</f>
        <v/>
      </c>
      <c r="AO287" s="1091">
        <f>+IF(AND(AN250=0,AO250&gt;0),AO250*($D$210/12),AN287)</f>
        <v/>
      </c>
      <c r="AP287" s="174">
        <f>+IF(AND(AO250=0,AP250&gt;0),AP250*($D$210/12),AO287)</f>
        <v/>
      </c>
      <c r="AQ287" s="1091">
        <f>+IF(AND(AP250=0,AQ250&gt;0),AQ250*($D$210/12),AP287)</f>
        <v/>
      </c>
      <c r="AR287" s="1091">
        <f>+IF(AND(AQ250=0,AR250&gt;0),AR250*($D$210/12),AQ287)</f>
        <v/>
      </c>
      <c r="AS287" s="1091">
        <f>+IF(AND(AR250=0,AS250&gt;0),AS250*($D$210/12),AR287)</f>
        <v/>
      </c>
      <c r="AT287" s="1091">
        <f>+IF(AND(AS250=0,AT250&gt;0),AT250*($D$210/12),AS287)</f>
        <v/>
      </c>
      <c r="AU287" s="1091">
        <f>+IF(AND(AT250=0,AU250&gt;0),AU250*($D$210/12),AT287)</f>
        <v/>
      </c>
      <c r="AV287" s="174">
        <f>+IF(AND(AU250=0,AV250&gt;0),AV250*($D$210/12),AU287)</f>
        <v/>
      </c>
      <c r="AW287" s="1091">
        <f>+IF(AND(AV250=0,AW250&gt;0),AW250*($D$210/12),AV287)</f>
        <v/>
      </c>
      <c r="AX287" s="1091">
        <f>+IF(AND(AW250=0,AX250&gt;0),AX250*($D$210/12),AW287)</f>
        <v/>
      </c>
      <c r="AY287" s="1091">
        <f>+IF(AND(AX250=0,AY250&gt;0),AY250*($D$210/12),AX287)</f>
        <v/>
      </c>
      <c r="AZ287" s="1091">
        <f>+IF(AND(AY250=0,AZ250&gt;0),AZ250*($D$210/12),AY287)</f>
        <v/>
      </c>
      <c r="BA287" s="1091">
        <f>+IF(AND(AZ250=0,BA250&gt;0),BA250*($D$210/12),AZ287)</f>
        <v/>
      </c>
      <c r="BB287" s="174">
        <f>+IF(AND(BA250=0,BB250&gt;0),BB250*($D$210/12),BA287)</f>
        <v/>
      </c>
      <c r="BC287" s="1091">
        <f>+IF(AND(BB250=0,BC250&gt;0),BC250*($D$210/12),BB287)</f>
        <v/>
      </c>
      <c r="BD287" s="1091">
        <f>+IF(AND(BC250=0,BD250&gt;0),BD250*($D$210/12),BC287)</f>
        <v/>
      </c>
      <c r="BE287" s="1091">
        <f>+IF(AND(BD250=0,BE250&gt;0),BE250*($D$210/12),BD287)</f>
        <v/>
      </c>
      <c r="BF287" s="1091">
        <f>+IF(AND(BE250=0,BF250&gt;0),BF250*($D$210/12),BE287)</f>
        <v/>
      </c>
      <c r="BG287" s="1091">
        <f>+IF(AND(BF250=0,BG250&gt;0),BG250*($D$210/12),BF287)</f>
        <v/>
      </c>
      <c r="BH287" s="174">
        <f>+IF(AND(BG250=0,BH250&gt;0),BH250*($D$210/12),BG287)</f>
        <v/>
      </c>
      <c r="BI287" s="1091">
        <f>+IF(AND(BH250=0,BI250&gt;0),BI250*($D$210/12),BH287)</f>
        <v/>
      </c>
      <c r="BJ287" s="1091">
        <f>+IF(AND(BI250=0,BJ250&gt;0),BJ250*($D$210/12),BI287)</f>
        <v/>
      </c>
      <c r="BK287" s="1091">
        <f>+IF(AND(BJ250=0,BK250&gt;0),BK250*($D$210/12),BJ287)</f>
        <v/>
      </c>
      <c r="BL287" s="1091">
        <f>+IF(AND(BK250=0,BL250&gt;0),BL250*($D$210/12),BK287)</f>
        <v/>
      </c>
      <c r="BM287" s="1091">
        <f>+IF(AND(BL250=0,BM250&gt;0),BM250*($D$210/12),BL287)</f>
        <v/>
      </c>
      <c r="BN287" s="174">
        <f>+IF(AND(BM250=0,BN250&gt;0),BN250*($D$210/12),BM287)</f>
        <v/>
      </c>
    </row>
    <row r="288" ht="12.75" customHeight="1" s="1883">
      <c r="C288" s="1157" t="inlineStr">
        <is>
          <t>Amortization Expense - 28</t>
        </is>
      </c>
      <c r="D288" s="670" t="n"/>
      <c r="E288" s="671" t="n"/>
      <c r="F288" s="74" t="n"/>
      <c r="G288" s="1091">
        <f>+IF(AND(F251=0,G251&gt;0),G251*($D$210/12),F288)</f>
        <v/>
      </c>
      <c r="H288" s="1091">
        <f>+IF(AND(G251=0,H251&gt;0),H251*($D$210/12),G288)</f>
        <v/>
      </c>
      <c r="I288" s="1091">
        <f>+IF(AND(H251=0,I251&gt;0),I251*($D$210/12),H288)</f>
        <v/>
      </c>
      <c r="J288" s="1091">
        <f>+IF(AND(I251=0,J251&gt;0),J251*($D$210/12),I288)</f>
        <v/>
      </c>
      <c r="K288" s="1091">
        <f>+IF(AND(J251=0,K251&gt;0),K251*($D$210/12),J288)</f>
        <v/>
      </c>
      <c r="L288" s="174">
        <f>+IF(AND(K251=0,L251&gt;0),L251*($D$210/12),K288)</f>
        <v/>
      </c>
      <c r="M288" s="1091">
        <f>+IF(AND(L251=0,M251&gt;0),M251*($D$210/12),L288)</f>
        <v/>
      </c>
      <c r="N288" s="1091">
        <f>+IF(AND(M251=0,N251&gt;0),N251*($D$210/12),M288)</f>
        <v/>
      </c>
      <c r="O288" s="1091">
        <f>+IF(AND(N251=0,O251&gt;0),O251*($D$210/12),N288)</f>
        <v/>
      </c>
      <c r="P288" s="1091">
        <f>+IF(AND(O251=0,P251&gt;0),P251*($D$210/12),O288)</f>
        <v/>
      </c>
      <c r="Q288" s="1091">
        <f>+IF(AND(P251=0,Q251&gt;0),Q251*($D$210/12),P288)</f>
        <v/>
      </c>
      <c r="R288" s="174">
        <f>+IF(AND(Q251=0,R251&gt;0),R251*($D$210/12),Q288)</f>
        <v/>
      </c>
      <c r="S288" s="1091">
        <f>+IF(AND(R251=0,S251&gt;0),S251*($D$210/12),R288)</f>
        <v/>
      </c>
      <c r="T288" s="1091">
        <f>+IF(AND(S251=0,T251&gt;0),T251*($D$210/12),S288)</f>
        <v/>
      </c>
      <c r="U288" s="1091">
        <f>+IF(AND(T251=0,U251&gt;0),U251*($D$210/12),T288)</f>
        <v/>
      </c>
      <c r="V288" s="1091">
        <f>+IF(AND(U251=0,V251&gt;0),V251*($D$210/12),U288)</f>
        <v/>
      </c>
      <c r="W288" s="1091">
        <f>+IF(AND(V251=0,W251&gt;0),W251*($D$210/12),V288)</f>
        <v/>
      </c>
      <c r="X288" s="174">
        <f>+IF(AND(W251=0,X251&gt;0),X251*($D$210/12),W288)</f>
        <v/>
      </c>
      <c r="Y288" s="1091">
        <f>+IF(AND(X251=0,Y251&gt;0),Y251*($D$210/12),X288)</f>
        <v/>
      </c>
      <c r="Z288" s="1091">
        <f>+IF(AND(Y251=0,Z251&gt;0),Z251*($D$210/12),Y288)</f>
        <v/>
      </c>
      <c r="AA288" s="1091">
        <f>+IF(AND(Z251=0,AA251&gt;0),AA251*($D$210/12),Z288)</f>
        <v/>
      </c>
      <c r="AB288" s="1091">
        <f>+IF(AND(AA251=0,AB251&gt;0),AB251*($D$210/12),AA288)</f>
        <v/>
      </c>
      <c r="AC288" s="1091">
        <f>+IF(AND(AB251=0,AC251&gt;0),AC251*($D$210/12),AB288)</f>
        <v/>
      </c>
      <c r="AD288" s="174">
        <f>+IF(AND(AC251=0,AD251&gt;0),AD251*($D$210/12),AC288)</f>
        <v/>
      </c>
      <c r="AE288" s="1091">
        <f>+IF(AND(AD251=0,AE251&gt;0),AE251*($D$210/12),AD288)</f>
        <v/>
      </c>
      <c r="AF288" s="1091">
        <f>+IF(AND(AE251=0,AF251&gt;0),AF251*($D$210/12),AE288)</f>
        <v/>
      </c>
      <c r="AG288" s="1091">
        <f>+IF(AND(AF251=0,AG251&gt;0),AG251*($D$210/12),AF288)</f>
        <v/>
      </c>
      <c r="AH288" s="1091">
        <f>+IF(AND(AG251=0,AH251&gt;0),AH251*($D$210/12),AG288)</f>
        <v/>
      </c>
      <c r="AI288" s="1091">
        <f>+IF(AND(AH251=0,AI251&gt;0),AI251*($D$210/12),AH288)</f>
        <v/>
      </c>
      <c r="AJ288" s="174">
        <f>+IF(AND(AI251=0,AJ251&gt;0),AJ251*($D$210/12),AI288)</f>
        <v/>
      </c>
      <c r="AK288" s="1091">
        <f>+IF(AND(AJ251=0,AK251&gt;0),AK251*($D$210/12),AJ288)</f>
        <v/>
      </c>
      <c r="AL288" s="1091">
        <f>+IF(AND(AK251=0,AL251&gt;0),AL251*($D$210/12),AK288)</f>
        <v/>
      </c>
      <c r="AM288" s="1091">
        <f>+IF(AND(AL251=0,AM251&gt;0),AM251*($D$210/12),AL288)</f>
        <v/>
      </c>
      <c r="AN288" s="1091">
        <f>+IF(AND(AM251=0,AN251&gt;0),AN251*($D$210/12),AM288)</f>
        <v/>
      </c>
      <c r="AO288" s="1091">
        <f>+IF(AND(AN251=0,AO251&gt;0),AO251*($D$210/12),AN288)</f>
        <v/>
      </c>
      <c r="AP288" s="174">
        <f>+IF(AND(AO251=0,AP251&gt;0),AP251*($D$210/12),AO288)</f>
        <v/>
      </c>
      <c r="AQ288" s="1091">
        <f>+IF(AND(AP251=0,AQ251&gt;0),AQ251*($D$210/12),AP288)</f>
        <v/>
      </c>
      <c r="AR288" s="1091">
        <f>+IF(AND(AQ251=0,AR251&gt;0),AR251*($D$210/12),AQ288)</f>
        <v/>
      </c>
      <c r="AS288" s="1091">
        <f>+IF(AND(AR251=0,AS251&gt;0),AS251*($D$210/12),AR288)</f>
        <v/>
      </c>
      <c r="AT288" s="1091">
        <f>+IF(AND(AS251=0,AT251&gt;0),AT251*($D$210/12),AS288)</f>
        <v/>
      </c>
      <c r="AU288" s="1091">
        <f>+IF(AND(AT251=0,AU251&gt;0),AU251*($D$210/12),AT288)</f>
        <v/>
      </c>
      <c r="AV288" s="174">
        <f>+IF(AND(AU251=0,AV251&gt;0),AV251*($D$210/12),AU288)</f>
        <v/>
      </c>
      <c r="AW288" s="1091">
        <f>+IF(AND(AV251=0,AW251&gt;0),AW251*($D$210/12),AV288)</f>
        <v/>
      </c>
      <c r="AX288" s="1091">
        <f>+IF(AND(AW251=0,AX251&gt;0),AX251*($D$210/12),AW288)</f>
        <v/>
      </c>
      <c r="AY288" s="1091">
        <f>+IF(AND(AX251=0,AY251&gt;0),AY251*($D$210/12),AX288)</f>
        <v/>
      </c>
      <c r="AZ288" s="1091">
        <f>+IF(AND(AY251=0,AZ251&gt;0),AZ251*($D$210/12),AY288)</f>
        <v/>
      </c>
      <c r="BA288" s="1091">
        <f>+IF(AND(AZ251=0,BA251&gt;0),BA251*($D$210/12),AZ288)</f>
        <v/>
      </c>
      <c r="BB288" s="174">
        <f>+IF(AND(BA251=0,BB251&gt;0),BB251*($D$210/12),BA288)</f>
        <v/>
      </c>
      <c r="BC288" s="1091">
        <f>+IF(AND(BB251=0,BC251&gt;0),BC251*($D$210/12),BB288)</f>
        <v/>
      </c>
      <c r="BD288" s="1091">
        <f>+IF(AND(BC251=0,BD251&gt;0),BD251*($D$210/12),BC288)</f>
        <v/>
      </c>
      <c r="BE288" s="1091">
        <f>+IF(AND(BD251=0,BE251&gt;0),BE251*($D$210/12),BD288)</f>
        <v/>
      </c>
      <c r="BF288" s="1091">
        <f>+IF(AND(BE251=0,BF251&gt;0),BF251*($D$210/12),BE288)</f>
        <v/>
      </c>
      <c r="BG288" s="1091">
        <f>+IF(AND(BF251=0,BG251&gt;0),BG251*($D$210/12),BF288)</f>
        <v/>
      </c>
      <c r="BH288" s="174">
        <f>+IF(AND(BG251=0,BH251&gt;0),BH251*($D$210/12),BG288)</f>
        <v/>
      </c>
      <c r="BI288" s="1091">
        <f>+IF(AND(BH251=0,BI251&gt;0),BI251*($D$210/12),BH288)</f>
        <v/>
      </c>
      <c r="BJ288" s="1091">
        <f>+IF(AND(BI251=0,BJ251&gt;0),BJ251*($D$210/12),BI288)</f>
        <v/>
      </c>
      <c r="BK288" s="1091">
        <f>+IF(AND(BJ251=0,BK251&gt;0),BK251*($D$210/12),BJ288)</f>
        <v/>
      </c>
      <c r="BL288" s="1091">
        <f>+IF(AND(BK251=0,BL251&gt;0),BL251*($D$210/12),BK288)</f>
        <v/>
      </c>
      <c r="BM288" s="1091">
        <f>+IF(AND(BL251=0,BM251&gt;0),BM251*($D$210/12),BL288)</f>
        <v/>
      </c>
      <c r="BN288" s="174">
        <f>+IF(AND(BM251=0,BN251&gt;0),BN251*($D$210/12),BM288)</f>
        <v/>
      </c>
    </row>
    <row r="289" ht="12.75" customHeight="1" s="1883">
      <c r="B289" s="1153" t="n"/>
      <c r="C289" s="1157" t="inlineStr">
        <is>
          <t>Amortization Expense - 29</t>
        </is>
      </c>
      <c r="D289" s="670" t="n"/>
      <c r="E289" s="671" t="n"/>
      <c r="F289" s="74" t="n"/>
      <c r="G289" s="1091">
        <f>+IF(AND(F252=0,G252&gt;0),G252*($D$210/12),F289)</f>
        <v/>
      </c>
      <c r="H289" s="1091">
        <f>+IF(AND(G252=0,H252&gt;0),H252*($D$210/12),G289)</f>
        <v/>
      </c>
      <c r="I289" s="1091">
        <f>+IF(AND(H252=0,I252&gt;0),I252*($D$210/12),H289)</f>
        <v/>
      </c>
      <c r="J289" s="1091">
        <f>+IF(AND(I252=0,J252&gt;0),J252*($D$210/12),I289)</f>
        <v/>
      </c>
      <c r="K289" s="1091">
        <f>+IF(AND(J252=0,K252&gt;0),K252*($D$210/12),J289)</f>
        <v/>
      </c>
      <c r="L289" s="174">
        <f>+IF(AND(K252=0,L252&gt;0),L252*($D$210/12),K289)</f>
        <v/>
      </c>
      <c r="M289" s="1091">
        <f>+IF(AND(L252=0,M252&gt;0),M252*($D$210/12),L289)</f>
        <v/>
      </c>
      <c r="N289" s="1091">
        <f>+IF(AND(M252=0,N252&gt;0),N252*($D$210/12),M289)</f>
        <v/>
      </c>
      <c r="O289" s="1091">
        <f>+IF(AND(N252=0,O252&gt;0),O252*($D$210/12),N289)</f>
        <v/>
      </c>
      <c r="P289" s="1091">
        <f>+IF(AND(O252=0,P252&gt;0),P252*($D$210/12),O289)</f>
        <v/>
      </c>
      <c r="Q289" s="1091">
        <f>+IF(AND(P252=0,Q252&gt;0),Q252*($D$210/12),P289)</f>
        <v/>
      </c>
      <c r="R289" s="174">
        <f>+IF(AND(Q252=0,R252&gt;0),R252*($D$210/12),Q289)</f>
        <v/>
      </c>
      <c r="S289" s="1091">
        <f>+IF(AND(R252=0,S252&gt;0),S252*($D$210/12),R289)</f>
        <v/>
      </c>
      <c r="T289" s="1091">
        <f>+IF(AND(S252=0,T252&gt;0),T252*($D$210/12),S289)</f>
        <v/>
      </c>
      <c r="U289" s="1091">
        <f>+IF(AND(T252=0,U252&gt;0),U252*($D$210/12),T289)</f>
        <v/>
      </c>
      <c r="V289" s="1091">
        <f>+IF(AND(U252=0,V252&gt;0),V252*($D$210/12),U289)</f>
        <v/>
      </c>
      <c r="W289" s="1091">
        <f>+IF(AND(V252=0,W252&gt;0),W252*($D$210/12),V289)</f>
        <v/>
      </c>
      <c r="X289" s="174">
        <f>+IF(AND(W252=0,X252&gt;0),X252*($D$210/12),W289)</f>
        <v/>
      </c>
      <c r="Y289" s="1091">
        <f>+IF(AND(X252=0,Y252&gt;0),Y252*($D$210/12),X289)</f>
        <v/>
      </c>
      <c r="Z289" s="1091">
        <f>+IF(AND(Y252=0,Z252&gt;0),Z252*($D$210/12),Y289)</f>
        <v/>
      </c>
      <c r="AA289" s="1091">
        <f>+IF(AND(Z252=0,AA252&gt;0),AA252*($D$210/12),Z289)</f>
        <v/>
      </c>
      <c r="AB289" s="1091">
        <f>+IF(AND(AA252=0,AB252&gt;0),AB252*($D$210/12),AA289)</f>
        <v/>
      </c>
      <c r="AC289" s="1091">
        <f>+IF(AND(AB252=0,AC252&gt;0),AC252*($D$210/12),AB289)</f>
        <v/>
      </c>
      <c r="AD289" s="174">
        <f>+IF(AND(AC252=0,AD252&gt;0),AD252*($D$210/12),AC289)</f>
        <v/>
      </c>
      <c r="AE289" s="1091">
        <f>+IF(AND(AD252=0,AE252&gt;0),AE252*($D$210/12),AD289)</f>
        <v/>
      </c>
      <c r="AF289" s="1091">
        <f>+IF(AND(AE252=0,AF252&gt;0),AF252*($D$210/12),AE289)</f>
        <v/>
      </c>
      <c r="AG289" s="1091">
        <f>+IF(AND(AF252=0,AG252&gt;0),AG252*($D$210/12),AF289)</f>
        <v/>
      </c>
      <c r="AH289" s="1091">
        <f>+IF(AND(AG252=0,AH252&gt;0),AH252*($D$210/12),AG289)</f>
        <v/>
      </c>
      <c r="AI289" s="1091">
        <f>+IF(AND(AH252=0,AI252&gt;0),AI252*($D$210/12),AH289)</f>
        <v/>
      </c>
      <c r="AJ289" s="174">
        <f>+IF(AND(AI252=0,AJ252&gt;0),AJ252*($D$210/12),AI289)</f>
        <v/>
      </c>
      <c r="AK289" s="1091">
        <f>+IF(AND(AJ252=0,AK252&gt;0),AK252*($D$210/12),AJ289)</f>
        <v/>
      </c>
      <c r="AL289" s="1091">
        <f>+IF(AND(AK252=0,AL252&gt;0),AL252*($D$210/12),AK289)</f>
        <v/>
      </c>
      <c r="AM289" s="1091">
        <f>+IF(AND(AL252=0,AM252&gt;0),AM252*($D$210/12),AL289)</f>
        <v/>
      </c>
      <c r="AN289" s="1091">
        <f>+IF(AND(AM252=0,AN252&gt;0),AN252*($D$210/12),AM289)</f>
        <v/>
      </c>
      <c r="AO289" s="1091">
        <f>+IF(AND(AN252=0,AO252&gt;0),AO252*($D$210/12),AN289)</f>
        <v/>
      </c>
      <c r="AP289" s="174">
        <f>+IF(AND(AO252=0,AP252&gt;0),AP252*($D$210/12),AO289)</f>
        <v/>
      </c>
      <c r="AQ289" s="1091">
        <f>+IF(AND(AP252=0,AQ252&gt;0),AQ252*($D$210/12),AP289)</f>
        <v/>
      </c>
      <c r="AR289" s="1091">
        <f>+IF(AND(AQ252=0,AR252&gt;0),AR252*($D$210/12),AQ289)</f>
        <v/>
      </c>
      <c r="AS289" s="1091">
        <f>+IF(AND(AR252=0,AS252&gt;0),AS252*($D$210/12),AR289)</f>
        <v/>
      </c>
      <c r="AT289" s="1091">
        <f>+IF(AND(AS252=0,AT252&gt;0),AT252*($D$210/12),AS289)</f>
        <v/>
      </c>
      <c r="AU289" s="1091">
        <f>+IF(AND(AT252=0,AU252&gt;0),AU252*($D$210/12),AT289)</f>
        <v/>
      </c>
      <c r="AV289" s="174">
        <f>+IF(AND(AU252=0,AV252&gt;0),AV252*($D$210/12),AU289)</f>
        <v/>
      </c>
      <c r="AW289" s="1091">
        <f>+IF(AND(AV252=0,AW252&gt;0),AW252*($D$210/12),AV289)</f>
        <v/>
      </c>
      <c r="AX289" s="1091">
        <f>+IF(AND(AW252=0,AX252&gt;0),AX252*($D$210/12),AW289)</f>
        <v/>
      </c>
      <c r="AY289" s="1091">
        <f>+IF(AND(AX252=0,AY252&gt;0),AY252*($D$210/12),AX289)</f>
        <v/>
      </c>
      <c r="AZ289" s="1091">
        <f>+IF(AND(AY252=0,AZ252&gt;0),AZ252*($D$210/12),AY289)</f>
        <v/>
      </c>
      <c r="BA289" s="1091">
        <f>+IF(AND(AZ252=0,BA252&gt;0),BA252*($D$210/12),AZ289)</f>
        <v/>
      </c>
      <c r="BB289" s="174">
        <f>+IF(AND(BA252=0,BB252&gt;0),BB252*($D$210/12),BA289)</f>
        <v/>
      </c>
      <c r="BC289" s="1091">
        <f>+IF(AND(BB252=0,BC252&gt;0),BC252*($D$210/12),BB289)</f>
        <v/>
      </c>
      <c r="BD289" s="1091">
        <f>+IF(AND(BC252=0,BD252&gt;0),BD252*($D$210/12),BC289)</f>
        <v/>
      </c>
      <c r="BE289" s="1091">
        <f>+IF(AND(BD252=0,BE252&gt;0),BE252*($D$210/12),BD289)</f>
        <v/>
      </c>
      <c r="BF289" s="1091">
        <f>+IF(AND(BE252=0,BF252&gt;0),BF252*($D$210/12),BE289)</f>
        <v/>
      </c>
      <c r="BG289" s="1091">
        <f>+IF(AND(BF252=0,BG252&gt;0),BG252*($D$210/12),BF289)</f>
        <v/>
      </c>
      <c r="BH289" s="174">
        <f>+IF(AND(BG252=0,BH252&gt;0),BH252*($D$210/12),BG289)</f>
        <v/>
      </c>
      <c r="BI289" s="1091">
        <f>+IF(AND(BH252=0,BI252&gt;0),BI252*($D$210/12),BH289)</f>
        <v/>
      </c>
      <c r="BJ289" s="1091">
        <f>+IF(AND(BI252=0,BJ252&gt;0),BJ252*($D$210/12),BI289)</f>
        <v/>
      </c>
      <c r="BK289" s="1091">
        <f>+IF(AND(BJ252=0,BK252&gt;0),BK252*($D$210/12),BJ289)</f>
        <v/>
      </c>
      <c r="BL289" s="1091">
        <f>+IF(AND(BK252=0,BL252&gt;0),BL252*($D$210/12),BK289)</f>
        <v/>
      </c>
      <c r="BM289" s="1091">
        <f>+IF(AND(BL252=0,BM252&gt;0),BM252*($D$210/12),BL289)</f>
        <v/>
      </c>
      <c r="BN289" s="174">
        <f>+IF(AND(BM252=0,BN252&gt;0),BN252*($D$210/12),BM289)</f>
        <v/>
      </c>
    </row>
    <row r="290" ht="12.75" customHeight="1" s="1883">
      <c r="B290" s="1153" t="n"/>
      <c r="C290" s="1157" t="inlineStr">
        <is>
          <t>Amortization Expense - 30</t>
        </is>
      </c>
      <c r="D290" s="670" t="n"/>
      <c r="E290" s="671" t="n"/>
      <c r="F290" s="74" t="n"/>
      <c r="G290" s="1091">
        <f>+IF(AND(F253=0,G253&gt;0),G253*($D$210/12),F290)</f>
        <v/>
      </c>
      <c r="H290" s="1091">
        <f>+IF(AND(G253=0,H253&gt;0),H253*($D$210/12),G290)</f>
        <v/>
      </c>
      <c r="I290" s="1091">
        <f>+IF(AND(H253=0,I253&gt;0),I253*($D$210/12),H290)</f>
        <v/>
      </c>
      <c r="J290" s="1091">
        <f>+IF(AND(I253=0,J253&gt;0),J253*($D$210/12),I290)</f>
        <v/>
      </c>
      <c r="K290" s="1091">
        <f>+IF(AND(J253=0,K253&gt;0),K253*($D$210/12),J290)</f>
        <v/>
      </c>
      <c r="L290" s="174">
        <f>+IF(AND(K253=0,L253&gt;0),L253*($D$210/12),K290)</f>
        <v/>
      </c>
      <c r="M290" s="1091">
        <f>+IF(AND(L253=0,M253&gt;0),M253*($D$210/12),L290)</f>
        <v/>
      </c>
      <c r="N290" s="1091">
        <f>+IF(AND(M253=0,N253&gt;0),N253*($D$210/12),M290)</f>
        <v/>
      </c>
      <c r="O290" s="1091">
        <f>+IF(AND(N253=0,O253&gt;0),O253*($D$210/12),N290)</f>
        <v/>
      </c>
      <c r="P290" s="1091">
        <f>+IF(AND(O253=0,P253&gt;0),P253*($D$210/12),O290)</f>
        <v/>
      </c>
      <c r="Q290" s="1091">
        <f>+IF(AND(P253=0,Q253&gt;0),Q253*($D$210/12),P290)</f>
        <v/>
      </c>
      <c r="R290" s="174">
        <f>+IF(AND(Q253=0,R253&gt;0),R253*($D$210/12),Q290)</f>
        <v/>
      </c>
      <c r="S290" s="1091">
        <f>+IF(AND(R253=0,S253&gt;0),S253*($D$210/12),R290)</f>
        <v/>
      </c>
      <c r="T290" s="1091">
        <f>+IF(AND(S253=0,T253&gt;0),T253*($D$210/12),S290)</f>
        <v/>
      </c>
      <c r="U290" s="1091">
        <f>+IF(AND(T253=0,U253&gt;0),U253*($D$210/12),T290)</f>
        <v/>
      </c>
      <c r="V290" s="1091">
        <f>+IF(AND(U253=0,V253&gt;0),V253*($D$210/12),U290)</f>
        <v/>
      </c>
      <c r="W290" s="1091">
        <f>+IF(AND(V253=0,W253&gt;0),W253*($D$210/12),V290)</f>
        <v/>
      </c>
      <c r="X290" s="174">
        <f>+IF(AND(W253=0,X253&gt;0),X253*($D$210/12),W290)</f>
        <v/>
      </c>
      <c r="Y290" s="1091">
        <f>+IF(AND(X253=0,Y253&gt;0),Y253*($D$210/12),X290)</f>
        <v/>
      </c>
      <c r="Z290" s="1091">
        <f>+IF(AND(Y253=0,Z253&gt;0),Z253*($D$210/12),Y290)</f>
        <v/>
      </c>
      <c r="AA290" s="1091">
        <f>+IF(AND(Z253=0,AA253&gt;0),AA253*($D$210/12),Z290)</f>
        <v/>
      </c>
      <c r="AB290" s="1091">
        <f>+IF(AND(AA253=0,AB253&gt;0),AB253*($D$210/12),AA290)</f>
        <v/>
      </c>
      <c r="AC290" s="1091">
        <f>+IF(AND(AB253=0,AC253&gt;0),AC253*($D$210/12),AB290)</f>
        <v/>
      </c>
      <c r="AD290" s="174">
        <f>+IF(AND(AC253=0,AD253&gt;0),AD253*($D$210/12),AC290)</f>
        <v/>
      </c>
      <c r="AE290" s="1091">
        <f>+IF(AND(AD253=0,AE253&gt;0),AE253*($D$210/12),AD290)</f>
        <v/>
      </c>
      <c r="AF290" s="1091">
        <f>+IF(AND(AE253=0,AF253&gt;0),AF253*($D$210/12),AE290)</f>
        <v/>
      </c>
      <c r="AG290" s="1091">
        <f>+IF(AND(AF253=0,AG253&gt;0),AG253*($D$210/12),AF290)</f>
        <v/>
      </c>
      <c r="AH290" s="1091">
        <f>+IF(AND(AG253=0,AH253&gt;0),AH253*($D$210/12),AG290)</f>
        <v/>
      </c>
      <c r="AI290" s="1091">
        <f>+IF(AND(AH253=0,AI253&gt;0),AI253*($D$210/12),AH290)</f>
        <v/>
      </c>
      <c r="AJ290" s="174">
        <f>+IF(AND(AI253=0,AJ253&gt;0),AJ253*($D$210/12),AI290)</f>
        <v/>
      </c>
      <c r="AK290" s="1091">
        <f>+IF(AND(AJ253=0,AK253&gt;0),AK253*($D$210/12),AJ290)</f>
        <v/>
      </c>
      <c r="AL290" s="1091">
        <f>+IF(AND(AK253=0,AL253&gt;0),AL253*($D$210/12),AK290)</f>
        <v/>
      </c>
      <c r="AM290" s="1091">
        <f>+IF(AND(AL253=0,AM253&gt;0),AM253*($D$210/12),AL290)</f>
        <v/>
      </c>
      <c r="AN290" s="1091">
        <f>+IF(AND(AM253=0,AN253&gt;0),AN253*($D$210/12),AM290)</f>
        <v/>
      </c>
      <c r="AO290" s="1091">
        <f>+IF(AND(AN253=0,AO253&gt;0),AO253*($D$210/12),AN290)</f>
        <v/>
      </c>
      <c r="AP290" s="174">
        <f>+IF(AND(AO253=0,AP253&gt;0),AP253*($D$210/12),AO290)</f>
        <v/>
      </c>
      <c r="AQ290" s="1091">
        <f>+IF(AND(AP253=0,AQ253&gt;0),AQ253*($D$210/12),AP290)</f>
        <v/>
      </c>
      <c r="AR290" s="1091">
        <f>+IF(AND(AQ253=0,AR253&gt;0),AR253*($D$210/12),AQ290)</f>
        <v/>
      </c>
      <c r="AS290" s="1091">
        <f>+IF(AND(AR253=0,AS253&gt;0),AS253*($D$210/12),AR290)</f>
        <v/>
      </c>
      <c r="AT290" s="1091">
        <f>+IF(AND(AS253=0,AT253&gt;0),AT253*($D$210/12),AS290)</f>
        <v/>
      </c>
      <c r="AU290" s="1091">
        <f>+IF(AND(AT253=0,AU253&gt;0),AU253*($D$210/12),AT290)</f>
        <v/>
      </c>
      <c r="AV290" s="174">
        <f>+IF(AND(AU253=0,AV253&gt;0),AV253*($D$210/12),AU290)</f>
        <v/>
      </c>
      <c r="AW290" s="1091">
        <f>+IF(AND(AV253=0,AW253&gt;0),AW253*($D$210/12),AV290)</f>
        <v/>
      </c>
      <c r="AX290" s="1091">
        <f>+IF(AND(AW253=0,AX253&gt;0),AX253*($D$210/12),AW290)</f>
        <v/>
      </c>
      <c r="AY290" s="1091">
        <f>+IF(AND(AX253=0,AY253&gt;0),AY253*($D$210/12),AX290)</f>
        <v/>
      </c>
      <c r="AZ290" s="1091">
        <f>+IF(AND(AY253=0,AZ253&gt;0),AZ253*($D$210/12),AY290)</f>
        <v/>
      </c>
      <c r="BA290" s="1091">
        <f>+IF(AND(AZ253=0,BA253&gt;0),BA253*($D$210/12),AZ290)</f>
        <v/>
      </c>
      <c r="BB290" s="174">
        <f>+IF(AND(BA253=0,BB253&gt;0),BB253*($D$210/12),BA290)</f>
        <v/>
      </c>
      <c r="BC290" s="1091">
        <f>+IF(AND(BB253=0,BC253&gt;0),BC253*($D$210/12),BB290)</f>
        <v/>
      </c>
      <c r="BD290" s="1091">
        <f>+IF(AND(BC253=0,BD253&gt;0),BD253*($D$210/12),BC290)</f>
        <v/>
      </c>
      <c r="BE290" s="1091">
        <f>+IF(AND(BD253=0,BE253&gt;0),BE253*($D$210/12),BD290)</f>
        <v/>
      </c>
      <c r="BF290" s="1091">
        <f>+IF(AND(BE253=0,BF253&gt;0),BF253*($D$210/12),BE290)</f>
        <v/>
      </c>
      <c r="BG290" s="1091">
        <f>+IF(AND(BF253=0,BG253&gt;0),BG253*($D$210/12),BF290)</f>
        <v/>
      </c>
      <c r="BH290" s="174">
        <f>+IF(AND(BG253=0,BH253&gt;0),BH253*($D$210/12),BG290)</f>
        <v/>
      </c>
      <c r="BI290" s="1091">
        <f>+IF(AND(BH253=0,BI253&gt;0),BI253*($D$210/12),BH290)</f>
        <v/>
      </c>
      <c r="BJ290" s="1091">
        <f>+IF(AND(BI253=0,BJ253&gt;0),BJ253*($D$210/12),BI290)</f>
        <v/>
      </c>
      <c r="BK290" s="1091">
        <f>+IF(AND(BJ253=0,BK253&gt;0),BK253*($D$210/12),BJ290)</f>
        <v/>
      </c>
      <c r="BL290" s="1091">
        <f>+IF(AND(BK253=0,BL253&gt;0),BL253*($D$210/12),BK290)</f>
        <v/>
      </c>
      <c r="BM290" s="1091">
        <f>+IF(AND(BL253=0,BM253&gt;0),BM253*($D$210/12),BL290)</f>
        <v/>
      </c>
      <c r="BN290" s="174">
        <f>+IF(AND(BM253=0,BN253&gt;0),BN253*($D$210/12),BM290)</f>
        <v/>
      </c>
    </row>
    <row r="291" ht="12.75" customHeight="1" s="1883">
      <c r="B291" s="1153" t="n"/>
      <c r="C291" s="1157" t="inlineStr">
        <is>
          <t>Amortization Expense - 31</t>
        </is>
      </c>
      <c r="D291" s="670" t="n"/>
      <c r="E291" s="671" t="n"/>
      <c r="F291" s="74" t="n"/>
      <c r="G291" s="1091">
        <f>+IF(AND(F254=0,G254&gt;0),G254*($D$210/12),F291)</f>
        <v/>
      </c>
      <c r="H291" s="1091">
        <f>+IF(AND(G254=0,H254&gt;0),H254*($D$210/12),G291)</f>
        <v/>
      </c>
      <c r="I291" s="1091">
        <f>+IF(AND(H254=0,I254&gt;0),I254*($D$210/12),H291)</f>
        <v/>
      </c>
      <c r="J291" s="1091">
        <f>+IF(AND(I254=0,J254&gt;0),J254*($D$210/12),I291)</f>
        <v/>
      </c>
      <c r="K291" s="1091">
        <f>+IF(AND(J254=0,K254&gt;0),K254*($D$210/12),J291)</f>
        <v/>
      </c>
      <c r="L291" s="174">
        <f>+IF(AND(K254=0,L254&gt;0),L254*($D$210/12),K291)</f>
        <v/>
      </c>
      <c r="M291" s="1091">
        <f>+IF(AND(L254=0,M254&gt;0),M254*($D$210/12),L291)</f>
        <v/>
      </c>
      <c r="N291" s="1091">
        <f>+IF(AND(M254=0,N254&gt;0),N254*($D$210/12),M291)</f>
        <v/>
      </c>
      <c r="O291" s="1091">
        <f>+IF(AND(N254=0,O254&gt;0),O254*($D$210/12),N291)</f>
        <v/>
      </c>
      <c r="P291" s="1091">
        <f>+IF(AND(O254=0,P254&gt;0),P254*($D$210/12),O291)</f>
        <v/>
      </c>
      <c r="Q291" s="1091">
        <f>+IF(AND(P254=0,Q254&gt;0),Q254*($D$210/12),P291)</f>
        <v/>
      </c>
      <c r="R291" s="174">
        <f>+IF(AND(Q254=0,R254&gt;0),R254*($D$210/12),Q291)</f>
        <v/>
      </c>
      <c r="S291" s="1091">
        <f>+IF(AND(R254=0,S254&gt;0),S254*($D$210/12),R291)</f>
        <v/>
      </c>
      <c r="T291" s="1091">
        <f>+IF(AND(S254=0,T254&gt;0),T254*($D$210/12),S291)</f>
        <v/>
      </c>
      <c r="U291" s="1091">
        <f>+IF(AND(T254=0,U254&gt;0),U254*($D$210/12),T291)</f>
        <v/>
      </c>
      <c r="V291" s="1091">
        <f>+IF(AND(U254=0,V254&gt;0),V254*($D$210/12),U291)</f>
        <v/>
      </c>
      <c r="W291" s="1091">
        <f>+IF(AND(V254=0,W254&gt;0),W254*($D$210/12),V291)</f>
        <v/>
      </c>
      <c r="X291" s="174">
        <f>+IF(AND(W254=0,X254&gt;0),X254*($D$210/12),W291)</f>
        <v/>
      </c>
      <c r="Y291" s="1091">
        <f>+IF(AND(X254=0,Y254&gt;0),Y254*($D$210/12),X291)</f>
        <v/>
      </c>
      <c r="Z291" s="1091">
        <f>+IF(AND(Y254=0,Z254&gt;0),Z254*($D$210/12),Y291)</f>
        <v/>
      </c>
      <c r="AA291" s="1091">
        <f>+IF(AND(Z254=0,AA254&gt;0),AA254*($D$210/12),Z291)</f>
        <v/>
      </c>
      <c r="AB291" s="1091">
        <f>+IF(AND(AA254=0,AB254&gt;0),AB254*($D$210/12),AA291)</f>
        <v/>
      </c>
      <c r="AC291" s="1091">
        <f>+IF(AND(AB254=0,AC254&gt;0),AC254*($D$210/12),AB291)</f>
        <v/>
      </c>
      <c r="AD291" s="174">
        <f>+IF(AND(AC254=0,AD254&gt;0),AD254*($D$210/12),AC291)</f>
        <v/>
      </c>
      <c r="AE291" s="1091">
        <f>+IF(AND(AD254=0,AE254&gt;0),AE254*($D$210/12),AD291)</f>
        <v/>
      </c>
      <c r="AF291" s="1091">
        <f>+IF(AND(AE254=0,AF254&gt;0),AF254*($D$210/12),AE291)</f>
        <v/>
      </c>
      <c r="AG291" s="1091">
        <f>+IF(AND(AF254=0,AG254&gt;0),AG254*($D$210/12),AF291)</f>
        <v/>
      </c>
      <c r="AH291" s="1091">
        <f>+IF(AND(AG254=0,AH254&gt;0),AH254*($D$210/12),AG291)</f>
        <v/>
      </c>
      <c r="AI291" s="1091">
        <f>+IF(AND(AH254=0,AI254&gt;0),AI254*($D$210/12),AH291)</f>
        <v/>
      </c>
      <c r="AJ291" s="174">
        <f>+IF(AND(AI254=0,AJ254&gt;0),AJ254*($D$210/12),AI291)</f>
        <v/>
      </c>
      <c r="AK291" s="1091">
        <f>+IF(AND(AJ254=0,AK254&gt;0),AK254*($D$210/12),AJ291)</f>
        <v/>
      </c>
      <c r="AL291" s="1091">
        <f>+IF(AND(AK254=0,AL254&gt;0),AL254*($D$210/12),AK291)</f>
        <v/>
      </c>
      <c r="AM291" s="1091">
        <f>+IF(AND(AL254=0,AM254&gt;0),AM254*($D$210/12),AL291)</f>
        <v/>
      </c>
      <c r="AN291" s="1091">
        <f>+IF(AND(AM254=0,AN254&gt;0),AN254*($D$210/12),AM291)</f>
        <v/>
      </c>
      <c r="AO291" s="1091">
        <f>+IF(AND(AN254=0,AO254&gt;0),AO254*($D$210/12),AN291)</f>
        <v/>
      </c>
      <c r="AP291" s="174">
        <f>+IF(AND(AO254=0,AP254&gt;0),AP254*($D$210/12),AO291)</f>
        <v/>
      </c>
      <c r="AQ291" s="1091">
        <f>+IF(AND(AP254=0,AQ254&gt;0),AQ254*($D$210/12),AP291)</f>
        <v/>
      </c>
      <c r="AR291" s="1091">
        <f>+IF(AND(AQ254=0,AR254&gt;0),AR254*($D$210/12),AQ291)</f>
        <v/>
      </c>
      <c r="AS291" s="1091">
        <f>+IF(AND(AR254=0,AS254&gt;0),AS254*($D$210/12),AR291)</f>
        <v/>
      </c>
      <c r="AT291" s="1091">
        <f>+IF(AND(AS254=0,AT254&gt;0),AT254*($D$210/12),AS291)</f>
        <v/>
      </c>
      <c r="AU291" s="1091">
        <f>+IF(AND(AT254=0,AU254&gt;0),AU254*($D$210/12),AT291)</f>
        <v/>
      </c>
      <c r="AV291" s="174">
        <f>+IF(AND(AU254=0,AV254&gt;0),AV254*($D$210/12),AU291)</f>
        <v/>
      </c>
      <c r="AW291" s="1091">
        <f>+IF(AND(AV254=0,AW254&gt;0),AW254*($D$210/12),AV291)</f>
        <v/>
      </c>
      <c r="AX291" s="1091">
        <f>+IF(AND(AW254=0,AX254&gt;0),AX254*($D$210/12),AW291)</f>
        <v/>
      </c>
      <c r="AY291" s="1091">
        <f>+IF(AND(AX254=0,AY254&gt;0),AY254*($D$210/12),AX291)</f>
        <v/>
      </c>
      <c r="AZ291" s="1091">
        <f>+IF(AND(AY254=0,AZ254&gt;0),AZ254*($D$210/12),AY291)</f>
        <v/>
      </c>
      <c r="BA291" s="1091">
        <f>+IF(AND(AZ254=0,BA254&gt;0),BA254*($D$210/12),AZ291)</f>
        <v/>
      </c>
      <c r="BB291" s="174">
        <f>+IF(AND(BA254=0,BB254&gt;0),BB254*($D$210/12),BA291)</f>
        <v/>
      </c>
      <c r="BC291" s="1091">
        <f>+IF(AND(BB254=0,BC254&gt;0),BC254*($D$210/12),BB291)</f>
        <v/>
      </c>
      <c r="BD291" s="1091">
        <f>+IF(AND(BC254=0,BD254&gt;0),BD254*($D$210/12),BC291)</f>
        <v/>
      </c>
      <c r="BE291" s="1091">
        <f>+IF(AND(BD254=0,BE254&gt;0),BE254*($D$210/12),BD291)</f>
        <v/>
      </c>
      <c r="BF291" s="1091">
        <f>+IF(AND(BE254=0,BF254&gt;0),BF254*($D$210/12),BE291)</f>
        <v/>
      </c>
      <c r="BG291" s="1091">
        <f>+IF(AND(BF254=0,BG254&gt;0),BG254*($D$210/12),BF291)</f>
        <v/>
      </c>
      <c r="BH291" s="174">
        <f>+IF(AND(BG254=0,BH254&gt;0),BH254*($D$210/12),BG291)</f>
        <v/>
      </c>
      <c r="BI291" s="1091">
        <f>+IF(AND(BH254=0,BI254&gt;0),BI254*($D$210/12),BH291)</f>
        <v/>
      </c>
      <c r="BJ291" s="1091">
        <f>+IF(AND(BI254=0,BJ254&gt;0),BJ254*($D$210/12),BI291)</f>
        <v/>
      </c>
      <c r="BK291" s="1091">
        <f>+IF(AND(BJ254=0,BK254&gt;0),BK254*($D$210/12),BJ291)</f>
        <v/>
      </c>
      <c r="BL291" s="1091">
        <f>+IF(AND(BK254=0,BL254&gt;0),BL254*($D$210/12),BK291)</f>
        <v/>
      </c>
      <c r="BM291" s="1091">
        <f>+IF(AND(BL254=0,BM254&gt;0),BM254*($D$210/12),BL291)</f>
        <v/>
      </c>
      <c r="BN291" s="174">
        <f>+IF(AND(BM254=0,BN254&gt;0),BN254*($D$210/12),BM291)</f>
        <v/>
      </c>
    </row>
    <row r="292" ht="12.75" customHeight="1" s="1883">
      <c r="B292" s="1153" t="n"/>
      <c r="C292" s="1157" t="inlineStr">
        <is>
          <t>Amortization Expense - 32</t>
        </is>
      </c>
      <c r="D292" s="670" t="n"/>
      <c r="E292" s="671" t="n"/>
      <c r="F292" s="74" t="n"/>
      <c r="G292" s="1091">
        <f>+IF(AND(F255=0,G255&gt;0),G255*($D$210/12),F292)</f>
        <v/>
      </c>
      <c r="H292" s="1091">
        <f>+IF(AND(G255=0,H255&gt;0),H255*($D$210/12),G292)</f>
        <v/>
      </c>
      <c r="I292" s="1091">
        <f>+IF(AND(H255=0,I255&gt;0),I255*($D$210/12),H292)</f>
        <v/>
      </c>
      <c r="J292" s="1091">
        <f>+IF(AND(I255=0,J255&gt;0),J255*($D$210/12),I292)</f>
        <v/>
      </c>
      <c r="K292" s="1091">
        <f>+IF(AND(J255=0,K255&gt;0),K255*($D$210/12),J292)</f>
        <v/>
      </c>
      <c r="L292" s="174">
        <f>+IF(AND(K255=0,L255&gt;0),L255*($D$210/12),K292)</f>
        <v/>
      </c>
      <c r="M292" s="1091">
        <f>+IF(AND(L255=0,M255&gt;0),M255*($D$210/12),L292)</f>
        <v/>
      </c>
      <c r="N292" s="1091">
        <f>+IF(AND(M255=0,N255&gt;0),N255*($D$210/12),M292)</f>
        <v/>
      </c>
      <c r="O292" s="1091">
        <f>+IF(AND(N255=0,O255&gt;0),O255*($D$210/12),N292)</f>
        <v/>
      </c>
      <c r="P292" s="1091">
        <f>+IF(AND(O255=0,P255&gt;0),P255*($D$210/12),O292)</f>
        <v/>
      </c>
      <c r="Q292" s="1091">
        <f>+IF(AND(P255=0,Q255&gt;0),Q255*($D$210/12),P292)</f>
        <v/>
      </c>
      <c r="R292" s="174">
        <f>+IF(AND(Q255=0,R255&gt;0),R255*($D$210/12),Q292)</f>
        <v/>
      </c>
      <c r="S292" s="1091">
        <f>+IF(AND(R255=0,S255&gt;0),S255*($D$210/12),R292)</f>
        <v/>
      </c>
      <c r="T292" s="1091">
        <f>+IF(AND(S255=0,T255&gt;0),T255*($D$210/12),S292)</f>
        <v/>
      </c>
      <c r="U292" s="1091">
        <f>+IF(AND(T255=0,U255&gt;0),U255*($D$210/12),T292)</f>
        <v/>
      </c>
      <c r="V292" s="1091">
        <f>+IF(AND(U255=0,V255&gt;0),V255*($D$210/12),U292)</f>
        <v/>
      </c>
      <c r="W292" s="1091">
        <f>+IF(AND(V255=0,W255&gt;0),W255*($D$210/12),V292)</f>
        <v/>
      </c>
      <c r="X292" s="174">
        <f>+IF(AND(W255=0,X255&gt;0),X255*($D$210/12),W292)</f>
        <v/>
      </c>
      <c r="Y292" s="1091">
        <f>+IF(AND(X255=0,Y255&gt;0),Y255*($D$210/12),X292)</f>
        <v/>
      </c>
      <c r="Z292" s="1091">
        <f>+IF(AND(Y255=0,Z255&gt;0),Z255*($D$210/12),Y292)</f>
        <v/>
      </c>
      <c r="AA292" s="1091">
        <f>+IF(AND(Z255=0,AA255&gt;0),AA255*($D$210/12),Z292)</f>
        <v/>
      </c>
      <c r="AB292" s="1091">
        <f>+IF(AND(AA255=0,AB255&gt;0),AB255*($D$210/12),AA292)</f>
        <v/>
      </c>
      <c r="AC292" s="1091">
        <f>+IF(AND(AB255=0,AC255&gt;0),AC255*($D$210/12),AB292)</f>
        <v/>
      </c>
      <c r="AD292" s="174">
        <f>+IF(AND(AC255=0,AD255&gt;0),AD255*($D$210/12),AC292)</f>
        <v/>
      </c>
      <c r="AE292" s="1091">
        <f>+IF(AND(AD255=0,AE255&gt;0),AE255*($D$210/12),AD292)</f>
        <v/>
      </c>
      <c r="AF292" s="1091">
        <f>+IF(AND(AE255=0,AF255&gt;0),AF255*($D$210/12),AE292)</f>
        <v/>
      </c>
      <c r="AG292" s="1091">
        <f>+IF(AND(AF255=0,AG255&gt;0),AG255*($D$210/12),AF292)</f>
        <v/>
      </c>
      <c r="AH292" s="1091">
        <f>+IF(AND(AG255=0,AH255&gt;0),AH255*($D$210/12),AG292)</f>
        <v/>
      </c>
      <c r="AI292" s="1091">
        <f>+IF(AND(AH255=0,AI255&gt;0),AI255*($D$210/12),AH292)</f>
        <v/>
      </c>
      <c r="AJ292" s="174">
        <f>+IF(AND(AI255=0,AJ255&gt;0),AJ255*($D$210/12),AI292)</f>
        <v/>
      </c>
      <c r="AK292" s="1091">
        <f>+IF(AND(AJ255=0,AK255&gt;0),AK255*($D$210/12),AJ292)</f>
        <v/>
      </c>
      <c r="AL292" s="1091">
        <f>+IF(AND(AK255=0,AL255&gt;0),AL255*($D$210/12),AK292)</f>
        <v/>
      </c>
      <c r="AM292" s="1091">
        <f>+IF(AND(AL255=0,AM255&gt;0),AM255*($D$210/12),AL292)</f>
        <v/>
      </c>
      <c r="AN292" s="1091">
        <f>+IF(AND(AM255=0,AN255&gt;0),AN255*($D$210/12),AM292)</f>
        <v/>
      </c>
      <c r="AO292" s="1091">
        <f>+IF(AND(AN255=0,AO255&gt;0),AO255*($D$210/12),AN292)</f>
        <v/>
      </c>
      <c r="AP292" s="174">
        <f>+IF(AND(AO255=0,AP255&gt;0),AP255*($D$210/12),AO292)</f>
        <v/>
      </c>
      <c r="AQ292" s="1091">
        <f>+IF(AND(AP255=0,AQ255&gt;0),AQ255*($D$210/12),AP292)</f>
        <v/>
      </c>
      <c r="AR292" s="1091">
        <f>+IF(AND(AQ255=0,AR255&gt;0),AR255*($D$210/12),AQ292)</f>
        <v/>
      </c>
      <c r="AS292" s="1091">
        <f>+IF(AND(AR255=0,AS255&gt;0),AS255*($D$210/12),AR292)</f>
        <v/>
      </c>
      <c r="AT292" s="1091">
        <f>+IF(AND(AS255=0,AT255&gt;0),AT255*($D$210/12),AS292)</f>
        <v/>
      </c>
      <c r="AU292" s="1091">
        <f>+IF(AND(AT255=0,AU255&gt;0),AU255*($D$210/12),AT292)</f>
        <v/>
      </c>
      <c r="AV292" s="174">
        <f>+IF(AND(AU255=0,AV255&gt;0),AV255*($D$210/12),AU292)</f>
        <v/>
      </c>
      <c r="AW292" s="1091">
        <f>+IF(AND(AV255=0,AW255&gt;0),AW255*($D$210/12),AV292)</f>
        <v/>
      </c>
      <c r="AX292" s="1091">
        <f>+IF(AND(AW255=0,AX255&gt;0),AX255*($D$210/12),AW292)</f>
        <v/>
      </c>
      <c r="AY292" s="1091">
        <f>+IF(AND(AX255=0,AY255&gt;0),AY255*($D$210/12),AX292)</f>
        <v/>
      </c>
      <c r="AZ292" s="1091">
        <f>+IF(AND(AY255=0,AZ255&gt;0),AZ255*($D$210/12),AY292)</f>
        <v/>
      </c>
      <c r="BA292" s="1091">
        <f>+IF(AND(AZ255=0,BA255&gt;0),BA255*($D$210/12),AZ292)</f>
        <v/>
      </c>
      <c r="BB292" s="174">
        <f>+IF(AND(BA255=0,BB255&gt;0),BB255*($D$210/12),BA292)</f>
        <v/>
      </c>
      <c r="BC292" s="1091">
        <f>+IF(AND(BB255=0,BC255&gt;0),BC255*($D$210/12),BB292)</f>
        <v/>
      </c>
      <c r="BD292" s="1091">
        <f>+IF(AND(BC255=0,BD255&gt;0),BD255*($D$210/12),BC292)</f>
        <v/>
      </c>
      <c r="BE292" s="1091">
        <f>+IF(AND(BD255=0,BE255&gt;0),BE255*($D$210/12),BD292)</f>
        <v/>
      </c>
      <c r="BF292" s="1091">
        <f>+IF(AND(BE255=0,BF255&gt;0),BF255*($D$210/12),BE292)</f>
        <v/>
      </c>
      <c r="BG292" s="1091">
        <f>+IF(AND(BF255=0,BG255&gt;0),BG255*($D$210/12),BF292)</f>
        <v/>
      </c>
      <c r="BH292" s="174">
        <f>+IF(AND(BG255=0,BH255&gt;0),BH255*($D$210/12),BG292)</f>
        <v/>
      </c>
      <c r="BI292" s="1091">
        <f>+IF(AND(BH255=0,BI255&gt;0),BI255*($D$210/12),BH292)</f>
        <v/>
      </c>
      <c r="BJ292" s="1091">
        <f>+IF(AND(BI255=0,BJ255&gt;0),BJ255*($D$210/12),BI292)</f>
        <v/>
      </c>
      <c r="BK292" s="1091">
        <f>+IF(AND(BJ255=0,BK255&gt;0),BK255*($D$210/12),BJ292)</f>
        <v/>
      </c>
      <c r="BL292" s="1091">
        <f>+IF(AND(BK255=0,BL255&gt;0),BL255*($D$210/12),BK292)</f>
        <v/>
      </c>
      <c r="BM292" s="1091">
        <f>+IF(AND(BL255=0,BM255&gt;0),BM255*($D$210/12),BL292)</f>
        <v/>
      </c>
      <c r="BN292" s="174">
        <f>+IF(AND(BM255=0,BN255&gt;0),BN255*($D$210/12),BM292)</f>
        <v/>
      </c>
    </row>
    <row r="293" ht="12.75" customHeight="1" s="1883">
      <c r="B293" s="1153" t="n"/>
      <c r="C293" s="1157" t="inlineStr">
        <is>
          <t>Amortization Expense - 33</t>
        </is>
      </c>
      <c r="D293" s="670" t="n"/>
      <c r="E293" s="671" t="n"/>
      <c r="F293" s="74" t="n"/>
      <c r="G293" s="1091">
        <f>+IF(AND(F256=0,G256&gt;0),G256*($D$210/12),F293)</f>
        <v/>
      </c>
      <c r="H293" s="1091">
        <f>+IF(AND(G256=0,H256&gt;0),H256*($D$210/12),G293)</f>
        <v/>
      </c>
      <c r="I293" s="1091">
        <f>+IF(AND(H256=0,I256&gt;0),I256*($D$210/12),H293)</f>
        <v/>
      </c>
      <c r="J293" s="1091">
        <f>+IF(AND(I256=0,J256&gt;0),J256*($D$210/12),I293)</f>
        <v/>
      </c>
      <c r="K293" s="1091">
        <f>+IF(AND(J256=0,K256&gt;0),K256*($D$210/12),J293)</f>
        <v/>
      </c>
      <c r="L293" s="174">
        <f>+IF(AND(K256=0,L256&gt;0),L256*($D$210/12),K293)</f>
        <v/>
      </c>
      <c r="M293" s="1091">
        <f>+IF(AND(L256=0,M256&gt;0),M256*($D$210/12),L293)</f>
        <v/>
      </c>
      <c r="N293" s="1091">
        <f>+IF(AND(M256=0,N256&gt;0),N256*($D$210/12),M293)</f>
        <v/>
      </c>
      <c r="O293" s="1091">
        <f>+IF(AND(N256=0,O256&gt;0),O256*($D$210/12),N293)</f>
        <v/>
      </c>
      <c r="P293" s="1091">
        <f>+IF(AND(O256=0,P256&gt;0),P256*($D$210/12),O293)</f>
        <v/>
      </c>
      <c r="Q293" s="1091">
        <f>+IF(AND(P256=0,Q256&gt;0),Q256*($D$210/12),P293)</f>
        <v/>
      </c>
      <c r="R293" s="174">
        <f>+IF(AND(Q256=0,R256&gt;0),R256*($D$210/12),Q293)</f>
        <v/>
      </c>
      <c r="S293" s="1091">
        <f>+IF(AND(R256=0,S256&gt;0),S256*($D$210/12),R293)</f>
        <v/>
      </c>
      <c r="T293" s="1091">
        <f>+IF(AND(S256=0,T256&gt;0),T256*($D$210/12),S293)</f>
        <v/>
      </c>
      <c r="U293" s="1091">
        <f>+IF(AND(T256=0,U256&gt;0),U256*($D$210/12),T293)</f>
        <v/>
      </c>
      <c r="V293" s="1091">
        <f>+IF(AND(U256=0,V256&gt;0),V256*($D$210/12),U293)</f>
        <v/>
      </c>
      <c r="W293" s="1091">
        <f>+IF(AND(V256=0,W256&gt;0),W256*($D$210/12),V293)</f>
        <v/>
      </c>
      <c r="X293" s="174">
        <f>+IF(AND(W256=0,X256&gt;0),X256*($D$210/12),W293)</f>
        <v/>
      </c>
      <c r="Y293" s="1091">
        <f>+IF(AND(X256=0,Y256&gt;0),Y256*($D$210/12),X293)</f>
        <v/>
      </c>
      <c r="Z293" s="1091">
        <f>+IF(AND(Y256=0,Z256&gt;0),Z256*($D$210/12),Y293)</f>
        <v/>
      </c>
      <c r="AA293" s="1091">
        <f>+IF(AND(Z256=0,AA256&gt;0),AA256*($D$210/12),Z293)</f>
        <v/>
      </c>
      <c r="AB293" s="1091">
        <f>+IF(AND(AA256=0,AB256&gt;0),AB256*($D$210/12),AA293)</f>
        <v/>
      </c>
      <c r="AC293" s="1091">
        <f>+IF(AND(AB256=0,AC256&gt;0),AC256*($D$210/12),AB293)</f>
        <v/>
      </c>
      <c r="AD293" s="174">
        <f>+IF(AND(AC256=0,AD256&gt;0),AD256*($D$210/12),AC293)</f>
        <v/>
      </c>
      <c r="AE293" s="1091">
        <f>+IF(AND(AD256=0,AE256&gt;0),AE256*($D$210/12),AD293)</f>
        <v/>
      </c>
      <c r="AF293" s="1091">
        <f>+IF(AND(AE256=0,AF256&gt;0),AF256*($D$210/12),AE293)</f>
        <v/>
      </c>
      <c r="AG293" s="1091">
        <f>+IF(AND(AF256=0,AG256&gt;0),AG256*($D$210/12),AF293)</f>
        <v/>
      </c>
      <c r="AH293" s="1091">
        <f>+IF(AND(AG256=0,AH256&gt;0),AH256*($D$210/12),AG293)</f>
        <v/>
      </c>
      <c r="AI293" s="1091">
        <f>+IF(AND(AH256=0,AI256&gt;0),AI256*($D$210/12),AH293)</f>
        <v/>
      </c>
      <c r="AJ293" s="174">
        <f>+IF(AND(AI256=0,AJ256&gt;0),AJ256*($D$210/12),AI293)</f>
        <v/>
      </c>
      <c r="AK293" s="1091">
        <f>+IF(AND(AJ256=0,AK256&gt;0),AK256*($D$210/12),AJ293)</f>
        <v/>
      </c>
      <c r="AL293" s="1091">
        <f>+IF(AND(AK256=0,AL256&gt;0),AL256*($D$210/12),AK293)</f>
        <v/>
      </c>
      <c r="AM293" s="1091">
        <f>+IF(AND(AL256=0,AM256&gt;0),AM256*($D$210/12),AL293)</f>
        <v/>
      </c>
      <c r="AN293" s="1091">
        <f>+IF(AND(AM256=0,AN256&gt;0),AN256*($D$210/12),AM293)</f>
        <v/>
      </c>
      <c r="AO293" s="1091">
        <f>+IF(AND(AN256=0,AO256&gt;0),AO256*($D$210/12),AN293)</f>
        <v/>
      </c>
      <c r="AP293" s="174">
        <f>+IF(AND(AO256=0,AP256&gt;0),AP256*($D$210/12),AO293)</f>
        <v/>
      </c>
      <c r="AQ293" s="1091">
        <f>+IF(AND(AP256=0,AQ256&gt;0),AQ256*($D$210/12),AP293)</f>
        <v/>
      </c>
      <c r="AR293" s="1091">
        <f>+IF(AND(AQ256=0,AR256&gt;0),AR256*($D$210/12),AQ293)</f>
        <v/>
      </c>
      <c r="AS293" s="1091">
        <f>+IF(AND(AR256=0,AS256&gt;0),AS256*($D$210/12),AR293)</f>
        <v/>
      </c>
      <c r="AT293" s="1091">
        <f>+IF(AND(AS256=0,AT256&gt;0),AT256*($D$210/12),AS293)</f>
        <v/>
      </c>
      <c r="AU293" s="1091">
        <f>+IF(AND(AT256=0,AU256&gt;0),AU256*($D$210/12),AT293)</f>
        <v/>
      </c>
      <c r="AV293" s="174">
        <f>+IF(AND(AU256=0,AV256&gt;0),AV256*($D$210/12),AU293)</f>
        <v/>
      </c>
      <c r="AW293" s="1091">
        <f>+IF(AND(AV256=0,AW256&gt;0),AW256*($D$210/12),AV293)</f>
        <v/>
      </c>
      <c r="AX293" s="1091">
        <f>+IF(AND(AW256=0,AX256&gt;0),AX256*($D$210/12),AW293)</f>
        <v/>
      </c>
      <c r="AY293" s="1091">
        <f>+IF(AND(AX256=0,AY256&gt;0),AY256*($D$210/12),AX293)</f>
        <v/>
      </c>
      <c r="AZ293" s="1091">
        <f>+IF(AND(AY256=0,AZ256&gt;0),AZ256*($D$210/12),AY293)</f>
        <v/>
      </c>
      <c r="BA293" s="1091">
        <f>+IF(AND(AZ256=0,BA256&gt;0),BA256*($D$210/12),AZ293)</f>
        <v/>
      </c>
      <c r="BB293" s="174">
        <f>+IF(AND(BA256=0,BB256&gt;0),BB256*($D$210/12),BA293)</f>
        <v/>
      </c>
      <c r="BC293" s="1091">
        <f>+IF(AND(BB256=0,BC256&gt;0),BC256*($D$210/12),BB293)</f>
        <v/>
      </c>
      <c r="BD293" s="1091">
        <f>+IF(AND(BC256=0,BD256&gt;0),BD256*($D$210/12),BC293)</f>
        <v/>
      </c>
      <c r="BE293" s="1091">
        <f>+IF(AND(BD256=0,BE256&gt;0),BE256*($D$210/12),BD293)</f>
        <v/>
      </c>
      <c r="BF293" s="1091">
        <f>+IF(AND(BE256=0,BF256&gt;0),BF256*($D$210/12),BE293)</f>
        <v/>
      </c>
      <c r="BG293" s="1091">
        <f>+IF(AND(BF256=0,BG256&gt;0),BG256*($D$210/12),BF293)</f>
        <v/>
      </c>
      <c r="BH293" s="174">
        <f>+IF(AND(BG256=0,BH256&gt;0),BH256*($D$210/12),BG293)</f>
        <v/>
      </c>
      <c r="BI293" s="1091">
        <f>+IF(AND(BH256=0,BI256&gt;0),BI256*($D$210/12),BH293)</f>
        <v/>
      </c>
      <c r="BJ293" s="1091">
        <f>+IF(AND(BI256=0,BJ256&gt;0),BJ256*($D$210/12),BI293)</f>
        <v/>
      </c>
      <c r="BK293" s="1091">
        <f>+IF(AND(BJ256=0,BK256&gt;0),BK256*($D$210/12),BJ293)</f>
        <v/>
      </c>
      <c r="BL293" s="1091">
        <f>+IF(AND(BK256=0,BL256&gt;0),BL256*($D$210/12),BK293)</f>
        <v/>
      </c>
      <c r="BM293" s="1091">
        <f>+IF(AND(BL256=0,BM256&gt;0),BM256*($D$210/12),BL293)</f>
        <v/>
      </c>
      <c r="BN293" s="174">
        <f>+IF(AND(BM256=0,BN256&gt;0),BN256*($D$210/12),BM293)</f>
        <v/>
      </c>
    </row>
    <row r="294" ht="12.75" customHeight="1" s="1883">
      <c r="B294" s="1153" t="n"/>
      <c r="C294" s="1157" t="inlineStr">
        <is>
          <t>Accumulated Amortization - End</t>
        </is>
      </c>
      <c r="D294" s="670" t="n"/>
      <c r="E294" s="671" t="n"/>
      <c r="F294" s="74" t="n"/>
      <c r="G294" s="201">
        <f>+F294+SUM(G261:G293)</f>
        <v/>
      </c>
      <c r="H294" s="201">
        <f>+G294+SUM(H261:H293)</f>
        <v/>
      </c>
      <c r="I294" s="201">
        <f>+H294+SUM(I261:I293)</f>
        <v/>
      </c>
      <c r="J294" s="201">
        <f>+I294+SUM(J261:J293)</f>
        <v/>
      </c>
      <c r="K294" s="201">
        <f>+J294+SUM(K261:K293)</f>
        <v/>
      </c>
      <c r="L294" s="200">
        <f>+K294+SUM(L261:L293)</f>
        <v/>
      </c>
      <c r="M294" s="201">
        <f>+L294+SUM(M261:M293)</f>
        <v/>
      </c>
      <c r="N294" s="201">
        <f>+M294+SUM(N261:N293)</f>
        <v/>
      </c>
      <c r="O294" s="201">
        <f>+N294+SUM(O261:O293)</f>
        <v/>
      </c>
      <c r="P294" s="201">
        <f>+O294+SUM(P261:P293)</f>
        <v/>
      </c>
      <c r="Q294" s="201">
        <f>+P294+SUM(Q261:Q293)</f>
        <v/>
      </c>
      <c r="R294" s="200">
        <f>+Q294+SUM(R261:R293)</f>
        <v/>
      </c>
      <c r="S294" s="201">
        <f>+R294+SUM(S261:S293)</f>
        <v/>
      </c>
      <c r="T294" s="201">
        <f>+S294+SUM(T261:T293)</f>
        <v/>
      </c>
      <c r="U294" s="201">
        <f>+T294+SUM(U261:U293)</f>
        <v/>
      </c>
      <c r="V294" s="201">
        <f>+U294+SUM(V261:V293)</f>
        <v/>
      </c>
      <c r="W294" s="201">
        <f>+V294+SUM(W261:W293)</f>
        <v/>
      </c>
      <c r="X294" s="200">
        <f>+W294+SUM(X261:X293)</f>
        <v/>
      </c>
      <c r="Y294" s="201">
        <f>+X294+SUM(Y261:Y293)</f>
        <v/>
      </c>
      <c r="Z294" s="201">
        <f>+Y294+SUM(Z261:Z293)</f>
        <v/>
      </c>
      <c r="AA294" s="201">
        <f>+Z294+SUM(AA261:AA293)</f>
        <v/>
      </c>
      <c r="AB294" s="201">
        <f>+AA294+SUM(AB261:AB293)</f>
        <v/>
      </c>
      <c r="AC294" s="201">
        <f>+AB294+SUM(AC261:AC293)</f>
        <v/>
      </c>
      <c r="AD294" s="200">
        <f>+AC294+SUM(AD261:AD293)</f>
        <v/>
      </c>
      <c r="AE294" s="201">
        <f>+AD294+SUM(AE261:AE293)</f>
        <v/>
      </c>
      <c r="AF294" s="201">
        <f>+AE294+SUM(AF261:AF293)</f>
        <v/>
      </c>
      <c r="AG294" s="201">
        <f>+AF294+SUM(AG261:AG293)</f>
        <v/>
      </c>
      <c r="AH294" s="201">
        <f>+AG294+SUM(AH261:AH293)</f>
        <v/>
      </c>
      <c r="AI294" s="201">
        <f>+AH294+SUM(AI261:AI293)</f>
        <v/>
      </c>
      <c r="AJ294" s="200">
        <f>+AI294+SUM(AJ261:AJ293)</f>
        <v/>
      </c>
      <c r="AK294" s="201">
        <f>+AJ294+SUM(AK261:AK293)</f>
        <v/>
      </c>
      <c r="AL294" s="201">
        <f>+AK294+SUM(AL261:AL293)</f>
        <v/>
      </c>
      <c r="AM294" s="201">
        <f>+AL294+SUM(AM261:AM293)</f>
        <v/>
      </c>
      <c r="AN294" s="201">
        <f>+AM294+SUM(AN261:AN293)</f>
        <v/>
      </c>
      <c r="AO294" s="201">
        <f>+AN294+SUM(AO261:AO293)</f>
        <v/>
      </c>
      <c r="AP294" s="200">
        <f>+AO294+SUM(AP261:AP293)</f>
        <v/>
      </c>
      <c r="AQ294" s="201">
        <f>+AP294+SUM(AQ261:AQ293)</f>
        <v/>
      </c>
      <c r="AR294" s="201">
        <f>+AQ294+SUM(AR261:AR293)</f>
        <v/>
      </c>
      <c r="AS294" s="201">
        <f>+AR294+SUM(AS261:AS293)</f>
        <v/>
      </c>
      <c r="AT294" s="201">
        <f>+AS294+SUM(AT261:AT293)</f>
        <v/>
      </c>
      <c r="AU294" s="201">
        <f>+AT294+SUM(AU261:AU293)</f>
        <v/>
      </c>
      <c r="AV294" s="200">
        <f>+AU294+SUM(AV261:AV293)</f>
        <v/>
      </c>
      <c r="AW294" s="201">
        <f>+AV294+SUM(AW261:AW293)</f>
        <v/>
      </c>
      <c r="AX294" s="201">
        <f>+AW294+SUM(AX261:AX293)</f>
        <v/>
      </c>
      <c r="AY294" s="201">
        <f>+AX294+SUM(AY261:AY293)</f>
        <v/>
      </c>
      <c r="AZ294" s="201">
        <f>+AY294+SUM(AZ261:AZ293)</f>
        <v/>
      </c>
      <c r="BA294" s="201">
        <f>+AZ294+SUM(BA261:BA293)</f>
        <v/>
      </c>
      <c r="BB294" s="200">
        <f>+BA294+SUM(BB261:BB293)</f>
        <v/>
      </c>
      <c r="BC294" s="201">
        <f>+BB294+SUM(BC261:BC293)</f>
        <v/>
      </c>
      <c r="BD294" s="201">
        <f>+BC294+SUM(BD261:BD293)</f>
        <v/>
      </c>
      <c r="BE294" s="201">
        <f>+BD294+SUM(BE261:BE293)</f>
        <v/>
      </c>
      <c r="BF294" s="201">
        <f>+BE294+SUM(BF261:BF293)</f>
        <v/>
      </c>
      <c r="BG294" s="201">
        <f>+BF294+SUM(BG261:BG293)</f>
        <v/>
      </c>
      <c r="BH294" s="200">
        <f>+BG294+SUM(BH261:BH293)</f>
        <v/>
      </c>
      <c r="BI294" s="201">
        <f>+BH294+SUM(BI261:BI293)</f>
        <v/>
      </c>
      <c r="BJ294" s="201">
        <f>+BI294+SUM(BJ261:BJ293)</f>
        <v/>
      </c>
      <c r="BK294" s="201">
        <f>+BJ294+SUM(BK261:BK293)</f>
        <v/>
      </c>
      <c r="BL294" s="201">
        <f>+BK294+SUM(BL261:BL293)</f>
        <v/>
      </c>
      <c r="BM294" s="201">
        <f>+BL294+SUM(BM261:BM293)</f>
        <v/>
      </c>
      <c r="BN294" s="200">
        <f>+BM294+SUM(BN261:BN293)</f>
        <v/>
      </c>
    </row>
    <row r="295" ht="12.75" customHeight="1" s="1883">
      <c r="B295" s="1153" t="n"/>
      <c r="C295" s="1157" t="inlineStr">
        <is>
          <t>Computers Total (Staff) - Net</t>
        </is>
      </c>
      <c r="D295" s="670" t="n"/>
      <c r="E295" s="671" t="n"/>
      <c r="F295" s="74" t="n"/>
      <c r="G295" s="201">
        <f>+G211-G216-G294</f>
        <v/>
      </c>
      <c r="H295" s="201">
        <f>+H211-H216-H294</f>
        <v/>
      </c>
      <c r="I295" s="201">
        <f>+I211-I216-I294</f>
        <v/>
      </c>
      <c r="J295" s="201">
        <f>+J211-J216-J294</f>
        <v/>
      </c>
      <c r="K295" s="201">
        <f>+K211-K216-K294</f>
        <v/>
      </c>
      <c r="L295" s="200">
        <f>+L211-L216-L294</f>
        <v/>
      </c>
      <c r="M295" s="201">
        <f>+M211-M216-M294</f>
        <v/>
      </c>
      <c r="N295" s="201">
        <f>+N211-N216-N294</f>
        <v/>
      </c>
      <c r="O295" s="201">
        <f>+O211-O216-O294</f>
        <v/>
      </c>
      <c r="P295" s="201">
        <f>+P211-P216-P294</f>
        <v/>
      </c>
      <c r="Q295" s="201">
        <f>+Q211-Q216-Q294</f>
        <v/>
      </c>
      <c r="R295" s="200">
        <f>+R211-R216-R294</f>
        <v/>
      </c>
      <c r="S295" s="201">
        <f>+S211-S216-S294</f>
        <v/>
      </c>
      <c r="T295" s="201">
        <f>+T211-T216-T294</f>
        <v/>
      </c>
      <c r="U295" s="201">
        <f>+U211-U216-U294</f>
        <v/>
      </c>
      <c r="V295" s="201">
        <f>+V211-V216-V294</f>
        <v/>
      </c>
      <c r="W295" s="201">
        <f>+W211-W216-W294</f>
        <v/>
      </c>
      <c r="X295" s="200">
        <f>+X211-X216-X294</f>
        <v/>
      </c>
      <c r="Y295" s="201">
        <f>+Y211-Y216-Y294</f>
        <v/>
      </c>
      <c r="Z295" s="201">
        <f>+Z211-Z216-Z294</f>
        <v/>
      </c>
      <c r="AA295" s="201">
        <f>+AA211-AA216-AA294</f>
        <v/>
      </c>
      <c r="AB295" s="201">
        <f>+AB211-AB216-AB294</f>
        <v/>
      </c>
      <c r="AC295" s="201">
        <f>+AC211-AC216-AC294</f>
        <v/>
      </c>
      <c r="AD295" s="200">
        <f>+AD211-AD216-AD294</f>
        <v/>
      </c>
      <c r="AE295" s="201">
        <f>+AE211-AE216-AE294</f>
        <v/>
      </c>
      <c r="AF295" s="201">
        <f>+AF211-AF216-AF294</f>
        <v/>
      </c>
      <c r="AG295" s="201">
        <f>+AG211-AG216-AG294</f>
        <v/>
      </c>
      <c r="AH295" s="201">
        <f>+AH211-AH216-AH294</f>
        <v/>
      </c>
      <c r="AI295" s="201">
        <f>+AI211-AI216-AI294</f>
        <v/>
      </c>
      <c r="AJ295" s="200">
        <f>+AJ211-AJ216-AJ294</f>
        <v/>
      </c>
      <c r="AK295" s="201">
        <f>+AK211-AK216-AK294</f>
        <v/>
      </c>
      <c r="AL295" s="201">
        <f>+AL211-AL216-AL294</f>
        <v/>
      </c>
      <c r="AM295" s="201">
        <f>+AM211-AM216-AM294</f>
        <v/>
      </c>
      <c r="AN295" s="201">
        <f>+AN211-AN216-AN294</f>
        <v/>
      </c>
      <c r="AO295" s="201">
        <f>+AO211-AO216-AO294</f>
        <v/>
      </c>
      <c r="AP295" s="200">
        <f>+AP211-AP216-AP294</f>
        <v/>
      </c>
      <c r="AQ295" s="201">
        <f>+AQ211-AQ216-AQ294</f>
        <v/>
      </c>
      <c r="AR295" s="201">
        <f>+AR211-AR216-AR294</f>
        <v/>
      </c>
      <c r="AS295" s="201">
        <f>+AS211-AS216-AS294</f>
        <v/>
      </c>
      <c r="AT295" s="201">
        <f>+AT211-AT216-AT294</f>
        <v/>
      </c>
      <c r="AU295" s="201">
        <f>+AU211-AU216-AU294</f>
        <v/>
      </c>
      <c r="AV295" s="200">
        <f>+AV211-AV216-AV294</f>
        <v/>
      </c>
      <c r="AW295" s="201">
        <f>+AW211-AW216-AW294</f>
        <v/>
      </c>
      <c r="AX295" s="201">
        <f>+AX211-AX216-AX294</f>
        <v/>
      </c>
      <c r="AY295" s="201">
        <f>+AY211-AY216-AY294</f>
        <v/>
      </c>
      <c r="AZ295" s="201">
        <f>+AZ211-AZ216-AZ294</f>
        <v/>
      </c>
      <c r="BA295" s="201">
        <f>+BA211-BA216-BA294</f>
        <v/>
      </c>
      <c r="BB295" s="200">
        <f>+BB211-BB216-BB294</f>
        <v/>
      </c>
      <c r="BC295" s="201">
        <f>+BC211-BC216-BC294</f>
        <v/>
      </c>
      <c r="BD295" s="201">
        <f>+BD211-BD216-BD294</f>
        <v/>
      </c>
      <c r="BE295" s="201">
        <f>+BE211-BE216-BE294</f>
        <v/>
      </c>
      <c r="BF295" s="201">
        <f>+BF211-BF216-BF294</f>
        <v/>
      </c>
      <c r="BG295" s="201">
        <f>+BG211-BG216-BG294</f>
        <v/>
      </c>
      <c r="BH295" s="200">
        <f>+BH211-BH216-BH294</f>
        <v/>
      </c>
      <c r="BI295" s="201">
        <f>+BI211-BI216-BI294</f>
        <v/>
      </c>
      <c r="BJ295" s="201">
        <f>+BJ211-BJ216-BJ294</f>
        <v/>
      </c>
      <c r="BK295" s="201">
        <f>+BK211-BK216-BK294</f>
        <v/>
      </c>
      <c r="BL295" s="201">
        <f>+BL211-BL216-BL294</f>
        <v/>
      </c>
      <c r="BM295" s="201">
        <f>+BM211-BM216-BM294</f>
        <v/>
      </c>
      <c r="BN295" s="200">
        <f>+BN211-BN216-BN294</f>
        <v/>
      </c>
    </row>
    <row r="296" ht="12.75" customHeight="1" s="1883">
      <c r="B296" s="1153" t="n"/>
      <c r="C296" s="1155" t="n"/>
      <c r="D296" s="670" t="n"/>
      <c r="E296" s="671" t="n"/>
      <c r="F296" s="74" t="n"/>
      <c r="G296" s="1091" t="n"/>
      <c r="H296" s="1163" t="n"/>
      <c r="I296" s="1163" t="n"/>
      <c r="J296" s="1163" t="n"/>
      <c r="K296" s="1163" t="n"/>
      <c r="L296" s="203" t="n"/>
      <c r="M296" s="1163" t="n"/>
      <c r="N296" s="1163" t="n"/>
      <c r="O296" s="1163" t="n"/>
      <c r="P296" s="1163" t="n"/>
      <c r="Q296" s="1163" t="n"/>
      <c r="R296" s="203" t="n"/>
      <c r="S296" s="1163" t="n"/>
      <c r="T296" s="1163" t="n"/>
      <c r="U296" s="1163" t="n"/>
      <c r="V296" s="1163" t="n"/>
      <c r="W296" s="1163" t="n"/>
      <c r="X296" s="203" t="n"/>
      <c r="Y296" s="1163" t="n"/>
      <c r="Z296" s="1163" t="n"/>
      <c r="AA296" s="1163" t="n"/>
      <c r="AB296" s="1163" t="n"/>
      <c r="AC296" s="1163" t="n"/>
      <c r="AD296" s="203" t="n"/>
      <c r="AE296" s="1163" t="n"/>
      <c r="AF296" s="1163" t="n"/>
      <c r="AG296" s="1163" t="n"/>
      <c r="AH296" s="1163" t="n"/>
      <c r="AI296" s="1163" t="n"/>
      <c r="AJ296" s="203" t="n"/>
      <c r="AK296" s="1163" t="n"/>
      <c r="AL296" s="1163" t="n"/>
      <c r="AM296" s="1163" t="n"/>
      <c r="AN296" s="1163" t="n"/>
      <c r="AO296" s="1163" t="n"/>
      <c r="AP296" s="203" t="n"/>
      <c r="AQ296" s="1163" t="n"/>
      <c r="AR296" s="1163" t="n"/>
      <c r="AS296" s="1163" t="n"/>
      <c r="AT296" s="1163" t="n"/>
      <c r="AU296" s="1163" t="n"/>
      <c r="AV296" s="203" t="n"/>
      <c r="AW296" s="1163" t="n"/>
      <c r="AX296" s="1163" t="n"/>
      <c r="AY296" s="1163" t="n"/>
      <c r="AZ296" s="1163" t="n"/>
      <c r="BA296" s="1163" t="n"/>
      <c r="BB296" s="203" t="n"/>
      <c r="BC296" s="1163" t="n"/>
      <c r="BD296" s="1163" t="n"/>
      <c r="BE296" s="1163" t="n"/>
      <c r="BF296" s="1163" t="n"/>
      <c r="BG296" s="1163" t="n"/>
      <c r="BH296" s="203" t="n"/>
      <c r="BI296" s="1163" t="n"/>
      <c r="BJ296" s="1163" t="n"/>
      <c r="BK296" s="1163" t="n"/>
      <c r="BL296" s="1163" t="n"/>
      <c r="BM296" s="1163" t="n"/>
      <c r="BN296" s="203" t="n"/>
    </row>
    <row r="297" ht="12.75" customHeight="1" s="1883">
      <c r="B297" s="1153" t="inlineStr">
        <is>
          <t>BS</t>
        </is>
      </c>
      <c r="C297" s="1164" t="inlineStr">
        <is>
          <t>Computers (Staff) - Gross Cost End</t>
        </is>
      </c>
      <c r="D297" s="1056" t="n"/>
      <c r="E297" s="1057" t="n"/>
      <c r="F297" s="74" t="n"/>
      <c r="G297" s="1068">
        <f>+G211+G222</f>
        <v/>
      </c>
      <c r="H297" s="1163">
        <f>+G297+H222</f>
        <v/>
      </c>
      <c r="I297" s="1163">
        <f>+H297+I222</f>
        <v/>
      </c>
      <c r="J297" s="1163">
        <f>+I297+J222</f>
        <v/>
      </c>
      <c r="K297" s="1163">
        <f>+J297+K222</f>
        <v/>
      </c>
      <c r="L297" s="203">
        <f>+K297+L222</f>
        <v/>
      </c>
      <c r="M297" s="1163">
        <f>+L297+M222</f>
        <v/>
      </c>
      <c r="N297" s="1163">
        <f>+M297+N222</f>
        <v/>
      </c>
      <c r="O297" s="1163">
        <f>+N297+O222</f>
        <v/>
      </c>
      <c r="P297" s="1163">
        <f>+O297+P222</f>
        <v/>
      </c>
      <c r="Q297" s="1163">
        <f>+P297+Q222</f>
        <v/>
      </c>
      <c r="R297" s="203">
        <f>+Q297+R222</f>
        <v/>
      </c>
      <c r="S297" s="1163">
        <f>+R297+S222</f>
        <v/>
      </c>
      <c r="T297" s="1163">
        <f>+S297+T222</f>
        <v/>
      </c>
      <c r="U297" s="1163">
        <f>+T297+U222</f>
        <v/>
      </c>
      <c r="V297" s="1163">
        <f>+U297+V222</f>
        <v/>
      </c>
      <c r="W297" s="1163">
        <f>+V297+W222</f>
        <v/>
      </c>
      <c r="X297" s="203">
        <f>+W297+X222</f>
        <v/>
      </c>
      <c r="Y297" s="1163">
        <f>+X297+Y222</f>
        <v/>
      </c>
      <c r="Z297" s="1163">
        <f>+Y297+Z222</f>
        <v/>
      </c>
      <c r="AA297" s="1163">
        <f>+Z297+AA222</f>
        <v/>
      </c>
      <c r="AB297" s="1163">
        <f>+AA297+AB222</f>
        <v/>
      </c>
      <c r="AC297" s="1163">
        <f>+AB297+AC222</f>
        <v/>
      </c>
      <c r="AD297" s="203">
        <f>+AC297+AD222</f>
        <v/>
      </c>
      <c r="AE297" s="1163">
        <f>+AD297+AE222</f>
        <v/>
      </c>
      <c r="AF297" s="1163">
        <f>+AE297+AF222</f>
        <v/>
      </c>
      <c r="AG297" s="1163">
        <f>+AF297+AG222</f>
        <v/>
      </c>
      <c r="AH297" s="1163">
        <f>+AG297+AH222</f>
        <v/>
      </c>
      <c r="AI297" s="1163">
        <f>+AH297+AI222</f>
        <v/>
      </c>
      <c r="AJ297" s="203">
        <f>+AI297+AJ222</f>
        <v/>
      </c>
      <c r="AK297" s="1163">
        <f>+AJ297+AK222</f>
        <v/>
      </c>
      <c r="AL297" s="1163">
        <f>+AK297+AL222</f>
        <v/>
      </c>
      <c r="AM297" s="1163">
        <f>+AL297+AM222</f>
        <v/>
      </c>
      <c r="AN297" s="1163">
        <f>+AM297+AN222</f>
        <v/>
      </c>
      <c r="AO297" s="1163">
        <f>+AN297+AO222</f>
        <v/>
      </c>
      <c r="AP297" s="203">
        <f>+AO297+AP222</f>
        <v/>
      </c>
      <c r="AQ297" s="1163">
        <f>+AP297+AQ222</f>
        <v/>
      </c>
      <c r="AR297" s="1163">
        <f>+AQ297+AR222</f>
        <v/>
      </c>
      <c r="AS297" s="1163">
        <f>+AR297+AS222</f>
        <v/>
      </c>
      <c r="AT297" s="1163">
        <f>+AS297+AT222</f>
        <v/>
      </c>
      <c r="AU297" s="1163">
        <f>+AT297+AU222</f>
        <v/>
      </c>
      <c r="AV297" s="203">
        <f>+AU297+AV222</f>
        <v/>
      </c>
      <c r="AW297" s="1163">
        <f>+AV297+AW222</f>
        <v/>
      </c>
      <c r="AX297" s="1163">
        <f>+AW297+AX222</f>
        <v/>
      </c>
      <c r="AY297" s="1163">
        <f>+AX297+AY222</f>
        <v/>
      </c>
      <c r="AZ297" s="1163">
        <f>+AY297+AZ222</f>
        <v/>
      </c>
      <c r="BA297" s="1163">
        <f>+AZ297+BA222</f>
        <v/>
      </c>
      <c r="BB297" s="203">
        <f>+BA297+BB222</f>
        <v/>
      </c>
      <c r="BC297" s="1163">
        <f>+BB297+BC222</f>
        <v/>
      </c>
      <c r="BD297" s="1163">
        <f>+BC297+BD222</f>
        <v/>
      </c>
      <c r="BE297" s="1163">
        <f>+BD297+BE222</f>
        <v/>
      </c>
      <c r="BF297" s="1163">
        <f>+BE297+BF222</f>
        <v/>
      </c>
      <c r="BG297" s="1163">
        <f>+BF297+BG222</f>
        <v/>
      </c>
      <c r="BH297" s="203">
        <f>+BG297+BH222</f>
        <v/>
      </c>
      <c r="BI297" s="1163">
        <f>+BH297+BI222</f>
        <v/>
      </c>
      <c r="BJ297" s="1163">
        <f>+BI297+BJ222</f>
        <v/>
      </c>
      <c r="BK297" s="1163">
        <f>+BJ297+BK222</f>
        <v/>
      </c>
      <c r="BL297" s="1163">
        <f>+BK297+BL222</f>
        <v/>
      </c>
      <c r="BM297" s="1163">
        <f>+BL297+BM222</f>
        <v/>
      </c>
      <c r="BN297" s="203">
        <f>+BM297+BN222</f>
        <v/>
      </c>
    </row>
    <row r="298" ht="12.75" customHeight="1" s="1883">
      <c r="B298" s="1153" t="n"/>
      <c r="C298" s="1040" t="n"/>
      <c r="D298" s="670" t="n"/>
      <c r="E298" s="671" t="n"/>
      <c r="F298" s="74" t="n"/>
      <c r="G298" s="1091" t="n"/>
      <c r="H298" s="1081" t="n"/>
      <c r="I298" s="1081" t="n"/>
      <c r="J298" s="1081" t="n"/>
      <c r="K298" s="1081" t="n"/>
      <c r="L298" s="199" t="n"/>
      <c r="M298" s="1042" t="n"/>
      <c r="N298" s="1042" t="n"/>
      <c r="O298" s="1042" t="n"/>
      <c r="P298" s="1042" t="n"/>
      <c r="Q298" s="1042" t="n"/>
      <c r="R298" s="156" t="n"/>
      <c r="S298" s="1042" t="n"/>
      <c r="T298" s="1042" t="n"/>
      <c r="U298" s="1042" t="n"/>
      <c r="V298" s="1042" t="n"/>
      <c r="W298" s="1042" t="n"/>
      <c r="X298" s="156" t="n"/>
      <c r="Y298" s="1042" t="n"/>
      <c r="Z298" s="1042" t="n"/>
      <c r="AA298" s="1042" t="n"/>
      <c r="AB298" s="1042" t="n"/>
      <c r="AC298" s="1042" t="n"/>
      <c r="AD298" s="156" t="n"/>
      <c r="AE298" s="1042" t="n"/>
      <c r="AF298" s="1042" t="n"/>
      <c r="AG298" s="1042" t="n"/>
      <c r="AH298" s="1042" t="n"/>
      <c r="AI298" s="1042" t="n"/>
      <c r="AJ298" s="156" t="n"/>
      <c r="AK298" s="1042" t="n"/>
      <c r="AL298" s="1042" t="n"/>
      <c r="AM298" s="1042" t="n"/>
      <c r="AN298" s="1042" t="n"/>
      <c r="AO298" s="1042" t="n"/>
      <c r="AP298" s="156" t="n"/>
      <c r="AQ298" s="1042" t="n"/>
      <c r="AR298" s="1042" t="n"/>
      <c r="AS298" s="1042" t="n"/>
      <c r="AT298" s="1042" t="n"/>
      <c r="AU298" s="1042" t="n"/>
      <c r="AV298" s="156" t="n"/>
      <c r="AW298" s="1042" t="n"/>
      <c r="AX298" s="1042" t="n"/>
      <c r="AY298" s="1042" t="n"/>
      <c r="AZ298" s="1042" t="n"/>
      <c r="BA298" s="1042" t="n"/>
      <c r="BB298" s="156" t="n"/>
      <c r="BC298" s="1042" t="n"/>
      <c r="BD298" s="1042" t="n"/>
      <c r="BE298" s="1042" t="n"/>
      <c r="BF298" s="1042" t="n"/>
      <c r="BG298" s="1042" t="n"/>
      <c r="BH298" s="156" t="n"/>
      <c r="BI298" s="1042" t="n"/>
      <c r="BJ298" s="1042" t="n"/>
      <c r="BK298" s="1042" t="n"/>
      <c r="BL298" s="1042" t="n"/>
      <c r="BM298" s="1042" t="n"/>
      <c r="BN298" s="156" t="n"/>
    </row>
    <row r="299" ht="12.75" customHeight="1" s="1883">
      <c r="B299" s="1153" t="inlineStr">
        <is>
          <t>IS</t>
        </is>
      </c>
      <c r="C299" s="1928" t="inlineStr">
        <is>
          <t>Total Amortization Expense - Computers</t>
        </is>
      </c>
      <c r="D299" s="1056" t="n"/>
      <c r="E299" s="1057" t="n"/>
      <c r="F299" s="74" t="n"/>
      <c r="G299" s="1068">
        <f>+G215+SUM(G261:G293)</f>
        <v/>
      </c>
      <c r="H299" s="1068">
        <f>+H215+SUM(H261:H293)</f>
        <v/>
      </c>
      <c r="I299" s="1068">
        <f>+I215+SUM(I261:I293)</f>
        <v/>
      </c>
      <c r="J299" s="1068">
        <f>+J215+SUM(J261:J293)</f>
        <v/>
      </c>
      <c r="K299" s="1068">
        <f>+K215+SUM(K261:K293)</f>
        <v/>
      </c>
      <c r="L299" s="168">
        <f>+L215+SUM(L261:L293)</f>
        <v/>
      </c>
      <c r="M299" s="1068">
        <f>+M215+SUM(M261:M293)</f>
        <v/>
      </c>
      <c r="N299" s="1068">
        <f>+N215+SUM(N261:N293)</f>
        <v/>
      </c>
      <c r="O299" s="1068">
        <f>+O215+SUM(O261:O293)</f>
        <v/>
      </c>
      <c r="P299" s="1068">
        <f>+P215+SUM(P261:P293)</f>
        <v/>
      </c>
      <c r="Q299" s="1068">
        <f>+Q215+SUM(Q261:Q293)</f>
        <v/>
      </c>
      <c r="R299" s="168">
        <f>+R215+SUM(R261:R293)</f>
        <v/>
      </c>
      <c r="S299" s="1068">
        <f>+S215+SUM(S261:S293)</f>
        <v/>
      </c>
      <c r="T299" s="1068">
        <f>+T215+SUM(T261:T293)</f>
        <v/>
      </c>
      <c r="U299" s="1068">
        <f>+U215+SUM(U261:U293)</f>
        <v/>
      </c>
      <c r="V299" s="1068">
        <f>+V215+SUM(V261:V293)</f>
        <v/>
      </c>
      <c r="W299" s="1068">
        <f>+W215+SUM(W261:W293)</f>
        <v/>
      </c>
      <c r="X299" s="168">
        <f>+X215+SUM(X261:X293)</f>
        <v/>
      </c>
      <c r="Y299" s="1068">
        <f>+Y215+SUM(Y261:Y293)</f>
        <v/>
      </c>
      <c r="Z299" s="1068">
        <f>+Z215+SUM(Z261:Z293)</f>
        <v/>
      </c>
      <c r="AA299" s="1068">
        <f>+AA215+SUM(AA261:AA293)</f>
        <v/>
      </c>
      <c r="AB299" s="1068">
        <f>+AB215+SUM(AB261:AB293)</f>
        <v/>
      </c>
      <c r="AC299" s="1068">
        <f>+AC215+SUM(AC261:AC293)</f>
        <v/>
      </c>
      <c r="AD299" s="168">
        <f>+AD215+SUM(AD261:AD293)</f>
        <v/>
      </c>
      <c r="AE299" s="1068">
        <f>+AE215+SUM(AE261:AE293)</f>
        <v/>
      </c>
      <c r="AF299" s="1068">
        <f>+AF215+SUM(AF261:AF293)</f>
        <v/>
      </c>
      <c r="AG299" s="1068">
        <f>+AG215+SUM(AG261:AG293)</f>
        <v/>
      </c>
      <c r="AH299" s="1068">
        <f>+AH215+SUM(AH261:AH293)</f>
        <v/>
      </c>
      <c r="AI299" s="1068">
        <f>+AI215+SUM(AI261:AI293)</f>
        <v/>
      </c>
      <c r="AJ299" s="168">
        <f>+AJ215+SUM(AJ261:AJ293)</f>
        <v/>
      </c>
      <c r="AK299" s="1068">
        <f>+AK215+SUM(AK261:AK293)</f>
        <v/>
      </c>
      <c r="AL299" s="1068">
        <f>+AL215+SUM(AL261:AL293)</f>
        <v/>
      </c>
      <c r="AM299" s="1068">
        <f>+AM215+SUM(AM261:AM293)</f>
        <v/>
      </c>
      <c r="AN299" s="1068">
        <f>+AN215+SUM(AN261:AN293)</f>
        <v/>
      </c>
      <c r="AO299" s="1068">
        <f>+AO215+SUM(AO261:AO293)</f>
        <v/>
      </c>
      <c r="AP299" s="168">
        <f>+AP215+SUM(AP261:AP293)</f>
        <v/>
      </c>
      <c r="AQ299" s="1068">
        <f>+AQ215+SUM(AQ261:AQ293)</f>
        <v/>
      </c>
      <c r="AR299" s="1068">
        <f>+AR215+SUM(AR261:AR293)</f>
        <v/>
      </c>
      <c r="AS299" s="1068">
        <f>+AS215+SUM(AS261:AS293)</f>
        <v/>
      </c>
      <c r="AT299" s="1068">
        <f>+AT215+SUM(AT261:AT293)</f>
        <v/>
      </c>
      <c r="AU299" s="1068">
        <f>+AU215+SUM(AU261:AU293)</f>
        <v/>
      </c>
      <c r="AV299" s="168">
        <f>+AV215+SUM(AV261:AV293)</f>
        <v/>
      </c>
      <c r="AW299" s="1068">
        <f>+AW215+SUM(AW261:AW293)</f>
        <v/>
      </c>
      <c r="AX299" s="1068">
        <f>+AX215+SUM(AX261:AX293)</f>
        <v/>
      </c>
      <c r="AY299" s="1068">
        <f>+AY215+SUM(AY261:AY293)</f>
        <v/>
      </c>
      <c r="AZ299" s="1068">
        <f>+AZ215+SUM(AZ261:AZ293)</f>
        <v/>
      </c>
      <c r="BA299" s="1068">
        <f>+BA215+SUM(BA261:BA293)</f>
        <v/>
      </c>
      <c r="BB299" s="168">
        <f>+BB215+SUM(BB261:BB293)</f>
        <v/>
      </c>
      <c r="BC299" s="1068">
        <f>+BC215+SUM(BC261:BC293)</f>
        <v/>
      </c>
      <c r="BD299" s="1068">
        <f>+BD215+SUM(BD261:BD293)</f>
        <v/>
      </c>
      <c r="BE299" s="1068">
        <f>+BE215+SUM(BE261:BE293)</f>
        <v/>
      </c>
      <c r="BF299" s="1068">
        <f>+BF215+SUM(BF261:BF293)</f>
        <v/>
      </c>
      <c r="BG299" s="1068">
        <f>+BG215+SUM(BG261:BG293)</f>
        <v/>
      </c>
      <c r="BH299" s="168">
        <f>+BH215+SUM(BH261:BH293)</f>
        <v/>
      </c>
      <c r="BI299" s="1068">
        <f>+BI215+SUM(BI261:BI293)</f>
        <v/>
      </c>
      <c r="BJ299" s="1068">
        <f>+BJ215+SUM(BJ261:BJ293)</f>
        <v/>
      </c>
      <c r="BK299" s="1068">
        <f>+BK215+SUM(BK261:BK293)</f>
        <v/>
      </c>
      <c r="BL299" s="1068">
        <f>+BL215+SUM(BL261:BL293)</f>
        <v/>
      </c>
      <c r="BM299" s="1068">
        <f>+BM215+SUM(BM261:BM293)</f>
        <v/>
      </c>
      <c r="BN299" s="168">
        <f>+BN215+SUM(BN261:BN293)</f>
        <v/>
      </c>
    </row>
    <row r="300" ht="12.75" customHeight="1" s="1883">
      <c r="B300" s="1153" t="n"/>
      <c r="C300" s="1165" t="n"/>
      <c r="D300" s="1166" t="n"/>
      <c r="E300" s="1167" t="n"/>
      <c r="F300" s="1168" t="n"/>
      <c r="G300" s="1169" t="n"/>
      <c r="H300" s="1170" t="n"/>
      <c r="I300" s="1170" t="n"/>
      <c r="J300" s="1170" t="n"/>
      <c r="K300" s="1170" t="n"/>
      <c r="L300" s="204" t="n"/>
      <c r="M300" s="1171" t="n"/>
      <c r="N300" s="1171" t="n"/>
      <c r="O300" s="1171" t="n"/>
      <c r="P300" s="1171" t="n"/>
      <c r="Q300" s="1171" t="n"/>
      <c r="R300" s="205" t="n"/>
      <c r="S300" s="1171" t="n"/>
      <c r="T300" s="1171" t="n"/>
      <c r="U300" s="1171" t="n"/>
      <c r="V300" s="1171" t="n"/>
      <c r="W300" s="1171" t="n"/>
      <c r="X300" s="205" t="n"/>
      <c r="Y300" s="1171" t="n"/>
      <c r="Z300" s="1171" t="n"/>
      <c r="AA300" s="1171" t="n"/>
      <c r="AB300" s="1171" t="n"/>
      <c r="AC300" s="1171" t="n"/>
      <c r="AD300" s="205" t="n"/>
      <c r="AE300" s="1171" t="n"/>
      <c r="AF300" s="1171" t="n"/>
      <c r="AG300" s="1171" t="n"/>
      <c r="AH300" s="1171" t="n"/>
      <c r="AI300" s="1171" t="n"/>
      <c r="AJ300" s="205" t="n"/>
      <c r="AK300" s="1171" t="n"/>
      <c r="AL300" s="1171" t="n"/>
      <c r="AM300" s="1171" t="n"/>
      <c r="AN300" s="1171" t="n"/>
      <c r="AO300" s="1171" t="n"/>
      <c r="AP300" s="205" t="n"/>
      <c r="AQ300" s="1171" t="n"/>
      <c r="AR300" s="1171" t="n"/>
      <c r="AS300" s="1171" t="n"/>
      <c r="AT300" s="1171" t="n"/>
      <c r="AU300" s="1171" t="n"/>
      <c r="AV300" s="205" t="n"/>
      <c r="AW300" s="1171" t="n"/>
      <c r="AX300" s="1171" t="n"/>
      <c r="AY300" s="1171" t="n"/>
      <c r="AZ300" s="1171" t="n"/>
      <c r="BA300" s="1171" t="n"/>
      <c r="BB300" s="205" t="n"/>
      <c r="BC300" s="1171" t="n"/>
      <c r="BD300" s="1171" t="n"/>
      <c r="BE300" s="1171" t="n"/>
      <c r="BF300" s="1171" t="n"/>
      <c r="BG300" s="1171" t="n"/>
      <c r="BH300" s="205" t="n"/>
      <c r="BI300" s="1171" t="n"/>
      <c r="BJ300" s="1171" t="n"/>
      <c r="BK300" s="1171" t="n"/>
      <c r="BL300" s="1171" t="n"/>
      <c r="BM300" s="1171" t="n"/>
      <c r="BN300" s="205" t="n"/>
    </row>
    <row r="301" ht="12.75" customHeight="1" s="1883">
      <c r="B301" s="1153" t="n"/>
      <c r="C301" s="1918" t="inlineStr">
        <is>
          <t>Furniture &amp; Fixtures</t>
        </is>
      </c>
      <c r="D301" s="1154" t="n">
        <v>0.16</v>
      </c>
      <c r="E301" s="1155" t="inlineStr">
        <is>
          <t>Annual Amort Rate</t>
        </is>
      </c>
      <c r="F301" s="56" t="n"/>
      <c r="G301" s="1081" t="n"/>
      <c r="H301" s="1081" t="n"/>
      <c r="I301" s="1081" t="n"/>
      <c r="J301" s="1081" t="n"/>
      <c r="K301" s="1081" t="n"/>
      <c r="L301" s="199" t="n"/>
      <c r="M301" s="1042" t="n"/>
      <c r="N301" s="1042" t="n"/>
      <c r="O301" s="1042" t="n"/>
      <c r="P301" s="1042" t="n"/>
      <c r="Q301" s="1042" t="n"/>
      <c r="R301" s="156" t="n"/>
      <c r="S301" s="1042" t="n"/>
      <c r="T301" s="1042" t="n"/>
      <c r="U301" s="1042" t="n"/>
      <c r="V301" s="1042" t="n"/>
      <c r="W301" s="1042" t="n"/>
      <c r="X301" s="156" t="n"/>
      <c r="Y301" s="1042" t="n"/>
      <c r="Z301" s="1042" t="n"/>
      <c r="AA301" s="1042" t="n"/>
      <c r="AB301" s="1042" t="n"/>
      <c r="AC301" s="1042" t="n"/>
      <c r="AD301" s="156" t="n"/>
      <c r="AE301" s="1042" t="n"/>
      <c r="AF301" s="1042" t="n"/>
      <c r="AG301" s="1042" t="n"/>
      <c r="AH301" s="1042" t="n"/>
      <c r="AI301" s="1042" t="n"/>
      <c r="AJ301" s="156" t="n"/>
      <c r="AK301" s="1042" t="n"/>
      <c r="AL301" s="1042" t="n"/>
      <c r="AM301" s="1042" t="n"/>
      <c r="AN301" s="1042" t="n"/>
      <c r="AO301" s="1042" t="n"/>
      <c r="AP301" s="156" t="n"/>
      <c r="AQ301" s="1042" t="n"/>
      <c r="AR301" s="1042" t="n"/>
      <c r="AS301" s="1042" t="n"/>
      <c r="AT301" s="1042" t="n"/>
      <c r="AU301" s="1042" t="n"/>
      <c r="AV301" s="156" t="n"/>
      <c r="AW301" s="1042" t="n"/>
      <c r="AX301" s="1042" t="n"/>
      <c r="AY301" s="1042" t="n"/>
      <c r="AZ301" s="1042" t="n"/>
      <c r="BA301" s="1042" t="n"/>
      <c r="BB301" s="156" t="n"/>
      <c r="BC301" s="1042" t="n"/>
      <c r="BD301" s="1042" t="n"/>
      <c r="BE301" s="1042" t="n"/>
      <c r="BF301" s="1042" t="n"/>
      <c r="BG301" s="1042" t="n"/>
      <c r="BH301" s="156" t="n"/>
      <c r="BI301" s="1042" t="n"/>
      <c r="BJ301" s="1042" t="n"/>
      <c r="BK301" s="1042" t="n"/>
      <c r="BL301" s="1042" t="n"/>
      <c r="BM301" s="1042" t="n"/>
      <c r="BN301" s="156" t="n"/>
    </row>
    <row r="302" ht="12.75" customHeight="1" s="1883">
      <c r="B302" s="1153" t="n"/>
      <c r="C302" s="1157" t="inlineStr">
        <is>
          <t>Furniture &amp; Fixtures - Gross</t>
        </is>
      </c>
      <c r="D302" s="670" t="n"/>
      <c r="E302" s="671" t="n"/>
      <c r="F302" s="74" t="n"/>
      <c r="G302" s="1091">
        <f>+SUM('6B. Pre-Launch Exps. - Detail'!L128:Q128)</f>
        <v/>
      </c>
      <c r="H302" s="1081">
        <f>+G390</f>
        <v/>
      </c>
      <c r="I302" s="1081">
        <f>+H390</f>
        <v/>
      </c>
      <c r="J302" s="1081">
        <f>+I390</f>
        <v/>
      </c>
      <c r="K302" s="1081">
        <f>+J390</f>
        <v/>
      </c>
      <c r="L302" s="199">
        <f>+K390</f>
        <v/>
      </c>
      <c r="M302" s="1081">
        <f>+L390</f>
        <v/>
      </c>
      <c r="N302" s="1081">
        <f>+M390</f>
        <v/>
      </c>
      <c r="O302" s="1081">
        <f>+N390</f>
        <v/>
      </c>
      <c r="P302" s="1081">
        <f>+O390</f>
        <v/>
      </c>
      <c r="Q302" s="1081">
        <f>+P390</f>
        <v/>
      </c>
      <c r="R302" s="199">
        <f>+Q390</f>
        <v/>
      </c>
      <c r="S302" s="1081">
        <f>+R390</f>
        <v/>
      </c>
      <c r="T302" s="1081">
        <f>+S390</f>
        <v/>
      </c>
      <c r="U302" s="1081">
        <f>+T390</f>
        <v/>
      </c>
      <c r="V302" s="1081">
        <f>+U390</f>
        <v/>
      </c>
      <c r="W302" s="1081">
        <f>+V390</f>
        <v/>
      </c>
      <c r="X302" s="199">
        <f>+W390</f>
        <v/>
      </c>
      <c r="Y302" s="1081">
        <f>+X390</f>
        <v/>
      </c>
      <c r="Z302" s="1081">
        <f>+Y390</f>
        <v/>
      </c>
      <c r="AA302" s="1081">
        <f>+Z390</f>
        <v/>
      </c>
      <c r="AB302" s="1081">
        <f>+AA390</f>
        <v/>
      </c>
      <c r="AC302" s="1081">
        <f>+AB390</f>
        <v/>
      </c>
      <c r="AD302" s="199">
        <f>+AC390</f>
        <v/>
      </c>
      <c r="AE302" s="1081">
        <f>+AD390</f>
        <v/>
      </c>
      <c r="AF302" s="1081">
        <f>+AE390</f>
        <v/>
      </c>
      <c r="AG302" s="1081">
        <f>+AF390</f>
        <v/>
      </c>
      <c r="AH302" s="1081">
        <f>+AG390</f>
        <v/>
      </c>
      <c r="AI302" s="1081">
        <f>+AH390</f>
        <v/>
      </c>
      <c r="AJ302" s="199">
        <f>+AI390</f>
        <v/>
      </c>
      <c r="AK302" s="1081">
        <f>+AJ390</f>
        <v/>
      </c>
      <c r="AL302" s="1081">
        <f>+AK390</f>
        <v/>
      </c>
      <c r="AM302" s="1081">
        <f>+AL390</f>
        <v/>
      </c>
      <c r="AN302" s="1081">
        <f>+AM390</f>
        <v/>
      </c>
      <c r="AO302" s="1081">
        <f>+AN390</f>
        <v/>
      </c>
      <c r="AP302" s="199">
        <f>+AO390</f>
        <v/>
      </c>
      <c r="AQ302" s="1081">
        <f>+AP390</f>
        <v/>
      </c>
      <c r="AR302" s="1081">
        <f>+AQ390</f>
        <v/>
      </c>
      <c r="AS302" s="1081">
        <f>+AR390</f>
        <v/>
      </c>
      <c r="AT302" s="1081">
        <f>+AS390</f>
        <v/>
      </c>
      <c r="AU302" s="1081">
        <f>+AT390</f>
        <v/>
      </c>
      <c r="AV302" s="199">
        <f>+AU390</f>
        <v/>
      </c>
      <c r="AW302" s="1081">
        <f>+AV390</f>
        <v/>
      </c>
      <c r="AX302" s="1081">
        <f>+AW390</f>
        <v/>
      </c>
      <c r="AY302" s="1081">
        <f>+AX390</f>
        <v/>
      </c>
      <c r="AZ302" s="1081">
        <f>+AY390</f>
        <v/>
      </c>
      <c r="BA302" s="1081">
        <f>+AZ390</f>
        <v/>
      </c>
      <c r="BB302" s="199">
        <f>+BA390</f>
        <v/>
      </c>
      <c r="BC302" s="1081">
        <f>+BB390</f>
        <v/>
      </c>
      <c r="BD302" s="1081">
        <f>+BC390</f>
        <v/>
      </c>
      <c r="BE302" s="1081">
        <f>+BD390</f>
        <v/>
      </c>
      <c r="BF302" s="1081">
        <f>+BE390</f>
        <v/>
      </c>
      <c r="BG302" s="1081">
        <f>+BF390</f>
        <v/>
      </c>
      <c r="BH302" s="199">
        <f>+BG390</f>
        <v/>
      </c>
      <c r="BI302" s="1081">
        <f>+BH390</f>
        <v/>
      </c>
      <c r="BJ302" s="1081">
        <f>+BI390</f>
        <v/>
      </c>
      <c r="BK302" s="1081">
        <f>+BJ390</f>
        <v/>
      </c>
      <c r="BL302" s="1081">
        <f>+BK390</f>
        <v/>
      </c>
      <c r="BM302" s="1081">
        <f>+BL390</f>
        <v/>
      </c>
      <c r="BN302" s="199">
        <f>+BM390</f>
        <v/>
      </c>
    </row>
    <row r="303" ht="12.75" customHeight="1" s="1883">
      <c r="B303" s="1153" t="n"/>
      <c r="C303" s="1155" t="n"/>
      <c r="D303" s="670" t="n"/>
      <c r="E303" s="671" t="n"/>
      <c r="F303" s="74" t="n"/>
      <c r="G303" s="1081" t="n"/>
      <c r="H303" s="1081" t="n"/>
      <c r="I303" s="1081" t="n"/>
      <c r="J303" s="1081" t="n"/>
      <c r="K303" s="1081" t="n"/>
      <c r="L303" s="199" t="n"/>
      <c r="M303" s="1081" t="n"/>
      <c r="N303" s="1081" t="n"/>
      <c r="O303" s="1081" t="n"/>
      <c r="P303" s="1081" t="n"/>
      <c r="Q303" s="1081" t="n"/>
      <c r="R303" s="199" t="n"/>
      <c r="S303" s="1081" t="n"/>
      <c r="T303" s="1081" t="n"/>
      <c r="U303" s="1081" t="n"/>
      <c r="V303" s="1081" t="n"/>
      <c r="W303" s="1081" t="n"/>
      <c r="X303" s="199" t="n"/>
      <c r="Y303" s="1081" t="n"/>
      <c r="Z303" s="1081" t="n"/>
      <c r="AA303" s="1081" t="n"/>
      <c r="AB303" s="1081" t="n"/>
      <c r="AC303" s="1081" t="n"/>
      <c r="AD303" s="199" t="n"/>
      <c r="AE303" s="1081" t="n"/>
      <c r="AF303" s="1081" t="n"/>
      <c r="AG303" s="1081" t="n"/>
      <c r="AH303" s="1081" t="n"/>
      <c r="AI303" s="1081" t="n"/>
      <c r="AJ303" s="199" t="n"/>
      <c r="AK303" s="1081" t="n"/>
      <c r="AL303" s="1081" t="n"/>
      <c r="AM303" s="1081" t="n"/>
      <c r="AN303" s="1081" t="n"/>
      <c r="AO303" s="1081" t="n"/>
      <c r="AP303" s="199" t="n"/>
      <c r="AQ303" s="1081" t="n"/>
      <c r="AR303" s="1081" t="n"/>
      <c r="AS303" s="1081" t="n"/>
      <c r="AT303" s="1081" t="n"/>
      <c r="AU303" s="1081" t="n"/>
      <c r="AV303" s="199" t="n"/>
      <c r="AW303" s="1081" t="n"/>
      <c r="AX303" s="1081" t="n"/>
      <c r="AY303" s="1081" t="n"/>
      <c r="AZ303" s="1081" t="n"/>
      <c r="BA303" s="1081" t="n"/>
      <c r="BB303" s="199" t="n"/>
      <c r="BC303" s="1081" t="n"/>
      <c r="BD303" s="1081" t="n"/>
      <c r="BE303" s="1081" t="n"/>
      <c r="BF303" s="1081" t="n"/>
      <c r="BG303" s="1081" t="n"/>
      <c r="BH303" s="199" t="n"/>
      <c r="BI303" s="1081" t="n"/>
      <c r="BJ303" s="1081" t="n"/>
      <c r="BK303" s="1081" t="n"/>
      <c r="BL303" s="1081" t="n"/>
      <c r="BM303" s="1081" t="n"/>
      <c r="BN303" s="199" t="n"/>
    </row>
    <row r="304" ht="12.75" customHeight="1" s="1883">
      <c r="B304" s="1153" t="n"/>
      <c r="C304" s="1155" t="inlineStr">
        <is>
          <t>Existing F&amp;F - Gross</t>
        </is>
      </c>
      <c r="D304" s="670" t="n"/>
      <c r="E304" s="671" t="n"/>
      <c r="F304" s="74" t="n"/>
      <c r="G304" s="1091">
        <f>+G302</f>
        <v/>
      </c>
      <c r="H304" s="1091">
        <f>+G304</f>
        <v/>
      </c>
      <c r="I304" s="1091">
        <f>+H304</f>
        <v/>
      </c>
      <c r="J304" s="1091">
        <f>+I304</f>
        <v/>
      </c>
      <c r="K304" s="1091">
        <f>+J304</f>
        <v/>
      </c>
      <c r="L304" s="174">
        <f>+K304</f>
        <v/>
      </c>
      <c r="M304" s="1091">
        <f>+L304</f>
        <v/>
      </c>
      <c r="N304" s="1091">
        <f>+M304</f>
        <v/>
      </c>
      <c r="O304" s="1091">
        <f>+N304</f>
        <v/>
      </c>
      <c r="P304" s="1091">
        <f>+O304</f>
        <v/>
      </c>
      <c r="Q304" s="1091">
        <f>+P304</f>
        <v/>
      </c>
      <c r="R304" s="174">
        <f>+Q304</f>
        <v/>
      </c>
      <c r="S304" s="1091">
        <f>+R304</f>
        <v/>
      </c>
      <c r="T304" s="1091">
        <f>+S304</f>
        <v/>
      </c>
      <c r="U304" s="1091">
        <f>+T304</f>
        <v/>
      </c>
      <c r="V304" s="1091">
        <f>+U304</f>
        <v/>
      </c>
      <c r="W304" s="1091">
        <f>+V304</f>
        <v/>
      </c>
      <c r="X304" s="174">
        <f>+W304</f>
        <v/>
      </c>
      <c r="Y304" s="1091">
        <f>+X304</f>
        <v/>
      </c>
      <c r="Z304" s="1091">
        <f>+Y304</f>
        <v/>
      </c>
      <c r="AA304" s="1091">
        <f>+Z304</f>
        <v/>
      </c>
      <c r="AB304" s="1091">
        <f>+AA304</f>
        <v/>
      </c>
      <c r="AC304" s="1091">
        <f>+AB304</f>
        <v/>
      </c>
      <c r="AD304" s="174">
        <f>+AC304</f>
        <v/>
      </c>
      <c r="AE304" s="1091">
        <f>+AD304</f>
        <v/>
      </c>
      <c r="AF304" s="1091">
        <f>+AE304</f>
        <v/>
      </c>
      <c r="AG304" s="1091">
        <f>+AF304</f>
        <v/>
      </c>
      <c r="AH304" s="1091">
        <f>+AG304</f>
        <v/>
      </c>
      <c r="AI304" s="1091">
        <f>+AH304</f>
        <v/>
      </c>
      <c r="AJ304" s="174">
        <f>+AI304</f>
        <v/>
      </c>
      <c r="AK304" s="1091">
        <f>+AJ304</f>
        <v/>
      </c>
      <c r="AL304" s="1091">
        <f>+AK304</f>
        <v/>
      </c>
      <c r="AM304" s="1091">
        <f>+AL304</f>
        <v/>
      </c>
      <c r="AN304" s="1091">
        <f>+AM304</f>
        <v/>
      </c>
      <c r="AO304" s="1091">
        <f>+AN304</f>
        <v/>
      </c>
      <c r="AP304" s="174">
        <f>+AO304</f>
        <v/>
      </c>
      <c r="AQ304" s="1091">
        <f>+AP304</f>
        <v/>
      </c>
      <c r="AR304" s="1091">
        <f>+AQ304</f>
        <v/>
      </c>
      <c r="AS304" s="1091">
        <f>+AR304</f>
        <v/>
      </c>
      <c r="AT304" s="1091">
        <f>+AS304</f>
        <v/>
      </c>
      <c r="AU304" s="1091">
        <f>+AT304</f>
        <v/>
      </c>
      <c r="AV304" s="174">
        <f>+AU304</f>
        <v/>
      </c>
      <c r="AW304" s="1091">
        <f>+AV304</f>
        <v/>
      </c>
      <c r="AX304" s="1091">
        <f>+AW304</f>
        <v/>
      </c>
      <c r="AY304" s="1091">
        <f>+AX304</f>
        <v/>
      </c>
      <c r="AZ304" s="1091">
        <f>+AY304</f>
        <v/>
      </c>
      <c r="BA304" s="1091">
        <f>+AZ304</f>
        <v/>
      </c>
      <c r="BB304" s="174">
        <f>+BA304</f>
        <v/>
      </c>
      <c r="BC304" s="1091">
        <f>+BB304</f>
        <v/>
      </c>
      <c r="BD304" s="1091">
        <f>+BC304</f>
        <v/>
      </c>
      <c r="BE304" s="1091">
        <f>+BD304</f>
        <v/>
      </c>
      <c r="BF304" s="1091">
        <f>+BE304</f>
        <v/>
      </c>
      <c r="BG304" s="1091">
        <f>+BF304</f>
        <v/>
      </c>
      <c r="BH304" s="174">
        <f>+BG304</f>
        <v/>
      </c>
      <c r="BI304" s="1091">
        <f>+BH304</f>
        <v/>
      </c>
      <c r="BJ304" s="1091">
        <f>+BI304</f>
        <v/>
      </c>
      <c r="BK304" s="1091">
        <f>+BJ304</f>
        <v/>
      </c>
      <c r="BL304" s="1091">
        <f>+BK304</f>
        <v/>
      </c>
      <c r="BM304" s="1091">
        <f>+BL304</f>
        <v/>
      </c>
      <c r="BN304" s="174">
        <f>+BM304</f>
        <v/>
      </c>
    </row>
    <row r="305" ht="12.75" customHeight="1" s="1883">
      <c r="C305" s="1157" t="inlineStr">
        <is>
          <t>Accumulated Amortization - Beg</t>
        </is>
      </c>
      <c r="D305" s="670" t="n"/>
      <c r="E305" s="671" t="n"/>
      <c r="F305" s="74" t="n"/>
      <c r="G305" s="1091" t="n">
        <v>0</v>
      </c>
      <c r="H305" s="1091">
        <f>+G307</f>
        <v/>
      </c>
      <c r="I305" s="1091">
        <f>+H307</f>
        <v/>
      </c>
      <c r="J305" s="1091">
        <f>+I307</f>
        <v/>
      </c>
      <c r="K305" s="1091">
        <f>+J307</f>
        <v/>
      </c>
      <c r="L305" s="174">
        <f>+K307</f>
        <v/>
      </c>
      <c r="M305" s="1091">
        <f>+L307</f>
        <v/>
      </c>
      <c r="N305" s="1091">
        <f>+M307</f>
        <v/>
      </c>
      <c r="O305" s="1091">
        <f>+N307</f>
        <v/>
      </c>
      <c r="P305" s="1091">
        <f>+O307</f>
        <v/>
      </c>
      <c r="Q305" s="1091">
        <f>+P307</f>
        <v/>
      </c>
      <c r="R305" s="174">
        <f>+Q307</f>
        <v/>
      </c>
      <c r="S305" s="1091">
        <f>+R307</f>
        <v/>
      </c>
      <c r="T305" s="1091">
        <f>+S307</f>
        <v/>
      </c>
      <c r="U305" s="1091">
        <f>+T307</f>
        <v/>
      </c>
      <c r="V305" s="1091">
        <f>+U307</f>
        <v/>
      </c>
      <c r="W305" s="1091">
        <f>+V307</f>
        <v/>
      </c>
      <c r="X305" s="174">
        <f>+W307</f>
        <v/>
      </c>
      <c r="Y305" s="1091">
        <f>+X307</f>
        <v/>
      </c>
      <c r="Z305" s="1091">
        <f>+Y307</f>
        <v/>
      </c>
      <c r="AA305" s="1091">
        <f>+Z307</f>
        <v/>
      </c>
      <c r="AB305" s="1091">
        <f>+AA307</f>
        <v/>
      </c>
      <c r="AC305" s="1091">
        <f>+AB307</f>
        <v/>
      </c>
      <c r="AD305" s="174">
        <f>+AC307</f>
        <v/>
      </c>
      <c r="AE305" s="1091">
        <f>+AD307</f>
        <v/>
      </c>
      <c r="AF305" s="1091">
        <f>+AE307</f>
        <v/>
      </c>
      <c r="AG305" s="1091">
        <f>+AF307</f>
        <v/>
      </c>
      <c r="AH305" s="1091">
        <f>+AG307</f>
        <v/>
      </c>
      <c r="AI305" s="1091">
        <f>+AH307</f>
        <v/>
      </c>
      <c r="AJ305" s="174">
        <f>+AI307</f>
        <v/>
      </c>
      <c r="AK305" s="1091">
        <f>+AJ307</f>
        <v/>
      </c>
      <c r="AL305" s="1091">
        <f>+AK307</f>
        <v/>
      </c>
      <c r="AM305" s="1091">
        <f>+AL307</f>
        <v/>
      </c>
      <c r="AN305" s="1091">
        <f>+AM307</f>
        <v/>
      </c>
      <c r="AO305" s="1091">
        <f>+AN307</f>
        <v/>
      </c>
      <c r="AP305" s="174">
        <f>+AO307</f>
        <v/>
      </c>
      <c r="AQ305" s="1091">
        <f>+AP307</f>
        <v/>
      </c>
      <c r="AR305" s="1091">
        <f>+AQ307</f>
        <v/>
      </c>
      <c r="AS305" s="1091">
        <f>+AR307</f>
        <v/>
      </c>
      <c r="AT305" s="1091">
        <f>+AS307</f>
        <v/>
      </c>
      <c r="AU305" s="1091">
        <f>+AT307</f>
        <v/>
      </c>
      <c r="AV305" s="174">
        <f>+AU307</f>
        <v/>
      </c>
      <c r="AW305" s="1091">
        <f>+AV307</f>
        <v/>
      </c>
      <c r="AX305" s="1091">
        <f>+AW307</f>
        <v/>
      </c>
      <c r="AY305" s="1091">
        <f>+AX307</f>
        <v/>
      </c>
      <c r="AZ305" s="1091">
        <f>+AY307</f>
        <v/>
      </c>
      <c r="BA305" s="1091">
        <f>+AZ307</f>
        <v/>
      </c>
      <c r="BB305" s="174">
        <f>+BA307</f>
        <v/>
      </c>
      <c r="BC305" s="1091">
        <f>+BB307</f>
        <v/>
      </c>
      <c r="BD305" s="1091">
        <f>+BC307</f>
        <v/>
      </c>
      <c r="BE305" s="1091">
        <f>+BD307</f>
        <v/>
      </c>
      <c r="BF305" s="1091">
        <f>+BE307</f>
        <v/>
      </c>
      <c r="BG305" s="1091">
        <f>+BF307</f>
        <v/>
      </c>
      <c r="BH305" s="174">
        <f>+BG307</f>
        <v/>
      </c>
      <c r="BI305" s="1091">
        <f>+BH307</f>
        <v/>
      </c>
      <c r="BJ305" s="1091">
        <f>+BI307</f>
        <v/>
      </c>
      <c r="BK305" s="1091">
        <f>+BJ307</f>
        <v/>
      </c>
      <c r="BL305" s="1091">
        <f>+BK307</f>
        <v/>
      </c>
      <c r="BM305" s="1091">
        <f>+BL307</f>
        <v/>
      </c>
      <c r="BN305" s="174">
        <f>+BM307</f>
        <v/>
      </c>
    </row>
    <row r="306" ht="12.75" customHeight="1" s="1883">
      <c r="C306" s="1157" t="inlineStr">
        <is>
          <t>Amortization Expense</t>
        </is>
      </c>
      <c r="D306" s="670" t="n"/>
      <c r="E306" s="671" t="n"/>
      <c r="F306" s="74" t="n"/>
      <c r="G306" s="1091">
        <f>+G302*($D$301)/12</f>
        <v/>
      </c>
      <c r="H306" s="1091">
        <f>+IF(($H$211*($D$301)/12)&gt;G308,G308,($H$211*($D$301)/12))</f>
        <v/>
      </c>
      <c r="I306" s="1091">
        <f>+IF(($H$211*($D$301)/12)&gt;H308,H308,($H$211*($D$301)/12))</f>
        <v/>
      </c>
      <c r="J306" s="1091">
        <f>+IF(($H$211*($D$301)/12)&gt;I308,I308,($H$211*($D$301)/12))</f>
        <v/>
      </c>
      <c r="K306" s="1091">
        <f>+IF(($H$211*($D$301)/12)&gt;J308,J308,($H$211*($D$301)/12))</f>
        <v/>
      </c>
      <c r="L306" s="174">
        <f>+IF(($H$211*($D$301)/12)&gt;K308,K308,($H$211*($D$301)/12))</f>
        <v/>
      </c>
      <c r="M306" s="1091">
        <f>+IF(($H$211*($D$301)/12)&gt;L308,L308,($H$211*($D$301)/12))</f>
        <v/>
      </c>
      <c r="N306" s="1091">
        <f>+IF(($H$211*($D$301)/12)&gt;M308,M308,($H$211*($D$301)/12))</f>
        <v/>
      </c>
      <c r="O306" s="1091">
        <f>+IF(($H$211*($D$301)/12)&gt;N308,N308,($H$211*($D$301)/12))</f>
        <v/>
      </c>
      <c r="P306" s="1091">
        <f>+IF(($H$211*($D$301)/12)&gt;O308,O308,($H$211*($D$301)/12))</f>
        <v/>
      </c>
      <c r="Q306" s="1091">
        <f>+IF(($H$211*($D$301)/12)&gt;P308,P308,($H$211*($D$301)/12))</f>
        <v/>
      </c>
      <c r="R306" s="174">
        <f>+IF(($H$211*($D$301)/12)&gt;Q308,Q308,($H$211*($D$301)/12))</f>
        <v/>
      </c>
      <c r="S306" s="1091">
        <f>+IF(($H$211*($D$301)/12)&gt;R308,R308,($H$211*($D$301)/12))</f>
        <v/>
      </c>
      <c r="T306" s="1091">
        <f>+IF(($H$211*($D$301)/12)&gt;S308,S308,($H$211*($D$301)/12))</f>
        <v/>
      </c>
      <c r="U306" s="1091">
        <f>+IF(($H$211*($D$301)/12)&gt;T308,T308,($H$211*($D$301)/12))</f>
        <v/>
      </c>
      <c r="V306" s="1091">
        <f>+IF(($H$211*($D$301)/12)&gt;U308,U308,($H$211*($D$301)/12))</f>
        <v/>
      </c>
      <c r="W306" s="1091">
        <f>+IF(($H$211*($D$301)/12)&gt;V308,V308,($H$211*($D$301)/12))</f>
        <v/>
      </c>
      <c r="X306" s="174">
        <f>+IF(($H$211*($D$301)/12)&gt;W308,W308,($H$211*($D$301)/12))</f>
        <v/>
      </c>
      <c r="Y306" s="1091">
        <f>+IF(($H$211*($D$301)/12)&gt;X308,X308,($H$211*($D$301)/12))</f>
        <v/>
      </c>
      <c r="Z306" s="1091">
        <f>+IF(($H$211*($D$301)/12)&gt;Y308,Y308,($H$211*($D$301)/12))</f>
        <v/>
      </c>
      <c r="AA306" s="1091">
        <f>+IF(($H$211*($D$301)/12)&gt;Z308,Z308,($H$211*($D$301)/12))</f>
        <v/>
      </c>
      <c r="AB306" s="1091">
        <f>+IF(($H$211*($D$301)/12)&gt;AA308,AA308,($H$211*($D$301)/12))</f>
        <v/>
      </c>
      <c r="AC306" s="1091">
        <f>+IF(($H$211*($D$301)/12)&gt;AB308,AB308,($H$211*($D$301)/12))</f>
        <v/>
      </c>
      <c r="AD306" s="174">
        <f>+IF(($H$211*($D$301)/12)&gt;AC308,AC308,($H$211*($D$301)/12))</f>
        <v/>
      </c>
      <c r="AE306" s="1091">
        <f>+IF(($H$211*($D$301)/12)&gt;AD308,AD308,($H$211*($D$301)/12))</f>
        <v/>
      </c>
      <c r="AF306" s="1091">
        <f>+IF(($H$211*($D$301)/12)&gt;AE308,AE308,($H$211*($D$301)/12))</f>
        <v/>
      </c>
      <c r="AG306" s="1091">
        <f>+IF(($H$211*($D$301)/12)&gt;AF308,AF308,($H$211*($D$301)/12))</f>
        <v/>
      </c>
      <c r="AH306" s="1091">
        <f>+IF(($H$211*($D$301)/12)&gt;AG308,AG308,($H$211*($D$301)/12))</f>
        <v/>
      </c>
      <c r="AI306" s="1091">
        <f>+IF(($H$211*($D$301)/12)&gt;AH308,AH308,($H$211*($D$301)/12))</f>
        <v/>
      </c>
      <c r="AJ306" s="174">
        <f>+IF(($H$211*($D$301)/12)&gt;AI308,AI308,($H$211*($D$301)/12))</f>
        <v/>
      </c>
      <c r="AK306" s="1091">
        <f>+IF(($H$211*($D$301)/12)&gt;AJ308,AJ308,($H$211*($D$301)/12))</f>
        <v/>
      </c>
      <c r="AL306" s="1091">
        <f>+IF(($H$211*($D$301)/12)&gt;AK308,AK308,($H$211*($D$301)/12))</f>
        <v/>
      </c>
      <c r="AM306" s="1091">
        <f>+IF(($H$211*($D$301)/12)&gt;AL308,AL308,($H$211*($D$301)/12))</f>
        <v/>
      </c>
      <c r="AN306" s="1091">
        <f>+IF(($H$211*($D$301)/12)&gt;AM308,AM308,($H$211*($D$301)/12))</f>
        <v/>
      </c>
      <c r="AO306" s="1091">
        <f>+IF(($H$211*($D$301)/12)&gt;AN308,AN308,($H$211*($D$301)/12))</f>
        <v/>
      </c>
      <c r="AP306" s="174">
        <f>+IF(($H$211*($D$301)/12)&gt;AO308,AO308,($H$211*($D$301)/12))</f>
        <v/>
      </c>
      <c r="AQ306" s="1091">
        <f>+IF(($H$211*($D$301)/12)&gt;AP308,AP308,($H$211*($D$301)/12))</f>
        <v/>
      </c>
      <c r="AR306" s="1091">
        <f>+IF(($H$211*($D$301)/12)&gt;AQ308,AQ308,($H$211*($D$301)/12))</f>
        <v/>
      </c>
      <c r="AS306" s="1091">
        <f>+IF(($H$211*($D$301)/12)&gt;AR308,AR308,($H$211*($D$301)/12))</f>
        <v/>
      </c>
      <c r="AT306" s="1091">
        <f>+IF(($H$211*($D$301)/12)&gt;AS308,AS308,($H$211*($D$301)/12))</f>
        <v/>
      </c>
      <c r="AU306" s="1091">
        <f>+IF(($H$211*($D$301)/12)&gt;AT308,AT308,($H$211*($D$301)/12))</f>
        <v/>
      </c>
      <c r="AV306" s="174">
        <f>+IF(($H$211*($D$301)/12)&gt;AU308,AU308,($H$211*($D$301)/12))</f>
        <v/>
      </c>
      <c r="AW306" s="1091">
        <f>+IF(($H$211*($D$301)/12)&gt;AV308,AV308,($H$211*($D$301)/12))</f>
        <v/>
      </c>
      <c r="AX306" s="1091">
        <f>+IF(($H$211*($D$301)/12)&gt;AW308,AW308,($H$211*($D$301)/12))</f>
        <v/>
      </c>
      <c r="AY306" s="1091">
        <f>+IF(($H$211*($D$301)/12)&gt;AX308,AX308,($H$211*($D$301)/12))</f>
        <v/>
      </c>
      <c r="AZ306" s="1091">
        <f>+IF(($H$211*($D$301)/12)&gt;AY308,AY308,($H$211*($D$301)/12))</f>
        <v/>
      </c>
      <c r="BA306" s="1091">
        <f>+IF(($H$211*($D$301)/12)&gt;AZ308,AZ308,($H$211*($D$301)/12))</f>
        <v/>
      </c>
      <c r="BB306" s="174">
        <f>+IF(($H$211*($D$301)/12)&gt;BA308,BA308,($H$211*($D$301)/12))</f>
        <v/>
      </c>
      <c r="BC306" s="1091">
        <f>+IF(($H$211*($D$301)/12)&gt;BB308,BB308,($H$211*($D$301)/12))</f>
        <v/>
      </c>
      <c r="BD306" s="1091">
        <f>+IF(($H$211*($D$301)/12)&gt;BC308,BC308,($H$211*($D$301)/12))</f>
        <v/>
      </c>
      <c r="BE306" s="1091">
        <f>+IF(($H$211*($D$301)/12)&gt;BD308,BD308,($H$211*($D$301)/12))</f>
        <v/>
      </c>
      <c r="BF306" s="1091">
        <f>+IF(($H$211*($D$301)/12)&gt;BE308,BE308,($H$211*($D$301)/12))</f>
        <v/>
      </c>
      <c r="BG306" s="1091">
        <f>+IF(($H$211*($D$301)/12)&gt;BF308,BF308,($H$211*($D$301)/12))</f>
        <v/>
      </c>
      <c r="BH306" s="174">
        <f>+IF(($H$211*($D$301)/12)&gt;BG308,BG308,($H$211*($D$301)/12))</f>
        <v/>
      </c>
      <c r="BI306" s="1091">
        <f>+IF(($H$211*($D$301)/12)&gt;BH308,BH308,($H$211*($D$301)/12))</f>
        <v/>
      </c>
      <c r="BJ306" s="1091">
        <f>+IF(($H$211*($D$301)/12)&gt;BI308,BI308,($H$211*($D$301)/12))</f>
        <v/>
      </c>
      <c r="BK306" s="1091">
        <f>+IF(($H$211*($D$301)/12)&gt;BJ308,BJ308,($H$211*($D$301)/12))</f>
        <v/>
      </c>
      <c r="BL306" s="1091">
        <f>+IF(($H$211*($D$301)/12)&gt;BK308,BK308,($H$211*($D$301)/12))</f>
        <v/>
      </c>
      <c r="BM306" s="1091">
        <f>+IF(($H$211*($D$301)/12)&gt;BL308,BL308,($H$211*($D$301)/12))</f>
        <v/>
      </c>
      <c r="BN306" s="174">
        <f>+IF(($H$211*($D$301)/12)&gt;BM308,BM308,($H$211*($D$301)/12))</f>
        <v/>
      </c>
    </row>
    <row r="307" ht="12.75" customHeight="1" s="1883">
      <c r="C307" s="1157" t="inlineStr">
        <is>
          <t>Accumulated Amortization - End</t>
        </is>
      </c>
      <c r="D307" s="670" t="n"/>
      <c r="E307" s="671" t="n"/>
      <c r="F307" s="74" t="n"/>
      <c r="G307" s="201">
        <f>+G305+G306</f>
        <v/>
      </c>
      <c r="H307" s="201">
        <f>+H305+H306</f>
        <v/>
      </c>
      <c r="I307" s="201">
        <f>+I305+I306</f>
        <v/>
      </c>
      <c r="J307" s="201">
        <f>+J305+J306</f>
        <v/>
      </c>
      <c r="K307" s="201">
        <f>+K305+K306</f>
        <v/>
      </c>
      <c r="L307" s="200">
        <f>+L305+L306</f>
        <v/>
      </c>
      <c r="M307" s="201">
        <f>+M305+M306</f>
        <v/>
      </c>
      <c r="N307" s="201">
        <f>+N305+N306</f>
        <v/>
      </c>
      <c r="O307" s="201">
        <f>+O305+O306</f>
        <v/>
      </c>
      <c r="P307" s="201">
        <f>+P305+P306</f>
        <v/>
      </c>
      <c r="Q307" s="201">
        <f>+Q305+Q306</f>
        <v/>
      </c>
      <c r="R307" s="200">
        <f>+R305+R306</f>
        <v/>
      </c>
      <c r="S307" s="201">
        <f>+S305+S306</f>
        <v/>
      </c>
      <c r="T307" s="201">
        <f>+T305+T306</f>
        <v/>
      </c>
      <c r="U307" s="201">
        <f>+U305+U306</f>
        <v/>
      </c>
      <c r="V307" s="201">
        <f>+V305+V306</f>
        <v/>
      </c>
      <c r="W307" s="201">
        <f>+W305+W306</f>
        <v/>
      </c>
      <c r="X307" s="200">
        <f>+X305+X306</f>
        <v/>
      </c>
      <c r="Y307" s="201">
        <f>+Y305+Y306</f>
        <v/>
      </c>
      <c r="Z307" s="201">
        <f>+Z305+Z306</f>
        <v/>
      </c>
      <c r="AA307" s="201">
        <f>+AA305+AA306</f>
        <v/>
      </c>
      <c r="AB307" s="201">
        <f>+AB305+AB306</f>
        <v/>
      </c>
      <c r="AC307" s="201">
        <f>+AC305+AC306</f>
        <v/>
      </c>
      <c r="AD307" s="200">
        <f>+AD305+AD306</f>
        <v/>
      </c>
      <c r="AE307" s="201">
        <f>+AE305+AE306</f>
        <v/>
      </c>
      <c r="AF307" s="201">
        <f>+AF305+AF306</f>
        <v/>
      </c>
      <c r="AG307" s="201">
        <f>+AG305+AG306</f>
        <v/>
      </c>
      <c r="AH307" s="201">
        <f>+AH305+AH306</f>
        <v/>
      </c>
      <c r="AI307" s="201">
        <f>+AI305+AI306</f>
        <v/>
      </c>
      <c r="AJ307" s="200">
        <f>+AJ305+AJ306</f>
        <v/>
      </c>
      <c r="AK307" s="201">
        <f>+AK305+AK306</f>
        <v/>
      </c>
      <c r="AL307" s="201">
        <f>+AL305+AL306</f>
        <v/>
      </c>
      <c r="AM307" s="201">
        <f>+AM305+AM306</f>
        <v/>
      </c>
      <c r="AN307" s="201">
        <f>+AN305+AN306</f>
        <v/>
      </c>
      <c r="AO307" s="201">
        <f>+AO305+AO306</f>
        <v/>
      </c>
      <c r="AP307" s="200">
        <f>+AP305+AP306</f>
        <v/>
      </c>
      <c r="AQ307" s="201">
        <f>+AQ305+AQ306</f>
        <v/>
      </c>
      <c r="AR307" s="201">
        <f>+AR305+AR306</f>
        <v/>
      </c>
      <c r="AS307" s="201">
        <f>+AS305+AS306</f>
        <v/>
      </c>
      <c r="AT307" s="201">
        <f>+AT305+AT306</f>
        <v/>
      </c>
      <c r="AU307" s="201">
        <f>+AU305+AU306</f>
        <v/>
      </c>
      <c r="AV307" s="200">
        <f>+AV305+AV306</f>
        <v/>
      </c>
      <c r="AW307" s="201">
        <f>+AW305+AW306</f>
        <v/>
      </c>
      <c r="AX307" s="201">
        <f>+AX305+AX306</f>
        <v/>
      </c>
      <c r="AY307" s="201">
        <f>+AY305+AY306</f>
        <v/>
      </c>
      <c r="AZ307" s="201">
        <f>+AZ305+AZ306</f>
        <v/>
      </c>
      <c r="BA307" s="201">
        <f>+BA305+BA306</f>
        <v/>
      </c>
      <c r="BB307" s="200">
        <f>+BB305+BB306</f>
        <v/>
      </c>
      <c r="BC307" s="201">
        <f>+BC305+BC306</f>
        <v/>
      </c>
      <c r="BD307" s="201">
        <f>+BD305+BD306</f>
        <v/>
      </c>
      <c r="BE307" s="201">
        <f>+BE305+BE306</f>
        <v/>
      </c>
      <c r="BF307" s="201">
        <f>+BF305+BF306</f>
        <v/>
      </c>
      <c r="BG307" s="201">
        <f>+BG305+BG306</f>
        <v/>
      </c>
      <c r="BH307" s="200">
        <f>+BH305+BH306</f>
        <v/>
      </c>
      <c r="BI307" s="201">
        <f>+BI305+BI306</f>
        <v/>
      </c>
      <c r="BJ307" s="201">
        <f>+BJ305+BJ306</f>
        <v/>
      </c>
      <c r="BK307" s="201">
        <f>+BK305+BK306</f>
        <v/>
      </c>
      <c r="BL307" s="201">
        <f>+BL305+BL306</f>
        <v/>
      </c>
      <c r="BM307" s="201">
        <f>+BM305+BM306</f>
        <v/>
      </c>
      <c r="BN307" s="200">
        <f>+BN305+BN306</f>
        <v/>
      </c>
    </row>
    <row r="308" ht="12.75" customHeight="1" s="1883">
      <c r="C308" s="1157" t="inlineStr">
        <is>
          <t>F&amp;F Existing - Net</t>
        </is>
      </c>
      <c r="D308" s="670" t="n"/>
      <c r="E308" s="671" t="n"/>
      <c r="F308" s="74" t="n"/>
      <c r="G308" s="201">
        <f>+G304-G307</f>
        <v/>
      </c>
      <c r="H308" s="201">
        <f>+H304-H307</f>
        <v/>
      </c>
      <c r="I308" s="201">
        <f>+I304-I307</f>
        <v/>
      </c>
      <c r="J308" s="201">
        <f>+J304-J307</f>
        <v/>
      </c>
      <c r="K308" s="201">
        <f>+K304-K307</f>
        <v/>
      </c>
      <c r="L308" s="200">
        <f>+L304-L307</f>
        <v/>
      </c>
      <c r="M308" s="201">
        <f>+M304-M307</f>
        <v/>
      </c>
      <c r="N308" s="201">
        <f>+N304-N307</f>
        <v/>
      </c>
      <c r="O308" s="201">
        <f>+O304-O307</f>
        <v/>
      </c>
      <c r="P308" s="201">
        <f>+P304-P307</f>
        <v/>
      </c>
      <c r="Q308" s="201">
        <f>+Q304-Q307</f>
        <v/>
      </c>
      <c r="R308" s="200">
        <f>+R304-R307</f>
        <v/>
      </c>
      <c r="S308" s="201">
        <f>+S304-S307</f>
        <v/>
      </c>
      <c r="T308" s="201">
        <f>+T304-T307</f>
        <v/>
      </c>
      <c r="U308" s="201">
        <f>+U304-U307</f>
        <v/>
      </c>
      <c r="V308" s="201">
        <f>+V304-V307</f>
        <v/>
      </c>
      <c r="W308" s="201">
        <f>+W304-W307</f>
        <v/>
      </c>
      <c r="X308" s="200">
        <f>+X304-X307</f>
        <v/>
      </c>
      <c r="Y308" s="201">
        <f>+Y304-Y307</f>
        <v/>
      </c>
      <c r="Z308" s="201">
        <f>+Z304-Z307</f>
        <v/>
      </c>
      <c r="AA308" s="201">
        <f>+AA304-AA307</f>
        <v/>
      </c>
      <c r="AB308" s="201">
        <f>+AB304-AB307</f>
        <v/>
      </c>
      <c r="AC308" s="201">
        <f>+AC304-AC307</f>
        <v/>
      </c>
      <c r="AD308" s="200">
        <f>+AD304-AD307</f>
        <v/>
      </c>
      <c r="AE308" s="201">
        <f>+AE304-AE307</f>
        <v/>
      </c>
      <c r="AF308" s="201">
        <f>+AF304-AF307</f>
        <v/>
      </c>
      <c r="AG308" s="201">
        <f>+AG304-AG307</f>
        <v/>
      </c>
      <c r="AH308" s="201">
        <f>+AH304-AH307</f>
        <v/>
      </c>
      <c r="AI308" s="201">
        <f>+AI304-AI307</f>
        <v/>
      </c>
      <c r="AJ308" s="200">
        <f>+AJ304-AJ307</f>
        <v/>
      </c>
      <c r="AK308" s="201">
        <f>+AK304-AK307</f>
        <v/>
      </c>
      <c r="AL308" s="201">
        <f>+AL304-AL307</f>
        <v/>
      </c>
      <c r="AM308" s="201">
        <f>+AM304-AM307</f>
        <v/>
      </c>
      <c r="AN308" s="201">
        <f>+AN304-AN307</f>
        <v/>
      </c>
      <c r="AO308" s="201">
        <f>+AO304-AO307</f>
        <v/>
      </c>
      <c r="AP308" s="200">
        <f>+AP304-AP307</f>
        <v/>
      </c>
      <c r="AQ308" s="201">
        <f>+AQ304-AQ307</f>
        <v/>
      </c>
      <c r="AR308" s="201">
        <f>+AR304-AR307</f>
        <v/>
      </c>
      <c r="AS308" s="201">
        <f>+AS304-AS307</f>
        <v/>
      </c>
      <c r="AT308" s="201">
        <f>+AT304-AT307</f>
        <v/>
      </c>
      <c r="AU308" s="201">
        <f>+AU304-AU307</f>
        <v/>
      </c>
      <c r="AV308" s="200">
        <f>+AV304-AV307</f>
        <v/>
      </c>
      <c r="AW308" s="201">
        <f>+AW304-AW307</f>
        <v/>
      </c>
      <c r="AX308" s="201">
        <f>+AX304-AX307</f>
        <v/>
      </c>
      <c r="AY308" s="201">
        <f>+AY304-AY307</f>
        <v/>
      </c>
      <c r="AZ308" s="201">
        <f>+AZ304-AZ307</f>
        <v/>
      </c>
      <c r="BA308" s="201">
        <f>+BA304-BA307</f>
        <v/>
      </c>
      <c r="BB308" s="200">
        <f>+BB304-BB307</f>
        <v/>
      </c>
      <c r="BC308" s="201">
        <f>+BC304-BC307</f>
        <v/>
      </c>
      <c r="BD308" s="201">
        <f>+BD304-BD307</f>
        <v/>
      </c>
      <c r="BE308" s="201">
        <f>+BE304-BE307</f>
        <v/>
      </c>
      <c r="BF308" s="201">
        <f>+BF304-BF307</f>
        <v/>
      </c>
      <c r="BG308" s="201">
        <f>+BG304-BG307</f>
        <v/>
      </c>
      <c r="BH308" s="200">
        <f>+BH304-BH307</f>
        <v/>
      </c>
      <c r="BI308" s="201">
        <f>+BI304-BI307</f>
        <v/>
      </c>
      <c r="BJ308" s="201">
        <f>+BJ304-BJ307</f>
        <v/>
      </c>
      <c r="BK308" s="201">
        <f>+BK304-BK307</f>
        <v/>
      </c>
      <c r="BL308" s="201">
        <f>+BL304-BL307</f>
        <v/>
      </c>
      <c r="BM308" s="201">
        <f>+BM304-BM307</f>
        <v/>
      </c>
      <c r="BN308" s="200">
        <f>+BN304-BN307</f>
        <v/>
      </c>
    </row>
    <row r="309" ht="12.75" customHeight="1" s="1883">
      <c r="C309" s="1040" t="n"/>
      <c r="D309" s="670" t="n"/>
      <c r="E309" s="671" t="n"/>
      <c r="F309" s="74" t="n"/>
      <c r="G309" s="1081" t="n"/>
      <c r="H309" s="1081" t="n"/>
      <c r="I309" s="1081" t="n"/>
      <c r="J309" s="1081" t="n"/>
      <c r="K309" s="1081" t="n"/>
      <c r="L309" s="199" t="n"/>
      <c r="M309" s="1042" t="n"/>
      <c r="N309" s="1042" t="n"/>
      <c r="O309" s="1042" t="n"/>
      <c r="P309" s="1042" t="n"/>
      <c r="Q309" s="1042" t="n"/>
      <c r="R309" s="156" t="n"/>
      <c r="S309" s="1081" t="n"/>
      <c r="T309" s="1081" t="n"/>
      <c r="U309" s="1081" t="n"/>
      <c r="V309" s="1081" t="n"/>
      <c r="W309" s="1081" t="n"/>
      <c r="X309" s="199" t="n"/>
      <c r="Y309" s="1042" t="n"/>
      <c r="Z309" s="1042" t="n"/>
      <c r="AA309" s="1042" t="n"/>
      <c r="AB309" s="1042" t="n"/>
      <c r="AC309" s="1042" t="n"/>
      <c r="AD309" s="156" t="n"/>
      <c r="AE309" s="1081" t="n"/>
      <c r="AF309" s="1081" t="n"/>
      <c r="AG309" s="1081" t="n"/>
      <c r="AH309" s="1081" t="n"/>
      <c r="AI309" s="1081" t="n"/>
      <c r="AJ309" s="199" t="n"/>
      <c r="AK309" s="1042" t="n"/>
      <c r="AL309" s="1042" t="n"/>
      <c r="AM309" s="1042" t="n"/>
      <c r="AN309" s="1042" t="n"/>
      <c r="AO309" s="1042" t="n"/>
      <c r="AP309" s="156" t="n"/>
      <c r="AQ309" s="1081" t="n"/>
      <c r="AR309" s="1081" t="n"/>
      <c r="AS309" s="1081" t="n"/>
      <c r="AT309" s="1081" t="n"/>
      <c r="AU309" s="1081" t="n"/>
      <c r="AV309" s="199" t="n"/>
      <c r="AW309" s="1042" t="n"/>
      <c r="AX309" s="1042" t="n"/>
      <c r="AY309" s="1042" t="n"/>
      <c r="AZ309" s="1042" t="n"/>
      <c r="BA309" s="1042" t="n"/>
      <c r="BB309" s="156" t="n"/>
      <c r="BC309" s="1081" t="n"/>
      <c r="BD309" s="1081" t="n"/>
      <c r="BE309" s="1081" t="n"/>
      <c r="BF309" s="1081" t="n"/>
      <c r="BG309" s="1081" t="n"/>
      <c r="BH309" s="199" t="n"/>
      <c r="BI309" s="1042" t="n"/>
      <c r="BJ309" s="1042" t="n"/>
      <c r="BK309" s="1042" t="n"/>
      <c r="BL309" s="1042" t="n"/>
      <c r="BM309" s="1042" t="n"/>
      <c r="BN309" s="156" t="n"/>
    </row>
    <row r="310" ht="12.75" customHeight="1" s="1883">
      <c r="C310" s="1158" t="inlineStr">
        <is>
          <t>ADDITIONS</t>
        </is>
      </c>
      <c r="D310" s="670" t="n"/>
      <c r="E310" s="671" t="n"/>
      <c r="F310" s="74" t="n"/>
      <c r="G310" s="1081" t="n"/>
      <c r="H310" s="1081" t="n"/>
      <c r="I310" s="1081" t="n"/>
      <c r="J310" s="1081" t="n"/>
      <c r="K310" s="1081" t="n"/>
      <c r="L310" s="199" t="n"/>
      <c r="M310" s="1042" t="n"/>
      <c r="N310" s="1042" t="n"/>
      <c r="O310" s="1042" t="n"/>
      <c r="P310" s="1042" t="n"/>
      <c r="Q310" s="1042" t="n"/>
      <c r="R310" s="156" t="n"/>
      <c r="S310" s="1081" t="n"/>
      <c r="T310" s="1081" t="n"/>
      <c r="U310" s="1081" t="n"/>
      <c r="V310" s="1081" t="n"/>
      <c r="W310" s="1081" t="n"/>
      <c r="X310" s="199" t="n"/>
      <c r="Y310" s="1042" t="n"/>
      <c r="Z310" s="1042" t="n"/>
      <c r="AA310" s="1042" t="n"/>
      <c r="AB310" s="1042" t="n"/>
      <c r="AC310" s="1042" t="n"/>
      <c r="AD310" s="156" t="n"/>
      <c r="AE310" s="1081" t="n"/>
      <c r="AF310" s="1081" t="n"/>
      <c r="AG310" s="1081" t="n"/>
      <c r="AH310" s="1081" t="n"/>
      <c r="AI310" s="1081" t="n"/>
      <c r="AJ310" s="199" t="n"/>
      <c r="AK310" s="1042" t="n"/>
      <c r="AL310" s="1042" t="n"/>
      <c r="AM310" s="1042" t="n"/>
      <c r="AN310" s="1042" t="n"/>
      <c r="AO310" s="1042" t="n"/>
      <c r="AP310" s="156" t="n"/>
      <c r="AQ310" s="1081" t="n"/>
      <c r="AR310" s="1081" t="n"/>
      <c r="AS310" s="1081" t="n"/>
      <c r="AT310" s="1081" t="n"/>
      <c r="AU310" s="1081" t="n"/>
      <c r="AV310" s="199" t="n"/>
      <c r="AW310" s="1042" t="n"/>
      <c r="AX310" s="1042" t="n"/>
      <c r="AY310" s="1042" t="n"/>
      <c r="AZ310" s="1042" t="n"/>
      <c r="BA310" s="1042" t="n"/>
      <c r="BB310" s="156" t="n"/>
      <c r="BC310" s="1081" t="n"/>
      <c r="BD310" s="1081" t="n"/>
      <c r="BE310" s="1081" t="n"/>
      <c r="BF310" s="1081" t="n"/>
      <c r="BG310" s="1081" t="n"/>
      <c r="BH310" s="199" t="n"/>
      <c r="BI310" s="1042" t="n"/>
      <c r="BJ310" s="1042" t="n"/>
      <c r="BK310" s="1042" t="n"/>
      <c r="BL310" s="1042" t="n"/>
      <c r="BM310" s="1042" t="n"/>
      <c r="BN310" s="156" t="n"/>
    </row>
    <row r="311" ht="12.75" customHeight="1" s="1883">
      <c r="C311" s="1156" t="n"/>
      <c r="D311" s="670" t="inlineStr">
        <is>
          <t>Headcount</t>
        </is>
      </c>
      <c r="E311" s="671" t="n"/>
      <c r="F311" s="56">
        <f>+'6B. Pre-Launch Exps. - Detail'!Q118</f>
        <v/>
      </c>
      <c r="G311" s="56">
        <f>+'Headcount &amp; Salaries - 2'!X59</f>
        <v/>
      </c>
      <c r="H311" s="56">
        <f>+'Headcount &amp; Salaries - 2'!Y59</f>
        <v/>
      </c>
      <c r="I311" s="56">
        <f>+'Headcount &amp; Salaries - 2'!Z59</f>
        <v/>
      </c>
      <c r="J311" s="56">
        <f>+'Headcount &amp; Salaries - 2'!AA59</f>
        <v/>
      </c>
      <c r="K311" s="56">
        <f>+'Headcount &amp; Salaries - 2'!AB59</f>
        <v/>
      </c>
      <c r="L311" s="1159">
        <f>+'Headcount &amp; Salaries - 2'!AC59</f>
        <v/>
      </c>
      <c r="M311" s="56">
        <f>+'Headcount &amp; Salaries - 2'!AD59</f>
        <v/>
      </c>
      <c r="N311" s="56">
        <f>+'Headcount &amp; Salaries - 2'!AE59</f>
        <v/>
      </c>
      <c r="O311" s="56">
        <f>+'Headcount &amp; Salaries - 2'!AF59</f>
        <v/>
      </c>
      <c r="P311" s="56">
        <f>+'Headcount &amp; Salaries - 2'!AG59</f>
        <v/>
      </c>
      <c r="Q311" s="56">
        <f>+'Headcount &amp; Salaries - 2'!AH59</f>
        <v/>
      </c>
      <c r="R311" s="1159">
        <f>+'Headcount &amp; Salaries - 2'!AI59</f>
        <v/>
      </c>
      <c r="S311" s="202">
        <f>+'Headcount &amp; Salaries - 2'!AJ59</f>
        <v/>
      </c>
      <c r="T311" s="202">
        <f>+'Headcount &amp; Salaries - 2'!AK59</f>
        <v/>
      </c>
      <c r="U311" s="202">
        <f>+'Headcount &amp; Salaries - 2'!AL59</f>
        <v/>
      </c>
      <c r="V311" s="202">
        <f>+'Headcount &amp; Salaries - 2'!AM59</f>
        <v/>
      </c>
      <c r="W311" s="202">
        <f>+'Headcount &amp; Salaries - 2'!AN59</f>
        <v/>
      </c>
      <c r="X311" s="1160">
        <f>+'Headcount &amp; Salaries - 2'!AO59</f>
        <v/>
      </c>
      <c r="Y311" s="202">
        <f>+'Headcount &amp; Salaries - 2'!AP59</f>
        <v/>
      </c>
      <c r="Z311" s="202">
        <f>+'Headcount &amp; Salaries - 2'!AQ59</f>
        <v/>
      </c>
      <c r="AA311" s="202">
        <f>+'Headcount &amp; Salaries - 2'!AR59</f>
        <v/>
      </c>
      <c r="AB311" s="202">
        <f>+'Headcount &amp; Salaries - 2'!AS59</f>
        <v/>
      </c>
      <c r="AC311" s="202">
        <f>+'Headcount &amp; Salaries - 2'!AT59</f>
        <v/>
      </c>
      <c r="AD311" s="1160">
        <f>+'Headcount &amp; Salaries - 2'!AU59</f>
        <v/>
      </c>
      <c r="AE311" s="202">
        <f>+'Headcount &amp; Salaries - 2'!AV59</f>
        <v/>
      </c>
      <c r="AF311" s="202">
        <f>+'Headcount &amp; Salaries - 2'!AW59</f>
        <v/>
      </c>
      <c r="AG311" s="202">
        <f>+'Headcount &amp; Salaries - 2'!AX59</f>
        <v/>
      </c>
      <c r="AH311" s="202">
        <f>+'Headcount &amp; Salaries - 2'!AY59</f>
        <v/>
      </c>
      <c r="AI311" s="202">
        <f>+'Headcount &amp; Salaries - 2'!AZ59</f>
        <v/>
      </c>
      <c r="AJ311" s="1160">
        <f>+'Headcount &amp; Salaries - 2'!BA59</f>
        <v/>
      </c>
      <c r="AK311" s="202">
        <f>+'Headcount &amp; Salaries - 2'!BB59</f>
        <v/>
      </c>
      <c r="AL311" s="202">
        <f>+'Headcount &amp; Salaries - 2'!BC59</f>
        <v/>
      </c>
      <c r="AM311" s="202">
        <f>+'Headcount &amp; Salaries - 2'!BD59</f>
        <v/>
      </c>
      <c r="AN311" s="202">
        <f>+'Headcount &amp; Salaries - 2'!BE59</f>
        <v/>
      </c>
      <c r="AO311" s="202">
        <f>+'Headcount &amp; Salaries - 2'!BF59</f>
        <v/>
      </c>
      <c r="AP311" s="1160">
        <f>+'Headcount &amp; Salaries - 2'!BG59</f>
        <v/>
      </c>
      <c r="AQ311" s="202">
        <f>+'Headcount &amp; Salaries - 2'!BH59</f>
        <v/>
      </c>
      <c r="AR311" s="202">
        <f>+'Headcount &amp; Salaries - 2'!BI59</f>
        <v/>
      </c>
      <c r="AS311" s="202">
        <f>+'Headcount &amp; Salaries - 2'!BJ59</f>
        <v/>
      </c>
      <c r="AT311" s="202">
        <f>+'Headcount &amp; Salaries - 2'!BK59</f>
        <v/>
      </c>
      <c r="AU311" s="202">
        <f>+'Headcount &amp; Salaries - 2'!BL59</f>
        <v/>
      </c>
      <c r="AV311" s="1160">
        <f>+'Headcount &amp; Salaries - 2'!BM59</f>
        <v/>
      </c>
      <c r="AW311" s="202">
        <f>+'Headcount &amp; Salaries - 2'!BN59</f>
        <v/>
      </c>
      <c r="AX311" s="202">
        <f>+'Headcount &amp; Salaries - 2'!BO59</f>
        <v/>
      </c>
      <c r="AY311" s="202">
        <f>+'Headcount &amp; Salaries - 2'!BP59</f>
        <v/>
      </c>
      <c r="AZ311" s="202">
        <f>+'Headcount &amp; Salaries - 2'!BQ59</f>
        <v/>
      </c>
      <c r="BA311" s="202">
        <f>+'Headcount &amp; Salaries - 2'!BR59</f>
        <v/>
      </c>
      <c r="BB311" s="1160">
        <f>+'Headcount &amp; Salaries - 2'!BS59</f>
        <v/>
      </c>
      <c r="BC311" s="202">
        <f>+'Headcount &amp; Salaries - 2'!BT59</f>
        <v/>
      </c>
      <c r="BD311" s="202">
        <f>+'Headcount &amp; Salaries - 2'!BU59</f>
        <v/>
      </c>
      <c r="BE311" s="202">
        <f>+'Headcount &amp; Salaries - 2'!BV59</f>
        <v/>
      </c>
      <c r="BF311" s="202">
        <f>+'Headcount &amp; Salaries - 2'!BW59</f>
        <v/>
      </c>
      <c r="BG311" s="202">
        <f>+'Headcount &amp; Salaries - 2'!BX59</f>
        <v/>
      </c>
      <c r="BH311" s="1160">
        <f>+'Headcount &amp; Salaries - 2'!BY59</f>
        <v/>
      </c>
      <c r="BI311" s="202">
        <f>+'Headcount &amp; Salaries - 2'!BZ59</f>
        <v/>
      </c>
      <c r="BJ311" s="202">
        <f>+'Headcount &amp; Salaries - 2'!CA59</f>
        <v/>
      </c>
      <c r="BK311" s="202">
        <f>+'Headcount &amp; Salaries - 2'!CB59</f>
        <v/>
      </c>
      <c r="BL311" s="202">
        <f>+'Headcount &amp; Salaries - 2'!CC59</f>
        <v/>
      </c>
      <c r="BM311" s="202">
        <f>+'Headcount &amp; Salaries - 2'!CD59</f>
        <v/>
      </c>
      <c r="BN311" s="1160">
        <f>+'Headcount &amp; Salaries - 2'!CE59</f>
        <v/>
      </c>
    </row>
    <row r="312" ht="12.75" customHeight="1" s="1883">
      <c r="C312" s="1156" t="n"/>
      <c r="D312" s="670" t="inlineStr">
        <is>
          <t>Furniture Cost/employee</t>
        </is>
      </c>
      <c r="E312" s="671" t="n"/>
      <c r="F312" s="74" t="n"/>
      <c r="G312" s="73">
        <f>+'6B. Pre-Launch Exps. - Detail'!$L$127</f>
        <v/>
      </c>
      <c r="H312" s="69">
        <f>+G312</f>
        <v/>
      </c>
      <c r="I312" s="69">
        <f>+H312</f>
        <v/>
      </c>
      <c r="J312" s="69">
        <f>+I312</f>
        <v/>
      </c>
      <c r="K312" s="69">
        <f>+J312</f>
        <v/>
      </c>
      <c r="L312" s="1070">
        <f>+K312</f>
        <v/>
      </c>
      <c r="M312" s="69">
        <f>+L312</f>
        <v/>
      </c>
      <c r="N312" s="69">
        <f>+M312</f>
        <v/>
      </c>
      <c r="O312" s="69">
        <f>+N312</f>
        <v/>
      </c>
      <c r="P312" s="69">
        <f>+O312</f>
        <v/>
      </c>
      <c r="Q312" s="69">
        <f>+P312</f>
        <v/>
      </c>
      <c r="R312" s="1070">
        <f>+Q312</f>
        <v/>
      </c>
      <c r="S312" s="73" t="n">
        <v>750</v>
      </c>
      <c r="T312" s="69">
        <f>+S312</f>
        <v/>
      </c>
      <c r="U312" s="69">
        <f>+T312</f>
        <v/>
      </c>
      <c r="V312" s="69">
        <f>+U312</f>
        <v/>
      </c>
      <c r="W312" s="69">
        <f>+V312</f>
        <v/>
      </c>
      <c r="X312" s="1070">
        <f>+W312</f>
        <v/>
      </c>
      <c r="Y312" s="69">
        <f>+X312</f>
        <v/>
      </c>
      <c r="Z312" s="69">
        <f>+Y312</f>
        <v/>
      </c>
      <c r="AA312" s="69">
        <f>+Z312</f>
        <v/>
      </c>
      <c r="AB312" s="69">
        <f>+AA312</f>
        <v/>
      </c>
      <c r="AC312" s="69">
        <f>+AB312</f>
        <v/>
      </c>
      <c r="AD312" s="1070">
        <f>+AC312</f>
        <v/>
      </c>
      <c r="AE312" s="73" t="n">
        <v>750</v>
      </c>
      <c r="AF312" s="69">
        <f>+AE312</f>
        <v/>
      </c>
      <c r="AG312" s="69">
        <f>+AF312</f>
        <v/>
      </c>
      <c r="AH312" s="69">
        <f>+AG312</f>
        <v/>
      </c>
      <c r="AI312" s="69">
        <f>+AH312</f>
        <v/>
      </c>
      <c r="AJ312" s="1070">
        <f>+AI312</f>
        <v/>
      </c>
      <c r="AK312" s="69">
        <f>+AJ312</f>
        <v/>
      </c>
      <c r="AL312" s="69">
        <f>+AK312</f>
        <v/>
      </c>
      <c r="AM312" s="69">
        <f>+AL312</f>
        <v/>
      </c>
      <c r="AN312" s="69">
        <f>+AM312</f>
        <v/>
      </c>
      <c r="AO312" s="69">
        <f>+AN312</f>
        <v/>
      </c>
      <c r="AP312" s="1070">
        <f>+AO312</f>
        <v/>
      </c>
      <c r="AQ312" s="73" t="n">
        <v>750</v>
      </c>
      <c r="AR312" s="69">
        <f>+AQ312</f>
        <v/>
      </c>
      <c r="AS312" s="69">
        <f>+AR312</f>
        <v/>
      </c>
      <c r="AT312" s="69">
        <f>+AS312</f>
        <v/>
      </c>
      <c r="AU312" s="69">
        <f>+AT312</f>
        <v/>
      </c>
      <c r="AV312" s="1070">
        <f>+AU312</f>
        <v/>
      </c>
      <c r="AW312" s="69">
        <f>+AV312</f>
        <v/>
      </c>
      <c r="AX312" s="69">
        <f>+AW312</f>
        <v/>
      </c>
      <c r="AY312" s="69">
        <f>+AX312</f>
        <v/>
      </c>
      <c r="AZ312" s="69">
        <f>+AY312</f>
        <v/>
      </c>
      <c r="BA312" s="69">
        <f>+AZ312</f>
        <v/>
      </c>
      <c r="BB312" s="1070">
        <f>+BA312</f>
        <v/>
      </c>
      <c r="BC312" s="73" t="n">
        <v>750</v>
      </c>
      <c r="BD312" s="69">
        <f>+BC312</f>
        <v/>
      </c>
      <c r="BE312" s="69">
        <f>+BD312</f>
        <v/>
      </c>
      <c r="BF312" s="69">
        <f>+BE312</f>
        <v/>
      </c>
      <c r="BG312" s="69">
        <f>+BF312</f>
        <v/>
      </c>
      <c r="BH312" s="1070">
        <f>+BG312</f>
        <v/>
      </c>
      <c r="BI312" s="69">
        <f>+BH312</f>
        <v/>
      </c>
      <c r="BJ312" s="69">
        <f>+BI312</f>
        <v/>
      </c>
      <c r="BK312" s="69">
        <f>+BJ312</f>
        <v/>
      </c>
      <c r="BL312" s="69">
        <f>+BK312</f>
        <v/>
      </c>
      <c r="BM312" s="69">
        <f>+BL312</f>
        <v/>
      </c>
      <c r="BN312" s="1070">
        <f>+BM312</f>
        <v/>
      </c>
    </row>
    <row r="313" ht="12.75" customHeight="1" s="1883">
      <c r="C313" s="1156" t="inlineStr">
        <is>
          <t>Total ADDITIONS</t>
        </is>
      </c>
      <c r="D313" s="670" t="n"/>
      <c r="E313" s="671" t="n"/>
      <c r="F313" s="74" t="n"/>
      <c r="G313" s="1161">
        <f>+IF(G311-F311&gt;0,(G311-F311)*G312,0)</f>
        <v/>
      </c>
      <c r="H313" s="1161">
        <f>+IF(H311-G311&gt;0,(H311-G311)*H312,0)</f>
        <v/>
      </c>
      <c r="I313" s="1161">
        <f>+IF(I311-H311&gt;0,(I311-H311)*I312,0)</f>
        <v/>
      </c>
      <c r="J313" s="1161">
        <f>+IF(J311-I311&gt;0,(J311-I311)*J312,0)</f>
        <v/>
      </c>
      <c r="K313" s="1161">
        <f>+IF(K311-J311&gt;0,(K311-J311)*K312,0)</f>
        <v/>
      </c>
      <c r="L313" s="1162">
        <f>+IF(L311-K311&gt;0,(L311-K311)*L312,0)</f>
        <v/>
      </c>
      <c r="M313" s="1161">
        <f>+IF(M311-L311&gt;0,(M311-L311)*M312,0)</f>
        <v/>
      </c>
      <c r="N313" s="1161">
        <f>+IF(N311-M311&gt;0,(N311-M311)*N312,0)</f>
        <v/>
      </c>
      <c r="O313" s="1161">
        <f>+IF(O311-N311&gt;0,(O311-N311)*O312,0)</f>
        <v/>
      </c>
      <c r="P313" s="1161">
        <f>+IF(P311-O311&gt;0,(P311-O311)*P312,0)</f>
        <v/>
      </c>
      <c r="Q313" s="1161">
        <f>+IF(Q311-P311&gt;0,(Q311-P311)*Q312,0)</f>
        <v/>
      </c>
      <c r="R313" s="1162">
        <f>+IF(R311-Q311&gt;0,(R311-Q311)*R312,0)</f>
        <v/>
      </c>
      <c r="S313" s="1161">
        <f>+IF(S311-R311&gt;0,(S311-R311)*S312,0)</f>
        <v/>
      </c>
      <c r="T313" s="1161">
        <f>+IF(T311-S311&gt;0,(T311-S311)*T312,0)</f>
        <v/>
      </c>
      <c r="U313" s="1161">
        <f>+IF(U311-T311&gt;0,(U311-T311)*U312,0)</f>
        <v/>
      </c>
      <c r="V313" s="1161">
        <f>+IF(V311-U311&gt;0,(V311-U311)*V312,0)</f>
        <v/>
      </c>
      <c r="W313" s="1161">
        <f>+IF(W311-V311&gt;0,(W311-V311)*W312,0)</f>
        <v/>
      </c>
      <c r="X313" s="1162">
        <f>+IF(X311-W311&gt;0,(X311-W311)*X312,0)</f>
        <v/>
      </c>
      <c r="Y313" s="1161">
        <f>+IF(Y311-X311&gt;0,(Y311-X311)*Y312,0)</f>
        <v/>
      </c>
      <c r="Z313" s="1161">
        <f>+IF(Z311-Y311&gt;0,(Z311-Y311)*Z312,0)</f>
        <v/>
      </c>
      <c r="AA313" s="1161">
        <f>+IF(AA311-Z311&gt;0,(AA311-Z311)*AA312,0)</f>
        <v/>
      </c>
      <c r="AB313" s="1161">
        <f>+IF(AB311-AA311&gt;0,(AB311-AA311)*AB312,0)</f>
        <v/>
      </c>
      <c r="AC313" s="1161">
        <f>+IF(AC311-AB311&gt;0,(AC311-AB311)*AC312,0)</f>
        <v/>
      </c>
      <c r="AD313" s="1162">
        <f>+IF(AD311-AC311&gt;0,(AD311-AC311)*AD312,0)</f>
        <v/>
      </c>
      <c r="AE313" s="1161">
        <f>+IF(AE311-AD311&gt;0,(AE311-AD311)*AE312,0)</f>
        <v/>
      </c>
      <c r="AF313" s="1161">
        <f>+IF(AF311-AE311&gt;0,(AF311-AE311)*AF312,0)</f>
        <v/>
      </c>
      <c r="AG313" s="1161">
        <f>+IF(AG311-AF311&gt;0,(AG311-AF311)*AG312,0)</f>
        <v/>
      </c>
      <c r="AH313" s="1161">
        <f>+IF(AH311-AG311&gt;0,(AH311-AG311)*AH312,0)</f>
        <v/>
      </c>
      <c r="AI313" s="1161">
        <f>+IF(AI311-AH311&gt;0,(AI311-AH311)*AI312,0)</f>
        <v/>
      </c>
      <c r="AJ313" s="1162">
        <f>+IF(AJ311-AI311&gt;0,(AJ311-AI311)*AJ312,0)</f>
        <v/>
      </c>
      <c r="AK313" s="1161">
        <f>+IF(AK311-AJ311&gt;0,(AK311-AJ311)*AK312,0)</f>
        <v/>
      </c>
      <c r="AL313" s="1161">
        <f>+IF(AL311-AK311&gt;0,(AL311-AK311)*AL312,0)</f>
        <v/>
      </c>
      <c r="AM313" s="1161">
        <f>+IF(AM311-AL311&gt;0,(AM311-AL311)*AM312,0)</f>
        <v/>
      </c>
      <c r="AN313" s="1161">
        <f>+IF(AN311-AM311&gt;0,(AN311-AM311)*AN312,0)</f>
        <v/>
      </c>
      <c r="AO313" s="1161">
        <f>+IF(AO311-AN311&gt;0,(AO311-AN311)*AO312,0)</f>
        <v/>
      </c>
      <c r="AP313" s="1162">
        <f>+IF(AP311-AO311&gt;0,(AP311-AO311)*AP312,0)</f>
        <v/>
      </c>
      <c r="AQ313" s="1161">
        <f>+IF(AQ311-AP311&gt;0,(AQ311-AP311)*AQ312,0)</f>
        <v/>
      </c>
      <c r="AR313" s="1161">
        <f>+IF(AR311-AQ311&gt;0,(AR311-AQ311)*AR312,0)</f>
        <v/>
      </c>
      <c r="AS313" s="1161">
        <f>+IF(AS311-AR311&gt;0,(AS311-AR311)*AS312,0)</f>
        <v/>
      </c>
      <c r="AT313" s="1161">
        <f>+IF(AT311-AS311&gt;0,(AT311-AS311)*AT312,0)</f>
        <v/>
      </c>
      <c r="AU313" s="1161">
        <f>+IF(AU311-AT311&gt;0,(AU311-AT311)*AU312,0)</f>
        <v/>
      </c>
      <c r="AV313" s="1162">
        <f>+IF(AV311-AU311&gt;0,(AV311-AU311)*AV312,0)</f>
        <v/>
      </c>
      <c r="AW313" s="1161">
        <f>+IF(AW311-AV311&gt;0,(AW311-AV311)*AW312,0)</f>
        <v/>
      </c>
      <c r="AX313" s="1161">
        <f>+IF(AX311-AW311&gt;0,(AX311-AW311)*AX312,0)</f>
        <v/>
      </c>
      <c r="AY313" s="1161">
        <f>+IF(AY311-AX311&gt;0,(AY311-AX311)*AY312,0)</f>
        <v/>
      </c>
      <c r="AZ313" s="1161">
        <f>+IF(AZ311-AY311&gt;0,(AZ311-AY311)*AZ312,0)</f>
        <v/>
      </c>
      <c r="BA313" s="1161">
        <f>+IF(BA311-AZ311&gt;0,(BA311-AZ311)*BA312,0)</f>
        <v/>
      </c>
      <c r="BB313" s="1162">
        <f>+IF(BB311-BA311&gt;0,(BB311-BA311)*BB312,0)</f>
        <v/>
      </c>
      <c r="BC313" s="1161">
        <f>+IF(BC311-BB311&gt;0,(BC311-BB311)*BC312,0)</f>
        <v/>
      </c>
      <c r="BD313" s="1161">
        <f>+IF(BD311-BC311&gt;0,(BD311-BC311)*BD312,0)</f>
        <v/>
      </c>
      <c r="BE313" s="1161">
        <f>+IF(BE311-BD311&gt;0,(BE311-BD311)*BE312,0)</f>
        <v/>
      </c>
      <c r="BF313" s="1161">
        <f>+IF(BF311-BE311&gt;0,(BF311-BE311)*BF312,0)</f>
        <v/>
      </c>
      <c r="BG313" s="1161">
        <f>+IF(BG311-BF311&gt;0,(BG311-BF311)*BG312,0)</f>
        <v/>
      </c>
      <c r="BH313" s="1162">
        <f>+IF(BH311-BG311&gt;0,(BH311-BG311)*BH312,0)</f>
        <v/>
      </c>
      <c r="BI313" s="1161">
        <f>+IF(BI311-BH311&gt;0,(BI311-BH311)*BI312,0)</f>
        <v/>
      </c>
      <c r="BJ313" s="1161">
        <f>+IF(BJ311-BI311&gt;0,(BJ311-BI311)*BJ312,0)</f>
        <v/>
      </c>
      <c r="BK313" s="1161">
        <f>+IF(BK311-BJ311&gt;0,(BK311-BJ311)*BK312,0)</f>
        <v/>
      </c>
      <c r="BL313" s="1161">
        <f>+IF(BL311-BK311&gt;0,(BL311-BK311)*BL312,0)</f>
        <v/>
      </c>
      <c r="BM313" s="1161">
        <f>+IF(BM311-BL311&gt;0,(BM311-BL311)*BM312,0)</f>
        <v/>
      </c>
      <c r="BN313" s="1162">
        <f>+IF(BN311-BM311&gt;0,(BN311-BM311)*BN312,0)</f>
        <v/>
      </c>
    </row>
    <row r="314" ht="12.75" customHeight="1" s="1883">
      <c r="C314" s="1155" t="n"/>
      <c r="D314" s="670" t="n"/>
      <c r="E314" s="671" t="n"/>
      <c r="F314" s="74" t="n"/>
      <c r="G314" s="73" t="n"/>
      <c r="H314" s="1163" t="n"/>
      <c r="I314" s="1163" t="n"/>
      <c r="J314" s="1163" t="n"/>
      <c r="K314" s="1163" t="n"/>
      <c r="L314" s="203" t="n"/>
      <c r="M314" s="1163" t="n"/>
      <c r="N314" s="1163" t="n"/>
      <c r="O314" s="1163" t="n"/>
      <c r="P314" s="1163" t="n"/>
      <c r="Q314" s="1163" t="n"/>
      <c r="R314" s="203" t="n"/>
      <c r="S314" s="1163" t="n"/>
      <c r="T314" s="1163" t="n"/>
      <c r="U314" s="1163" t="n"/>
      <c r="V314" s="1163" t="n"/>
      <c r="W314" s="1163" t="n"/>
      <c r="X314" s="203" t="n"/>
      <c r="Y314" s="1163" t="n"/>
      <c r="Z314" s="1163" t="n"/>
      <c r="AA314" s="1163" t="n"/>
      <c r="AB314" s="1163" t="n"/>
      <c r="AC314" s="1163" t="n"/>
      <c r="AD314" s="203" t="n"/>
      <c r="AE314" s="1163" t="n"/>
      <c r="AF314" s="1163" t="n"/>
      <c r="AG314" s="1163" t="n"/>
      <c r="AH314" s="1163" t="n"/>
      <c r="AI314" s="1163" t="n"/>
      <c r="AJ314" s="203" t="n"/>
      <c r="AK314" s="1163" t="n"/>
      <c r="AL314" s="1163" t="n"/>
      <c r="AM314" s="1163" t="n"/>
      <c r="AN314" s="1163" t="n"/>
      <c r="AO314" s="1163" t="n"/>
      <c r="AP314" s="203" t="n"/>
      <c r="AQ314" s="1163" t="n"/>
      <c r="AR314" s="1163" t="n"/>
      <c r="AS314" s="1163" t="n"/>
      <c r="AT314" s="1163" t="n"/>
      <c r="AU314" s="1163" t="n"/>
      <c r="AV314" s="203" t="n"/>
      <c r="AW314" s="1163" t="n"/>
      <c r="AX314" s="1163" t="n"/>
      <c r="AY314" s="1163" t="n"/>
      <c r="AZ314" s="1163" t="n"/>
      <c r="BA314" s="1163" t="n"/>
      <c r="BB314" s="203" t="n"/>
      <c r="BC314" s="1163" t="n"/>
      <c r="BD314" s="1163" t="n"/>
      <c r="BE314" s="1163" t="n"/>
      <c r="BF314" s="1163" t="n"/>
      <c r="BG314" s="1163" t="n"/>
      <c r="BH314" s="203" t="n"/>
      <c r="BI314" s="1163" t="n"/>
      <c r="BJ314" s="1163" t="n"/>
      <c r="BK314" s="1163" t="n"/>
      <c r="BL314" s="1163" t="n"/>
      <c r="BM314" s="1163" t="n"/>
      <c r="BN314" s="203" t="n"/>
    </row>
    <row r="315" ht="12.75" customHeight="1" s="1883">
      <c r="C315" s="1155" t="inlineStr">
        <is>
          <t>Addition 1</t>
        </is>
      </c>
      <c r="D315" s="670" t="n"/>
      <c r="E315" s="671" t="n"/>
      <c r="F315" s="74" t="n"/>
      <c r="G315" s="73">
        <f>+IF(AND(G313-F313&gt;0,F315=0),G313-F313,F315)</f>
        <v/>
      </c>
      <c r="H315" s="73">
        <f>+IF(AND(H313-G313&gt;0,G315=0),H313-G313,G315)</f>
        <v/>
      </c>
      <c r="I315" s="73">
        <f>+IF(AND(I313-H313&gt;0,H315=0),I313-H313,H315)</f>
        <v/>
      </c>
      <c r="J315" s="73">
        <f>+IF(AND(J313-I313&gt;0,I315=0),J313-I313,I315)</f>
        <v/>
      </c>
      <c r="K315" s="73">
        <f>+IF(AND(K313-J313&gt;0,J315=0),K313-J313,J315)</f>
        <v/>
      </c>
      <c r="L315" s="1071">
        <f>+IF(AND(L313-K313&gt;0,K315=0),L313-K313,K315)</f>
        <v/>
      </c>
      <c r="M315" s="73">
        <f>+IF(AND(M313-L313&gt;0,L315=0),M313-L313,L315)</f>
        <v/>
      </c>
      <c r="N315" s="73">
        <f>+IF(AND(N313-M313&gt;0,M315=0),N313-M313,M315)</f>
        <v/>
      </c>
      <c r="O315" s="73">
        <f>+IF(AND(O313-N313&gt;0,N315=0),O313-N313,N315)</f>
        <v/>
      </c>
      <c r="P315" s="73">
        <f>+IF(AND(P313-O313&gt;0,O315=0),P313-O313,O315)</f>
        <v/>
      </c>
      <c r="Q315" s="73">
        <f>+IF(AND(Q313-P313&gt;0,P315=0),Q313-P313,P315)</f>
        <v/>
      </c>
      <c r="R315" s="1071">
        <f>+IF(AND(R313-Q313&gt;0,Q315=0),R313-Q313,Q315)</f>
        <v/>
      </c>
      <c r="S315" s="73">
        <f>+IF(AND(S313-R313&gt;0,R315=0),S313-R313,R315)</f>
        <v/>
      </c>
      <c r="T315" s="73">
        <f>+IF(AND(T313-S313&gt;0,S315=0),T313-S313,S315)</f>
        <v/>
      </c>
      <c r="U315" s="73">
        <f>+IF(AND(U313-T313&gt;0,T315=0),U313-T313,T315)</f>
        <v/>
      </c>
      <c r="V315" s="73">
        <f>+IF(AND(V313-U313&gt;0,U315=0),V313-U313,U315)</f>
        <v/>
      </c>
      <c r="W315" s="73">
        <f>+IF(AND(W313-V313&gt;0,V315=0),W313-V313,V315)</f>
        <v/>
      </c>
      <c r="X315" s="1071">
        <f>+IF(AND(X313-W313&gt;0,W315=0),X313-W313,W315)</f>
        <v/>
      </c>
      <c r="Y315" s="73">
        <f>+IF(AND(Y313-X313&gt;0,X315=0),Y313-X313,X315)</f>
        <v/>
      </c>
      <c r="Z315" s="73">
        <f>+IF(AND(Z313-Y313&gt;0,Y315=0),Z313-Y313,Y315)</f>
        <v/>
      </c>
      <c r="AA315" s="73">
        <f>+IF(AND(AA313-Z313&gt;0,Z315=0),AA313-Z313,Z315)</f>
        <v/>
      </c>
      <c r="AB315" s="73">
        <f>+IF(AND(AB313-AA313&gt;0,AA315=0),AB313-AA313,AA315)</f>
        <v/>
      </c>
      <c r="AC315" s="73">
        <f>+IF(AND(AC313-AB313&gt;0,AB315=0),AC313-AB313,AB315)</f>
        <v/>
      </c>
      <c r="AD315" s="1071">
        <f>+IF(AND(AD313-AC313&gt;0,AC315=0),AD313-AC313,AC315)</f>
        <v/>
      </c>
      <c r="AE315" s="73">
        <f>+IF(AND(AE313-AD313&gt;0,AD315=0),AE313-AD313,AD315)</f>
        <v/>
      </c>
      <c r="AF315" s="73">
        <f>+IF(AND(AF313-AE313&gt;0,AE315=0),AF313-AE313,AE315)</f>
        <v/>
      </c>
      <c r="AG315" s="73">
        <f>+IF(AND(AG313-AF313&gt;0,AF315=0),AG313-AF313,AF315)</f>
        <v/>
      </c>
      <c r="AH315" s="73">
        <f>+IF(AND(AH313-AG313&gt;0,AG315=0),AH313-AG313,AG315)</f>
        <v/>
      </c>
      <c r="AI315" s="73">
        <f>+IF(AND(AI313-AH313&gt;0,AH315=0),AI313-AH313,AH315)</f>
        <v/>
      </c>
      <c r="AJ315" s="1071">
        <f>+IF(AND(AJ313-AI313&gt;0,AI315=0),AJ313-AI313,AI315)</f>
        <v/>
      </c>
      <c r="AK315" s="73">
        <f>+IF(AND(AK313-AJ313&gt;0,AJ315=0),AK313-AJ313,AJ315)</f>
        <v/>
      </c>
      <c r="AL315" s="73">
        <f>+IF(AND(AL313-AK313&gt;0,AK315=0),AL313-AK313,AK315)</f>
        <v/>
      </c>
      <c r="AM315" s="73">
        <f>+IF(AND(AM313-AL313&gt;0,AL315=0),AM313-AL313,AL315)</f>
        <v/>
      </c>
      <c r="AN315" s="73">
        <f>+IF(AND(AN313-AM313&gt;0,AM315=0),AN313-AM313,AM315)</f>
        <v/>
      </c>
      <c r="AO315" s="73">
        <f>+IF(AND(AO313-AN313&gt;0,AN315=0),AO313-AN313,AN315)</f>
        <v/>
      </c>
      <c r="AP315" s="1071">
        <f>+IF(AND(AP313-AO313&gt;0,AO315=0),AP313-AO313,AO315)</f>
        <v/>
      </c>
      <c r="AQ315" s="73">
        <f>+IF(AND(AQ313-AP313&gt;0,AP315=0),AQ313-AP313,AP315)</f>
        <v/>
      </c>
      <c r="AR315" s="73">
        <f>+IF(AND(AR313-AQ313&gt;0,AQ315=0),AR313-AQ313,AQ315)</f>
        <v/>
      </c>
      <c r="AS315" s="73">
        <f>+IF(AND(AS313-AR313&gt;0,AR315=0),AS313-AR313,AR315)</f>
        <v/>
      </c>
      <c r="AT315" s="73">
        <f>+IF(AND(AT313-AS313&gt;0,AS315=0),AT313-AS313,AS315)</f>
        <v/>
      </c>
      <c r="AU315" s="73">
        <f>+IF(AND(AU313-AT313&gt;0,AT315=0),AU313-AT313,AT315)</f>
        <v/>
      </c>
      <c r="AV315" s="1071">
        <f>+IF(AND(AV313-AU313&gt;0,AU315=0),AV313-AU313,AU315)</f>
        <v/>
      </c>
      <c r="AW315" s="73">
        <f>+IF(AND(AW313-AV313&gt;0,AV315=0),AW313-AV313,AV315)</f>
        <v/>
      </c>
      <c r="AX315" s="73">
        <f>+IF(AND(AX313-AW313&gt;0,AW315=0),AX313-AW313,AW315)</f>
        <v/>
      </c>
      <c r="AY315" s="73">
        <f>+IF(AND(AY313-AX313&gt;0,AX315=0),AY313-AX313,AX315)</f>
        <v/>
      </c>
      <c r="AZ315" s="73">
        <f>+IF(AND(AZ313-AY313&gt;0,AY315=0),AZ313-AY313,AY315)</f>
        <v/>
      </c>
      <c r="BA315" s="73">
        <f>+IF(AND(BA313-AZ313&gt;0,AZ315=0),BA313-AZ313,AZ315)</f>
        <v/>
      </c>
      <c r="BB315" s="1071">
        <f>+IF(AND(BB313-BA313&gt;0,BA315=0),BB313-BA313,BA315)</f>
        <v/>
      </c>
      <c r="BC315" s="73">
        <f>+IF(AND(BC313-BB313&gt;0,BB315=0),BC313-BB313,BB315)</f>
        <v/>
      </c>
      <c r="BD315" s="73">
        <f>+IF(AND(BD313-BC313&gt;0,BC315=0),BD313-BC313,BC315)</f>
        <v/>
      </c>
      <c r="BE315" s="73">
        <f>+IF(AND(BE313-BD313&gt;0,BD315=0),BE313-BD313,BD315)</f>
        <v/>
      </c>
      <c r="BF315" s="73">
        <f>+IF(AND(BF313-BE313&gt;0,BE315=0),BF313-BE313,BE315)</f>
        <v/>
      </c>
      <c r="BG315" s="73">
        <f>+IF(AND(BG313-BF313&gt;0,BF315=0),BG313-BF313,BF315)</f>
        <v/>
      </c>
      <c r="BH315" s="1071">
        <f>+IF(AND(BH313-BG313&gt;0,BG315=0),BH313-BG313,BG315)</f>
        <v/>
      </c>
      <c r="BI315" s="73">
        <f>+IF(AND(BI313-BH313&gt;0,BH315=0),BI313-BH313,BH315)</f>
        <v/>
      </c>
      <c r="BJ315" s="73">
        <f>+IF(AND(BJ313-BI313&gt;0,BI315=0),BJ313-BI313,BI315)</f>
        <v/>
      </c>
      <c r="BK315" s="73">
        <f>+IF(AND(BK313-BJ313&gt;0,BJ315=0),BK313-BJ313,BJ315)</f>
        <v/>
      </c>
      <c r="BL315" s="73">
        <f>+IF(AND(BL313-BK313&gt;0,BK315=0),BL313-BK313,BK315)</f>
        <v/>
      </c>
      <c r="BM315" s="73">
        <f>+IF(AND(BM313-BL313&gt;0,BL315=0),BM313-BL313,BL315)</f>
        <v/>
      </c>
      <c r="BN315" s="1071">
        <f>+IF(AND(BN313-BM313&gt;0,BM315=0),BN313-BM313,BM315)</f>
        <v/>
      </c>
    </row>
    <row r="316" ht="12.75" customHeight="1" s="1883">
      <c r="C316" s="1155" t="inlineStr">
        <is>
          <t>Addition 2</t>
        </is>
      </c>
      <c r="D316" s="670" t="n"/>
      <c r="E316" s="671" t="n"/>
      <c r="F316" s="74" t="n"/>
      <c r="G316" s="73">
        <f>+IF(AND(F316=0,F315&gt;0,(G$222-F$222)&gt;0),G$222-F$222,F$225)</f>
        <v/>
      </c>
      <c r="H316" s="73">
        <f>+IF(AND(G316=0,G315&gt;0,(H$222-G$222)&gt;0),H$222-G$222,G$225)</f>
        <v/>
      </c>
      <c r="I316" s="73">
        <f>+IF(AND(H316=0,H315&gt;0,(I$222-H$222)&gt;0),I$222-H$222,H$225)</f>
        <v/>
      </c>
      <c r="J316" s="73">
        <f>+IF(AND(I316=0,I315&gt;0,(J$222-I$222)&gt;0),J$222-I$222,I$225)</f>
        <v/>
      </c>
      <c r="K316" s="73">
        <f>+IF(AND(J316=0,J315&gt;0,(K$222-J$222)&gt;0),K$222-J$222,J$225)</f>
        <v/>
      </c>
      <c r="L316" s="1071">
        <f>+IF(AND(K316=0,K315&gt;0,(L$222-K$222)&gt;0),L$222-K$222,K$225)</f>
        <v/>
      </c>
      <c r="M316" s="73">
        <f>+IF(AND(L316=0,L315&gt;0,(M$222-L$222)&gt;0),M$222-L$222,L$225)</f>
        <v/>
      </c>
      <c r="N316" s="73">
        <f>+IF(AND(M316=0,M315&gt;0,(N$222-M$222)&gt;0),N$222-M$222,M$225)</f>
        <v/>
      </c>
      <c r="O316" s="73">
        <f>+IF(AND(N316=0,N315&gt;0,(O$222-N$222)&gt;0),O$222-N$222,N$225)</f>
        <v/>
      </c>
      <c r="P316" s="73">
        <f>+IF(AND(O316=0,O315&gt;0,(P$222-O$222)&gt;0),P$222-O$222,O$225)</f>
        <v/>
      </c>
      <c r="Q316" s="73">
        <f>+IF(AND(P316=0,P315&gt;0,(Q$222-P$222)&gt;0),Q$222-P$222,P$225)</f>
        <v/>
      </c>
      <c r="R316" s="1071">
        <f>+IF(AND(Q316=0,Q315&gt;0,(R$222-Q$222)&gt;0),R$222-Q$222,Q$225)</f>
        <v/>
      </c>
      <c r="S316" s="73">
        <f>+IF(AND(R316=0,R315&gt;0,(S$222-R$222)&gt;0),S$222-R$222,R$225)</f>
        <v/>
      </c>
      <c r="T316" s="73">
        <f>+IF(AND(S316=0,S315&gt;0,(T$222-S$222)&gt;0),T$222-S$222,S$225)</f>
        <v/>
      </c>
      <c r="U316" s="73">
        <f>+IF(AND(T316=0,T315&gt;0,(U$222-T$222)&gt;0),U$222-T$222,T$225)</f>
        <v/>
      </c>
      <c r="V316" s="73">
        <f>+IF(AND(U316=0,U315&gt;0,(V$222-U$222)&gt;0),V$222-U$222,U$225)</f>
        <v/>
      </c>
      <c r="W316" s="73">
        <f>+IF(AND(V316=0,V315&gt;0,(W$222-V$222)&gt;0),W$222-V$222,V$225)</f>
        <v/>
      </c>
      <c r="X316" s="1071">
        <f>+IF(AND(W316=0,W315&gt;0,(X$222-W$222)&gt;0),X$222-W$222,W$225)</f>
        <v/>
      </c>
      <c r="Y316" s="73">
        <f>+IF(AND(X316=0,X315&gt;0,(Y$222-X$222)&gt;0),Y$222-X$222,X$225)</f>
        <v/>
      </c>
      <c r="Z316" s="73">
        <f>+IF(AND(Y316=0,Y315&gt;0,(Z$222-Y$222)&gt;0),Z$222-Y$222,Y$225)</f>
        <v/>
      </c>
      <c r="AA316" s="73">
        <f>+IF(AND(Z316=0,Z315&gt;0,(AA$222-Z$222)&gt;0),AA$222-Z$222,Z$225)</f>
        <v/>
      </c>
      <c r="AB316" s="73">
        <f>+IF(AND(AA316=0,AA315&gt;0,(AB$222-AA$222)&gt;0),AB$222-AA$222,AA$225)</f>
        <v/>
      </c>
      <c r="AC316" s="73">
        <f>+IF(AND(AB316=0,AB315&gt;0,(AC$222-AB$222)&gt;0),AC$222-AB$222,AB$225)</f>
        <v/>
      </c>
      <c r="AD316" s="1071">
        <f>+IF(AND(AC316=0,AC315&gt;0,(AD$222-AC$222)&gt;0),AD$222-AC$222,AC$225)</f>
        <v/>
      </c>
      <c r="AE316" s="73">
        <f>+IF(AND(AD316=0,AD315&gt;0,(AE$222-AD$222)&gt;0),AE$222-AD$222,AD$225)</f>
        <v/>
      </c>
      <c r="AF316" s="73">
        <f>+IF(AND(AE316=0,AE315&gt;0,(AF$222-AE$222)&gt;0),AF$222-AE$222,AE$225)</f>
        <v/>
      </c>
      <c r="AG316" s="73">
        <f>+IF(AND(AF316=0,AF315&gt;0,(AG$222-AF$222)&gt;0),AG$222-AF$222,AF$225)</f>
        <v/>
      </c>
      <c r="AH316" s="73">
        <f>+IF(AND(AG316=0,AG315&gt;0,(AH$222-AG$222)&gt;0),AH$222-AG$222,AG$225)</f>
        <v/>
      </c>
      <c r="AI316" s="73">
        <f>+IF(AND(AH316=0,AH315&gt;0,(AI$222-AH$222)&gt;0),AI$222-AH$222,AH$225)</f>
        <v/>
      </c>
      <c r="AJ316" s="1071">
        <f>+IF(AND(AI316=0,AI315&gt;0,(AJ$222-AI$222)&gt;0),AJ$222-AI$222,AI$225)</f>
        <v/>
      </c>
      <c r="AK316" s="73">
        <f>+IF(AND(AJ316=0,AJ315&gt;0,(AK$222-AJ$222)&gt;0),AK$222-AJ$222,AJ$225)</f>
        <v/>
      </c>
      <c r="AL316" s="73">
        <f>+IF(AND(AK316=0,AK315&gt;0,(AL$222-AK$222)&gt;0),AL$222-AK$222,AK$225)</f>
        <v/>
      </c>
      <c r="AM316" s="73">
        <f>+IF(AND(AL316=0,AL315&gt;0,(AM$222-AL$222)&gt;0),AM$222-AL$222,AL$225)</f>
        <v/>
      </c>
      <c r="AN316" s="73">
        <f>+IF(AND(AM316=0,AM315&gt;0,(AN$222-AM$222)&gt;0),AN$222-AM$222,AM$225)</f>
        <v/>
      </c>
      <c r="AO316" s="73">
        <f>+IF(AND(AN316=0,AN315&gt;0,(AO$222-AN$222)&gt;0),AO$222-AN$222,AN$225)</f>
        <v/>
      </c>
      <c r="AP316" s="1071">
        <f>+IF(AND(AO316=0,AO315&gt;0,(AP$222-AO$222)&gt;0),AP$222-AO$222,AO$225)</f>
        <v/>
      </c>
      <c r="AQ316" s="73">
        <f>+IF(AND(AP316=0,AP315&gt;0,(AQ$222-AP$222)&gt;0),AQ$222-AP$222,AP$225)</f>
        <v/>
      </c>
      <c r="AR316" s="73">
        <f>+IF(AND(AQ316=0,AQ315&gt;0,(AR$222-AQ$222)&gt;0),AR$222-AQ$222,AQ$225)</f>
        <v/>
      </c>
      <c r="AS316" s="73">
        <f>+IF(AND(AR316=0,AR315&gt;0,(AS$222-AR$222)&gt;0),AS$222-AR$222,AR$225)</f>
        <v/>
      </c>
      <c r="AT316" s="73">
        <f>+IF(AND(AS316=0,AS315&gt;0,(AT$222-AS$222)&gt;0),AT$222-AS$222,AS$225)</f>
        <v/>
      </c>
      <c r="AU316" s="73">
        <f>+IF(AND(AT316=0,AT315&gt;0,(AU$222-AT$222)&gt;0),AU$222-AT$222,AT$225)</f>
        <v/>
      </c>
      <c r="AV316" s="1071">
        <f>+IF(AND(AU316=0,AU315&gt;0,(AV$222-AU$222)&gt;0),AV$222-AU$222,AU$225)</f>
        <v/>
      </c>
      <c r="AW316" s="73">
        <f>+IF(AND(AV316=0,AV315&gt;0,(AW$222-AV$222)&gt;0),AW$222-AV$222,AV$225)</f>
        <v/>
      </c>
      <c r="AX316" s="73">
        <f>+IF(AND(AW316=0,AW315&gt;0,(AX$222-AW$222)&gt;0),AX$222-AW$222,AW$225)</f>
        <v/>
      </c>
      <c r="AY316" s="73">
        <f>+IF(AND(AX316=0,AX315&gt;0,(AY$222-AX$222)&gt;0),AY$222-AX$222,AX$225)</f>
        <v/>
      </c>
      <c r="AZ316" s="73">
        <f>+IF(AND(AY316=0,AY315&gt;0,(AZ$222-AY$222)&gt;0),AZ$222-AY$222,AY$225)</f>
        <v/>
      </c>
      <c r="BA316" s="73">
        <f>+IF(AND(AZ316=0,AZ315&gt;0,(BA$222-AZ$222)&gt;0),BA$222-AZ$222,AZ$225)</f>
        <v/>
      </c>
      <c r="BB316" s="1071">
        <f>+IF(AND(BA316=0,BA315&gt;0,(BB$222-BA$222)&gt;0),BB$222-BA$222,BA$225)</f>
        <v/>
      </c>
      <c r="BC316" s="73">
        <f>+IF(AND(BB316=0,BB315&gt;0,(BC$222-BB$222)&gt;0),BC$222-BB$222,BB$225)</f>
        <v/>
      </c>
      <c r="BD316" s="73">
        <f>+IF(AND(BC316=0,BC315&gt;0,(BD$222-BC$222)&gt;0),BD$222-BC$222,BC$225)</f>
        <v/>
      </c>
      <c r="BE316" s="73">
        <f>+IF(AND(BD316=0,BD315&gt;0,(BE$222-BD$222)&gt;0),BE$222-BD$222,BD$225)</f>
        <v/>
      </c>
      <c r="BF316" s="73">
        <f>+IF(AND(BE316=0,BE315&gt;0,(BF$222-BE$222)&gt;0),BF$222-BE$222,BE$225)</f>
        <v/>
      </c>
      <c r="BG316" s="73">
        <f>+IF(AND(BF316=0,BF315&gt;0,(BG$222-BF$222)&gt;0),BG$222-BF$222,BF$225)</f>
        <v/>
      </c>
      <c r="BH316" s="1071">
        <f>+IF(AND(BG316=0,BG315&gt;0,(BH$222-BG$222)&gt;0),BH$222-BG$222,BG$225)</f>
        <v/>
      </c>
      <c r="BI316" s="73">
        <f>+IF(AND(BH316=0,BH315&gt;0,(BI$222-BH$222)&gt;0),BI$222-BH$222,BH$225)</f>
        <v/>
      </c>
      <c r="BJ316" s="73">
        <f>+IF(AND(BI316=0,BI315&gt;0,(BJ$222-BI$222)&gt;0),BJ$222-BI$222,BI$225)</f>
        <v/>
      </c>
      <c r="BK316" s="73">
        <f>+IF(AND(BJ316=0,BJ315&gt;0,(BK$222-BJ$222)&gt;0),BK$222-BJ$222,BJ$225)</f>
        <v/>
      </c>
      <c r="BL316" s="73">
        <f>+IF(AND(BK316=0,BK315&gt;0,(BL$222-BK$222)&gt;0),BL$222-BK$222,BK$225)</f>
        <v/>
      </c>
      <c r="BM316" s="73">
        <f>+IF(AND(BL316=0,BL315&gt;0,(BM$222-BL$222)&gt;0),BM$222-BL$222,BL$225)</f>
        <v/>
      </c>
      <c r="BN316" s="1071">
        <f>+IF(AND(BM316=0,BM315&gt;0,(BN$222-BM$222)&gt;0),BN$222-BM$222,BM$225)</f>
        <v/>
      </c>
    </row>
    <row r="317" ht="12.75" customHeight="1" s="1883">
      <c r="C317" s="1155" t="inlineStr">
        <is>
          <t>Addition 3</t>
        </is>
      </c>
      <c r="D317" s="670" t="n"/>
      <c r="E317" s="671" t="n"/>
      <c r="F317" s="74" t="n"/>
      <c r="G317" s="73">
        <f>+IF(AND(F317=0,F316&gt;0,(G$222-F$222)&gt;0),G$222-F$222,F317)</f>
        <v/>
      </c>
      <c r="H317" s="73">
        <f>+IF(AND(G317=0,G316&gt;0,(H$222-G$222)&gt;0),H$222-G$222,G317)</f>
        <v/>
      </c>
      <c r="I317" s="73">
        <f>+IF(AND(H317=0,H316&gt;0,(I$222-H$222)&gt;0),I$222-H$222,H317)</f>
        <v/>
      </c>
      <c r="J317" s="73">
        <f>+IF(AND(I317=0,I316&gt;0,(J$222-I$222)&gt;0),J$222-I$222,I317)</f>
        <v/>
      </c>
      <c r="K317" s="73">
        <f>+IF(AND(J317=0,J316&gt;0,(K$222-J$222)&gt;0),K$222-J$222,J317)</f>
        <v/>
      </c>
      <c r="L317" s="1071">
        <f>+IF(AND(K317=0,K316&gt;0,(L$222-K$222)&gt;0),L$222-K$222,K317)</f>
        <v/>
      </c>
      <c r="M317" s="73">
        <f>+IF(AND(L317=0,L316&gt;0,(M$222-L$222)&gt;0),M$222-L$222,L317)</f>
        <v/>
      </c>
      <c r="N317" s="73">
        <f>+IF(AND(M317=0,M316&gt;0,(N$222-M$222)&gt;0),N$222-M$222,M317)</f>
        <v/>
      </c>
      <c r="O317" s="73">
        <f>+IF(AND(N317=0,N316&gt;0,(O$222-N$222)&gt;0),O$222-N$222,N317)</f>
        <v/>
      </c>
      <c r="P317" s="73">
        <f>+IF(AND(O317=0,O316&gt;0,(P$222-O$222)&gt;0),P$222-O$222,O317)</f>
        <v/>
      </c>
      <c r="Q317" s="73">
        <f>+IF(AND(P317=0,P316&gt;0,(Q$222-P$222)&gt;0),Q$222-P$222,P317)</f>
        <v/>
      </c>
      <c r="R317" s="1071">
        <f>+IF(AND(Q317=0,Q316&gt;0,(R$222-Q$222)&gt;0),R$222-Q$222,Q317)</f>
        <v/>
      </c>
      <c r="S317" s="73">
        <f>+IF(AND(R317=0,R316&gt;0,(S$222-R$222)&gt;0),S$222-R$222,R317)</f>
        <v/>
      </c>
      <c r="T317" s="73">
        <f>+IF(AND(S317=0,S316&gt;0,(T$222-S$222)&gt;0),T$222-S$222,S317)</f>
        <v/>
      </c>
      <c r="U317" s="73">
        <f>+IF(AND(T317=0,T316&gt;0,(U$222-T$222)&gt;0),U$222-T$222,T317)</f>
        <v/>
      </c>
      <c r="V317" s="73">
        <f>+IF(AND(U317=0,U316&gt;0,(V$222-U$222)&gt;0),V$222-U$222,U317)</f>
        <v/>
      </c>
      <c r="W317" s="73">
        <f>+IF(AND(V317=0,V316&gt;0,(W$222-V$222)&gt;0),W$222-V$222,V317)</f>
        <v/>
      </c>
      <c r="X317" s="1071">
        <f>+IF(AND(W317=0,W316&gt;0,(X$222-W$222)&gt;0),X$222-W$222,W317)</f>
        <v/>
      </c>
      <c r="Y317" s="73">
        <f>+IF(AND(X317=0,X316&gt;0,(Y$222-X$222)&gt;0),Y$222-X$222,X317)</f>
        <v/>
      </c>
      <c r="Z317" s="73">
        <f>+IF(AND(Y317=0,Y316&gt;0,(Z$222-Y$222)&gt;0),Z$222-Y$222,Y317)</f>
        <v/>
      </c>
      <c r="AA317" s="73">
        <f>+IF(AND(Z317=0,Z316&gt;0,(AA$222-Z$222)&gt;0),AA$222-Z$222,Z317)</f>
        <v/>
      </c>
      <c r="AB317" s="73">
        <f>+IF(AND(AA317=0,AA316&gt;0,(AB$222-AA$222)&gt;0),AB$222-AA$222,AA317)</f>
        <v/>
      </c>
      <c r="AC317" s="73">
        <f>+IF(AND(AB317=0,AB316&gt;0,(AC$222-AB$222)&gt;0),AC$222-AB$222,AB317)</f>
        <v/>
      </c>
      <c r="AD317" s="1071">
        <f>+IF(AND(AC317=0,AC316&gt;0,(AD$222-AC$222)&gt;0),AD$222-AC$222,AC317)</f>
        <v/>
      </c>
      <c r="AE317" s="73">
        <f>+IF(AND(AD317=0,AD316&gt;0,(AE$222-AD$222)&gt;0),AE$222-AD$222,AD317)</f>
        <v/>
      </c>
      <c r="AF317" s="73">
        <f>+IF(AND(AE317=0,AE316&gt;0,(AF$222-AE$222)&gt;0),AF$222-AE$222,AE317)</f>
        <v/>
      </c>
      <c r="AG317" s="73">
        <f>+IF(AND(AF317=0,AF316&gt;0,(AG$222-AF$222)&gt;0),AG$222-AF$222,AF317)</f>
        <v/>
      </c>
      <c r="AH317" s="73">
        <f>+IF(AND(AG317=0,AG316&gt;0,(AH$222-AG$222)&gt;0),AH$222-AG$222,AG317)</f>
        <v/>
      </c>
      <c r="AI317" s="73">
        <f>+IF(AND(AH317=0,AH316&gt;0,(AI$222-AH$222)&gt;0),AI$222-AH$222,AH317)</f>
        <v/>
      </c>
      <c r="AJ317" s="1071">
        <f>+IF(AND(AI317=0,AI316&gt;0,(AJ$222-AI$222)&gt;0),AJ$222-AI$222,AI317)</f>
        <v/>
      </c>
      <c r="AK317" s="73">
        <f>+IF(AND(AJ317=0,AJ316&gt;0,(AK$222-AJ$222)&gt;0),AK$222-AJ$222,AJ317)</f>
        <v/>
      </c>
      <c r="AL317" s="73">
        <f>+IF(AND(AK317=0,AK316&gt;0,(AL$222-AK$222)&gt;0),AL$222-AK$222,AK317)</f>
        <v/>
      </c>
      <c r="AM317" s="73">
        <f>+IF(AND(AL317=0,AL316&gt;0,(AM$222-AL$222)&gt;0),AM$222-AL$222,AL317)</f>
        <v/>
      </c>
      <c r="AN317" s="73">
        <f>+IF(AND(AM317=0,AM316&gt;0,(AN$222-AM$222)&gt;0),AN$222-AM$222,AM317)</f>
        <v/>
      </c>
      <c r="AO317" s="73">
        <f>+IF(AND(AN317=0,AN316&gt;0,(AO$222-AN$222)&gt;0),AO$222-AN$222,AN317)</f>
        <v/>
      </c>
      <c r="AP317" s="1071">
        <f>+IF(AND(AO317=0,AO316&gt;0,(AP$222-AO$222)&gt;0),AP$222-AO$222,AO317)</f>
        <v/>
      </c>
      <c r="AQ317" s="73">
        <f>+IF(AND(AP317=0,AP316&gt;0,(AQ$222-AP$222)&gt;0),AQ$222-AP$222,AP317)</f>
        <v/>
      </c>
      <c r="AR317" s="73">
        <f>+IF(AND(AQ317=0,AQ316&gt;0,(AR$222-AQ$222)&gt;0),AR$222-AQ$222,AQ317)</f>
        <v/>
      </c>
      <c r="AS317" s="73">
        <f>+IF(AND(AR317=0,AR316&gt;0,(AS$222-AR$222)&gt;0),AS$222-AR$222,AR317)</f>
        <v/>
      </c>
      <c r="AT317" s="73">
        <f>+IF(AND(AS317=0,AS316&gt;0,(AT$222-AS$222)&gt;0),AT$222-AS$222,AS317)</f>
        <v/>
      </c>
      <c r="AU317" s="73">
        <f>+IF(AND(AT317=0,AT316&gt;0,(AU$222-AT$222)&gt;0),AU$222-AT$222,AT317)</f>
        <v/>
      </c>
      <c r="AV317" s="1071">
        <f>+IF(AND(AU317=0,AU316&gt;0,(AV$222-AU$222)&gt;0),AV$222-AU$222,AU317)</f>
        <v/>
      </c>
      <c r="AW317" s="73">
        <f>+IF(AND(AV317=0,AV316&gt;0,(AW$222-AV$222)&gt;0),AW$222-AV$222,AV317)</f>
        <v/>
      </c>
      <c r="AX317" s="73">
        <f>+IF(AND(AW317=0,AW316&gt;0,(AX$222-AW$222)&gt;0),AX$222-AW$222,AW317)</f>
        <v/>
      </c>
      <c r="AY317" s="73">
        <f>+IF(AND(AX317=0,AX316&gt;0,(AY$222-AX$222)&gt;0),AY$222-AX$222,AX317)</f>
        <v/>
      </c>
      <c r="AZ317" s="73">
        <f>+IF(AND(AY317=0,AY316&gt;0,(AZ$222-AY$222)&gt;0),AZ$222-AY$222,AY317)</f>
        <v/>
      </c>
      <c r="BA317" s="73">
        <f>+IF(AND(AZ317=0,AZ316&gt;0,(BA$222-AZ$222)&gt;0),BA$222-AZ$222,AZ317)</f>
        <v/>
      </c>
      <c r="BB317" s="1071">
        <f>+IF(AND(BA317=0,BA316&gt;0,(BB$222-BA$222)&gt;0),BB$222-BA$222,BA317)</f>
        <v/>
      </c>
      <c r="BC317" s="73">
        <f>+IF(AND(BB317=0,BB316&gt;0,(BC$222-BB$222)&gt;0),BC$222-BB$222,BB317)</f>
        <v/>
      </c>
      <c r="BD317" s="73">
        <f>+IF(AND(BC317=0,BC316&gt;0,(BD$222-BC$222)&gt;0),BD$222-BC$222,BC317)</f>
        <v/>
      </c>
      <c r="BE317" s="73">
        <f>+IF(AND(BD317=0,BD316&gt;0,(BE$222-BD$222)&gt;0),BE$222-BD$222,BD317)</f>
        <v/>
      </c>
      <c r="BF317" s="73">
        <f>+IF(AND(BE317=0,BE316&gt;0,(BF$222-BE$222)&gt;0),BF$222-BE$222,BE317)</f>
        <v/>
      </c>
      <c r="BG317" s="73">
        <f>+IF(AND(BF317=0,BF316&gt;0,(BG$222-BF$222)&gt;0),BG$222-BF$222,BF317)</f>
        <v/>
      </c>
      <c r="BH317" s="1071">
        <f>+IF(AND(BG317=0,BG316&gt;0,(BH$222-BG$222)&gt;0),BH$222-BG$222,BG317)</f>
        <v/>
      </c>
      <c r="BI317" s="73">
        <f>+IF(AND(BH317=0,BH316&gt;0,(BI$222-BH$222)&gt;0),BI$222-BH$222,BH317)</f>
        <v/>
      </c>
      <c r="BJ317" s="73">
        <f>+IF(AND(BI317=0,BI316&gt;0,(BJ$222-BI$222)&gt;0),BJ$222-BI$222,BI317)</f>
        <v/>
      </c>
      <c r="BK317" s="73">
        <f>+IF(AND(BJ317=0,BJ316&gt;0,(BK$222-BJ$222)&gt;0),BK$222-BJ$222,BJ317)</f>
        <v/>
      </c>
      <c r="BL317" s="73">
        <f>+IF(AND(BK317=0,BK316&gt;0,(BL$222-BK$222)&gt;0),BL$222-BK$222,BK317)</f>
        <v/>
      </c>
      <c r="BM317" s="73">
        <f>+IF(AND(BL317=0,BL316&gt;0,(BM$222-BL$222)&gt;0),BM$222-BL$222,BL317)</f>
        <v/>
      </c>
      <c r="BN317" s="1071">
        <f>+IF(AND(BM317=0,BM316&gt;0,(BN$222-BM$222)&gt;0),BN$222-BM$222,BM317)</f>
        <v/>
      </c>
    </row>
    <row r="318" ht="12.75" customHeight="1" s="1883">
      <c r="C318" s="1155" t="inlineStr">
        <is>
          <t>Addition 4</t>
        </is>
      </c>
      <c r="D318" s="670" t="n"/>
      <c r="E318" s="671" t="n"/>
      <c r="F318" s="74" t="n"/>
      <c r="G318" s="73">
        <f>+IF(AND(F318=0,F317&gt;0,(G$222-F$222)&gt;0),G$222-F$222,F318)</f>
        <v/>
      </c>
      <c r="H318" s="73">
        <f>+IF(AND(G318=0,G317&gt;0,(H$222-G$222)&gt;0),H$222-G$222,G318)</f>
        <v/>
      </c>
      <c r="I318" s="73">
        <f>+IF(AND(H318=0,H317&gt;0,(I$222-H$222)&gt;0),I$222-H$222,H318)</f>
        <v/>
      </c>
      <c r="J318" s="73">
        <f>+IF(AND(I318=0,I317&gt;0,(J$222-I$222)&gt;0),J$222-I$222,I318)</f>
        <v/>
      </c>
      <c r="K318" s="73">
        <f>+IF(AND(J318=0,J317&gt;0,(K$222-J$222)&gt;0),K$222-J$222,J318)</f>
        <v/>
      </c>
      <c r="L318" s="1071">
        <f>+IF(AND(K318=0,K317&gt;0,(L$222-K$222)&gt;0),L$222-K$222,K318)</f>
        <v/>
      </c>
      <c r="M318" s="73">
        <f>+IF(AND(L318=0,L317&gt;0,(M$222-L$222)&gt;0),M$222-L$222,L318)</f>
        <v/>
      </c>
      <c r="N318" s="73">
        <f>+IF(AND(M318=0,M317&gt;0,(N$222-M$222)&gt;0),N$222-M$222,M318)</f>
        <v/>
      </c>
      <c r="O318" s="73">
        <f>+IF(AND(N318=0,N317&gt;0,(O$222-N$222)&gt;0),O$222-N$222,N318)</f>
        <v/>
      </c>
      <c r="P318" s="73">
        <f>+IF(AND(O318=0,O317&gt;0,(P$222-O$222)&gt;0),P$222-O$222,O318)</f>
        <v/>
      </c>
      <c r="Q318" s="73">
        <f>+IF(AND(P318=0,P317&gt;0,(Q$222-P$222)&gt;0),Q$222-P$222,P318)</f>
        <v/>
      </c>
      <c r="R318" s="1071">
        <f>+IF(AND(Q318=0,Q317&gt;0,(R$222-Q$222)&gt;0),R$222-Q$222,Q318)</f>
        <v/>
      </c>
      <c r="S318" s="73">
        <f>+IF(AND(R318=0,R317&gt;0,(S$222-R$222)&gt;0),S$222-R$222,R318)</f>
        <v/>
      </c>
      <c r="T318" s="73">
        <f>+IF(AND(S318=0,S317&gt;0,(T$222-S$222)&gt;0),T$222-S$222,S318)</f>
        <v/>
      </c>
      <c r="U318" s="73">
        <f>+IF(AND(T318=0,T317&gt;0,(U$222-T$222)&gt;0),U$222-T$222,T318)</f>
        <v/>
      </c>
      <c r="V318" s="73">
        <f>+IF(AND(U318=0,U317&gt;0,(V$222-U$222)&gt;0),V$222-U$222,U318)</f>
        <v/>
      </c>
      <c r="W318" s="73">
        <f>+IF(AND(V318=0,V317&gt;0,(W$222-V$222)&gt;0),W$222-V$222,V318)</f>
        <v/>
      </c>
      <c r="X318" s="1071">
        <f>+IF(AND(W318=0,W317&gt;0,(X$222-W$222)&gt;0),X$222-W$222,W318)</f>
        <v/>
      </c>
      <c r="Y318" s="73">
        <f>+IF(AND(X318=0,X317&gt;0,(Y$222-X$222)&gt;0),Y$222-X$222,X318)</f>
        <v/>
      </c>
      <c r="Z318" s="73">
        <f>+IF(AND(Y318=0,Y317&gt;0,(Z$222-Y$222)&gt;0),Z$222-Y$222,Y318)</f>
        <v/>
      </c>
      <c r="AA318" s="73">
        <f>+IF(AND(Z318=0,Z317&gt;0,(AA$222-Z$222)&gt;0),AA$222-Z$222,Z318)</f>
        <v/>
      </c>
      <c r="AB318" s="73">
        <f>+IF(AND(AA318=0,AA317&gt;0,(AB$222-AA$222)&gt;0),AB$222-AA$222,AA318)</f>
        <v/>
      </c>
      <c r="AC318" s="73">
        <f>+IF(AND(AB318=0,AB317&gt;0,(AC$222-AB$222)&gt;0),AC$222-AB$222,AB318)</f>
        <v/>
      </c>
      <c r="AD318" s="1071">
        <f>+IF(AND(AC318=0,AC317&gt;0,(AD$222-AC$222)&gt;0),AD$222-AC$222,AC318)</f>
        <v/>
      </c>
      <c r="AE318" s="73">
        <f>+IF(AND(AD318=0,AD317&gt;0,(AE$222-AD$222)&gt;0),AE$222-AD$222,AD318)</f>
        <v/>
      </c>
      <c r="AF318" s="73">
        <f>+IF(AND(AE318=0,AE317&gt;0,(AF$222-AE$222)&gt;0),AF$222-AE$222,AE318)</f>
        <v/>
      </c>
      <c r="AG318" s="73">
        <f>+IF(AND(AF318=0,AF317&gt;0,(AG$222-AF$222)&gt;0),AG$222-AF$222,AF318)</f>
        <v/>
      </c>
      <c r="AH318" s="73">
        <f>+IF(AND(AG318=0,AG317&gt;0,(AH$222-AG$222)&gt;0),AH$222-AG$222,AG318)</f>
        <v/>
      </c>
      <c r="AI318" s="73">
        <f>+IF(AND(AH318=0,AH317&gt;0,(AI$222-AH$222)&gt;0),AI$222-AH$222,AH318)</f>
        <v/>
      </c>
      <c r="AJ318" s="1071">
        <f>+IF(AND(AI318=0,AI317&gt;0,(AJ$222-AI$222)&gt;0),AJ$222-AI$222,AI318)</f>
        <v/>
      </c>
      <c r="AK318" s="73">
        <f>+IF(AND(AJ318=0,AJ317&gt;0,(AK$222-AJ$222)&gt;0),AK$222-AJ$222,AJ318)</f>
        <v/>
      </c>
      <c r="AL318" s="73">
        <f>+IF(AND(AK318=0,AK317&gt;0,(AL$222-AK$222)&gt;0),AL$222-AK$222,AK318)</f>
        <v/>
      </c>
      <c r="AM318" s="73">
        <f>+IF(AND(AL318=0,AL317&gt;0,(AM$222-AL$222)&gt;0),AM$222-AL$222,AL318)</f>
        <v/>
      </c>
      <c r="AN318" s="73">
        <f>+IF(AND(AM318=0,AM317&gt;0,(AN$222-AM$222)&gt;0),AN$222-AM$222,AM318)</f>
        <v/>
      </c>
      <c r="AO318" s="73">
        <f>+IF(AND(AN318=0,AN317&gt;0,(AO$222-AN$222)&gt;0),AO$222-AN$222,AN318)</f>
        <v/>
      </c>
      <c r="AP318" s="1071">
        <f>+IF(AND(AO318=0,AO317&gt;0,(AP$222-AO$222)&gt;0),AP$222-AO$222,AO318)</f>
        <v/>
      </c>
      <c r="AQ318" s="73">
        <f>+IF(AND(AP318=0,AP317&gt;0,(AQ$222-AP$222)&gt;0),AQ$222-AP$222,AP318)</f>
        <v/>
      </c>
      <c r="AR318" s="73">
        <f>+IF(AND(AQ318=0,AQ317&gt;0,(AR$222-AQ$222)&gt;0),AR$222-AQ$222,AQ318)</f>
        <v/>
      </c>
      <c r="AS318" s="73">
        <f>+IF(AND(AR318=0,AR317&gt;0,(AS$222-AR$222)&gt;0),AS$222-AR$222,AR318)</f>
        <v/>
      </c>
      <c r="AT318" s="73">
        <f>+IF(AND(AS318=0,AS317&gt;0,(AT$222-AS$222)&gt;0),AT$222-AS$222,AS318)</f>
        <v/>
      </c>
      <c r="AU318" s="73">
        <f>+IF(AND(AT318=0,AT317&gt;0,(AU$222-AT$222)&gt;0),AU$222-AT$222,AT318)</f>
        <v/>
      </c>
      <c r="AV318" s="1071">
        <f>+IF(AND(AU318=0,AU317&gt;0,(AV$222-AU$222)&gt;0),AV$222-AU$222,AU318)</f>
        <v/>
      </c>
      <c r="AW318" s="73">
        <f>+IF(AND(AV318=0,AV317&gt;0,(AW$222-AV$222)&gt;0),AW$222-AV$222,AV318)</f>
        <v/>
      </c>
      <c r="AX318" s="73">
        <f>+IF(AND(AW318=0,AW317&gt;0,(AX$222-AW$222)&gt;0),AX$222-AW$222,AW318)</f>
        <v/>
      </c>
      <c r="AY318" s="73">
        <f>+IF(AND(AX318=0,AX317&gt;0,(AY$222-AX$222)&gt;0),AY$222-AX$222,AX318)</f>
        <v/>
      </c>
      <c r="AZ318" s="73">
        <f>+IF(AND(AY318=0,AY317&gt;0,(AZ$222-AY$222)&gt;0),AZ$222-AY$222,AY318)</f>
        <v/>
      </c>
      <c r="BA318" s="73">
        <f>+IF(AND(AZ318=0,AZ317&gt;0,(BA$222-AZ$222)&gt;0),BA$222-AZ$222,AZ318)</f>
        <v/>
      </c>
      <c r="BB318" s="1071">
        <f>+IF(AND(BA318=0,BA317&gt;0,(BB$222-BA$222)&gt;0),BB$222-BA$222,BA318)</f>
        <v/>
      </c>
      <c r="BC318" s="73">
        <f>+IF(AND(BB318=0,BB317&gt;0,(BC$222-BB$222)&gt;0),BC$222-BB$222,BB318)</f>
        <v/>
      </c>
      <c r="BD318" s="73">
        <f>+IF(AND(BC318=0,BC317&gt;0,(BD$222-BC$222)&gt;0),BD$222-BC$222,BC318)</f>
        <v/>
      </c>
      <c r="BE318" s="73">
        <f>+IF(AND(BD318=0,BD317&gt;0,(BE$222-BD$222)&gt;0),BE$222-BD$222,BD318)</f>
        <v/>
      </c>
      <c r="BF318" s="73">
        <f>+IF(AND(BE318=0,BE317&gt;0,(BF$222-BE$222)&gt;0),BF$222-BE$222,BE318)</f>
        <v/>
      </c>
      <c r="BG318" s="73">
        <f>+IF(AND(BF318=0,BF317&gt;0,(BG$222-BF$222)&gt;0),BG$222-BF$222,BF318)</f>
        <v/>
      </c>
      <c r="BH318" s="1071">
        <f>+IF(AND(BG318=0,BG317&gt;0,(BH$222-BG$222)&gt;0),BH$222-BG$222,BG318)</f>
        <v/>
      </c>
      <c r="BI318" s="73">
        <f>+IF(AND(BH318=0,BH317&gt;0,(BI$222-BH$222)&gt;0),BI$222-BH$222,BH318)</f>
        <v/>
      </c>
      <c r="BJ318" s="73">
        <f>+IF(AND(BI318=0,BI317&gt;0,(BJ$222-BI$222)&gt;0),BJ$222-BI$222,BI318)</f>
        <v/>
      </c>
      <c r="BK318" s="73">
        <f>+IF(AND(BJ318=0,BJ317&gt;0,(BK$222-BJ$222)&gt;0),BK$222-BJ$222,BJ318)</f>
        <v/>
      </c>
      <c r="BL318" s="73">
        <f>+IF(AND(BK318=0,BK317&gt;0,(BL$222-BK$222)&gt;0),BL$222-BK$222,BK318)</f>
        <v/>
      </c>
      <c r="BM318" s="73">
        <f>+IF(AND(BL318=0,BL317&gt;0,(BM$222-BL$222)&gt;0),BM$222-BL$222,BL318)</f>
        <v/>
      </c>
      <c r="BN318" s="1071">
        <f>+IF(AND(BM318=0,BM317&gt;0,(BN$222-BM$222)&gt;0),BN$222-BM$222,BM318)</f>
        <v/>
      </c>
    </row>
    <row r="319" ht="12.75" customHeight="1" s="1883">
      <c r="C319" s="1155" t="inlineStr">
        <is>
          <t>Addition 5</t>
        </is>
      </c>
      <c r="D319" s="670" t="n"/>
      <c r="E319" s="671" t="n"/>
      <c r="F319" s="74" t="n"/>
      <c r="G319" s="73">
        <f>+IF(AND(F319=0,F318&gt;0,(G$222-F$222)&gt;0),G$222-F$222,F319)</f>
        <v/>
      </c>
      <c r="H319" s="73">
        <f>+IF(AND(G319=0,G318&gt;0,(H$222-G$222)&gt;0),H$222-G$222,G319)</f>
        <v/>
      </c>
      <c r="I319" s="73">
        <f>+IF(AND(H319=0,H318&gt;0,(I$222-H$222)&gt;0),I$222-H$222,H319)</f>
        <v/>
      </c>
      <c r="J319" s="73">
        <f>+IF(AND(I319=0,I318&gt;0,(J$222-I$222)&gt;0),J$222-I$222,I319)</f>
        <v/>
      </c>
      <c r="K319" s="73">
        <f>+IF(AND(J319=0,J318&gt;0,(K$222-J$222)&gt;0),K$222-J$222,J319)</f>
        <v/>
      </c>
      <c r="L319" s="1071">
        <f>+IF(AND(K319=0,K318&gt;0,(L$222-K$222)&gt;0),L$222-K$222,K319)</f>
        <v/>
      </c>
      <c r="M319" s="73">
        <f>+IF(AND(L319=0,L318&gt;0,(M$222-L$222)&gt;0),M$222-L$222,L319)</f>
        <v/>
      </c>
      <c r="N319" s="73">
        <f>+IF(AND(M319=0,M318&gt;0,(N$222-M$222)&gt;0),N$222-M$222,M319)</f>
        <v/>
      </c>
      <c r="O319" s="73">
        <f>+IF(AND(N319=0,N318&gt;0,(O$222-N$222)&gt;0),O$222-N$222,N319)</f>
        <v/>
      </c>
      <c r="P319" s="73">
        <f>+IF(AND(O319=0,O318&gt;0,(P$222-O$222)&gt;0),P$222-O$222,O319)</f>
        <v/>
      </c>
      <c r="Q319" s="73">
        <f>+IF(AND(P319=0,P318&gt;0,(Q$222-P$222)&gt;0),Q$222-P$222,P319)</f>
        <v/>
      </c>
      <c r="R319" s="1071">
        <f>+IF(AND(Q319=0,Q318&gt;0,(R$222-Q$222)&gt;0),R$222-Q$222,Q319)</f>
        <v/>
      </c>
      <c r="S319" s="73">
        <f>+IF(AND(R319=0,R318&gt;0,(S$222-R$222)&gt;0),S$222-R$222,R319)</f>
        <v/>
      </c>
      <c r="T319" s="73">
        <f>+IF(AND(S319=0,S318&gt;0,(T$222-S$222)&gt;0),T$222-S$222,S319)</f>
        <v/>
      </c>
      <c r="U319" s="73">
        <f>+IF(AND(T319=0,T318&gt;0,(U$222-T$222)&gt;0),U$222-T$222,T319)</f>
        <v/>
      </c>
      <c r="V319" s="73">
        <f>+IF(AND(U319=0,U318&gt;0,(V$222-U$222)&gt;0),V$222-U$222,U319)</f>
        <v/>
      </c>
      <c r="W319" s="73">
        <f>+IF(AND(V319=0,V318&gt;0,(W$222-V$222)&gt;0),W$222-V$222,V319)</f>
        <v/>
      </c>
      <c r="X319" s="1071">
        <f>+IF(AND(W319=0,W318&gt;0,(X$222-W$222)&gt;0),X$222-W$222,W319)</f>
        <v/>
      </c>
      <c r="Y319" s="73">
        <f>+IF(AND(X319=0,X318&gt;0,(Y$222-X$222)&gt;0),Y$222-X$222,X319)</f>
        <v/>
      </c>
      <c r="Z319" s="73">
        <f>+IF(AND(Y319=0,Y318&gt;0,(Z$222-Y$222)&gt;0),Z$222-Y$222,Y319)</f>
        <v/>
      </c>
      <c r="AA319" s="73">
        <f>+IF(AND(Z319=0,Z318&gt;0,(AA$222-Z$222)&gt;0),AA$222-Z$222,Z319)</f>
        <v/>
      </c>
      <c r="AB319" s="73">
        <f>+IF(AND(AA319=0,AA318&gt;0,(AB$222-AA$222)&gt;0),AB$222-AA$222,AA319)</f>
        <v/>
      </c>
      <c r="AC319" s="73">
        <f>+IF(AND(AB319=0,AB318&gt;0,(AC$222-AB$222)&gt;0),AC$222-AB$222,AB319)</f>
        <v/>
      </c>
      <c r="AD319" s="1071">
        <f>+IF(AND(AC319=0,AC318&gt;0,(AD$222-AC$222)&gt;0),AD$222-AC$222,AC319)</f>
        <v/>
      </c>
      <c r="AE319" s="73">
        <f>+IF(AND(AD319=0,AD318&gt;0,(AE$222-AD$222)&gt;0),AE$222-AD$222,AD319)</f>
        <v/>
      </c>
      <c r="AF319" s="73">
        <f>+IF(AND(AE319=0,AE318&gt;0,(AF$222-AE$222)&gt;0),AF$222-AE$222,AE319)</f>
        <v/>
      </c>
      <c r="AG319" s="73">
        <f>+IF(AND(AF319=0,AF318&gt;0,(AG$222-AF$222)&gt;0),AG$222-AF$222,AF319)</f>
        <v/>
      </c>
      <c r="AH319" s="73">
        <f>+IF(AND(AG319=0,AG318&gt;0,(AH$222-AG$222)&gt;0),AH$222-AG$222,AG319)</f>
        <v/>
      </c>
      <c r="AI319" s="73">
        <f>+IF(AND(AH319=0,AH318&gt;0,(AI$222-AH$222)&gt;0),AI$222-AH$222,AH319)</f>
        <v/>
      </c>
      <c r="AJ319" s="1071">
        <f>+IF(AND(AI319=0,AI318&gt;0,(AJ$222-AI$222)&gt;0),AJ$222-AI$222,AI319)</f>
        <v/>
      </c>
      <c r="AK319" s="73">
        <f>+IF(AND(AJ319=0,AJ318&gt;0,(AK$222-AJ$222)&gt;0),AK$222-AJ$222,AJ319)</f>
        <v/>
      </c>
      <c r="AL319" s="73">
        <f>+IF(AND(AK319=0,AK318&gt;0,(AL$222-AK$222)&gt;0),AL$222-AK$222,AK319)</f>
        <v/>
      </c>
      <c r="AM319" s="73">
        <f>+IF(AND(AL319=0,AL318&gt;0,(AM$222-AL$222)&gt;0),AM$222-AL$222,AL319)</f>
        <v/>
      </c>
      <c r="AN319" s="73">
        <f>+IF(AND(AM319=0,AM318&gt;0,(AN$222-AM$222)&gt;0),AN$222-AM$222,AM319)</f>
        <v/>
      </c>
      <c r="AO319" s="73">
        <f>+IF(AND(AN319=0,AN318&gt;0,(AO$222-AN$222)&gt;0),AO$222-AN$222,AN319)</f>
        <v/>
      </c>
      <c r="AP319" s="1071">
        <f>+IF(AND(AO319=0,AO318&gt;0,(AP$222-AO$222)&gt;0),AP$222-AO$222,AO319)</f>
        <v/>
      </c>
      <c r="AQ319" s="73">
        <f>+IF(AND(AP319=0,AP318&gt;0,(AQ$222-AP$222)&gt;0),AQ$222-AP$222,AP319)</f>
        <v/>
      </c>
      <c r="AR319" s="73">
        <f>+IF(AND(AQ319=0,AQ318&gt;0,(AR$222-AQ$222)&gt;0),AR$222-AQ$222,AQ319)</f>
        <v/>
      </c>
      <c r="AS319" s="73">
        <f>+IF(AND(AR319=0,AR318&gt;0,(AS$222-AR$222)&gt;0),AS$222-AR$222,AR319)</f>
        <v/>
      </c>
      <c r="AT319" s="73">
        <f>+IF(AND(AS319=0,AS318&gt;0,(AT$222-AS$222)&gt;0),AT$222-AS$222,AS319)</f>
        <v/>
      </c>
      <c r="AU319" s="73">
        <f>+IF(AND(AT319=0,AT318&gt;0,(AU$222-AT$222)&gt;0),AU$222-AT$222,AT319)</f>
        <v/>
      </c>
      <c r="AV319" s="1071">
        <f>+IF(AND(AU319=0,AU318&gt;0,(AV$222-AU$222)&gt;0),AV$222-AU$222,AU319)</f>
        <v/>
      </c>
      <c r="AW319" s="73">
        <f>+IF(AND(AV319=0,AV318&gt;0,(AW$222-AV$222)&gt;0),AW$222-AV$222,AV319)</f>
        <v/>
      </c>
      <c r="AX319" s="73">
        <f>+IF(AND(AW319=0,AW318&gt;0,(AX$222-AW$222)&gt;0),AX$222-AW$222,AW319)</f>
        <v/>
      </c>
      <c r="AY319" s="73">
        <f>+IF(AND(AX319=0,AX318&gt;0,(AY$222-AX$222)&gt;0),AY$222-AX$222,AX319)</f>
        <v/>
      </c>
      <c r="AZ319" s="73">
        <f>+IF(AND(AY319=0,AY318&gt;0,(AZ$222-AY$222)&gt;0),AZ$222-AY$222,AY319)</f>
        <v/>
      </c>
      <c r="BA319" s="73">
        <f>+IF(AND(AZ319=0,AZ318&gt;0,(BA$222-AZ$222)&gt;0),BA$222-AZ$222,AZ319)</f>
        <v/>
      </c>
      <c r="BB319" s="1071">
        <f>+IF(AND(BA319=0,BA318&gt;0,(BB$222-BA$222)&gt;0),BB$222-BA$222,BA319)</f>
        <v/>
      </c>
      <c r="BC319" s="73">
        <f>+IF(AND(BB319=0,BB318&gt;0,(BC$222-BB$222)&gt;0),BC$222-BB$222,BB319)</f>
        <v/>
      </c>
      <c r="BD319" s="73">
        <f>+IF(AND(BC319=0,BC318&gt;0,(BD$222-BC$222)&gt;0),BD$222-BC$222,BC319)</f>
        <v/>
      </c>
      <c r="BE319" s="73">
        <f>+IF(AND(BD319=0,BD318&gt;0,(BE$222-BD$222)&gt;0),BE$222-BD$222,BD319)</f>
        <v/>
      </c>
      <c r="BF319" s="73">
        <f>+IF(AND(BE319=0,BE318&gt;0,(BF$222-BE$222)&gt;0),BF$222-BE$222,BE319)</f>
        <v/>
      </c>
      <c r="BG319" s="73">
        <f>+IF(AND(BF319=0,BF318&gt;0,(BG$222-BF$222)&gt;0),BG$222-BF$222,BF319)</f>
        <v/>
      </c>
      <c r="BH319" s="1071">
        <f>+IF(AND(BG319=0,BG318&gt;0,(BH$222-BG$222)&gt;0),BH$222-BG$222,BG319)</f>
        <v/>
      </c>
      <c r="BI319" s="73">
        <f>+IF(AND(BH319=0,BH318&gt;0,(BI$222-BH$222)&gt;0),BI$222-BH$222,BH319)</f>
        <v/>
      </c>
      <c r="BJ319" s="73">
        <f>+IF(AND(BI319=0,BI318&gt;0,(BJ$222-BI$222)&gt;0),BJ$222-BI$222,BI319)</f>
        <v/>
      </c>
      <c r="BK319" s="73">
        <f>+IF(AND(BJ319=0,BJ318&gt;0,(BK$222-BJ$222)&gt;0),BK$222-BJ$222,BJ319)</f>
        <v/>
      </c>
      <c r="BL319" s="73">
        <f>+IF(AND(BK319=0,BK318&gt;0,(BL$222-BK$222)&gt;0),BL$222-BK$222,BK319)</f>
        <v/>
      </c>
      <c r="BM319" s="73">
        <f>+IF(AND(BL319=0,BL318&gt;0,(BM$222-BL$222)&gt;0),BM$222-BL$222,BL319)</f>
        <v/>
      </c>
      <c r="BN319" s="1071">
        <f>+IF(AND(BM319=0,BM318&gt;0,(BN$222-BM$222)&gt;0),BN$222-BM$222,BM319)</f>
        <v/>
      </c>
    </row>
    <row r="320" ht="12.75" customHeight="1" s="1883">
      <c r="C320" s="1155" t="inlineStr">
        <is>
          <t>Addition 6</t>
        </is>
      </c>
      <c r="D320" s="670" t="n"/>
      <c r="E320" s="671" t="n"/>
      <c r="F320" s="74" t="n"/>
      <c r="G320" s="73">
        <f>+IF(AND(F320=0,F319&gt;0,(G$222-F$222)&gt;0),G$222-F$222,F320)</f>
        <v/>
      </c>
      <c r="H320" s="73">
        <f>+IF(AND(G320=0,G319&gt;0,(H$222-G$222)&gt;0),H$222-G$222,G320)</f>
        <v/>
      </c>
      <c r="I320" s="73">
        <f>+IF(AND(H320=0,H319&gt;0,(I$222-H$222)&gt;0),I$222-H$222,H320)</f>
        <v/>
      </c>
      <c r="J320" s="73">
        <f>+IF(AND(I320=0,I319&gt;0,(J$222-I$222)&gt;0),J$222-I$222,I320)</f>
        <v/>
      </c>
      <c r="K320" s="73">
        <f>+IF(AND(J320=0,J319&gt;0,(K$222-J$222)&gt;0),K$222-J$222,J320)</f>
        <v/>
      </c>
      <c r="L320" s="1071">
        <f>+IF(AND(K320=0,K319&gt;0,(L$222-K$222)&gt;0),L$222-K$222,K320)</f>
        <v/>
      </c>
      <c r="M320" s="73">
        <f>+IF(AND(L320=0,L319&gt;0,(M$222-L$222)&gt;0),M$222-L$222,L320)</f>
        <v/>
      </c>
      <c r="N320" s="73">
        <f>+IF(AND(M320=0,M319&gt;0,(N$222-M$222)&gt;0),N$222-M$222,M320)</f>
        <v/>
      </c>
      <c r="O320" s="73">
        <f>+IF(AND(N320=0,N319&gt;0,(O$222-N$222)&gt;0),O$222-N$222,N320)</f>
        <v/>
      </c>
      <c r="P320" s="73">
        <f>+IF(AND(O320=0,O319&gt;0,(P$222-O$222)&gt;0),P$222-O$222,O320)</f>
        <v/>
      </c>
      <c r="Q320" s="73">
        <f>+IF(AND(P320=0,P319&gt;0,(Q$222-P$222)&gt;0),Q$222-P$222,P320)</f>
        <v/>
      </c>
      <c r="R320" s="1071">
        <f>+IF(AND(Q320=0,Q319&gt;0,(R$222-Q$222)&gt;0),R$222-Q$222,Q320)</f>
        <v/>
      </c>
      <c r="S320" s="73">
        <f>+IF(AND(R320=0,R319&gt;0,(S$222-R$222)&gt;0),S$222-R$222,R320)</f>
        <v/>
      </c>
      <c r="T320" s="73">
        <f>+IF(AND(S320=0,S319&gt;0,(T$222-S$222)&gt;0),T$222-S$222,S320)</f>
        <v/>
      </c>
      <c r="U320" s="73">
        <f>+IF(AND(T320=0,T319&gt;0,(U$222-T$222)&gt;0),U$222-T$222,T320)</f>
        <v/>
      </c>
      <c r="V320" s="73">
        <f>+IF(AND(U320=0,U319&gt;0,(V$222-U$222)&gt;0),V$222-U$222,U320)</f>
        <v/>
      </c>
      <c r="W320" s="73">
        <f>+IF(AND(V320=0,V319&gt;0,(W$222-V$222)&gt;0),W$222-V$222,V320)</f>
        <v/>
      </c>
      <c r="X320" s="1071">
        <f>+IF(AND(W320=0,W319&gt;0,(X$222-W$222)&gt;0),X$222-W$222,W320)</f>
        <v/>
      </c>
      <c r="Y320" s="73">
        <f>+IF(AND(X320=0,X319&gt;0,(Y$222-X$222)&gt;0),Y$222-X$222,X320)</f>
        <v/>
      </c>
      <c r="Z320" s="73">
        <f>+IF(AND(Y320=0,Y319&gt;0,(Z$222-Y$222)&gt;0),Z$222-Y$222,Y320)</f>
        <v/>
      </c>
      <c r="AA320" s="73">
        <f>+IF(AND(Z320=0,Z319&gt;0,(AA$222-Z$222)&gt;0),AA$222-Z$222,Z320)</f>
        <v/>
      </c>
      <c r="AB320" s="73">
        <f>+IF(AND(AA320=0,AA319&gt;0,(AB$222-AA$222)&gt;0),AB$222-AA$222,AA320)</f>
        <v/>
      </c>
      <c r="AC320" s="73">
        <f>+IF(AND(AB320=0,AB319&gt;0,(AC$222-AB$222)&gt;0),AC$222-AB$222,AB320)</f>
        <v/>
      </c>
      <c r="AD320" s="1071">
        <f>+IF(AND(AC320=0,AC319&gt;0,(AD$222-AC$222)&gt;0),AD$222-AC$222,AC320)</f>
        <v/>
      </c>
      <c r="AE320" s="73">
        <f>+IF(AND(AD320=0,AD319&gt;0,(AE$222-AD$222)&gt;0),AE$222-AD$222,AD320)</f>
        <v/>
      </c>
      <c r="AF320" s="73">
        <f>+IF(AND(AE320=0,AE319&gt;0,(AF$222-AE$222)&gt;0),AF$222-AE$222,AE320)</f>
        <v/>
      </c>
      <c r="AG320" s="73">
        <f>+IF(AND(AF320=0,AF319&gt;0,(AG$222-AF$222)&gt;0),AG$222-AF$222,AF320)</f>
        <v/>
      </c>
      <c r="AH320" s="73">
        <f>+IF(AND(AG320=0,AG319&gt;0,(AH$222-AG$222)&gt;0),AH$222-AG$222,AG320)</f>
        <v/>
      </c>
      <c r="AI320" s="73">
        <f>+IF(AND(AH320=0,AH319&gt;0,(AI$222-AH$222)&gt;0),AI$222-AH$222,AH320)</f>
        <v/>
      </c>
      <c r="AJ320" s="1071">
        <f>+IF(AND(AI320=0,AI319&gt;0,(AJ$222-AI$222)&gt;0),AJ$222-AI$222,AI320)</f>
        <v/>
      </c>
      <c r="AK320" s="73">
        <f>+IF(AND(AJ320=0,AJ319&gt;0,(AK$222-AJ$222)&gt;0),AK$222-AJ$222,AJ320)</f>
        <v/>
      </c>
      <c r="AL320" s="73">
        <f>+IF(AND(AK320=0,AK319&gt;0,(AL$222-AK$222)&gt;0),AL$222-AK$222,AK320)</f>
        <v/>
      </c>
      <c r="AM320" s="73">
        <f>+IF(AND(AL320=0,AL319&gt;0,(AM$222-AL$222)&gt;0),AM$222-AL$222,AL320)</f>
        <v/>
      </c>
      <c r="AN320" s="73">
        <f>+IF(AND(AM320=0,AM319&gt;0,(AN$222-AM$222)&gt;0),AN$222-AM$222,AM320)</f>
        <v/>
      </c>
      <c r="AO320" s="73">
        <f>+IF(AND(AN320=0,AN319&gt;0,(AO$222-AN$222)&gt;0),AO$222-AN$222,AN320)</f>
        <v/>
      </c>
      <c r="AP320" s="1071">
        <f>+IF(AND(AO320=0,AO319&gt;0,(AP$222-AO$222)&gt;0),AP$222-AO$222,AO320)</f>
        <v/>
      </c>
      <c r="AQ320" s="73">
        <f>+IF(AND(AP320=0,AP319&gt;0,(AQ$222-AP$222)&gt;0),AQ$222-AP$222,AP320)</f>
        <v/>
      </c>
      <c r="AR320" s="73">
        <f>+IF(AND(AQ320=0,AQ319&gt;0,(AR$222-AQ$222)&gt;0),AR$222-AQ$222,AQ320)</f>
        <v/>
      </c>
      <c r="AS320" s="73">
        <f>+IF(AND(AR320=0,AR319&gt;0,(AS$222-AR$222)&gt;0),AS$222-AR$222,AR320)</f>
        <v/>
      </c>
      <c r="AT320" s="73">
        <f>+IF(AND(AS320=0,AS319&gt;0,(AT$222-AS$222)&gt;0),AT$222-AS$222,AS320)</f>
        <v/>
      </c>
      <c r="AU320" s="73">
        <f>+IF(AND(AT320=0,AT319&gt;0,(AU$222-AT$222)&gt;0),AU$222-AT$222,AT320)</f>
        <v/>
      </c>
      <c r="AV320" s="1071">
        <f>+IF(AND(AU320=0,AU319&gt;0,(AV$222-AU$222)&gt;0),AV$222-AU$222,AU320)</f>
        <v/>
      </c>
      <c r="AW320" s="73">
        <f>+IF(AND(AV320=0,AV319&gt;0,(AW$222-AV$222)&gt;0),AW$222-AV$222,AV320)</f>
        <v/>
      </c>
      <c r="AX320" s="73">
        <f>+IF(AND(AW320=0,AW319&gt;0,(AX$222-AW$222)&gt;0),AX$222-AW$222,AW320)</f>
        <v/>
      </c>
      <c r="AY320" s="73">
        <f>+IF(AND(AX320=0,AX319&gt;0,(AY$222-AX$222)&gt;0),AY$222-AX$222,AX320)</f>
        <v/>
      </c>
      <c r="AZ320" s="73">
        <f>+IF(AND(AY320=0,AY319&gt;0,(AZ$222-AY$222)&gt;0),AZ$222-AY$222,AY320)</f>
        <v/>
      </c>
      <c r="BA320" s="73">
        <f>+IF(AND(AZ320=0,AZ319&gt;0,(BA$222-AZ$222)&gt;0),BA$222-AZ$222,AZ320)</f>
        <v/>
      </c>
      <c r="BB320" s="1071">
        <f>+IF(AND(BA320=0,BA319&gt;0,(BB$222-BA$222)&gt;0),BB$222-BA$222,BA320)</f>
        <v/>
      </c>
      <c r="BC320" s="73">
        <f>+IF(AND(BB320=0,BB319&gt;0,(BC$222-BB$222)&gt;0),BC$222-BB$222,BB320)</f>
        <v/>
      </c>
      <c r="BD320" s="73">
        <f>+IF(AND(BC320=0,BC319&gt;0,(BD$222-BC$222)&gt;0),BD$222-BC$222,BC320)</f>
        <v/>
      </c>
      <c r="BE320" s="73">
        <f>+IF(AND(BD320=0,BD319&gt;0,(BE$222-BD$222)&gt;0),BE$222-BD$222,BD320)</f>
        <v/>
      </c>
      <c r="BF320" s="73">
        <f>+IF(AND(BE320=0,BE319&gt;0,(BF$222-BE$222)&gt;0),BF$222-BE$222,BE320)</f>
        <v/>
      </c>
      <c r="BG320" s="73">
        <f>+IF(AND(BF320=0,BF319&gt;0,(BG$222-BF$222)&gt;0),BG$222-BF$222,BF320)</f>
        <v/>
      </c>
      <c r="BH320" s="1071">
        <f>+IF(AND(BG320=0,BG319&gt;0,(BH$222-BG$222)&gt;0),BH$222-BG$222,BG320)</f>
        <v/>
      </c>
      <c r="BI320" s="73">
        <f>+IF(AND(BH320=0,BH319&gt;0,(BI$222-BH$222)&gt;0),BI$222-BH$222,BH320)</f>
        <v/>
      </c>
      <c r="BJ320" s="73">
        <f>+IF(AND(BI320=0,BI319&gt;0,(BJ$222-BI$222)&gt;0),BJ$222-BI$222,BI320)</f>
        <v/>
      </c>
      <c r="BK320" s="73">
        <f>+IF(AND(BJ320=0,BJ319&gt;0,(BK$222-BJ$222)&gt;0),BK$222-BJ$222,BJ320)</f>
        <v/>
      </c>
      <c r="BL320" s="73">
        <f>+IF(AND(BK320=0,BK319&gt;0,(BL$222-BK$222)&gt;0),BL$222-BK$222,BK320)</f>
        <v/>
      </c>
      <c r="BM320" s="73">
        <f>+IF(AND(BL320=0,BL319&gt;0,(BM$222-BL$222)&gt;0),BM$222-BL$222,BL320)</f>
        <v/>
      </c>
      <c r="BN320" s="1071">
        <f>+IF(AND(BM320=0,BM319&gt;0,(BN$222-BM$222)&gt;0),BN$222-BM$222,BM320)</f>
        <v/>
      </c>
    </row>
    <row r="321" ht="12.75" customHeight="1" s="1883">
      <c r="C321" s="1155" t="inlineStr">
        <is>
          <t>Addition 7</t>
        </is>
      </c>
      <c r="D321" s="670" t="n"/>
      <c r="E321" s="671" t="n"/>
      <c r="F321" s="74" t="n"/>
      <c r="G321" s="73">
        <f>+IF(AND(F321=0,F320&gt;0,(G$222-F$222)&gt;0),G$222-F$222,F321)</f>
        <v/>
      </c>
      <c r="H321" s="73">
        <f>+IF(AND(G321=0,G320&gt;0,(H$222-G$222)&gt;0),H$222-G$222,G321)</f>
        <v/>
      </c>
      <c r="I321" s="73">
        <f>+IF(AND(H321=0,H320&gt;0,(I$222-H$222)&gt;0),I$222-H$222,H321)</f>
        <v/>
      </c>
      <c r="J321" s="73">
        <f>+IF(AND(I321=0,I320&gt;0,(J$222-I$222)&gt;0),J$222-I$222,I321)</f>
        <v/>
      </c>
      <c r="K321" s="73">
        <f>+IF(AND(J321=0,J320&gt;0,(K$222-J$222)&gt;0),K$222-J$222,J321)</f>
        <v/>
      </c>
      <c r="L321" s="1071">
        <f>+IF(AND(K321=0,K320&gt;0,(L$222-K$222)&gt;0),L$222-K$222,K321)</f>
        <v/>
      </c>
      <c r="M321" s="73">
        <f>+IF(AND(L321=0,L320&gt;0,(M$222-L$222)&gt;0),M$222-L$222,L321)</f>
        <v/>
      </c>
      <c r="N321" s="73">
        <f>+IF(AND(M321=0,M320&gt;0,(N$222-M$222)&gt;0),N$222-M$222,M321)</f>
        <v/>
      </c>
      <c r="O321" s="73">
        <f>+IF(AND(N321=0,N320&gt;0,(O$222-N$222)&gt;0),O$222-N$222,N321)</f>
        <v/>
      </c>
      <c r="P321" s="73">
        <f>+IF(AND(O321=0,O320&gt;0,(P$222-O$222)&gt;0),P$222-O$222,O321)</f>
        <v/>
      </c>
      <c r="Q321" s="73">
        <f>+IF(AND(P321=0,P320&gt;0,(Q$222-P$222)&gt;0),Q$222-P$222,P321)</f>
        <v/>
      </c>
      <c r="R321" s="1071">
        <f>+IF(AND(Q321=0,Q320&gt;0,(R$222-Q$222)&gt;0),R$222-Q$222,Q321)</f>
        <v/>
      </c>
      <c r="S321" s="73">
        <f>+IF(AND(R321=0,R320&gt;0,(S$222-R$222)&gt;0),S$222-R$222,R321)</f>
        <v/>
      </c>
      <c r="T321" s="73">
        <f>+IF(AND(S321=0,S320&gt;0,(T$222-S$222)&gt;0),T$222-S$222,S321)</f>
        <v/>
      </c>
      <c r="U321" s="73">
        <f>+IF(AND(T321=0,T320&gt;0,(U$222-T$222)&gt;0),U$222-T$222,T321)</f>
        <v/>
      </c>
      <c r="V321" s="73">
        <f>+IF(AND(U321=0,U320&gt;0,(V$222-U$222)&gt;0),V$222-U$222,U321)</f>
        <v/>
      </c>
      <c r="W321" s="73">
        <f>+IF(AND(V321=0,V320&gt;0,(W$222-V$222)&gt;0),W$222-V$222,V321)</f>
        <v/>
      </c>
      <c r="X321" s="1071">
        <f>+IF(AND(W321=0,W320&gt;0,(X$222-W$222)&gt;0),X$222-W$222,W321)</f>
        <v/>
      </c>
      <c r="Y321" s="73">
        <f>+IF(AND(X321=0,X320&gt;0,(Y$222-X$222)&gt;0),Y$222-X$222,X321)</f>
        <v/>
      </c>
      <c r="Z321" s="73">
        <f>+IF(AND(Y321=0,Y320&gt;0,(Z$222-Y$222)&gt;0),Z$222-Y$222,Y321)</f>
        <v/>
      </c>
      <c r="AA321" s="73">
        <f>+IF(AND(Z321=0,Z320&gt;0,(AA$222-Z$222)&gt;0),AA$222-Z$222,Z321)</f>
        <v/>
      </c>
      <c r="AB321" s="73">
        <f>+IF(AND(AA321=0,AA320&gt;0,(AB$222-AA$222)&gt;0),AB$222-AA$222,AA321)</f>
        <v/>
      </c>
      <c r="AC321" s="73">
        <f>+IF(AND(AB321=0,AB320&gt;0,(AC$222-AB$222)&gt;0),AC$222-AB$222,AB321)</f>
        <v/>
      </c>
      <c r="AD321" s="1071">
        <f>+IF(AND(AC321=0,AC320&gt;0,(AD$222-AC$222)&gt;0),AD$222-AC$222,AC321)</f>
        <v/>
      </c>
      <c r="AE321" s="73">
        <f>+IF(AND(AD321=0,AD320&gt;0,(AE$222-AD$222)&gt;0),AE$222-AD$222,AD321)</f>
        <v/>
      </c>
      <c r="AF321" s="73">
        <f>+IF(AND(AE321=0,AE320&gt;0,(AF$222-AE$222)&gt;0),AF$222-AE$222,AE321)</f>
        <v/>
      </c>
      <c r="AG321" s="73">
        <f>+IF(AND(AF321=0,AF320&gt;0,(AG$222-AF$222)&gt;0),AG$222-AF$222,AF321)</f>
        <v/>
      </c>
      <c r="AH321" s="73">
        <f>+IF(AND(AG321=0,AG320&gt;0,(AH$222-AG$222)&gt;0),AH$222-AG$222,AG321)</f>
        <v/>
      </c>
      <c r="AI321" s="73">
        <f>+IF(AND(AH321=0,AH320&gt;0,(AI$222-AH$222)&gt;0),AI$222-AH$222,AH321)</f>
        <v/>
      </c>
      <c r="AJ321" s="1071">
        <f>+IF(AND(AI321=0,AI320&gt;0,(AJ$222-AI$222)&gt;0),AJ$222-AI$222,AI321)</f>
        <v/>
      </c>
      <c r="AK321" s="73">
        <f>+IF(AND(AJ321=0,AJ320&gt;0,(AK$222-AJ$222)&gt;0),AK$222-AJ$222,AJ321)</f>
        <v/>
      </c>
      <c r="AL321" s="73">
        <f>+IF(AND(AK321=0,AK320&gt;0,(AL$222-AK$222)&gt;0),AL$222-AK$222,AK321)</f>
        <v/>
      </c>
      <c r="AM321" s="73">
        <f>+IF(AND(AL321=0,AL320&gt;0,(AM$222-AL$222)&gt;0),AM$222-AL$222,AL321)</f>
        <v/>
      </c>
      <c r="AN321" s="73">
        <f>+IF(AND(AM321=0,AM320&gt;0,(AN$222-AM$222)&gt;0),AN$222-AM$222,AM321)</f>
        <v/>
      </c>
      <c r="AO321" s="73">
        <f>+IF(AND(AN321=0,AN320&gt;0,(AO$222-AN$222)&gt;0),AO$222-AN$222,AN321)</f>
        <v/>
      </c>
      <c r="AP321" s="1071">
        <f>+IF(AND(AO321=0,AO320&gt;0,(AP$222-AO$222)&gt;0),AP$222-AO$222,AO321)</f>
        <v/>
      </c>
      <c r="AQ321" s="73">
        <f>+IF(AND(AP321=0,AP320&gt;0,(AQ$222-AP$222)&gt;0),AQ$222-AP$222,AP321)</f>
        <v/>
      </c>
      <c r="AR321" s="73">
        <f>+IF(AND(AQ321=0,AQ320&gt;0,(AR$222-AQ$222)&gt;0),AR$222-AQ$222,AQ321)</f>
        <v/>
      </c>
      <c r="AS321" s="73">
        <f>+IF(AND(AR321=0,AR320&gt;0,(AS$222-AR$222)&gt;0),AS$222-AR$222,AR321)</f>
        <v/>
      </c>
      <c r="AT321" s="73">
        <f>+IF(AND(AS321=0,AS320&gt;0,(AT$222-AS$222)&gt;0),AT$222-AS$222,AS321)</f>
        <v/>
      </c>
      <c r="AU321" s="73">
        <f>+IF(AND(AT321=0,AT320&gt;0,(AU$222-AT$222)&gt;0),AU$222-AT$222,AT321)</f>
        <v/>
      </c>
      <c r="AV321" s="1071">
        <f>+IF(AND(AU321=0,AU320&gt;0,(AV$222-AU$222)&gt;0),AV$222-AU$222,AU321)</f>
        <v/>
      </c>
      <c r="AW321" s="73">
        <f>+IF(AND(AV321=0,AV320&gt;0,(AW$222-AV$222)&gt;0),AW$222-AV$222,AV321)</f>
        <v/>
      </c>
      <c r="AX321" s="73">
        <f>+IF(AND(AW321=0,AW320&gt;0,(AX$222-AW$222)&gt;0),AX$222-AW$222,AW321)</f>
        <v/>
      </c>
      <c r="AY321" s="73">
        <f>+IF(AND(AX321=0,AX320&gt;0,(AY$222-AX$222)&gt;0),AY$222-AX$222,AX321)</f>
        <v/>
      </c>
      <c r="AZ321" s="73">
        <f>+IF(AND(AY321=0,AY320&gt;0,(AZ$222-AY$222)&gt;0),AZ$222-AY$222,AY321)</f>
        <v/>
      </c>
      <c r="BA321" s="73">
        <f>+IF(AND(AZ321=0,AZ320&gt;0,(BA$222-AZ$222)&gt;0),BA$222-AZ$222,AZ321)</f>
        <v/>
      </c>
      <c r="BB321" s="1071">
        <f>+IF(AND(BA321=0,BA320&gt;0,(BB$222-BA$222)&gt;0),BB$222-BA$222,BA321)</f>
        <v/>
      </c>
      <c r="BC321" s="73">
        <f>+IF(AND(BB321=0,BB320&gt;0,(BC$222-BB$222)&gt;0),BC$222-BB$222,BB321)</f>
        <v/>
      </c>
      <c r="BD321" s="73">
        <f>+IF(AND(BC321=0,BC320&gt;0,(BD$222-BC$222)&gt;0),BD$222-BC$222,BC321)</f>
        <v/>
      </c>
      <c r="BE321" s="73">
        <f>+IF(AND(BD321=0,BD320&gt;0,(BE$222-BD$222)&gt;0),BE$222-BD$222,BD321)</f>
        <v/>
      </c>
      <c r="BF321" s="73">
        <f>+IF(AND(BE321=0,BE320&gt;0,(BF$222-BE$222)&gt;0),BF$222-BE$222,BE321)</f>
        <v/>
      </c>
      <c r="BG321" s="73">
        <f>+IF(AND(BF321=0,BF320&gt;0,(BG$222-BF$222)&gt;0),BG$222-BF$222,BF321)</f>
        <v/>
      </c>
      <c r="BH321" s="1071">
        <f>+IF(AND(BG321=0,BG320&gt;0,(BH$222-BG$222)&gt;0),BH$222-BG$222,BG321)</f>
        <v/>
      </c>
      <c r="BI321" s="73">
        <f>+IF(AND(BH321=0,BH320&gt;0,(BI$222-BH$222)&gt;0),BI$222-BH$222,BH321)</f>
        <v/>
      </c>
      <c r="BJ321" s="73">
        <f>+IF(AND(BI321=0,BI320&gt;0,(BJ$222-BI$222)&gt;0),BJ$222-BI$222,BI321)</f>
        <v/>
      </c>
      <c r="BK321" s="73">
        <f>+IF(AND(BJ321=0,BJ320&gt;0,(BK$222-BJ$222)&gt;0),BK$222-BJ$222,BJ321)</f>
        <v/>
      </c>
      <c r="BL321" s="73">
        <f>+IF(AND(BK321=0,BK320&gt;0,(BL$222-BK$222)&gt;0),BL$222-BK$222,BK321)</f>
        <v/>
      </c>
      <c r="BM321" s="73">
        <f>+IF(AND(BL321=0,BL320&gt;0,(BM$222-BL$222)&gt;0),BM$222-BL$222,BL321)</f>
        <v/>
      </c>
      <c r="BN321" s="1071">
        <f>+IF(AND(BM321=0,BM320&gt;0,(BN$222-BM$222)&gt;0),BN$222-BM$222,BM321)</f>
        <v/>
      </c>
    </row>
    <row r="322" ht="12.75" customHeight="1" s="1883">
      <c r="C322" s="1155" t="inlineStr">
        <is>
          <t>Addition 8</t>
        </is>
      </c>
      <c r="D322" s="670" t="n"/>
      <c r="E322" s="671" t="n"/>
      <c r="F322" s="74" t="n"/>
      <c r="G322" s="73">
        <f>+IF(AND(F322=0,F321&gt;0,(G$222-F$222)&gt;0),G$222-F$222,F322)</f>
        <v/>
      </c>
      <c r="H322" s="73">
        <f>+IF(AND(G322=0,G321&gt;0,(H$222-G$222)&gt;0),H$222-G$222,G322)</f>
        <v/>
      </c>
      <c r="I322" s="73">
        <f>+IF(AND(H322=0,H321&gt;0,(I$222-H$222)&gt;0),I$222-H$222,H322)</f>
        <v/>
      </c>
      <c r="J322" s="73">
        <f>+IF(AND(I322=0,I321&gt;0,(J$222-I$222)&gt;0),J$222-I$222,I322)</f>
        <v/>
      </c>
      <c r="K322" s="73">
        <f>+IF(AND(J322=0,J321&gt;0,(K$222-J$222)&gt;0),K$222-J$222,J322)</f>
        <v/>
      </c>
      <c r="L322" s="1071">
        <f>+IF(AND(K322=0,K321&gt;0,(L$222-K$222)&gt;0),L$222-K$222,K322)</f>
        <v/>
      </c>
      <c r="M322" s="73">
        <f>+IF(AND(L322=0,L321&gt;0,(M$222-L$222)&gt;0),M$222-L$222,L322)</f>
        <v/>
      </c>
      <c r="N322" s="73">
        <f>+IF(AND(M322=0,M321&gt;0,(N$222-M$222)&gt;0),N$222-M$222,M322)</f>
        <v/>
      </c>
      <c r="O322" s="73">
        <f>+IF(AND(N322=0,N321&gt;0,(O$222-N$222)&gt;0),O$222-N$222,N322)</f>
        <v/>
      </c>
      <c r="P322" s="73">
        <f>+IF(AND(O322=0,O321&gt;0,(P$222-O$222)&gt;0),P$222-O$222,O322)</f>
        <v/>
      </c>
      <c r="Q322" s="73">
        <f>+IF(AND(P322=0,P321&gt;0,(Q$222-P$222)&gt;0),Q$222-P$222,P322)</f>
        <v/>
      </c>
      <c r="R322" s="1071">
        <f>+IF(AND(Q322=0,Q321&gt;0,(R$222-Q$222)&gt;0),R$222-Q$222,Q322)</f>
        <v/>
      </c>
      <c r="S322" s="73">
        <f>+IF(AND(R322=0,R321&gt;0,(S$222-R$222)&gt;0),S$222-R$222,R322)</f>
        <v/>
      </c>
      <c r="T322" s="73">
        <f>+IF(AND(S322=0,S321&gt;0,(T$222-S$222)&gt;0),T$222-S$222,S322)</f>
        <v/>
      </c>
      <c r="U322" s="73">
        <f>+IF(AND(T322=0,T321&gt;0,(U$222-T$222)&gt;0),U$222-T$222,T322)</f>
        <v/>
      </c>
      <c r="V322" s="73">
        <f>+IF(AND(U322=0,U321&gt;0,(V$222-U$222)&gt;0),V$222-U$222,U322)</f>
        <v/>
      </c>
      <c r="W322" s="73">
        <f>+IF(AND(V322=0,V321&gt;0,(W$222-V$222)&gt;0),W$222-V$222,V322)</f>
        <v/>
      </c>
      <c r="X322" s="1071">
        <f>+IF(AND(W322=0,W321&gt;0,(X$222-W$222)&gt;0),X$222-W$222,W322)</f>
        <v/>
      </c>
      <c r="Y322" s="73">
        <f>+IF(AND(X322=0,X321&gt;0,(Y$222-X$222)&gt;0),Y$222-X$222,X322)</f>
        <v/>
      </c>
      <c r="Z322" s="73">
        <f>+IF(AND(Y322=0,Y321&gt;0,(Z$222-Y$222)&gt;0),Z$222-Y$222,Y322)</f>
        <v/>
      </c>
      <c r="AA322" s="73">
        <f>+IF(AND(Z322=0,Z321&gt;0,(AA$222-Z$222)&gt;0),AA$222-Z$222,Z322)</f>
        <v/>
      </c>
      <c r="AB322" s="73">
        <f>+IF(AND(AA322=0,AA321&gt;0,(AB$222-AA$222)&gt;0),AB$222-AA$222,AA322)</f>
        <v/>
      </c>
      <c r="AC322" s="73">
        <f>+IF(AND(AB322=0,AB321&gt;0,(AC$222-AB$222)&gt;0),AC$222-AB$222,AB322)</f>
        <v/>
      </c>
      <c r="AD322" s="1071">
        <f>+IF(AND(AC322=0,AC321&gt;0,(AD$222-AC$222)&gt;0),AD$222-AC$222,AC322)</f>
        <v/>
      </c>
      <c r="AE322" s="73">
        <f>+IF(AND(AD322=0,AD321&gt;0,(AE$222-AD$222)&gt;0),AE$222-AD$222,AD322)</f>
        <v/>
      </c>
      <c r="AF322" s="73">
        <f>+IF(AND(AE322=0,AE321&gt;0,(AF$222-AE$222)&gt;0),AF$222-AE$222,AE322)</f>
        <v/>
      </c>
      <c r="AG322" s="73">
        <f>+IF(AND(AF322=0,AF321&gt;0,(AG$222-AF$222)&gt;0),AG$222-AF$222,AF322)</f>
        <v/>
      </c>
      <c r="AH322" s="73">
        <f>+IF(AND(AG322=0,AG321&gt;0,(AH$222-AG$222)&gt;0),AH$222-AG$222,AG322)</f>
        <v/>
      </c>
      <c r="AI322" s="73">
        <f>+IF(AND(AH322=0,AH321&gt;0,(AI$222-AH$222)&gt;0),AI$222-AH$222,AH322)</f>
        <v/>
      </c>
      <c r="AJ322" s="1071">
        <f>+IF(AND(AI322=0,AI321&gt;0,(AJ$222-AI$222)&gt;0),AJ$222-AI$222,AI322)</f>
        <v/>
      </c>
      <c r="AK322" s="73">
        <f>+IF(AND(AJ322=0,AJ321&gt;0,(AK$222-AJ$222)&gt;0),AK$222-AJ$222,AJ322)</f>
        <v/>
      </c>
      <c r="AL322" s="73">
        <f>+IF(AND(AK322=0,AK321&gt;0,(AL$222-AK$222)&gt;0),AL$222-AK$222,AK322)</f>
        <v/>
      </c>
      <c r="AM322" s="73">
        <f>+IF(AND(AL322=0,AL321&gt;0,(AM$222-AL$222)&gt;0),AM$222-AL$222,AL322)</f>
        <v/>
      </c>
      <c r="AN322" s="73">
        <f>+IF(AND(AM322=0,AM321&gt;0,(AN$222-AM$222)&gt;0),AN$222-AM$222,AM322)</f>
        <v/>
      </c>
      <c r="AO322" s="73">
        <f>+IF(AND(AN322=0,AN321&gt;0,(AO$222-AN$222)&gt;0),AO$222-AN$222,AN322)</f>
        <v/>
      </c>
      <c r="AP322" s="1071">
        <f>+IF(AND(AO322=0,AO321&gt;0,(AP$222-AO$222)&gt;0),AP$222-AO$222,AO322)</f>
        <v/>
      </c>
      <c r="AQ322" s="73">
        <f>+IF(AND(AP322=0,AP321&gt;0,(AQ$222-AP$222)&gt;0),AQ$222-AP$222,AP322)</f>
        <v/>
      </c>
      <c r="AR322" s="73">
        <f>+IF(AND(AQ322=0,AQ321&gt;0,(AR$222-AQ$222)&gt;0),AR$222-AQ$222,AQ322)</f>
        <v/>
      </c>
      <c r="AS322" s="73">
        <f>+IF(AND(AR322=0,AR321&gt;0,(AS$222-AR$222)&gt;0),AS$222-AR$222,AR322)</f>
        <v/>
      </c>
      <c r="AT322" s="73">
        <f>+IF(AND(AS322=0,AS321&gt;0,(AT$222-AS$222)&gt;0),AT$222-AS$222,AS322)</f>
        <v/>
      </c>
      <c r="AU322" s="73">
        <f>+IF(AND(AT322=0,AT321&gt;0,(AU$222-AT$222)&gt;0),AU$222-AT$222,AT322)</f>
        <v/>
      </c>
      <c r="AV322" s="1071">
        <f>+IF(AND(AU322=0,AU321&gt;0,(AV$222-AU$222)&gt;0),AV$222-AU$222,AU322)</f>
        <v/>
      </c>
      <c r="AW322" s="73">
        <f>+IF(AND(AV322=0,AV321&gt;0,(AW$222-AV$222)&gt;0),AW$222-AV$222,AV322)</f>
        <v/>
      </c>
      <c r="AX322" s="73">
        <f>+IF(AND(AW322=0,AW321&gt;0,(AX$222-AW$222)&gt;0),AX$222-AW$222,AW322)</f>
        <v/>
      </c>
      <c r="AY322" s="73">
        <f>+IF(AND(AX322=0,AX321&gt;0,(AY$222-AX$222)&gt;0),AY$222-AX$222,AX322)</f>
        <v/>
      </c>
      <c r="AZ322" s="73">
        <f>+IF(AND(AY322=0,AY321&gt;0,(AZ$222-AY$222)&gt;0),AZ$222-AY$222,AY322)</f>
        <v/>
      </c>
      <c r="BA322" s="73">
        <f>+IF(AND(AZ322=0,AZ321&gt;0,(BA$222-AZ$222)&gt;0),BA$222-AZ$222,AZ322)</f>
        <v/>
      </c>
      <c r="BB322" s="1071">
        <f>+IF(AND(BA322=0,BA321&gt;0,(BB$222-BA$222)&gt;0),BB$222-BA$222,BA322)</f>
        <v/>
      </c>
      <c r="BC322" s="73">
        <f>+IF(AND(BB322=0,BB321&gt;0,(BC$222-BB$222)&gt;0),BC$222-BB$222,BB322)</f>
        <v/>
      </c>
      <c r="BD322" s="73">
        <f>+IF(AND(BC322=0,BC321&gt;0,(BD$222-BC$222)&gt;0),BD$222-BC$222,BC322)</f>
        <v/>
      </c>
      <c r="BE322" s="73">
        <f>+IF(AND(BD322=0,BD321&gt;0,(BE$222-BD$222)&gt;0),BE$222-BD$222,BD322)</f>
        <v/>
      </c>
      <c r="BF322" s="73">
        <f>+IF(AND(BE322=0,BE321&gt;0,(BF$222-BE$222)&gt;0),BF$222-BE$222,BE322)</f>
        <v/>
      </c>
      <c r="BG322" s="73">
        <f>+IF(AND(BF322=0,BF321&gt;0,(BG$222-BF$222)&gt;0),BG$222-BF$222,BF322)</f>
        <v/>
      </c>
      <c r="BH322" s="1071">
        <f>+IF(AND(BG322=0,BG321&gt;0,(BH$222-BG$222)&gt;0),BH$222-BG$222,BG322)</f>
        <v/>
      </c>
      <c r="BI322" s="73">
        <f>+IF(AND(BH322=0,BH321&gt;0,(BI$222-BH$222)&gt;0),BI$222-BH$222,BH322)</f>
        <v/>
      </c>
      <c r="BJ322" s="73">
        <f>+IF(AND(BI322=0,BI321&gt;0,(BJ$222-BI$222)&gt;0),BJ$222-BI$222,BI322)</f>
        <v/>
      </c>
      <c r="BK322" s="73">
        <f>+IF(AND(BJ322=0,BJ321&gt;0,(BK$222-BJ$222)&gt;0),BK$222-BJ$222,BJ322)</f>
        <v/>
      </c>
      <c r="BL322" s="73">
        <f>+IF(AND(BK322=0,BK321&gt;0,(BL$222-BK$222)&gt;0),BL$222-BK$222,BK322)</f>
        <v/>
      </c>
      <c r="BM322" s="73">
        <f>+IF(AND(BL322=0,BL321&gt;0,(BM$222-BL$222)&gt;0),BM$222-BL$222,BL322)</f>
        <v/>
      </c>
      <c r="BN322" s="1071">
        <f>+IF(AND(BM322=0,BM321&gt;0,(BN$222-BM$222)&gt;0),BN$222-BM$222,BM322)</f>
        <v/>
      </c>
    </row>
    <row r="323" ht="12.75" customHeight="1" s="1883">
      <c r="C323" s="1155" t="inlineStr">
        <is>
          <t>Addition 9</t>
        </is>
      </c>
      <c r="D323" s="670" t="n"/>
      <c r="E323" s="671" t="n"/>
      <c r="F323" s="74" t="n"/>
      <c r="G323" s="73">
        <f>+IF(AND(F323=0,F322&gt;0,(G$222-F$222)&gt;0),G$222-F$222,F323)</f>
        <v/>
      </c>
      <c r="H323" s="73">
        <f>+IF(AND(G323=0,G322&gt;0,(H$222-G$222)&gt;0),H$222-G$222,G323)</f>
        <v/>
      </c>
      <c r="I323" s="73">
        <f>+IF(AND(H323=0,H322&gt;0,(I$222-H$222)&gt;0),I$222-H$222,H323)</f>
        <v/>
      </c>
      <c r="J323" s="73">
        <f>+IF(AND(I323=0,I322&gt;0,(J$222-I$222)&gt;0),J$222-I$222,I323)</f>
        <v/>
      </c>
      <c r="K323" s="73">
        <f>+IF(AND(J323=0,J322&gt;0,(K$222-J$222)&gt;0),K$222-J$222,J323)</f>
        <v/>
      </c>
      <c r="L323" s="1071">
        <f>+IF(AND(K323=0,K322&gt;0,(L$222-K$222)&gt;0),L$222-K$222,K323)</f>
        <v/>
      </c>
      <c r="M323" s="73">
        <f>+IF(AND(L323=0,L322&gt;0,(M$222-L$222)&gt;0),M$222-L$222,L323)</f>
        <v/>
      </c>
      <c r="N323" s="73">
        <f>+IF(AND(M323=0,M322&gt;0,(N$222-M$222)&gt;0),N$222-M$222,M323)</f>
        <v/>
      </c>
      <c r="O323" s="73">
        <f>+IF(AND(N323=0,N322&gt;0,(O$222-N$222)&gt;0),O$222-N$222,N323)</f>
        <v/>
      </c>
      <c r="P323" s="73">
        <f>+IF(AND(O323=0,O322&gt;0,(P$222-O$222)&gt;0),P$222-O$222,O323)</f>
        <v/>
      </c>
      <c r="Q323" s="73">
        <f>+IF(AND(P323=0,P322&gt;0,(Q$222-P$222)&gt;0),Q$222-P$222,P323)</f>
        <v/>
      </c>
      <c r="R323" s="1071">
        <f>+IF(AND(Q323=0,Q322&gt;0,(R$222-Q$222)&gt;0),R$222-Q$222,Q323)</f>
        <v/>
      </c>
      <c r="S323" s="73">
        <f>+IF(AND(R323=0,R322&gt;0,(S$222-R$222)&gt;0),S$222-R$222,R323)</f>
        <v/>
      </c>
      <c r="T323" s="73">
        <f>+IF(AND(S323=0,S322&gt;0,(T$222-S$222)&gt;0),T$222-S$222,S323)</f>
        <v/>
      </c>
      <c r="U323" s="73">
        <f>+IF(AND(T323=0,T322&gt;0,(U$222-T$222)&gt;0),U$222-T$222,T323)</f>
        <v/>
      </c>
      <c r="V323" s="73">
        <f>+IF(AND(U323=0,U322&gt;0,(V$222-U$222)&gt;0),V$222-U$222,U323)</f>
        <v/>
      </c>
      <c r="W323" s="73">
        <f>+IF(AND(V323=0,V322&gt;0,(W$222-V$222)&gt;0),W$222-V$222,V323)</f>
        <v/>
      </c>
      <c r="X323" s="1071">
        <f>+IF(AND(W323=0,W322&gt;0,(X$222-W$222)&gt;0),X$222-W$222,W323)</f>
        <v/>
      </c>
      <c r="Y323" s="73">
        <f>+IF(AND(X323=0,X322&gt;0,(Y$222-X$222)&gt;0),Y$222-X$222,X323)</f>
        <v/>
      </c>
      <c r="Z323" s="73">
        <f>+IF(AND(Y323=0,Y322&gt;0,(Z$222-Y$222)&gt;0),Z$222-Y$222,Y323)</f>
        <v/>
      </c>
      <c r="AA323" s="73">
        <f>+IF(AND(Z323=0,Z322&gt;0,(AA$222-Z$222)&gt;0),AA$222-Z$222,Z323)</f>
        <v/>
      </c>
      <c r="AB323" s="73">
        <f>+IF(AND(AA323=0,AA322&gt;0,(AB$222-AA$222)&gt;0),AB$222-AA$222,AA323)</f>
        <v/>
      </c>
      <c r="AC323" s="73">
        <f>+IF(AND(AB323=0,AB322&gt;0,(AC$222-AB$222)&gt;0),AC$222-AB$222,AB323)</f>
        <v/>
      </c>
      <c r="AD323" s="1071">
        <f>+IF(AND(AC323=0,AC322&gt;0,(AD$222-AC$222)&gt;0),AD$222-AC$222,AC323)</f>
        <v/>
      </c>
      <c r="AE323" s="73">
        <f>+IF(AND(AD323=0,AD322&gt;0,(AE$222-AD$222)&gt;0),AE$222-AD$222,AD323)</f>
        <v/>
      </c>
      <c r="AF323" s="73">
        <f>+IF(AND(AE323=0,AE322&gt;0,(AF$222-AE$222)&gt;0),AF$222-AE$222,AE323)</f>
        <v/>
      </c>
      <c r="AG323" s="73">
        <f>+IF(AND(AF323=0,AF322&gt;0,(AG$222-AF$222)&gt;0),AG$222-AF$222,AF323)</f>
        <v/>
      </c>
      <c r="AH323" s="73">
        <f>+IF(AND(AG323=0,AG322&gt;0,(AH$222-AG$222)&gt;0),AH$222-AG$222,AG323)</f>
        <v/>
      </c>
      <c r="AI323" s="73">
        <f>+IF(AND(AH323=0,AH322&gt;0,(AI$222-AH$222)&gt;0),AI$222-AH$222,AH323)</f>
        <v/>
      </c>
      <c r="AJ323" s="1071">
        <f>+IF(AND(AI323=0,AI322&gt;0,(AJ$222-AI$222)&gt;0),AJ$222-AI$222,AI323)</f>
        <v/>
      </c>
      <c r="AK323" s="73">
        <f>+IF(AND(AJ323=0,AJ322&gt;0,(AK$222-AJ$222)&gt;0),AK$222-AJ$222,AJ323)</f>
        <v/>
      </c>
      <c r="AL323" s="73">
        <f>+IF(AND(AK323=0,AK322&gt;0,(AL$222-AK$222)&gt;0),AL$222-AK$222,AK323)</f>
        <v/>
      </c>
      <c r="AM323" s="73">
        <f>+IF(AND(AL323=0,AL322&gt;0,(AM$222-AL$222)&gt;0),AM$222-AL$222,AL323)</f>
        <v/>
      </c>
      <c r="AN323" s="73">
        <f>+IF(AND(AM323=0,AM322&gt;0,(AN$222-AM$222)&gt;0),AN$222-AM$222,AM323)</f>
        <v/>
      </c>
      <c r="AO323" s="73">
        <f>+IF(AND(AN323=0,AN322&gt;0,(AO$222-AN$222)&gt;0),AO$222-AN$222,AN323)</f>
        <v/>
      </c>
      <c r="AP323" s="1071">
        <f>+IF(AND(AO323=0,AO322&gt;0,(AP$222-AO$222)&gt;0),AP$222-AO$222,AO323)</f>
        <v/>
      </c>
      <c r="AQ323" s="73">
        <f>+IF(AND(AP323=0,AP322&gt;0,(AQ$222-AP$222)&gt;0),AQ$222-AP$222,AP323)</f>
        <v/>
      </c>
      <c r="AR323" s="73">
        <f>+IF(AND(AQ323=0,AQ322&gt;0,(AR$222-AQ$222)&gt;0),AR$222-AQ$222,AQ323)</f>
        <v/>
      </c>
      <c r="AS323" s="73">
        <f>+IF(AND(AR323=0,AR322&gt;0,(AS$222-AR$222)&gt;0),AS$222-AR$222,AR323)</f>
        <v/>
      </c>
      <c r="AT323" s="73">
        <f>+IF(AND(AS323=0,AS322&gt;0,(AT$222-AS$222)&gt;0),AT$222-AS$222,AS323)</f>
        <v/>
      </c>
      <c r="AU323" s="73">
        <f>+IF(AND(AT323=0,AT322&gt;0,(AU$222-AT$222)&gt;0),AU$222-AT$222,AT323)</f>
        <v/>
      </c>
      <c r="AV323" s="1071">
        <f>+IF(AND(AU323=0,AU322&gt;0,(AV$222-AU$222)&gt;0),AV$222-AU$222,AU323)</f>
        <v/>
      </c>
      <c r="AW323" s="73">
        <f>+IF(AND(AV323=0,AV322&gt;0,(AW$222-AV$222)&gt;0),AW$222-AV$222,AV323)</f>
        <v/>
      </c>
      <c r="AX323" s="73">
        <f>+IF(AND(AW323=0,AW322&gt;0,(AX$222-AW$222)&gt;0),AX$222-AW$222,AW323)</f>
        <v/>
      </c>
      <c r="AY323" s="73">
        <f>+IF(AND(AX323=0,AX322&gt;0,(AY$222-AX$222)&gt;0),AY$222-AX$222,AX323)</f>
        <v/>
      </c>
      <c r="AZ323" s="73">
        <f>+IF(AND(AY323=0,AY322&gt;0,(AZ$222-AY$222)&gt;0),AZ$222-AY$222,AY323)</f>
        <v/>
      </c>
      <c r="BA323" s="73">
        <f>+IF(AND(AZ323=0,AZ322&gt;0,(BA$222-AZ$222)&gt;0),BA$222-AZ$222,AZ323)</f>
        <v/>
      </c>
      <c r="BB323" s="1071">
        <f>+IF(AND(BA323=0,BA322&gt;0,(BB$222-BA$222)&gt;0),BB$222-BA$222,BA323)</f>
        <v/>
      </c>
      <c r="BC323" s="73">
        <f>+IF(AND(BB323=0,BB322&gt;0,(BC$222-BB$222)&gt;0),BC$222-BB$222,BB323)</f>
        <v/>
      </c>
      <c r="BD323" s="73">
        <f>+IF(AND(BC323=0,BC322&gt;0,(BD$222-BC$222)&gt;0),BD$222-BC$222,BC323)</f>
        <v/>
      </c>
      <c r="BE323" s="73">
        <f>+IF(AND(BD323=0,BD322&gt;0,(BE$222-BD$222)&gt;0),BE$222-BD$222,BD323)</f>
        <v/>
      </c>
      <c r="BF323" s="73">
        <f>+IF(AND(BE323=0,BE322&gt;0,(BF$222-BE$222)&gt;0),BF$222-BE$222,BE323)</f>
        <v/>
      </c>
      <c r="BG323" s="73">
        <f>+IF(AND(BF323=0,BF322&gt;0,(BG$222-BF$222)&gt;0),BG$222-BF$222,BF323)</f>
        <v/>
      </c>
      <c r="BH323" s="1071">
        <f>+IF(AND(BG323=0,BG322&gt;0,(BH$222-BG$222)&gt;0),BH$222-BG$222,BG323)</f>
        <v/>
      </c>
      <c r="BI323" s="73">
        <f>+IF(AND(BH323=0,BH322&gt;0,(BI$222-BH$222)&gt;0),BI$222-BH$222,BH323)</f>
        <v/>
      </c>
      <c r="BJ323" s="73">
        <f>+IF(AND(BI323=0,BI322&gt;0,(BJ$222-BI$222)&gt;0),BJ$222-BI$222,BI323)</f>
        <v/>
      </c>
      <c r="BK323" s="73">
        <f>+IF(AND(BJ323=0,BJ322&gt;0,(BK$222-BJ$222)&gt;0),BK$222-BJ$222,BJ323)</f>
        <v/>
      </c>
      <c r="BL323" s="73">
        <f>+IF(AND(BK323=0,BK322&gt;0,(BL$222-BK$222)&gt;0),BL$222-BK$222,BK323)</f>
        <v/>
      </c>
      <c r="BM323" s="73">
        <f>+IF(AND(BL323=0,BL322&gt;0,(BM$222-BL$222)&gt;0),BM$222-BL$222,BL323)</f>
        <v/>
      </c>
      <c r="BN323" s="1071">
        <f>+IF(AND(BM323=0,BM322&gt;0,(BN$222-BM$222)&gt;0),BN$222-BM$222,BM323)</f>
        <v/>
      </c>
    </row>
    <row r="324" ht="12.75" customHeight="1" s="1883">
      <c r="C324" s="1155" t="inlineStr">
        <is>
          <t>Addition 10</t>
        </is>
      </c>
      <c r="D324" s="670" t="n"/>
      <c r="E324" s="671" t="n"/>
      <c r="F324" s="74" t="n"/>
      <c r="G324" s="73">
        <f>+IF(AND(F324=0,F323&gt;0,(G$222-F$222)&gt;0),G$222-F$222,F324)</f>
        <v/>
      </c>
      <c r="H324" s="73">
        <f>+IF(AND(G324=0,G323&gt;0,(H$222-G$222)&gt;0),H$222-G$222,G324)</f>
        <v/>
      </c>
      <c r="I324" s="73">
        <f>+IF(AND(H324=0,H323&gt;0,(I$222-H$222)&gt;0),I$222-H$222,H324)</f>
        <v/>
      </c>
      <c r="J324" s="73">
        <f>+IF(AND(I324=0,I323&gt;0,(J$222-I$222)&gt;0),J$222-I$222,I324)</f>
        <v/>
      </c>
      <c r="K324" s="73">
        <f>+IF(AND(J324=0,J323&gt;0,(K$222-J$222)&gt;0),K$222-J$222,J324)</f>
        <v/>
      </c>
      <c r="L324" s="1071">
        <f>+IF(AND(K324=0,K323&gt;0,(L$222-K$222)&gt;0),L$222-K$222,K324)</f>
        <v/>
      </c>
      <c r="M324" s="73">
        <f>+IF(AND(L324=0,L323&gt;0,(M$222-L$222)&gt;0),M$222-L$222,L324)</f>
        <v/>
      </c>
      <c r="N324" s="73">
        <f>+IF(AND(M324=0,M323&gt;0,(N$222-M$222)&gt;0),N$222-M$222,M324)</f>
        <v/>
      </c>
      <c r="O324" s="73">
        <f>+IF(AND(N324=0,N323&gt;0,(O$222-N$222)&gt;0),O$222-N$222,N324)</f>
        <v/>
      </c>
      <c r="P324" s="73">
        <f>+IF(AND(O324=0,O323&gt;0,(P$222-O$222)&gt;0),P$222-O$222,O324)</f>
        <v/>
      </c>
      <c r="Q324" s="73">
        <f>+IF(AND(P324=0,P323&gt;0,(Q$222-P$222)&gt;0),Q$222-P$222,P324)</f>
        <v/>
      </c>
      <c r="R324" s="1071">
        <f>+IF(AND(Q324=0,Q323&gt;0,(R$222-Q$222)&gt;0),R$222-Q$222,Q324)</f>
        <v/>
      </c>
      <c r="S324" s="73">
        <f>+IF(AND(R324=0,R323&gt;0,(S$222-R$222)&gt;0),S$222-R$222,R324)</f>
        <v/>
      </c>
      <c r="T324" s="73">
        <f>+IF(AND(S324=0,S323&gt;0,(T$222-S$222)&gt;0),T$222-S$222,S324)</f>
        <v/>
      </c>
      <c r="U324" s="73">
        <f>+IF(AND(T324=0,T323&gt;0,(U$222-T$222)&gt;0),U$222-T$222,T324)</f>
        <v/>
      </c>
      <c r="V324" s="73">
        <f>+IF(AND(U324=0,U323&gt;0,(V$222-U$222)&gt;0),V$222-U$222,U324)</f>
        <v/>
      </c>
      <c r="W324" s="73">
        <f>+IF(AND(V324=0,V323&gt;0,(W$222-V$222)&gt;0),W$222-V$222,V324)</f>
        <v/>
      </c>
      <c r="X324" s="1071">
        <f>+IF(AND(W324=0,W323&gt;0,(X$222-W$222)&gt;0),X$222-W$222,W324)</f>
        <v/>
      </c>
      <c r="Y324" s="73">
        <f>+IF(AND(X324=0,X323&gt;0,(Y$222-X$222)&gt;0),Y$222-X$222,X324)</f>
        <v/>
      </c>
      <c r="Z324" s="73">
        <f>+IF(AND(Y324=0,Y323&gt;0,(Z$222-Y$222)&gt;0),Z$222-Y$222,Y324)</f>
        <v/>
      </c>
      <c r="AA324" s="73">
        <f>+IF(AND(Z324=0,Z323&gt;0,(AA$222-Z$222)&gt;0),AA$222-Z$222,Z324)</f>
        <v/>
      </c>
      <c r="AB324" s="73">
        <f>+IF(AND(AA324=0,AA323&gt;0,(AB$222-AA$222)&gt;0),AB$222-AA$222,AA324)</f>
        <v/>
      </c>
      <c r="AC324" s="73">
        <f>+IF(AND(AB324=0,AB323&gt;0,(AC$222-AB$222)&gt;0),AC$222-AB$222,AB324)</f>
        <v/>
      </c>
      <c r="AD324" s="1071">
        <f>+IF(AND(AC324=0,AC323&gt;0,(AD$222-AC$222)&gt;0),AD$222-AC$222,AC324)</f>
        <v/>
      </c>
      <c r="AE324" s="73">
        <f>+IF(AND(AD324=0,AD323&gt;0,(AE$222-AD$222)&gt;0),AE$222-AD$222,AD324)</f>
        <v/>
      </c>
      <c r="AF324" s="73">
        <f>+IF(AND(AE324=0,AE323&gt;0,(AF$222-AE$222)&gt;0),AF$222-AE$222,AE324)</f>
        <v/>
      </c>
      <c r="AG324" s="73">
        <f>+IF(AND(AF324=0,AF323&gt;0,(AG$222-AF$222)&gt;0),AG$222-AF$222,AF324)</f>
        <v/>
      </c>
      <c r="AH324" s="73">
        <f>+IF(AND(AG324=0,AG323&gt;0,(AH$222-AG$222)&gt;0),AH$222-AG$222,AG324)</f>
        <v/>
      </c>
      <c r="AI324" s="73">
        <f>+IF(AND(AH324=0,AH323&gt;0,(AI$222-AH$222)&gt;0),AI$222-AH$222,AH324)</f>
        <v/>
      </c>
      <c r="AJ324" s="1071">
        <f>+IF(AND(AI324=0,AI323&gt;0,(AJ$222-AI$222)&gt;0),AJ$222-AI$222,AI324)</f>
        <v/>
      </c>
      <c r="AK324" s="73">
        <f>+IF(AND(AJ324=0,AJ323&gt;0,(AK$222-AJ$222)&gt;0),AK$222-AJ$222,AJ324)</f>
        <v/>
      </c>
      <c r="AL324" s="73">
        <f>+IF(AND(AK324=0,AK323&gt;0,(AL$222-AK$222)&gt;0),AL$222-AK$222,AK324)</f>
        <v/>
      </c>
      <c r="AM324" s="73">
        <f>+IF(AND(AL324=0,AL323&gt;0,(AM$222-AL$222)&gt;0),AM$222-AL$222,AL324)</f>
        <v/>
      </c>
      <c r="AN324" s="73">
        <f>+IF(AND(AM324=0,AM323&gt;0,(AN$222-AM$222)&gt;0),AN$222-AM$222,AM324)</f>
        <v/>
      </c>
      <c r="AO324" s="73">
        <f>+IF(AND(AN324=0,AN323&gt;0,(AO$222-AN$222)&gt;0),AO$222-AN$222,AN324)</f>
        <v/>
      </c>
      <c r="AP324" s="1071">
        <f>+IF(AND(AO324=0,AO323&gt;0,(AP$222-AO$222)&gt;0),AP$222-AO$222,AO324)</f>
        <v/>
      </c>
      <c r="AQ324" s="73">
        <f>+IF(AND(AP324=0,AP323&gt;0,(AQ$222-AP$222)&gt;0),AQ$222-AP$222,AP324)</f>
        <v/>
      </c>
      <c r="AR324" s="73">
        <f>+IF(AND(AQ324=0,AQ323&gt;0,(AR$222-AQ$222)&gt;0),AR$222-AQ$222,AQ324)</f>
        <v/>
      </c>
      <c r="AS324" s="73">
        <f>+IF(AND(AR324=0,AR323&gt;0,(AS$222-AR$222)&gt;0),AS$222-AR$222,AR324)</f>
        <v/>
      </c>
      <c r="AT324" s="73">
        <f>+IF(AND(AS324=0,AS323&gt;0,(AT$222-AS$222)&gt;0),AT$222-AS$222,AS324)</f>
        <v/>
      </c>
      <c r="AU324" s="73">
        <f>+IF(AND(AT324=0,AT323&gt;0,(AU$222-AT$222)&gt;0),AU$222-AT$222,AT324)</f>
        <v/>
      </c>
      <c r="AV324" s="1071">
        <f>+IF(AND(AU324=0,AU323&gt;0,(AV$222-AU$222)&gt;0),AV$222-AU$222,AU324)</f>
        <v/>
      </c>
      <c r="AW324" s="73">
        <f>+IF(AND(AV324=0,AV323&gt;0,(AW$222-AV$222)&gt;0),AW$222-AV$222,AV324)</f>
        <v/>
      </c>
      <c r="AX324" s="73">
        <f>+IF(AND(AW324=0,AW323&gt;0,(AX$222-AW$222)&gt;0),AX$222-AW$222,AW324)</f>
        <v/>
      </c>
      <c r="AY324" s="73">
        <f>+IF(AND(AX324=0,AX323&gt;0,(AY$222-AX$222)&gt;0),AY$222-AX$222,AX324)</f>
        <v/>
      </c>
      <c r="AZ324" s="73">
        <f>+IF(AND(AY324=0,AY323&gt;0,(AZ$222-AY$222)&gt;0),AZ$222-AY$222,AY324)</f>
        <v/>
      </c>
      <c r="BA324" s="73">
        <f>+IF(AND(AZ324=0,AZ323&gt;0,(BA$222-AZ$222)&gt;0),BA$222-AZ$222,AZ324)</f>
        <v/>
      </c>
      <c r="BB324" s="1071">
        <f>+IF(AND(BA324=0,BA323&gt;0,(BB$222-BA$222)&gt;0),BB$222-BA$222,BA324)</f>
        <v/>
      </c>
      <c r="BC324" s="73">
        <f>+IF(AND(BB324=0,BB323&gt;0,(BC$222-BB$222)&gt;0),BC$222-BB$222,BB324)</f>
        <v/>
      </c>
      <c r="BD324" s="73">
        <f>+IF(AND(BC324=0,BC323&gt;0,(BD$222-BC$222)&gt;0),BD$222-BC$222,BC324)</f>
        <v/>
      </c>
      <c r="BE324" s="73">
        <f>+IF(AND(BD324=0,BD323&gt;0,(BE$222-BD$222)&gt;0),BE$222-BD$222,BD324)</f>
        <v/>
      </c>
      <c r="BF324" s="73">
        <f>+IF(AND(BE324=0,BE323&gt;0,(BF$222-BE$222)&gt;0),BF$222-BE$222,BE324)</f>
        <v/>
      </c>
      <c r="BG324" s="73">
        <f>+IF(AND(BF324=0,BF323&gt;0,(BG$222-BF$222)&gt;0),BG$222-BF$222,BF324)</f>
        <v/>
      </c>
      <c r="BH324" s="1071">
        <f>+IF(AND(BG324=0,BG323&gt;0,(BH$222-BG$222)&gt;0),BH$222-BG$222,BG324)</f>
        <v/>
      </c>
      <c r="BI324" s="73">
        <f>+IF(AND(BH324=0,BH323&gt;0,(BI$222-BH$222)&gt;0),BI$222-BH$222,BH324)</f>
        <v/>
      </c>
      <c r="BJ324" s="73">
        <f>+IF(AND(BI324=0,BI323&gt;0,(BJ$222-BI$222)&gt;0),BJ$222-BI$222,BI324)</f>
        <v/>
      </c>
      <c r="BK324" s="73">
        <f>+IF(AND(BJ324=0,BJ323&gt;0,(BK$222-BJ$222)&gt;0),BK$222-BJ$222,BJ324)</f>
        <v/>
      </c>
      <c r="BL324" s="73">
        <f>+IF(AND(BK324=0,BK323&gt;0,(BL$222-BK$222)&gt;0),BL$222-BK$222,BK324)</f>
        <v/>
      </c>
      <c r="BM324" s="73">
        <f>+IF(AND(BL324=0,BL323&gt;0,(BM$222-BL$222)&gt;0),BM$222-BL$222,BL324)</f>
        <v/>
      </c>
      <c r="BN324" s="1071">
        <f>+IF(AND(BM324=0,BM323&gt;0,(BN$222-BM$222)&gt;0),BN$222-BM$222,BM324)</f>
        <v/>
      </c>
    </row>
    <row r="325" ht="12.75" customHeight="1" s="1883">
      <c r="C325" s="1155" t="inlineStr">
        <is>
          <t>Addition 11</t>
        </is>
      </c>
      <c r="D325" s="670" t="n"/>
      <c r="E325" s="671" t="n"/>
      <c r="F325" s="74" t="n"/>
      <c r="G325" s="73">
        <f>+IF(AND(F325=0,F324&gt;0,(G$222-F$222)&gt;0),G$222-F$222,F325)</f>
        <v/>
      </c>
      <c r="H325" s="73">
        <f>+IF(AND(G325=0,G324&gt;0,(H$222-G$222)&gt;0),H$222-G$222,G325)</f>
        <v/>
      </c>
      <c r="I325" s="73">
        <f>+IF(AND(H325=0,H324&gt;0,(I$222-H$222)&gt;0),I$222-H$222,H325)</f>
        <v/>
      </c>
      <c r="J325" s="73">
        <f>+IF(AND(I325=0,I324&gt;0,(J$222-I$222)&gt;0),J$222-I$222,I325)</f>
        <v/>
      </c>
      <c r="K325" s="73">
        <f>+IF(AND(J325=0,J324&gt;0,(K$222-J$222)&gt;0),K$222-J$222,J325)</f>
        <v/>
      </c>
      <c r="L325" s="1071">
        <f>+IF(AND(K325=0,K324&gt;0,(L$222-K$222)&gt;0),L$222-K$222,K325)</f>
        <v/>
      </c>
      <c r="M325" s="73">
        <f>+IF(AND(L325=0,L324&gt;0,(M$222-L$222)&gt;0),M$222-L$222,L325)</f>
        <v/>
      </c>
      <c r="N325" s="73">
        <f>+IF(AND(M325=0,M324&gt;0,(N$222-M$222)&gt;0),N$222-M$222,M325)</f>
        <v/>
      </c>
      <c r="O325" s="73">
        <f>+IF(AND(N325=0,N324&gt;0,(O$222-N$222)&gt;0),O$222-N$222,N325)</f>
        <v/>
      </c>
      <c r="P325" s="73">
        <f>+IF(AND(O325=0,O324&gt;0,(P$222-O$222)&gt;0),P$222-O$222,O325)</f>
        <v/>
      </c>
      <c r="Q325" s="73">
        <f>+IF(AND(P325=0,P324&gt;0,(Q$222-P$222)&gt;0),Q$222-P$222,P325)</f>
        <v/>
      </c>
      <c r="R325" s="1071">
        <f>+IF(AND(Q325=0,Q324&gt;0,(R$222-Q$222)&gt;0),R$222-Q$222,Q325)</f>
        <v/>
      </c>
      <c r="S325" s="73">
        <f>+IF(AND(R325=0,R324&gt;0,(S$222-R$222)&gt;0),S$222-R$222,R325)</f>
        <v/>
      </c>
      <c r="T325" s="73">
        <f>+IF(AND(S325=0,S324&gt;0,(T$222-S$222)&gt;0),T$222-S$222,S325)</f>
        <v/>
      </c>
      <c r="U325" s="73">
        <f>+IF(AND(T325=0,T324&gt;0,(U$222-T$222)&gt;0),U$222-T$222,T325)</f>
        <v/>
      </c>
      <c r="V325" s="73">
        <f>+IF(AND(U325=0,U324&gt;0,(V$222-U$222)&gt;0),V$222-U$222,U325)</f>
        <v/>
      </c>
      <c r="W325" s="73">
        <f>+IF(AND(V325=0,V324&gt;0,(W$222-V$222)&gt;0),W$222-V$222,V325)</f>
        <v/>
      </c>
      <c r="X325" s="1071">
        <f>+IF(AND(W325=0,W324&gt;0,(X$222-W$222)&gt;0),X$222-W$222,W325)</f>
        <v/>
      </c>
      <c r="Y325" s="73">
        <f>+IF(AND(X325=0,X324&gt;0,(Y$222-X$222)&gt;0),Y$222-X$222,X325)</f>
        <v/>
      </c>
      <c r="Z325" s="73">
        <f>+IF(AND(Y325=0,Y324&gt;0,(Z$222-Y$222)&gt;0),Z$222-Y$222,Y325)</f>
        <v/>
      </c>
      <c r="AA325" s="73">
        <f>+IF(AND(Z325=0,Z324&gt;0,(AA$222-Z$222)&gt;0),AA$222-Z$222,Z325)</f>
        <v/>
      </c>
      <c r="AB325" s="73">
        <f>+IF(AND(AA325=0,AA324&gt;0,(AB$222-AA$222)&gt;0),AB$222-AA$222,AA325)</f>
        <v/>
      </c>
      <c r="AC325" s="73">
        <f>+IF(AND(AB325=0,AB324&gt;0,(AC$222-AB$222)&gt;0),AC$222-AB$222,AB325)</f>
        <v/>
      </c>
      <c r="AD325" s="1071">
        <f>+IF(AND(AC325=0,AC324&gt;0,(AD$222-AC$222)&gt;0),AD$222-AC$222,AC325)</f>
        <v/>
      </c>
      <c r="AE325" s="73">
        <f>+IF(AND(AD325=0,AD324&gt;0,(AE$222-AD$222)&gt;0),AE$222-AD$222,AD325)</f>
        <v/>
      </c>
      <c r="AF325" s="73">
        <f>+IF(AND(AE325=0,AE324&gt;0,(AF$222-AE$222)&gt;0),AF$222-AE$222,AE325)</f>
        <v/>
      </c>
      <c r="AG325" s="73">
        <f>+IF(AND(AF325=0,AF324&gt;0,(AG$222-AF$222)&gt;0),AG$222-AF$222,AF325)</f>
        <v/>
      </c>
      <c r="AH325" s="73">
        <f>+IF(AND(AG325=0,AG324&gt;0,(AH$222-AG$222)&gt;0),AH$222-AG$222,AG325)</f>
        <v/>
      </c>
      <c r="AI325" s="73">
        <f>+IF(AND(AH325=0,AH324&gt;0,(AI$222-AH$222)&gt;0),AI$222-AH$222,AH325)</f>
        <v/>
      </c>
      <c r="AJ325" s="1071">
        <f>+IF(AND(AI325=0,AI324&gt;0,(AJ$222-AI$222)&gt;0),AJ$222-AI$222,AI325)</f>
        <v/>
      </c>
      <c r="AK325" s="73">
        <f>+IF(AND(AJ325=0,AJ324&gt;0,(AK$222-AJ$222)&gt;0),AK$222-AJ$222,AJ325)</f>
        <v/>
      </c>
      <c r="AL325" s="73">
        <f>+IF(AND(AK325=0,AK324&gt;0,(AL$222-AK$222)&gt;0),AL$222-AK$222,AK325)</f>
        <v/>
      </c>
      <c r="AM325" s="73">
        <f>+IF(AND(AL325=0,AL324&gt;0,(AM$222-AL$222)&gt;0),AM$222-AL$222,AL325)</f>
        <v/>
      </c>
      <c r="AN325" s="73">
        <f>+IF(AND(AM325=0,AM324&gt;0,(AN$222-AM$222)&gt;0),AN$222-AM$222,AM325)</f>
        <v/>
      </c>
      <c r="AO325" s="73">
        <f>+IF(AND(AN325=0,AN324&gt;0,(AO$222-AN$222)&gt;0),AO$222-AN$222,AN325)</f>
        <v/>
      </c>
      <c r="AP325" s="1071">
        <f>+IF(AND(AO325=0,AO324&gt;0,(AP$222-AO$222)&gt;0),AP$222-AO$222,AO325)</f>
        <v/>
      </c>
      <c r="AQ325" s="73">
        <f>+IF(AND(AP325=0,AP324&gt;0,(AQ$222-AP$222)&gt;0),AQ$222-AP$222,AP325)</f>
        <v/>
      </c>
      <c r="AR325" s="73">
        <f>+IF(AND(AQ325=0,AQ324&gt;0,(AR$222-AQ$222)&gt;0),AR$222-AQ$222,AQ325)</f>
        <v/>
      </c>
      <c r="AS325" s="73">
        <f>+IF(AND(AR325=0,AR324&gt;0,(AS$222-AR$222)&gt;0),AS$222-AR$222,AR325)</f>
        <v/>
      </c>
      <c r="AT325" s="73">
        <f>+IF(AND(AS325=0,AS324&gt;0,(AT$222-AS$222)&gt;0),AT$222-AS$222,AS325)</f>
        <v/>
      </c>
      <c r="AU325" s="73">
        <f>+IF(AND(AT325=0,AT324&gt;0,(AU$222-AT$222)&gt;0),AU$222-AT$222,AT325)</f>
        <v/>
      </c>
      <c r="AV325" s="1071">
        <f>+IF(AND(AU325=0,AU324&gt;0,(AV$222-AU$222)&gt;0),AV$222-AU$222,AU325)</f>
        <v/>
      </c>
      <c r="AW325" s="73">
        <f>+IF(AND(AV325=0,AV324&gt;0,(AW$222-AV$222)&gt;0),AW$222-AV$222,AV325)</f>
        <v/>
      </c>
      <c r="AX325" s="73">
        <f>+IF(AND(AW325=0,AW324&gt;0,(AX$222-AW$222)&gt;0),AX$222-AW$222,AW325)</f>
        <v/>
      </c>
      <c r="AY325" s="73">
        <f>+IF(AND(AX325=0,AX324&gt;0,(AY$222-AX$222)&gt;0),AY$222-AX$222,AX325)</f>
        <v/>
      </c>
      <c r="AZ325" s="73">
        <f>+IF(AND(AY325=0,AY324&gt;0,(AZ$222-AY$222)&gt;0),AZ$222-AY$222,AY325)</f>
        <v/>
      </c>
      <c r="BA325" s="73">
        <f>+IF(AND(AZ325=0,AZ324&gt;0,(BA$222-AZ$222)&gt;0),BA$222-AZ$222,AZ325)</f>
        <v/>
      </c>
      <c r="BB325" s="1071">
        <f>+IF(AND(BA325=0,BA324&gt;0,(BB$222-BA$222)&gt;0),BB$222-BA$222,BA325)</f>
        <v/>
      </c>
      <c r="BC325" s="73">
        <f>+IF(AND(BB325=0,BB324&gt;0,(BC$222-BB$222)&gt;0),BC$222-BB$222,BB325)</f>
        <v/>
      </c>
      <c r="BD325" s="73">
        <f>+IF(AND(BC325=0,BC324&gt;0,(BD$222-BC$222)&gt;0),BD$222-BC$222,BC325)</f>
        <v/>
      </c>
      <c r="BE325" s="73">
        <f>+IF(AND(BD325=0,BD324&gt;0,(BE$222-BD$222)&gt;0),BE$222-BD$222,BD325)</f>
        <v/>
      </c>
      <c r="BF325" s="73">
        <f>+IF(AND(BE325=0,BE324&gt;0,(BF$222-BE$222)&gt;0),BF$222-BE$222,BE325)</f>
        <v/>
      </c>
      <c r="BG325" s="73">
        <f>+IF(AND(BF325=0,BF324&gt;0,(BG$222-BF$222)&gt;0),BG$222-BF$222,BF325)</f>
        <v/>
      </c>
      <c r="BH325" s="1071">
        <f>+IF(AND(BG325=0,BG324&gt;0,(BH$222-BG$222)&gt;0),BH$222-BG$222,BG325)</f>
        <v/>
      </c>
      <c r="BI325" s="73">
        <f>+IF(AND(BH325=0,BH324&gt;0,(BI$222-BH$222)&gt;0),BI$222-BH$222,BH325)</f>
        <v/>
      </c>
      <c r="BJ325" s="73">
        <f>+IF(AND(BI325=0,BI324&gt;0,(BJ$222-BI$222)&gt;0),BJ$222-BI$222,BI325)</f>
        <v/>
      </c>
      <c r="BK325" s="73">
        <f>+IF(AND(BJ325=0,BJ324&gt;0,(BK$222-BJ$222)&gt;0),BK$222-BJ$222,BJ325)</f>
        <v/>
      </c>
      <c r="BL325" s="73">
        <f>+IF(AND(BK325=0,BK324&gt;0,(BL$222-BK$222)&gt;0),BL$222-BK$222,BK325)</f>
        <v/>
      </c>
      <c r="BM325" s="73">
        <f>+IF(AND(BL325=0,BL324&gt;0,(BM$222-BL$222)&gt;0),BM$222-BL$222,BL325)</f>
        <v/>
      </c>
      <c r="BN325" s="1071">
        <f>+IF(AND(BM325=0,BM324&gt;0,(BN$222-BM$222)&gt;0),BN$222-BM$222,BM325)</f>
        <v/>
      </c>
    </row>
    <row r="326" ht="12.75" customHeight="1" s="1883">
      <c r="C326" s="1155" t="inlineStr">
        <is>
          <t>Addition 12</t>
        </is>
      </c>
      <c r="D326" s="670" t="n"/>
      <c r="E326" s="671" t="n"/>
      <c r="F326" s="74" t="n"/>
      <c r="G326" s="73">
        <f>+IF(AND(F326=0,F325&gt;0,(G$222-F$222)&gt;0),G$222-F$222,F326)</f>
        <v/>
      </c>
      <c r="H326" s="73">
        <f>+IF(AND(G326=0,G325&gt;0,(H$222-G$222)&gt;0),H$222-G$222,G326)</f>
        <v/>
      </c>
      <c r="I326" s="73">
        <f>+IF(AND(H326=0,H325&gt;0,(I$222-H$222)&gt;0),I$222-H$222,H326)</f>
        <v/>
      </c>
      <c r="J326" s="73">
        <f>+IF(AND(I326=0,I325&gt;0,(J$222-I$222)&gt;0),J$222-I$222,I326)</f>
        <v/>
      </c>
      <c r="K326" s="73">
        <f>+IF(AND(J326=0,J325&gt;0,(K$222-J$222)&gt;0),K$222-J$222,J326)</f>
        <v/>
      </c>
      <c r="L326" s="1071">
        <f>+IF(AND(K326=0,K325&gt;0,(L$222-K$222)&gt;0),L$222-K$222,K326)</f>
        <v/>
      </c>
      <c r="M326" s="73">
        <f>+IF(AND(L326=0,L325&gt;0,(M$222-L$222)&gt;0),M$222-L$222,L326)</f>
        <v/>
      </c>
      <c r="N326" s="73">
        <f>+IF(AND(M326=0,M325&gt;0,(N$222-M$222)&gt;0),N$222-M$222,M326)</f>
        <v/>
      </c>
      <c r="O326" s="73">
        <f>+IF(AND(N326=0,N325&gt;0,(O$222-N$222)&gt;0),O$222-N$222,N326)</f>
        <v/>
      </c>
      <c r="P326" s="73">
        <f>+IF(AND(O326=0,O325&gt;0,(P$222-O$222)&gt;0),P$222-O$222,O326)</f>
        <v/>
      </c>
      <c r="Q326" s="73">
        <f>+IF(AND(P326=0,P325&gt;0,(Q$222-P$222)&gt;0),Q$222-P$222,P326)</f>
        <v/>
      </c>
      <c r="R326" s="1071">
        <f>+IF(AND(Q326=0,Q325&gt;0,(R$222-Q$222)&gt;0),R$222-Q$222,Q326)</f>
        <v/>
      </c>
      <c r="S326" s="73">
        <f>+IF(AND(R326=0,R325&gt;0,(S$222-R$222)&gt;0),S$222-R$222,R326)</f>
        <v/>
      </c>
      <c r="T326" s="73">
        <f>+IF(AND(S326=0,S325&gt;0,(T$222-S$222)&gt;0),T$222-S$222,S326)</f>
        <v/>
      </c>
      <c r="U326" s="73">
        <f>+IF(AND(T326=0,T325&gt;0,(U$222-T$222)&gt;0),U$222-T$222,T326)</f>
        <v/>
      </c>
      <c r="V326" s="73">
        <f>+IF(AND(U326=0,U325&gt;0,(V$222-U$222)&gt;0),V$222-U$222,U326)</f>
        <v/>
      </c>
      <c r="W326" s="73">
        <f>+IF(AND(V326=0,V325&gt;0,(W$222-V$222)&gt;0),W$222-V$222,V326)</f>
        <v/>
      </c>
      <c r="X326" s="1071">
        <f>+IF(AND(W326=0,W325&gt;0,(X$222-W$222)&gt;0),X$222-W$222,W326)</f>
        <v/>
      </c>
      <c r="Y326" s="73">
        <f>+IF(AND(X326=0,X325&gt;0,(Y$222-X$222)&gt;0),Y$222-X$222,X326)</f>
        <v/>
      </c>
      <c r="Z326" s="73">
        <f>+IF(AND(Y326=0,Y325&gt;0,(Z$222-Y$222)&gt;0),Z$222-Y$222,Y326)</f>
        <v/>
      </c>
      <c r="AA326" s="73">
        <f>+IF(AND(Z326=0,Z325&gt;0,(AA$222-Z$222)&gt;0),AA$222-Z$222,Z326)</f>
        <v/>
      </c>
      <c r="AB326" s="73">
        <f>+IF(AND(AA326=0,AA325&gt;0,(AB$222-AA$222)&gt;0),AB$222-AA$222,AA326)</f>
        <v/>
      </c>
      <c r="AC326" s="73">
        <f>+IF(AND(AB326=0,AB325&gt;0,(AC$222-AB$222)&gt;0),AC$222-AB$222,AB326)</f>
        <v/>
      </c>
      <c r="AD326" s="1071">
        <f>+IF(AND(AC326=0,AC325&gt;0,(AD$222-AC$222)&gt;0),AD$222-AC$222,AC326)</f>
        <v/>
      </c>
      <c r="AE326" s="73">
        <f>+IF(AND(AD326=0,AD325&gt;0,(AE$222-AD$222)&gt;0),AE$222-AD$222,AD326)</f>
        <v/>
      </c>
      <c r="AF326" s="73">
        <f>+IF(AND(AE326=0,AE325&gt;0,(AF$222-AE$222)&gt;0),AF$222-AE$222,AE326)</f>
        <v/>
      </c>
      <c r="AG326" s="73">
        <f>+IF(AND(AF326=0,AF325&gt;0,(AG$222-AF$222)&gt;0),AG$222-AF$222,AF326)</f>
        <v/>
      </c>
      <c r="AH326" s="73">
        <f>+IF(AND(AG326=0,AG325&gt;0,(AH$222-AG$222)&gt;0),AH$222-AG$222,AG326)</f>
        <v/>
      </c>
      <c r="AI326" s="73">
        <f>+IF(AND(AH326=0,AH325&gt;0,(AI$222-AH$222)&gt;0),AI$222-AH$222,AH326)</f>
        <v/>
      </c>
      <c r="AJ326" s="1071">
        <f>+IF(AND(AI326=0,AI325&gt;0,(AJ$222-AI$222)&gt;0),AJ$222-AI$222,AI326)</f>
        <v/>
      </c>
      <c r="AK326" s="73">
        <f>+IF(AND(AJ326=0,AJ325&gt;0,(AK$222-AJ$222)&gt;0),AK$222-AJ$222,AJ326)</f>
        <v/>
      </c>
      <c r="AL326" s="73">
        <f>+IF(AND(AK326=0,AK325&gt;0,(AL$222-AK$222)&gt;0),AL$222-AK$222,AK326)</f>
        <v/>
      </c>
      <c r="AM326" s="73">
        <f>+IF(AND(AL326=0,AL325&gt;0,(AM$222-AL$222)&gt;0),AM$222-AL$222,AL326)</f>
        <v/>
      </c>
      <c r="AN326" s="73">
        <f>+IF(AND(AM326=0,AM325&gt;0,(AN$222-AM$222)&gt;0),AN$222-AM$222,AM326)</f>
        <v/>
      </c>
      <c r="AO326" s="73">
        <f>+IF(AND(AN326=0,AN325&gt;0,(AO$222-AN$222)&gt;0),AO$222-AN$222,AN326)</f>
        <v/>
      </c>
      <c r="AP326" s="1071">
        <f>+IF(AND(AO326=0,AO325&gt;0,(AP$222-AO$222)&gt;0),AP$222-AO$222,AO326)</f>
        <v/>
      </c>
      <c r="AQ326" s="73">
        <f>+IF(AND(AP326=0,AP325&gt;0,(AQ$222-AP$222)&gt;0),AQ$222-AP$222,AP326)</f>
        <v/>
      </c>
      <c r="AR326" s="73">
        <f>+IF(AND(AQ326=0,AQ325&gt;0,(AR$222-AQ$222)&gt;0),AR$222-AQ$222,AQ326)</f>
        <v/>
      </c>
      <c r="AS326" s="73">
        <f>+IF(AND(AR326=0,AR325&gt;0,(AS$222-AR$222)&gt;0),AS$222-AR$222,AR326)</f>
        <v/>
      </c>
      <c r="AT326" s="73">
        <f>+IF(AND(AS326=0,AS325&gt;0,(AT$222-AS$222)&gt;0),AT$222-AS$222,AS326)</f>
        <v/>
      </c>
      <c r="AU326" s="73">
        <f>+IF(AND(AT326=0,AT325&gt;0,(AU$222-AT$222)&gt;0),AU$222-AT$222,AT326)</f>
        <v/>
      </c>
      <c r="AV326" s="1071">
        <f>+IF(AND(AU326=0,AU325&gt;0,(AV$222-AU$222)&gt;0),AV$222-AU$222,AU326)</f>
        <v/>
      </c>
      <c r="AW326" s="73">
        <f>+IF(AND(AV326=0,AV325&gt;0,(AW$222-AV$222)&gt;0),AW$222-AV$222,AV326)</f>
        <v/>
      </c>
      <c r="AX326" s="73">
        <f>+IF(AND(AW326=0,AW325&gt;0,(AX$222-AW$222)&gt;0),AX$222-AW$222,AW326)</f>
        <v/>
      </c>
      <c r="AY326" s="73">
        <f>+IF(AND(AX326=0,AX325&gt;0,(AY$222-AX$222)&gt;0),AY$222-AX$222,AX326)</f>
        <v/>
      </c>
      <c r="AZ326" s="73">
        <f>+IF(AND(AY326=0,AY325&gt;0,(AZ$222-AY$222)&gt;0),AZ$222-AY$222,AY326)</f>
        <v/>
      </c>
      <c r="BA326" s="73">
        <f>+IF(AND(AZ326=0,AZ325&gt;0,(BA$222-AZ$222)&gt;0),BA$222-AZ$222,AZ326)</f>
        <v/>
      </c>
      <c r="BB326" s="1071">
        <f>+IF(AND(BA326=0,BA325&gt;0,(BB$222-BA$222)&gt;0),BB$222-BA$222,BA326)</f>
        <v/>
      </c>
      <c r="BC326" s="73">
        <f>+IF(AND(BB326=0,BB325&gt;0,(BC$222-BB$222)&gt;0),BC$222-BB$222,BB326)</f>
        <v/>
      </c>
      <c r="BD326" s="73">
        <f>+IF(AND(BC326=0,BC325&gt;0,(BD$222-BC$222)&gt;0),BD$222-BC$222,BC326)</f>
        <v/>
      </c>
      <c r="BE326" s="73">
        <f>+IF(AND(BD326=0,BD325&gt;0,(BE$222-BD$222)&gt;0),BE$222-BD$222,BD326)</f>
        <v/>
      </c>
      <c r="BF326" s="73">
        <f>+IF(AND(BE326=0,BE325&gt;0,(BF$222-BE$222)&gt;0),BF$222-BE$222,BE326)</f>
        <v/>
      </c>
      <c r="BG326" s="73">
        <f>+IF(AND(BF326=0,BF325&gt;0,(BG$222-BF$222)&gt;0),BG$222-BF$222,BF326)</f>
        <v/>
      </c>
      <c r="BH326" s="1071">
        <f>+IF(AND(BG326=0,BG325&gt;0,(BH$222-BG$222)&gt;0),BH$222-BG$222,BG326)</f>
        <v/>
      </c>
      <c r="BI326" s="73">
        <f>+IF(AND(BH326=0,BH325&gt;0,(BI$222-BH$222)&gt;0),BI$222-BH$222,BH326)</f>
        <v/>
      </c>
      <c r="BJ326" s="73">
        <f>+IF(AND(BI326=0,BI325&gt;0,(BJ$222-BI$222)&gt;0),BJ$222-BI$222,BI326)</f>
        <v/>
      </c>
      <c r="BK326" s="73">
        <f>+IF(AND(BJ326=0,BJ325&gt;0,(BK$222-BJ$222)&gt;0),BK$222-BJ$222,BJ326)</f>
        <v/>
      </c>
      <c r="BL326" s="73">
        <f>+IF(AND(BK326=0,BK325&gt;0,(BL$222-BK$222)&gt;0),BL$222-BK$222,BK326)</f>
        <v/>
      </c>
      <c r="BM326" s="73">
        <f>+IF(AND(BL326=0,BL325&gt;0,(BM$222-BL$222)&gt;0),BM$222-BL$222,BL326)</f>
        <v/>
      </c>
      <c r="BN326" s="1071">
        <f>+IF(AND(BM326=0,BM325&gt;0,(BN$222-BM$222)&gt;0),BN$222-BM$222,BM326)</f>
        <v/>
      </c>
    </row>
    <row r="327" ht="12.75" customHeight="1" s="1883">
      <c r="C327" s="1155" t="inlineStr">
        <is>
          <t>Addition 13</t>
        </is>
      </c>
      <c r="D327" s="670" t="n"/>
      <c r="E327" s="671" t="n"/>
      <c r="F327" s="74" t="n"/>
      <c r="G327" s="73">
        <f>+IF(AND(F327=0,F326&gt;0,(G$222-F$222)&gt;0),G$222-F$222,F327)</f>
        <v/>
      </c>
      <c r="H327" s="73">
        <f>+IF(AND(G327=0,G326&gt;0,(H$222-G$222)&gt;0),H$222-G$222,G327)</f>
        <v/>
      </c>
      <c r="I327" s="73">
        <f>+IF(AND(H327=0,H326&gt;0,(I$222-H$222)&gt;0),I$222-H$222,H327)</f>
        <v/>
      </c>
      <c r="J327" s="73">
        <f>+IF(AND(I327=0,I326&gt;0,(J$222-I$222)&gt;0),J$222-I$222,I327)</f>
        <v/>
      </c>
      <c r="K327" s="73">
        <f>+IF(AND(J327=0,J326&gt;0,(K$222-J$222)&gt;0),K$222-J$222,J327)</f>
        <v/>
      </c>
      <c r="L327" s="1071">
        <f>+IF(AND(K327=0,K326&gt;0,(L$222-K$222)&gt;0),L$222-K$222,K327)</f>
        <v/>
      </c>
      <c r="M327" s="73">
        <f>+IF(AND(L327=0,L326&gt;0,(M$222-L$222)&gt;0),M$222-L$222,L327)</f>
        <v/>
      </c>
      <c r="N327" s="73">
        <f>+IF(AND(M327=0,M326&gt;0,(N$222-M$222)&gt;0),N$222-M$222,M327)</f>
        <v/>
      </c>
      <c r="O327" s="73">
        <f>+IF(AND(N327=0,N326&gt;0,(O$222-N$222)&gt;0),O$222-N$222,N327)</f>
        <v/>
      </c>
      <c r="P327" s="73">
        <f>+IF(AND(O327=0,O326&gt;0,(P$222-O$222)&gt;0),P$222-O$222,O327)</f>
        <v/>
      </c>
      <c r="Q327" s="73">
        <f>+IF(AND(P327=0,P326&gt;0,(Q$222-P$222)&gt;0),Q$222-P$222,P327)</f>
        <v/>
      </c>
      <c r="R327" s="1071">
        <f>+IF(AND(Q327=0,Q326&gt;0,(R$222-Q$222)&gt;0),R$222-Q$222,Q327)</f>
        <v/>
      </c>
      <c r="S327" s="73">
        <f>+IF(AND(R327=0,R326&gt;0,(S$222-R$222)&gt;0),S$222-R$222,R327)</f>
        <v/>
      </c>
      <c r="T327" s="73">
        <f>+IF(AND(S327=0,S326&gt;0,(T$222-S$222)&gt;0),T$222-S$222,S327)</f>
        <v/>
      </c>
      <c r="U327" s="73">
        <f>+IF(AND(T327=0,T326&gt;0,(U$222-T$222)&gt;0),U$222-T$222,T327)</f>
        <v/>
      </c>
      <c r="V327" s="73">
        <f>+IF(AND(U327=0,U326&gt;0,(V$222-U$222)&gt;0),V$222-U$222,U327)</f>
        <v/>
      </c>
      <c r="W327" s="73">
        <f>+IF(AND(V327=0,V326&gt;0,(W$222-V$222)&gt;0),W$222-V$222,V327)</f>
        <v/>
      </c>
      <c r="X327" s="1071">
        <f>+IF(AND(W327=0,W326&gt;0,(X$222-W$222)&gt;0),X$222-W$222,W327)</f>
        <v/>
      </c>
      <c r="Y327" s="73">
        <f>+IF(AND(X327=0,X326&gt;0,(Y$222-X$222)&gt;0),Y$222-X$222,X327)</f>
        <v/>
      </c>
      <c r="Z327" s="73">
        <f>+IF(AND(Y327=0,Y326&gt;0,(Z$222-Y$222)&gt;0),Z$222-Y$222,Y327)</f>
        <v/>
      </c>
      <c r="AA327" s="73">
        <f>+IF(AND(Z327=0,Z326&gt;0,(AA$222-Z$222)&gt;0),AA$222-Z$222,Z327)</f>
        <v/>
      </c>
      <c r="AB327" s="73">
        <f>+IF(AND(AA327=0,AA326&gt;0,(AB$222-AA$222)&gt;0),AB$222-AA$222,AA327)</f>
        <v/>
      </c>
      <c r="AC327" s="73">
        <f>+IF(AND(AB327=0,AB326&gt;0,(AC$222-AB$222)&gt;0),AC$222-AB$222,AB327)</f>
        <v/>
      </c>
      <c r="AD327" s="1071">
        <f>+IF(AND(AC327=0,AC326&gt;0,(AD$222-AC$222)&gt;0),AD$222-AC$222,AC327)</f>
        <v/>
      </c>
      <c r="AE327" s="73">
        <f>+IF(AND(AD327=0,AD326&gt;0,(AE$222-AD$222)&gt;0),AE$222-AD$222,AD327)</f>
        <v/>
      </c>
      <c r="AF327" s="73">
        <f>+IF(AND(AE327=0,AE326&gt;0,(AF$222-AE$222)&gt;0),AF$222-AE$222,AE327)</f>
        <v/>
      </c>
      <c r="AG327" s="73">
        <f>+IF(AND(AF327=0,AF326&gt;0,(AG$222-AF$222)&gt;0),AG$222-AF$222,AF327)</f>
        <v/>
      </c>
      <c r="AH327" s="73">
        <f>+IF(AND(AG327=0,AG326&gt;0,(AH$222-AG$222)&gt;0),AH$222-AG$222,AG327)</f>
        <v/>
      </c>
      <c r="AI327" s="73">
        <f>+IF(AND(AH327=0,AH326&gt;0,(AI$222-AH$222)&gt;0),AI$222-AH$222,AH327)</f>
        <v/>
      </c>
      <c r="AJ327" s="1071">
        <f>+IF(AND(AI327=0,AI326&gt;0,(AJ$222-AI$222)&gt;0),AJ$222-AI$222,AI327)</f>
        <v/>
      </c>
      <c r="AK327" s="73">
        <f>+IF(AND(AJ327=0,AJ326&gt;0,(AK$222-AJ$222)&gt;0),AK$222-AJ$222,AJ327)</f>
        <v/>
      </c>
      <c r="AL327" s="73">
        <f>+IF(AND(AK327=0,AK326&gt;0,(AL$222-AK$222)&gt;0),AL$222-AK$222,AK327)</f>
        <v/>
      </c>
      <c r="AM327" s="73">
        <f>+IF(AND(AL327=0,AL326&gt;0,(AM$222-AL$222)&gt;0),AM$222-AL$222,AL327)</f>
        <v/>
      </c>
      <c r="AN327" s="73">
        <f>+IF(AND(AM327=0,AM326&gt;0,(AN$222-AM$222)&gt;0),AN$222-AM$222,AM327)</f>
        <v/>
      </c>
      <c r="AO327" s="73">
        <f>+IF(AND(AN327=0,AN326&gt;0,(AO$222-AN$222)&gt;0),AO$222-AN$222,AN327)</f>
        <v/>
      </c>
      <c r="AP327" s="1071">
        <f>+IF(AND(AO327=0,AO326&gt;0,(AP$222-AO$222)&gt;0),AP$222-AO$222,AO327)</f>
        <v/>
      </c>
      <c r="AQ327" s="73">
        <f>+IF(AND(AP327=0,AP326&gt;0,(AQ$222-AP$222)&gt;0),AQ$222-AP$222,AP327)</f>
        <v/>
      </c>
      <c r="AR327" s="73">
        <f>+IF(AND(AQ327=0,AQ326&gt;0,(AR$222-AQ$222)&gt;0),AR$222-AQ$222,AQ327)</f>
        <v/>
      </c>
      <c r="AS327" s="73">
        <f>+IF(AND(AR327=0,AR326&gt;0,(AS$222-AR$222)&gt;0),AS$222-AR$222,AR327)</f>
        <v/>
      </c>
      <c r="AT327" s="73">
        <f>+IF(AND(AS327=0,AS326&gt;0,(AT$222-AS$222)&gt;0),AT$222-AS$222,AS327)</f>
        <v/>
      </c>
      <c r="AU327" s="73">
        <f>+IF(AND(AT327=0,AT326&gt;0,(AU$222-AT$222)&gt;0),AU$222-AT$222,AT327)</f>
        <v/>
      </c>
      <c r="AV327" s="1071">
        <f>+IF(AND(AU327=0,AU326&gt;0,(AV$222-AU$222)&gt;0),AV$222-AU$222,AU327)</f>
        <v/>
      </c>
      <c r="AW327" s="73">
        <f>+IF(AND(AV327=0,AV326&gt;0,(AW$222-AV$222)&gt;0),AW$222-AV$222,AV327)</f>
        <v/>
      </c>
      <c r="AX327" s="73">
        <f>+IF(AND(AW327=0,AW326&gt;0,(AX$222-AW$222)&gt;0),AX$222-AW$222,AW327)</f>
        <v/>
      </c>
      <c r="AY327" s="73">
        <f>+IF(AND(AX327=0,AX326&gt;0,(AY$222-AX$222)&gt;0),AY$222-AX$222,AX327)</f>
        <v/>
      </c>
      <c r="AZ327" s="73">
        <f>+IF(AND(AY327=0,AY326&gt;0,(AZ$222-AY$222)&gt;0),AZ$222-AY$222,AY327)</f>
        <v/>
      </c>
      <c r="BA327" s="73">
        <f>+IF(AND(AZ327=0,AZ326&gt;0,(BA$222-AZ$222)&gt;0),BA$222-AZ$222,AZ327)</f>
        <v/>
      </c>
      <c r="BB327" s="1071">
        <f>+IF(AND(BA327=0,BA326&gt;0,(BB$222-BA$222)&gt;0),BB$222-BA$222,BA327)</f>
        <v/>
      </c>
      <c r="BC327" s="73">
        <f>+IF(AND(BB327=0,BB326&gt;0,(BC$222-BB$222)&gt;0),BC$222-BB$222,BB327)</f>
        <v/>
      </c>
      <c r="BD327" s="73">
        <f>+IF(AND(BC327=0,BC326&gt;0,(BD$222-BC$222)&gt;0),BD$222-BC$222,BC327)</f>
        <v/>
      </c>
      <c r="BE327" s="73">
        <f>+IF(AND(BD327=0,BD326&gt;0,(BE$222-BD$222)&gt;0),BE$222-BD$222,BD327)</f>
        <v/>
      </c>
      <c r="BF327" s="73">
        <f>+IF(AND(BE327=0,BE326&gt;0,(BF$222-BE$222)&gt;0),BF$222-BE$222,BE327)</f>
        <v/>
      </c>
      <c r="BG327" s="73">
        <f>+IF(AND(BF327=0,BF326&gt;0,(BG$222-BF$222)&gt;0),BG$222-BF$222,BF327)</f>
        <v/>
      </c>
      <c r="BH327" s="1071">
        <f>+IF(AND(BG327=0,BG326&gt;0,(BH$222-BG$222)&gt;0),BH$222-BG$222,BG327)</f>
        <v/>
      </c>
      <c r="BI327" s="73">
        <f>+IF(AND(BH327=0,BH326&gt;0,(BI$222-BH$222)&gt;0),BI$222-BH$222,BH327)</f>
        <v/>
      </c>
      <c r="BJ327" s="73">
        <f>+IF(AND(BI327=0,BI326&gt;0,(BJ$222-BI$222)&gt;0),BJ$222-BI$222,BI327)</f>
        <v/>
      </c>
      <c r="BK327" s="73">
        <f>+IF(AND(BJ327=0,BJ326&gt;0,(BK$222-BJ$222)&gt;0),BK$222-BJ$222,BJ327)</f>
        <v/>
      </c>
      <c r="BL327" s="73">
        <f>+IF(AND(BK327=0,BK326&gt;0,(BL$222-BK$222)&gt;0),BL$222-BK$222,BK327)</f>
        <v/>
      </c>
      <c r="BM327" s="73">
        <f>+IF(AND(BL327=0,BL326&gt;0,(BM$222-BL$222)&gt;0),BM$222-BL$222,BL327)</f>
        <v/>
      </c>
      <c r="BN327" s="1071">
        <f>+IF(AND(BM327=0,BM326&gt;0,(BN$222-BM$222)&gt;0),BN$222-BM$222,BM327)</f>
        <v/>
      </c>
    </row>
    <row r="328" ht="12.75" customHeight="1" s="1883">
      <c r="C328" s="1155" t="inlineStr">
        <is>
          <t>Addition 14</t>
        </is>
      </c>
      <c r="D328" s="670" t="n"/>
      <c r="E328" s="671" t="n"/>
      <c r="F328" s="74" t="n"/>
      <c r="G328" s="73">
        <f>+IF(AND(F328=0,F327&gt;0,(G$222-F$222)&gt;0),G$222-F$222,F328)</f>
        <v/>
      </c>
      <c r="H328" s="73">
        <f>+IF(AND(G328=0,G327&gt;0,(H$222-G$222)&gt;0),H$222-G$222,G328)</f>
        <v/>
      </c>
      <c r="I328" s="73">
        <f>+IF(AND(H328=0,H327&gt;0,(I$222-H$222)&gt;0),I$222-H$222,H328)</f>
        <v/>
      </c>
      <c r="J328" s="73">
        <f>+IF(AND(I328=0,I327&gt;0,(J$222-I$222)&gt;0),J$222-I$222,I328)</f>
        <v/>
      </c>
      <c r="K328" s="73">
        <f>+IF(AND(J328=0,J327&gt;0,(K$222-J$222)&gt;0),K$222-J$222,J328)</f>
        <v/>
      </c>
      <c r="L328" s="1071">
        <f>+IF(AND(K328=0,K327&gt;0,(L$222-K$222)&gt;0),L$222-K$222,K328)</f>
        <v/>
      </c>
      <c r="M328" s="73">
        <f>+IF(AND(L328=0,L327&gt;0,(M$222-L$222)&gt;0),M$222-L$222,L328)</f>
        <v/>
      </c>
      <c r="N328" s="73">
        <f>+IF(AND(M328=0,M327&gt;0,(N$222-M$222)&gt;0),N$222-M$222,M328)</f>
        <v/>
      </c>
      <c r="O328" s="73">
        <f>+IF(AND(N328=0,N327&gt;0,(O$222-N$222)&gt;0),O$222-N$222,N328)</f>
        <v/>
      </c>
      <c r="P328" s="73">
        <f>+IF(AND(O328=0,O327&gt;0,(P$222-O$222)&gt;0),P$222-O$222,O328)</f>
        <v/>
      </c>
      <c r="Q328" s="73">
        <f>+IF(AND(P328=0,P327&gt;0,(Q$222-P$222)&gt;0),Q$222-P$222,P328)</f>
        <v/>
      </c>
      <c r="R328" s="1071">
        <f>+IF(AND(Q328=0,Q327&gt;0,(R$222-Q$222)&gt;0),R$222-Q$222,Q328)</f>
        <v/>
      </c>
      <c r="S328" s="73">
        <f>+IF(AND(R328=0,R327&gt;0,(S$222-R$222)&gt;0),S$222-R$222,R328)</f>
        <v/>
      </c>
      <c r="T328" s="73">
        <f>+IF(AND(S328=0,S327&gt;0,(T$222-S$222)&gt;0),T$222-S$222,S328)</f>
        <v/>
      </c>
      <c r="U328" s="73">
        <f>+IF(AND(T328=0,T327&gt;0,(U$222-T$222)&gt;0),U$222-T$222,T328)</f>
        <v/>
      </c>
      <c r="V328" s="73">
        <f>+IF(AND(U328=0,U327&gt;0,(V$222-U$222)&gt;0),V$222-U$222,U328)</f>
        <v/>
      </c>
      <c r="W328" s="73">
        <f>+IF(AND(V328=0,V327&gt;0,(W$222-V$222)&gt;0),W$222-V$222,V328)</f>
        <v/>
      </c>
      <c r="X328" s="1071">
        <f>+IF(AND(W328=0,W327&gt;0,(X$222-W$222)&gt;0),X$222-W$222,W328)</f>
        <v/>
      </c>
      <c r="Y328" s="73">
        <f>+IF(AND(X328=0,X327&gt;0,(Y$222-X$222)&gt;0),Y$222-X$222,X328)</f>
        <v/>
      </c>
      <c r="Z328" s="73">
        <f>+IF(AND(Y328=0,Y327&gt;0,(Z$222-Y$222)&gt;0),Z$222-Y$222,Y328)</f>
        <v/>
      </c>
      <c r="AA328" s="73">
        <f>+IF(AND(Z328=0,Z327&gt;0,(AA$222-Z$222)&gt;0),AA$222-Z$222,Z328)</f>
        <v/>
      </c>
      <c r="AB328" s="73">
        <f>+IF(AND(AA328=0,AA327&gt;0,(AB$222-AA$222)&gt;0),AB$222-AA$222,AA328)</f>
        <v/>
      </c>
      <c r="AC328" s="73">
        <f>+IF(AND(AB328=0,AB327&gt;0,(AC$222-AB$222)&gt;0),AC$222-AB$222,AB328)</f>
        <v/>
      </c>
      <c r="AD328" s="1071">
        <f>+IF(AND(AC328=0,AC327&gt;0,(AD$222-AC$222)&gt;0),AD$222-AC$222,AC328)</f>
        <v/>
      </c>
      <c r="AE328" s="73">
        <f>+IF(AND(AD328=0,AD327&gt;0,(AE$222-AD$222)&gt;0),AE$222-AD$222,AD328)</f>
        <v/>
      </c>
      <c r="AF328" s="73">
        <f>+IF(AND(AE328=0,AE327&gt;0,(AF$222-AE$222)&gt;0),AF$222-AE$222,AE328)</f>
        <v/>
      </c>
      <c r="AG328" s="73">
        <f>+IF(AND(AF328=0,AF327&gt;0,(AG$222-AF$222)&gt;0),AG$222-AF$222,AF328)</f>
        <v/>
      </c>
      <c r="AH328" s="73">
        <f>+IF(AND(AG328=0,AG327&gt;0,(AH$222-AG$222)&gt;0),AH$222-AG$222,AG328)</f>
        <v/>
      </c>
      <c r="AI328" s="73">
        <f>+IF(AND(AH328=0,AH327&gt;0,(AI$222-AH$222)&gt;0),AI$222-AH$222,AH328)</f>
        <v/>
      </c>
      <c r="AJ328" s="1071">
        <f>+IF(AND(AI328=0,AI327&gt;0,(AJ$222-AI$222)&gt;0),AJ$222-AI$222,AI328)</f>
        <v/>
      </c>
      <c r="AK328" s="73">
        <f>+IF(AND(AJ328=0,AJ327&gt;0,(AK$222-AJ$222)&gt;0),AK$222-AJ$222,AJ328)</f>
        <v/>
      </c>
      <c r="AL328" s="73">
        <f>+IF(AND(AK328=0,AK327&gt;0,(AL$222-AK$222)&gt;0),AL$222-AK$222,AK328)</f>
        <v/>
      </c>
      <c r="AM328" s="73">
        <f>+IF(AND(AL328=0,AL327&gt;0,(AM$222-AL$222)&gt;0),AM$222-AL$222,AL328)</f>
        <v/>
      </c>
      <c r="AN328" s="73">
        <f>+IF(AND(AM328=0,AM327&gt;0,(AN$222-AM$222)&gt;0),AN$222-AM$222,AM328)</f>
        <v/>
      </c>
      <c r="AO328" s="73">
        <f>+IF(AND(AN328=0,AN327&gt;0,(AO$222-AN$222)&gt;0),AO$222-AN$222,AN328)</f>
        <v/>
      </c>
      <c r="AP328" s="1071">
        <f>+IF(AND(AO328=0,AO327&gt;0,(AP$222-AO$222)&gt;0),AP$222-AO$222,AO328)</f>
        <v/>
      </c>
      <c r="AQ328" s="73">
        <f>+IF(AND(AP328=0,AP327&gt;0,(AQ$222-AP$222)&gt;0),AQ$222-AP$222,AP328)</f>
        <v/>
      </c>
      <c r="AR328" s="73">
        <f>+IF(AND(AQ328=0,AQ327&gt;0,(AR$222-AQ$222)&gt;0),AR$222-AQ$222,AQ328)</f>
        <v/>
      </c>
      <c r="AS328" s="73">
        <f>+IF(AND(AR328=0,AR327&gt;0,(AS$222-AR$222)&gt;0),AS$222-AR$222,AR328)</f>
        <v/>
      </c>
      <c r="AT328" s="73">
        <f>+IF(AND(AS328=0,AS327&gt;0,(AT$222-AS$222)&gt;0),AT$222-AS$222,AS328)</f>
        <v/>
      </c>
      <c r="AU328" s="73">
        <f>+IF(AND(AT328=0,AT327&gt;0,(AU$222-AT$222)&gt;0),AU$222-AT$222,AT328)</f>
        <v/>
      </c>
      <c r="AV328" s="1071">
        <f>+IF(AND(AU328=0,AU327&gt;0,(AV$222-AU$222)&gt;0),AV$222-AU$222,AU328)</f>
        <v/>
      </c>
      <c r="AW328" s="73">
        <f>+IF(AND(AV328=0,AV327&gt;0,(AW$222-AV$222)&gt;0),AW$222-AV$222,AV328)</f>
        <v/>
      </c>
      <c r="AX328" s="73">
        <f>+IF(AND(AW328=0,AW327&gt;0,(AX$222-AW$222)&gt;0),AX$222-AW$222,AW328)</f>
        <v/>
      </c>
      <c r="AY328" s="73">
        <f>+IF(AND(AX328=0,AX327&gt;0,(AY$222-AX$222)&gt;0),AY$222-AX$222,AX328)</f>
        <v/>
      </c>
      <c r="AZ328" s="73">
        <f>+IF(AND(AY328=0,AY327&gt;0,(AZ$222-AY$222)&gt;0),AZ$222-AY$222,AY328)</f>
        <v/>
      </c>
      <c r="BA328" s="73">
        <f>+IF(AND(AZ328=0,AZ327&gt;0,(BA$222-AZ$222)&gt;0),BA$222-AZ$222,AZ328)</f>
        <v/>
      </c>
      <c r="BB328" s="1071">
        <f>+IF(AND(BA328=0,BA327&gt;0,(BB$222-BA$222)&gt;0),BB$222-BA$222,BA328)</f>
        <v/>
      </c>
      <c r="BC328" s="73">
        <f>+IF(AND(BB328=0,BB327&gt;0,(BC$222-BB$222)&gt;0),BC$222-BB$222,BB328)</f>
        <v/>
      </c>
      <c r="BD328" s="73">
        <f>+IF(AND(BC328=0,BC327&gt;0,(BD$222-BC$222)&gt;0),BD$222-BC$222,BC328)</f>
        <v/>
      </c>
      <c r="BE328" s="73">
        <f>+IF(AND(BD328=0,BD327&gt;0,(BE$222-BD$222)&gt;0),BE$222-BD$222,BD328)</f>
        <v/>
      </c>
      <c r="BF328" s="73">
        <f>+IF(AND(BE328=0,BE327&gt;0,(BF$222-BE$222)&gt;0),BF$222-BE$222,BE328)</f>
        <v/>
      </c>
      <c r="BG328" s="73">
        <f>+IF(AND(BF328=0,BF327&gt;0,(BG$222-BF$222)&gt;0),BG$222-BF$222,BF328)</f>
        <v/>
      </c>
      <c r="BH328" s="1071">
        <f>+IF(AND(BG328=0,BG327&gt;0,(BH$222-BG$222)&gt;0),BH$222-BG$222,BG328)</f>
        <v/>
      </c>
      <c r="BI328" s="73">
        <f>+IF(AND(BH328=0,BH327&gt;0,(BI$222-BH$222)&gt;0),BI$222-BH$222,BH328)</f>
        <v/>
      </c>
      <c r="BJ328" s="73">
        <f>+IF(AND(BI328=0,BI327&gt;0,(BJ$222-BI$222)&gt;0),BJ$222-BI$222,BI328)</f>
        <v/>
      </c>
      <c r="BK328" s="73">
        <f>+IF(AND(BJ328=0,BJ327&gt;0,(BK$222-BJ$222)&gt;0),BK$222-BJ$222,BJ328)</f>
        <v/>
      </c>
      <c r="BL328" s="73">
        <f>+IF(AND(BK328=0,BK327&gt;0,(BL$222-BK$222)&gt;0),BL$222-BK$222,BK328)</f>
        <v/>
      </c>
      <c r="BM328" s="73">
        <f>+IF(AND(BL328=0,BL327&gt;0,(BM$222-BL$222)&gt;0),BM$222-BL$222,BL328)</f>
        <v/>
      </c>
      <c r="BN328" s="1071">
        <f>+IF(AND(BM328=0,BM327&gt;0,(BN$222-BM$222)&gt;0),BN$222-BM$222,BM328)</f>
        <v/>
      </c>
    </row>
    <row r="329" ht="12.75" customHeight="1" s="1883">
      <c r="C329" s="1155" t="inlineStr">
        <is>
          <t>Addition 15</t>
        </is>
      </c>
      <c r="D329" s="670" t="n"/>
      <c r="E329" s="671" t="n"/>
      <c r="F329" s="74" t="n"/>
      <c r="G329" s="73">
        <f>+IF(AND(F329=0,F328&gt;0,(G$222-F$222)&gt;0),G$222-F$222,F329)</f>
        <v/>
      </c>
      <c r="H329" s="73">
        <f>+IF(AND(G329=0,G328&gt;0,(H$222-G$222)&gt;0),H$222-G$222,G329)</f>
        <v/>
      </c>
      <c r="I329" s="73">
        <f>+IF(AND(H329=0,H328&gt;0,(I$222-H$222)&gt;0),I$222-H$222,H329)</f>
        <v/>
      </c>
      <c r="J329" s="73">
        <f>+IF(AND(I329=0,I328&gt;0,(J$222-I$222)&gt;0),J$222-I$222,I329)</f>
        <v/>
      </c>
      <c r="K329" s="73">
        <f>+IF(AND(J329=0,J328&gt;0,(K$222-J$222)&gt;0),K$222-J$222,J329)</f>
        <v/>
      </c>
      <c r="L329" s="1071">
        <f>+IF(AND(K329=0,K328&gt;0,(L$222-K$222)&gt;0),L$222-K$222,K329)</f>
        <v/>
      </c>
      <c r="M329" s="73">
        <f>+IF(AND(L329=0,L328&gt;0,(M$222-L$222)&gt;0),M$222-L$222,L329)</f>
        <v/>
      </c>
      <c r="N329" s="73">
        <f>+IF(AND(M329=0,M328&gt;0,(N$222-M$222)&gt;0),N$222-M$222,M329)</f>
        <v/>
      </c>
      <c r="O329" s="73">
        <f>+IF(AND(N329=0,N328&gt;0,(O$222-N$222)&gt;0),O$222-N$222,N329)</f>
        <v/>
      </c>
      <c r="P329" s="73">
        <f>+IF(AND(O329=0,O328&gt;0,(P$222-O$222)&gt;0),P$222-O$222,O329)</f>
        <v/>
      </c>
      <c r="Q329" s="73">
        <f>+IF(AND(P329=0,P328&gt;0,(Q$222-P$222)&gt;0),Q$222-P$222,P329)</f>
        <v/>
      </c>
      <c r="R329" s="1071">
        <f>+IF(AND(Q329=0,Q328&gt;0,(R$222-Q$222)&gt;0),R$222-Q$222,Q329)</f>
        <v/>
      </c>
      <c r="S329" s="73">
        <f>+IF(AND(R329=0,R328&gt;0,(S$222-R$222)&gt;0),S$222-R$222,R329)</f>
        <v/>
      </c>
      <c r="T329" s="73">
        <f>+IF(AND(S329=0,S328&gt;0,(T$222-S$222)&gt;0),T$222-S$222,S329)</f>
        <v/>
      </c>
      <c r="U329" s="73">
        <f>+IF(AND(T329=0,T328&gt;0,(U$222-T$222)&gt;0),U$222-T$222,T329)</f>
        <v/>
      </c>
      <c r="V329" s="73">
        <f>+IF(AND(U329=0,U328&gt;0,(V$222-U$222)&gt;0),V$222-U$222,U329)</f>
        <v/>
      </c>
      <c r="W329" s="73">
        <f>+IF(AND(V329=0,V328&gt;0,(W$222-V$222)&gt;0),W$222-V$222,V329)</f>
        <v/>
      </c>
      <c r="X329" s="1071">
        <f>+IF(AND(W329=0,W328&gt;0,(X$222-W$222)&gt;0),X$222-W$222,W329)</f>
        <v/>
      </c>
      <c r="Y329" s="73">
        <f>+IF(AND(X329=0,X328&gt;0,(Y$222-X$222)&gt;0),Y$222-X$222,X329)</f>
        <v/>
      </c>
      <c r="Z329" s="73">
        <f>+IF(AND(Y329=0,Y328&gt;0,(Z$222-Y$222)&gt;0),Z$222-Y$222,Y329)</f>
        <v/>
      </c>
      <c r="AA329" s="73">
        <f>+IF(AND(Z329=0,Z328&gt;0,(AA$222-Z$222)&gt;0),AA$222-Z$222,Z329)</f>
        <v/>
      </c>
      <c r="AB329" s="73">
        <f>+IF(AND(AA329=0,AA328&gt;0,(AB$222-AA$222)&gt;0),AB$222-AA$222,AA329)</f>
        <v/>
      </c>
      <c r="AC329" s="73">
        <f>+IF(AND(AB329=0,AB328&gt;0,(AC$222-AB$222)&gt;0),AC$222-AB$222,AB329)</f>
        <v/>
      </c>
      <c r="AD329" s="1071">
        <f>+IF(AND(AC329=0,AC328&gt;0,(AD$222-AC$222)&gt;0),AD$222-AC$222,AC329)</f>
        <v/>
      </c>
      <c r="AE329" s="73">
        <f>+IF(AND(AD329=0,AD328&gt;0,(AE$222-AD$222)&gt;0),AE$222-AD$222,AD329)</f>
        <v/>
      </c>
      <c r="AF329" s="73">
        <f>+IF(AND(AE329=0,AE328&gt;0,(AF$222-AE$222)&gt;0),AF$222-AE$222,AE329)</f>
        <v/>
      </c>
      <c r="AG329" s="73">
        <f>+IF(AND(AF329=0,AF328&gt;0,(AG$222-AF$222)&gt;0),AG$222-AF$222,AF329)</f>
        <v/>
      </c>
      <c r="AH329" s="73">
        <f>+IF(AND(AG329=0,AG328&gt;0,(AH$222-AG$222)&gt;0),AH$222-AG$222,AG329)</f>
        <v/>
      </c>
      <c r="AI329" s="73">
        <f>+IF(AND(AH329=0,AH328&gt;0,(AI$222-AH$222)&gt;0),AI$222-AH$222,AH329)</f>
        <v/>
      </c>
      <c r="AJ329" s="1071">
        <f>+IF(AND(AI329=0,AI328&gt;0,(AJ$222-AI$222)&gt;0),AJ$222-AI$222,AI329)</f>
        <v/>
      </c>
      <c r="AK329" s="73">
        <f>+IF(AND(AJ329=0,AJ328&gt;0,(AK$222-AJ$222)&gt;0),AK$222-AJ$222,AJ329)</f>
        <v/>
      </c>
      <c r="AL329" s="73">
        <f>+IF(AND(AK329=0,AK328&gt;0,(AL$222-AK$222)&gt;0),AL$222-AK$222,AK329)</f>
        <v/>
      </c>
      <c r="AM329" s="73">
        <f>+IF(AND(AL329=0,AL328&gt;0,(AM$222-AL$222)&gt;0),AM$222-AL$222,AL329)</f>
        <v/>
      </c>
      <c r="AN329" s="73">
        <f>+IF(AND(AM329=0,AM328&gt;0,(AN$222-AM$222)&gt;0),AN$222-AM$222,AM329)</f>
        <v/>
      </c>
      <c r="AO329" s="73">
        <f>+IF(AND(AN329=0,AN328&gt;0,(AO$222-AN$222)&gt;0),AO$222-AN$222,AN329)</f>
        <v/>
      </c>
      <c r="AP329" s="1071">
        <f>+IF(AND(AO329=0,AO328&gt;0,(AP$222-AO$222)&gt;0),AP$222-AO$222,AO329)</f>
        <v/>
      </c>
      <c r="AQ329" s="73">
        <f>+IF(AND(AP329=0,AP328&gt;0,(AQ$222-AP$222)&gt;0),AQ$222-AP$222,AP329)</f>
        <v/>
      </c>
      <c r="AR329" s="73">
        <f>+IF(AND(AQ329=0,AQ328&gt;0,(AR$222-AQ$222)&gt;0),AR$222-AQ$222,AQ329)</f>
        <v/>
      </c>
      <c r="AS329" s="73">
        <f>+IF(AND(AR329=0,AR328&gt;0,(AS$222-AR$222)&gt;0),AS$222-AR$222,AR329)</f>
        <v/>
      </c>
      <c r="AT329" s="73">
        <f>+IF(AND(AS329=0,AS328&gt;0,(AT$222-AS$222)&gt;0),AT$222-AS$222,AS329)</f>
        <v/>
      </c>
      <c r="AU329" s="73">
        <f>+IF(AND(AT329=0,AT328&gt;0,(AU$222-AT$222)&gt;0),AU$222-AT$222,AT329)</f>
        <v/>
      </c>
      <c r="AV329" s="1071">
        <f>+IF(AND(AU329=0,AU328&gt;0,(AV$222-AU$222)&gt;0),AV$222-AU$222,AU329)</f>
        <v/>
      </c>
      <c r="AW329" s="73">
        <f>+IF(AND(AV329=0,AV328&gt;0,(AW$222-AV$222)&gt;0),AW$222-AV$222,AV329)</f>
        <v/>
      </c>
      <c r="AX329" s="73">
        <f>+IF(AND(AW329=0,AW328&gt;0,(AX$222-AW$222)&gt;0),AX$222-AW$222,AW329)</f>
        <v/>
      </c>
      <c r="AY329" s="73">
        <f>+IF(AND(AX329=0,AX328&gt;0,(AY$222-AX$222)&gt;0),AY$222-AX$222,AX329)</f>
        <v/>
      </c>
      <c r="AZ329" s="73">
        <f>+IF(AND(AY329=0,AY328&gt;0,(AZ$222-AY$222)&gt;0),AZ$222-AY$222,AY329)</f>
        <v/>
      </c>
      <c r="BA329" s="73">
        <f>+IF(AND(AZ329=0,AZ328&gt;0,(BA$222-AZ$222)&gt;0),BA$222-AZ$222,AZ329)</f>
        <v/>
      </c>
      <c r="BB329" s="1071">
        <f>+IF(AND(BA329=0,BA328&gt;0,(BB$222-BA$222)&gt;0),BB$222-BA$222,BA329)</f>
        <v/>
      </c>
      <c r="BC329" s="73">
        <f>+IF(AND(BB329=0,BB328&gt;0,(BC$222-BB$222)&gt;0),BC$222-BB$222,BB329)</f>
        <v/>
      </c>
      <c r="BD329" s="73">
        <f>+IF(AND(BC329=0,BC328&gt;0,(BD$222-BC$222)&gt;0),BD$222-BC$222,BC329)</f>
        <v/>
      </c>
      <c r="BE329" s="73">
        <f>+IF(AND(BD329=0,BD328&gt;0,(BE$222-BD$222)&gt;0),BE$222-BD$222,BD329)</f>
        <v/>
      </c>
      <c r="BF329" s="73">
        <f>+IF(AND(BE329=0,BE328&gt;0,(BF$222-BE$222)&gt;0),BF$222-BE$222,BE329)</f>
        <v/>
      </c>
      <c r="BG329" s="73">
        <f>+IF(AND(BF329=0,BF328&gt;0,(BG$222-BF$222)&gt;0),BG$222-BF$222,BF329)</f>
        <v/>
      </c>
      <c r="BH329" s="1071">
        <f>+IF(AND(BG329=0,BG328&gt;0,(BH$222-BG$222)&gt;0),BH$222-BG$222,BG329)</f>
        <v/>
      </c>
      <c r="BI329" s="73">
        <f>+IF(AND(BH329=0,BH328&gt;0,(BI$222-BH$222)&gt;0),BI$222-BH$222,BH329)</f>
        <v/>
      </c>
      <c r="BJ329" s="73">
        <f>+IF(AND(BI329=0,BI328&gt;0,(BJ$222-BI$222)&gt;0),BJ$222-BI$222,BI329)</f>
        <v/>
      </c>
      <c r="BK329" s="73">
        <f>+IF(AND(BJ329=0,BJ328&gt;0,(BK$222-BJ$222)&gt;0),BK$222-BJ$222,BJ329)</f>
        <v/>
      </c>
      <c r="BL329" s="73">
        <f>+IF(AND(BK329=0,BK328&gt;0,(BL$222-BK$222)&gt;0),BL$222-BK$222,BK329)</f>
        <v/>
      </c>
      <c r="BM329" s="73">
        <f>+IF(AND(BL329=0,BL328&gt;0,(BM$222-BL$222)&gt;0),BM$222-BL$222,BL329)</f>
        <v/>
      </c>
      <c r="BN329" s="1071">
        <f>+IF(AND(BM329=0,BM328&gt;0,(BN$222-BM$222)&gt;0),BN$222-BM$222,BM329)</f>
        <v/>
      </c>
    </row>
    <row r="330" ht="12.75" customHeight="1" s="1883">
      <c r="C330" s="1155" t="inlineStr">
        <is>
          <t>Addition 16</t>
        </is>
      </c>
      <c r="D330" s="670" t="n"/>
      <c r="E330" s="671" t="n"/>
      <c r="F330" s="74" t="n"/>
      <c r="G330" s="73">
        <f>+IF(AND(F330=0,F329&gt;0,(G$222-F$222)&gt;0),G$222-F$222,F330)</f>
        <v/>
      </c>
      <c r="H330" s="73">
        <f>+IF(AND(G330=0,G329&gt;0,(H$222-G$222)&gt;0),H$222-G$222,G330)</f>
        <v/>
      </c>
      <c r="I330" s="73">
        <f>+IF(AND(H330=0,H329&gt;0,(I$222-H$222)&gt;0),I$222-H$222,H330)</f>
        <v/>
      </c>
      <c r="J330" s="73">
        <f>+IF(AND(I330=0,I329&gt;0,(J$222-I$222)&gt;0),J$222-I$222,I330)</f>
        <v/>
      </c>
      <c r="K330" s="73">
        <f>+IF(AND(J330=0,J329&gt;0,(K$222-J$222)&gt;0),K$222-J$222,J330)</f>
        <v/>
      </c>
      <c r="L330" s="1071">
        <f>+IF(AND(K330=0,K329&gt;0,(L$222-K$222)&gt;0),L$222-K$222,K330)</f>
        <v/>
      </c>
      <c r="M330" s="73">
        <f>+IF(AND(L330=0,L329&gt;0,(M$222-L$222)&gt;0),M$222-L$222,L330)</f>
        <v/>
      </c>
      <c r="N330" s="73">
        <f>+IF(AND(M330=0,M329&gt;0,(N$222-M$222)&gt;0),N$222-M$222,M330)</f>
        <v/>
      </c>
      <c r="O330" s="73">
        <f>+IF(AND(N330=0,N329&gt;0,(O$222-N$222)&gt;0),O$222-N$222,N330)</f>
        <v/>
      </c>
      <c r="P330" s="73">
        <f>+IF(AND(O330=0,O329&gt;0,(P$222-O$222)&gt;0),P$222-O$222,O330)</f>
        <v/>
      </c>
      <c r="Q330" s="73">
        <f>+IF(AND(P330=0,P329&gt;0,(Q$222-P$222)&gt;0),Q$222-P$222,P330)</f>
        <v/>
      </c>
      <c r="R330" s="1071">
        <f>+IF(AND(Q330=0,Q329&gt;0,(R$222-Q$222)&gt;0),R$222-Q$222,Q330)</f>
        <v/>
      </c>
      <c r="S330" s="73">
        <f>+IF(AND(R330=0,R329&gt;0,(S$222-R$222)&gt;0),S$222-R$222,R330)</f>
        <v/>
      </c>
      <c r="T330" s="73">
        <f>+IF(AND(S330=0,S329&gt;0,(T$222-S$222)&gt;0),T$222-S$222,S330)</f>
        <v/>
      </c>
      <c r="U330" s="73">
        <f>+IF(AND(T330=0,T329&gt;0,(U$222-T$222)&gt;0),U$222-T$222,T330)</f>
        <v/>
      </c>
      <c r="V330" s="73">
        <f>+IF(AND(U330=0,U329&gt;0,(V$222-U$222)&gt;0),V$222-U$222,U330)</f>
        <v/>
      </c>
      <c r="W330" s="73">
        <f>+IF(AND(V330=0,V329&gt;0,(W$222-V$222)&gt;0),W$222-V$222,V330)</f>
        <v/>
      </c>
      <c r="X330" s="1071">
        <f>+IF(AND(W330=0,W329&gt;0,(X$222-W$222)&gt;0),X$222-W$222,W330)</f>
        <v/>
      </c>
      <c r="Y330" s="73">
        <f>+IF(AND(X330=0,X329&gt;0,(Y$222-X$222)&gt;0),Y$222-X$222,X330)</f>
        <v/>
      </c>
      <c r="Z330" s="73">
        <f>+IF(AND(Y330=0,Y329&gt;0,(Z$222-Y$222)&gt;0),Z$222-Y$222,Y330)</f>
        <v/>
      </c>
      <c r="AA330" s="73">
        <f>+IF(AND(Z330=0,Z329&gt;0,(AA$222-Z$222)&gt;0),AA$222-Z$222,Z330)</f>
        <v/>
      </c>
      <c r="AB330" s="73">
        <f>+IF(AND(AA330=0,AA329&gt;0,(AB$222-AA$222)&gt;0),AB$222-AA$222,AA330)</f>
        <v/>
      </c>
      <c r="AC330" s="73">
        <f>+IF(AND(AB330=0,AB329&gt;0,(AC$222-AB$222)&gt;0),AC$222-AB$222,AB330)</f>
        <v/>
      </c>
      <c r="AD330" s="1071">
        <f>+IF(AND(AC330=0,AC329&gt;0,(AD$222-AC$222)&gt;0),AD$222-AC$222,AC330)</f>
        <v/>
      </c>
      <c r="AE330" s="73">
        <f>+IF(AND(AD330=0,AD329&gt;0,(AE$222-AD$222)&gt;0),AE$222-AD$222,AD330)</f>
        <v/>
      </c>
      <c r="AF330" s="73">
        <f>+IF(AND(AE330=0,AE329&gt;0,(AF$222-AE$222)&gt;0),AF$222-AE$222,AE330)</f>
        <v/>
      </c>
      <c r="AG330" s="73">
        <f>+IF(AND(AF330=0,AF329&gt;0,(AG$222-AF$222)&gt;0),AG$222-AF$222,AF330)</f>
        <v/>
      </c>
      <c r="AH330" s="73">
        <f>+IF(AND(AG330=0,AG329&gt;0,(AH$222-AG$222)&gt;0),AH$222-AG$222,AG330)</f>
        <v/>
      </c>
      <c r="AI330" s="73">
        <f>+IF(AND(AH330=0,AH329&gt;0,(AI$222-AH$222)&gt;0),AI$222-AH$222,AH330)</f>
        <v/>
      </c>
      <c r="AJ330" s="1071">
        <f>+IF(AND(AI330=0,AI329&gt;0,(AJ$222-AI$222)&gt;0),AJ$222-AI$222,AI330)</f>
        <v/>
      </c>
      <c r="AK330" s="73">
        <f>+IF(AND(AJ330=0,AJ329&gt;0,(AK$222-AJ$222)&gt;0),AK$222-AJ$222,AJ330)</f>
        <v/>
      </c>
      <c r="AL330" s="73">
        <f>+IF(AND(AK330=0,AK329&gt;0,(AL$222-AK$222)&gt;0),AL$222-AK$222,AK330)</f>
        <v/>
      </c>
      <c r="AM330" s="73">
        <f>+IF(AND(AL330=0,AL329&gt;0,(AM$222-AL$222)&gt;0),AM$222-AL$222,AL330)</f>
        <v/>
      </c>
      <c r="AN330" s="73">
        <f>+IF(AND(AM330=0,AM329&gt;0,(AN$222-AM$222)&gt;0),AN$222-AM$222,AM330)</f>
        <v/>
      </c>
      <c r="AO330" s="73">
        <f>+IF(AND(AN330=0,AN329&gt;0,(AO$222-AN$222)&gt;0),AO$222-AN$222,AN330)</f>
        <v/>
      </c>
      <c r="AP330" s="1071">
        <f>+IF(AND(AO330=0,AO329&gt;0,(AP$222-AO$222)&gt;0),AP$222-AO$222,AO330)</f>
        <v/>
      </c>
      <c r="AQ330" s="73">
        <f>+IF(AND(AP330=0,AP329&gt;0,(AQ$222-AP$222)&gt;0),AQ$222-AP$222,AP330)</f>
        <v/>
      </c>
      <c r="AR330" s="73">
        <f>+IF(AND(AQ330=0,AQ329&gt;0,(AR$222-AQ$222)&gt;0),AR$222-AQ$222,AQ330)</f>
        <v/>
      </c>
      <c r="AS330" s="73">
        <f>+IF(AND(AR330=0,AR329&gt;0,(AS$222-AR$222)&gt;0),AS$222-AR$222,AR330)</f>
        <v/>
      </c>
      <c r="AT330" s="73">
        <f>+IF(AND(AS330=0,AS329&gt;0,(AT$222-AS$222)&gt;0),AT$222-AS$222,AS330)</f>
        <v/>
      </c>
      <c r="AU330" s="73">
        <f>+IF(AND(AT330=0,AT329&gt;0,(AU$222-AT$222)&gt;0),AU$222-AT$222,AT330)</f>
        <v/>
      </c>
      <c r="AV330" s="1071">
        <f>+IF(AND(AU330=0,AU329&gt;0,(AV$222-AU$222)&gt;0),AV$222-AU$222,AU330)</f>
        <v/>
      </c>
      <c r="AW330" s="73">
        <f>+IF(AND(AV330=0,AV329&gt;0,(AW$222-AV$222)&gt;0),AW$222-AV$222,AV330)</f>
        <v/>
      </c>
      <c r="AX330" s="73">
        <f>+IF(AND(AW330=0,AW329&gt;0,(AX$222-AW$222)&gt;0),AX$222-AW$222,AW330)</f>
        <v/>
      </c>
      <c r="AY330" s="73">
        <f>+IF(AND(AX330=0,AX329&gt;0,(AY$222-AX$222)&gt;0),AY$222-AX$222,AX330)</f>
        <v/>
      </c>
      <c r="AZ330" s="73">
        <f>+IF(AND(AY330=0,AY329&gt;0,(AZ$222-AY$222)&gt;0),AZ$222-AY$222,AY330)</f>
        <v/>
      </c>
      <c r="BA330" s="73">
        <f>+IF(AND(AZ330=0,AZ329&gt;0,(BA$222-AZ$222)&gt;0),BA$222-AZ$222,AZ330)</f>
        <v/>
      </c>
      <c r="BB330" s="1071">
        <f>+IF(AND(BA330=0,BA329&gt;0,(BB$222-BA$222)&gt;0),BB$222-BA$222,BA330)</f>
        <v/>
      </c>
      <c r="BC330" s="73">
        <f>+IF(AND(BB330=0,BB329&gt;0,(BC$222-BB$222)&gt;0),BC$222-BB$222,BB330)</f>
        <v/>
      </c>
      <c r="BD330" s="73">
        <f>+IF(AND(BC330=0,BC329&gt;0,(BD$222-BC$222)&gt;0),BD$222-BC$222,BC330)</f>
        <v/>
      </c>
      <c r="BE330" s="73">
        <f>+IF(AND(BD330=0,BD329&gt;0,(BE$222-BD$222)&gt;0),BE$222-BD$222,BD330)</f>
        <v/>
      </c>
      <c r="BF330" s="73">
        <f>+IF(AND(BE330=0,BE329&gt;0,(BF$222-BE$222)&gt;0),BF$222-BE$222,BE330)</f>
        <v/>
      </c>
      <c r="BG330" s="73">
        <f>+IF(AND(BF330=0,BF329&gt;0,(BG$222-BF$222)&gt;0),BG$222-BF$222,BF330)</f>
        <v/>
      </c>
      <c r="BH330" s="1071">
        <f>+IF(AND(BG330=0,BG329&gt;0,(BH$222-BG$222)&gt;0),BH$222-BG$222,BG330)</f>
        <v/>
      </c>
      <c r="BI330" s="73">
        <f>+IF(AND(BH330=0,BH329&gt;0,(BI$222-BH$222)&gt;0),BI$222-BH$222,BH330)</f>
        <v/>
      </c>
      <c r="BJ330" s="73">
        <f>+IF(AND(BI330=0,BI329&gt;0,(BJ$222-BI$222)&gt;0),BJ$222-BI$222,BI330)</f>
        <v/>
      </c>
      <c r="BK330" s="73">
        <f>+IF(AND(BJ330=0,BJ329&gt;0,(BK$222-BJ$222)&gt;0),BK$222-BJ$222,BJ330)</f>
        <v/>
      </c>
      <c r="BL330" s="73">
        <f>+IF(AND(BK330=0,BK329&gt;0,(BL$222-BK$222)&gt;0),BL$222-BK$222,BK330)</f>
        <v/>
      </c>
      <c r="BM330" s="73">
        <f>+IF(AND(BL330=0,BL329&gt;0,(BM$222-BL$222)&gt;0),BM$222-BL$222,BL330)</f>
        <v/>
      </c>
      <c r="BN330" s="1071">
        <f>+IF(AND(BM330=0,BM329&gt;0,(BN$222-BM$222)&gt;0),BN$222-BM$222,BM330)</f>
        <v/>
      </c>
    </row>
    <row r="331" ht="12.75" customHeight="1" s="1883">
      <c r="C331" s="1155" t="inlineStr">
        <is>
          <t>Addition 17</t>
        </is>
      </c>
      <c r="D331" s="670" t="n"/>
      <c r="E331" s="671" t="n"/>
      <c r="F331" s="74" t="n"/>
      <c r="G331" s="73">
        <f>+IF(AND(F331=0,F330&gt;0,(G$222-F$222)&gt;0),G$222-F$222,F331)</f>
        <v/>
      </c>
      <c r="H331" s="73">
        <f>+IF(AND(G331=0,G330&gt;0,(H$222-G$222)&gt;0),H$222-G$222,G331)</f>
        <v/>
      </c>
      <c r="I331" s="73">
        <f>+IF(AND(H331=0,H330&gt;0,(I$222-H$222)&gt;0),I$222-H$222,H331)</f>
        <v/>
      </c>
      <c r="J331" s="73">
        <f>+IF(AND(I331=0,I330&gt;0,(J$222-I$222)&gt;0),J$222-I$222,I331)</f>
        <v/>
      </c>
      <c r="K331" s="73">
        <f>+IF(AND(J331=0,J330&gt;0,(K$222-J$222)&gt;0),K$222-J$222,J331)</f>
        <v/>
      </c>
      <c r="L331" s="1071">
        <f>+IF(AND(K331=0,K330&gt;0,(L$222-K$222)&gt;0),L$222-K$222,K331)</f>
        <v/>
      </c>
      <c r="M331" s="73">
        <f>+IF(AND(L331=0,L330&gt;0,(M$222-L$222)&gt;0),M$222-L$222,L331)</f>
        <v/>
      </c>
      <c r="N331" s="73">
        <f>+IF(AND(M331=0,M330&gt;0,(N$222-M$222)&gt;0),N$222-M$222,M331)</f>
        <v/>
      </c>
      <c r="O331" s="73">
        <f>+IF(AND(N331=0,N330&gt;0,(O$222-N$222)&gt;0),O$222-N$222,N331)</f>
        <v/>
      </c>
      <c r="P331" s="73">
        <f>+IF(AND(O331=0,O330&gt;0,(P$222-O$222)&gt;0),P$222-O$222,O331)</f>
        <v/>
      </c>
      <c r="Q331" s="73">
        <f>+IF(AND(P331=0,P330&gt;0,(Q$222-P$222)&gt;0),Q$222-P$222,P331)</f>
        <v/>
      </c>
      <c r="R331" s="1071">
        <f>+IF(AND(Q331=0,Q330&gt;0,(R$222-Q$222)&gt;0),R$222-Q$222,Q331)</f>
        <v/>
      </c>
      <c r="S331" s="73">
        <f>+IF(AND(R331=0,R330&gt;0,(S$222-R$222)&gt;0),S$222-R$222,R331)</f>
        <v/>
      </c>
      <c r="T331" s="73">
        <f>+IF(AND(S331=0,S330&gt;0,(T$222-S$222)&gt;0),T$222-S$222,S331)</f>
        <v/>
      </c>
      <c r="U331" s="73">
        <f>+IF(AND(T331=0,T330&gt;0,(U$222-T$222)&gt;0),U$222-T$222,T331)</f>
        <v/>
      </c>
      <c r="V331" s="73">
        <f>+IF(AND(U331=0,U330&gt;0,(V$222-U$222)&gt;0),V$222-U$222,U331)</f>
        <v/>
      </c>
      <c r="W331" s="73">
        <f>+IF(AND(V331=0,V330&gt;0,(W$222-V$222)&gt;0),W$222-V$222,V331)</f>
        <v/>
      </c>
      <c r="X331" s="1071">
        <f>+IF(AND(W331=0,W330&gt;0,(X$222-W$222)&gt;0),X$222-W$222,W331)</f>
        <v/>
      </c>
      <c r="Y331" s="73">
        <f>+IF(AND(X331=0,X330&gt;0,(Y$222-X$222)&gt;0),Y$222-X$222,X331)</f>
        <v/>
      </c>
      <c r="Z331" s="73">
        <f>+IF(AND(Y331=0,Y330&gt;0,(Z$222-Y$222)&gt;0),Z$222-Y$222,Y331)</f>
        <v/>
      </c>
      <c r="AA331" s="73">
        <f>+IF(AND(Z331=0,Z330&gt;0,(AA$222-Z$222)&gt;0),AA$222-Z$222,Z331)</f>
        <v/>
      </c>
      <c r="AB331" s="73">
        <f>+IF(AND(AA331=0,AA330&gt;0,(AB$222-AA$222)&gt;0),AB$222-AA$222,AA331)</f>
        <v/>
      </c>
      <c r="AC331" s="73">
        <f>+IF(AND(AB331=0,AB330&gt;0,(AC$222-AB$222)&gt;0),AC$222-AB$222,AB331)</f>
        <v/>
      </c>
      <c r="AD331" s="1071">
        <f>+IF(AND(AC331=0,AC330&gt;0,(AD$222-AC$222)&gt;0),AD$222-AC$222,AC331)</f>
        <v/>
      </c>
      <c r="AE331" s="73">
        <f>+IF(AND(AD331=0,AD330&gt;0,(AE$222-AD$222)&gt;0),AE$222-AD$222,AD331)</f>
        <v/>
      </c>
      <c r="AF331" s="73">
        <f>+IF(AND(AE331=0,AE330&gt;0,(AF$222-AE$222)&gt;0),AF$222-AE$222,AE331)</f>
        <v/>
      </c>
      <c r="AG331" s="73">
        <f>+IF(AND(AF331=0,AF330&gt;0,(AG$222-AF$222)&gt;0),AG$222-AF$222,AF331)</f>
        <v/>
      </c>
      <c r="AH331" s="73">
        <f>+IF(AND(AG331=0,AG330&gt;0,(AH$222-AG$222)&gt;0),AH$222-AG$222,AG331)</f>
        <v/>
      </c>
      <c r="AI331" s="73">
        <f>+IF(AND(AH331=0,AH330&gt;0,(AI$222-AH$222)&gt;0),AI$222-AH$222,AH331)</f>
        <v/>
      </c>
      <c r="AJ331" s="1071">
        <f>+IF(AND(AI331=0,AI330&gt;0,(AJ$222-AI$222)&gt;0),AJ$222-AI$222,AI331)</f>
        <v/>
      </c>
      <c r="AK331" s="73">
        <f>+IF(AND(AJ331=0,AJ330&gt;0,(AK$222-AJ$222)&gt;0),AK$222-AJ$222,AJ331)</f>
        <v/>
      </c>
      <c r="AL331" s="73">
        <f>+IF(AND(AK331=0,AK330&gt;0,(AL$222-AK$222)&gt;0),AL$222-AK$222,AK331)</f>
        <v/>
      </c>
      <c r="AM331" s="73">
        <f>+IF(AND(AL331=0,AL330&gt;0,(AM$222-AL$222)&gt;0),AM$222-AL$222,AL331)</f>
        <v/>
      </c>
      <c r="AN331" s="73">
        <f>+IF(AND(AM331=0,AM330&gt;0,(AN$222-AM$222)&gt;0),AN$222-AM$222,AM331)</f>
        <v/>
      </c>
      <c r="AO331" s="73">
        <f>+IF(AND(AN331=0,AN330&gt;0,(AO$222-AN$222)&gt;0),AO$222-AN$222,AN331)</f>
        <v/>
      </c>
      <c r="AP331" s="1071">
        <f>+IF(AND(AO331=0,AO330&gt;0,(AP$222-AO$222)&gt;0),AP$222-AO$222,AO331)</f>
        <v/>
      </c>
      <c r="AQ331" s="73">
        <f>+IF(AND(AP331=0,AP330&gt;0,(AQ$222-AP$222)&gt;0),AQ$222-AP$222,AP331)</f>
        <v/>
      </c>
      <c r="AR331" s="73">
        <f>+IF(AND(AQ331=0,AQ330&gt;0,(AR$222-AQ$222)&gt;0),AR$222-AQ$222,AQ331)</f>
        <v/>
      </c>
      <c r="AS331" s="73">
        <f>+IF(AND(AR331=0,AR330&gt;0,(AS$222-AR$222)&gt;0),AS$222-AR$222,AR331)</f>
        <v/>
      </c>
      <c r="AT331" s="73">
        <f>+IF(AND(AS331=0,AS330&gt;0,(AT$222-AS$222)&gt;0),AT$222-AS$222,AS331)</f>
        <v/>
      </c>
      <c r="AU331" s="73">
        <f>+IF(AND(AT331=0,AT330&gt;0,(AU$222-AT$222)&gt;0),AU$222-AT$222,AT331)</f>
        <v/>
      </c>
      <c r="AV331" s="1071">
        <f>+IF(AND(AU331=0,AU330&gt;0,(AV$222-AU$222)&gt;0),AV$222-AU$222,AU331)</f>
        <v/>
      </c>
      <c r="AW331" s="73">
        <f>+IF(AND(AV331=0,AV330&gt;0,(AW$222-AV$222)&gt;0),AW$222-AV$222,AV331)</f>
        <v/>
      </c>
      <c r="AX331" s="73">
        <f>+IF(AND(AW331=0,AW330&gt;0,(AX$222-AW$222)&gt;0),AX$222-AW$222,AW331)</f>
        <v/>
      </c>
      <c r="AY331" s="73">
        <f>+IF(AND(AX331=0,AX330&gt;0,(AY$222-AX$222)&gt;0),AY$222-AX$222,AX331)</f>
        <v/>
      </c>
      <c r="AZ331" s="73">
        <f>+IF(AND(AY331=0,AY330&gt;0,(AZ$222-AY$222)&gt;0),AZ$222-AY$222,AY331)</f>
        <v/>
      </c>
      <c r="BA331" s="73">
        <f>+IF(AND(AZ331=0,AZ330&gt;0,(BA$222-AZ$222)&gt;0),BA$222-AZ$222,AZ331)</f>
        <v/>
      </c>
      <c r="BB331" s="1071">
        <f>+IF(AND(BA331=0,BA330&gt;0,(BB$222-BA$222)&gt;0),BB$222-BA$222,BA331)</f>
        <v/>
      </c>
      <c r="BC331" s="73">
        <f>+IF(AND(BB331=0,BB330&gt;0,(BC$222-BB$222)&gt;0),BC$222-BB$222,BB331)</f>
        <v/>
      </c>
      <c r="BD331" s="73">
        <f>+IF(AND(BC331=0,BC330&gt;0,(BD$222-BC$222)&gt;0),BD$222-BC$222,BC331)</f>
        <v/>
      </c>
      <c r="BE331" s="73">
        <f>+IF(AND(BD331=0,BD330&gt;0,(BE$222-BD$222)&gt;0),BE$222-BD$222,BD331)</f>
        <v/>
      </c>
      <c r="BF331" s="73">
        <f>+IF(AND(BE331=0,BE330&gt;0,(BF$222-BE$222)&gt;0),BF$222-BE$222,BE331)</f>
        <v/>
      </c>
      <c r="BG331" s="73">
        <f>+IF(AND(BF331=0,BF330&gt;0,(BG$222-BF$222)&gt;0),BG$222-BF$222,BF331)</f>
        <v/>
      </c>
      <c r="BH331" s="1071">
        <f>+IF(AND(BG331=0,BG330&gt;0,(BH$222-BG$222)&gt;0),BH$222-BG$222,BG331)</f>
        <v/>
      </c>
      <c r="BI331" s="73">
        <f>+IF(AND(BH331=0,BH330&gt;0,(BI$222-BH$222)&gt;0),BI$222-BH$222,BH331)</f>
        <v/>
      </c>
      <c r="BJ331" s="73">
        <f>+IF(AND(BI331=0,BI330&gt;0,(BJ$222-BI$222)&gt;0),BJ$222-BI$222,BI331)</f>
        <v/>
      </c>
      <c r="BK331" s="73">
        <f>+IF(AND(BJ331=0,BJ330&gt;0,(BK$222-BJ$222)&gt;0),BK$222-BJ$222,BJ331)</f>
        <v/>
      </c>
      <c r="BL331" s="73">
        <f>+IF(AND(BK331=0,BK330&gt;0,(BL$222-BK$222)&gt;0),BL$222-BK$222,BK331)</f>
        <v/>
      </c>
      <c r="BM331" s="73">
        <f>+IF(AND(BL331=0,BL330&gt;0,(BM$222-BL$222)&gt;0),BM$222-BL$222,BL331)</f>
        <v/>
      </c>
      <c r="BN331" s="1071">
        <f>+IF(AND(BM331=0,BM330&gt;0,(BN$222-BM$222)&gt;0),BN$222-BM$222,BM331)</f>
        <v/>
      </c>
    </row>
    <row r="332" ht="12.75" customHeight="1" s="1883">
      <c r="C332" s="1155" t="inlineStr">
        <is>
          <t>Addition 18</t>
        </is>
      </c>
      <c r="D332" s="670" t="n"/>
      <c r="E332" s="671" t="n"/>
      <c r="F332" s="74" t="n"/>
      <c r="G332" s="73">
        <f>+IF(AND(F332=0,F331&gt;0,(G$222-F$222)&gt;0),G$222-F$222,F332)</f>
        <v/>
      </c>
      <c r="H332" s="73">
        <f>+IF(AND(G332=0,G331&gt;0,(H$222-G$222)&gt;0),H$222-G$222,G332)</f>
        <v/>
      </c>
      <c r="I332" s="73">
        <f>+IF(AND(H332=0,H331&gt;0,(I$222-H$222)&gt;0),I$222-H$222,H332)</f>
        <v/>
      </c>
      <c r="J332" s="73">
        <f>+IF(AND(I332=0,I331&gt;0,(J$222-I$222)&gt;0),J$222-I$222,I332)</f>
        <v/>
      </c>
      <c r="K332" s="73">
        <f>+IF(AND(J332=0,J331&gt;0,(K$222-J$222)&gt;0),K$222-J$222,J332)</f>
        <v/>
      </c>
      <c r="L332" s="1071">
        <f>+IF(AND(K332=0,K331&gt;0,(L$222-K$222)&gt;0),L$222-K$222,K332)</f>
        <v/>
      </c>
      <c r="M332" s="73">
        <f>+IF(AND(L332=0,L331&gt;0,(M$222-L$222)&gt;0),M$222-L$222,L332)</f>
        <v/>
      </c>
      <c r="N332" s="73">
        <f>+IF(AND(M332=0,M331&gt;0,(N$222-M$222)&gt;0),N$222-M$222,M332)</f>
        <v/>
      </c>
      <c r="O332" s="73">
        <f>+IF(AND(N332=0,N331&gt;0,(O$222-N$222)&gt;0),O$222-N$222,N332)</f>
        <v/>
      </c>
      <c r="P332" s="73">
        <f>+IF(AND(O332=0,O331&gt;0,(P$222-O$222)&gt;0),P$222-O$222,O332)</f>
        <v/>
      </c>
      <c r="Q332" s="73">
        <f>+IF(AND(P332=0,P331&gt;0,(Q$222-P$222)&gt;0),Q$222-P$222,P332)</f>
        <v/>
      </c>
      <c r="R332" s="1071">
        <f>+IF(AND(Q332=0,Q331&gt;0,(R$222-Q$222)&gt;0),R$222-Q$222,Q332)</f>
        <v/>
      </c>
      <c r="S332" s="73">
        <f>+IF(AND(R332=0,R331&gt;0,(S$222-R$222)&gt;0),S$222-R$222,R332)</f>
        <v/>
      </c>
      <c r="T332" s="73">
        <f>+IF(AND(S332=0,S331&gt;0,(T$222-S$222)&gt;0),T$222-S$222,S332)</f>
        <v/>
      </c>
      <c r="U332" s="73">
        <f>+IF(AND(T332=0,T331&gt;0,(U$222-T$222)&gt;0),U$222-T$222,T332)</f>
        <v/>
      </c>
      <c r="V332" s="73">
        <f>+IF(AND(U332=0,U331&gt;0,(V$222-U$222)&gt;0),V$222-U$222,U332)</f>
        <v/>
      </c>
      <c r="W332" s="73">
        <f>+IF(AND(V332=0,V331&gt;0,(W$222-V$222)&gt;0),W$222-V$222,V332)</f>
        <v/>
      </c>
      <c r="X332" s="1071">
        <f>+IF(AND(W332=0,W331&gt;0,(X$222-W$222)&gt;0),X$222-W$222,W332)</f>
        <v/>
      </c>
      <c r="Y332" s="73">
        <f>+IF(AND(X332=0,X331&gt;0,(Y$222-X$222)&gt;0),Y$222-X$222,X332)</f>
        <v/>
      </c>
      <c r="Z332" s="73">
        <f>+IF(AND(Y332=0,Y331&gt;0,(Z$222-Y$222)&gt;0),Z$222-Y$222,Y332)</f>
        <v/>
      </c>
      <c r="AA332" s="73">
        <f>+IF(AND(Z332=0,Z331&gt;0,(AA$222-Z$222)&gt;0),AA$222-Z$222,Z332)</f>
        <v/>
      </c>
      <c r="AB332" s="73">
        <f>+IF(AND(AA332=0,AA331&gt;0,(AB$222-AA$222)&gt;0),AB$222-AA$222,AA332)</f>
        <v/>
      </c>
      <c r="AC332" s="73">
        <f>+IF(AND(AB332=0,AB331&gt;0,(AC$222-AB$222)&gt;0),AC$222-AB$222,AB332)</f>
        <v/>
      </c>
      <c r="AD332" s="1071">
        <f>+IF(AND(AC332=0,AC331&gt;0,(AD$222-AC$222)&gt;0),AD$222-AC$222,AC332)</f>
        <v/>
      </c>
      <c r="AE332" s="73">
        <f>+IF(AND(AD332=0,AD331&gt;0,(AE$222-AD$222)&gt;0),AE$222-AD$222,AD332)</f>
        <v/>
      </c>
      <c r="AF332" s="73">
        <f>+IF(AND(AE332=0,AE331&gt;0,(AF$222-AE$222)&gt;0),AF$222-AE$222,AE332)</f>
        <v/>
      </c>
      <c r="AG332" s="73">
        <f>+IF(AND(AF332=0,AF331&gt;0,(AG$222-AF$222)&gt;0),AG$222-AF$222,AF332)</f>
        <v/>
      </c>
      <c r="AH332" s="73">
        <f>+IF(AND(AG332=0,AG331&gt;0,(AH$222-AG$222)&gt;0),AH$222-AG$222,AG332)</f>
        <v/>
      </c>
      <c r="AI332" s="73">
        <f>+IF(AND(AH332=0,AH331&gt;0,(AI$222-AH$222)&gt;0),AI$222-AH$222,AH332)</f>
        <v/>
      </c>
      <c r="AJ332" s="1071">
        <f>+IF(AND(AI332=0,AI331&gt;0,(AJ$222-AI$222)&gt;0),AJ$222-AI$222,AI332)</f>
        <v/>
      </c>
      <c r="AK332" s="73">
        <f>+IF(AND(AJ332=0,AJ331&gt;0,(AK$222-AJ$222)&gt;0),AK$222-AJ$222,AJ332)</f>
        <v/>
      </c>
      <c r="AL332" s="73">
        <f>+IF(AND(AK332=0,AK331&gt;0,(AL$222-AK$222)&gt;0),AL$222-AK$222,AK332)</f>
        <v/>
      </c>
      <c r="AM332" s="73">
        <f>+IF(AND(AL332=0,AL331&gt;0,(AM$222-AL$222)&gt;0),AM$222-AL$222,AL332)</f>
        <v/>
      </c>
      <c r="AN332" s="73">
        <f>+IF(AND(AM332=0,AM331&gt;0,(AN$222-AM$222)&gt;0),AN$222-AM$222,AM332)</f>
        <v/>
      </c>
      <c r="AO332" s="73">
        <f>+IF(AND(AN332=0,AN331&gt;0,(AO$222-AN$222)&gt;0),AO$222-AN$222,AN332)</f>
        <v/>
      </c>
      <c r="AP332" s="1071">
        <f>+IF(AND(AO332=0,AO331&gt;0,(AP$222-AO$222)&gt;0),AP$222-AO$222,AO332)</f>
        <v/>
      </c>
      <c r="AQ332" s="73">
        <f>+IF(AND(AP332=0,AP331&gt;0,(AQ$222-AP$222)&gt;0),AQ$222-AP$222,AP332)</f>
        <v/>
      </c>
      <c r="AR332" s="73">
        <f>+IF(AND(AQ332=0,AQ331&gt;0,(AR$222-AQ$222)&gt;0),AR$222-AQ$222,AQ332)</f>
        <v/>
      </c>
      <c r="AS332" s="73">
        <f>+IF(AND(AR332=0,AR331&gt;0,(AS$222-AR$222)&gt;0),AS$222-AR$222,AR332)</f>
        <v/>
      </c>
      <c r="AT332" s="73">
        <f>+IF(AND(AS332=0,AS331&gt;0,(AT$222-AS$222)&gt;0),AT$222-AS$222,AS332)</f>
        <v/>
      </c>
      <c r="AU332" s="73">
        <f>+IF(AND(AT332=0,AT331&gt;0,(AU$222-AT$222)&gt;0),AU$222-AT$222,AT332)</f>
        <v/>
      </c>
      <c r="AV332" s="1071">
        <f>+IF(AND(AU332=0,AU331&gt;0,(AV$222-AU$222)&gt;0),AV$222-AU$222,AU332)</f>
        <v/>
      </c>
      <c r="AW332" s="73">
        <f>+IF(AND(AV332=0,AV331&gt;0,(AW$222-AV$222)&gt;0),AW$222-AV$222,AV332)</f>
        <v/>
      </c>
      <c r="AX332" s="73">
        <f>+IF(AND(AW332=0,AW331&gt;0,(AX$222-AW$222)&gt;0),AX$222-AW$222,AW332)</f>
        <v/>
      </c>
      <c r="AY332" s="73">
        <f>+IF(AND(AX332=0,AX331&gt;0,(AY$222-AX$222)&gt;0),AY$222-AX$222,AX332)</f>
        <v/>
      </c>
      <c r="AZ332" s="73">
        <f>+IF(AND(AY332=0,AY331&gt;0,(AZ$222-AY$222)&gt;0),AZ$222-AY$222,AY332)</f>
        <v/>
      </c>
      <c r="BA332" s="73">
        <f>+IF(AND(AZ332=0,AZ331&gt;0,(BA$222-AZ$222)&gt;0),BA$222-AZ$222,AZ332)</f>
        <v/>
      </c>
      <c r="BB332" s="1071">
        <f>+IF(AND(BA332=0,BA331&gt;0,(BB$222-BA$222)&gt;0),BB$222-BA$222,BA332)</f>
        <v/>
      </c>
      <c r="BC332" s="73">
        <f>+IF(AND(BB332=0,BB331&gt;0,(BC$222-BB$222)&gt;0),BC$222-BB$222,BB332)</f>
        <v/>
      </c>
      <c r="BD332" s="73">
        <f>+IF(AND(BC332=0,BC331&gt;0,(BD$222-BC$222)&gt;0),BD$222-BC$222,BC332)</f>
        <v/>
      </c>
      <c r="BE332" s="73">
        <f>+IF(AND(BD332=0,BD331&gt;0,(BE$222-BD$222)&gt;0),BE$222-BD$222,BD332)</f>
        <v/>
      </c>
      <c r="BF332" s="73">
        <f>+IF(AND(BE332=0,BE331&gt;0,(BF$222-BE$222)&gt;0),BF$222-BE$222,BE332)</f>
        <v/>
      </c>
      <c r="BG332" s="73">
        <f>+IF(AND(BF332=0,BF331&gt;0,(BG$222-BF$222)&gt;0),BG$222-BF$222,BF332)</f>
        <v/>
      </c>
      <c r="BH332" s="1071">
        <f>+IF(AND(BG332=0,BG331&gt;0,(BH$222-BG$222)&gt;0),BH$222-BG$222,BG332)</f>
        <v/>
      </c>
      <c r="BI332" s="73">
        <f>+IF(AND(BH332=0,BH331&gt;0,(BI$222-BH$222)&gt;0),BI$222-BH$222,BH332)</f>
        <v/>
      </c>
      <c r="BJ332" s="73">
        <f>+IF(AND(BI332=0,BI331&gt;0,(BJ$222-BI$222)&gt;0),BJ$222-BI$222,BI332)</f>
        <v/>
      </c>
      <c r="BK332" s="73">
        <f>+IF(AND(BJ332=0,BJ331&gt;0,(BK$222-BJ$222)&gt;0),BK$222-BJ$222,BJ332)</f>
        <v/>
      </c>
      <c r="BL332" s="73">
        <f>+IF(AND(BK332=0,BK331&gt;0,(BL$222-BK$222)&gt;0),BL$222-BK$222,BK332)</f>
        <v/>
      </c>
      <c r="BM332" s="73">
        <f>+IF(AND(BL332=0,BL331&gt;0,(BM$222-BL$222)&gt;0),BM$222-BL$222,BL332)</f>
        <v/>
      </c>
      <c r="BN332" s="1071">
        <f>+IF(AND(BM332=0,BM331&gt;0,(BN$222-BM$222)&gt;0),BN$222-BM$222,BM332)</f>
        <v/>
      </c>
    </row>
    <row r="333" ht="12.75" customHeight="1" s="1883">
      <c r="C333" s="1155" t="inlineStr">
        <is>
          <t>Addition 19</t>
        </is>
      </c>
      <c r="D333" s="670" t="n"/>
      <c r="E333" s="671" t="n"/>
      <c r="F333" s="74" t="n"/>
      <c r="G333" s="73">
        <f>+IF(AND(F333=0,F332&gt;0,(G$222-F$222)&gt;0),G$222-F$222,F333)</f>
        <v/>
      </c>
      <c r="H333" s="73">
        <f>+IF(AND(G333=0,G332&gt;0,(H$222-G$222)&gt;0),H$222-G$222,G333)</f>
        <v/>
      </c>
      <c r="I333" s="73">
        <f>+IF(AND(H333=0,H332&gt;0,(I$222-H$222)&gt;0),I$222-H$222,H333)</f>
        <v/>
      </c>
      <c r="J333" s="73">
        <f>+IF(AND(I333=0,I332&gt;0,(J$222-I$222)&gt;0),J$222-I$222,I333)</f>
        <v/>
      </c>
      <c r="K333" s="73">
        <f>+IF(AND(J333=0,J332&gt;0,(K$222-J$222)&gt;0),K$222-J$222,J333)</f>
        <v/>
      </c>
      <c r="L333" s="1071">
        <f>+IF(AND(K333=0,K332&gt;0,(L$222-K$222)&gt;0),L$222-K$222,K333)</f>
        <v/>
      </c>
      <c r="M333" s="73">
        <f>+IF(AND(L333=0,L332&gt;0,(M$222-L$222)&gt;0),M$222-L$222,L333)</f>
        <v/>
      </c>
      <c r="N333" s="73">
        <f>+IF(AND(M333=0,M332&gt;0,(N$222-M$222)&gt;0),N$222-M$222,M333)</f>
        <v/>
      </c>
      <c r="O333" s="73">
        <f>+IF(AND(N333=0,N332&gt;0,(O$222-N$222)&gt;0),O$222-N$222,N333)</f>
        <v/>
      </c>
      <c r="P333" s="73">
        <f>+IF(AND(O333=0,O332&gt;0,(P$222-O$222)&gt;0),P$222-O$222,O333)</f>
        <v/>
      </c>
      <c r="Q333" s="73">
        <f>+IF(AND(P333=0,P332&gt;0,(Q$222-P$222)&gt;0),Q$222-P$222,P333)</f>
        <v/>
      </c>
      <c r="R333" s="1071">
        <f>+IF(AND(Q333=0,Q332&gt;0,(R$222-Q$222)&gt;0),R$222-Q$222,Q333)</f>
        <v/>
      </c>
      <c r="S333" s="73">
        <f>+IF(AND(R333=0,R332&gt;0,(S$222-R$222)&gt;0),S$222-R$222,R333)</f>
        <v/>
      </c>
      <c r="T333" s="73">
        <f>+IF(AND(S333=0,S332&gt;0,(T$222-S$222)&gt;0),T$222-S$222,S333)</f>
        <v/>
      </c>
      <c r="U333" s="73">
        <f>+IF(AND(T333=0,T332&gt;0,(U$222-T$222)&gt;0),U$222-T$222,T333)</f>
        <v/>
      </c>
      <c r="V333" s="73">
        <f>+IF(AND(U333=0,U332&gt;0,(V$222-U$222)&gt;0),V$222-U$222,U333)</f>
        <v/>
      </c>
      <c r="W333" s="73">
        <f>+IF(AND(V333=0,V332&gt;0,(W$222-V$222)&gt;0),W$222-V$222,V333)</f>
        <v/>
      </c>
      <c r="X333" s="1071">
        <f>+IF(AND(W333=0,W332&gt;0,(X$222-W$222)&gt;0),X$222-W$222,W333)</f>
        <v/>
      </c>
      <c r="Y333" s="73">
        <f>+IF(AND(X333=0,X332&gt;0,(Y$222-X$222)&gt;0),Y$222-X$222,X333)</f>
        <v/>
      </c>
      <c r="Z333" s="73">
        <f>+IF(AND(Y333=0,Y332&gt;0,(Z$222-Y$222)&gt;0),Z$222-Y$222,Y333)</f>
        <v/>
      </c>
      <c r="AA333" s="73">
        <f>+IF(AND(Z333=0,Z332&gt;0,(AA$222-Z$222)&gt;0),AA$222-Z$222,Z333)</f>
        <v/>
      </c>
      <c r="AB333" s="73">
        <f>+IF(AND(AA333=0,AA332&gt;0,(AB$222-AA$222)&gt;0),AB$222-AA$222,AA333)</f>
        <v/>
      </c>
      <c r="AC333" s="73">
        <f>+IF(AND(AB333=0,AB332&gt;0,(AC$222-AB$222)&gt;0),AC$222-AB$222,AB333)</f>
        <v/>
      </c>
      <c r="AD333" s="1071">
        <f>+IF(AND(AC333=0,AC332&gt;0,(AD$222-AC$222)&gt;0),AD$222-AC$222,AC333)</f>
        <v/>
      </c>
      <c r="AE333" s="73">
        <f>+IF(AND(AD333=0,AD332&gt;0,(AE$222-AD$222)&gt;0),AE$222-AD$222,AD333)</f>
        <v/>
      </c>
      <c r="AF333" s="73">
        <f>+IF(AND(AE333=0,AE332&gt;0,(AF$222-AE$222)&gt;0),AF$222-AE$222,AE333)</f>
        <v/>
      </c>
      <c r="AG333" s="73">
        <f>+IF(AND(AF333=0,AF332&gt;0,(AG$222-AF$222)&gt;0),AG$222-AF$222,AF333)</f>
        <v/>
      </c>
      <c r="AH333" s="73">
        <f>+IF(AND(AG333=0,AG332&gt;0,(AH$222-AG$222)&gt;0),AH$222-AG$222,AG333)</f>
        <v/>
      </c>
      <c r="AI333" s="73">
        <f>+IF(AND(AH333=0,AH332&gt;0,(AI$222-AH$222)&gt;0),AI$222-AH$222,AH333)</f>
        <v/>
      </c>
      <c r="AJ333" s="1071">
        <f>+IF(AND(AI333=0,AI332&gt;0,(AJ$222-AI$222)&gt;0),AJ$222-AI$222,AI333)</f>
        <v/>
      </c>
      <c r="AK333" s="73">
        <f>+IF(AND(AJ333=0,AJ332&gt;0,(AK$222-AJ$222)&gt;0),AK$222-AJ$222,AJ333)</f>
        <v/>
      </c>
      <c r="AL333" s="73">
        <f>+IF(AND(AK333=0,AK332&gt;0,(AL$222-AK$222)&gt;0),AL$222-AK$222,AK333)</f>
        <v/>
      </c>
      <c r="AM333" s="73">
        <f>+IF(AND(AL333=0,AL332&gt;0,(AM$222-AL$222)&gt;0),AM$222-AL$222,AL333)</f>
        <v/>
      </c>
      <c r="AN333" s="73">
        <f>+IF(AND(AM333=0,AM332&gt;0,(AN$222-AM$222)&gt;0),AN$222-AM$222,AM333)</f>
        <v/>
      </c>
      <c r="AO333" s="73">
        <f>+IF(AND(AN333=0,AN332&gt;0,(AO$222-AN$222)&gt;0),AO$222-AN$222,AN333)</f>
        <v/>
      </c>
      <c r="AP333" s="1071">
        <f>+IF(AND(AO333=0,AO332&gt;0,(AP$222-AO$222)&gt;0),AP$222-AO$222,AO333)</f>
        <v/>
      </c>
      <c r="AQ333" s="73">
        <f>+IF(AND(AP333=0,AP332&gt;0,(AQ$222-AP$222)&gt;0),AQ$222-AP$222,AP333)</f>
        <v/>
      </c>
      <c r="AR333" s="73">
        <f>+IF(AND(AQ333=0,AQ332&gt;0,(AR$222-AQ$222)&gt;0),AR$222-AQ$222,AQ333)</f>
        <v/>
      </c>
      <c r="AS333" s="73">
        <f>+IF(AND(AR333=0,AR332&gt;0,(AS$222-AR$222)&gt;0),AS$222-AR$222,AR333)</f>
        <v/>
      </c>
      <c r="AT333" s="73">
        <f>+IF(AND(AS333=0,AS332&gt;0,(AT$222-AS$222)&gt;0),AT$222-AS$222,AS333)</f>
        <v/>
      </c>
      <c r="AU333" s="73">
        <f>+IF(AND(AT333=0,AT332&gt;0,(AU$222-AT$222)&gt;0),AU$222-AT$222,AT333)</f>
        <v/>
      </c>
      <c r="AV333" s="1071">
        <f>+IF(AND(AU333=0,AU332&gt;0,(AV$222-AU$222)&gt;0),AV$222-AU$222,AU333)</f>
        <v/>
      </c>
      <c r="AW333" s="73">
        <f>+IF(AND(AV333=0,AV332&gt;0,(AW$222-AV$222)&gt;0),AW$222-AV$222,AV333)</f>
        <v/>
      </c>
      <c r="AX333" s="73">
        <f>+IF(AND(AW333=0,AW332&gt;0,(AX$222-AW$222)&gt;0),AX$222-AW$222,AW333)</f>
        <v/>
      </c>
      <c r="AY333" s="73">
        <f>+IF(AND(AX333=0,AX332&gt;0,(AY$222-AX$222)&gt;0),AY$222-AX$222,AX333)</f>
        <v/>
      </c>
      <c r="AZ333" s="73">
        <f>+IF(AND(AY333=0,AY332&gt;0,(AZ$222-AY$222)&gt;0),AZ$222-AY$222,AY333)</f>
        <v/>
      </c>
      <c r="BA333" s="73">
        <f>+IF(AND(AZ333=0,AZ332&gt;0,(BA$222-AZ$222)&gt;0),BA$222-AZ$222,AZ333)</f>
        <v/>
      </c>
      <c r="BB333" s="1071">
        <f>+IF(AND(BA333=0,BA332&gt;0,(BB$222-BA$222)&gt;0),BB$222-BA$222,BA333)</f>
        <v/>
      </c>
      <c r="BC333" s="73">
        <f>+IF(AND(BB333=0,BB332&gt;0,(BC$222-BB$222)&gt;0),BC$222-BB$222,BB333)</f>
        <v/>
      </c>
      <c r="BD333" s="73">
        <f>+IF(AND(BC333=0,BC332&gt;0,(BD$222-BC$222)&gt;0),BD$222-BC$222,BC333)</f>
        <v/>
      </c>
      <c r="BE333" s="73">
        <f>+IF(AND(BD333=0,BD332&gt;0,(BE$222-BD$222)&gt;0),BE$222-BD$222,BD333)</f>
        <v/>
      </c>
      <c r="BF333" s="73">
        <f>+IF(AND(BE333=0,BE332&gt;0,(BF$222-BE$222)&gt;0),BF$222-BE$222,BE333)</f>
        <v/>
      </c>
      <c r="BG333" s="73">
        <f>+IF(AND(BF333=0,BF332&gt;0,(BG$222-BF$222)&gt;0),BG$222-BF$222,BF333)</f>
        <v/>
      </c>
      <c r="BH333" s="1071">
        <f>+IF(AND(BG333=0,BG332&gt;0,(BH$222-BG$222)&gt;0),BH$222-BG$222,BG333)</f>
        <v/>
      </c>
      <c r="BI333" s="73">
        <f>+IF(AND(BH333=0,BH332&gt;0,(BI$222-BH$222)&gt;0),BI$222-BH$222,BH333)</f>
        <v/>
      </c>
      <c r="BJ333" s="73">
        <f>+IF(AND(BI333=0,BI332&gt;0,(BJ$222-BI$222)&gt;0),BJ$222-BI$222,BI333)</f>
        <v/>
      </c>
      <c r="BK333" s="73">
        <f>+IF(AND(BJ333=0,BJ332&gt;0,(BK$222-BJ$222)&gt;0),BK$222-BJ$222,BJ333)</f>
        <v/>
      </c>
      <c r="BL333" s="73">
        <f>+IF(AND(BK333=0,BK332&gt;0,(BL$222-BK$222)&gt;0),BL$222-BK$222,BK333)</f>
        <v/>
      </c>
      <c r="BM333" s="73">
        <f>+IF(AND(BL333=0,BL332&gt;0,(BM$222-BL$222)&gt;0),BM$222-BL$222,BL333)</f>
        <v/>
      </c>
      <c r="BN333" s="1071">
        <f>+IF(AND(BM333=0,BM332&gt;0,(BN$222-BM$222)&gt;0),BN$222-BM$222,BM333)</f>
        <v/>
      </c>
    </row>
    <row r="334" ht="12.75" customHeight="1" s="1883">
      <c r="C334" s="1155" t="inlineStr">
        <is>
          <t>Addition 20</t>
        </is>
      </c>
      <c r="D334" s="670" t="n"/>
      <c r="E334" s="671" t="n"/>
      <c r="F334" s="74" t="n"/>
      <c r="G334" s="73">
        <f>+IF(AND(F334=0,F333&gt;0,(G$222-F$222)&gt;0),G$222-F$222,F334)</f>
        <v/>
      </c>
      <c r="H334" s="73">
        <f>+IF(AND(G334=0,G333&gt;0,(H$222-G$222)&gt;0),H$222-G$222,G334)</f>
        <v/>
      </c>
      <c r="I334" s="73">
        <f>+IF(AND(H334=0,H333&gt;0,(I$222-H$222)&gt;0),I$222-H$222,H334)</f>
        <v/>
      </c>
      <c r="J334" s="73">
        <f>+IF(AND(I334=0,I333&gt;0,(J$222-I$222)&gt;0),J$222-I$222,I334)</f>
        <v/>
      </c>
      <c r="K334" s="73">
        <f>+IF(AND(J334=0,J333&gt;0,(K$222-J$222)&gt;0),K$222-J$222,J334)</f>
        <v/>
      </c>
      <c r="L334" s="1071">
        <f>+IF(AND(K334=0,K333&gt;0,(L$222-K$222)&gt;0),L$222-K$222,K334)</f>
        <v/>
      </c>
      <c r="M334" s="73">
        <f>+IF(AND(L334=0,L333&gt;0,(M$222-L$222)&gt;0),M$222-L$222,L334)</f>
        <v/>
      </c>
      <c r="N334" s="73">
        <f>+IF(AND(M334=0,M333&gt;0,(N$222-M$222)&gt;0),N$222-M$222,M334)</f>
        <v/>
      </c>
      <c r="O334" s="73">
        <f>+IF(AND(N334=0,N333&gt;0,(O$222-N$222)&gt;0),O$222-N$222,N334)</f>
        <v/>
      </c>
      <c r="P334" s="73">
        <f>+IF(AND(O334=0,O333&gt;0,(P$222-O$222)&gt;0),P$222-O$222,O334)</f>
        <v/>
      </c>
      <c r="Q334" s="73">
        <f>+IF(AND(P334=0,P333&gt;0,(Q$222-P$222)&gt;0),Q$222-P$222,P334)</f>
        <v/>
      </c>
      <c r="R334" s="1071">
        <f>+IF(AND(Q334=0,Q333&gt;0,(R$222-Q$222)&gt;0),R$222-Q$222,Q334)</f>
        <v/>
      </c>
      <c r="S334" s="73">
        <f>+IF(AND(R334=0,R333&gt;0,(S$222-R$222)&gt;0),S$222-R$222,R334)</f>
        <v/>
      </c>
      <c r="T334" s="73">
        <f>+IF(AND(S334=0,S333&gt;0,(T$222-S$222)&gt;0),T$222-S$222,S334)</f>
        <v/>
      </c>
      <c r="U334" s="73">
        <f>+IF(AND(T334=0,T333&gt;0,(U$222-T$222)&gt;0),U$222-T$222,T334)</f>
        <v/>
      </c>
      <c r="V334" s="73">
        <f>+IF(AND(U334=0,U333&gt;0,(V$222-U$222)&gt;0),V$222-U$222,U334)</f>
        <v/>
      </c>
      <c r="W334" s="73">
        <f>+IF(AND(V334=0,V333&gt;0,(W$222-V$222)&gt;0),W$222-V$222,V334)</f>
        <v/>
      </c>
      <c r="X334" s="1071">
        <f>+IF(AND(W334=0,W333&gt;0,(X$222-W$222)&gt;0),X$222-W$222,W334)</f>
        <v/>
      </c>
      <c r="Y334" s="73">
        <f>+IF(AND(X334=0,X333&gt;0,(Y$222-X$222)&gt;0),Y$222-X$222,X334)</f>
        <v/>
      </c>
      <c r="Z334" s="73">
        <f>+IF(AND(Y334=0,Y333&gt;0,(Z$222-Y$222)&gt;0),Z$222-Y$222,Y334)</f>
        <v/>
      </c>
      <c r="AA334" s="73">
        <f>+IF(AND(Z334=0,Z333&gt;0,(AA$222-Z$222)&gt;0),AA$222-Z$222,Z334)</f>
        <v/>
      </c>
      <c r="AB334" s="73">
        <f>+IF(AND(AA334=0,AA333&gt;0,(AB$222-AA$222)&gt;0),AB$222-AA$222,AA334)</f>
        <v/>
      </c>
      <c r="AC334" s="73">
        <f>+IF(AND(AB334=0,AB333&gt;0,(AC$222-AB$222)&gt;0),AC$222-AB$222,AB334)</f>
        <v/>
      </c>
      <c r="AD334" s="1071">
        <f>+IF(AND(AC334=0,AC333&gt;0,(AD$222-AC$222)&gt;0),AD$222-AC$222,AC334)</f>
        <v/>
      </c>
      <c r="AE334" s="73">
        <f>+IF(AND(AD334=0,AD333&gt;0,(AE$222-AD$222)&gt;0),AE$222-AD$222,AD334)</f>
        <v/>
      </c>
      <c r="AF334" s="73">
        <f>+IF(AND(AE334=0,AE333&gt;0,(AF$222-AE$222)&gt;0),AF$222-AE$222,AE334)</f>
        <v/>
      </c>
      <c r="AG334" s="73">
        <f>+IF(AND(AF334=0,AF333&gt;0,(AG$222-AF$222)&gt;0),AG$222-AF$222,AF334)</f>
        <v/>
      </c>
      <c r="AH334" s="73">
        <f>+IF(AND(AG334=0,AG333&gt;0,(AH$222-AG$222)&gt;0),AH$222-AG$222,AG334)</f>
        <v/>
      </c>
      <c r="AI334" s="73">
        <f>+IF(AND(AH334=0,AH333&gt;0,(AI$222-AH$222)&gt;0),AI$222-AH$222,AH334)</f>
        <v/>
      </c>
      <c r="AJ334" s="1071">
        <f>+IF(AND(AI334=0,AI333&gt;0,(AJ$222-AI$222)&gt;0),AJ$222-AI$222,AI334)</f>
        <v/>
      </c>
      <c r="AK334" s="73">
        <f>+IF(AND(AJ334=0,AJ333&gt;0,(AK$222-AJ$222)&gt;0),AK$222-AJ$222,AJ334)</f>
        <v/>
      </c>
      <c r="AL334" s="73">
        <f>+IF(AND(AK334=0,AK333&gt;0,(AL$222-AK$222)&gt;0),AL$222-AK$222,AK334)</f>
        <v/>
      </c>
      <c r="AM334" s="73">
        <f>+IF(AND(AL334=0,AL333&gt;0,(AM$222-AL$222)&gt;0),AM$222-AL$222,AL334)</f>
        <v/>
      </c>
      <c r="AN334" s="73">
        <f>+IF(AND(AM334=0,AM333&gt;0,(AN$222-AM$222)&gt;0),AN$222-AM$222,AM334)</f>
        <v/>
      </c>
      <c r="AO334" s="73">
        <f>+IF(AND(AN334=0,AN333&gt;0,(AO$222-AN$222)&gt;0),AO$222-AN$222,AN334)</f>
        <v/>
      </c>
      <c r="AP334" s="1071">
        <f>+IF(AND(AO334=0,AO333&gt;0,(AP$222-AO$222)&gt;0),AP$222-AO$222,AO334)</f>
        <v/>
      </c>
      <c r="AQ334" s="73">
        <f>+IF(AND(AP334=0,AP333&gt;0,(AQ$222-AP$222)&gt;0),AQ$222-AP$222,AP334)</f>
        <v/>
      </c>
      <c r="AR334" s="73">
        <f>+IF(AND(AQ334=0,AQ333&gt;0,(AR$222-AQ$222)&gt;0),AR$222-AQ$222,AQ334)</f>
        <v/>
      </c>
      <c r="AS334" s="73">
        <f>+IF(AND(AR334=0,AR333&gt;0,(AS$222-AR$222)&gt;0),AS$222-AR$222,AR334)</f>
        <v/>
      </c>
      <c r="AT334" s="73">
        <f>+IF(AND(AS334=0,AS333&gt;0,(AT$222-AS$222)&gt;0),AT$222-AS$222,AS334)</f>
        <v/>
      </c>
      <c r="AU334" s="73">
        <f>+IF(AND(AT334=0,AT333&gt;0,(AU$222-AT$222)&gt;0),AU$222-AT$222,AT334)</f>
        <v/>
      </c>
      <c r="AV334" s="1071">
        <f>+IF(AND(AU334=0,AU333&gt;0,(AV$222-AU$222)&gt;0),AV$222-AU$222,AU334)</f>
        <v/>
      </c>
      <c r="AW334" s="73">
        <f>+IF(AND(AV334=0,AV333&gt;0,(AW$222-AV$222)&gt;0),AW$222-AV$222,AV334)</f>
        <v/>
      </c>
      <c r="AX334" s="73">
        <f>+IF(AND(AW334=0,AW333&gt;0,(AX$222-AW$222)&gt;0),AX$222-AW$222,AW334)</f>
        <v/>
      </c>
      <c r="AY334" s="73">
        <f>+IF(AND(AX334=0,AX333&gt;0,(AY$222-AX$222)&gt;0),AY$222-AX$222,AX334)</f>
        <v/>
      </c>
      <c r="AZ334" s="73">
        <f>+IF(AND(AY334=0,AY333&gt;0,(AZ$222-AY$222)&gt;0),AZ$222-AY$222,AY334)</f>
        <v/>
      </c>
      <c r="BA334" s="73">
        <f>+IF(AND(AZ334=0,AZ333&gt;0,(BA$222-AZ$222)&gt;0),BA$222-AZ$222,AZ334)</f>
        <v/>
      </c>
      <c r="BB334" s="1071">
        <f>+IF(AND(BA334=0,BA333&gt;0,(BB$222-BA$222)&gt;0),BB$222-BA$222,BA334)</f>
        <v/>
      </c>
      <c r="BC334" s="73">
        <f>+IF(AND(BB334=0,BB333&gt;0,(BC$222-BB$222)&gt;0),BC$222-BB$222,BB334)</f>
        <v/>
      </c>
      <c r="BD334" s="73">
        <f>+IF(AND(BC334=0,BC333&gt;0,(BD$222-BC$222)&gt;0),BD$222-BC$222,BC334)</f>
        <v/>
      </c>
      <c r="BE334" s="73">
        <f>+IF(AND(BD334=0,BD333&gt;0,(BE$222-BD$222)&gt;0),BE$222-BD$222,BD334)</f>
        <v/>
      </c>
      <c r="BF334" s="73">
        <f>+IF(AND(BE334=0,BE333&gt;0,(BF$222-BE$222)&gt;0),BF$222-BE$222,BE334)</f>
        <v/>
      </c>
      <c r="BG334" s="73">
        <f>+IF(AND(BF334=0,BF333&gt;0,(BG$222-BF$222)&gt;0),BG$222-BF$222,BF334)</f>
        <v/>
      </c>
      <c r="BH334" s="1071">
        <f>+IF(AND(BG334=0,BG333&gt;0,(BH$222-BG$222)&gt;0),BH$222-BG$222,BG334)</f>
        <v/>
      </c>
      <c r="BI334" s="73">
        <f>+IF(AND(BH334=0,BH333&gt;0,(BI$222-BH$222)&gt;0),BI$222-BH$222,BH334)</f>
        <v/>
      </c>
      <c r="BJ334" s="73">
        <f>+IF(AND(BI334=0,BI333&gt;0,(BJ$222-BI$222)&gt;0),BJ$222-BI$222,BI334)</f>
        <v/>
      </c>
      <c r="BK334" s="73">
        <f>+IF(AND(BJ334=0,BJ333&gt;0,(BK$222-BJ$222)&gt;0),BK$222-BJ$222,BJ334)</f>
        <v/>
      </c>
      <c r="BL334" s="73">
        <f>+IF(AND(BK334=0,BK333&gt;0,(BL$222-BK$222)&gt;0),BL$222-BK$222,BK334)</f>
        <v/>
      </c>
      <c r="BM334" s="73">
        <f>+IF(AND(BL334=0,BL333&gt;0,(BM$222-BL$222)&gt;0),BM$222-BL$222,BL334)</f>
        <v/>
      </c>
      <c r="BN334" s="1071">
        <f>+IF(AND(BM334=0,BM333&gt;0,(BN$222-BM$222)&gt;0),BN$222-BM$222,BM334)</f>
        <v/>
      </c>
    </row>
    <row r="335" ht="12.75" customHeight="1" s="1883">
      <c r="C335" s="1155" t="inlineStr">
        <is>
          <t>Addition 21</t>
        </is>
      </c>
      <c r="D335" s="670" t="n"/>
      <c r="E335" s="671" t="n"/>
      <c r="F335" s="74" t="n"/>
      <c r="G335" s="73">
        <f>+IF(AND(F335=0,F334&gt;0,(G$222-F$222)&gt;0),G$222-F$222,F335)</f>
        <v/>
      </c>
      <c r="H335" s="73">
        <f>+IF(AND(G335=0,G334&gt;0,(H$222-G$222)&gt;0),H$222-G$222,G335)</f>
        <v/>
      </c>
      <c r="I335" s="73">
        <f>+IF(AND(H335=0,H334&gt;0,(I$222-H$222)&gt;0),I$222-H$222,H335)</f>
        <v/>
      </c>
      <c r="J335" s="73">
        <f>+IF(AND(I335=0,I334&gt;0,(J$222-I$222)&gt;0),J$222-I$222,I335)</f>
        <v/>
      </c>
      <c r="K335" s="73">
        <f>+IF(AND(J335=0,J334&gt;0,(K$222-J$222)&gt;0),K$222-J$222,J335)</f>
        <v/>
      </c>
      <c r="L335" s="1071">
        <f>+IF(AND(K335=0,K334&gt;0,(L$222-K$222)&gt;0),L$222-K$222,K335)</f>
        <v/>
      </c>
      <c r="M335" s="73">
        <f>+IF(AND(L335=0,L334&gt;0,(M$222-L$222)&gt;0),M$222-L$222,L335)</f>
        <v/>
      </c>
      <c r="N335" s="73">
        <f>+IF(AND(M335=0,M334&gt;0,(N$222-M$222)&gt;0),N$222-M$222,M335)</f>
        <v/>
      </c>
      <c r="O335" s="73">
        <f>+IF(AND(N335=0,N334&gt;0,(O$222-N$222)&gt;0),O$222-N$222,N335)</f>
        <v/>
      </c>
      <c r="P335" s="73">
        <f>+IF(AND(O335=0,O334&gt;0,(P$222-O$222)&gt;0),P$222-O$222,O335)</f>
        <v/>
      </c>
      <c r="Q335" s="73">
        <f>+IF(AND(P335=0,P334&gt;0,(Q$222-P$222)&gt;0),Q$222-P$222,P335)</f>
        <v/>
      </c>
      <c r="R335" s="1071">
        <f>+IF(AND(Q335=0,Q334&gt;0,(R$222-Q$222)&gt;0),R$222-Q$222,Q335)</f>
        <v/>
      </c>
      <c r="S335" s="73">
        <f>+IF(AND(R335=0,R334&gt;0,(S$222-R$222)&gt;0),S$222-R$222,R335)</f>
        <v/>
      </c>
      <c r="T335" s="73">
        <f>+IF(AND(S335=0,S334&gt;0,(T$222-S$222)&gt;0),T$222-S$222,S335)</f>
        <v/>
      </c>
      <c r="U335" s="73">
        <f>+IF(AND(T335=0,T334&gt;0,(U$222-T$222)&gt;0),U$222-T$222,T335)</f>
        <v/>
      </c>
      <c r="V335" s="73">
        <f>+IF(AND(U335=0,U334&gt;0,(V$222-U$222)&gt;0),V$222-U$222,U335)</f>
        <v/>
      </c>
      <c r="W335" s="73">
        <f>+IF(AND(V335=0,V334&gt;0,(W$222-V$222)&gt;0),W$222-V$222,V335)</f>
        <v/>
      </c>
      <c r="X335" s="1071">
        <f>+IF(AND(W335=0,W334&gt;0,(X$222-W$222)&gt;0),X$222-W$222,W335)</f>
        <v/>
      </c>
      <c r="Y335" s="73">
        <f>+IF(AND(X335=0,X334&gt;0,(Y$222-X$222)&gt;0),Y$222-X$222,X335)</f>
        <v/>
      </c>
      <c r="Z335" s="73">
        <f>+IF(AND(Y335=0,Y334&gt;0,(Z$222-Y$222)&gt;0),Z$222-Y$222,Y335)</f>
        <v/>
      </c>
      <c r="AA335" s="73">
        <f>+IF(AND(Z335=0,Z334&gt;0,(AA$222-Z$222)&gt;0),AA$222-Z$222,Z335)</f>
        <v/>
      </c>
      <c r="AB335" s="73">
        <f>+IF(AND(AA335=0,AA334&gt;0,(AB$222-AA$222)&gt;0),AB$222-AA$222,AA335)</f>
        <v/>
      </c>
      <c r="AC335" s="73">
        <f>+IF(AND(AB335=0,AB334&gt;0,(AC$222-AB$222)&gt;0),AC$222-AB$222,AB335)</f>
        <v/>
      </c>
      <c r="AD335" s="1071">
        <f>+IF(AND(AC335=0,AC334&gt;0,(AD$222-AC$222)&gt;0),AD$222-AC$222,AC335)</f>
        <v/>
      </c>
      <c r="AE335" s="73">
        <f>+IF(AND(AD335=0,AD334&gt;0,(AE$222-AD$222)&gt;0),AE$222-AD$222,AD335)</f>
        <v/>
      </c>
      <c r="AF335" s="73">
        <f>+IF(AND(AE335=0,AE334&gt;0,(AF$222-AE$222)&gt;0),AF$222-AE$222,AE335)</f>
        <v/>
      </c>
      <c r="AG335" s="73">
        <f>+IF(AND(AF335=0,AF334&gt;0,(AG$222-AF$222)&gt;0),AG$222-AF$222,AF335)</f>
        <v/>
      </c>
      <c r="AH335" s="73">
        <f>+IF(AND(AG335=0,AG334&gt;0,(AH$222-AG$222)&gt;0),AH$222-AG$222,AG335)</f>
        <v/>
      </c>
      <c r="AI335" s="73">
        <f>+IF(AND(AH335=0,AH334&gt;0,(AI$222-AH$222)&gt;0),AI$222-AH$222,AH335)</f>
        <v/>
      </c>
      <c r="AJ335" s="1071">
        <f>+IF(AND(AI335=0,AI334&gt;0,(AJ$222-AI$222)&gt;0),AJ$222-AI$222,AI335)</f>
        <v/>
      </c>
      <c r="AK335" s="73">
        <f>+IF(AND(AJ335=0,AJ334&gt;0,(AK$222-AJ$222)&gt;0),AK$222-AJ$222,AJ335)</f>
        <v/>
      </c>
      <c r="AL335" s="73">
        <f>+IF(AND(AK335=0,AK334&gt;0,(AL$222-AK$222)&gt;0),AL$222-AK$222,AK335)</f>
        <v/>
      </c>
      <c r="AM335" s="73">
        <f>+IF(AND(AL335=0,AL334&gt;0,(AM$222-AL$222)&gt;0),AM$222-AL$222,AL335)</f>
        <v/>
      </c>
      <c r="AN335" s="73">
        <f>+IF(AND(AM335=0,AM334&gt;0,(AN$222-AM$222)&gt;0),AN$222-AM$222,AM335)</f>
        <v/>
      </c>
      <c r="AO335" s="73">
        <f>+IF(AND(AN335=0,AN334&gt;0,(AO$222-AN$222)&gt;0),AO$222-AN$222,AN335)</f>
        <v/>
      </c>
      <c r="AP335" s="1071">
        <f>+IF(AND(AO335=0,AO334&gt;0,(AP$222-AO$222)&gt;0),AP$222-AO$222,AO335)</f>
        <v/>
      </c>
      <c r="AQ335" s="73">
        <f>+IF(AND(AP335=0,AP334&gt;0,(AQ$222-AP$222)&gt;0),AQ$222-AP$222,AP335)</f>
        <v/>
      </c>
      <c r="AR335" s="73">
        <f>+IF(AND(AQ335=0,AQ334&gt;0,(AR$222-AQ$222)&gt;0),AR$222-AQ$222,AQ335)</f>
        <v/>
      </c>
      <c r="AS335" s="73">
        <f>+IF(AND(AR335=0,AR334&gt;0,(AS$222-AR$222)&gt;0),AS$222-AR$222,AR335)</f>
        <v/>
      </c>
      <c r="AT335" s="73">
        <f>+IF(AND(AS335=0,AS334&gt;0,(AT$222-AS$222)&gt;0),AT$222-AS$222,AS335)</f>
        <v/>
      </c>
      <c r="AU335" s="73">
        <f>+IF(AND(AT335=0,AT334&gt;0,(AU$222-AT$222)&gt;0),AU$222-AT$222,AT335)</f>
        <v/>
      </c>
      <c r="AV335" s="1071">
        <f>+IF(AND(AU335=0,AU334&gt;0,(AV$222-AU$222)&gt;0),AV$222-AU$222,AU335)</f>
        <v/>
      </c>
      <c r="AW335" s="73">
        <f>+IF(AND(AV335=0,AV334&gt;0,(AW$222-AV$222)&gt;0),AW$222-AV$222,AV335)</f>
        <v/>
      </c>
      <c r="AX335" s="73">
        <f>+IF(AND(AW335=0,AW334&gt;0,(AX$222-AW$222)&gt;0),AX$222-AW$222,AW335)</f>
        <v/>
      </c>
      <c r="AY335" s="73">
        <f>+IF(AND(AX335=0,AX334&gt;0,(AY$222-AX$222)&gt;0),AY$222-AX$222,AX335)</f>
        <v/>
      </c>
      <c r="AZ335" s="73">
        <f>+IF(AND(AY335=0,AY334&gt;0,(AZ$222-AY$222)&gt;0),AZ$222-AY$222,AY335)</f>
        <v/>
      </c>
      <c r="BA335" s="73">
        <f>+IF(AND(AZ335=0,AZ334&gt;0,(BA$222-AZ$222)&gt;0),BA$222-AZ$222,AZ335)</f>
        <v/>
      </c>
      <c r="BB335" s="1071">
        <f>+IF(AND(BA335=0,BA334&gt;0,(BB$222-BA$222)&gt;0),BB$222-BA$222,BA335)</f>
        <v/>
      </c>
      <c r="BC335" s="73">
        <f>+IF(AND(BB335=0,BB334&gt;0,(BC$222-BB$222)&gt;0),BC$222-BB$222,BB335)</f>
        <v/>
      </c>
      <c r="BD335" s="73">
        <f>+IF(AND(BC335=0,BC334&gt;0,(BD$222-BC$222)&gt;0),BD$222-BC$222,BC335)</f>
        <v/>
      </c>
      <c r="BE335" s="73">
        <f>+IF(AND(BD335=0,BD334&gt;0,(BE$222-BD$222)&gt;0),BE$222-BD$222,BD335)</f>
        <v/>
      </c>
      <c r="BF335" s="73">
        <f>+IF(AND(BE335=0,BE334&gt;0,(BF$222-BE$222)&gt;0),BF$222-BE$222,BE335)</f>
        <v/>
      </c>
      <c r="BG335" s="73">
        <f>+IF(AND(BF335=0,BF334&gt;0,(BG$222-BF$222)&gt;0),BG$222-BF$222,BF335)</f>
        <v/>
      </c>
      <c r="BH335" s="1071">
        <f>+IF(AND(BG335=0,BG334&gt;0,(BH$222-BG$222)&gt;0),BH$222-BG$222,BG335)</f>
        <v/>
      </c>
      <c r="BI335" s="73">
        <f>+IF(AND(BH335=0,BH334&gt;0,(BI$222-BH$222)&gt;0),BI$222-BH$222,BH335)</f>
        <v/>
      </c>
      <c r="BJ335" s="73">
        <f>+IF(AND(BI335=0,BI334&gt;0,(BJ$222-BI$222)&gt;0),BJ$222-BI$222,BI335)</f>
        <v/>
      </c>
      <c r="BK335" s="73">
        <f>+IF(AND(BJ335=0,BJ334&gt;0,(BK$222-BJ$222)&gt;0),BK$222-BJ$222,BJ335)</f>
        <v/>
      </c>
      <c r="BL335" s="73">
        <f>+IF(AND(BK335=0,BK334&gt;0,(BL$222-BK$222)&gt;0),BL$222-BK$222,BK335)</f>
        <v/>
      </c>
      <c r="BM335" s="73">
        <f>+IF(AND(BL335=0,BL334&gt;0,(BM$222-BL$222)&gt;0),BM$222-BL$222,BL335)</f>
        <v/>
      </c>
      <c r="BN335" s="1071">
        <f>+IF(AND(BM335=0,BM334&gt;0,(BN$222-BM$222)&gt;0),BN$222-BM$222,BM335)</f>
        <v/>
      </c>
    </row>
    <row r="336" ht="12.75" customHeight="1" s="1883">
      <c r="C336" s="1155" t="inlineStr">
        <is>
          <t>Addition 22</t>
        </is>
      </c>
      <c r="D336" s="670" t="n"/>
      <c r="E336" s="671" t="n"/>
      <c r="F336" s="74" t="n"/>
      <c r="G336" s="73">
        <f>+IF(AND(F336=0,F335&gt;0,(G$222-F$222)&gt;0),G$222-F$222,F336)</f>
        <v/>
      </c>
      <c r="H336" s="73">
        <f>+IF(AND(G336=0,G335&gt;0,(H$222-G$222)&gt;0),H$222-G$222,G336)</f>
        <v/>
      </c>
      <c r="I336" s="73">
        <f>+IF(AND(H336=0,H335&gt;0,(I$222-H$222)&gt;0),I$222-H$222,H336)</f>
        <v/>
      </c>
      <c r="J336" s="73">
        <f>+IF(AND(I336=0,I335&gt;0,(J$222-I$222)&gt;0),J$222-I$222,I336)</f>
        <v/>
      </c>
      <c r="K336" s="73">
        <f>+IF(AND(J336=0,J335&gt;0,(K$222-J$222)&gt;0),K$222-J$222,J336)</f>
        <v/>
      </c>
      <c r="L336" s="1071">
        <f>+IF(AND(K336=0,K335&gt;0,(L$222-K$222)&gt;0),L$222-K$222,K336)</f>
        <v/>
      </c>
      <c r="M336" s="73">
        <f>+IF(AND(L336=0,L335&gt;0,(M$222-L$222)&gt;0),M$222-L$222,L336)</f>
        <v/>
      </c>
      <c r="N336" s="73">
        <f>+IF(AND(M336=0,M335&gt;0,(N$222-M$222)&gt;0),N$222-M$222,M336)</f>
        <v/>
      </c>
      <c r="O336" s="73">
        <f>+IF(AND(N336=0,N335&gt;0,(O$222-N$222)&gt;0),O$222-N$222,N336)</f>
        <v/>
      </c>
      <c r="P336" s="73">
        <f>+IF(AND(O336=0,O335&gt;0,(P$222-O$222)&gt;0),P$222-O$222,O336)</f>
        <v/>
      </c>
      <c r="Q336" s="73">
        <f>+IF(AND(P336=0,P335&gt;0,(Q$222-P$222)&gt;0),Q$222-P$222,P336)</f>
        <v/>
      </c>
      <c r="R336" s="1071">
        <f>+IF(AND(Q336=0,Q335&gt;0,(R$222-Q$222)&gt;0),R$222-Q$222,Q336)</f>
        <v/>
      </c>
      <c r="S336" s="73">
        <f>+IF(AND(R336=0,R335&gt;0,(S$222-R$222)&gt;0),S$222-R$222,R336)</f>
        <v/>
      </c>
      <c r="T336" s="73">
        <f>+IF(AND(S336=0,S335&gt;0,(T$222-S$222)&gt;0),T$222-S$222,S336)</f>
        <v/>
      </c>
      <c r="U336" s="73">
        <f>+IF(AND(T336=0,T335&gt;0,(U$222-T$222)&gt;0),U$222-T$222,T336)</f>
        <v/>
      </c>
      <c r="V336" s="73">
        <f>+IF(AND(U336=0,U335&gt;0,(V$222-U$222)&gt;0),V$222-U$222,U336)</f>
        <v/>
      </c>
      <c r="W336" s="73">
        <f>+IF(AND(V336=0,V335&gt;0,(W$222-V$222)&gt;0),W$222-V$222,V336)</f>
        <v/>
      </c>
      <c r="X336" s="1071">
        <f>+IF(AND(W336=0,W335&gt;0,(X$222-W$222)&gt;0),X$222-W$222,W336)</f>
        <v/>
      </c>
      <c r="Y336" s="73">
        <f>+IF(AND(X336=0,X335&gt;0,(Y$222-X$222)&gt;0),Y$222-X$222,X336)</f>
        <v/>
      </c>
      <c r="Z336" s="73">
        <f>+IF(AND(Y336=0,Y335&gt;0,(Z$222-Y$222)&gt;0),Z$222-Y$222,Y336)</f>
        <v/>
      </c>
      <c r="AA336" s="73">
        <f>+IF(AND(Z336=0,Z335&gt;0,(AA$222-Z$222)&gt;0),AA$222-Z$222,Z336)</f>
        <v/>
      </c>
      <c r="AB336" s="73">
        <f>+IF(AND(AA336=0,AA335&gt;0,(AB$222-AA$222)&gt;0),AB$222-AA$222,AA336)</f>
        <v/>
      </c>
      <c r="AC336" s="73">
        <f>+IF(AND(AB336=0,AB335&gt;0,(AC$222-AB$222)&gt;0),AC$222-AB$222,AB336)</f>
        <v/>
      </c>
      <c r="AD336" s="1071">
        <f>+IF(AND(AC336=0,AC335&gt;0,(AD$222-AC$222)&gt;0),AD$222-AC$222,AC336)</f>
        <v/>
      </c>
      <c r="AE336" s="73">
        <f>+IF(AND(AD336=0,AD335&gt;0,(AE$222-AD$222)&gt;0),AE$222-AD$222,AD336)</f>
        <v/>
      </c>
      <c r="AF336" s="73">
        <f>+IF(AND(AE336=0,AE335&gt;0,(AF$222-AE$222)&gt;0),AF$222-AE$222,AE336)</f>
        <v/>
      </c>
      <c r="AG336" s="73">
        <f>+IF(AND(AF336=0,AF335&gt;0,(AG$222-AF$222)&gt;0),AG$222-AF$222,AF336)</f>
        <v/>
      </c>
      <c r="AH336" s="73">
        <f>+IF(AND(AG336=0,AG335&gt;0,(AH$222-AG$222)&gt;0),AH$222-AG$222,AG336)</f>
        <v/>
      </c>
      <c r="AI336" s="73">
        <f>+IF(AND(AH336=0,AH335&gt;0,(AI$222-AH$222)&gt;0),AI$222-AH$222,AH336)</f>
        <v/>
      </c>
      <c r="AJ336" s="1071">
        <f>+IF(AND(AI336=0,AI335&gt;0,(AJ$222-AI$222)&gt;0),AJ$222-AI$222,AI336)</f>
        <v/>
      </c>
      <c r="AK336" s="73">
        <f>+IF(AND(AJ336=0,AJ335&gt;0,(AK$222-AJ$222)&gt;0),AK$222-AJ$222,AJ336)</f>
        <v/>
      </c>
      <c r="AL336" s="73">
        <f>+IF(AND(AK336=0,AK335&gt;0,(AL$222-AK$222)&gt;0),AL$222-AK$222,AK336)</f>
        <v/>
      </c>
      <c r="AM336" s="73">
        <f>+IF(AND(AL336=0,AL335&gt;0,(AM$222-AL$222)&gt;0),AM$222-AL$222,AL336)</f>
        <v/>
      </c>
      <c r="AN336" s="73">
        <f>+IF(AND(AM336=0,AM335&gt;0,(AN$222-AM$222)&gt;0),AN$222-AM$222,AM336)</f>
        <v/>
      </c>
      <c r="AO336" s="73">
        <f>+IF(AND(AN336=0,AN335&gt;0,(AO$222-AN$222)&gt;0),AO$222-AN$222,AN336)</f>
        <v/>
      </c>
      <c r="AP336" s="1071">
        <f>+IF(AND(AO336=0,AO335&gt;0,(AP$222-AO$222)&gt;0),AP$222-AO$222,AO336)</f>
        <v/>
      </c>
      <c r="AQ336" s="73">
        <f>+IF(AND(AP336=0,AP335&gt;0,(AQ$222-AP$222)&gt;0),AQ$222-AP$222,AP336)</f>
        <v/>
      </c>
      <c r="AR336" s="73">
        <f>+IF(AND(AQ336=0,AQ335&gt;0,(AR$222-AQ$222)&gt;0),AR$222-AQ$222,AQ336)</f>
        <v/>
      </c>
      <c r="AS336" s="73">
        <f>+IF(AND(AR336=0,AR335&gt;0,(AS$222-AR$222)&gt;0),AS$222-AR$222,AR336)</f>
        <v/>
      </c>
      <c r="AT336" s="73">
        <f>+IF(AND(AS336=0,AS335&gt;0,(AT$222-AS$222)&gt;0),AT$222-AS$222,AS336)</f>
        <v/>
      </c>
      <c r="AU336" s="73">
        <f>+IF(AND(AT336=0,AT335&gt;0,(AU$222-AT$222)&gt;0),AU$222-AT$222,AT336)</f>
        <v/>
      </c>
      <c r="AV336" s="1071">
        <f>+IF(AND(AU336=0,AU335&gt;0,(AV$222-AU$222)&gt;0),AV$222-AU$222,AU336)</f>
        <v/>
      </c>
      <c r="AW336" s="73">
        <f>+IF(AND(AV336=0,AV335&gt;0,(AW$222-AV$222)&gt;0),AW$222-AV$222,AV336)</f>
        <v/>
      </c>
      <c r="AX336" s="73">
        <f>+IF(AND(AW336=0,AW335&gt;0,(AX$222-AW$222)&gt;0),AX$222-AW$222,AW336)</f>
        <v/>
      </c>
      <c r="AY336" s="73">
        <f>+IF(AND(AX336=0,AX335&gt;0,(AY$222-AX$222)&gt;0),AY$222-AX$222,AX336)</f>
        <v/>
      </c>
      <c r="AZ336" s="73">
        <f>+IF(AND(AY336=0,AY335&gt;0,(AZ$222-AY$222)&gt;0),AZ$222-AY$222,AY336)</f>
        <v/>
      </c>
      <c r="BA336" s="73">
        <f>+IF(AND(AZ336=0,AZ335&gt;0,(BA$222-AZ$222)&gt;0),BA$222-AZ$222,AZ336)</f>
        <v/>
      </c>
      <c r="BB336" s="1071">
        <f>+IF(AND(BA336=0,BA335&gt;0,(BB$222-BA$222)&gt;0),BB$222-BA$222,BA336)</f>
        <v/>
      </c>
      <c r="BC336" s="73">
        <f>+IF(AND(BB336=0,BB335&gt;0,(BC$222-BB$222)&gt;0),BC$222-BB$222,BB336)</f>
        <v/>
      </c>
      <c r="BD336" s="73">
        <f>+IF(AND(BC336=0,BC335&gt;0,(BD$222-BC$222)&gt;0),BD$222-BC$222,BC336)</f>
        <v/>
      </c>
      <c r="BE336" s="73">
        <f>+IF(AND(BD336=0,BD335&gt;0,(BE$222-BD$222)&gt;0),BE$222-BD$222,BD336)</f>
        <v/>
      </c>
      <c r="BF336" s="73">
        <f>+IF(AND(BE336=0,BE335&gt;0,(BF$222-BE$222)&gt;0),BF$222-BE$222,BE336)</f>
        <v/>
      </c>
      <c r="BG336" s="73">
        <f>+IF(AND(BF336=0,BF335&gt;0,(BG$222-BF$222)&gt;0),BG$222-BF$222,BF336)</f>
        <v/>
      </c>
      <c r="BH336" s="1071">
        <f>+IF(AND(BG336=0,BG335&gt;0,(BH$222-BG$222)&gt;0),BH$222-BG$222,BG336)</f>
        <v/>
      </c>
      <c r="BI336" s="73">
        <f>+IF(AND(BH336=0,BH335&gt;0,(BI$222-BH$222)&gt;0),BI$222-BH$222,BH336)</f>
        <v/>
      </c>
      <c r="BJ336" s="73">
        <f>+IF(AND(BI336=0,BI335&gt;0,(BJ$222-BI$222)&gt;0),BJ$222-BI$222,BI336)</f>
        <v/>
      </c>
      <c r="BK336" s="73">
        <f>+IF(AND(BJ336=0,BJ335&gt;0,(BK$222-BJ$222)&gt;0),BK$222-BJ$222,BJ336)</f>
        <v/>
      </c>
      <c r="BL336" s="73">
        <f>+IF(AND(BK336=0,BK335&gt;0,(BL$222-BK$222)&gt;0),BL$222-BK$222,BK336)</f>
        <v/>
      </c>
      <c r="BM336" s="73">
        <f>+IF(AND(BL336=0,BL335&gt;0,(BM$222-BL$222)&gt;0),BM$222-BL$222,BL336)</f>
        <v/>
      </c>
      <c r="BN336" s="1071">
        <f>+IF(AND(BM336=0,BM335&gt;0,(BN$222-BM$222)&gt;0),BN$222-BM$222,BM336)</f>
        <v/>
      </c>
    </row>
    <row r="337" ht="12.75" customHeight="1" s="1883">
      <c r="C337" s="1155" t="inlineStr">
        <is>
          <t>Addition 23</t>
        </is>
      </c>
      <c r="D337" s="670" t="n"/>
      <c r="E337" s="671" t="n"/>
      <c r="F337" s="74" t="n"/>
      <c r="G337" s="73">
        <f>+IF(AND(F337=0,F336&gt;0,(G$222-F$222)&gt;0),G$222-F$222,F337)</f>
        <v/>
      </c>
      <c r="H337" s="73">
        <f>+IF(AND(G337=0,G336&gt;0,(H$222-G$222)&gt;0),H$222-G$222,G337)</f>
        <v/>
      </c>
      <c r="I337" s="73">
        <f>+IF(AND(H337=0,H336&gt;0,(I$222-H$222)&gt;0),I$222-H$222,H337)</f>
        <v/>
      </c>
      <c r="J337" s="73">
        <f>+IF(AND(I337=0,I336&gt;0,(J$222-I$222)&gt;0),J$222-I$222,I337)</f>
        <v/>
      </c>
      <c r="K337" s="73">
        <f>+IF(AND(J337=0,J336&gt;0,(K$222-J$222)&gt;0),K$222-J$222,J337)</f>
        <v/>
      </c>
      <c r="L337" s="1071">
        <f>+IF(AND(K337=0,K336&gt;0,(L$222-K$222)&gt;0),L$222-K$222,K337)</f>
        <v/>
      </c>
      <c r="M337" s="73">
        <f>+IF(AND(L337=0,L336&gt;0,(M$222-L$222)&gt;0),M$222-L$222,L337)</f>
        <v/>
      </c>
      <c r="N337" s="73">
        <f>+IF(AND(M337=0,M336&gt;0,(N$222-M$222)&gt;0),N$222-M$222,M337)</f>
        <v/>
      </c>
      <c r="O337" s="73">
        <f>+IF(AND(N337=0,N336&gt;0,(O$222-N$222)&gt;0),O$222-N$222,N337)</f>
        <v/>
      </c>
      <c r="P337" s="73">
        <f>+IF(AND(O337=0,O336&gt;0,(P$222-O$222)&gt;0),P$222-O$222,O337)</f>
        <v/>
      </c>
      <c r="Q337" s="73">
        <f>+IF(AND(P337=0,P336&gt;0,(Q$222-P$222)&gt;0),Q$222-P$222,P337)</f>
        <v/>
      </c>
      <c r="R337" s="1071">
        <f>+IF(AND(Q337=0,Q336&gt;0,(R$222-Q$222)&gt;0),R$222-Q$222,Q337)</f>
        <v/>
      </c>
      <c r="S337" s="73">
        <f>+IF(AND(R337=0,R336&gt;0,(S$222-R$222)&gt;0),S$222-R$222,R337)</f>
        <v/>
      </c>
      <c r="T337" s="73">
        <f>+IF(AND(S337=0,S336&gt;0,(T$222-S$222)&gt;0),T$222-S$222,S337)</f>
        <v/>
      </c>
      <c r="U337" s="73">
        <f>+IF(AND(T337=0,T336&gt;0,(U$222-T$222)&gt;0),U$222-T$222,T337)</f>
        <v/>
      </c>
      <c r="V337" s="73">
        <f>+IF(AND(U337=0,U336&gt;0,(V$222-U$222)&gt;0),V$222-U$222,U337)</f>
        <v/>
      </c>
      <c r="W337" s="73">
        <f>+IF(AND(V337=0,V336&gt;0,(W$222-V$222)&gt;0),W$222-V$222,V337)</f>
        <v/>
      </c>
      <c r="X337" s="1071">
        <f>+IF(AND(W337=0,W336&gt;0,(X$222-W$222)&gt;0),X$222-W$222,W337)</f>
        <v/>
      </c>
      <c r="Y337" s="73">
        <f>+IF(AND(X337=0,X336&gt;0,(Y$222-X$222)&gt;0),Y$222-X$222,X337)</f>
        <v/>
      </c>
      <c r="Z337" s="73">
        <f>+IF(AND(Y337=0,Y336&gt;0,(Z$222-Y$222)&gt;0),Z$222-Y$222,Y337)</f>
        <v/>
      </c>
      <c r="AA337" s="73">
        <f>+IF(AND(Z337=0,Z336&gt;0,(AA$222-Z$222)&gt;0),AA$222-Z$222,Z337)</f>
        <v/>
      </c>
      <c r="AB337" s="73">
        <f>+IF(AND(AA337=0,AA336&gt;0,(AB$222-AA$222)&gt;0),AB$222-AA$222,AA337)</f>
        <v/>
      </c>
      <c r="AC337" s="73">
        <f>+IF(AND(AB337=0,AB336&gt;0,(AC$222-AB$222)&gt;0),AC$222-AB$222,AB337)</f>
        <v/>
      </c>
      <c r="AD337" s="1071">
        <f>+IF(AND(AC337=0,AC336&gt;0,(AD$222-AC$222)&gt;0),AD$222-AC$222,AC337)</f>
        <v/>
      </c>
      <c r="AE337" s="73">
        <f>+IF(AND(AD337=0,AD336&gt;0,(AE$222-AD$222)&gt;0),AE$222-AD$222,AD337)</f>
        <v/>
      </c>
      <c r="AF337" s="73">
        <f>+IF(AND(AE337=0,AE336&gt;0,(AF$222-AE$222)&gt;0),AF$222-AE$222,AE337)</f>
        <v/>
      </c>
      <c r="AG337" s="73">
        <f>+IF(AND(AF337=0,AF336&gt;0,(AG$222-AF$222)&gt;0),AG$222-AF$222,AF337)</f>
        <v/>
      </c>
      <c r="AH337" s="73">
        <f>+IF(AND(AG337=0,AG336&gt;0,(AH$222-AG$222)&gt;0),AH$222-AG$222,AG337)</f>
        <v/>
      </c>
      <c r="AI337" s="73">
        <f>+IF(AND(AH337=0,AH336&gt;0,(AI$222-AH$222)&gt;0),AI$222-AH$222,AH337)</f>
        <v/>
      </c>
      <c r="AJ337" s="1071">
        <f>+IF(AND(AI337=0,AI336&gt;0,(AJ$222-AI$222)&gt;0),AJ$222-AI$222,AI337)</f>
        <v/>
      </c>
      <c r="AK337" s="73">
        <f>+IF(AND(AJ337=0,AJ336&gt;0,(AK$222-AJ$222)&gt;0),AK$222-AJ$222,AJ337)</f>
        <v/>
      </c>
      <c r="AL337" s="73">
        <f>+IF(AND(AK337=0,AK336&gt;0,(AL$222-AK$222)&gt;0),AL$222-AK$222,AK337)</f>
        <v/>
      </c>
      <c r="AM337" s="73">
        <f>+IF(AND(AL337=0,AL336&gt;0,(AM$222-AL$222)&gt;0),AM$222-AL$222,AL337)</f>
        <v/>
      </c>
      <c r="AN337" s="73">
        <f>+IF(AND(AM337=0,AM336&gt;0,(AN$222-AM$222)&gt;0),AN$222-AM$222,AM337)</f>
        <v/>
      </c>
      <c r="AO337" s="73">
        <f>+IF(AND(AN337=0,AN336&gt;0,(AO$222-AN$222)&gt;0),AO$222-AN$222,AN337)</f>
        <v/>
      </c>
      <c r="AP337" s="1071">
        <f>+IF(AND(AO337=0,AO336&gt;0,(AP$222-AO$222)&gt;0),AP$222-AO$222,AO337)</f>
        <v/>
      </c>
      <c r="AQ337" s="73">
        <f>+IF(AND(AP337=0,AP336&gt;0,(AQ$222-AP$222)&gt;0),AQ$222-AP$222,AP337)</f>
        <v/>
      </c>
      <c r="AR337" s="73">
        <f>+IF(AND(AQ337=0,AQ336&gt;0,(AR$222-AQ$222)&gt;0),AR$222-AQ$222,AQ337)</f>
        <v/>
      </c>
      <c r="AS337" s="73">
        <f>+IF(AND(AR337=0,AR336&gt;0,(AS$222-AR$222)&gt;0),AS$222-AR$222,AR337)</f>
        <v/>
      </c>
      <c r="AT337" s="73">
        <f>+IF(AND(AS337=0,AS336&gt;0,(AT$222-AS$222)&gt;0),AT$222-AS$222,AS337)</f>
        <v/>
      </c>
      <c r="AU337" s="73">
        <f>+IF(AND(AT337=0,AT336&gt;0,(AU$222-AT$222)&gt;0),AU$222-AT$222,AT337)</f>
        <v/>
      </c>
      <c r="AV337" s="1071">
        <f>+IF(AND(AU337=0,AU336&gt;0,(AV$222-AU$222)&gt;0),AV$222-AU$222,AU337)</f>
        <v/>
      </c>
      <c r="AW337" s="73">
        <f>+IF(AND(AV337=0,AV336&gt;0,(AW$222-AV$222)&gt;0),AW$222-AV$222,AV337)</f>
        <v/>
      </c>
      <c r="AX337" s="73">
        <f>+IF(AND(AW337=0,AW336&gt;0,(AX$222-AW$222)&gt;0),AX$222-AW$222,AW337)</f>
        <v/>
      </c>
      <c r="AY337" s="73">
        <f>+IF(AND(AX337=0,AX336&gt;0,(AY$222-AX$222)&gt;0),AY$222-AX$222,AX337)</f>
        <v/>
      </c>
      <c r="AZ337" s="73">
        <f>+IF(AND(AY337=0,AY336&gt;0,(AZ$222-AY$222)&gt;0),AZ$222-AY$222,AY337)</f>
        <v/>
      </c>
      <c r="BA337" s="73">
        <f>+IF(AND(AZ337=0,AZ336&gt;0,(BA$222-AZ$222)&gt;0),BA$222-AZ$222,AZ337)</f>
        <v/>
      </c>
      <c r="BB337" s="1071">
        <f>+IF(AND(BA337=0,BA336&gt;0,(BB$222-BA$222)&gt;0),BB$222-BA$222,BA337)</f>
        <v/>
      </c>
      <c r="BC337" s="73">
        <f>+IF(AND(BB337=0,BB336&gt;0,(BC$222-BB$222)&gt;0),BC$222-BB$222,BB337)</f>
        <v/>
      </c>
      <c r="BD337" s="73">
        <f>+IF(AND(BC337=0,BC336&gt;0,(BD$222-BC$222)&gt;0),BD$222-BC$222,BC337)</f>
        <v/>
      </c>
      <c r="BE337" s="73">
        <f>+IF(AND(BD337=0,BD336&gt;0,(BE$222-BD$222)&gt;0),BE$222-BD$222,BD337)</f>
        <v/>
      </c>
      <c r="BF337" s="73">
        <f>+IF(AND(BE337=0,BE336&gt;0,(BF$222-BE$222)&gt;0),BF$222-BE$222,BE337)</f>
        <v/>
      </c>
      <c r="BG337" s="73">
        <f>+IF(AND(BF337=0,BF336&gt;0,(BG$222-BF$222)&gt;0),BG$222-BF$222,BF337)</f>
        <v/>
      </c>
      <c r="BH337" s="1071">
        <f>+IF(AND(BG337=0,BG336&gt;0,(BH$222-BG$222)&gt;0),BH$222-BG$222,BG337)</f>
        <v/>
      </c>
      <c r="BI337" s="73">
        <f>+IF(AND(BH337=0,BH336&gt;0,(BI$222-BH$222)&gt;0),BI$222-BH$222,BH337)</f>
        <v/>
      </c>
      <c r="BJ337" s="73">
        <f>+IF(AND(BI337=0,BI336&gt;0,(BJ$222-BI$222)&gt;0),BJ$222-BI$222,BI337)</f>
        <v/>
      </c>
      <c r="BK337" s="73">
        <f>+IF(AND(BJ337=0,BJ336&gt;0,(BK$222-BJ$222)&gt;0),BK$222-BJ$222,BJ337)</f>
        <v/>
      </c>
      <c r="BL337" s="73">
        <f>+IF(AND(BK337=0,BK336&gt;0,(BL$222-BK$222)&gt;0),BL$222-BK$222,BK337)</f>
        <v/>
      </c>
      <c r="BM337" s="73">
        <f>+IF(AND(BL337=0,BL336&gt;0,(BM$222-BL$222)&gt;0),BM$222-BL$222,BL337)</f>
        <v/>
      </c>
      <c r="BN337" s="1071">
        <f>+IF(AND(BM337=0,BM336&gt;0,(BN$222-BM$222)&gt;0),BN$222-BM$222,BM337)</f>
        <v/>
      </c>
    </row>
    <row r="338" ht="12.75" customHeight="1" s="1883">
      <c r="C338" s="1155" t="inlineStr">
        <is>
          <t>Addition 24</t>
        </is>
      </c>
      <c r="D338" s="670" t="n"/>
      <c r="E338" s="671" t="n"/>
      <c r="F338" s="74" t="n"/>
      <c r="G338" s="73">
        <f>+IF(AND(F338=0,F337&gt;0,(G$222-F$222)&gt;0),G$222-F$222,F338)</f>
        <v/>
      </c>
      <c r="H338" s="73">
        <f>+IF(AND(G338=0,G337&gt;0,(H$222-G$222)&gt;0),H$222-G$222,G338)</f>
        <v/>
      </c>
      <c r="I338" s="73">
        <f>+IF(AND(H338=0,H337&gt;0,(I$222-H$222)&gt;0),I$222-H$222,H338)</f>
        <v/>
      </c>
      <c r="J338" s="73">
        <f>+IF(AND(I338=0,I337&gt;0,(J$222-I$222)&gt;0),J$222-I$222,I338)</f>
        <v/>
      </c>
      <c r="K338" s="73">
        <f>+IF(AND(J338=0,J337&gt;0,(K$222-J$222)&gt;0),K$222-J$222,J338)</f>
        <v/>
      </c>
      <c r="L338" s="1071">
        <f>+IF(AND(K338=0,K337&gt;0,(L$222-K$222)&gt;0),L$222-K$222,K338)</f>
        <v/>
      </c>
      <c r="M338" s="73">
        <f>+IF(AND(L338=0,L337&gt;0,(M$222-L$222)&gt;0),M$222-L$222,L338)</f>
        <v/>
      </c>
      <c r="N338" s="73">
        <f>+IF(AND(M338=0,M337&gt;0,(N$222-M$222)&gt;0),N$222-M$222,M338)</f>
        <v/>
      </c>
      <c r="O338" s="73">
        <f>+IF(AND(N338=0,N337&gt;0,(O$222-N$222)&gt;0),O$222-N$222,N338)</f>
        <v/>
      </c>
      <c r="P338" s="73">
        <f>+IF(AND(O338=0,O337&gt;0,(P$222-O$222)&gt;0),P$222-O$222,O338)</f>
        <v/>
      </c>
      <c r="Q338" s="73">
        <f>+IF(AND(P338=0,P337&gt;0,(Q$222-P$222)&gt;0),Q$222-P$222,P338)</f>
        <v/>
      </c>
      <c r="R338" s="1071">
        <f>+IF(AND(Q338=0,Q337&gt;0,(R$222-Q$222)&gt;0),R$222-Q$222,Q338)</f>
        <v/>
      </c>
      <c r="S338" s="73">
        <f>+IF(AND(R338=0,R337&gt;0,(S$222-R$222)&gt;0),S$222-R$222,R338)</f>
        <v/>
      </c>
      <c r="T338" s="73">
        <f>+IF(AND(S338=0,S337&gt;0,(T$222-S$222)&gt;0),T$222-S$222,S338)</f>
        <v/>
      </c>
      <c r="U338" s="73">
        <f>+IF(AND(T338=0,T337&gt;0,(U$222-T$222)&gt;0),U$222-T$222,T338)</f>
        <v/>
      </c>
      <c r="V338" s="73">
        <f>+IF(AND(U338=0,U337&gt;0,(V$222-U$222)&gt;0),V$222-U$222,U338)</f>
        <v/>
      </c>
      <c r="W338" s="73">
        <f>+IF(AND(V338=0,V337&gt;0,(W$222-V$222)&gt;0),W$222-V$222,V338)</f>
        <v/>
      </c>
      <c r="X338" s="1071">
        <f>+IF(AND(W338=0,W337&gt;0,(X$222-W$222)&gt;0),X$222-W$222,W338)</f>
        <v/>
      </c>
      <c r="Y338" s="73">
        <f>+IF(AND(X338=0,X337&gt;0,(Y$222-X$222)&gt;0),Y$222-X$222,X338)</f>
        <v/>
      </c>
      <c r="Z338" s="73">
        <f>+IF(AND(Y338=0,Y337&gt;0,(Z$222-Y$222)&gt;0),Z$222-Y$222,Y338)</f>
        <v/>
      </c>
      <c r="AA338" s="73">
        <f>+IF(AND(Z338=0,Z337&gt;0,(AA$222-Z$222)&gt;0),AA$222-Z$222,Z338)</f>
        <v/>
      </c>
      <c r="AB338" s="73">
        <f>+IF(AND(AA338=0,AA337&gt;0,(AB$222-AA$222)&gt;0),AB$222-AA$222,AA338)</f>
        <v/>
      </c>
      <c r="AC338" s="73">
        <f>+IF(AND(AB338=0,AB337&gt;0,(AC$222-AB$222)&gt;0),AC$222-AB$222,AB338)</f>
        <v/>
      </c>
      <c r="AD338" s="1071">
        <f>+IF(AND(AC338=0,AC337&gt;0,(AD$222-AC$222)&gt;0),AD$222-AC$222,AC338)</f>
        <v/>
      </c>
      <c r="AE338" s="73">
        <f>+IF(AND(AD338=0,AD337&gt;0,(AE$222-AD$222)&gt;0),AE$222-AD$222,AD338)</f>
        <v/>
      </c>
      <c r="AF338" s="73">
        <f>+IF(AND(AE338=0,AE337&gt;0,(AF$222-AE$222)&gt;0),AF$222-AE$222,AE338)</f>
        <v/>
      </c>
      <c r="AG338" s="73">
        <f>+IF(AND(AF338=0,AF337&gt;0,(AG$222-AF$222)&gt;0),AG$222-AF$222,AF338)</f>
        <v/>
      </c>
      <c r="AH338" s="73">
        <f>+IF(AND(AG338=0,AG337&gt;0,(AH$222-AG$222)&gt;0),AH$222-AG$222,AG338)</f>
        <v/>
      </c>
      <c r="AI338" s="73">
        <f>+IF(AND(AH338=0,AH337&gt;0,(AI$222-AH$222)&gt;0),AI$222-AH$222,AH338)</f>
        <v/>
      </c>
      <c r="AJ338" s="1071">
        <f>+IF(AND(AI338=0,AI337&gt;0,(AJ$222-AI$222)&gt;0),AJ$222-AI$222,AI338)</f>
        <v/>
      </c>
      <c r="AK338" s="73">
        <f>+IF(AND(AJ338=0,AJ337&gt;0,(AK$222-AJ$222)&gt;0),AK$222-AJ$222,AJ338)</f>
        <v/>
      </c>
      <c r="AL338" s="73">
        <f>+IF(AND(AK338=0,AK337&gt;0,(AL$222-AK$222)&gt;0),AL$222-AK$222,AK338)</f>
        <v/>
      </c>
      <c r="AM338" s="73">
        <f>+IF(AND(AL338=0,AL337&gt;0,(AM$222-AL$222)&gt;0),AM$222-AL$222,AL338)</f>
        <v/>
      </c>
      <c r="AN338" s="73">
        <f>+IF(AND(AM338=0,AM337&gt;0,(AN$222-AM$222)&gt;0),AN$222-AM$222,AM338)</f>
        <v/>
      </c>
      <c r="AO338" s="73">
        <f>+IF(AND(AN338=0,AN337&gt;0,(AO$222-AN$222)&gt;0),AO$222-AN$222,AN338)</f>
        <v/>
      </c>
      <c r="AP338" s="1071">
        <f>+IF(AND(AO338=0,AO337&gt;0,(AP$222-AO$222)&gt;0),AP$222-AO$222,AO338)</f>
        <v/>
      </c>
      <c r="AQ338" s="73">
        <f>+IF(AND(AP338=0,AP337&gt;0,(AQ$222-AP$222)&gt;0),AQ$222-AP$222,AP338)</f>
        <v/>
      </c>
      <c r="AR338" s="73">
        <f>+IF(AND(AQ338=0,AQ337&gt;0,(AR$222-AQ$222)&gt;0),AR$222-AQ$222,AQ338)</f>
        <v/>
      </c>
      <c r="AS338" s="73">
        <f>+IF(AND(AR338=0,AR337&gt;0,(AS$222-AR$222)&gt;0),AS$222-AR$222,AR338)</f>
        <v/>
      </c>
      <c r="AT338" s="73">
        <f>+IF(AND(AS338=0,AS337&gt;0,(AT$222-AS$222)&gt;0),AT$222-AS$222,AS338)</f>
        <v/>
      </c>
      <c r="AU338" s="73">
        <f>+IF(AND(AT338=0,AT337&gt;0,(AU$222-AT$222)&gt;0),AU$222-AT$222,AT338)</f>
        <v/>
      </c>
      <c r="AV338" s="1071">
        <f>+IF(AND(AU338=0,AU337&gt;0,(AV$222-AU$222)&gt;0),AV$222-AU$222,AU338)</f>
        <v/>
      </c>
      <c r="AW338" s="73">
        <f>+IF(AND(AV338=0,AV337&gt;0,(AW$222-AV$222)&gt;0),AW$222-AV$222,AV338)</f>
        <v/>
      </c>
      <c r="AX338" s="73">
        <f>+IF(AND(AW338=0,AW337&gt;0,(AX$222-AW$222)&gt;0),AX$222-AW$222,AW338)</f>
        <v/>
      </c>
      <c r="AY338" s="73">
        <f>+IF(AND(AX338=0,AX337&gt;0,(AY$222-AX$222)&gt;0),AY$222-AX$222,AX338)</f>
        <v/>
      </c>
      <c r="AZ338" s="73">
        <f>+IF(AND(AY338=0,AY337&gt;0,(AZ$222-AY$222)&gt;0),AZ$222-AY$222,AY338)</f>
        <v/>
      </c>
      <c r="BA338" s="73">
        <f>+IF(AND(AZ338=0,AZ337&gt;0,(BA$222-AZ$222)&gt;0),BA$222-AZ$222,AZ338)</f>
        <v/>
      </c>
      <c r="BB338" s="1071">
        <f>+IF(AND(BA338=0,BA337&gt;0,(BB$222-BA$222)&gt;0),BB$222-BA$222,BA338)</f>
        <v/>
      </c>
      <c r="BC338" s="73">
        <f>+IF(AND(BB338=0,BB337&gt;0,(BC$222-BB$222)&gt;0),BC$222-BB$222,BB338)</f>
        <v/>
      </c>
      <c r="BD338" s="73">
        <f>+IF(AND(BC338=0,BC337&gt;0,(BD$222-BC$222)&gt;0),BD$222-BC$222,BC338)</f>
        <v/>
      </c>
      <c r="BE338" s="73">
        <f>+IF(AND(BD338=0,BD337&gt;0,(BE$222-BD$222)&gt;0),BE$222-BD$222,BD338)</f>
        <v/>
      </c>
      <c r="BF338" s="73">
        <f>+IF(AND(BE338=0,BE337&gt;0,(BF$222-BE$222)&gt;0),BF$222-BE$222,BE338)</f>
        <v/>
      </c>
      <c r="BG338" s="73">
        <f>+IF(AND(BF338=0,BF337&gt;0,(BG$222-BF$222)&gt;0),BG$222-BF$222,BF338)</f>
        <v/>
      </c>
      <c r="BH338" s="1071">
        <f>+IF(AND(BG338=0,BG337&gt;0,(BH$222-BG$222)&gt;0),BH$222-BG$222,BG338)</f>
        <v/>
      </c>
      <c r="BI338" s="73">
        <f>+IF(AND(BH338=0,BH337&gt;0,(BI$222-BH$222)&gt;0),BI$222-BH$222,BH338)</f>
        <v/>
      </c>
      <c r="BJ338" s="73">
        <f>+IF(AND(BI338=0,BI337&gt;0,(BJ$222-BI$222)&gt;0),BJ$222-BI$222,BI338)</f>
        <v/>
      </c>
      <c r="BK338" s="73">
        <f>+IF(AND(BJ338=0,BJ337&gt;0,(BK$222-BJ$222)&gt;0),BK$222-BJ$222,BJ338)</f>
        <v/>
      </c>
      <c r="BL338" s="73">
        <f>+IF(AND(BK338=0,BK337&gt;0,(BL$222-BK$222)&gt;0),BL$222-BK$222,BK338)</f>
        <v/>
      </c>
      <c r="BM338" s="73">
        <f>+IF(AND(BL338=0,BL337&gt;0,(BM$222-BL$222)&gt;0),BM$222-BL$222,BL338)</f>
        <v/>
      </c>
      <c r="BN338" s="1071">
        <f>+IF(AND(BM338=0,BM337&gt;0,(BN$222-BM$222)&gt;0),BN$222-BM$222,BM338)</f>
        <v/>
      </c>
    </row>
    <row r="339" ht="12.75" customHeight="1" s="1883">
      <c r="C339" s="1155" t="inlineStr">
        <is>
          <t>Addition 25</t>
        </is>
      </c>
      <c r="D339" s="670" t="n"/>
      <c r="E339" s="671" t="n"/>
      <c r="F339" s="74" t="n"/>
      <c r="G339" s="73">
        <f>+IF(AND(F339=0,F338&gt;0,(G$222-F$222)&gt;0),G$222-F$222,F339)</f>
        <v/>
      </c>
      <c r="H339" s="73">
        <f>+IF(AND(G339=0,G338&gt;0,(H$222-G$222)&gt;0),H$222-G$222,G339)</f>
        <v/>
      </c>
      <c r="I339" s="73">
        <f>+IF(AND(H339=0,H338&gt;0,(I$222-H$222)&gt;0),I$222-H$222,H339)</f>
        <v/>
      </c>
      <c r="J339" s="73">
        <f>+IF(AND(I339=0,I338&gt;0,(J$222-I$222)&gt;0),J$222-I$222,I339)</f>
        <v/>
      </c>
      <c r="K339" s="73">
        <f>+IF(AND(J339=0,J338&gt;0,(K$222-J$222)&gt;0),K$222-J$222,J339)</f>
        <v/>
      </c>
      <c r="L339" s="1071">
        <f>+IF(AND(K339=0,K338&gt;0,(L$222-K$222)&gt;0),L$222-K$222,K339)</f>
        <v/>
      </c>
      <c r="M339" s="73">
        <f>+IF(AND(L339=0,L338&gt;0,(M$222-L$222)&gt;0),M$222-L$222,L339)</f>
        <v/>
      </c>
      <c r="N339" s="73">
        <f>+IF(AND(M339=0,M338&gt;0,(N$222-M$222)&gt;0),N$222-M$222,M339)</f>
        <v/>
      </c>
      <c r="O339" s="73">
        <f>+IF(AND(N339=0,N338&gt;0,(O$222-N$222)&gt;0),O$222-N$222,N339)</f>
        <v/>
      </c>
      <c r="P339" s="73">
        <f>+IF(AND(O339=0,O338&gt;0,(P$222-O$222)&gt;0),P$222-O$222,O339)</f>
        <v/>
      </c>
      <c r="Q339" s="73">
        <f>+IF(AND(P339=0,P338&gt;0,(Q$222-P$222)&gt;0),Q$222-P$222,P339)</f>
        <v/>
      </c>
      <c r="R339" s="1071">
        <f>+IF(AND(Q339=0,Q338&gt;0,(R$222-Q$222)&gt;0),R$222-Q$222,Q339)</f>
        <v/>
      </c>
      <c r="S339" s="73">
        <f>+IF(AND(R339=0,R338&gt;0,(S$222-R$222)&gt;0),S$222-R$222,R339)</f>
        <v/>
      </c>
      <c r="T339" s="73">
        <f>+IF(AND(S339=0,S338&gt;0,(T$222-S$222)&gt;0),T$222-S$222,S339)</f>
        <v/>
      </c>
      <c r="U339" s="73">
        <f>+IF(AND(T339=0,T338&gt;0,(U$222-T$222)&gt;0),U$222-T$222,T339)</f>
        <v/>
      </c>
      <c r="V339" s="73">
        <f>+IF(AND(U339=0,U338&gt;0,(V$222-U$222)&gt;0),V$222-U$222,U339)</f>
        <v/>
      </c>
      <c r="W339" s="73">
        <f>+IF(AND(V339=0,V338&gt;0,(W$222-V$222)&gt;0),W$222-V$222,V339)</f>
        <v/>
      </c>
      <c r="X339" s="1071">
        <f>+IF(AND(W339=0,W338&gt;0,(X$222-W$222)&gt;0),X$222-W$222,W339)</f>
        <v/>
      </c>
      <c r="Y339" s="73">
        <f>+IF(AND(X339=0,X338&gt;0,(Y$222-X$222)&gt;0),Y$222-X$222,X339)</f>
        <v/>
      </c>
      <c r="Z339" s="73">
        <f>+IF(AND(Y339=0,Y338&gt;0,(Z$222-Y$222)&gt;0),Z$222-Y$222,Y339)</f>
        <v/>
      </c>
      <c r="AA339" s="73">
        <f>+IF(AND(Z339=0,Z338&gt;0,(AA$222-Z$222)&gt;0),AA$222-Z$222,Z339)</f>
        <v/>
      </c>
      <c r="AB339" s="73">
        <f>+IF(AND(AA339=0,AA338&gt;0,(AB$222-AA$222)&gt;0),AB$222-AA$222,AA339)</f>
        <v/>
      </c>
      <c r="AC339" s="73">
        <f>+IF(AND(AB339=0,AB338&gt;0,(AC$222-AB$222)&gt;0),AC$222-AB$222,AB339)</f>
        <v/>
      </c>
      <c r="AD339" s="1071">
        <f>+IF(AND(AC339=0,AC338&gt;0,(AD$222-AC$222)&gt;0),AD$222-AC$222,AC339)</f>
        <v/>
      </c>
      <c r="AE339" s="73">
        <f>+IF(AND(AD339=0,AD338&gt;0,(AE$222-AD$222)&gt;0),AE$222-AD$222,AD339)</f>
        <v/>
      </c>
      <c r="AF339" s="73">
        <f>+IF(AND(AE339=0,AE338&gt;0,(AF$222-AE$222)&gt;0),AF$222-AE$222,AE339)</f>
        <v/>
      </c>
      <c r="AG339" s="73">
        <f>+IF(AND(AF339=0,AF338&gt;0,(AG$222-AF$222)&gt;0),AG$222-AF$222,AF339)</f>
        <v/>
      </c>
      <c r="AH339" s="73">
        <f>+IF(AND(AG339=0,AG338&gt;0,(AH$222-AG$222)&gt;0),AH$222-AG$222,AG339)</f>
        <v/>
      </c>
      <c r="AI339" s="73">
        <f>+IF(AND(AH339=0,AH338&gt;0,(AI$222-AH$222)&gt;0),AI$222-AH$222,AH339)</f>
        <v/>
      </c>
      <c r="AJ339" s="1071">
        <f>+IF(AND(AI339=0,AI338&gt;0,(AJ$222-AI$222)&gt;0),AJ$222-AI$222,AI339)</f>
        <v/>
      </c>
      <c r="AK339" s="73">
        <f>+IF(AND(AJ339=0,AJ338&gt;0,(AK$222-AJ$222)&gt;0),AK$222-AJ$222,AJ339)</f>
        <v/>
      </c>
      <c r="AL339" s="73">
        <f>+IF(AND(AK339=0,AK338&gt;0,(AL$222-AK$222)&gt;0),AL$222-AK$222,AK339)</f>
        <v/>
      </c>
      <c r="AM339" s="73">
        <f>+IF(AND(AL339=0,AL338&gt;0,(AM$222-AL$222)&gt;0),AM$222-AL$222,AL339)</f>
        <v/>
      </c>
      <c r="AN339" s="73">
        <f>+IF(AND(AM339=0,AM338&gt;0,(AN$222-AM$222)&gt;0),AN$222-AM$222,AM339)</f>
        <v/>
      </c>
      <c r="AO339" s="73">
        <f>+IF(AND(AN339=0,AN338&gt;0,(AO$222-AN$222)&gt;0),AO$222-AN$222,AN339)</f>
        <v/>
      </c>
      <c r="AP339" s="1071">
        <f>+IF(AND(AO339=0,AO338&gt;0,(AP$222-AO$222)&gt;0),AP$222-AO$222,AO339)</f>
        <v/>
      </c>
      <c r="AQ339" s="73">
        <f>+IF(AND(AP339=0,AP338&gt;0,(AQ$222-AP$222)&gt;0),AQ$222-AP$222,AP339)</f>
        <v/>
      </c>
      <c r="AR339" s="73">
        <f>+IF(AND(AQ339=0,AQ338&gt;0,(AR$222-AQ$222)&gt;0),AR$222-AQ$222,AQ339)</f>
        <v/>
      </c>
      <c r="AS339" s="73">
        <f>+IF(AND(AR339=0,AR338&gt;0,(AS$222-AR$222)&gt;0),AS$222-AR$222,AR339)</f>
        <v/>
      </c>
      <c r="AT339" s="73">
        <f>+IF(AND(AS339=0,AS338&gt;0,(AT$222-AS$222)&gt;0),AT$222-AS$222,AS339)</f>
        <v/>
      </c>
      <c r="AU339" s="73">
        <f>+IF(AND(AT339=0,AT338&gt;0,(AU$222-AT$222)&gt;0),AU$222-AT$222,AT339)</f>
        <v/>
      </c>
      <c r="AV339" s="1071">
        <f>+IF(AND(AU339=0,AU338&gt;0,(AV$222-AU$222)&gt;0),AV$222-AU$222,AU339)</f>
        <v/>
      </c>
      <c r="AW339" s="73">
        <f>+IF(AND(AV339=0,AV338&gt;0,(AW$222-AV$222)&gt;0),AW$222-AV$222,AV339)</f>
        <v/>
      </c>
      <c r="AX339" s="73">
        <f>+IF(AND(AW339=0,AW338&gt;0,(AX$222-AW$222)&gt;0),AX$222-AW$222,AW339)</f>
        <v/>
      </c>
      <c r="AY339" s="73">
        <f>+IF(AND(AX339=0,AX338&gt;0,(AY$222-AX$222)&gt;0),AY$222-AX$222,AX339)</f>
        <v/>
      </c>
      <c r="AZ339" s="73">
        <f>+IF(AND(AY339=0,AY338&gt;0,(AZ$222-AY$222)&gt;0),AZ$222-AY$222,AY339)</f>
        <v/>
      </c>
      <c r="BA339" s="73">
        <f>+IF(AND(AZ339=0,AZ338&gt;0,(BA$222-AZ$222)&gt;0),BA$222-AZ$222,AZ339)</f>
        <v/>
      </c>
      <c r="BB339" s="1071">
        <f>+IF(AND(BA339=0,BA338&gt;0,(BB$222-BA$222)&gt;0),BB$222-BA$222,BA339)</f>
        <v/>
      </c>
      <c r="BC339" s="73">
        <f>+IF(AND(BB339=0,BB338&gt;0,(BC$222-BB$222)&gt;0),BC$222-BB$222,BB339)</f>
        <v/>
      </c>
      <c r="BD339" s="73">
        <f>+IF(AND(BC339=0,BC338&gt;0,(BD$222-BC$222)&gt;0),BD$222-BC$222,BC339)</f>
        <v/>
      </c>
      <c r="BE339" s="73">
        <f>+IF(AND(BD339=0,BD338&gt;0,(BE$222-BD$222)&gt;0),BE$222-BD$222,BD339)</f>
        <v/>
      </c>
      <c r="BF339" s="73">
        <f>+IF(AND(BE339=0,BE338&gt;0,(BF$222-BE$222)&gt;0),BF$222-BE$222,BE339)</f>
        <v/>
      </c>
      <c r="BG339" s="73">
        <f>+IF(AND(BF339=0,BF338&gt;0,(BG$222-BF$222)&gt;0),BG$222-BF$222,BF339)</f>
        <v/>
      </c>
      <c r="BH339" s="1071">
        <f>+IF(AND(BG339=0,BG338&gt;0,(BH$222-BG$222)&gt;0),BH$222-BG$222,BG339)</f>
        <v/>
      </c>
      <c r="BI339" s="73">
        <f>+IF(AND(BH339=0,BH338&gt;0,(BI$222-BH$222)&gt;0),BI$222-BH$222,BH339)</f>
        <v/>
      </c>
      <c r="BJ339" s="73">
        <f>+IF(AND(BI339=0,BI338&gt;0,(BJ$222-BI$222)&gt;0),BJ$222-BI$222,BI339)</f>
        <v/>
      </c>
      <c r="BK339" s="73">
        <f>+IF(AND(BJ339=0,BJ338&gt;0,(BK$222-BJ$222)&gt;0),BK$222-BJ$222,BJ339)</f>
        <v/>
      </c>
      <c r="BL339" s="73">
        <f>+IF(AND(BK339=0,BK338&gt;0,(BL$222-BK$222)&gt;0),BL$222-BK$222,BK339)</f>
        <v/>
      </c>
      <c r="BM339" s="73">
        <f>+IF(AND(BL339=0,BL338&gt;0,(BM$222-BL$222)&gt;0),BM$222-BL$222,BL339)</f>
        <v/>
      </c>
      <c r="BN339" s="1071">
        <f>+IF(AND(BM339=0,BM338&gt;0,(BN$222-BM$222)&gt;0),BN$222-BM$222,BM339)</f>
        <v/>
      </c>
    </row>
    <row r="340" ht="12.75" customHeight="1" s="1883">
      <c r="C340" s="1155" t="inlineStr">
        <is>
          <t>Addition 26</t>
        </is>
      </c>
      <c r="D340" s="670" t="n"/>
      <c r="E340" s="671" t="n"/>
      <c r="F340" s="74" t="n"/>
      <c r="G340" s="73">
        <f>+IF(AND(F340=0,F339&gt;0,(G$222-F$222)&gt;0),G$222-F$222,F340)</f>
        <v/>
      </c>
      <c r="H340" s="73">
        <f>+IF(AND(G340=0,G339&gt;0,(H$222-G$222)&gt;0),H$222-G$222,G340)</f>
        <v/>
      </c>
      <c r="I340" s="73">
        <f>+IF(AND(H340=0,H339&gt;0,(I$222-H$222)&gt;0),I$222-H$222,H340)</f>
        <v/>
      </c>
      <c r="J340" s="73">
        <f>+IF(AND(I340=0,I339&gt;0,(J$222-I$222)&gt;0),J$222-I$222,I340)</f>
        <v/>
      </c>
      <c r="K340" s="73">
        <f>+IF(AND(J340=0,J339&gt;0,(K$222-J$222)&gt;0),K$222-J$222,J340)</f>
        <v/>
      </c>
      <c r="L340" s="1071">
        <f>+IF(AND(K340=0,K339&gt;0,(L$222-K$222)&gt;0),L$222-K$222,K340)</f>
        <v/>
      </c>
      <c r="M340" s="73">
        <f>+IF(AND(L340=0,L339&gt;0,(M$222-L$222)&gt;0),M$222-L$222,L340)</f>
        <v/>
      </c>
      <c r="N340" s="73">
        <f>+IF(AND(M340=0,M339&gt;0,(N$222-M$222)&gt;0),N$222-M$222,M340)</f>
        <v/>
      </c>
      <c r="O340" s="73">
        <f>+IF(AND(N340=0,N339&gt;0,(O$222-N$222)&gt;0),O$222-N$222,N340)</f>
        <v/>
      </c>
      <c r="P340" s="73">
        <f>+IF(AND(O340=0,O339&gt;0,(P$222-O$222)&gt;0),P$222-O$222,O340)</f>
        <v/>
      </c>
      <c r="Q340" s="73">
        <f>+IF(AND(P340=0,P339&gt;0,(Q$222-P$222)&gt;0),Q$222-P$222,P340)</f>
        <v/>
      </c>
      <c r="R340" s="1071">
        <f>+IF(AND(Q340=0,Q339&gt;0,(R$222-Q$222)&gt;0),R$222-Q$222,Q340)</f>
        <v/>
      </c>
      <c r="S340" s="73">
        <f>+IF(AND(R340=0,R339&gt;0,(S$222-R$222)&gt;0),S$222-R$222,R340)</f>
        <v/>
      </c>
      <c r="T340" s="73">
        <f>+IF(AND(S340=0,S339&gt;0,(T$222-S$222)&gt;0),T$222-S$222,S340)</f>
        <v/>
      </c>
      <c r="U340" s="73">
        <f>+IF(AND(T340=0,T339&gt;0,(U$222-T$222)&gt;0),U$222-T$222,T340)</f>
        <v/>
      </c>
      <c r="V340" s="73">
        <f>+IF(AND(U340=0,U339&gt;0,(V$222-U$222)&gt;0),V$222-U$222,U340)</f>
        <v/>
      </c>
      <c r="W340" s="73">
        <f>+IF(AND(V340=0,V339&gt;0,(W$222-V$222)&gt;0),W$222-V$222,V340)</f>
        <v/>
      </c>
      <c r="X340" s="1071">
        <f>+IF(AND(W340=0,W339&gt;0,(X$222-W$222)&gt;0),X$222-W$222,W340)</f>
        <v/>
      </c>
      <c r="Y340" s="73">
        <f>+IF(AND(X340=0,X339&gt;0,(Y$222-X$222)&gt;0),Y$222-X$222,X340)</f>
        <v/>
      </c>
      <c r="Z340" s="73">
        <f>+IF(AND(Y340=0,Y339&gt;0,(Z$222-Y$222)&gt;0),Z$222-Y$222,Y340)</f>
        <v/>
      </c>
      <c r="AA340" s="73">
        <f>+IF(AND(Z340=0,Z339&gt;0,(AA$222-Z$222)&gt;0),AA$222-Z$222,Z340)</f>
        <v/>
      </c>
      <c r="AB340" s="73">
        <f>+IF(AND(AA340=0,AA339&gt;0,(AB$222-AA$222)&gt;0),AB$222-AA$222,AA340)</f>
        <v/>
      </c>
      <c r="AC340" s="73">
        <f>+IF(AND(AB340=0,AB339&gt;0,(AC$222-AB$222)&gt;0),AC$222-AB$222,AB340)</f>
        <v/>
      </c>
      <c r="AD340" s="1071">
        <f>+IF(AND(AC340=0,AC339&gt;0,(AD$222-AC$222)&gt;0),AD$222-AC$222,AC340)</f>
        <v/>
      </c>
      <c r="AE340" s="73">
        <f>+IF(AND(AD340=0,AD339&gt;0,(AE$222-AD$222)&gt;0),AE$222-AD$222,AD340)</f>
        <v/>
      </c>
      <c r="AF340" s="73">
        <f>+IF(AND(AE340=0,AE339&gt;0,(AF$222-AE$222)&gt;0),AF$222-AE$222,AE340)</f>
        <v/>
      </c>
      <c r="AG340" s="73">
        <f>+IF(AND(AF340=0,AF339&gt;0,(AG$222-AF$222)&gt;0),AG$222-AF$222,AF340)</f>
        <v/>
      </c>
      <c r="AH340" s="73">
        <f>+IF(AND(AG340=0,AG339&gt;0,(AH$222-AG$222)&gt;0),AH$222-AG$222,AG340)</f>
        <v/>
      </c>
      <c r="AI340" s="73">
        <f>+IF(AND(AH340=0,AH339&gt;0,(AI$222-AH$222)&gt;0),AI$222-AH$222,AH340)</f>
        <v/>
      </c>
      <c r="AJ340" s="1071">
        <f>+IF(AND(AI340=0,AI339&gt;0,(AJ$222-AI$222)&gt;0),AJ$222-AI$222,AI340)</f>
        <v/>
      </c>
      <c r="AK340" s="73">
        <f>+IF(AND(AJ340=0,AJ339&gt;0,(AK$222-AJ$222)&gt;0),AK$222-AJ$222,AJ340)</f>
        <v/>
      </c>
      <c r="AL340" s="73">
        <f>+IF(AND(AK340=0,AK339&gt;0,(AL$222-AK$222)&gt;0),AL$222-AK$222,AK340)</f>
        <v/>
      </c>
      <c r="AM340" s="73">
        <f>+IF(AND(AL340=0,AL339&gt;0,(AM$222-AL$222)&gt;0),AM$222-AL$222,AL340)</f>
        <v/>
      </c>
      <c r="AN340" s="73">
        <f>+IF(AND(AM340=0,AM339&gt;0,(AN$222-AM$222)&gt;0),AN$222-AM$222,AM340)</f>
        <v/>
      </c>
      <c r="AO340" s="73">
        <f>+IF(AND(AN340=0,AN339&gt;0,(AO$222-AN$222)&gt;0),AO$222-AN$222,AN340)</f>
        <v/>
      </c>
      <c r="AP340" s="1071">
        <f>+IF(AND(AO340=0,AO339&gt;0,(AP$222-AO$222)&gt;0),AP$222-AO$222,AO340)</f>
        <v/>
      </c>
      <c r="AQ340" s="73">
        <f>+IF(AND(AP340=0,AP339&gt;0,(AQ$222-AP$222)&gt;0),AQ$222-AP$222,AP340)</f>
        <v/>
      </c>
      <c r="AR340" s="73">
        <f>+IF(AND(AQ340=0,AQ339&gt;0,(AR$222-AQ$222)&gt;0),AR$222-AQ$222,AQ340)</f>
        <v/>
      </c>
      <c r="AS340" s="73">
        <f>+IF(AND(AR340=0,AR339&gt;0,(AS$222-AR$222)&gt;0),AS$222-AR$222,AR340)</f>
        <v/>
      </c>
      <c r="AT340" s="73">
        <f>+IF(AND(AS340=0,AS339&gt;0,(AT$222-AS$222)&gt;0),AT$222-AS$222,AS340)</f>
        <v/>
      </c>
      <c r="AU340" s="73">
        <f>+IF(AND(AT340=0,AT339&gt;0,(AU$222-AT$222)&gt;0),AU$222-AT$222,AT340)</f>
        <v/>
      </c>
      <c r="AV340" s="1071">
        <f>+IF(AND(AU340=0,AU339&gt;0,(AV$222-AU$222)&gt;0),AV$222-AU$222,AU340)</f>
        <v/>
      </c>
      <c r="AW340" s="73">
        <f>+IF(AND(AV340=0,AV339&gt;0,(AW$222-AV$222)&gt;0),AW$222-AV$222,AV340)</f>
        <v/>
      </c>
      <c r="AX340" s="73">
        <f>+IF(AND(AW340=0,AW339&gt;0,(AX$222-AW$222)&gt;0),AX$222-AW$222,AW340)</f>
        <v/>
      </c>
      <c r="AY340" s="73">
        <f>+IF(AND(AX340=0,AX339&gt;0,(AY$222-AX$222)&gt;0),AY$222-AX$222,AX340)</f>
        <v/>
      </c>
      <c r="AZ340" s="73">
        <f>+IF(AND(AY340=0,AY339&gt;0,(AZ$222-AY$222)&gt;0),AZ$222-AY$222,AY340)</f>
        <v/>
      </c>
      <c r="BA340" s="73">
        <f>+IF(AND(AZ340=0,AZ339&gt;0,(BA$222-AZ$222)&gt;0),BA$222-AZ$222,AZ340)</f>
        <v/>
      </c>
      <c r="BB340" s="1071">
        <f>+IF(AND(BA340=0,BA339&gt;0,(BB$222-BA$222)&gt;0),BB$222-BA$222,BA340)</f>
        <v/>
      </c>
      <c r="BC340" s="73">
        <f>+IF(AND(BB340=0,BB339&gt;0,(BC$222-BB$222)&gt;0),BC$222-BB$222,BB340)</f>
        <v/>
      </c>
      <c r="BD340" s="73">
        <f>+IF(AND(BC340=0,BC339&gt;0,(BD$222-BC$222)&gt;0),BD$222-BC$222,BC340)</f>
        <v/>
      </c>
      <c r="BE340" s="73">
        <f>+IF(AND(BD340=0,BD339&gt;0,(BE$222-BD$222)&gt;0),BE$222-BD$222,BD340)</f>
        <v/>
      </c>
      <c r="BF340" s="73">
        <f>+IF(AND(BE340=0,BE339&gt;0,(BF$222-BE$222)&gt;0),BF$222-BE$222,BE340)</f>
        <v/>
      </c>
      <c r="BG340" s="73">
        <f>+IF(AND(BF340=0,BF339&gt;0,(BG$222-BF$222)&gt;0),BG$222-BF$222,BF340)</f>
        <v/>
      </c>
      <c r="BH340" s="1071">
        <f>+IF(AND(BG340=0,BG339&gt;0,(BH$222-BG$222)&gt;0),BH$222-BG$222,BG340)</f>
        <v/>
      </c>
      <c r="BI340" s="73">
        <f>+IF(AND(BH340=0,BH339&gt;0,(BI$222-BH$222)&gt;0),BI$222-BH$222,BH340)</f>
        <v/>
      </c>
      <c r="BJ340" s="73">
        <f>+IF(AND(BI340=0,BI339&gt;0,(BJ$222-BI$222)&gt;0),BJ$222-BI$222,BI340)</f>
        <v/>
      </c>
      <c r="BK340" s="73">
        <f>+IF(AND(BJ340=0,BJ339&gt;0,(BK$222-BJ$222)&gt;0),BK$222-BJ$222,BJ340)</f>
        <v/>
      </c>
      <c r="BL340" s="73">
        <f>+IF(AND(BK340=0,BK339&gt;0,(BL$222-BK$222)&gt;0),BL$222-BK$222,BK340)</f>
        <v/>
      </c>
      <c r="BM340" s="73">
        <f>+IF(AND(BL340=0,BL339&gt;0,(BM$222-BL$222)&gt;0),BM$222-BL$222,BL340)</f>
        <v/>
      </c>
      <c r="BN340" s="1071">
        <f>+IF(AND(BM340=0,BM339&gt;0,(BN$222-BM$222)&gt;0),BN$222-BM$222,BM340)</f>
        <v/>
      </c>
    </row>
    <row r="341" ht="12.75" customHeight="1" s="1883">
      <c r="C341" s="1155" t="inlineStr">
        <is>
          <t>Addition 27</t>
        </is>
      </c>
      <c r="D341" s="670" t="n"/>
      <c r="E341" s="671" t="n"/>
      <c r="F341" s="74" t="n"/>
      <c r="G341" s="73">
        <f>+IF(AND(F341=0,F340&gt;0,(G$222-F$222)&gt;0),G$222-F$222,F341)</f>
        <v/>
      </c>
      <c r="H341" s="73">
        <f>+IF(AND(G341=0,G340&gt;0,(H$222-G$222)&gt;0),H$222-G$222,G341)</f>
        <v/>
      </c>
      <c r="I341" s="73">
        <f>+IF(AND(H341=0,H340&gt;0,(I$222-H$222)&gt;0),I$222-H$222,H341)</f>
        <v/>
      </c>
      <c r="J341" s="73">
        <f>+IF(AND(I341=0,I340&gt;0,(J$222-I$222)&gt;0),J$222-I$222,I341)</f>
        <v/>
      </c>
      <c r="K341" s="73">
        <f>+IF(AND(J341=0,J340&gt;0,(K$222-J$222)&gt;0),K$222-J$222,J341)</f>
        <v/>
      </c>
      <c r="L341" s="1071">
        <f>+IF(AND(K341=0,K340&gt;0,(L$222-K$222)&gt;0),L$222-K$222,K341)</f>
        <v/>
      </c>
      <c r="M341" s="73">
        <f>+IF(AND(L341=0,L340&gt;0,(M$222-L$222)&gt;0),M$222-L$222,L341)</f>
        <v/>
      </c>
      <c r="N341" s="73">
        <f>+IF(AND(M341=0,M340&gt;0,(N$222-M$222)&gt;0),N$222-M$222,M341)</f>
        <v/>
      </c>
      <c r="O341" s="73">
        <f>+IF(AND(N341=0,N340&gt;0,(O$222-N$222)&gt;0),O$222-N$222,N341)</f>
        <v/>
      </c>
      <c r="P341" s="73">
        <f>+IF(AND(O341=0,O340&gt;0,(P$222-O$222)&gt;0),P$222-O$222,O341)</f>
        <v/>
      </c>
      <c r="Q341" s="73">
        <f>+IF(AND(P341=0,P340&gt;0,(Q$222-P$222)&gt;0),Q$222-P$222,P341)</f>
        <v/>
      </c>
      <c r="R341" s="1071">
        <f>+IF(AND(Q341=0,Q340&gt;0,(R$222-Q$222)&gt;0),R$222-Q$222,Q341)</f>
        <v/>
      </c>
      <c r="S341" s="73">
        <f>+IF(AND(R341=0,R340&gt;0,(S$222-R$222)&gt;0),S$222-R$222,R341)</f>
        <v/>
      </c>
      <c r="T341" s="73">
        <f>+IF(AND(S341=0,S340&gt;0,(T$222-S$222)&gt;0),T$222-S$222,S341)</f>
        <v/>
      </c>
      <c r="U341" s="73">
        <f>+IF(AND(T341=0,T340&gt;0,(U$222-T$222)&gt;0),U$222-T$222,T341)</f>
        <v/>
      </c>
      <c r="V341" s="73">
        <f>+IF(AND(U341=0,U340&gt;0,(V$222-U$222)&gt;0),V$222-U$222,U341)</f>
        <v/>
      </c>
      <c r="W341" s="73">
        <f>+IF(AND(V341=0,V340&gt;0,(W$222-V$222)&gt;0),W$222-V$222,V341)</f>
        <v/>
      </c>
      <c r="X341" s="1071">
        <f>+IF(AND(W341=0,W340&gt;0,(X$222-W$222)&gt;0),X$222-W$222,W341)</f>
        <v/>
      </c>
      <c r="Y341" s="73">
        <f>+IF(AND(X341=0,X340&gt;0,(Y$222-X$222)&gt;0),Y$222-X$222,X341)</f>
        <v/>
      </c>
      <c r="Z341" s="73">
        <f>+IF(AND(Y341=0,Y340&gt;0,(Z$222-Y$222)&gt;0),Z$222-Y$222,Y341)</f>
        <v/>
      </c>
      <c r="AA341" s="73">
        <f>+IF(AND(Z341=0,Z340&gt;0,(AA$222-Z$222)&gt;0),AA$222-Z$222,Z341)</f>
        <v/>
      </c>
      <c r="AB341" s="73">
        <f>+IF(AND(AA341=0,AA340&gt;0,(AB$222-AA$222)&gt;0),AB$222-AA$222,AA341)</f>
        <v/>
      </c>
      <c r="AC341" s="73">
        <f>+IF(AND(AB341=0,AB340&gt;0,(AC$222-AB$222)&gt;0),AC$222-AB$222,AB341)</f>
        <v/>
      </c>
      <c r="AD341" s="1071">
        <f>+IF(AND(AC341=0,AC340&gt;0,(AD$222-AC$222)&gt;0),AD$222-AC$222,AC341)</f>
        <v/>
      </c>
      <c r="AE341" s="73">
        <f>+IF(AND(AD341=0,AD340&gt;0,(AE$222-AD$222)&gt;0),AE$222-AD$222,AD341)</f>
        <v/>
      </c>
      <c r="AF341" s="73">
        <f>+IF(AND(AE341=0,AE340&gt;0,(AF$222-AE$222)&gt;0),AF$222-AE$222,AE341)</f>
        <v/>
      </c>
      <c r="AG341" s="73">
        <f>+IF(AND(AF341=0,AF340&gt;0,(AG$222-AF$222)&gt;0),AG$222-AF$222,AF341)</f>
        <v/>
      </c>
      <c r="AH341" s="73">
        <f>+IF(AND(AG341=0,AG340&gt;0,(AH$222-AG$222)&gt;0),AH$222-AG$222,AG341)</f>
        <v/>
      </c>
      <c r="AI341" s="73">
        <f>+IF(AND(AH341=0,AH340&gt;0,(AI$222-AH$222)&gt;0),AI$222-AH$222,AH341)</f>
        <v/>
      </c>
      <c r="AJ341" s="1071">
        <f>+IF(AND(AI341=0,AI340&gt;0,(AJ$222-AI$222)&gt;0),AJ$222-AI$222,AI341)</f>
        <v/>
      </c>
      <c r="AK341" s="73">
        <f>+IF(AND(AJ341=0,AJ340&gt;0,(AK$222-AJ$222)&gt;0),AK$222-AJ$222,AJ341)</f>
        <v/>
      </c>
      <c r="AL341" s="73">
        <f>+IF(AND(AK341=0,AK340&gt;0,(AL$222-AK$222)&gt;0),AL$222-AK$222,AK341)</f>
        <v/>
      </c>
      <c r="AM341" s="73">
        <f>+IF(AND(AL341=0,AL340&gt;0,(AM$222-AL$222)&gt;0),AM$222-AL$222,AL341)</f>
        <v/>
      </c>
      <c r="AN341" s="73">
        <f>+IF(AND(AM341=0,AM340&gt;0,(AN$222-AM$222)&gt;0),AN$222-AM$222,AM341)</f>
        <v/>
      </c>
      <c r="AO341" s="73">
        <f>+IF(AND(AN341=0,AN340&gt;0,(AO$222-AN$222)&gt;0),AO$222-AN$222,AN341)</f>
        <v/>
      </c>
      <c r="AP341" s="1071">
        <f>+IF(AND(AO341=0,AO340&gt;0,(AP$222-AO$222)&gt;0),AP$222-AO$222,AO341)</f>
        <v/>
      </c>
      <c r="AQ341" s="73">
        <f>+IF(AND(AP341=0,AP340&gt;0,(AQ$222-AP$222)&gt;0),AQ$222-AP$222,AP341)</f>
        <v/>
      </c>
      <c r="AR341" s="73">
        <f>+IF(AND(AQ341=0,AQ340&gt;0,(AR$222-AQ$222)&gt;0),AR$222-AQ$222,AQ341)</f>
        <v/>
      </c>
      <c r="AS341" s="73">
        <f>+IF(AND(AR341=0,AR340&gt;0,(AS$222-AR$222)&gt;0),AS$222-AR$222,AR341)</f>
        <v/>
      </c>
      <c r="AT341" s="73">
        <f>+IF(AND(AS341=0,AS340&gt;0,(AT$222-AS$222)&gt;0),AT$222-AS$222,AS341)</f>
        <v/>
      </c>
      <c r="AU341" s="73">
        <f>+IF(AND(AT341=0,AT340&gt;0,(AU$222-AT$222)&gt;0),AU$222-AT$222,AT341)</f>
        <v/>
      </c>
      <c r="AV341" s="1071">
        <f>+IF(AND(AU341=0,AU340&gt;0,(AV$222-AU$222)&gt;0),AV$222-AU$222,AU341)</f>
        <v/>
      </c>
      <c r="AW341" s="73">
        <f>+IF(AND(AV341=0,AV340&gt;0,(AW$222-AV$222)&gt;0),AW$222-AV$222,AV341)</f>
        <v/>
      </c>
      <c r="AX341" s="73">
        <f>+IF(AND(AW341=0,AW340&gt;0,(AX$222-AW$222)&gt;0),AX$222-AW$222,AW341)</f>
        <v/>
      </c>
      <c r="AY341" s="73">
        <f>+IF(AND(AX341=0,AX340&gt;0,(AY$222-AX$222)&gt;0),AY$222-AX$222,AX341)</f>
        <v/>
      </c>
      <c r="AZ341" s="73">
        <f>+IF(AND(AY341=0,AY340&gt;0,(AZ$222-AY$222)&gt;0),AZ$222-AY$222,AY341)</f>
        <v/>
      </c>
      <c r="BA341" s="73">
        <f>+IF(AND(AZ341=0,AZ340&gt;0,(BA$222-AZ$222)&gt;0),BA$222-AZ$222,AZ341)</f>
        <v/>
      </c>
      <c r="BB341" s="1071">
        <f>+IF(AND(BA341=0,BA340&gt;0,(BB$222-BA$222)&gt;0),BB$222-BA$222,BA341)</f>
        <v/>
      </c>
      <c r="BC341" s="73">
        <f>+IF(AND(BB341=0,BB340&gt;0,(BC$222-BB$222)&gt;0),BC$222-BB$222,BB341)</f>
        <v/>
      </c>
      <c r="BD341" s="73">
        <f>+IF(AND(BC341=0,BC340&gt;0,(BD$222-BC$222)&gt;0),BD$222-BC$222,BC341)</f>
        <v/>
      </c>
      <c r="BE341" s="73">
        <f>+IF(AND(BD341=0,BD340&gt;0,(BE$222-BD$222)&gt;0),BE$222-BD$222,BD341)</f>
        <v/>
      </c>
      <c r="BF341" s="73">
        <f>+IF(AND(BE341=0,BE340&gt;0,(BF$222-BE$222)&gt;0),BF$222-BE$222,BE341)</f>
        <v/>
      </c>
      <c r="BG341" s="73">
        <f>+IF(AND(BF341=0,BF340&gt;0,(BG$222-BF$222)&gt;0),BG$222-BF$222,BF341)</f>
        <v/>
      </c>
      <c r="BH341" s="1071">
        <f>+IF(AND(BG341=0,BG340&gt;0,(BH$222-BG$222)&gt;0),BH$222-BG$222,BG341)</f>
        <v/>
      </c>
      <c r="BI341" s="73">
        <f>+IF(AND(BH341=0,BH340&gt;0,(BI$222-BH$222)&gt;0),BI$222-BH$222,BH341)</f>
        <v/>
      </c>
      <c r="BJ341" s="73">
        <f>+IF(AND(BI341=0,BI340&gt;0,(BJ$222-BI$222)&gt;0),BJ$222-BI$222,BI341)</f>
        <v/>
      </c>
      <c r="BK341" s="73">
        <f>+IF(AND(BJ341=0,BJ340&gt;0,(BK$222-BJ$222)&gt;0),BK$222-BJ$222,BJ341)</f>
        <v/>
      </c>
      <c r="BL341" s="73">
        <f>+IF(AND(BK341=0,BK340&gt;0,(BL$222-BK$222)&gt;0),BL$222-BK$222,BK341)</f>
        <v/>
      </c>
      <c r="BM341" s="73">
        <f>+IF(AND(BL341=0,BL340&gt;0,(BM$222-BL$222)&gt;0),BM$222-BL$222,BL341)</f>
        <v/>
      </c>
      <c r="BN341" s="1071">
        <f>+IF(AND(BM341=0,BM340&gt;0,(BN$222-BM$222)&gt;0),BN$222-BM$222,BM341)</f>
        <v/>
      </c>
    </row>
    <row r="342" ht="12.75" customHeight="1" s="1883">
      <c r="C342" s="1155" t="inlineStr">
        <is>
          <t>Addition 28</t>
        </is>
      </c>
      <c r="D342" s="670" t="n"/>
      <c r="E342" s="671" t="n"/>
      <c r="F342" s="74" t="n"/>
      <c r="G342" s="73">
        <f>+IF(AND(F342=0,F341&gt;0,(G$222-F$222)&gt;0),G$222-F$222,F342)</f>
        <v/>
      </c>
      <c r="H342" s="73">
        <f>+IF(AND(G342=0,G341&gt;0,(H$222-G$222)&gt;0),H$222-G$222,G342)</f>
        <v/>
      </c>
      <c r="I342" s="73">
        <f>+IF(AND(H342=0,H341&gt;0,(I$222-H$222)&gt;0),I$222-H$222,H342)</f>
        <v/>
      </c>
      <c r="J342" s="73">
        <f>+IF(AND(I342=0,I341&gt;0,(J$222-I$222)&gt;0),J$222-I$222,I342)</f>
        <v/>
      </c>
      <c r="K342" s="73">
        <f>+IF(AND(J342=0,J341&gt;0,(K$222-J$222)&gt;0),K$222-J$222,J342)</f>
        <v/>
      </c>
      <c r="L342" s="1071">
        <f>+IF(AND(K342=0,K341&gt;0,(L$222-K$222)&gt;0),L$222-K$222,K342)</f>
        <v/>
      </c>
      <c r="M342" s="73">
        <f>+IF(AND(L342=0,L341&gt;0,(M$222-L$222)&gt;0),M$222-L$222,L342)</f>
        <v/>
      </c>
      <c r="N342" s="73">
        <f>+IF(AND(M342=0,M341&gt;0,(N$222-M$222)&gt;0),N$222-M$222,M342)</f>
        <v/>
      </c>
      <c r="O342" s="73">
        <f>+IF(AND(N342=0,N341&gt;0,(O$222-N$222)&gt;0),O$222-N$222,N342)</f>
        <v/>
      </c>
      <c r="P342" s="73">
        <f>+IF(AND(O342=0,O341&gt;0,(P$222-O$222)&gt;0),P$222-O$222,O342)</f>
        <v/>
      </c>
      <c r="Q342" s="73">
        <f>+IF(AND(P342=0,P341&gt;0,(Q$222-P$222)&gt;0),Q$222-P$222,P342)</f>
        <v/>
      </c>
      <c r="R342" s="1071">
        <f>+IF(AND(Q342=0,Q341&gt;0,(R$222-Q$222)&gt;0),R$222-Q$222,Q342)</f>
        <v/>
      </c>
      <c r="S342" s="73">
        <f>+IF(AND(R342=0,R341&gt;0,(S$222-R$222)&gt;0),S$222-R$222,R342)</f>
        <v/>
      </c>
      <c r="T342" s="73">
        <f>+IF(AND(S342=0,S341&gt;0,(T$222-S$222)&gt;0),T$222-S$222,S342)</f>
        <v/>
      </c>
      <c r="U342" s="73">
        <f>+IF(AND(T342=0,T341&gt;0,(U$222-T$222)&gt;0),U$222-T$222,T342)</f>
        <v/>
      </c>
      <c r="V342" s="73">
        <f>+IF(AND(U342=0,U341&gt;0,(V$222-U$222)&gt;0),V$222-U$222,U342)</f>
        <v/>
      </c>
      <c r="W342" s="73">
        <f>+IF(AND(V342=0,V341&gt;0,(W$222-V$222)&gt;0),W$222-V$222,V342)</f>
        <v/>
      </c>
      <c r="X342" s="1071">
        <f>+IF(AND(W342=0,W341&gt;0,(X$222-W$222)&gt;0),X$222-W$222,W342)</f>
        <v/>
      </c>
      <c r="Y342" s="73">
        <f>+IF(AND(X342=0,X341&gt;0,(Y$222-X$222)&gt;0),Y$222-X$222,X342)</f>
        <v/>
      </c>
      <c r="Z342" s="73">
        <f>+IF(AND(Y342=0,Y341&gt;0,(Z$222-Y$222)&gt;0),Z$222-Y$222,Y342)</f>
        <v/>
      </c>
      <c r="AA342" s="73">
        <f>+IF(AND(Z342=0,Z341&gt;0,(AA$222-Z$222)&gt;0),AA$222-Z$222,Z342)</f>
        <v/>
      </c>
      <c r="AB342" s="73">
        <f>+IF(AND(AA342=0,AA341&gt;0,(AB$222-AA$222)&gt;0),AB$222-AA$222,AA342)</f>
        <v/>
      </c>
      <c r="AC342" s="73">
        <f>+IF(AND(AB342=0,AB341&gt;0,(AC$222-AB$222)&gt;0),AC$222-AB$222,AB342)</f>
        <v/>
      </c>
      <c r="AD342" s="1071">
        <f>+IF(AND(AC342=0,AC341&gt;0,(AD$222-AC$222)&gt;0),AD$222-AC$222,AC342)</f>
        <v/>
      </c>
      <c r="AE342" s="73">
        <f>+IF(AND(AD342=0,AD341&gt;0,(AE$222-AD$222)&gt;0),AE$222-AD$222,AD342)</f>
        <v/>
      </c>
      <c r="AF342" s="73">
        <f>+IF(AND(AE342=0,AE341&gt;0,(AF$222-AE$222)&gt;0),AF$222-AE$222,AE342)</f>
        <v/>
      </c>
      <c r="AG342" s="73">
        <f>+IF(AND(AF342=0,AF341&gt;0,(AG$222-AF$222)&gt;0),AG$222-AF$222,AF342)</f>
        <v/>
      </c>
      <c r="AH342" s="73">
        <f>+IF(AND(AG342=0,AG341&gt;0,(AH$222-AG$222)&gt;0),AH$222-AG$222,AG342)</f>
        <v/>
      </c>
      <c r="AI342" s="73">
        <f>+IF(AND(AH342=0,AH341&gt;0,(AI$222-AH$222)&gt;0),AI$222-AH$222,AH342)</f>
        <v/>
      </c>
      <c r="AJ342" s="1071">
        <f>+IF(AND(AI342=0,AI341&gt;0,(AJ$222-AI$222)&gt;0),AJ$222-AI$222,AI342)</f>
        <v/>
      </c>
      <c r="AK342" s="73">
        <f>+IF(AND(AJ342=0,AJ341&gt;0,(AK$222-AJ$222)&gt;0),AK$222-AJ$222,AJ342)</f>
        <v/>
      </c>
      <c r="AL342" s="73">
        <f>+IF(AND(AK342=0,AK341&gt;0,(AL$222-AK$222)&gt;0),AL$222-AK$222,AK342)</f>
        <v/>
      </c>
      <c r="AM342" s="73">
        <f>+IF(AND(AL342=0,AL341&gt;0,(AM$222-AL$222)&gt;0),AM$222-AL$222,AL342)</f>
        <v/>
      </c>
      <c r="AN342" s="73">
        <f>+IF(AND(AM342=0,AM341&gt;0,(AN$222-AM$222)&gt;0),AN$222-AM$222,AM342)</f>
        <v/>
      </c>
      <c r="AO342" s="73">
        <f>+IF(AND(AN342=0,AN341&gt;0,(AO$222-AN$222)&gt;0),AO$222-AN$222,AN342)</f>
        <v/>
      </c>
      <c r="AP342" s="1071">
        <f>+IF(AND(AO342=0,AO341&gt;0,(AP$222-AO$222)&gt;0),AP$222-AO$222,AO342)</f>
        <v/>
      </c>
      <c r="AQ342" s="73">
        <f>+IF(AND(AP342=0,AP341&gt;0,(AQ$222-AP$222)&gt;0),AQ$222-AP$222,AP342)</f>
        <v/>
      </c>
      <c r="AR342" s="73">
        <f>+IF(AND(AQ342=0,AQ341&gt;0,(AR$222-AQ$222)&gt;0),AR$222-AQ$222,AQ342)</f>
        <v/>
      </c>
      <c r="AS342" s="73">
        <f>+IF(AND(AR342=0,AR341&gt;0,(AS$222-AR$222)&gt;0),AS$222-AR$222,AR342)</f>
        <v/>
      </c>
      <c r="AT342" s="73">
        <f>+IF(AND(AS342=0,AS341&gt;0,(AT$222-AS$222)&gt;0),AT$222-AS$222,AS342)</f>
        <v/>
      </c>
      <c r="AU342" s="73">
        <f>+IF(AND(AT342=0,AT341&gt;0,(AU$222-AT$222)&gt;0),AU$222-AT$222,AT342)</f>
        <v/>
      </c>
      <c r="AV342" s="1071">
        <f>+IF(AND(AU342=0,AU341&gt;0,(AV$222-AU$222)&gt;0),AV$222-AU$222,AU342)</f>
        <v/>
      </c>
      <c r="AW342" s="73">
        <f>+IF(AND(AV342=0,AV341&gt;0,(AW$222-AV$222)&gt;0),AW$222-AV$222,AV342)</f>
        <v/>
      </c>
      <c r="AX342" s="73">
        <f>+IF(AND(AW342=0,AW341&gt;0,(AX$222-AW$222)&gt;0),AX$222-AW$222,AW342)</f>
        <v/>
      </c>
      <c r="AY342" s="73">
        <f>+IF(AND(AX342=0,AX341&gt;0,(AY$222-AX$222)&gt;0),AY$222-AX$222,AX342)</f>
        <v/>
      </c>
      <c r="AZ342" s="73">
        <f>+IF(AND(AY342=0,AY341&gt;0,(AZ$222-AY$222)&gt;0),AZ$222-AY$222,AY342)</f>
        <v/>
      </c>
      <c r="BA342" s="73">
        <f>+IF(AND(AZ342=0,AZ341&gt;0,(BA$222-AZ$222)&gt;0),BA$222-AZ$222,AZ342)</f>
        <v/>
      </c>
      <c r="BB342" s="1071">
        <f>+IF(AND(BA342=0,BA341&gt;0,(BB$222-BA$222)&gt;0),BB$222-BA$222,BA342)</f>
        <v/>
      </c>
      <c r="BC342" s="73">
        <f>+IF(AND(BB342=0,BB341&gt;0,(BC$222-BB$222)&gt;0),BC$222-BB$222,BB342)</f>
        <v/>
      </c>
      <c r="BD342" s="73">
        <f>+IF(AND(BC342=0,BC341&gt;0,(BD$222-BC$222)&gt;0),BD$222-BC$222,BC342)</f>
        <v/>
      </c>
      <c r="BE342" s="73">
        <f>+IF(AND(BD342=0,BD341&gt;0,(BE$222-BD$222)&gt;0),BE$222-BD$222,BD342)</f>
        <v/>
      </c>
      <c r="BF342" s="73">
        <f>+IF(AND(BE342=0,BE341&gt;0,(BF$222-BE$222)&gt;0),BF$222-BE$222,BE342)</f>
        <v/>
      </c>
      <c r="BG342" s="73">
        <f>+IF(AND(BF342=0,BF341&gt;0,(BG$222-BF$222)&gt;0),BG$222-BF$222,BF342)</f>
        <v/>
      </c>
      <c r="BH342" s="1071">
        <f>+IF(AND(BG342=0,BG341&gt;0,(BH$222-BG$222)&gt;0),BH$222-BG$222,BG342)</f>
        <v/>
      </c>
      <c r="BI342" s="73">
        <f>+IF(AND(BH342=0,BH341&gt;0,(BI$222-BH$222)&gt;0),BI$222-BH$222,BH342)</f>
        <v/>
      </c>
      <c r="BJ342" s="73">
        <f>+IF(AND(BI342=0,BI341&gt;0,(BJ$222-BI$222)&gt;0),BJ$222-BI$222,BI342)</f>
        <v/>
      </c>
      <c r="BK342" s="73">
        <f>+IF(AND(BJ342=0,BJ341&gt;0,(BK$222-BJ$222)&gt;0),BK$222-BJ$222,BJ342)</f>
        <v/>
      </c>
      <c r="BL342" s="73">
        <f>+IF(AND(BK342=0,BK341&gt;0,(BL$222-BK$222)&gt;0),BL$222-BK$222,BK342)</f>
        <v/>
      </c>
      <c r="BM342" s="73">
        <f>+IF(AND(BL342=0,BL341&gt;0,(BM$222-BL$222)&gt;0),BM$222-BL$222,BL342)</f>
        <v/>
      </c>
      <c r="BN342" s="1071">
        <f>+IF(AND(BM342=0,BM341&gt;0,(BN$222-BM$222)&gt;0),BN$222-BM$222,BM342)</f>
        <v/>
      </c>
    </row>
    <row r="343" ht="12.75" customHeight="1" s="1883">
      <c r="C343" s="1155" t="inlineStr">
        <is>
          <t>Addition 29</t>
        </is>
      </c>
      <c r="D343" s="670" t="n"/>
      <c r="E343" s="671" t="n"/>
      <c r="F343" s="74" t="n"/>
      <c r="G343" s="73">
        <f>+IF(AND(F343=0,F342&gt;0,(G$222-F$222)&gt;0),G$222-F$222,F343)</f>
        <v/>
      </c>
      <c r="H343" s="73">
        <f>+IF(AND(G343=0,G342&gt;0,(H$222-G$222)&gt;0),H$222-G$222,G343)</f>
        <v/>
      </c>
      <c r="I343" s="73">
        <f>+IF(AND(H343=0,H342&gt;0,(I$222-H$222)&gt;0),I$222-H$222,H343)</f>
        <v/>
      </c>
      <c r="J343" s="73">
        <f>+IF(AND(I343=0,I342&gt;0,(J$222-I$222)&gt;0),J$222-I$222,I343)</f>
        <v/>
      </c>
      <c r="K343" s="73">
        <f>+IF(AND(J343=0,J342&gt;0,(K$222-J$222)&gt;0),K$222-J$222,J343)</f>
        <v/>
      </c>
      <c r="L343" s="1071">
        <f>+IF(AND(K343=0,K342&gt;0,(L$222-K$222)&gt;0),L$222-K$222,K343)</f>
        <v/>
      </c>
      <c r="M343" s="73">
        <f>+IF(AND(L343=0,L342&gt;0,(M$222-L$222)&gt;0),M$222-L$222,L343)</f>
        <v/>
      </c>
      <c r="N343" s="73">
        <f>+IF(AND(M343=0,M342&gt;0,(N$222-M$222)&gt;0),N$222-M$222,M343)</f>
        <v/>
      </c>
      <c r="O343" s="73">
        <f>+IF(AND(N343=0,N342&gt;0,(O$222-N$222)&gt;0),O$222-N$222,N343)</f>
        <v/>
      </c>
      <c r="P343" s="73">
        <f>+IF(AND(O343=0,O342&gt;0,(P$222-O$222)&gt;0),P$222-O$222,O343)</f>
        <v/>
      </c>
      <c r="Q343" s="73">
        <f>+IF(AND(P343=0,P342&gt;0,(Q$222-P$222)&gt;0),Q$222-P$222,P343)</f>
        <v/>
      </c>
      <c r="R343" s="1071">
        <f>+IF(AND(Q343=0,Q342&gt;0,(R$222-Q$222)&gt;0),R$222-Q$222,Q343)</f>
        <v/>
      </c>
      <c r="S343" s="73">
        <f>+IF(AND(R343=0,R342&gt;0,(S$222-R$222)&gt;0),S$222-R$222,R343)</f>
        <v/>
      </c>
      <c r="T343" s="73">
        <f>+IF(AND(S343=0,S342&gt;0,(T$222-S$222)&gt;0),T$222-S$222,S343)</f>
        <v/>
      </c>
      <c r="U343" s="73">
        <f>+IF(AND(T343=0,T342&gt;0,(U$222-T$222)&gt;0),U$222-T$222,T343)</f>
        <v/>
      </c>
      <c r="V343" s="73">
        <f>+IF(AND(U343=0,U342&gt;0,(V$222-U$222)&gt;0),V$222-U$222,U343)</f>
        <v/>
      </c>
      <c r="W343" s="73">
        <f>+IF(AND(V343=0,V342&gt;0,(W$222-V$222)&gt;0),W$222-V$222,V343)</f>
        <v/>
      </c>
      <c r="X343" s="1071">
        <f>+IF(AND(W343=0,W342&gt;0,(X$222-W$222)&gt;0),X$222-W$222,W343)</f>
        <v/>
      </c>
      <c r="Y343" s="73">
        <f>+IF(AND(X343=0,X342&gt;0,(Y$222-X$222)&gt;0),Y$222-X$222,X343)</f>
        <v/>
      </c>
      <c r="Z343" s="73">
        <f>+IF(AND(Y343=0,Y342&gt;0,(Z$222-Y$222)&gt;0),Z$222-Y$222,Y343)</f>
        <v/>
      </c>
      <c r="AA343" s="73">
        <f>+IF(AND(Z343=0,Z342&gt;0,(AA$222-Z$222)&gt;0),AA$222-Z$222,Z343)</f>
        <v/>
      </c>
      <c r="AB343" s="73">
        <f>+IF(AND(AA343=0,AA342&gt;0,(AB$222-AA$222)&gt;0),AB$222-AA$222,AA343)</f>
        <v/>
      </c>
      <c r="AC343" s="73">
        <f>+IF(AND(AB343=0,AB342&gt;0,(AC$222-AB$222)&gt;0),AC$222-AB$222,AB343)</f>
        <v/>
      </c>
      <c r="AD343" s="1071">
        <f>+IF(AND(AC343=0,AC342&gt;0,(AD$222-AC$222)&gt;0),AD$222-AC$222,AC343)</f>
        <v/>
      </c>
      <c r="AE343" s="73">
        <f>+IF(AND(AD343=0,AD342&gt;0,(AE$222-AD$222)&gt;0),AE$222-AD$222,AD343)</f>
        <v/>
      </c>
      <c r="AF343" s="73">
        <f>+IF(AND(AE343=0,AE342&gt;0,(AF$222-AE$222)&gt;0),AF$222-AE$222,AE343)</f>
        <v/>
      </c>
      <c r="AG343" s="73">
        <f>+IF(AND(AF343=0,AF342&gt;0,(AG$222-AF$222)&gt;0),AG$222-AF$222,AF343)</f>
        <v/>
      </c>
      <c r="AH343" s="73">
        <f>+IF(AND(AG343=0,AG342&gt;0,(AH$222-AG$222)&gt;0),AH$222-AG$222,AG343)</f>
        <v/>
      </c>
      <c r="AI343" s="73">
        <f>+IF(AND(AH343=0,AH342&gt;0,(AI$222-AH$222)&gt;0),AI$222-AH$222,AH343)</f>
        <v/>
      </c>
      <c r="AJ343" s="1071">
        <f>+IF(AND(AI343=0,AI342&gt;0,(AJ$222-AI$222)&gt;0),AJ$222-AI$222,AI343)</f>
        <v/>
      </c>
      <c r="AK343" s="73">
        <f>+IF(AND(AJ343=0,AJ342&gt;0,(AK$222-AJ$222)&gt;0),AK$222-AJ$222,AJ343)</f>
        <v/>
      </c>
      <c r="AL343" s="73">
        <f>+IF(AND(AK343=0,AK342&gt;0,(AL$222-AK$222)&gt;0),AL$222-AK$222,AK343)</f>
        <v/>
      </c>
      <c r="AM343" s="73">
        <f>+IF(AND(AL343=0,AL342&gt;0,(AM$222-AL$222)&gt;0),AM$222-AL$222,AL343)</f>
        <v/>
      </c>
      <c r="AN343" s="73">
        <f>+IF(AND(AM343=0,AM342&gt;0,(AN$222-AM$222)&gt;0),AN$222-AM$222,AM343)</f>
        <v/>
      </c>
      <c r="AO343" s="73">
        <f>+IF(AND(AN343=0,AN342&gt;0,(AO$222-AN$222)&gt;0),AO$222-AN$222,AN343)</f>
        <v/>
      </c>
      <c r="AP343" s="1071">
        <f>+IF(AND(AO343=0,AO342&gt;0,(AP$222-AO$222)&gt;0),AP$222-AO$222,AO343)</f>
        <v/>
      </c>
      <c r="AQ343" s="73">
        <f>+IF(AND(AP343=0,AP342&gt;0,(AQ$222-AP$222)&gt;0),AQ$222-AP$222,AP343)</f>
        <v/>
      </c>
      <c r="AR343" s="73">
        <f>+IF(AND(AQ343=0,AQ342&gt;0,(AR$222-AQ$222)&gt;0),AR$222-AQ$222,AQ343)</f>
        <v/>
      </c>
      <c r="AS343" s="73">
        <f>+IF(AND(AR343=0,AR342&gt;0,(AS$222-AR$222)&gt;0),AS$222-AR$222,AR343)</f>
        <v/>
      </c>
      <c r="AT343" s="73">
        <f>+IF(AND(AS343=0,AS342&gt;0,(AT$222-AS$222)&gt;0),AT$222-AS$222,AS343)</f>
        <v/>
      </c>
      <c r="AU343" s="73">
        <f>+IF(AND(AT343=0,AT342&gt;0,(AU$222-AT$222)&gt;0),AU$222-AT$222,AT343)</f>
        <v/>
      </c>
      <c r="AV343" s="1071">
        <f>+IF(AND(AU343=0,AU342&gt;0,(AV$222-AU$222)&gt;0),AV$222-AU$222,AU343)</f>
        <v/>
      </c>
      <c r="AW343" s="73">
        <f>+IF(AND(AV343=0,AV342&gt;0,(AW$222-AV$222)&gt;0),AW$222-AV$222,AV343)</f>
        <v/>
      </c>
      <c r="AX343" s="73">
        <f>+IF(AND(AW343=0,AW342&gt;0,(AX$222-AW$222)&gt;0),AX$222-AW$222,AW343)</f>
        <v/>
      </c>
      <c r="AY343" s="73">
        <f>+IF(AND(AX343=0,AX342&gt;0,(AY$222-AX$222)&gt;0),AY$222-AX$222,AX343)</f>
        <v/>
      </c>
      <c r="AZ343" s="73">
        <f>+IF(AND(AY343=0,AY342&gt;0,(AZ$222-AY$222)&gt;0),AZ$222-AY$222,AY343)</f>
        <v/>
      </c>
      <c r="BA343" s="73">
        <f>+IF(AND(AZ343=0,AZ342&gt;0,(BA$222-AZ$222)&gt;0),BA$222-AZ$222,AZ343)</f>
        <v/>
      </c>
      <c r="BB343" s="1071">
        <f>+IF(AND(BA343=0,BA342&gt;0,(BB$222-BA$222)&gt;0),BB$222-BA$222,BA343)</f>
        <v/>
      </c>
      <c r="BC343" s="73">
        <f>+IF(AND(BB343=0,BB342&gt;0,(BC$222-BB$222)&gt;0),BC$222-BB$222,BB343)</f>
        <v/>
      </c>
      <c r="BD343" s="73">
        <f>+IF(AND(BC343=0,BC342&gt;0,(BD$222-BC$222)&gt;0),BD$222-BC$222,BC343)</f>
        <v/>
      </c>
      <c r="BE343" s="73">
        <f>+IF(AND(BD343=0,BD342&gt;0,(BE$222-BD$222)&gt;0),BE$222-BD$222,BD343)</f>
        <v/>
      </c>
      <c r="BF343" s="73">
        <f>+IF(AND(BE343=0,BE342&gt;0,(BF$222-BE$222)&gt;0),BF$222-BE$222,BE343)</f>
        <v/>
      </c>
      <c r="BG343" s="73">
        <f>+IF(AND(BF343=0,BF342&gt;0,(BG$222-BF$222)&gt;0),BG$222-BF$222,BF343)</f>
        <v/>
      </c>
      <c r="BH343" s="1071">
        <f>+IF(AND(BG343=0,BG342&gt;0,(BH$222-BG$222)&gt;0),BH$222-BG$222,BG343)</f>
        <v/>
      </c>
      <c r="BI343" s="73">
        <f>+IF(AND(BH343=0,BH342&gt;0,(BI$222-BH$222)&gt;0),BI$222-BH$222,BH343)</f>
        <v/>
      </c>
      <c r="BJ343" s="73">
        <f>+IF(AND(BI343=0,BI342&gt;0,(BJ$222-BI$222)&gt;0),BJ$222-BI$222,BI343)</f>
        <v/>
      </c>
      <c r="BK343" s="73">
        <f>+IF(AND(BJ343=0,BJ342&gt;0,(BK$222-BJ$222)&gt;0),BK$222-BJ$222,BJ343)</f>
        <v/>
      </c>
      <c r="BL343" s="73">
        <f>+IF(AND(BK343=0,BK342&gt;0,(BL$222-BK$222)&gt;0),BL$222-BK$222,BK343)</f>
        <v/>
      </c>
      <c r="BM343" s="73">
        <f>+IF(AND(BL343=0,BL342&gt;0,(BM$222-BL$222)&gt;0),BM$222-BL$222,BL343)</f>
        <v/>
      </c>
      <c r="BN343" s="1071">
        <f>+IF(AND(BM343=0,BM342&gt;0,(BN$222-BM$222)&gt;0),BN$222-BM$222,BM343)</f>
        <v/>
      </c>
    </row>
    <row r="344" ht="12.75" customHeight="1" s="1883">
      <c r="C344" s="1155" t="inlineStr">
        <is>
          <t>Addition 30</t>
        </is>
      </c>
      <c r="D344" s="670" t="n"/>
      <c r="E344" s="671" t="n"/>
      <c r="F344" s="74" t="n"/>
      <c r="G344" s="73">
        <f>+IF(AND(F344=0,F343&gt;0,(G$222-F$222)&gt;0),G$222-F$222,F344)</f>
        <v/>
      </c>
      <c r="H344" s="73">
        <f>+IF(AND(G344=0,G343&gt;0,(H$222-G$222)&gt;0),H$222-G$222,G344)</f>
        <v/>
      </c>
      <c r="I344" s="73">
        <f>+IF(AND(H344=0,H343&gt;0,(I$222-H$222)&gt;0),I$222-H$222,H344)</f>
        <v/>
      </c>
      <c r="J344" s="73">
        <f>+IF(AND(I344=0,I343&gt;0,(J$222-I$222)&gt;0),J$222-I$222,I344)</f>
        <v/>
      </c>
      <c r="K344" s="73">
        <f>+IF(AND(J344=0,J343&gt;0,(K$222-J$222)&gt;0),K$222-J$222,J344)</f>
        <v/>
      </c>
      <c r="L344" s="1071">
        <f>+IF(AND(K344=0,K343&gt;0,(L$222-K$222)&gt;0),L$222-K$222,K344)</f>
        <v/>
      </c>
      <c r="M344" s="73">
        <f>+IF(AND(L344=0,L343&gt;0,(M$222-L$222)&gt;0),M$222-L$222,L344)</f>
        <v/>
      </c>
      <c r="N344" s="73">
        <f>+IF(AND(M344=0,M343&gt;0,(N$222-M$222)&gt;0),N$222-M$222,M344)</f>
        <v/>
      </c>
      <c r="O344" s="73">
        <f>+IF(AND(N344=0,N343&gt;0,(O$222-N$222)&gt;0),O$222-N$222,N344)</f>
        <v/>
      </c>
      <c r="P344" s="73">
        <f>+IF(AND(O344=0,O343&gt;0,(P$222-O$222)&gt;0),P$222-O$222,O344)</f>
        <v/>
      </c>
      <c r="Q344" s="73">
        <f>+IF(AND(P344=0,P343&gt;0,(Q$222-P$222)&gt;0),Q$222-P$222,P344)</f>
        <v/>
      </c>
      <c r="R344" s="1071">
        <f>+IF(AND(Q344=0,Q343&gt;0,(R$222-Q$222)&gt;0),R$222-Q$222,Q344)</f>
        <v/>
      </c>
      <c r="S344" s="73">
        <f>+IF(AND(R344=0,R343&gt;0,(S$222-R$222)&gt;0),S$222-R$222,R344)</f>
        <v/>
      </c>
      <c r="T344" s="73">
        <f>+IF(AND(S344=0,S343&gt;0,(T$222-S$222)&gt;0),T$222-S$222,S344)</f>
        <v/>
      </c>
      <c r="U344" s="73">
        <f>+IF(AND(T344=0,T343&gt;0,(U$222-T$222)&gt;0),U$222-T$222,T344)</f>
        <v/>
      </c>
      <c r="V344" s="73">
        <f>+IF(AND(U344=0,U343&gt;0,(V$222-U$222)&gt;0),V$222-U$222,U344)</f>
        <v/>
      </c>
      <c r="W344" s="73">
        <f>+IF(AND(V344=0,V343&gt;0,(W$222-V$222)&gt;0),W$222-V$222,V344)</f>
        <v/>
      </c>
      <c r="X344" s="1071">
        <f>+IF(AND(W344=0,W343&gt;0,(X$222-W$222)&gt;0),X$222-W$222,W344)</f>
        <v/>
      </c>
      <c r="Y344" s="73">
        <f>+IF(AND(X344=0,X343&gt;0,(Y$222-X$222)&gt;0),Y$222-X$222,X344)</f>
        <v/>
      </c>
      <c r="Z344" s="73">
        <f>+IF(AND(Y344=0,Y343&gt;0,(Z$222-Y$222)&gt;0),Z$222-Y$222,Y344)</f>
        <v/>
      </c>
      <c r="AA344" s="73">
        <f>+IF(AND(Z344=0,Z343&gt;0,(AA$222-Z$222)&gt;0),AA$222-Z$222,Z344)</f>
        <v/>
      </c>
      <c r="AB344" s="73">
        <f>+IF(AND(AA344=0,AA343&gt;0,(AB$222-AA$222)&gt;0),AB$222-AA$222,AA344)</f>
        <v/>
      </c>
      <c r="AC344" s="73">
        <f>+IF(AND(AB344=0,AB343&gt;0,(AC$222-AB$222)&gt;0),AC$222-AB$222,AB344)</f>
        <v/>
      </c>
      <c r="AD344" s="1071">
        <f>+IF(AND(AC344=0,AC343&gt;0,(AD$222-AC$222)&gt;0),AD$222-AC$222,AC344)</f>
        <v/>
      </c>
      <c r="AE344" s="73">
        <f>+IF(AND(AD344=0,AD343&gt;0,(AE$222-AD$222)&gt;0),AE$222-AD$222,AD344)</f>
        <v/>
      </c>
      <c r="AF344" s="73">
        <f>+IF(AND(AE344=0,AE343&gt;0,(AF$222-AE$222)&gt;0),AF$222-AE$222,AE344)</f>
        <v/>
      </c>
      <c r="AG344" s="73">
        <f>+IF(AND(AF344=0,AF343&gt;0,(AG$222-AF$222)&gt;0),AG$222-AF$222,AF344)</f>
        <v/>
      </c>
      <c r="AH344" s="73">
        <f>+IF(AND(AG344=0,AG343&gt;0,(AH$222-AG$222)&gt;0),AH$222-AG$222,AG344)</f>
        <v/>
      </c>
      <c r="AI344" s="73">
        <f>+IF(AND(AH344=0,AH343&gt;0,(AI$222-AH$222)&gt;0),AI$222-AH$222,AH344)</f>
        <v/>
      </c>
      <c r="AJ344" s="1071">
        <f>+IF(AND(AI344=0,AI343&gt;0,(AJ$222-AI$222)&gt;0),AJ$222-AI$222,AI344)</f>
        <v/>
      </c>
      <c r="AK344" s="73">
        <f>+IF(AND(AJ344=0,AJ343&gt;0,(AK$222-AJ$222)&gt;0),AK$222-AJ$222,AJ344)</f>
        <v/>
      </c>
      <c r="AL344" s="73">
        <f>+IF(AND(AK344=0,AK343&gt;0,(AL$222-AK$222)&gt;0),AL$222-AK$222,AK344)</f>
        <v/>
      </c>
      <c r="AM344" s="73">
        <f>+IF(AND(AL344=0,AL343&gt;0,(AM$222-AL$222)&gt;0),AM$222-AL$222,AL344)</f>
        <v/>
      </c>
      <c r="AN344" s="73">
        <f>+IF(AND(AM344=0,AM343&gt;0,(AN$222-AM$222)&gt;0),AN$222-AM$222,AM344)</f>
        <v/>
      </c>
      <c r="AO344" s="73">
        <f>+IF(AND(AN344=0,AN343&gt;0,(AO$222-AN$222)&gt;0),AO$222-AN$222,AN344)</f>
        <v/>
      </c>
      <c r="AP344" s="1071">
        <f>+IF(AND(AO344=0,AO343&gt;0,(AP$222-AO$222)&gt;0),AP$222-AO$222,AO344)</f>
        <v/>
      </c>
      <c r="AQ344" s="73">
        <f>+IF(AND(AP344=0,AP343&gt;0,(AQ$222-AP$222)&gt;0),AQ$222-AP$222,AP344)</f>
        <v/>
      </c>
      <c r="AR344" s="73">
        <f>+IF(AND(AQ344=0,AQ343&gt;0,(AR$222-AQ$222)&gt;0),AR$222-AQ$222,AQ344)</f>
        <v/>
      </c>
      <c r="AS344" s="73">
        <f>+IF(AND(AR344=0,AR343&gt;0,(AS$222-AR$222)&gt;0),AS$222-AR$222,AR344)</f>
        <v/>
      </c>
      <c r="AT344" s="73">
        <f>+IF(AND(AS344=0,AS343&gt;0,(AT$222-AS$222)&gt;0),AT$222-AS$222,AS344)</f>
        <v/>
      </c>
      <c r="AU344" s="73">
        <f>+IF(AND(AT344=0,AT343&gt;0,(AU$222-AT$222)&gt;0),AU$222-AT$222,AT344)</f>
        <v/>
      </c>
      <c r="AV344" s="1071">
        <f>+IF(AND(AU344=0,AU343&gt;0,(AV$222-AU$222)&gt;0),AV$222-AU$222,AU344)</f>
        <v/>
      </c>
      <c r="AW344" s="73">
        <f>+IF(AND(AV344=0,AV343&gt;0,(AW$222-AV$222)&gt;0),AW$222-AV$222,AV344)</f>
        <v/>
      </c>
      <c r="AX344" s="73">
        <f>+IF(AND(AW344=0,AW343&gt;0,(AX$222-AW$222)&gt;0),AX$222-AW$222,AW344)</f>
        <v/>
      </c>
      <c r="AY344" s="73">
        <f>+IF(AND(AX344=0,AX343&gt;0,(AY$222-AX$222)&gt;0),AY$222-AX$222,AX344)</f>
        <v/>
      </c>
      <c r="AZ344" s="73">
        <f>+IF(AND(AY344=0,AY343&gt;0,(AZ$222-AY$222)&gt;0),AZ$222-AY$222,AY344)</f>
        <v/>
      </c>
      <c r="BA344" s="73">
        <f>+IF(AND(AZ344=0,AZ343&gt;0,(BA$222-AZ$222)&gt;0),BA$222-AZ$222,AZ344)</f>
        <v/>
      </c>
      <c r="BB344" s="1071">
        <f>+IF(AND(BA344=0,BA343&gt;0,(BB$222-BA$222)&gt;0),BB$222-BA$222,BA344)</f>
        <v/>
      </c>
      <c r="BC344" s="73">
        <f>+IF(AND(BB344=0,BB343&gt;0,(BC$222-BB$222)&gt;0),BC$222-BB$222,BB344)</f>
        <v/>
      </c>
      <c r="BD344" s="73">
        <f>+IF(AND(BC344=0,BC343&gt;0,(BD$222-BC$222)&gt;0),BD$222-BC$222,BC344)</f>
        <v/>
      </c>
      <c r="BE344" s="73">
        <f>+IF(AND(BD344=0,BD343&gt;0,(BE$222-BD$222)&gt;0),BE$222-BD$222,BD344)</f>
        <v/>
      </c>
      <c r="BF344" s="73">
        <f>+IF(AND(BE344=0,BE343&gt;0,(BF$222-BE$222)&gt;0),BF$222-BE$222,BE344)</f>
        <v/>
      </c>
      <c r="BG344" s="73">
        <f>+IF(AND(BF344=0,BF343&gt;0,(BG$222-BF$222)&gt;0),BG$222-BF$222,BF344)</f>
        <v/>
      </c>
      <c r="BH344" s="1071">
        <f>+IF(AND(BG344=0,BG343&gt;0,(BH$222-BG$222)&gt;0),BH$222-BG$222,BG344)</f>
        <v/>
      </c>
      <c r="BI344" s="73">
        <f>+IF(AND(BH344=0,BH343&gt;0,(BI$222-BH$222)&gt;0),BI$222-BH$222,BH344)</f>
        <v/>
      </c>
      <c r="BJ344" s="73">
        <f>+IF(AND(BI344=0,BI343&gt;0,(BJ$222-BI$222)&gt;0),BJ$222-BI$222,BI344)</f>
        <v/>
      </c>
      <c r="BK344" s="73">
        <f>+IF(AND(BJ344=0,BJ343&gt;0,(BK$222-BJ$222)&gt;0),BK$222-BJ$222,BJ344)</f>
        <v/>
      </c>
      <c r="BL344" s="73">
        <f>+IF(AND(BK344=0,BK343&gt;0,(BL$222-BK$222)&gt;0),BL$222-BK$222,BK344)</f>
        <v/>
      </c>
      <c r="BM344" s="73">
        <f>+IF(AND(BL344=0,BL343&gt;0,(BM$222-BL$222)&gt;0),BM$222-BL$222,BL344)</f>
        <v/>
      </c>
      <c r="BN344" s="1071">
        <f>+IF(AND(BM344=0,BM343&gt;0,(BN$222-BM$222)&gt;0),BN$222-BM$222,BM344)</f>
        <v/>
      </c>
    </row>
    <row r="345" ht="12.75" customHeight="1" s="1883">
      <c r="C345" s="1155" t="inlineStr">
        <is>
          <t>Addition 31</t>
        </is>
      </c>
      <c r="D345" s="670" t="n"/>
      <c r="E345" s="671" t="n"/>
      <c r="F345" s="74" t="n"/>
      <c r="G345" s="73">
        <f>+IF(AND(F345=0,F344&gt;0,(G$222-F$222)&gt;0),G$222-F$222,F345)</f>
        <v/>
      </c>
      <c r="H345" s="73">
        <f>+IF(AND(G345=0,G344&gt;0,(H$222-G$222)&gt;0),H$222-G$222,G345)</f>
        <v/>
      </c>
      <c r="I345" s="73">
        <f>+IF(AND(H345=0,H344&gt;0,(I$222-H$222)&gt;0),I$222-H$222,H345)</f>
        <v/>
      </c>
      <c r="J345" s="73">
        <f>+IF(AND(I345=0,I344&gt;0,(J$222-I$222)&gt;0),J$222-I$222,I345)</f>
        <v/>
      </c>
      <c r="K345" s="73">
        <f>+IF(AND(J345=0,J344&gt;0,(K$222-J$222)&gt;0),K$222-J$222,J345)</f>
        <v/>
      </c>
      <c r="L345" s="1071">
        <f>+IF(AND(K345=0,K344&gt;0,(L$222-K$222)&gt;0),L$222-K$222,K345)</f>
        <v/>
      </c>
      <c r="M345" s="73">
        <f>+IF(AND(L345=0,L344&gt;0,(M$222-L$222)&gt;0),M$222-L$222,L345)</f>
        <v/>
      </c>
      <c r="N345" s="73">
        <f>+IF(AND(M345=0,M344&gt;0,(N$222-M$222)&gt;0),N$222-M$222,M345)</f>
        <v/>
      </c>
      <c r="O345" s="73">
        <f>+IF(AND(N345=0,N344&gt;0,(O$222-N$222)&gt;0),O$222-N$222,N345)</f>
        <v/>
      </c>
      <c r="P345" s="73">
        <f>+IF(AND(O345=0,O344&gt;0,(P$222-O$222)&gt;0),P$222-O$222,O345)</f>
        <v/>
      </c>
      <c r="Q345" s="73">
        <f>+IF(AND(P345=0,P344&gt;0,(Q$222-P$222)&gt;0),Q$222-P$222,P345)</f>
        <v/>
      </c>
      <c r="R345" s="1071">
        <f>+IF(AND(Q345=0,Q344&gt;0,(R$222-Q$222)&gt;0),R$222-Q$222,Q345)</f>
        <v/>
      </c>
      <c r="S345" s="73">
        <f>+IF(AND(R345=0,R344&gt;0,(S$222-R$222)&gt;0),S$222-R$222,R345)</f>
        <v/>
      </c>
      <c r="T345" s="73">
        <f>+IF(AND(S345=0,S344&gt;0,(T$222-S$222)&gt;0),T$222-S$222,S345)</f>
        <v/>
      </c>
      <c r="U345" s="73">
        <f>+IF(AND(T345=0,T344&gt;0,(U$222-T$222)&gt;0),U$222-T$222,T345)</f>
        <v/>
      </c>
      <c r="V345" s="73">
        <f>+IF(AND(U345=0,U344&gt;0,(V$222-U$222)&gt;0),V$222-U$222,U345)</f>
        <v/>
      </c>
      <c r="W345" s="73">
        <f>+IF(AND(V345=0,V344&gt;0,(W$222-V$222)&gt;0),W$222-V$222,V345)</f>
        <v/>
      </c>
      <c r="X345" s="1071">
        <f>+IF(AND(W345=0,W344&gt;0,(X$222-W$222)&gt;0),X$222-W$222,W345)</f>
        <v/>
      </c>
      <c r="Y345" s="73">
        <f>+IF(AND(X345=0,X344&gt;0,(Y$222-X$222)&gt;0),Y$222-X$222,X345)</f>
        <v/>
      </c>
      <c r="Z345" s="73">
        <f>+IF(AND(Y345=0,Y344&gt;0,(Z$222-Y$222)&gt;0),Z$222-Y$222,Y345)</f>
        <v/>
      </c>
      <c r="AA345" s="73">
        <f>+IF(AND(Z345=0,Z344&gt;0,(AA$222-Z$222)&gt;0),AA$222-Z$222,Z345)</f>
        <v/>
      </c>
      <c r="AB345" s="73">
        <f>+IF(AND(AA345=0,AA344&gt;0,(AB$222-AA$222)&gt;0),AB$222-AA$222,AA345)</f>
        <v/>
      </c>
      <c r="AC345" s="73">
        <f>+IF(AND(AB345=0,AB344&gt;0,(AC$222-AB$222)&gt;0),AC$222-AB$222,AB345)</f>
        <v/>
      </c>
      <c r="AD345" s="1071">
        <f>+IF(AND(AC345=0,AC344&gt;0,(AD$222-AC$222)&gt;0),AD$222-AC$222,AC345)</f>
        <v/>
      </c>
      <c r="AE345" s="73">
        <f>+IF(AND(AD345=0,AD344&gt;0,(AE$222-AD$222)&gt;0),AE$222-AD$222,AD345)</f>
        <v/>
      </c>
      <c r="AF345" s="73">
        <f>+IF(AND(AE345=0,AE344&gt;0,(AF$222-AE$222)&gt;0),AF$222-AE$222,AE345)</f>
        <v/>
      </c>
      <c r="AG345" s="73">
        <f>+IF(AND(AF345=0,AF344&gt;0,(AG$222-AF$222)&gt;0),AG$222-AF$222,AF345)</f>
        <v/>
      </c>
      <c r="AH345" s="73">
        <f>+IF(AND(AG345=0,AG344&gt;0,(AH$222-AG$222)&gt;0),AH$222-AG$222,AG345)</f>
        <v/>
      </c>
      <c r="AI345" s="73">
        <f>+IF(AND(AH345=0,AH344&gt;0,(AI$222-AH$222)&gt;0),AI$222-AH$222,AH345)</f>
        <v/>
      </c>
      <c r="AJ345" s="1071">
        <f>+IF(AND(AI345=0,AI344&gt;0,(AJ$222-AI$222)&gt;0),AJ$222-AI$222,AI345)</f>
        <v/>
      </c>
      <c r="AK345" s="73">
        <f>+IF(AND(AJ345=0,AJ344&gt;0,(AK$222-AJ$222)&gt;0),AK$222-AJ$222,AJ345)</f>
        <v/>
      </c>
      <c r="AL345" s="73">
        <f>+IF(AND(AK345=0,AK344&gt;0,(AL$222-AK$222)&gt;0),AL$222-AK$222,AK345)</f>
        <v/>
      </c>
      <c r="AM345" s="73">
        <f>+IF(AND(AL345=0,AL344&gt;0,(AM$222-AL$222)&gt;0),AM$222-AL$222,AL345)</f>
        <v/>
      </c>
      <c r="AN345" s="73">
        <f>+IF(AND(AM345=0,AM344&gt;0,(AN$222-AM$222)&gt;0),AN$222-AM$222,AM345)</f>
        <v/>
      </c>
      <c r="AO345" s="73">
        <f>+IF(AND(AN345=0,AN344&gt;0,(AO$222-AN$222)&gt;0),AO$222-AN$222,AN345)</f>
        <v/>
      </c>
      <c r="AP345" s="1071">
        <f>+IF(AND(AO345=0,AO344&gt;0,(AP$222-AO$222)&gt;0),AP$222-AO$222,AO345)</f>
        <v/>
      </c>
      <c r="AQ345" s="73">
        <f>+IF(AND(AP345=0,AP344&gt;0,(AQ$222-AP$222)&gt;0),AQ$222-AP$222,AP345)</f>
        <v/>
      </c>
      <c r="AR345" s="73">
        <f>+IF(AND(AQ345=0,AQ344&gt;0,(AR$222-AQ$222)&gt;0),AR$222-AQ$222,AQ345)</f>
        <v/>
      </c>
      <c r="AS345" s="73">
        <f>+IF(AND(AR345=0,AR344&gt;0,(AS$222-AR$222)&gt;0),AS$222-AR$222,AR345)</f>
        <v/>
      </c>
      <c r="AT345" s="73">
        <f>+IF(AND(AS345=0,AS344&gt;0,(AT$222-AS$222)&gt;0),AT$222-AS$222,AS345)</f>
        <v/>
      </c>
      <c r="AU345" s="73">
        <f>+IF(AND(AT345=0,AT344&gt;0,(AU$222-AT$222)&gt;0),AU$222-AT$222,AT345)</f>
        <v/>
      </c>
      <c r="AV345" s="1071">
        <f>+IF(AND(AU345=0,AU344&gt;0,(AV$222-AU$222)&gt;0),AV$222-AU$222,AU345)</f>
        <v/>
      </c>
      <c r="AW345" s="73">
        <f>+IF(AND(AV345=0,AV344&gt;0,(AW$222-AV$222)&gt;0),AW$222-AV$222,AV345)</f>
        <v/>
      </c>
      <c r="AX345" s="73">
        <f>+IF(AND(AW345=0,AW344&gt;0,(AX$222-AW$222)&gt;0),AX$222-AW$222,AW345)</f>
        <v/>
      </c>
      <c r="AY345" s="73">
        <f>+IF(AND(AX345=0,AX344&gt;0,(AY$222-AX$222)&gt;0),AY$222-AX$222,AX345)</f>
        <v/>
      </c>
      <c r="AZ345" s="73">
        <f>+IF(AND(AY345=0,AY344&gt;0,(AZ$222-AY$222)&gt;0),AZ$222-AY$222,AY345)</f>
        <v/>
      </c>
      <c r="BA345" s="73">
        <f>+IF(AND(AZ345=0,AZ344&gt;0,(BA$222-AZ$222)&gt;0),BA$222-AZ$222,AZ345)</f>
        <v/>
      </c>
      <c r="BB345" s="1071">
        <f>+IF(AND(BA345=0,BA344&gt;0,(BB$222-BA$222)&gt;0),BB$222-BA$222,BA345)</f>
        <v/>
      </c>
      <c r="BC345" s="73">
        <f>+IF(AND(BB345=0,BB344&gt;0,(BC$222-BB$222)&gt;0),BC$222-BB$222,BB345)</f>
        <v/>
      </c>
      <c r="BD345" s="73">
        <f>+IF(AND(BC345=0,BC344&gt;0,(BD$222-BC$222)&gt;0),BD$222-BC$222,BC345)</f>
        <v/>
      </c>
      <c r="BE345" s="73">
        <f>+IF(AND(BD345=0,BD344&gt;0,(BE$222-BD$222)&gt;0),BE$222-BD$222,BD345)</f>
        <v/>
      </c>
      <c r="BF345" s="73">
        <f>+IF(AND(BE345=0,BE344&gt;0,(BF$222-BE$222)&gt;0),BF$222-BE$222,BE345)</f>
        <v/>
      </c>
      <c r="BG345" s="73">
        <f>+IF(AND(BF345=0,BF344&gt;0,(BG$222-BF$222)&gt;0),BG$222-BF$222,BF345)</f>
        <v/>
      </c>
      <c r="BH345" s="1071">
        <f>+IF(AND(BG345=0,BG344&gt;0,(BH$222-BG$222)&gt;0),BH$222-BG$222,BG345)</f>
        <v/>
      </c>
      <c r="BI345" s="73">
        <f>+IF(AND(BH345=0,BH344&gt;0,(BI$222-BH$222)&gt;0),BI$222-BH$222,BH345)</f>
        <v/>
      </c>
      <c r="BJ345" s="73">
        <f>+IF(AND(BI345=0,BI344&gt;0,(BJ$222-BI$222)&gt;0),BJ$222-BI$222,BI345)</f>
        <v/>
      </c>
      <c r="BK345" s="73">
        <f>+IF(AND(BJ345=0,BJ344&gt;0,(BK$222-BJ$222)&gt;0),BK$222-BJ$222,BJ345)</f>
        <v/>
      </c>
      <c r="BL345" s="73">
        <f>+IF(AND(BK345=0,BK344&gt;0,(BL$222-BK$222)&gt;0),BL$222-BK$222,BK345)</f>
        <v/>
      </c>
      <c r="BM345" s="73">
        <f>+IF(AND(BL345=0,BL344&gt;0,(BM$222-BL$222)&gt;0),BM$222-BL$222,BL345)</f>
        <v/>
      </c>
      <c r="BN345" s="1071">
        <f>+IF(AND(BM345=0,BM344&gt;0,(BN$222-BM$222)&gt;0),BN$222-BM$222,BM345)</f>
        <v/>
      </c>
    </row>
    <row r="346" ht="12.75" customHeight="1" s="1883">
      <c r="C346" s="1155" t="inlineStr">
        <is>
          <t>Addition 32</t>
        </is>
      </c>
      <c r="D346" s="670" t="n"/>
      <c r="E346" s="671" t="n"/>
      <c r="F346" s="74" t="n"/>
      <c r="G346" s="73">
        <f>+IF(AND(F346=0,F345&gt;0,(G$222-F$222)&gt;0),G$222-F$222,F346)</f>
        <v/>
      </c>
      <c r="H346" s="73">
        <f>+IF(AND(G346=0,G345&gt;0,(H$222-G$222)&gt;0),H$222-G$222,G346)</f>
        <v/>
      </c>
      <c r="I346" s="73">
        <f>+IF(AND(H346=0,H345&gt;0,(I$222-H$222)&gt;0),I$222-H$222,H346)</f>
        <v/>
      </c>
      <c r="J346" s="73">
        <f>+IF(AND(I346=0,I345&gt;0,(J$222-I$222)&gt;0),J$222-I$222,I346)</f>
        <v/>
      </c>
      <c r="K346" s="73">
        <f>+IF(AND(J346=0,J345&gt;0,(K$222-J$222)&gt;0),K$222-J$222,J346)</f>
        <v/>
      </c>
      <c r="L346" s="1071">
        <f>+IF(AND(K346=0,K345&gt;0,(L$222-K$222)&gt;0),L$222-K$222,K346)</f>
        <v/>
      </c>
      <c r="M346" s="73">
        <f>+IF(AND(L346=0,L345&gt;0,(M$222-L$222)&gt;0),M$222-L$222,L346)</f>
        <v/>
      </c>
      <c r="N346" s="73">
        <f>+IF(AND(M346=0,M345&gt;0,(N$222-M$222)&gt;0),N$222-M$222,M346)</f>
        <v/>
      </c>
      <c r="O346" s="73">
        <f>+IF(AND(N346=0,N345&gt;0,(O$222-N$222)&gt;0),O$222-N$222,N346)</f>
        <v/>
      </c>
      <c r="P346" s="73">
        <f>+IF(AND(O346=0,O345&gt;0,(P$222-O$222)&gt;0),P$222-O$222,O346)</f>
        <v/>
      </c>
      <c r="Q346" s="73">
        <f>+IF(AND(P346=0,P345&gt;0,(Q$222-P$222)&gt;0),Q$222-P$222,P346)</f>
        <v/>
      </c>
      <c r="R346" s="1071">
        <f>+IF(AND(Q346=0,Q345&gt;0,(R$222-Q$222)&gt;0),R$222-Q$222,Q346)</f>
        <v/>
      </c>
      <c r="S346" s="73">
        <f>+IF(AND(R346=0,R345&gt;0,(S$222-R$222)&gt;0),S$222-R$222,R346)</f>
        <v/>
      </c>
      <c r="T346" s="73">
        <f>+IF(AND(S346=0,S345&gt;0,(T$222-S$222)&gt;0),T$222-S$222,S346)</f>
        <v/>
      </c>
      <c r="U346" s="73">
        <f>+IF(AND(T346=0,T345&gt;0,(U$222-T$222)&gt;0),U$222-T$222,T346)</f>
        <v/>
      </c>
      <c r="V346" s="73">
        <f>+IF(AND(U346=0,U345&gt;0,(V$222-U$222)&gt;0),V$222-U$222,U346)</f>
        <v/>
      </c>
      <c r="W346" s="73">
        <f>+IF(AND(V346=0,V345&gt;0,(W$222-V$222)&gt;0),W$222-V$222,V346)</f>
        <v/>
      </c>
      <c r="X346" s="1071">
        <f>+IF(AND(W346=0,W345&gt;0,(X$222-W$222)&gt;0),X$222-W$222,W346)</f>
        <v/>
      </c>
      <c r="Y346" s="73">
        <f>+IF(AND(X346=0,X345&gt;0,(Y$222-X$222)&gt;0),Y$222-X$222,X346)</f>
        <v/>
      </c>
      <c r="Z346" s="73">
        <f>+IF(AND(Y346=0,Y345&gt;0,(Z$222-Y$222)&gt;0),Z$222-Y$222,Y346)</f>
        <v/>
      </c>
      <c r="AA346" s="73">
        <f>+IF(AND(Z346=0,Z345&gt;0,(AA$222-Z$222)&gt;0),AA$222-Z$222,Z346)</f>
        <v/>
      </c>
      <c r="AB346" s="73">
        <f>+IF(AND(AA346=0,AA345&gt;0,(AB$222-AA$222)&gt;0),AB$222-AA$222,AA346)</f>
        <v/>
      </c>
      <c r="AC346" s="73">
        <f>+IF(AND(AB346=0,AB345&gt;0,(AC$222-AB$222)&gt;0),AC$222-AB$222,AB346)</f>
        <v/>
      </c>
      <c r="AD346" s="1071">
        <f>+IF(AND(AC346=0,AC345&gt;0,(AD$222-AC$222)&gt;0),AD$222-AC$222,AC346)</f>
        <v/>
      </c>
      <c r="AE346" s="73">
        <f>+IF(AND(AD346=0,AD345&gt;0,(AE$222-AD$222)&gt;0),AE$222-AD$222,AD346)</f>
        <v/>
      </c>
      <c r="AF346" s="73">
        <f>+IF(AND(AE346=0,AE345&gt;0,(AF$222-AE$222)&gt;0),AF$222-AE$222,AE346)</f>
        <v/>
      </c>
      <c r="AG346" s="73">
        <f>+IF(AND(AF346=0,AF345&gt;0,(AG$222-AF$222)&gt;0),AG$222-AF$222,AF346)</f>
        <v/>
      </c>
      <c r="AH346" s="73">
        <f>+IF(AND(AG346=0,AG345&gt;0,(AH$222-AG$222)&gt;0),AH$222-AG$222,AG346)</f>
        <v/>
      </c>
      <c r="AI346" s="73">
        <f>+IF(AND(AH346=0,AH345&gt;0,(AI$222-AH$222)&gt;0),AI$222-AH$222,AH346)</f>
        <v/>
      </c>
      <c r="AJ346" s="1071">
        <f>+IF(AND(AI346=0,AI345&gt;0,(AJ$222-AI$222)&gt;0),AJ$222-AI$222,AI346)</f>
        <v/>
      </c>
      <c r="AK346" s="73">
        <f>+IF(AND(AJ346=0,AJ345&gt;0,(AK$222-AJ$222)&gt;0),AK$222-AJ$222,AJ346)</f>
        <v/>
      </c>
      <c r="AL346" s="73">
        <f>+IF(AND(AK346=0,AK345&gt;0,(AL$222-AK$222)&gt;0),AL$222-AK$222,AK346)</f>
        <v/>
      </c>
      <c r="AM346" s="73">
        <f>+IF(AND(AL346=0,AL345&gt;0,(AM$222-AL$222)&gt;0),AM$222-AL$222,AL346)</f>
        <v/>
      </c>
      <c r="AN346" s="73">
        <f>+IF(AND(AM346=0,AM345&gt;0,(AN$222-AM$222)&gt;0),AN$222-AM$222,AM346)</f>
        <v/>
      </c>
      <c r="AO346" s="73">
        <f>+IF(AND(AN346=0,AN345&gt;0,(AO$222-AN$222)&gt;0),AO$222-AN$222,AN346)</f>
        <v/>
      </c>
      <c r="AP346" s="1071">
        <f>+IF(AND(AO346=0,AO345&gt;0,(AP$222-AO$222)&gt;0),AP$222-AO$222,AO346)</f>
        <v/>
      </c>
      <c r="AQ346" s="73">
        <f>+IF(AND(AP346=0,AP345&gt;0,(AQ$222-AP$222)&gt;0),AQ$222-AP$222,AP346)</f>
        <v/>
      </c>
      <c r="AR346" s="73">
        <f>+IF(AND(AQ346=0,AQ345&gt;0,(AR$222-AQ$222)&gt;0),AR$222-AQ$222,AQ346)</f>
        <v/>
      </c>
      <c r="AS346" s="73">
        <f>+IF(AND(AR346=0,AR345&gt;0,(AS$222-AR$222)&gt;0),AS$222-AR$222,AR346)</f>
        <v/>
      </c>
      <c r="AT346" s="73">
        <f>+IF(AND(AS346=0,AS345&gt;0,(AT$222-AS$222)&gt;0),AT$222-AS$222,AS346)</f>
        <v/>
      </c>
      <c r="AU346" s="73">
        <f>+IF(AND(AT346=0,AT345&gt;0,(AU$222-AT$222)&gt;0),AU$222-AT$222,AT346)</f>
        <v/>
      </c>
      <c r="AV346" s="1071">
        <f>+IF(AND(AU346=0,AU345&gt;0,(AV$222-AU$222)&gt;0),AV$222-AU$222,AU346)</f>
        <v/>
      </c>
      <c r="AW346" s="73">
        <f>+IF(AND(AV346=0,AV345&gt;0,(AW$222-AV$222)&gt;0),AW$222-AV$222,AV346)</f>
        <v/>
      </c>
      <c r="AX346" s="73">
        <f>+IF(AND(AW346=0,AW345&gt;0,(AX$222-AW$222)&gt;0),AX$222-AW$222,AW346)</f>
        <v/>
      </c>
      <c r="AY346" s="73">
        <f>+IF(AND(AX346=0,AX345&gt;0,(AY$222-AX$222)&gt;0),AY$222-AX$222,AX346)</f>
        <v/>
      </c>
      <c r="AZ346" s="73">
        <f>+IF(AND(AY346=0,AY345&gt;0,(AZ$222-AY$222)&gt;0),AZ$222-AY$222,AY346)</f>
        <v/>
      </c>
      <c r="BA346" s="73">
        <f>+IF(AND(AZ346=0,AZ345&gt;0,(BA$222-AZ$222)&gt;0),BA$222-AZ$222,AZ346)</f>
        <v/>
      </c>
      <c r="BB346" s="1071">
        <f>+IF(AND(BA346=0,BA345&gt;0,(BB$222-BA$222)&gt;0),BB$222-BA$222,BA346)</f>
        <v/>
      </c>
      <c r="BC346" s="73">
        <f>+IF(AND(BB346=0,BB345&gt;0,(BC$222-BB$222)&gt;0),BC$222-BB$222,BB346)</f>
        <v/>
      </c>
      <c r="BD346" s="73">
        <f>+IF(AND(BC346=0,BC345&gt;0,(BD$222-BC$222)&gt;0),BD$222-BC$222,BC346)</f>
        <v/>
      </c>
      <c r="BE346" s="73">
        <f>+IF(AND(BD346=0,BD345&gt;0,(BE$222-BD$222)&gt;0),BE$222-BD$222,BD346)</f>
        <v/>
      </c>
      <c r="BF346" s="73">
        <f>+IF(AND(BE346=0,BE345&gt;0,(BF$222-BE$222)&gt;0),BF$222-BE$222,BE346)</f>
        <v/>
      </c>
      <c r="BG346" s="73">
        <f>+IF(AND(BF346=0,BF345&gt;0,(BG$222-BF$222)&gt;0),BG$222-BF$222,BF346)</f>
        <v/>
      </c>
      <c r="BH346" s="1071">
        <f>+IF(AND(BG346=0,BG345&gt;0,(BH$222-BG$222)&gt;0),BH$222-BG$222,BG346)</f>
        <v/>
      </c>
      <c r="BI346" s="73">
        <f>+IF(AND(BH346=0,BH345&gt;0,(BI$222-BH$222)&gt;0),BI$222-BH$222,BH346)</f>
        <v/>
      </c>
      <c r="BJ346" s="73">
        <f>+IF(AND(BI346=0,BI345&gt;0,(BJ$222-BI$222)&gt;0),BJ$222-BI$222,BI346)</f>
        <v/>
      </c>
      <c r="BK346" s="73">
        <f>+IF(AND(BJ346=0,BJ345&gt;0,(BK$222-BJ$222)&gt;0),BK$222-BJ$222,BJ346)</f>
        <v/>
      </c>
      <c r="BL346" s="73">
        <f>+IF(AND(BK346=0,BK345&gt;0,(BL$222-BK$222)&gt;0),BL$222-BK$222,BK346)</f>
        <v/>
      </c>
      <c r="BM346" s="73">
        <f>+IF(AND(BL346=0,BL345&gt;0,(BM$222-BL$222)&gt;0),BM$222-BL$222,BL346)</f>
        <v/>
      </c>
      <c r="BN346" s="1071">
        <f>+IF(AND(BM346=0,BM345&gt;0,(BN$222-BM$222)&gt;0),BN$222-BM$222,BM346)</f>
        <v/>
      </c>
    </row>
    <row r="347" ht="12.75" customHeight="1" s="1883">
      <c r="C347" s="1155" t="inlineStr">
        <is>
          <t>Addition 33</t>
        </is>
      </c>
      <c r="D347" s="670" t="n"/>
      <c r="E347" s="671" t="n"/>
      <c r="F347" s="74" t="n"/>
      <c r="G347" s="73">
        <f>+IF(AND(F347=0,F346&gt;0,(G$222-F$222)&gt;0),G$222-F$222,F347)</f>
        <v/>
      </c>
      <c r="H347" s="73">
        <f>+IF(AND(G347=0,G346&gt;0,(H$222-G$222)&gt;0),H$222-G$222,G347)</f>
        <v/>
      </c>
      <c r="I347" s="73">
        <f>+IF(AND(H347=0,H346&gt;0,(I$222-H$222)&gt;0),I$222-H$222,H347)</f>
        <v/>
      </c>
      <c r="J347" s="73">
        <f>+IF(AND(I347=0,I346&gt;0,(J$222-I$222)&gt;0),J$222-I$222,I347)</f>
        <v/>
      </c>
      <c r="K347" s="73">
        <f>+IF(AND(J347=0,J346&gt;0,(K$222-J$222)&gt;0),K$222-J$222,J347)</f>
        <v/>
      </c>
      <c r="L347" s="1071">
        <f>+IF(AND(K347=0,K346&gt;0,(L$222-K$222)&gt;0),L$222-K$222,K347)</f>
        <v/>
      </c>
      <c r="M347" s="73">
        <f>+IF(AND(L347=0,L346&gt;0,(M$222-L$222)&gt;0),M$222-L$222,L347)</f>
        <v/>
      </c>
      <c r="N347" s="73">
        <f>+IF(AND(M347=0,M346&gt;0,(N$222-M$222)&gt;0),N$222-M$222,M347)</f>
        <v/>
      </c>
      <c r="O347" s="73">
        <f>+IF(AND(N347=0,N346&gt;0,(O$222-N$222)&gt;0),O$222-N$222,N347)</f>
        <v/>
      </c>
      <c r="P347" s="73">
        <f>+IF(AND(O347=0,O346&gt;0,(P$222-O$222)&gt;0),P$222-O$222,O347)</f>
        <v/>
      </c>
      <c r="Q347" s="73">
        <f>+IF(AND(P347=0,P346&gt;0,(Q$222-P$222)&gt;0),Q$222-P$222,P347)</f>
        <v/>
      </c>
      <c r="R347" s="1071">
        <f>+IF(AND(Q347=0,Q346&gt;0,(R$222-Q$222)&gt;0),R$222-Q$222,Q347)</f>
        <v/>
      </c>
      <c r="S347" s="73">
        <f>+IF(AND(R347=0,R346&gt;0,(S$222-R$222)&gt;0),S$222-R$222,R347)</f>
        <v/>
      </c>
      <c r="T347" s="73">
        <f>+IF(AND(S347=0,S346&gt;0,(T$222-S$222)&gt;0),T$222-S$222,S347)</f>
        <v/>
      </c>
      <c r="U347" s="73">
        <f>+IF(AND(T347=0,T346&gt;0,(U$222-T$222)&gt;0),U$222-T$222,T347)</f>
        <v/>
      </c>
      <c r="V347" s="73">
        <f>+IF(AND(U347=0,U346&gt;0,(V$222-U$222)&gt;0),V$222-U$222,U347)</f>
        <v/>
      </c>
      <c r="W347" s="73">
        <f>+IF(AND(V347=0,V346&gt;0,(W$222-V$222)&gt;0),W$222-V$222,V347)</f>
        <v/>
      </c>
      <c r="X347" s="1071">
        <f>+IF(AND(W347=0,W346&gt;0,(X$222-W$222)&gt;0),X$222-W$222,W347)</f>
        <v/>
      </c>
      <c r="Y347" s="73">
        <f>+IF(AND(X347=0,X346&gt;0,(Y$222-X$222)&gt;0),Y$222-X$222,X347)</f>
        <v/>
      </c>
      <c r="Z347" s="73">
        <f>+IF(AND(Y347=0,Y346&gt;0,(Z$222-Y$222)&gt;0),Z$222-Y$222,Y347)</f>
        <v/>
      </c>
      <c r="AA347" s="73">
        <f>+IF(AND(Z347=0,Z346&gt;0,(AA$222-Z$222)&gt;0),AA$222-Z$222,Z347)</f>
        <v/>
      </c>
      <c r="AB347" s="73">
        <f>+IF(AND(AA347=0,AA346&gt;0,(AB$222-AA$222)&gt;0),AB$222-AA$222,AA347)</f>
        <v/>
      </c>
      <c r="AC347" s="73">
        <f>+IF(AND(AB347=0,AB346&gt;0,(AC$222-AB$222)&gt;0),AC$222-AB$222,AB347)</f>
        <v/>
      </c>
      <c r="AD347" s="1071">
        <f>+IF(AND(AC347=0,AC346&gt;0,(AD$222-AC$222)&gt;0),AD$222-AC$222,AC347)</f>
        <v/>
      </c>
      <c r="AE347" s="73">
        <f>+IF(AND(AD347=0,AD346&gt;0,(AE$222-AD$222)&gt;0),AE$222-AD$222,AD347)</f>
        <v/>
      </c>
      <c r="AF347" s="73">
        <f>+IF(AND(AE347=0,AE346&gt;0,(AF$222-AE$222)&gt;0),AF$222-AE$222,AE347)</f>
        <v/>
      </c>
      <c r="AG347" s="73">
        <f>+IF(AND(AF347=0,AF346&gt;0,(AG$222-AF$222)&gt;0),AG$222-AF$222,AF347)</f>
        <v/>
      </c>
      <c r="AH347" s="73">
        <f>+IF(AND(AG347=0,AG346&gt;0,(AH$222-AG$222)&gt;0),AH$222-AG$222,AG347)</f>
        <v/>
      </c>
      <c r="AI347" s="73">
        <f>+IF(AND(AH347=0,AH346&gt;0,(AI$222-AH$222)&gt;0),AI$222-AH$222,AH347)</f>
        <v/>
      </c>
      <c r="AJ347" s="1071">
        <f>+IF(AND(AI347=0,AI346&gt;0,(AJ$222-AI$222)&gt;0),AJ$222-AI$222,AI347)</f>
        <v/>
      </c>
      <c r="AK347" s="73">
        <f>+IF(AND(AJ347=0,AJ346&gt;0,(AK$222-AJ$222)&gt;0),AK$222-AJ$222,AJ347)</f>
        <v/>
      </c>
      <c r="AL347" s="73">
        <f>+IF(AND(AK347=0,AK346&gt;0,(AL$222-AK$222)&gt;0),AL$222-AK$222,AK347)</f>
        <v/>
      </c>
      <c r="AM347" s="73">
        <f>+IF(AND(AL347=0,AL346&gt;0,(AM$222-AL$222)&gt;0),AM$222-AL$222,AL347)</f>
        <v/>
      </c>
      <c r="AN347" s="73">
        <f>+IF(AND(AM347=0,AM346&gt;0,(AN$222-AM$222)&gt;0),AN$222-AM$222,AM347)</f>
        <v/>
      </c>
      <c r="AO347" s="73">
        <f>+IF(AND(AN347=0,AN346&gt;0,(AO$222-AN$222)&gt;0),AO$222-AN$222,AN347)</f>
        <v/>
      </c>
      <c r="AP347" s="1071">
        <f>+IF(AND(AO347=0,AO346&gt;0,(AP$222-AO$222)&gt;0),AP$222-AO$222,AO347)</f>
        <v/>
      </c>
      <c r="AQ347" s="73">
        <f>+IF(AND(AP347=0,AP346&gt;0,(AQ$222-AP$222)&gt;0),AQ$222-AP$222,AP347)</f>
        <v/>
      </c>
      <c r="AR347" s="73">
        <f>+IF(AND(AQ347=0,AQ346&gt;0,(AR$222-AQ$222)&gt;0),AR$222-AQ$222,AQ347)</f>
        <v/>
      </c>
      <c r="AS347" s="73">
        <f>+IF(AND(AR347=0,AR346&gt;0,(AS$222-AR$222)&gt;0),AS$222-AR$222,AR347)</f>
        <v/>
      </c>
      <c r="AT347" s="73">
        <f>+IF(AND(AS347=0,AS346&gt;0,(AT$222-AS$222)&gt;0),AT$222-AS$222,AS347)</f>
        <v/>
      </c>
      <c r="AU347" s="73">
        <f>+IF(AND(AT347=0,AT346&gt;0,(AU$222-AT$222)&gt;0),AU$222-AT$222,AT347)</f>
        <v/>
      </c>
      <c r="AV347" s="1071">
        <f>+IF(AND(AU347=0,AU346&gt;0,(AV$222-AU$222)&gt;0),AV$222-AU$222,AU347)</f>
        <v/>
      </c>
      <c r="AW347" s="73">
        <f>+IF(AND(AV347=0,AV346&gt;0,(AW$222-AV$222)&gt;0),AW$222-AV$222,AV347)</f>
        <v/>
      </c>
      <c r="AX347" s="73">
        <f>+IF(AND(AW347=0,AW346&gt;0,(AX$222-AW$222)&gt;0),AX$222-AW$222,AW347)</f>
        <v/>
      </c>
      <c r="AY347" s="73">
        <f>+IF(AND(AX347=0,AX346&gt;0,(AY$222-AX$222)&gt;0),AY$222-AX$222,AX347)</f>
        <v/>
      </c>
      <c r="AZ347" s="73">
        <f>+IF(AND(AY347=0,AY346&gt;0,(AZ$222-AY$222)&gt;0),AZ$222-AY$222,AY347)</f>
        <v/>
      </c>
      <c r="BA347" s="73">
        <f>+IF(AND(AZ347=0,AZ346&gt;0,(BA$222-AZ$222)&gt;0),BA$222-AZ$222,AZ347)</f>
        <v/>
      </c>
      <c r="BB347" s="1071">
        <f>+IF(AND(BA347=0,BA346&gt;0,(BB$222-BA$222)&gt;0),BB$222-BA$222,BA347)</f>
        <v/>
      </c>
      <c r="BC347" s="73">
        <f>+IF(AND(BB347=0,BB346&gt;0,(BC$222-BB$222)&gt;0),BC$222-BB$222,BB347)</f>
        <v/>
      </c>
      <c r="BD347" s="73">
        <f>+IF(AND(BC347=0,BC346&gt;0,(BD$222-BC$222)&gt;0),BD$222-BC$222,BC347)</f>
        <v/>
      </c>
      <c r="BE347" s="73">
        <f>+IF(AND(BD347=0,BD346&gt;0,(BE$222-BD$222)&gt;0),BE$222-BD$222,BD347)</f>
        <v/>
      </c>
      <c r="BF347" s="73">
        <f>+IF(AND(BE347=0,BE346&gt;0,(BF$222-BE$222)&gt;0),BF$222-BE$222,BE347)</f>
        <v/>
      </c>
      <c r="BG347" s="73">
        <f>+IF(AND(BF347=0,BF346&gt;0,(BG$222-BF$222)&gt;0),BG$222-BF$222,BF347)</f>
        <v/>
      </c>
      <c r="BH347" s="1071">
        <f>+IF(AND(BG347=0,BG346&gt;0,(BH$222-BG$222)&gt;0),BH$222-BG$222,BG347)</f>
        <v/>
      </c>
      <c r="BI347" s="73">
        <f>+IF(AND(BH347=0,BH346&gt;0,(BI$222-BH$222)&gt;0),BI$222-BH$222,BH347)</f>
        <v/>
      </c>
      <c r="BJ347" s="73">
        <f>+IF(AND(BI347=0,BI346&gt;0,(BJ$222-BI$222)&gt;0),BJ$222-BI$222,BI347)</f>
        <v/>
      </c>
      <c r="BK347" s="73">
        <f>+IF(AND(BJ347=0,BJ346&gt;0,(BK$222-BJ$222)&gt;0),BK$222-BJ$222,BJ347)</f>
        <v/>
      </c>
      <c r="BL347" s="73">
        <f>+IF(AND(BK347=0,BK346&gt;0,(BL$222-BK$222)&gt;0),BL$222-BK$222,BK347)</f>
        <v/>
      </c>
      <c r="BM347" s="73">
        <f>+IF(AND(BL347=0,BL346&gt;0,(BM$222-BL$222)&gt;0),BM$222-BL$222,BL347)</f>
        <v/>
      </c>
      <c r="BN347" s="1071">
        <f>+IF(AND(BM347=0,BM346&gt;0,(BN$222-BM$222)&gt;0),BN$222-BM$222,BM347)</f>
        <v/>
      </c>
    </row>
    <row r="348" ht="12.75" customHeight="1" s="1883">
      <c r="C348" s="1155" t="inlineStr">
        <is>
          <t>Addition 34</t>
        </is>
      </c>
      <c r="D348" s="670" t="n"/>
      <c r="E348" s="671" t="n"/>
      <c r="F348" s="74" t="n"/>
      <c r="G348" s="73">
        <f>+IF(AND(F348=0,F347&gt;0,(G$222-F$222)&gt;0),G$222-F$222,F348)</f>
        <v/>
      </c>
      <c r="H348" s="73">
        <f>+IF(AND(G348=0,G347&gt;0,(H$222-G$222)&gt;0),H$222-G$222,G348)</f>
        <v/>
      </c>
      <c r="I348" s="73">
        <f>+IF(AND(H348=0,H347&gt;0,(I$222-H$222)&gt;0),I$222-H$222,H348)</f>
        <v/>
      </c>
      <c r="J348" s="73">
        <f>+IF(AND(I348=0,I347&gt;0,(J$222-I$222)&gt;0),J$222-I$222,I348)</f>
        <v/>
      </c>
      <c r="K348" s="73">
        <f>+IF(AND(J348=0,J347&gt;0,(K$222-J$222)&gt;0),K$222-J$222,J348)</f>
        <v/>
      </c>
      <c r="L348" s="1071">
        <f>+IF(AND(K348=0,K347&gt;0,(L$222-K$222)&gt;0),L$222-K$222,K348)</f>
        <v/>
      </c>
      <c r="M348" s="73">
        <f>+IF(AND(L348=0,L347&gt;0,(M$222-L$222)&gt;0),M$222-L$222,L348)</f>
        <v/>
      </c>
      <c r="N348" s="73">
        <f>+IF(AND(M348=0,M347&gt;0,(N$222-M$222)&gt;0),N$222-M$222,M348)</f>
        <v/>
      </c>
      <c r="O348" s="73">
        <f>+IF(AND(N348=0,N347&gt;0,(O$222-N$222)&gt;0),O$222-N$222,N348)</f>
        <v/>
      </c>
      <c r="P348" s="73">
        <f>+IF(AND(O348=0,O347&gt;0,(P$222-O$222)&gt;0),P$222-O$222,O348)</f>
        <v/>
      </c>
      <c r="Q348" s="73">
        <f>+IF(AND(P348=0,P347&gt;0,(Q$222-P$222)&gt;0),Q$222-P$222,P348)</f>
        <v/>
      </c>
      <c r="R348" s="1071">
        <f>+IF(AND(Q348=0,Q347&gt;0,(R$222-Q$222)&gt;0),R$222-Q$222,Q348)</f>
        <v/>
      </c>
      <c r="S348" s="73">
        <f>+IF(AND(R348=0,R347&gt;0,(S$222-R$222)&gt;0),S$222-R$222,R348)</f>
        <v/>
      </c>
      <c r="T348" s="73">
        <f>+IF(AND(S348=0,S347&gt;0,(T$222-S$222)&gt;0),T$222-S$222,S348)</f>
        <v/>
      </c>
      <c r="U348" s="73">
        <f>+IF(AND(T348=0,T347&gt;0,(U$222-T$222)&gt;0),U$222-T$222,T348)</f>
        <v/>
      </c>
      <c r="V348" s="73">
        <f>+IF(AND(U348=0,U347&gt;0,(V$222-U$222)&gt;0),V$222-U$222,U348)</f>
        <v/>
      </c>
      <c r="W348" s="73">
        <f>+IF(AND(V348=0,V347&gt;0,(W$222-V$222)&gt;0),W$222-V$222,V348)</f>
        <v/>
      </c>
      <c r="X348" s="1071">
        <f>+IF(AND(W348=0,W347&gt;0,(X$222-W$222)&gt;0),X$222-W$222,W348)</f>
        <v/>
      </c>
      <c r="Y348" s="73">
        <f>+IF(AND(X348=0,X347&gt;0,(Y$222-X$222)&gt;0),Y$222-X$222,X348)</f>
        <v/>
      </c>
      <c r="Z348" s="73">
        <f>+IF(AND(Y348=0,Y347&gt;0,(Z$222-Y$222)&gt;0),Z$222-Y$222,Y348)</f>
        <v/>
      </c>
      <c r="AA348" s="73">
        <f>+IF(AND(Z348=0,Z347&gt;0,(AA$222-Z$222)&gt;0),AA$222-Z$222,Z348)</f>
        <v/>
      </c>
      <c r="AB348" s="73">
        <f>+IF(AND(AA348=0,AA347&gt;0,(AB$222-AA$222)&gt;0),AB$222-AA$222,AA348)</f>
        <v/>
      </c>
      <c r="AC348" s="73">
        <f>+IF(AND(AB348=0,AB347&gt;0,(AC$222-AB$222)&gt;0),AC$222-AB$222,AB348)</f>
        <v/>
      </c>
      <c r="AD348" s="1071">
        <f>+IF(AND(AC348=0,AC347&gt;0,(AD$222-AC$222)&gt;0),AD$222-AC$222,AC348)</f>
        <v/>
      </c>
      <c r="AE348" s="73">
        <f>+IF(AND(AD348=0,AD347&gt;0,(AE$222-AD$222)&gt;0),AE$222-AD$222,AD348)</f>
        <v/>
      </c>
      <c r="AF348" s="73">
        <f>+IF(AND(AE348=0,AE347&gt;0,(AF$222-AE$222)&gt;0),AF$222-AE$222,AE348)</f>
        <v/>
      </c>
      <c r="AG348" s="73">
        <f>+IF(AND(AF348=0,AF347&gt;0,(AG$222-AF$222)&gt;0),AG$222-AF$222,AF348)</f>
        <v/>
      </c>
      <c r="AH348" s="73">
        <f>+IF(AND(AG348=0,AG347&gt;0,(AH$222-AG$222)&gt;0),AH$222-AG$222,AG348)</f>
        <v/>
      </c>
      <c r="AI348" s="73">
        <f>+IF(AND(AH348=0,AH347&gt;0,(AI$222-AH$222)&gt;0),AI$222-AH$222,AH348)</f>
        <v/>
      </c>
      <c r="AJ348" s="1071">
        <f>+IF(AND(AI348=0,AI347&gt;0,(AJ$222-AI$222)&gt;0),AJ$222-AI$222,AI348)</f>
        <v/>
      </c>
      <c r="AK348" s="73">
        <f>+IF(AND(AJ348=0,AJ347&gt;0,(AK$222-AJ$222)&gt;0),AK$222-AJ$222,AJ348)</f>
        <v/>
      </c>
      <c r="AL348" s="73">
        <f>+IF(AND(AK348=0,AK347&gt;0,(AL$222-AK$222)&gt;0),AL$222-AK$222,AK348)</f>
        <v/>
      </c>
      <c r="AM348" s="73">
        <f>+IF(AND(AL348=0,AL347&gt;0,(AM$222-AL$222)&gt;0),AM$222-AL$222,AL348)</f>
        <v/>
      </c>
      <c r="AN348" s="73">
        <f>+IF(AND(AM348=0,AM347&gt;0,(AN$222-AM$222)&gt;0),AN$222-AM$222,AM348)</f>
        <v/>
      </c>
      <c r="AO348" s="73">
        <f>+IF(AND(AN348=0,AN347&gt;0,(AO$222-AN$222)&gt;0),AO$222-AN$222,AN348)</f>
        <v/>
      </c>
      <c r="AP348" s="1071">
        <f>+IF(AND(AO348=0,AO347&gt;0,(AP$222-AO$222)&gt;0),AP$222-AO$222,AO348)</f>
        <v/>
      </c>
      <c r="AQ348" s="73">
        <f>+IF(AND(AP348=0,AP347&gt;0,(AQ$222-AP$222)&gt;0),AQ$222-AP$222,AP348)</f>
        <v/>
      </c>
      <c r="AR348" s="73">
        <f>+IF(AND(AQ348=0,AQ347&gt;0,(AR$222-AQ$222)&gt;0),AR$222-AQ$222,AQ348)</f>
        <v/>
      </c>
      <c r="AS348" s="73">
        <f>+IF(AND(AR348=0,AR347&gt;0,(AS$222-AR$222)&gt;0),AS$222-AR$222,AR348)</f>
        <v/>
      </c>
      <c r="AT348" s="73">
        <f>+IF(AND(AS348=0,AS347&gt;0,(AT$222-AS$222)&gt;0),AT$222-AS$222,AS348)</f>
        <v/>
      </c>
      <c r="AU348" s="73">
        <f>+IF(AND(AT348=0,AT347&gt;0,(AU$222-AT$222)&gt;0),AU$222-AT$222,AT348)</f>
        <v/>
      </c>
      <c r="AV348" s="1071">
        <f>+IF(AND(AU348=0,AU347&gt;0,(AV$222-AU$222)&gt;0),AV$222-AU$222,AU348)</f>
        <v/>
      </c>
      <c r="AW348" s="73">
        <f>+IF(AND(AV348=0,AV347&gt;0,(AW$222-AV$222)&gt;0),AW$222-AV$222,AV348)</f>
        <v/>
      </c>
      <c r="AX348" s="73">
        <f>+IF(AND(AW348=0,AW347&gt;0,(AX$222-AW$222)&gt;0),AX$222-AW$222,AW348)</f>
        <v/>
      </c>
      <c r="AY348" s="73">
        <f>+IF(AND(AX348=0,AX347&gt;0,(AY$222-AX$222)&gt;0),AY$222-AX$222,AX348)</f>
        <v/>
      </c>
      <c r="AZ348" s="73">
        <f>+IF(AND(AY348=0,AY347&gt;0,(AZ$222-AY$222)&gt;0),AZ$222-AY$222,AY348)</f>
        <v/>
      </c>
      <c r="BA348" s="73">
        <f>+IF(AND(AZ348=0,AZ347&gt;0,(BA$222-AZ$222)&gt;0),BA$222-AZ$222,AZ348)</f>
        <v/>
      </c>
      <c r="BB348" s="1071">
        <f>+IF(AND(BA348=0,BA347&gt;0,(BB$222-BA$222)&gt;0),BB$222-BA$222,BA348)</f>
        <v/>
      </c>
      <c r="BC348" s="73">
        <f>+IF(AND(BB348=0,BB347&gt;0,(BC$222-BB$222)&gt;0),BC$222-BB$222,BB348)</f>
        <v/>
      </c>
      <c r="BD348" s="73">
        <f>+IF(AND(BC348=0,BC347&gt;0,(BD$222-BC$222)&gt;0),BD$222-BC$222,BC348)</f>
        <v/>
      </c>
      <c r="BE348" s="73">
        <f>+IF(AND(BD348=0,BD347&gt;0,(BE$222-BD$222)&gt;0),BE$222-BD$222,BD348)</f>
        <v/>
      </c>
      <c r="BF348" s="73">
        <f>+IF(AND(BE348=0,BE347&gt;0,(BF$222-BE$222)&gt;0),BF$222-BE$222,BE348)</f>
        <v/>
      </c>
      <c r="BG348" s="73">
        <f>+IF(AND(BF348=0,BF347&gt;0,(BG$222-BF$222)&gt;0),BG$222-BF$222,BF348)</f>
        <v/>
      </c>
      <c r="BH348" s="1071">
        <f>+IF(AND(BG348=0,BG347&gt;0,(BH$222-BG$222)&gt;0),BH$222-BG$222,BG348)</f>
        <v/>
      </c>
      <c r="BI348" s="73">
        <f>+IF(AND(BH348=0,BH347&gt;0,(BI$222-BH$222)&gt;0),BI$222-BH$222,BH348)</f>
        <v/>
      </c>
      <c r="BJ348" s="73">
        <f>+IF(AND(BI348=0,BI347&gt;0,(BJ$222-BI$222)&gt;0),BJ$222-BI$222,BI348)</f>
        <v/>
      </c>
      <c r="BK348" s="73">
        <f>+IF(AND(BJ348=0,BJ347&gt;0,(BK$222-BJ$222)&gt;0),BK$222-BJ$222,BJ348)</f>
        <v/>
      </c>
      <c r="BL348" s="73">
        <f>+IF(AND(BK348=0,BK347&gt;0,(BL$222-BK$222)&gt;0),BL$222-BK$222,BK348)</f>
        <v/>
      </c>
      <c r="BM348" s="73">
        <f>+IF(AND(BL348=0,BL347&gt;0,(BM$222-BL$222)&gt;0),BM$222-BL$222,BL348)</f>
        <v/>
      </c>
      <c r="BN348" s="1071">
        <f>+IF(AND(BM348=0,BM347&gt;0,(BN$222-BM$222)&gt;0),BN$222-BM$222,BM348)</f>
        <v/>
      </c>
    </row>
    <row r="349" ht="12.75" customHeight="1" s="1883">
      <c r="C349" s="1155" t="inlineStr">
        <is>
          <t>Total ADDITIONS - Cost</t>
        </is>
      </c>
      <c r="D349" s="670" t="n"/>
      <c r="E349" s="671" t="n"/>
      <c r="F349" s="74" t="n"/>
      <c r="G349" s="1161">
        <f>SUM(G315:G319)</f>
        <v/>
      </c>
      <c r="H349" s="1161">
        <f>SUM(H315:H319)</f>
        <v/>
      </c>
      <c r="I349" s="1161">
        <f>SUM(I315:I319)</f>
        <v/>
      </c>
      <c r="J349" s="1161">
        <f>SUM(J315:J319)</f>
        <v/>
      </c>
      <c r="K349" s="1161">
        <f>SUM(K315:K319)</f>
        <v/>
      </c>
      <c r="L349" s="1162">
        <f>SUM(L315:L319)</f>
        <v/>
      </c>
      <c r="M349" s="1161">
        <f>SUM(M315:M319)</f>
        <v/>
      </c>
      <c r="N349" s="1161">
        <f>SUM(N315:N319)</f>
        <v/>
      </c>
      <c r="O349" s="1161">
        <f>SUM(O315:O319)</f>
        <v/>
      </c>
      <c r="P349" s="1161">
        <f>SUM(P315:P319)</f>
        <v/>
      </c>
      <c r="Q349" s="1161">
        <f>SUM(Q315:Q319)</f>
        <v/>
      </c>
      <c r="R349" s="1162">
        <f>SUM(R315:R319)</f>
        <v/>
      </c>
      <c r="S349" s="1161">
        <f>SUM(S315:S319)</f>
        <v/>
      </c>
      <c r="T349" s="1161">
        <f>SUM(T315:T319)</f>
        <v/>
      </c>
      <c r="U349" s="1161">
        <f>SUM(U315:U319)</f>
        <v/>
      </c>
      <c r="V349" s="1161">
        <f>SUM(V315:V319)</f>
        <v/>
      </c>
      <c r="W349" s="1161">
        <f>SUM(W315:W319)</f>
        <v/>
      </c>
      <c r="X349" s="1162">
        <f>SUM(X315:X319)</f>
        <v/>
      </c>
      <c r="Y349" s="1161">
        <f>SUM(Y315:Y319)</f>
        <v/>
      </c>
      <c r="Z349" s="1161">
        <f>SUM(Z315:Z319)</f>
        <v/>
      </c>
      <c r="AA349" s="1161">
        <f>SUM(AA315:AA319)</f>
        <v/>
      </c>
      <c r="AB349" s="1161">
        <f>SUM(AB315:AB319)</f>
        <v/>
      </c>
      <c r="AC349" s="1161">
        <f>SUM(AC315:AC319)</f>
        <v/>
      </c>
      <c r="AD349" s="1162">
        <f>SUM(AD315:AD319)</f>
        <v/>
      </c>
      <c r="AE349" s="1161">
        <f>SUM(AE315:AE319)</f>
        <v/>
      </c>
      <c r="AF349" s="1161">
        <f>SUM(AF315:AF319)</f>
        <v/>
      </c>
      <c r="AG349" s="1161">
        <f>SUM(AG315:AG319)</f>
        <v/>
      </c>
      <c r="AH349" s="1161">
        <f>SUM(AH315:AH319)</f>
        <v/>
      </c>
      <c r="AI349" s="1161">
        <f>SUM(AI315:AI319)</f>
        <v/>
      </c>
      <c r="AJ349" s="1162">
        <f>SUM(AJ315:AJ319)</f>
        <v/>
      </c>
      <c r="AK349" s="1161">
        <f>SUM(AK315:AK319)</f>
        <v/>
      </c>
      <c r="AL349" s="1161">
        <f>SUM(AL315:AL319)</f>
        <v/>
      </c>
      <c r="AM349" s="1161">
        <f>SUM(AM315:AM319)</f>
        <v/>
      </c>
      <c r="AN349" s="1161">
        <f>SUM(AN315:AN319)</f>
        <v/>
      </c>
      <c r="AO349" s="1161">
        <f>SUM(AO315:AO319)</f>
        <v/>
      </c>
      <c r="AP349" s="1162">
        <f>SUM(AP315:AP319)</f>
        <v/>
      </c>
      <c r="AQ349" s="1161">
        <f>SUM(AQ315:AQ319)</f>
        <v/>
      </c>
      <c r="AR349" s="1161">
        <f>SUM(AR315:AR319)</f>
        <v/>
      </c>
      <c r="AS349" s="1161">
        <f>SUM(AS315:AS319)</f>
        <v/>
      </c>
      <c r="AT349" s="1161">
        <f>SUM(AT315:AT319)</f>
        <v/>
      </c>
      <c r="AU349" s="1161">
        <f>SUM(AU315:AU319)</f>
        <v/>
      </c>
      <c r="AV349" s="1162">
        <f>SUM(AV315:AV319)</f>
        <v/>
      </c>
      <c r="AW349" s="1161">
        <f>SUM(AW315:AW319)</f>
        <v/>
      </c>
      <c r="AX349" s="1161">
        <f>SUM(AX315:AX319)</f>
        <v/>
      </c>
      <c r="AY349" s="1161">
        <f>SUM(AY315:AY319)</f>
        <v/>
      </c>
      <c r="AZ349" s="1161">
        <f>SUM(AZ315:AZ319)</f>
        <v/>
      </c>
      <c r="BA349" s="1161">
        <f>SUM(BA315:BA319)</f>
        <v/>
      </c>
      <c r="BB349" s="1162">
        <f>SUM(BB315:BB319)</f>
        <v/>
      </c>
      <c r="BC349" s="1161">
        <f>SUM(BC315:BC319)</f>
        <v/>
      </c>
      <c r="BD349" s="1161">
        <f>SUM(BD315:BD319)</f>
        <v/>
      </c>
      <c r="BE349" s="1161">
        <f>SUM(BE315:BE319)</f>
        <v/>
      </c>
      <c r="BF349" s="1161">
        <f>SUM(BF315:BF319)</f>
        <v/>
      </c>
      <c r="BG349" s="1161">
        <f>SUM(BG315:BG319)</f>
        <v/>
      </c>
      <c r="BH349" s="1162">
        <f>SUM(BH315:BH319)</f>
        <v/>
      </c>
      <c r="BI349" s="1161">
        <f>SUM(BI315:BI319)</f>
        <v/>
      </c>
      <c r="BJ349" s="1161">
        <f>SUM(BJ315:BJ319)</f>
        <v/>
      </c>
      <c r="BK349" s="1161">
        <f>SUM(BK315:BK319)</f>
        <v/>
      </c>
      <c r="BL349" s="1161">
        <f>SUM(BL315:BL319)</f>
        <v/>
      </c>
      <c r="BM349" s="1161">
        <f>SUM(BM315:BM319)</f>
        <v/>
      </c>
      <c r="BN349" s="1162">
        <f>SUM(BN315:BN319)</f>
        <v/>
      </c>
    </row>
    <row r="350" ht="12.75" customHeight="1" s="1883">
      <c r="C350" s="1155" t="n"/>
      <c r="D350" s="670" t="n"/>
      <c r="E350" s="671" t="n"/>
      <c r="F350" s="74" t="n"/>
      <c r="G350" s="73" t="n"/>
      <c r="H350" s="73" t="n"/>
      <c r="I350" s="73" t="n"/>
      <c r="J350" s="73" t="n"/>
      <c r="K350" s="73" t="n"/>
      <c r="L350" s="1071" t="n"/>
      <c r="M350" s="73" t="n"/>
      <c r="N350" s="73" t="n"/>
      <c r="O350" s="73" t="n"/>
      <c r="P350" s="73" t="n"/>
      <c r="Q350" s="73" t="n"/>
      <c r="R350" s="1071" t="n"/>
      <c r="S350" s="73" t="n"/>
      <c r="T350" s="73" t="n"/>
      <c r="U350" s="73" t="n"/>
      <c r="V350" s="73" t="n"/>
      <c r="W350" s="73" t="n"/>
      <c r="X350" s="1071" t="n"/>
      <c r="Y350" s="73" t="n"/>
      <c r="Z350" s="73" t="n"/>
      <c r="AA350" s="73" t="n"/>
      <c r="AB350" s="73" t="n"/>
      <c r="AC350" s="73" t="n"/>
      <c r="AD350" s="1071" t="n"/>
      <c r="AE350" s="73" t="n"/>
      <c r="AF350" s="73" t="n"/>
      <c r="AG350" s="73" t="n"/>
      <c r="AH350" s="73" t="n"/>
      <c r="AI350" s="73" t="n"/>
      <c r="AJ350" s="1071" t="n"/>
      <c r="AK350" s="73" t="n"/>
      <c r="AL350" s="73" t="n"/>
      <c r="AM350" s="73" t="n"/>
      <c r="AN350" s="73" t="n"/>
      <c r="AO350" s="73" t="n"/>
      <c r="AP350" s="1071" t="n"/>
      <c r="AQ350" s="73" t="n"/>
      <c r="AR350" s="73" t="n"/>
      <c r="AS350" s="73" t="n"/>
      <c r="AT350" s="73" t="n"/>
      <c r="AU350" s="73" t="n"/>
      <c r="AV350" s="1071" t="n"/>
      <c r="AW350" s="73" t="n"/>
      <c r="AX350" s="73" t="n"/>
      <c r="AY350" s="73" t="n"/>
      <c r="AZ350" s="73" t="n"/>
      <c r="BA350" s="73" t="n"/>
      <c r="BB350" s="1071" t="n"/>
      <c r="BC350" s="73" t="n"/>
      <c r="BD350" s="73" t="n"/>
      <c r="BE350" s="73" t="n"/>
      <c r="BF350" s="73" t="n"/>
      <c r="BG350" s="73" t="n"/>
      <c r="BH350" s="1071" t="n"/>
      <c r="BI350" s="73" t="n"/>
      <c r="BJ350" s="73" t="n"/>
      <c r="BK350" s="73" t="n"/>
      <c r="BL350" s="73" t="n"/>
      <c r="BM350" s="73" t="n"/>
      <c r="BN350" s="1071" t="n"/>
    </row>
    <row r="351" ht="12.75" customHeight="1" s="1883">
      <c r="C351" s="1157" t="inlineStr">
        <is>
          <t>Accumulated Amortization - Beg</t>
        </is>
      </c>
      <c r="D351" s="670" t="n"/>
      <c r="E351" s="671" t="n"/>
      <c r="F351" s="74" t="n"/>
      <c r="G351" s="1091" t="n">
        <v>0</v>
      </c>
      <c r="H351" s="1091">
        <f>+G387</f>
        <v/>
      </c>
      <c r="I351" s="1091">
        <f>+H387</f>
        <v/>
      </c>
      <c r="J351" s="1091">
        <f>+I387</f>
        <v/>
      </c>
      <c r="K351" s="1091">
        <f>+J387</f>
        <v/>
      </c>
      <c r="L351" s="174">
        <f>+K387</f>
        <v/>
      </c>
      <c r="M351" s="1091">
        <f>+L387</f>
        <v/>
      </c>
      <c r="N351" s="1091">
        <f>+M387</f>
        <v/>
      </c>
      <c r="O351" s="1091">
        <f>+N387</f>
        <v/>
      </c>
      <c r="P351" s="1091">
        <f>+O387</f>
        <v/>
      </c>
      <c r="Q351" s="1091">
        <f>+P387</f>
        <v/>
      </c>
      <c r="R351" s="174">
        <f>+Q387</f>
        <v/>
      </c>
      <c r="S351" s="1091">
        <f>+R387</f>
        <v/>
      </c>
      <c r="T351" s="1091">
        <f>+S387</f>
        <v/>
      </c>
      <c r="U351" s="1091">
        <f>+T387</f>
        <v/>
      </c>
      <c r="V351" s="1091">
        <f>+U387</f>
        <v/>
      </c>
      <c r="W351" s="1091">
        <f>+V387</f>
        <v/>
      </c>
      <c r="X351" s="174">
        <f>+W387</f>
        <v/>
      </c>
      <c r="Y351" s="1091">
        <f>+X387</f>
        <v/>
      </c>
      <c r="Z351" s="1091">
        <f>+Y387</f>
        <v/>
      </c>
      <c r="AA351" s="1091">
        <f>+Z387</f>
        <v/>
      </c>
      <c r="AB351" s="1091">
        <f>+AA387</f>
        <v/>
      </c>
      <c r="AC351" s="1091">
        <f>+AB387</f>
        <v/>
      </c>
      <c r="AD351" s="174">
        <f>+AC387</f>
        <v/>
      </c>
      <c r="AE351" s="1091">
        <f>+AD387</f>
        <v/>
      </c>
      <c r="AF351" s="1091">
        <f>+AE387</f>
        <v/>
      </c>
      <c r="AG351" s="1091">
        <f>+AF387</f>
        <v/>
      </c>
      <c r="AH351" s="1091">
        <f>+AG387</f>
        <v/>
      </c>
      <c r="AI351" s="1091">
        <f>+AH387</f>
        <v/>
      </c>
      <c r="AJ351" s="174">
        <f>+AI387</f>
        <v/>
      </c>
      <c r="AK351" s="1091">
        <f>+AJ387</f>
        <v/>
      </c>
      <c r="AL351" s="1091">
        <f>+AK387</f>
        <v/>
      </c>
      <c r="AM351" s="1091">
        <f>+AL387</f>
        <v/>
      </c>
      <c r="AN351" s="1091">
        <f>+AM387</f>
        <v/>
      </c>
      <c r="AO351" s="1091">
        <f>+AN387</f>
        <v/>
      </c>
      <c r="AP351" s="174">
        <f>+AO387</f>
        <v/>
      </c>
      <c r="AQ351" s="1091">
        <f>+AP387</f>
        <v/>
      </c>
      <c r="AR351" s="1091">
        <f>+AQ387</f>
        <v/>
      </c>
      <c r="AS351" s="1091">
        <f>+AR387</f>
        <v/>
      </c>
      <c r="AT351" s="1091">
        <f>+AS387</f>
        <v/>
      </c>
      <c r="AU351" s="1091">
        <f>+AT387</f>
        <v/>
      </c>
      <c r="AV351" s="174">
        <f>+AU387</f>
        <v/>
      </c>
      <c r="AW351" s="1091">
        <f>+AV387</f>
        <v/>
      </c>
      <c r="AX351" s="1091">
        <f>+AW387</f>
        <v/>
      </c>
      <c r="AY351" s="1091">
        <f>+AX387</f>
        <v/>
      </c>
      <c r="AZ351" s="1091">
        <f>+AY387</f>
        <v/>
      </c>
      <c r="BA351" s="1091">
        <f>+AZ387</f>
        <v/>
      </c>
      <c r="BB351" s="174">
        <f>+BA387</f>
        <v/>
      </c>
      <c r="BC351" s="1091">
        <f>+BB387</f>
        <v/>
      </c>
      <c r="BD351" s="1091">
        <f>+BC387</f>
        <v/>
      </c>
      <c r="BE351" s="1091">
        <f>+BD387</f>
        <v/>
      </c>
      <c r="BF351" s="1091">
        <f>+BE387</f>
        <v/>
      </c>
      <c r="BG351" s="1091">
        <f>+BF387</f>
        <v/>
      </c>
      <c r="BH351" s="174">
        <f>+BG387</f>
        <v/>
      </c>
      <c r="BI351" s="1091">
        <f>+BH387</f>
        <v/>
      </c>
      <c r="BJ351" s="1091">
        <f>+BI387</f>
        <v/>
      </c>
      <c r="BK351" s="1091">
        <f>+BJ387</f>
        <v/>
      </c>
      <c r="BL351" s="1091">
        <f>+BK387</f>
        <v/>
      </c>
      <c r="BM351" s="1091">
        <f>+BL387</f>
        <v/>
      </c>
      <c r="BN351" s="174">
        <f>+BM387</f>
        <v/>
      </c>
    </row>
    <row r="352" ht="12.75" customHeight="1" s="1883">
      <c r="C352" s="1157" t="n"/>
      <c r="D352" s="670" t="n"/>
      <c r="E352" s="671" t="n"/>
      <c r="F352" s="74" t="n"/>
      <c r="G352" s="1091" t="n"/>
      <c r="H352" s="1091" t="n"/>
      <c r="I352" s="1091" t="n"/>
      <c r="J352" s="1091" t="n"/>
      <c r="K352" s="1091" t="n"/>
      <c r="L352" s="174" t="n"/>
      <c r="M352" s="1091" t="n"/>
      <c r="N352" s="1091" t="n"/>
      <c r="O352" s="1091" t="n"/>
      <c r="P352" s="1091" t="n"/>
      <c r="Q352" s="1091" t="n"/>
      <c r="R352" s="174" t="n"/>
      <c r="S352" s="1091" t="n"/>
      <c r="T352" s="1091" t="n"/>
      <c r="U352" s="1091" t="n"/>
      <c r="V352" s="1091" t="n"/>
      <c r="W352" s="1091" t="n"/>
      <c r="X352" s="174" t="n"/>
      <c r="Y352" s="1091" t="n"/>
      <c r="Z352" s="1091" t="n"/>
      <c r="AA352" s="1091" t="n"/>
      <c r="AB352" s="1091" t="n"/>
      <c r="AC352" s="1091" t="n"/>
      <c r="AD352" s="174" t="n"/>
      <c r="AE352" s="1091" t="n"/>
      <c r="AF352" s="1091" t="n"/>
      <c r="AG352" s="1091" t="n"/>
      <c r="AH352" s="1091" t="n"/>
      <c r="AI352" s="1091" t="n"/>
      <c r="AJ352" s="174" t="n"/>
      <c r="AK352" s="1091" t="n"/>
      <c r="AL352" s="1091" t="n"/>
      <c r="AM352" s="1091" t="n"/>
      <c r="AN352" s="1091" t="n"/>
      <c r="AO352" s="1091" t="n"/>
      <c r="AP352" s="174" t="n"/>
      <c r="AQ352" s="1091" t="n"/>
      <c r="AR352" s="1091" t="n"/>
      <c r="AS352" s="1091" t="n"/>
      <c r="AT352" s="1091" t="n"/>
      <c r="AU352" s="1091" t="n"/>
      <c r="AV352" s="174" t="n"/>
      <c r="AW352" s="1091" t="n"/>
      <c r="AX352" s="1091" t="n"/>
      <c r="AY352" s="1091" t="n"/>
      <c r="AZ352" s="1091" t="n"/>
      <c r="BA352" s="1091" t="n"/>
      <c r="BB352" s="174" t="n"/>
      <c r="BC352" s="1091" t="n"/>
      <c r="BD352" s="1091" t="n"/>
      <c r="BE352" s="1091" t="n"/>
      <c r="BF352" s="1091" t="n"/>
      <c r="BG352" s="1091" t="n"/>
      <c r="BH352" s="174" t="n"/>
      <c r="BI352" s="1091" t="n"/>
      <c r="BJ352" s="1091" t="n"/>
      <c r="BK352" s="1091" t="n"/>
      <c r="BL352" s="1091" t="n"/>
      <c r="BM352" s="1091" t="n"/>
      <c r="BN352" s="174" t="n"/>
    </row>
    <row r="353" ht="12.75" customHeight="1" s="1883">
      <c r="C353" s="1157" t="inlineStr">
        <is>
          <t>Amortization Expense - 1</t>
        </is>
      </c>
      <c r="D353" s="670" t="n"/>
      <c r="E353" s="671" t="n"/>
      <c r="F353" s="74" t="n"/>
      <c r="G353" s="1091">
        <f>+IF(AND(F315=0,G315&gt;0),G315*($D$301/12),F353)</f>
        <v/>
      </c>
      <c r="H353" s="1091">
        <f>+IF(AND(G315=0,H315&gt;0),H315*($D$301/12),G353)</f>
        <v/>
      </c>
      <c r="I353" s="1091">
        <f>+IF(AND(H315=0,I315&gt;0),I315*($D$301/12),H353)</f>
        <v/>
      </c>
      <c r="J353" s="1091">
        <f>+IF(AND(I315=0,J315&gt;0),J315*($D$301/12),I353)</f>
        <v/>
      </c>
      <c r="K353" s="1091">
        <f>+IF(AND(J315=0,K315&gt;0),K315*($D$301/12),J353)</f>
        <v/>
      </c>
      <c r="L353" s="174">
        <f>+IF(AND(K315=0,L315&gt;0),L315*($D$301/12),K353)</f>
        <v/>
      </c>
      <c r="M353" s="1091">
        <f>+IF(AND(L315=0,M315&gt;0),M315*($D$301/12),L353)</f>
        <v/>
      </c>
      <c r="N353" s="1091">
        <f>+IF(AND(M315=0,N315&gt;0),N315*($D$301/12),M353)</f>
        <v/>
      </c>
      <c r="O353" s="1091">
        <f>+IF(AND(N315=0,O315&gt;0),O315*($D$301/12),N353)</f>
        <v/>
      </c>
      <c r="P353" s="1091">
        <f>+IF(AND(O315=0,P315&gt;0),P315*($D$301/12),O353)</f>
        <v/>
      </c>
      <c r="Q353" s="1091">
        <f>+IF(AND(P315=0,Q315&gt;0),Q315*($D$301/12),P353)</f>
        <v/>
      </c>
      <c r="R353" s="174">
        <f>+IF(AND(Q315=0,R315&gt;0),R315*($D$301/12),Q353)</f>
        <v/>
      </c>
      <c r="S353" s="1091">
        <f>+IF(AND(R315=0,S315&gt;0),S315*($D$301/12),R353)</f>
        <v/>
      </c>
      <c r="T353" s="1091">
        <f>+IF(AND(S315=0,T315&gt;0),T315*($D$301/12),S353)</f>
        <v/>
      </c>
      <c r="U353" s="1091">
        <f>+IF(AND(T315=0,U315&gt;0),U315*($D$301/12),T353)</f>
        <v/>
      </c>
      <c r="V353" s="1091">
        <f>+IF(AND(U315=0,V315&gt;0),V315*($D$301/12),U353)</f>
        <v/>
      </c>
      <c r="W353" s="1091">
        <f>+IF(AND(V315=0,W315&gt;0),W315*($D$301/12),V353)</f>
        <v/>
      </c>
      <c r="X353" s="174">
        <f>+IF(AND(W315=0,X315&gt;0),X315*($D$301/12),W353)</f>
        <v/>
      </c>
      <c r="Y353" s="1091">
        <f>+IF(AND(X315=0,Y315&gt;0),Y315*($D$301/12),X353)</f>
        <v/>
      </c>
      <c r="Z353" s="1091">
        <f>+IF(AND(Y315=0,Z315&gt;0),Z315*($D$301/12),Y353)</f>
        <v/>
      </c>
      <c r="AA353" s="1091">
        <f>+IF(AND(Z315=0,AA315&gt;0),AA315*($D$301/12),Z353)</f>
        <v/>
      </c>
      <c r="AB353" s="1091">
        <f>+IF(AND(AA315=0,AB315&gt;0),AB315*($D$301/12),AA353)</f>
        <v/>
      </c>
      <c r="AC353" s="1091">
        <f>+IF(AND(AB315=0,AC315&gt;0),AC315*($D$301/12),AB353)</f>
        <v/>
      </c>
      <c r="AD353" s="174">
        <f>+IF(AND(AC315=0,AD315&gt;0),AD315*($D$301/12),AC353)</f>
        <v/>
      </c>
      <c r="AE353" s="1091">
        <f>+IF(AND(AD315=0,AE315&gt;0),AE315*($D$301/12),AD353)</f>
        <v/>
      </c>
      <c r="AF353" s="1091">
        <f>+IF(AND(AE315=0,AF315&gt;0),AF315*($D$301/12),AE353)</f>
        <v/>
      </c>
      <c r="AG353" s="1091">
        <f>+IF(AND(AF315=0,AG315&gt;0),AG315*($D$301/12),AF353)</f>
        <v/>
      </c>
      <c r="AH353" s="1091">
        <f>+IF(AND(AG315=0,AH315&gt;0),AH315*($D$301/12),AG353)</f>
        <v/>
      </c>
      <c r="AI353" s="1091">
        <f>+IF(AND(AH315=0,AI315&gt;0),AI315*($D$301/12),AH353)</f>
        <v/>
      </c>
      <c r="AJ353" s="174">
        <f>+IF(AND(AI315=0,AJ315&gt;0),AJ315*($D$301/12),AI353)</f>
        <v/>
      </c>
      <c r="AK353" s="1091">
        <f>+IF(AND(AJ315=0,AK315&gt;0),AK315*($D$301/12),AJ353)</f>
        <v/>
      </c>
      <c r="AL353" s="1091">
        <f>+IF(AND(AK315=0,AL315&gt;0),AL315*($D$301/12),AK353)</f>
        <v/>
      </c>
      <c r="AM353" s="1091">
        <f>+IF(AND(AL315=0,AM315&gt;0),AM315*($D$301/12),AL353)</f>
        <v/>
      </c>
      <c r="AN353" s="1091">
        <f>+IF(AND(AM315=0,AN315&gt;0),AN315*($D$301/12),AM353)</f>
        <v/>
      </c>
      <c r="AO353" s="1091">
        <f>+IF(AND(AN315=0,AO315&gt;0),AO315*($D$301/12),AN353)</f>
        <v/>
      </c>
      <c r="AP353" s="174">
        <f>+IF(AND(AO315=0,AP315&gt;0),AP315*($D$301/12),AO353)</f>
        <v/>
      </c>
      <c r="AQ353" s="1091">
        <f>+IF(AND(AP315=0,AQ315&gt;0),AQ315*($D$301/12),AP353)</f>
        <v/>
      </c>
      <c r="AR353" s="1091">
        <f>+IF(AND(AQ315=0,AR315&gt;0),AR315*($D$301/12),AQ353)</f>
        <v/>
      </c>
      <c r="AS353" s="1091">
        <f>+IF(AND(AR315=0,AS315&gt;0),AS315*($D$301/12),AR353)</f>
        <v/>
      </c>
      <c r="AT353" s="1091">
        <f>+IF(AND(AS315=0,AT315&gt;0),AT315*($D$301/12),AS353)</f>
        <v/>
      </c>
      <c r="AU353" s="1091">
        <f>+IF(AND(AT315=0,AU315&gt;0),AU315*($D$301/12),AT353)</f>
        <v/>
      </c>
      <c r="AV353" s="174">
        <f>+IF(AND(AU315=0,AV315&gt;0),AV315*($D$301/12),AU353)</f>
        <v/>
      </c>
      <c r="AW353" s="1091">
        <f>+IF(AND(AV315=0,AW315&gt;0),AW315*($D$301/12),AV353)</f>
        <v/>
      </c>
      <c r="AX353" s="1091">
        <f>+IF(AND(AW315=0,AX315&gt;0),AX315*($D$301/12),AW353)</f>
        <v/>
      </c>
      <c r="AY353" s="1091">
        <f>+IF(AND(AX315=0,AY315&gt;0),AY315*($D$301/12),AX353)</f>
        <v/>
      </c>
      <c r="AZ353" s="1091">
        <f>+IF(AND(AY315=0,AZ315&gt;0),AZ315*($D$301/12),AY353)</f>
        <v/>
      </c>
      <c r="BA353" s="1091">
        <f>+IF(AND(AZ315=0,BA315&gt;0),BA315*($D$301/12),AZ353)</f>
        <v/>
      </c>
      <c r="BB353" s="174">
        <f>+IF(AND(BA315=0,BB315&gt;0),BB315*($D$301/12),BA353)</f>
        <v/>
      </c>
      <c r="BC353" s="1091">
        <f>+IF(AND(BB315=0,BC315&gt;0),BC315*($D$301/12),BB353)</f>
        <v/>
      </c>
      <c r="BD353" s="1091">
        <f>+IF(AND(BC315=0,BD315&gt;0),BD315*($D$301/12),BC353)</f>
        <v/>
      </c>
      <c r="BE353" s="1091">
        <f>+IF(AND(BD315=0,BE315&gt;0),BE315*($D$301/12),BD353)</f>
        <v/>
      </c>
      <c r="BF353" s="1091">
        <f>+IF(AND(BE315=0,BF315&gt;0),BF315*($D$301/12),BE353)</f>
        <v/>
      </c>
      <c r="BG353" s="1091">
        <f>+IF(AND(BF315=0,BG315&gt;0),BG315*($D$301/12),BF353)</f>
        <v/>
      </c>
      <c r="BH353" s="174">
        <f>+IF(AND(BG315=0,BH315&gt;0),BH315*($D$301/12),BG353)</f>
        <v/>
      </c>
      <c r="BI353" s="1091">
        <f>+IF(AND(BH315=0,BI315&gt;0),BI315*($D$301/12),BH353)</f>
        <v/>
      </c>
      <c r="BJ353" s="1091">
        <f>+IF(AND(BI315=0,BJ315&gt;0),BJ315*($D$301/12),BI353)</f>
        <v/>
      </c>
      <c r="BK353" s="1091">
        <f>+IF(AND(BJ315=0,BK315&gt;0),BK315*($D$301/12),BJ353)</f>
        <v/>
      </c>
      <c r="BL353" s="1091">
        <f>+IF(AND(BK315=0,BL315&gt;0),BL315*($D$301/12),BK353)</f>
        <v/>
      </c>
      <c r="BM353" s="1091">
        <f>+IF(AND(BL315=0,BM315&gt;0),BM315*($D$301/12),BL353)</f>
        <v/>
      </c>
      <c r="BN353" s="174">
        <f>+IF(AND(BM315=0,BN315&gt;0),BN315*($D$301/12),BM353)</f>
        <v/>
      </c>
    </row>
    <row r="354" ht="12.75" customHeight="1" s="1883">
      <c r="C354" s="1157" t="inlineStr">
        <is>
          <t>Amortization Expense - 2</t>
        </is>
      </c>
      <c r="D354" s="670" t="n"/>
      <c r="E354" s="671" t="n"/>
      <c r="F354" s="74" t="n"/>
      <c r="G354" s="1091">
        <f>+IF(AND(F316=0,G316&gt;0),G316*($D$301/12),F354)</f>
        <v/>
      </c>
      <c r="H354" s="1091">
        <f>+IF(AND(G316=0,H316&gt;0),H316*($D$301/12),G354)</f>
        <v/>
      </c>
      <c r="I354" s="1091">
        <f>+IF(AND(H316=0,I316&gt;0),I316*($D$301/12),H354)</f>
        <v/>
      </c>
      <c r="J354" s="1091">
        <f>+IF(AND(I316=0,J316&gt;0),J316*($D$301/12),I354)</f>
        <v/>
      </c>
      <c r="K354" s="1091">
        <f>+IF(AND(J316=0,K316&gt;0),K316*($D$301/12),J354)</f>
        <v/>
      </c>
      <c r="L354" s="174">
        <f>+IF(AND(K316=0,L316&gt;0),L316*($D$301/12),K354)</f>
        <v/>
      </c>
      <c r="M354" s="1091">
        <f>+IF(AND(L316=0,M316&gt;0),M316*($D$301/12),L354)</f>
        <v/>
      </c>
      <c r="N354" s="1091">
        <f>+IF(AND(M316=0,N316&gt;0),N316*($D$301/12),M354)</f>
        <v/>
      </c>
      <c r="O354" s="1091">
        <f>+IF(AND(N316=0,O316&gt;0),O316*($D$301/12),N354)</f>
        <v/>
      </c>
      <c r="P354" s="1091">
        <f>+IF(AND(O316=0,P316&gt;0),P316*($D$301/12),O354)</f>
        <v/>
      </c>
      <c r="Q354" s="1091">
        <f>+IF(AND(P316=0,Q316&gt;0),Q316*($D$301/12),P354)</f>
        <v/>
      </c>
      <c r="R354" s="174">
        <f>+IF(AND(Q316=0,R316&gt;0),R316*($D$301/12),Q354)</f>
        <v/>
      </c>
      <c r="S354" s="1091">
        <f>+IF(AND(R316=0,S316&gt;0),S316*($D$301/12),R354)</f>
        <v/>
      </c>
      <c r="T354" s="1091">
        <f>+IF(AND(S316=0,T316&gt;0),T316*($D$301/12),S354)</f>
        <v/>
      </c>
      <c r="U354" s="1091">
        <f>+IF(AND(T316=0,U316&gt;0),U316*($D$301/12),T354)</f>
        <v/>
      </c>
      <c r="V354" s="1091">
        <f>+IF(AND(U316=0,V316&gt;0),V316*($D$301/12),U354)</f>
        <v/>
      </c>
      <c r="W354" s="1091">
        <f>+IF(AND(V316=0,W316&gt;0),W316*($D$301/12),V354)</f>
        <v/>
      </c>
      <c r="X354" s="174">
        <f>+IF(AND(W316=0,X316&gt;0),X316*($D$301/12),W354)</f>
        <v/>
      </c>
      <c r="Y354" s="1091">
        <f>+IF(AND(X316=0,Y316&gt;0),Y316*($D$301/12),X354)</f>
        <v/>
      </c>
      <c r="Z354" s="1091">
        <f>+IF(AND(Y316=0,Z316&gt;0),Z316*($D$301/12),Y354)</f>
        <v/>
      </c>
      <c r="AA354" s="1091">
        <f>+IF(AND(Z316=0,AA316&gt;0),AA316*($D$301/12),Z354)</f>
        <v/>
      </c>
      <c r="AB354" s="1091">
        <f>+IF(AND(AA316=0,AB316&gt;0),AB316*($D$301/12),AA354)</f>
        <v/>
      </c>
      <c r="AC354" s="1091">
        <f>+IF(AND(AB316=0,AC316&gt;0),AC316*($D$301/12),AB354)</f>
        <v/>
      </c>
      <c r="AD354" s="174">
        <f>+IF(AND(AC316=0,AD316&gt;0),AD316*($D$301/12),AC354)</f>
        <v/>
      </c>
      <c r="AE354" s="1091">
        <f>+IF(AND(AD316=0,AE316&gt;0),AE316*($D$301/12),AD354)</f>
        <v/>
      </c>
      <c r="AF354" s="1091">
        <f>+IF(AND(AE316=0,AF316&gt;0),AF316*($D$301/12),AE354)</f>
        <v/>
      </c>
      <c r="AG354" s="1091">
        <f>+IF(AND(AF316=0,AG316&gt;0),AG316*($D$301/12),AF354)</f>
        <v/>
      </c>
      <c r="AH354" s="1091">
        <f>+IF(AND(AG316=0,AH316&gt;0),AH316*($D$301/12),AG354)</f>
        <v/>
      </c>
      <c r="AI354" s="1091">
        <f>+IF(AND(AH316=0,AI316&gt;0),AI316*($D$301/12),AH354)</f>
        <v/>
      </c>
      <c r="AJ354" s="174">
        <f>+IF(AND(AI316=0,AJ316&gt;0),AJ316*($D$301/12),AI354)</f>
        <v/>
      </c>
      <c r="AK354" s="1091">
        <f>+IF(AND(AJ316=0,AK316&gt;0),AK316*($D$301/12),AJ354)</f>
        <v/>
      </c>
      <c r="AL354" s="1091">
        <f>+IF(AND(AK316=0,AL316&gt;0),AL316*($D$301/12),AK354)</f>
        <v/>
      </c>
      <c r="AM354" s="1091">
        <f>+IF(AND(AL316=0,AM316&gt;0),AM316*($D$301/12),AL354)</f>
        <v/>
      </c>
      <c r="AN354" s="1091">
        <f>+IF(AND(AM316=0,AN316&gt;0),AN316*($D$301/12),AM354)</f>
        <v/>
      </c>
      <c r="AO354" s="1091">
        <f>+IF(AND(AN316=0,AO316&gt;0),AO316*($D$301/12),AN354)</f>
        <v/>
      </c>
      <c r="AP354" s="174">
        <f>+IF(AND(AO316=0,AP316&gt;0),AP316*($D$301/12),AO354)</f>
        <v/>
      </c>
      <c r="AQ354" s="1091">
        <f>+IF(AND(AP316=0,AQ316&gt;0),AQ316*($D$301/12),AP354)</f>
        <v/>
      </c>
      <c r="AR354" s="1091">
        <f>+IF(AND(AQ316=0,AR316&gt;0),AR316*($D$301/12),AQ354)</f>
        <v/>
      </c>
      <c r="AS354" s="1091">
        <f>+IF(AND(AR316=0,AS316&gt;0),AS316*($D$301/12),AR354)</f>
        <v/>
      </c>
      <c r="AT354" s="1091">
        <f>+IF(AND(AS316=0,AT316&gt;0),AT316*($D$301/12),AS354)</f>
        <v/>
      </c>
      <c r="AU354" s="1091">
        <f>+IF(AND(AT316=0,AU316&gt;0),AU316*($D$301/12),AT354)</f>
        <v/>
      </c>
      <c r="AV354" s="174">
        <f>+IF(AND(AU316=0,AV316&gt;0),AV316*($D$301/12),AU354)</f>
        <v/>
      </c>
      <c r="AW354" s="1091">
        <f>+IF(AND(AV316=0,AW316&gt;0),AW316*($D$301/12),AV354)</f>
        <v/>
      </c>
      <c r="AX354" s="1091">
        <f>+IF(AND(AW316=0,AX316&gt;0),AX316*($D$301/12),AW354)</f>
        <v/>
      </c>
      <c r="AY354" s="1091">
        <f>+IF(AND(AX316=0,AY316&gt;0),AY316*($D$301/12),AX354)</f>
        <v/>
      </c>
      <c r="AZ354" s="1091">
        <f>+IF(AND(AY316=0,AZ316&gt;0),AZ316*($D$301/12),AY354)</f>
        <v/>
      </c>
      <c r="BA354" s="1091">
        <f>+IF(AND(AZ316=0,BA316&gt;0),BA316*($D$301/12),AZ354)</f>
        <v/>
      </c>
      <c r="BB354" s="174">
        <f>+IF(AND(BA316=0,BB316&gt;0),BB316*($D$301/12),BA354)</f>
        <v/>
      </c>
      <c r="BC354" s="1091">
        <f>+IF(AND(BB316=0,BC316&gt;0),BC316*($D$301/12),BB354)</f>
        <v/>
      </c>
      <c r="BD354" s="1091">
        <f>+IF(AND(BC316=0,BD316&gt;0),BD316*($D$301/12),BC354)</f>
        <v/>
      </c>
      <c r="BE354" s="1091">
        <f>+IF(AND(BD316=0,BE316&gt;0),BE316*($D$301/12),BD354)</f>
        <v/>
      </c>
      <c r="BF354" s="1091">
        <f>+IF(AND(BE316=0,BF316&gt;0),BF316*($D$301/12),BE354)</f>
        <v/>
      </c>
      <c r="BG354" s="1091">
        <f>+IF(AND(BF316=0,BG316&gt;0),BG316*($D$301/12),BF354)</f>
        <v/>
      </c>
      <c r="BH354" s="174">
        <f>+IF(AND(BG316=0,BH316&gt;0),BH316*($D$301/12),BG354)</f>
        <v/>
      </c>
      <c r="BI354" s="1091">
        <f>+IF(AND(BH316=0,BI316&gt;0),BI316*($D$301/12),BH354)</f>
        <v/>
      </c>
      <c r="BJ354" s="1091">
        <f>+IF(AND(BI316=0,BJ316&gt;0),BJ316*($D$301/12),BI354)</f>
        <v/>
      </c>
      <c r="BK354" s="1091">
        <f>+IF(AND(BJ316=0,BK316&gt;0),BK316*($D$301/12),BJ354)</f>
        <v/>
      </c>
      <c r="BL354" s="1091">
        <f>+IF(AND(BK316=0,BL316&gt;0),BL316*($D$301/12),BK354)</f>
        <v/>
      </c>
      <c r="BM354" s="1091">
        <f>+IF(AND(BL316=0,BM316&gt;0),BM316*($D$301/12),BL354)</f>
        <v/>
      </c>
      <c r="BN354" s="174">
        <f>+IF(AND(BM316=0,BN316&gt;0),BN316*($D$301/12),BM354)</f>
        <v/>
      </c>
    </row>
    <row r="355" ht="12.75" customHeight="1" s="1883">
      <c r="C355" s="1157" t="inlineStr">
        <is>
          <t>Amortization Expense - 3</t>
        </is>
      </c>
      <c r="D355" s="670" t="n"/>
      <c r="E355" s="671" t="n"/>
      <c r="F355" s="74" t="n"/>
      <c r="G355" s="1091">
        <f>+IF(AND(F317=0,G317&gt;0),G317*($D$301/12),F355)</f>
        <v/>
      </c>
      <c r="H355" s="1091">
        <f>+IF(AND(G317=0,H317&gt;0),H317*($D$301/12),G355)</f>
        <v/>
      </c>
      <c r="I355" s="1091">
        <f>+IF(AND(H317=0,I317&gt;0),I317*($D$301/12),H355)</f>
        <v/>
      </c>
      <c r="J355" s="1091">
        <f>+IF(AND(I317=0,J317&gt;0),J317*($D$301/12),I355)</f>
        <v/>
      </c>
      <c r="K355" s="1091">
        <f>+IF(AND(J317=0,K317&gt;0),K317*($D$301/12),J355)</f>
        <v/>
      </c>
      <c r="L355" s="174">
        <f>+IF(AND(K317=0,L317&gt;0),L317*($D$301/12),K355)</f>
        <v/>
      </c>
      <c r="M355" s="1091">
        <f>+IF(AND(L317=0,M317&gt;0),M317*($D$301/12),L355)</f>
        <v/>
      </c>
      <c r="N355" s="1091">
        <f>+IF(AND(M317=0,N317&gt;0),N317*($D$301/12),M355)</f>
        <v/>
      </c>
      <c r="O355" s="1091">
        <f>+IF(AND(N317=0,O317&gt;0),O317*($D$301/12),N355)</f>
        <v/>
      </c>
      <c r="P355" s="1091">
        <f>+IF(AND(O317=0,P317&gt;0),P317*($D$301/12),O355)</f>
        <v/>
      </c>
      <c r="Q355" s="1091">
        <f>+IF(AND(P317=0,Q317&gt;0),Q317*($D$301/12),P355)</f>
        <v/>
      </c>
      <c r="R355" s="174">
        <f>+IF(AND(Q317=0,R317&gt;0),R317*($D$301/12),Q355)</f>
        <v/>
      </c>
      <c r="S355" s="1091">
        <f>+IF(AND(R317=0,S317&gt;0),S317*($D$301/12),R355)</f>
        <v/>
      </c>
      <c r="T355" s="1091">
        <f>+IF(AND(S317=0,T317&gt;0),T317*($D$301/12),S355)</f>
        <v/>
      </c>
      <c r="U355" s="1091">
        <f>+IF(AND(T317=0,U317&gt;0),U317*($D$301/12),T355)</f>
        <v/>
      </c>
      <c r="V355" s="1091">
        <f>+IF(AND(U317=0,V317&gt;0),V317*($D$301/12),U355)</f>
        <v/>
      </c>
      <c r="W355" s="1091">
        <f>+IF(AND(V317=0,W317&gt;0),W317*($D$301/12),V355)</f>
        <v/>
      </c>
      <c r="X355" s="174">
        <f>+IF(AND(W317=0,X317&gt;0),X317*($D$301/12),W355)</f>
        <v/>
      </c>
      <c r="Y355" s="1091">
        <f>+IF(AND(X317=0,Y317&gt;0),Y317*($D$301/12),X355)</f>
        <v/>
      </c>
      <c r="Z355" s="1091">
        <f>+IF(AND(Y317=0,Z317&gt;0),Z317*($D$301/12),Y355)</f>
        <v/>
      </c>
      <c r="AA355" s="1091">
        <f>+IF(AND(Z317=0,AA317&gt;0),AA317*($D$301/12),Z355)</f>
        <v/>
      </c>
      <c r="AB355" s="1091">
        <f>+IF(AND(AA317=0,AB317&gt;0),AB317*($D$301/12),AA355)</f>
        <v/>
      </c>
      <c r="AC355" s="1091">
        <f>+IF(AND(AB317=0,AC317&gt;0),AC317*($D$301/12),AB355)</f>
        <v/>
      </c>
      <c r="AD355" s="174">
        <f>+IF(AND(AC317=0,AD317&gt;0),AD317*($D$301/12),AC355)</f>
        <v/>
      </c>
      <c r="AE355" s="1091">
        <f>+IF(AND(AD317=0,AE317&gt;0),AE317*($D$301/12),AD355)</f>
        <v/>
      </c>
      <c r="AF355" s="1091">
        <f>+IF(AND(AE317=0,AF317&gt;0),AF317*($D$301/12),AE355)</f>
        <v/>
      </c>
      <c r="AG355" s="1091">
        <f>+IF(AND(AF317=0,AG317&gt;0),AG317*($D$301/12),AF355)</f>
        <v/>
      </c>
      <c r="AH355" s="1091">
        <f>+IF(AND(AG317=0,AH317&gt;0),AH317*($D$301/12),AG355)</f>
        <v/>
      </c>
      <c r="AI355" s="1091">
        <f>+IF(AND(AH317=0,AI317&gt;0),AI317*($D$301/12),AH355)</f>
        <v/>
      </c>
      <c r="AJ355" s="174">
        <f>+IF(AND(AI317=0,AJ317&gt;0),AJ317*($D$301/12),AI355)</f>
        <v/>
      </c>
      <c r="AK355" s="1091">
        <f>+IF(AND(AJ317=0,AK317&gt;0),AK317*($D$301/12),AJ355)</f>
        <v/>
      </c>
      <c r="AL355" s="1091">
        <f>+IF(AND(AK317=0,AL317&gt;0),AL317*($D$301/12),AK355)</f>
        <v/>
      </c>
      <c r="AM355" s="1091">
        <f>+IF(AND(AL317=0,AM317&gt;0),AM317*($D$301/12),AL355)</f>
        <v/>
      </c>
      <c r="AN355" s="1091">
        <f>+IF(AND(AM317=0,AN317&gt;0),AN317*($D$301/12),AM355)</f>
        <v/>
      </c>
      <c r="AO355" s="1091">
        <f>+IF(AND(AN317=0,AO317&gt;0),AO317*($D$301/12),AN355)</f>
        <v/>
      </c>
      <c r="AP355" s="174">
        <f>+IF(AND(AO317=0,AP317&gt;0),AP317*($D$301/12),AO355)</f>
        <v/>
      </c>
      <c r="AQ355" s="1091">
        <f>+IF(AND(AP317=0,AQ317&gt;0),AQ317*($D$301/12),AP355)</f>
        <v/>
      </c>
      <c r="AR355" s="1091">
        <f>+IF(AND(AQ317=0,AR317&gt;0),AR317*($D$301/12),AQ355)</f>
        <v/>
      </c>
      <c r="AS355" s="1091">
        <f>+IF(AND(AR317=0,AS317&gt;0),AS317*($D$301/12),AR355)</f>
        <v/>
      </c>
      <c r="AT355" s="1091">
        <f>+IF(AND(AS317=0,AT317&gt;0),AT317*($D$301/12),AS355)</f>
        <v/>
      </c>
      <c r="AU355" s="1091">
        <f>+IF(AND(AT317=0,AU317&gt;0),AU317*($D$301/12),AT355)</f>
        <v/>
      </c>
      <c r="AV355" s="174">
        <f>+IF(AND(AU317=0,AV317&gt;0),AV317*($D$301/12),AU355)</f>
        <v/>
      </c>
      <c r="AW355" s="1091">
        <f>+IF(AND(AV317=0,AW317&gt;0),AW317*($D$301/12),AV355)</f>
        <v/>
      </c>
      <c r="AX355" s="1091">
        <f>+IF(AND(AW317=0,AX317&gt;0),AX317*($D$301/12),AW355)</f>
        <v/>
      </c>
      <c r="AY355" s="1091">
        <f>+IF(AND(AX317=0,AY317&gt;0),AY317*($D$301/12),AX355)</f>
        <v/>
      </c>
      <c r="AZ355" s="1091">
        <f>+IF(AND(AY317=0,AZ317&gt;0),AZ317*($D$301/12),AY355)</f>
        <v/>
      </c>
      <c r="BA355" s="1091">
        <f>+IF(AND(AZ317=0,BA317&gt;0),BA317*($D$301/12),AZ355)</f>
        <v/>
      </c>
      <c r="BB355" s="174">
        <f>+IF(AND(BA317=0,BB317&gt;0),BB317*($D$301/12),BA355)</f>
        <v/>
      </c>
      <c r="BC355" s="1091">
        <f>+IF(AND(BB317=0,BC317&gt;0),BC317*($D$301/12),BB355)</f>
        <v/>
      </c>
      <c r="BD355" s="1091">
        <f>+IF(AND(BC317=0,BD317&gt;0),BD317*($D$301/12),BC355)</f>
        <v/>
      </c>
      <c r="BE355" s="1091">
        <f>+IF(AND(BD317=0,BE317&gt;0),BE317*($D$301/12),BD355)</f>
        <v/>
      </c>
      <c r="BF355" s="1091">
        <f>+IF(AND(BE317=0,BF317&gt;0),BF317*($D$301/12),BE355)</f>
        <v/>
      </c>
      <c r="BG355" s="1091">
        <f>+IF(AND(BF317=0,BG317&gt;0),BG317*($D$301/12),BF355)</f>
        <v/>
      </c>
      <c r="BH355" s="174">
        <f>+IF(AND(BG317=0,BH317&gt;0),BH317*($D$301/12),BG355)</f>
        <v/>
      </c>
      <c r="BI355" s="1091">
        <f>+IF(AND(BH317=0,BI317&gt;0),BI317*($D$301/12),BH355)</f>
        <v/>
      </c>
      <c r="BJ355" s="1091">
        <f>+IF(AND(BI317=0,BJ317&gt;0),BJ317*($D$301/12),BI355)</f>
        <v/>
      </c>
      <c r="BK355" s="1091">
        <f>+IF(AND(BJ317=0,BK317&gt;0),BK317*($D$301/12),BJ355)</f>
        <v/>
      </c>
      <c r="BL355" s="1091">
        <f>+IF(AND(BK317=0,BL317&gt;0),BL317*($D$301/12),BK355)</f>
        <v/>
      </c>
      <c r="BM355" s="1091">
        <f>+IF(AND(BL317=0,BM317&gt;0),BM317*($D$301/12),BL355)</f>
        <v/>
      </c>
      <c r="BN355" s="174">
        <f>+IF(AND(BM317=0,BN317&gt;0),BN317*($D$301/12),BM355)</f>
        <v/>
      </c>
    </row>
    <row r="356" ht="12.75" customHeight="1" s="1883">
      <c r="C356" s="1157" t="inlineStr">
        <is>
          <t>Amortization Expense - 4</t>
        </is>
      </c>
      <c r="D356" s="670" t="n"/>
      <c r="E356" s="671" t="n"/>
      <c r="F356" s="74" t="n"/>
      <c r="G356" s="1091">
        <f>+IF(AND(F318=0,G318&gt;0),G318*($D$301/12),F356)</f>
        <v/>
      </c>
      <c r="H356" s="1091">
        <f>+IF(AND(G318=0,H318&gt;0),H318*($D$301/12),G356)</f>
        <v/>
      </c>
      <c r="I356" s="1091">
        <f>+IF(AND(H318=0,I318&gt;0),I318*($D$301/12),H356)</f>
        <v/>
      </c>
      <c r="J356" s="1091">
        <f>+IF(AND(I318=0,J318&gt;0),J318*($D$301/12),I356)</f>
        <v/>
      </c>
      <c r="K356" s="1091">
        <f>+IF(AND(J318=0,K318&gt;0),K318*($D$301/12),J356)</f>
        <v/>
      </c>
      <c r="L356" s="174">
        <f>+IF(AND(K318=0,L318&gt;0),L318*($D$301/12),K356)</f>
        <v/>
      </c>
      <c r="M356" s="1091">
        <f>+IF(AND(L318=0,M318&gt;0),M318*($D$301/12),L356)</f>
        <v/>
      </c>
      <c r="N356" s="1091">
        <f>+IF(AND(M318=0,N318&gt;0),N318*($D$301/12),M356)</f>
        <v/>
      </c>
      <c r="O356" s="1091">
        <f>+IF(AND(N318=0,O318&gt;0),O318*($D$301/12),N356)</f>
        <v/>
      </c>
      <c r="P356" s="1091">
        <f>+IF(AND(O318=0,P318&gt;0),P318*($D$301/12),O356)</f>
        <v/>
      </c>
      <c r="Q356" s="1091">
        <f>+IF(AND(P318=0,Q318&gt;0),Q318*($D$301/12),P356)</f>
        <v/>
      </c>
      <c r="R356" s="174">
        <f>+IF(AND(Q318=0,R318&gt;0),R318*($D$301/12),Q356)</f>
        <v/>
      </c>
      <c r="S356" s="1091">
        <f>+IF(AND(R318=0,S318&gt;0),S318*($D$301/12),R356)</f>
        <v/>
      </c>
      <c r="T356" s="1091">
        <f>+IF(AND(S318=0,T318&gt;0),T318*($D$301/12),S356)</f>
        <v/>
      </c>
      <c r="U356" s="1091">
        <f>+IF(AND(T318=0,U318&gt;0),U318*($D$301/12),T356)</f>
        <v/>
      </c>
      <c r="V356" s="1091">
        <f>+IF(AND(U318=0,V318&gt;0),V318*($D$301/12),U356)</f>
        <v/>
      </c>
      <c r="W356" s="1091">
        <f>+IF(AND(V318=0,W318&gt;0),W318*($D$301/12),V356)</f>
        <v/>
      </c>
      <c r="X356" s="174">
        <f>+IF(AND(W318=0,X318&gt;0),X318*($D$301/12),W356)</f>
        <v/>
      </c>
      <c r="Y356" s="1091">
        <f>+IF(AND(X318=0,Y318&gt;0),Y318*($D$301/12),X356)</f>
        <v/>
      </c>
      <c r="Z356" s="1091">
        <f>+IF(AND(Y318=0,Z318&gt;0),Z318*($D$301/12),Y356)</f>
        <v/>
      </c>
      <c r="AA356" s="1091">
        <f>+IF(AND(Z318=0,AA318&gt;0),AA318*($D$301/12),Z356)</f>
        <v/>
      </c>
      <c r="AB356" s="1091">
        <f>+IF(AND(AA318=0,AB318&gt;0),AB318*($D$301/12),AA356)</f>
        <v/>
      </c>
      <c r="AC356" s="1091">
        <f>+IF(AND(AB318=0,AC318&gt;0),AC318*($D$301/12),AB356)</f>
        <v/>
      </c>
      <c r="AD356" s="174">
        <f>+IF(AND(AC318=0,AD318&gt;0),AD318*($D$301/12),AC356)</f>
        <v/>
      </c>
      <c r="AE356" s="1091">
        <f>+IF(AND(AD318=0,AE318&gt;0),AE318*($D$301/12),AD356)</f>
        <v/>
      </c>
      <c r="AF356" s="1091">
        <f>+IF(AND(AE318=0,AF318&gt;0),AF318*($D$301/12),AE356)</f>
        <v/>
      </c>
      <c r="AG356" s="1091">
        <f>+IF(AND(AF318=0,AG318&gt;0),AG318*($D$301/12),AF356)</f>
        <v/>
      </c>
      <c r="AH356" s="1091">
        <f>+IF(AND(AG318=0,AH318&gt;0),AH318*($D$301/12),AG356)</f>
        <v/>
      </c>
      <c r="AI356" s="1091">
        <f>+IF(AND(AH318=0,AI318&gt;0),AI318*($D$301/12),AH356)</f>
        <v/>
      </c>
      <c r="AJ356" s="174">
        <f>+IF(AND(AI318=0,AJ318&gt;0),AJ318*($D$301/12),AI356)</f>
        <v/>
      </c>
      <c r="AK356" s="1091">
        <f>+IF(AND(AJ318=0,AK318&gt;0),AK318*($D$301/12),AJ356)</f>
        <v/>
      </c>
      <c r="AL356" s="1091">
        <f>+IF(AND(AK318=0,AL318&gt;0),AL318*($D$301/12),AK356)</f>
        <v/>
      </c>
      <c r="AM356" s="1091">
        <f>+IF(AND(AL318=0,AM318&gt;0),AM318*($D$301/12),AL356)</f>
        <v/>
      </c>
      <c r="AN356" s="1091">
        <f>+IF(AND(AM318=0,AN318&gt;0),AN318*($D$301/12),AM356)</f>
        <v/>
      </c>
      <c r="AO356" s="1091">
        <f>+IF(AND(AN318=0,AO318&gt;0),AO318*($D$301/12),AN356)</f>
        <v/>
      </c>
      <c r="AP356" s="174">
        <f>+IF(AND(AO318=0,AP318&gt;0),AP318*($D$301/12),AO356)</f>
        <v/>
      </c>
      <c r="AQ356" s="1091">
        <f>+IF(AND(AP318=0,AQ318&gt;0),AQ318*($D$301/12),AP356)</f>
        <v/>
      </c>
      <c r="AR356" s="1091">
        <f>+IF(AND(AQ318=0,AR318&gt;0),AR318*($D$301/12),AQ356)</f>
        <v/>
      </c>
      <c r="AS356" s="1091">
        <f>+IF(AND(AR318=0,AS318&gt;0),AS318*($D$301/12),AR356)</f>
        <v/>
      </c>
      <c r="AT356" s="1091">
        <f>+IF(AND(AS318=0,AT318&gt;0),AT318*($D$301/12),AS356)</f>
        <v/>
      </c>
      <c r="AU356" s="1091">
        <f>+IF(AND(AT318=0,AU318&gt;0),AU318*($D$301/12),AT356)</f>
        <v/>
      </c>
      <c r="AV356" s="174">
        <f>+IF(AND(AU318=0,AV318&gt;0),AV318*($D$301/12),AU356)</f>
        <v/>
      </c>
      <c r="AW356" s="1091">
        <f>+IF(AND(AV318=0,AW318&gt;0),AW318*($D$301/12),AV356)</f>
        <v/>
      </c>
      <c r="AX356" s="1091">
        <f>+IF(AND(AW318=0,AX318&gt;0),AX318*($D$301/12),AW356)</f>
        <v/>
      </c>
      <c r="AY356" s="1091">
        <f>+IF(AND(AX318=0,AY318&gt;0),AY318*($D$301/12),AX356)</f>
        <v/>
      </c>
      <c r="AZ356" s="1091">
        <f>+IF(AND(AY318=0,AZ318&gt;0),AZ318*($D$301/12),AY356)</f>
        <v/>
      </c>
      <c r="BA356" s="1091">
        <f>+IF(AND(AZ318=0,BA318&gt;0),BA318*($D$301/12),AZ356)</f>
        <v/>
      </c>
      <c r="BB356" s="174">
        <f>+IF(AND(BA318=0,BB318&gt;0),BB318*($D$301/12),BA356)</f>
        <v/>
      </c>
      <c r="BC356" s="1091">
        <f>+IF(AND(BB318=0,BC318&gt;0),BC318*($D$301/12),BB356)</f>
        <v/>
      </c>
      <c r="BD356" s="1091">
        <f>+IF(AND(BC318=0,BD318&gt;0),BD318*($D$301/12),BC356)</f>
        <v/>
      </c>
      <c r="BE356" s="1091">
        <f>+IF(AND(BD318=0,BE318&gt;0),BE318*($D$301/12),BD356)</f>
        <v/>
      </c>
      <c r="BF356" s="1091">
        <f>+IF(AND(BE318=0,BF318&gt;0),BF318*($D$301/12),BE356)</f>
        <v/>
      </c>
      <c r="BG356" s="1091">
        <f>+IF(AND(BF318=0,BG318&gt;0),BG318*($D$301/12),BF356)</f>
        <v/>
      </c>
      <c r="BH356" s="174">
        <f>+IF(AND(BG318=0,BH318&gt;0),BH318*($D$301/12),BG356)</f>
        <v/>
      </c>
      <c r="BI356" s="1091">
        <f>+IF(AND(BH318=0,BI318&gt;0),BI318*($D$301/12),BH356)</f>
        <v/>
      </c>
      <c r="BJ356" s="1091">
        <f>+IF(AND(BI318=0,BJ318&gt;0),BJ318*($D$301/12),BI356)</f>
        <v/>
      </c>
      <c r="BK356" s="1091">
        <f>+IF(AND(BJ318=0,BK318&gt;0),BK318*($D$301/12),BJ356)</f>
        <v/>
      </c>
      <c r="BL356" s="1091">
        <f>+IF(AND(BK318=0,BL318&gt;0),BL318*($D$301/12),BK356)</f>
        <v/>
      </c>
      <c r="BM356" s="1091">
        <f>+IF(AND(BL318=0,BM318&gt;0),BM318*($D$301/12),BL356)</f>
        <v/>
      </c>
      <c r="BN356" s="174">
        <f>+IF(AND(BM318=0,BN318&gt;0),BN318*($D$301/12),BM356)</f>
        <v/>
      </c>
    </row>
    <row r="357" ht="12.75" customHeight="1" s="1883">
      <c r="C357" s="1157" t="inlineStr">
        <is>
          <t>Amortization Expense - 5</t>
        </is>
      </c>
      <c r="D357" s="670" t="n"/>
      <c r="E357" s="671" t="n"/>
      <c r="F357" s="74" t="n"/>
      <c r="G357" s="1091">
        <f>+IF(AND(F319=0,G319&gt;0),G319*($D$301/12),F357)</f>
        <v/>
      </c>
      <c r="H357" s="1091">
        <f>+IF(AND(G319=0,H319&gt;0),H319*($D$301/12),G357)</f>
        <v/>
      </c>
      <c r="I357" s="1091">
        <f>+IF(AND(H319=0,I319&gt;0),I319*($D$301/12),H357)</f>
        <v/>
      </c>
      <c r="J357" s="1091">
        <f>+IF(AND(I319=0,J319&gt;0),J319*($D$301/12),I357)</f>
        <v/>
      </c>
      <c r="K357" s="1091">
        <f>+IF(AND(J319=0,K319&gt;0),K319*($D$301/12),J357)</f>
        <v/>
      </c>
      <c r="L357" s="174">
        <f>+IF(AND(K319=0,L319&gt;0),L319*($D$301/12),K357)</f>
        <v/>
      </c>
      <c r="M357" s="1091">
        <f>+IF(AND(L319=0,M319&gt;0),M319*($D$301/12),L357)</f>
        <v/>
      </c>
      <c r="N357" s="1091">
        <f>+IF(AND(M319=0,N319&gt;0),N319*($D$301/12),M357)</f>
        <v/>
      </c>
      <c r="O357" s="1091">
        <f>+IF(AND(N319=0,O319&gt;0),O319*($D$301/12),N357)</f>
        <v/>
      </c>
      <c r="P357" s="1091">
        <f>+IF(AND(O319=0,P319&gt;0),P319*($D$301/12),O357)</f>
        <v/>
      </c>
      <c r="Q357" s="1091">
        <f>+IF(AND(P319=0,Q319&gt;0),Q319*($D$301/12),P357)</f>
        <v/>
      </c>
      <c r="R357" s="174">
        <f>+IF(AND(Q319=0,R319&gt;0),R319*($D$301/12),Q357)</f>
        <v/>
      </c>
      <c r="S357" s="1091">
        <f>+IF(AND(R319=0,S319&gt;0),S319*($D$301/12),R357)</f>
        <v/>
      </c>
      <c r="T357" s="1091">
        <f>+IF(AND(S319=0,T319&gt;0),T319*($D$301/12),S357)</f>
        <v/>
      </c>
      <c r="U357" s="1091">
        <f>+IF(AND(T319=0,U319&gt;0),U319*($D$301/12),T357)</f>
        <v/>
      </c>
      <c r="V357" s="1091">
        <f>+IF(AND(U319=0,V319&gt;0),V319*($D$301/12),U357)</f>
        <v/>
      </c>
      <c r="W357" s="1091">
        <f>+IF(AND(V319=0,W319&gt;0),W319*($D$301/12),V357)</f>
        <v/>
      </c>
      <c r="X357" s="174">
        <f>+IF(AND(W319=0,X319&gt;0),X319*($D$301/12),W357)</f>
        <v/>
      </c>
      <c r="Y357" s="1091">
        <f>+IF(AND(X319=0,Y319&gt;0),Y319*($D$301/12),X357)</f>
        <v/>
      </c>
      <c r="Z357" s="1091">
        <f>+IF(AND(Y319=0,Z319&gt;0),Z319*($D$301/12),Y357)</f>
        <v/>
      </c>
      <c r="AA357" s="1091">
        <f>+IF(AND(Z319=0,AA319&gt;0),AA319*($D$301/12),Z357)</f>
        <v/>
      </c>
      <c r="AB357" s="1091">
        <f>+IF(AND(AA319=0,AB319&gt;0),AB319*($D$301/12),AA357)</f>
        <v/>
      </c>
      <c r="AC357" s="1091">
        <f>+IF(AND(AB319=0,AC319&gt;0),AC319*($D$301/12),AB357)</f>
        <v/>
      </c>
      <c r="AD357" s="174">
        <f>+IF(AND(AC319=0,AD319&gt;0),AD319*($D$301/12),AC357)</f>
        <v/>
      </c>
      <c r="AE357" s="1091">
        <f>+IF(AND(AD319=0,AE319&gt;0),AE319*($D$301/12),AD357)</f>
        <v/>
      </c>
      <c r="AF357" s="1091">
        <f>+IF(AND(AE319=0,AF319&gt;0),AF319*($D$301/12),AE357)</f>
        <v/>
      </c>
      <c r="AG357" s="1091">
        <f>+IF(AND(AF319=0,AG319&gt;0),AG319*($D$301/12),AF357)</f>
        <v/>
      </c>
      <c r="AH357" s="1091">
        <f>+IF(AND(AG319=0,AH319&gt;0),AH319*($D$301/12),AG357)</f>
        <v/>
      </c>
      <c r="AI357" s="1091">
        <f>+IF(AND(AH319=0,AI319&gt;0),AI319*($D$301/12),AH357)</f>
        <v/>
      </c>
      <c r="AJ357" s="174">
        <f>+IF(AND(AI319=0,AJ319&gt;0),AJ319*($D$301/12),AI357)</f>
        <v/>
      </c>
      <c r="AK357" s="1091">
        <f>+IF(AND(AJ319=0,AK319&gt;0),AK319*($D$301/12),AJ357)</f>
        <v/>
      </c>
      <c r="AL357" s="1091">
        <f>+IF(AND(AK319=0,AL319&gt;0),AL319*($D$301/12),AK357)</f>
        <v/>
      </c>
      <c r="AM357" s="1091">
        <f>+IF(AND(AL319=0,AM319&gt;0),AM319*($D$301/12),AL357)</f>
        <v/>
      </c>
      <c r="AN357" s="1091">
        <f>+IF(AND(AM319=0,AN319&gt;0),AN319*($D$301/12),AM357)</f>
        <v/>
      </c>
      <c r="AO357" s="1091">
        <f>+IF(AND(AN319=0,AO319&gt;0),AO319*($D$301/12),AN357)</f>
        <v/>
      </c>
      <c r="AP357" s="174">
        <f>+IF(AND(AO319=0,AP319&gt;0),AP319*($D$301/12),AO357)</f>
        <v/>
      </c>
      <c r="AQ357" s="1091">
        <f>+IF(AND(AP319=0,AQ319&gt;0),AQ319*($D$301/12),AP357)</f>
        <v/>
      </c>
      <c r="AR357" s="1091">
        <f>+IF(AND(AQ319=0,AR319&gt;0),AR319*($D$301/12),AQ357)</f>
        <v/>
      </c>
      <c r="AS357" s="1091">
        <f>+IF(AND(AR319=0,AS319&gt;0),AS319*($D$301/12),AR357)</f>
        <v/>
      </c>
      <c r="AT357" s="1091">
        <f>+IF(AND(AS319=0,AT319&gt;0),AT319*($D$301/12),AS357)</f>
        <v/>
      </c>
      <c r="AU357" s="1091">
        <f>+IF(AND(AT319=0,AU319&gt;0),AU319*($D$301/12),AT357)</f>
        <v/>
      </c>
      <c r="AV357" s="174">
        <f>+IF(AND(AU319=0,AV319&gt;0),AV319*($D$301/12),AU357)</f>
        <v/>
      </c>
      <c r="AW357" s="1091">
        <f>+IF(AND(AV319=0,AW319&gt;0),AW319*($D$301/12),AV357)</f>
        <v/>
      </c>
      <c r="AX357" s="1091">
        <f>+IF(AND(AW319=0,AX319&gt;0),AX319*($D$301/12),AW357)</f>
        <v/>
      </c>
      <c r="AY357" s="1091">
        <f>+IF(AND(AX319=0,AY319&gt;0),AY319*($D$301/12),AX357)</f>
        <v/>
      </c>
      <c r="AZ357" s="1091">
        <f>+IF(AND(AY319=0,AZ319&gt;0),AZ319*($D$301/12),AY357)</f>
        <v/>
      </c>
      <c r="BA357" s="1091">
        <f>+IF(AND(AZ319=0,BA319&gt;0),BA319*($D$301/12),AZ357)</f>
        <v/>
      </c>
      <c r="BB357" s="174">
        <f>+IF(AND(BA319=0,BB319&gt;0),BB319*($D$301/12),BA357)</f>
        <v/>
      </c>
      <c r="BC357" s="1091">
        <f>+IF(AND(BB319=0,BC319&gt;0),BC319*($D$301/12),BB357)</f>
        <v/>
      </c>
      <c r="BD357" s="1091">
        <f>+IF(AND(BC319=0,BD319&gt;0),BD319*($D$301/12),BC357)</f>
        <v/>
      </c>
      <c r="BE357" s="1091">
        <f>+IF(AND(BD319=0,BE319&gt;0),BE319*($D$301/12),BD357)</f>
        <v/>
      </c>
      <c r="BF357" s="1091">
        <f>+IF(AND(BE319=0,BF319&gt;0),BF319*($D$301/12),BE357)</f>
        <v/>
      </c>
      <c r="BG357" s="1091">
        <f>+IF(AND(BF319=0,BG319&gt;0),BG319*($D$301/12),BF357)</f>
        <v/>
      </c>
      <c r="BH357" s="174">
        <f>+IF(AND(BG319=0,BH319&gt;0),BH319*($D$301/12),BG357)</f>
        <v/>
      </c>
      <c r="BI357" s="1091">
        <f>+IF(AND(BH319=0,BI319&gt;0),BI319*($D$301/12),BH357)</f>
        <v/>
      </c>
      <c r="BJ357" s="1091">
        <f>+IF(AND(BI319=0,BJ319&gt;0),BJ319*($D$301/12),BI357)</f>
        <v/>
      </c>
      <c r="BK357" s="1091">
        <f>+IF(AND(BJ319=0,BK319&gt;0),BK319*($D$301/12),BJ357)</f>
        <v/>
      </c>
      <c r="BL357" s="1091">
        <f>+IF(AND(BK319=0,BL319&gt;0),BL319*($D$301/12),BK357)</f>
        <v/>
      </c>
      <c r="BM357" s="1091">
        <f>+IF(AND(BL319=0,BM319&gt;0),BM319*($D$301/12),BL357)</f>
        <v/>
      </c>
      <c r="BN357" s="174">
        <f>+IF(AND(BM319=0,BN319&gt;0),BN319*($D$301/12),BM357)</f>
        <v/>
      </c>
    </row>
    <row r="358" ht="12.75" customHeight="1" s="1883">
      <c r="C358" s="1157" t="inlineStr">
        <is>
          <t>Amortization Expense - 6</t>
        </is>
      </c>
      <c r="D358" s="670" t="n"/>
      <c r="E358" s="671" t="n"/>
      <c r="F358" s="74" t="n"/>
      <c r="G358" s="1091">
        <f>+IF(AND(F320=0,G320&gt;0),G320*($D$301/12),F358)</f>
        <v/>
      </c>
      <c r="H358" s="1091">
        <f>+IF(AND(G320=0,H320&gt;0),H320*($D$301/12),G358)</f>
        <v/>
      </c>
      <c r="I358" s="1091">
        <f>+IF(AND(H320=0,I320&gt;0),I320*($D$301/12),H358)</f>
        <v/>
      </c>
      <c r="J358" s="1091">
        <f>+IF(AND(I320=0,J320&gt;0),J320*($D$301/12),I358)</f>
        <v/>
      </c>
      <c r="K358" s="1091">
        <f>+IF(AND(J320=0,K320&gt;0),K320*($D$301/12),J358)</f>
        <v/>
      </c>
      <c r="L358" s="174">
        <f>+IF(AND(K320=0,L320&gt;0),L320*($D$301/12),K358)</f>
        <v/>
      </c>
      <c r="M358" s="1091">
        <f>+IF(AND(L320=0,M320&gt;0),M320*($D$301/12),L358)</f>
        <v/>
      </c>
      <c r="N358" s="1091">
        <f>+IF(AND(M320=0,N320&gt;0),N320*($D$301/12),M358)</f>
        <v/>
      </c>
      <c r="O358" s="1091">
        <f>+IF(AND(N320=0,O320&gt;0),O320*($D$301/12),N358)</f>
        <v/>
      </c>
      <c r="P358" s="1091">
        <f>+IF(AND(O320=0,P320&gt;0),P320*($D$301/12),O358)</f>
        <v/>
      </c>
      <c r="Q358" s="1091">
        <f>+IF(AND(P320=0,Q320&gt;0),Q320*($D$301/12),P358)</f>
        <v/>
      </c>
      <c r="R358" s="174">
        <f>+IF(AND(Q320=0,R320&gt;0),R320*($D$301/12),Q358)</f>
        <v/>
      </c>
      <c r="S358" s="1091">
        <f>+IF(AND(R320=0,S320&gt;0),S320*($D$301/12),R358)</f>
        <v/>
      </c>
      <c r="T358" s="1091">
        <f>+IF(AND(S320=0,T320&gt;0),T320*($D$301/12),S358)</f>
        <v/>
      </c>
      <c r="U358" s="1091">
        <f>+IF(AND(T320=0,U320&gt;0),U320*($D$301/12),T358)</f>
        <v/>
      </c>
      <c r="V358" s="1091">
        <f>+IF(AND(U320=0,V320&gt;0),V320*($D$301/12),U358)</f>
        <v/>
      </c>
      <c r="W358" s="1091">
        <f>+IF(AND(V320=0,W320&gt;0),W320*($D$301/12),V358)</f>
        <v/>
      </c>
      <c r="X358" s="174">
        <f>+IF(AND(W320=0,X320&gt;0),X320*($D$301/12),W358)</f>
        <v/>
      </c>
      <c r="Y358" s="1091">
        <f>+IF(AND(X320=0,Y320&gt;0),Y320*($D$301/12),X358)</f>
        <v/>
      </c>
      <c r="Z358" s="1091">
        <f>+IF(AND(Y320=0,Z320&gt;0),Z320*($D$301/12),Y358)</f>
        <v/>
      </c>
      <c r="AA358" s="1091">
        <f>+IF(AND(Z320=0,AA320&gt;0),AA320*($D$301/12),Z358)</f>
        <v/>
      </c>
      <c r="AB358" s="1091">
        <f>+IF(AND(AA320=0,AB320&gt;0),AB320*($D$301/12),AA358)</f>
        <v/>
      </c>
      <c r="AC358" s="1091">
        <f>+IF(AND(AB320=0,AC320&gt;0),AC320*($D$301/12),AB358)</f>
        <v/>
      </c>
      <c r="AD358" s="174">
        <f>+IF(AND(AC320=0,AD320&gt;0),AD320*($D$301/12),AC358)</f>
        <v/>
      </c>
      <c r="AE358" s="1091">
        <f>+IF(AND(AD320=0,AE320&gt;0),AE320*($D$301/12),AD358)</f>
        <v/>
      </c>
      <c r="AF358" s="1091">
        <f>+IF(AND(AE320=0,AF320&gt;0),AF320*($D$301/12),AE358)</f>
        <v/>
      </c>
      <c r="AG358" s="1091">
        <f>+IF(AND(AF320=0,AG320&gt;0),AG320*($D$301/12),AF358)</f>
        <v/>
      </c>
      <c r="AH358" s="1091">
        <f>+IF(AND(AG320=0,AH320&gt;0),AH320*($D$301/12),AG358)</f>
        <v/>
      </c>
      <c r="AI358" s="1091">
        <f>+IF(AND(AH320=0,AI320&gt;0),AI320*($D$301/12),AH358)</f>
        <v/>
      </c>
      <c r="AJ358" s="174">
        <f>+IF(AND(AI320=0,AJ320&gt;0),AJ320*($D$301/12),AI358)</f>
        <v/>
      </c>
      <c r="AK358" s="1091">
        <f>+IF(AND(AJ320=0,AK320&gt;0),AK320*($D$301/12),AJ358)</f>
        <v/>
      </c>
      <c r="AL358" s="1091">
        <f>+IF(AND(AK320=0,AL320&gt;0),AL320*($D$301/12),AK358)</f>
        <v/>
      </c>
      <c r="AM358" s="1091">
        <f>+IF(AND(AL320=0,AM320&gt;0),AM320*($D$301/12),AL358)</f>
        <v/>
      </c>
      <c r="AN358" s="1091">
        <f>+IF(AND(AM320=0,AN320&gt;0),AN320*($D$301/12),AM358)</f>
        <v/>
      </c>
      <c r="AO358" s="1091">
        <f>+IF(AND(AN320=0,AO320&gt;0),AO320*($D$301/12),AN358)</f>
        <v/>
      </c>
      <c r="AP358" s="174">
        <f>+IF(AND(AO320=0,AP320&gt;0),AP320*($D$301/12),AO358)</f>
        <v/>
      </c>
      <c r="AQ358" s="1091">
        <f>+IF(AND(AP320=0,AQ320&gt;0),AQ320*($D$301/12),AP358)</f>
        <v/>
      </c>
      <c r="AR358" s="1091">
        <f>+IF(AND(AQ320=0,AR320&gt;0),AR320*($D$301/12),AQ358)</f>
        <v/>
      </c>
      <c r="AS358" s="1091">
        <f>+IF(AND(AR320=0,AS320&gt;0),AS320*($D$301/12),AR358)</f>
        <v/>
      </c>
      <c r="AT358" s="1091">
        <f>+IF(AND(AS320=0,AT320&gt;0),AT320*($D$301/12),AS358)</f>
        <v/>
      </c>
      <c r="AU358" s="1091">
        <f>+IF(AND(AT320=0,AU320&gt;0),AU320*($D$301/12),AT358)</f>
        <v/>
      </c>
      <c r="AV358" s="174">
        <f>+IF(AND(AU320=0,AV320&gt;0),AV320*($D$301/12),AU358)</f>
        <v/>
      </c>
      <c r="AW358" s="1091">
        <f>+IF(AND(AV320=0,AW320&gt;0),AW320*($D$301/12),AV358)</f>
        <v/>
      </c>
      <c r="AX358" s="1091">
        <f>+IF(AND(AW320=0,AX320&gt;0),AX320*($D$301/12),AW358)</f>
        <v/>
      </c>
      <c r="AY358" s="1091">
        <f>+IF(AND(AX320=0,AY320&gt;0),AY320*($D$301/12),AX358)</f>
        <v/>
      </c>
      <c r="AZ358" s="1091">
        <f>+IF(AND(AY320=0,AZ320&gt;0),AZ320*($D$301/12),AY358)</f>
        <v/>
      </c>
      <c r="BA358" s="1091">
        <f>+IF(AND(AZ320=0,BA320&gt;0),BA320*($D$301/12),AZ358)</f>
        <v/>
      </c>
      <c r="BB358" s="174">
        <f>+IF(AND(BA320=0,BB320&gt;0),BB320*($D$301/12),BA358)</f>
        <v/>
      </c>
      <c r="BC358" s="1091">
        <f>+IF(AND(BB320=0,BC320&gt;0),BC320*($D$301/12),BB358)</f>
        <v/>
      </c>
      <c r="BD358" s="1091">
        <f>+IF(AND(BC320=0,BD320&gt;0),BD320*($D$301/12),BC358)</f>
        <v/>
      </c>
      <c r="BE358" s="1091">
        <f>+IF(AND(BD320=0,BE320&gt;0),BE320*($D$301/12),BD358)</f>
        <v/>
      </c>
      <c r="BF358" s="1091">
        <f>+IF(AND(BE320=0,BF320&gt;0),BF320*($D$301/12),BE358)</f>
        <v/>
      </c>
      <c r="BG358" s="1091">
        <f>+IF(AND(BF320=0,BG320&gt;0),BG320*($D$301/12),BF358)</f>
        <v/>
      </c>
      <c r="BH358" s="174">
        <f>+IF(AND(BG320=0,BH320&gt;0),BH320*($D$301/12),BG358)</f>
        <v/>
      </c>
      <c r="BI358" s="1091">
        <f>+IF(AND(BH320=0,BI320&gt;0),BI320*($D$301/12),BH358)</f>
        <v/>
      </c>
      <c r="BJ358" s="1091">
        <f>+IF(AND(BI320=0,BJ320&gt;0),BJ320*($D$301/12),BI358)</f>
        <v/>
      </c>
      <c r="BK358" s="1091">
        <f>+IF(AND(BJ320=0,BK320&gt;0),BK320*($D$301/12),BJ358)</f>
        <v/>
      </c>
      <c r="BL358" s="1091">
        <f>+IF(AND(BK320=0,BL320&gt;0),BL320*($D$301/12),BK358)</f>
        <v/>
      </c>
      <c r="BM358" s="1091">
        <f>+IF(AND(BL320=0,BM320&gt;0),BM320*($D$301/12),BL358)</f>
        <v/>
      </c>
      <c r="BN358" s="174">
        <f>+IF(AND(BM320=0,BN320&gt;0),BN320*($D$301/12),BM358)</f>
        <v/>
      </c>
    </row>
    <row r="359" ht="12.75" customHeight="1" s="1883">
      <c r="C359" s="1157" t="inlineStr">
        <is>
          <t>Amortization Expense - 7</t>
        </is>
      </c>
      <c r="D359" s="670" t="n"/>
      <c r="E359" s="671" t="n"/>
      <c r="F359" s="74" t="n"/>
      <c r="G359" s="1091">
        <f>+IF(AND(F321=0,G321&gt;0),G321*($D$301/12),F359)</f>
        <v/>
      </c>
      <c r="H359" s="1091">
        <f>+IF(AND(G321=0,H321&gt;0),H321*($D$301/12),G359)</f>
        <v/>
      </c>
      <c r="I359" s="1091">
        <f>+IF(AND(H321=0,I321&gt;0),I321*($D$301/12),H359)</f>
        <v/>
      </c>
      <c r="J359" s="1091">
        <f>+IF(AND(I321=0,J321&gt;0),J321*($D$301/12),I359)</f>
        <v/>
      </c>
      <c r="K359" s="1091">
        <f>+IF(AND(J321=0,K321&gt;0),K321*($D$301/12),J359)</f>
        <v/>
      </c>
      <c r="L359" s="174">
        <f>+IF(AND(K321=0,L321&gt;0),L321*($D$301/12),K359)</f>
        <v/>
      </c>
      <c r="M359" s="1091">
        <f>+IF(AND(L321=0,M321&gt;0),M321*($D$301/12),L359)</f>
        <v/>
      </c>
      <c r="N359" s="1091">
        <f>+IF(AND(M321=0,N321&gt;0),N321*($D$301/12),M359)</f>
        <v/>
      </c>
      <c r="O359" s="1091">
        <f>+IF(AND(N321=0,O321&gt;0),O321*($D$301/12),N359)</f>
        <v/>
      </c>
      <c r="P359" s="1091">
        <f>+IF(AND(O321=0,P321&gt;0),P321*($D$301/12),O359)</f>
        <v/>
      </c>
      <c r="Q359" s="1091">
        <f>+IF(AND(P321=0,Q321&gt;0),Q321*($D$301/12),P359)</f>
        <v/>
      </c>
      <c r="R359" s="174">
        <f>+IF(AND(Q321=0,R321&gt;0),R321*($D$301/12),Q359)</f>
        <v/>
      </c>
      <c r="S359" s="1091">
        <f>+IF(AND(R321=0,S321&gt;0),S321*($D$301/12),R359)</f>
        <v/>
      </c>
      <c r="T359" s="1091">
        <f>+IF(AND(S321=0,T321&gt;0),T321*($D$301/12),S359)</f>
        <v/>
      </c>
      <c r="U359" s="1091">
        <f>+IF(AND(T321=0,U321&gt;0),U321*($D$301/12),T359)</f>
        <v/>
      </c>
      <c r="V359" s="1091">
        <f>+IF(AND(U321=0,V321&gt;0),V321*($D$301/12),U359)</f>
        <v/>
      </c>
      <c r="W359" s="1091">
        <f>+IF(AND(V321=0,W321&gt;0),W321*($D$301/12),V359)</f>
        <v/>
      </c>
      <c r="X359" s="174">
        <f>+IF(AND(W321=0,X321&gt;0),X321*($D$301/12),W359)</f>
        <v/>
      </c>
      <c r="Y359" s="1091">
        <f>+IF(AND(X321=0,Y321&gt;0),Y321*($D$301/12),X359)</f>
        <v/>
      </c>
      <c r="Z359" s="1091">
        <f>+IF(AND(Y321=0,Z321&gt;0),Z321*($D$301/12),Y359)</f>
        <v/>
      </c>
      <c r="AA359" s="1091">
        <f>+IF(AND(Z321=0,AA321&gt;0),AA321*($D$301/12),Z359)</f>
        <v/>
      </c>
      <c r="AB359" s="1091">
        <f>+IF(AND(AA321=0,AB321&gt;0),AB321*($D$301/12),AA359)</f>
        <v/>
      </c>
      <c r="AC359" s="1091">
        <f>+IF(AND(AB321=0,AC321&gt;0),AC321*($D$301/12),AB359)</f>
        <v/>
      </c>
      <c r="AD359" s="174">
        <f>+IF(AND(AC321=0,AD321&gt;0),AD321*($D$301/12),AC359)</f>
        <v/>
      </c>
      <c r="AE359" s="1091">
        <f>+IF(AND(AD321=0,AE321&gt;0),AE321*($D$301/12),AD359)</f>
        <v/>
      </c>
      <c r="AF359" s="1091">
        <f>+IF(AND(AE321=0,AF321&gt;0),AF321*($D$301/12),AE359)</f>
        <v/>
      </c>
      <c r="AG359" s="1091">
        <f>+IF(AND(AF321=0,AG321&gt;0),AG321*($D$301/12),AF359)</f>
        <v/>
      </c>
      <c r="AH359" s="1091">
        <f>+IF(AND(AG321=0,AH321&gt;0),AH321*($D$301/12),AG359)</f>
        <v/>
      </c>
      <c r="AI359" s="1091">
        <f>+IF(AND(AH321=0,AI321&gt;0),AI321*($D$301/12),AH359)</f>
        <v/>
      </c>
      <c r="AJ359" s="174">
        <f>+IF(AND(AI321=0,AJ321&gt;0),AJ321*($D$301/12),AI359)</f>
        <v/>
      </c>
      <c r="AK359" s="1091">
        <f>+IF(AND(AJ321=0,AK321&gt;0),AK321*($D$301/12),AJ359)</f>
        <v/>
      </c>
      <c r="AL359" s="1091">
        <f>+IF(AND(AK321=0,AL321&gt;0),AL321*($D$301/12),AK359)</f>
        <v/>
      </c>
      <c r="AM359" s="1091">
        <f>+IF(AND(AL321=0,AM321&gt;0),AM321*($D$301/12),AL359)</f>
        <v/>
      </c>
      <c r="AN359" s="1091">
        <f>+IF(AND(AM321=0,AN321&gt;0),AN321*($D$301/12),AM359)</f>
        <v/>
      </c>
      <c r="AO359" s="1091">
        <f>+IF(AND(AN321=0,AO321&gt;0),AO321*($D$301/12),AN359)</f>
        <v/>
      </c>
      <c r="AP359" s="174">
        <f>+IF(AND(AO321=0,AP321&gt;0),AP321*($D$301/12),AO359)</f>
        <v/>
      </c>
      <c r="AQ359" s="1091">
        <f>+IF(AND(AP321=0,AQ321&gt;0),AQ321*($D$301/12),AP359)</f>
        <v/>
      </c>
      <c r="AR359" s="1091">
        <f>+IF(AND(AQ321=0,AR321&gt;0),AR321*($D$301/12),AQ359)</f>
        <v/>
      </c>
      <c r="AS359" s="1091">
        <f>+IF(AND(AR321=0,AS321&gt;0),AS321*($D$301/12),AR359)</f>
        <v/>
      </c>
      <c r="AT359" s="1091">
        <f>+IF(AND(AS321=0,AT321&gt;0),AT321*($D$301/12),AS359)</f>
        <v/>
      </c>
      <c r="AU359" s="1091">
        <f>+IF(AND(AT321=0,AU321&gt;0),AU321*($D$301/12),AT359)</f>
        <v/>
      </c>
      <c r="AV359" s="174">
        <f>+IF(AND(AU321=0,AV321&gt;0),AV321*($D$301/12),AU359)</f>
        <v/>
      </c>
      <c r="AW359" s="1091">
        <f>+IF(AND(AV321=0,AW321&gt;0),AW321*($D$301/12),AV359)</f>
        <v/>
      </c>
      <c r="AX359" s="1091">
        <f>+IF(AND(AW321=0,AX321&gt;0),AX321*($D$301/12),AW359)</f>
        <v/>
      </c>
      <c r="AY359" s="1091">
        <f>+IF(AND(AX321=0,AY321&gt;0),AY321*($D$301/12),AX359)</f>
        <v/>
      </c>
      <c r="AZ359" s="1091">
        <f>+IF(AND(AY321=0,AZ321&gt;0),AZ321*($D$301/12),AY359)</f>
        <v/>
      </c>
      <c r="BA359" s="1091">
        <f>+IF(AND(AZ321=0,BA321&gt;0),BA321*($D$301/12),AZ359)</f>
        <v/>
      </c>
      <c r="BB359" s="174">
        <f>+IF(AND(BA321=0,BB321&gt;0),BB321*($D$301/12),BA359)</f>
        <v/>
      </c>
      <c r="BC359" s="1091">
        <f>+IF(AND(BB321=0,BC321&gt;0),BC321*($D$301/12),BB359)</f>
        <v/>
      </c>
      <c r="BD359" s="1091">
        <f>+IF(AND(BC321=0,BD321&gt;0),BD321*($D$301/12),BC359)</f>
        <v/>
      </c>
      <c r="BE359" s="1091">
        <f>+IF(AND(BD321=0,BE321&gt;0),BE321*($D$301/12),BD359)</f>
        <v/>
      </c>
      <c r="BF359" s="1091">
        <f>+IF(AND(BE321=0,BF321&gt;0),BF321*($D$301/12),BE359)</f>
        <v/>
      </c>
      <c r="BG359" s="1091">
        <f>+IF(AND(BF321=0,BG321&gt;0),BG321*($D$301/12),BF359)</f>
        <v/>
      </c>
      <c r="BH359" s="174">
        <f>+IF(AND(BG321=0,BH321&gt;0),BH321*($D$301/12),BG359)</f>
        <v/>
      </c>
      <c r="BI359" s="1091">
        <f>+IF(AND(BH321=0,BI321&gt;0),BI321*($D$301/12),BH359)</f>
        <v/>
      </c>
      <c r="BJ359" s="1091">
        <f>+IF(AND(BI321=0,BJ321&gt;0),BJ321*($D$301/12),BI359)</f>
        <v/>
      </c>
      <c r="BK359" s="1091">
        <f>+IF(AND(BJ321=0,BK321&gt;0),BK321*($D$301/12),BJ359)</f>
        <v/>
      </c>
      <c r="BL359" s="1091">
        <f>+IF(AND(BK321=0,BL321&gt;0),BL321*($D$301/12),BK359)</f>
        <v/>
      </c>
      <c r="BM359" s="1091">
        <f>+IF(AND(BL321=0,BM321&gt;0),BM321*($D$301/12),BL359)</f>
        <v/>
      </c>
      <c r="BN359" s="174">
        <f>+IF(AND(BM321=0,BN321&gt;0),BN321*($D$301/12),BM359)</f>
        <v/>
      </c>
    </row>
    <row r="360" ht="12.75" customHeight="1" s="1883">
      <c r="C360" s="1157" t="inlineStr">
        <is>
          <t>Amortization Expense - 8</t>
        </is>
      </c>
      <c r="D360" s="670" t="n"/>
      <c r="E360" s="671" t="n"/>
      <c r="F360" s="74" t="n"/>
      <c r="G360" s="1091">
        <f>+IF(AND(F322=0,G322&gt;0),G322*($D$301/12),F360)</f>
        <v/>
      </c>
      <c r="H360" s="1091">
        <f>+IF(AND(G322=0,H322&gt;0),H322*($D$301/12),G360)</f>
        <v/>
      </c>
      <c r="I360" s="1091">
        <f>+IF(AND(H322=0,I322&gt;0),I322*($D$301/12),H360)</f>
        <v/>
      </c>
      <c r="J360" s="1091">
        <f>+IF(AND(I322=0,J322&gt;0),J322*($D$301/12),I360)</f>
        <v/>
      </c>
      <c r="K360" s="1091">
        <f>+IF(AND(J322=0,K322&gt;0),K322*($D$301/12),J360)</f>
        <v/>
      </c>
      <c r="L360" s="174">
        <f>+IF(AND(K322=0,L322&gt;0),L322*($D$301/12),K360)</f>
        <v/>
      </c>
      <c r="M360" s="1091">
        <f>+IF(AND(L322=0,M322&gt;0),M322*($D$301/12),L360)</f>
        <v/>
      </c>
      <c r="N360" s="1091">
        <f>+IF(AND(M322=0,N322&gt;0),N322*($D$301/12),M360)</f>
        <v/>
      </c>
      <c r="O360" s="1091">
        <f>+IF(AND(N322=0,O322&gt;0),O322*($D$301/12),N360)</f>
        <v/>
      </c>
      <c r="P360" s="1091">
        <f>+IF(AND(O322=0,P322&gt;0),P322*($D$301/12),O360)</f>
        <v/>
      </c>
      <c r="Q360" s="1091">
        <f>+IF(AND(P322=0,Q322&gt;0),Q322*($D$301/12),P360)</f>
        <v/>
      </c>
      <c r="R360" s="174">
        <f>+IF(AND(Q322=0,R322&gt;0),R322*($D$301/12),Q360)</f>
        <v/>
      </c>
      <c r="S360" s="1091">
        <f>+IF(AND(R322=0,S322&gt;0),S322*($D$301/12),R360)</f>
        <v/>
      </c>
      <c r="T360" s="1091">
        <f>+IF(AND(S322=0,T322&gt;0),T322*($D$301/12),S360)</f>
        <v/>
      </c>
      <c r="U360" s="1091">
        <f>+IF(AND(T322=0,U322&gt;0),U322*($D$301/12),T360)</f>
        <v/>
      </c>
      <c r="V360" s="1091">
        <f>+IF(AND(U322=0,V322&gt;0),V322*($D$301/12),U360)</f>
        <v/>
      </c>
      <c r="W360" s="1091">
        <f>+IF(AND(V322=0,W322&gt;0),W322*($D$301/12),V360)</f>
        <v/>
      </c>
      <c r="X360" s="174">
        <f>+IF(AND(W322=0,X322&gt;0),X322*($D$301/12),W360)</f>
        <v/>
      </c>
      <c r="Y360" s="1091">
        <f>+IF(AND(X322=0,Y322&gt;0),Y322*($D$301/12),X360)</f>
        <v/>
      </c>
      <c r="Z360" s="1091">
        <f>+IF(AND(Y322=0,Z322&gt;0),Z322*($D$301/12),Y360)</f>
        <v/>
      </c>
      <c r="AA360" s="1091">
        <f>+IF(AND(Z322=0,AA322&gt;0),AA322*($D$301/12),Z360)</f>
        <v/>
      </c>
      <c r="AB360" s="1091">
        <f>+IF(AND(AA322=0,AB322&gt;0),AB322*($D$301/12),AA360)</f>
        <v/>
      </c>
      <c r="AC360" s="1091">
        <f>+IF(AND(AB322=0,AC322&gt;0),AC322*($D$301/12),AB360)</f>
        <v/>
      </c>
      <c r="AD360" s="174">
        <f>+IF(AND(AC322=0,AD322&gt;0),AD322*($D$301/12),AC360)</f>
        <v/>
      </c>
      <c r="AE360" s="1091">
        <f>+IF(AND(AD322=0,AE322&gt;0),AE322*($D$301/12),AD360)</f>
        <v/>
      </c>
      <c r="AF360" s="1091">
        <f>+IF(AND(AE322=0,AF322&gt;0),AF322*($D$301/12),AE360)</f>
        <v/>
      </c>
      <c r="AG360" s="1091">
        <f>+IF(AND(AF322=0,AG322&gt;0),AG322*($D$301/12),AF360)</f>
        <v/>
      </c>
      <c r="AH360" s="1091">
        <f>+IF(AND(AG322=0,AH322&gt;0),AH322*($D$301/12),AG360)</f>
        <v/>
      </c>
      <c r="AI360" s="1091">
        <f>+IF(AND(AH322=0,AI322&gt;0),AI322*($D$301/12),AH360)</f>
        <v/>
      </c>
      <c r="AJ360" s="174">
        <f>+IF(AND(AI322=0,AJ322&gt;0),AJ322*($D$301/12),AI360)</f>
        <v/>
      </c>
      <c r="AK360" s="1091">
        <f>+IF(AND(AJ322=0,AK322&gt;0),AK322*($D$301/12),AJ360)</f>
        <v/>
      </c>
      <c r="AL360" s="1091">
        <f>+IF(AND(AK322=0,AL322&gt;0),AL322*($D$301/12),AK360)</f>
        <v/>
      </c>
      <c r="AM360" s="1091">
        <f>+IF(AND(AL322=0,AM322&gt;0),AM322*($D$301/12),AL360)</f>
        <v/>
      </c>
      <c r="AN360" s="1091">
        <f>+IF(AND(AM322=0,AN322&gt;0),AN322*($D$301/12),AM360)</f>
        <v/>
      </c>
      <c r="AO360" s="1091">
        <f>+IF(AND(AN322=0,AO322&gt;0),AO322*($D$301/12),AN360)</f>
        <v/>
      </c>
      <c r="AP360" s="174">
        <f>+IF(AND(AO322=0,AP322&gt;0),AP322*($D$301/12),AO360)</f>
        <v/>
      </c>
      <c r="AQ360" s="1091">
        <f>+IF(AND(AP322=0,AQ322&gt;0),AQ322*($D$301/12),AP360)</f>
        <v/>
      </c>
      <c r="AR360" s="1091">
        <f>+IF(AND(AQ322=0,AR322&gt;0),AR322*($D$301/12),AQ360)</f>
        <v/>
      </c>
      <c r="AS360" s="1091">
        <f>+IF(AND(AR322=0,AS322&gt;0),AS322*($D$301/12),AR360)</f>
        <v/>
      </c>
      <c r="AT360" s="1091">
        <f>+IF(AND(AS322=0,AT322&gt;0),AT322*($D$301/12),AS360)</f>
        <v/>
      </c>
      <c r="AU360" s="1091">
        <f>+IF(AND(AT322=0,AU322&gt;0),AU322*($D$301/12),AT360)</f>
        <v/>
      </c>
      <c r="AV360" s="174">
        <f>+IF(AND(AU322=0,AV322&gt;0),AV322*($D$301/12),AU360)</f>
        <v/>
      </c>
      <c r="AW360" s="1091">
        <f>+IF(AND(AV322=0,AW322&gt;0),AW322*($D$301/12),AV360)</f>
        <v/>
      </c>
      <c r="AX360" s="1091">
        <f>+IF(AND(AW322=0,AX322&gt;0),AX322*($D$301/12),AW360)</f>
        <v/>
      </c>
      <c r="AY360" s="1091">
        <f>+IF(AND(AX322=0,AY322&gt;0),AY322*($D$301/12),AX360)</f>
        <v/>
      </c>
      <c r="AZ360" s="1091">
        <f>+IF(AND(AY322=0,AZ322&gt;0),AZ322*($D$301/12),AY360)</f>
        <v/>
      </c>
      <c r="BA360" s="1091">
        <f>+IF(AND(AZ322=0,BA322&gt;0),BA322*($D$301/12),AZ360)</f>
        <v/>
      </c>
      <c r="BB360" s="174">
        <f>+IF(AND(BA322=0,BB322&gt;0),BB322*($D$301/12),BA360)</f>
        <v/>
      </c>
      <c r="BC360" s="1091">
        <f>+IF(AND(BB322=0,BC322&gt;0),BC322*($D$301/12),BB360)</f>
        <v/>
      </c>
      <c r="BD360" s="1091">
        <f>+IF(AND(BC322=0,BD322&gt;0),BD322*($D$301/12),BC360)</f>
        <v/>
      </c>
      <c r="BE360" s="1091">
        <f>+IF(AND(BD322=0,BE322&gt;0),BE322*($D$301/12),BD360)</f>
        <v/>
      </c>
      <c r="BF360" s="1091">
        <f>+IF(AND(BE322=0,BF322&gt;0),BF322*($D$301/12),BE360)</f>
        <v/>
      </c>
      <c r="BG360" s="1091">
        <f>+IF(AND(BF322=0,BG322&gt;0),BG322*($D$301/12),BF360)</f>
        <v/>
      </c>
      <c r="BH360" s="174">
        <f>+IF(AND(BG322=0,BH322&gt;0),BH322*($D$301/12),BG360)</f>
        <v/>
      </c>
      <c r="BI360" s="1091">
        <f>+IF(AND(BH322=0,BI322&gt;0),BI322*($D$301/12),BH360)</f>
        <v/>
      </c>
      <c r="BJ360" s="1091">
        <f>+IF(AND(BI322=0,BJ322&gt;0),BJ322*($D$301/12),BI360)</f>
        <v/>
      </c>
      <c r="BK360" s="1091">
        <f>+IF(AND(BJ322=0,BK322&gt;0),BK322*($D$301/12),BJ360)</f>
        <v/>
      </c>
      <c r="BL360" s="1091">
        <f>+IF(AND(BK322=0,BL322&gt;0),BL322*($D$301/12),BK360)</f>
        <v/>
      </c>
      <c r="BM360" s="1091">
        <f>+IF(AND(BL322=0,BM322&gt;0),BM322*($D$301/12),BL360)</f>
        <v/>
      </c>
      <c r="BN360" s="174">
        <f>+IF(AND(BM322=0,BN322&gt;0),BN322*($D$301/12),BM360)</f>
        <v/>
      </c>
    </row>
    <row r="361" ht="12.75" customHeight="1" s="1883">
      <c r="C361" s="1157" t="inlineStr">
        <is>
          <t>Amortization Expense - 9</t>
        </is>
      </c>
      <c r="D361" s="670" t="n"/>
      <c r="E361" s="671" t="n"/>
      <c r="F361" s="74" t="n"/>
      <c r="G361" s="1091">
        <f>+IF(AND(F323=0,G323&gt;0),G323*($D$301/12),F361)</f>
        <v/>
      </c>
      <c r="H361" s="1091">
        <f>+IF(AND(G323=0,H323&gt;0),H323*($D$301/12),G361)</f>
        <v/>
      </c>
      <c r="I361" s="1091">
        <f>+IF(AND(H323=0,I323&gt;0),I323*($D$301/12),H361)</f>
        <v/>
      </c>
      <c r="J361" s="1091">
        <f>+IF(AND(I323=0,J323&gt;0),J323*($D$301/12),I361)</f>
        <v/>
      </c>
      <c r="K361" s="1091">
        <f>+IF(AND(J323=0,K323&gt;0),K323*($D$301/12),J361)</f>
        <v/>
      </c>
      <c r="L361" s="174">
        <f>+IF(AND(K323=0,L323&gt;0),L323*($D$301/12),K361)</f>
        <v/>
      </c>
      <c r="M361" s="1091">
        <f>+IF(AND(L323=0,M323&gt;0),M323*($D$301/12),L361)</f>
        <v/>
      </c>
      <c r="N361" s="1091">
        <f>+IF(AND(M323=0,N323&gt;0),N323*($D$301/12),M361)</f>
        <v/>
      </c>
      <c r="O361" s="1091">
        <f>+IF(AND(N323=0,O323&gt;0),O323*($D$301/12),N361)</f>
        <v/>
      </c>
      <c r="P361" s="1091">
        <f>+IF(AND(O323=0,P323&gt;0),P323*($D$301/12),O361)</f>
        <v/>
      </c>
      <c r="Q361" s="1091">
        <f>+IF(AND(P323=0,Q323&gt;0),Q323*($D$301/12),P361)</f>
        <v/>
      </c>
      <c r="R361" s="174">
        <f>+IF(AND(Q323=0,R323&gt;0),R323*($D$301/12),Q361)</f>
        <v/>
      </c>
      <c r="S361" s="1091">
        <f>+IF(AND(R323=0,S323&gt;0),S323*($D$301/12),R361)</f>
        <v/>
      </c>
      <c r="T361" s="1091">
        <f>+IF(AND(S323=0,T323&gt;0),T323*($D$301/12),S361)</f>
        <v/>
      </c>
      <c r="U361" s="1091">
        <f>+IF(AND(T323=0,U323&gt;0),U323*($D$301/12),T361)</f>
        <v/>
      </c>
      <c r="V361" s="1091">
        <f>+IF(AND(U323=0,V323&gt;0),V323*($D$301/12),U361)</f>
        <v/>
      </c>
      <c r="W361" s="1091">
        <f>+IF(AND(V323=0,W323&gt;0),W323*($D$301/12),V361)</f>
        <v/>
      </c>
      <c r="X361" s="174">
        <f>+IF(AND(W323=0,X323&gt;0),X323*($D$301/12),W361)</f>
        <v/>
      </c>
      <c r="Y361" s="1091">
        <f>+IF(AND(X323=0,Y323&gt;0),Y323*($D$301/12),X361)</f>
        <v/>
      </c>
      <c r="Z361" s="1091">
        <f>+IF(AND(Y323=0,Z323&gt;0),Z323*($D$301/12),Y361)</f>
        <v/>
      </c>
      <c r="AA361" s="1091">
        <f>+IF(AND(Z323=0,AA323&gt;0),AA323*($D$301/12),Z361)</f>
        <v/>
      </c>
      <c r="AB361" s="1091">
        <f>+IF(AND(AA323=0,AB323&gt;0),AB323*($D$301/12),AA361)</f>
        <v/>
      </c>
      <c r="AC361" s="1091">
        <f>+IF(AND(AB323=0,AC323&gt;0),AC323*($D$301/12),AB361)</f>
        <v/>
      </c>
      <c r="AD361" s="174">
        <f>+IF(AND(AC323=0,AD323&gt;0),AD323*($D$301/12),AC361)</f>
        <v/>
      </c>
      <c r="AE361" s="1091">
        <f>+IF(AND(AD323=0,AE323&gt;0),AE323*($D$301/12),AD361)</f>
        <v/>
      </c>
      <c r="AF361" s="1091">
        <f>+IF(AND(AE323=0,AF323&gt;0),AF323*($D$301/12),AE361)</f>
        <v/>
      </c>
      <c r="AG361" s="1091">
        <f>+IF(AND(AF323=0,AG323&gt;0),AG323*($D$301/12),AF361)</f>
        <v/>
      </c>
      <c r="AH361" s="1091">
        <f>+IF(AND(AG323=0,AH323&gt;0),AH323*($D$301/12),AG361)</f>
        <v/>
      </c>
      <c r="AI361" s="1091">
        <f>+IF(AND(AH323=0,AI323&gt;0),AI323*($D$301/12),AH361)</f>
        <v/>
      </c>
      <c r="AJ361" s="174">
        <f>+IF(AND(AI323=0,AJ323&gt;0),AJ323*($D$301/12),AI361)</f>
        <v/>
      </c>
      <c r="AK361" s="1091">
        <f>+IF(AND(AJ323=0,AK323&gt;0),AK323*($D$301/12),AJ361)</f>
        <v/>
      </c>
      <c r="AL361" s="1091">
        <f>+IF(AND(AK323=0,AL323&gt;0),AL323*($D$301/12),AK361)</f>
        <v/>
      </c>
      <c r="AM361" s="1091">
        <f>+IF(AND(AL323=0,AM323&gt;0),AM323*($D$301/12),AL361)</f>
        <v/>
      </c>
      <c r="AN361" s="1091">
        <f>+IF(AND(AM323=0,AN323&gt;0),AN323*($D$301/12),AM361)</f>
        <v/>
      </c>
      <c r="AO361" s="1091">
        <f>+IF(AND(AN323=0,AO323&gt;0),AO323*($D$301/12),AN361)</f>
        <v/>
      </c>
      <c r="AP361" s="174">
        <f>+IF(AND(AO323=0,AP323&gt;0),AP323*($D$301/12),AO361)</f>
        <v/>
      </c>
      <c r="AQ361" s="1091">
        <f>+IF(AND(AP323=0,AQ323&gt;0),AQ323*($D$301/12),AP361)</f>
        <v/>
      </c>
      <c r="AR361" s="1091">
        <f>+IF(AND(AQ323=0,AR323&gt;0),AR323*($D$301/12),AQ361)</f>
        <v/>
      </c>
      <c r="AS361" s="1091">
        <f>+IF(AND(AR323=0,AS323&gt;0),AS323*($D$301/12),AR361)</f>
        <v/>
      </c>
      <c r="AT361" s="1091">
        <f>+IF(AND(AS323=0,AT323&gt;0),AT323*($D$301/12),AS361)</f>
        <v/>
      </c>
      <c r="AU361" s="1091">
        <f>+IF(AND(AT323=0,AU323&gt;0),AU323*($D$301/12),AT361)</f>
        <v/>
      </c>
      <c r="AV361" s="174">
        <f>+IF(AND(AU323=0,AV323&gt;0),AV323*($D$301/12),AU361)</f>
        <v/>
      </c>
      <c r="AW361" s="1091">
        <f>+IF(AND(AV323=0,AW323&gt;0),AW323*($D$301/12),AV361)</f>
        <v/>
      </c>
      <c r="AX361" s="1091">
        <f>+IF(AND(AW323=0,AX323&gt;0),AX323*($D$301/12),AW361)</f>
        <v/>
      </c>
      <c r="AY361" s="1091">
        <f>+IF(AND(AX323=0,AY323&gt;0),AY323*($D$301/12),AX361)</f>
        <v/>
      </c>
      <c r="AZ361" s="1091">
        <f>+IF(AND(AY323=0,AZ323&gt;0),AZ323*($D$301/12),AY361)</f>
        <v/>
      </c>
      <c r="BA361" s="1091">
        <f>+IF(AND(AZ323=0,BA323&gt;0),BA323*($D$301/12),AZ361)</f>
        <v/>
      </c>
      <c r="BB361" s="174">
        <f>+IF(AND(BA323=0,BB323&gt;0),BB323*($D$301/12),BA361)</f>
        <v/>
      </c>
      <c r="BC361" s="1091">
        <f>+IF(AND(BB323=0,BC323&gt;0),BC323*($D$301/12),BB361)</f>
        <v/>
      </c>
      <c r="BD361" s="1091">
        <f>+IF(AND(BC323=0,BD323&gt;0),BD323*($D$301/12),BC361)</f>
        <v/>
      </c>
      <c r="BE361" s="1091">
        <f>+IF(AND(BD323=0,BE323&gt;0),BE323*($D$301/12),BD361)</f>
        <v/>
      </c>
      <c r="BF361" s="1091">
        <f>+IF(AND(BE323=0,BF323&gt;0),BF323*($D$301/12),BE361)</f>
        <v/>
      </c>
      <c r="BG361" s="1091">
        <f>+IF(AND(BF323=0,BG323&gt;0),BG323*($D$301/12),BF361)</f>
        <v/>
      </c>
      <c r="BH361" s="174">
        <f>+IF(AND(BG323=0,BH323&gt;0),BH323*($D$301/12),BG361)</f>
        <v/>
      </c>
      <c r="BI361" s="1091">
        <f>+IF(AND(BH323=0,BI323&gt;0),BI323*($D$301/12),BH361)</f>
        <v/>
      </c>
      <c r="BJ361" s="1091">
        <f>+IF(AND(BI323=0,BJ323&gt;0),BJ323*($D$301/12),BI361)</f>
        <v/>
      </c>
      <c r="BK361" s="1091">
        <f>+IF(AND(BJ323=0,BK323&gt;0),BK323*($D$301/12),BJ361)</f>
        <v/>
      </c>
      <c r="BL361" s="1091">
        <f>+IF(AND(BK323=0,BL323&gt;0),BL323*($D$301/12),BK361)</f>
        <v/>
      </c>
      <c r="BM361" s="1091">
        <f>+IF(AND(BL323=0,BM323&gt;0),BM323*($D$301/12),BL361)</f>
        <v/>
      </c>
      <c r="BN361" s="174">
        <f>+IF(AND(BM323=0,BN323&gt;0),BN323*($D$301/12),BM361)</f>
        <v/>
      </c>
    </row>
    <row r="362" ht="12.75" customHeight="1" s="1883">
      <c r="C362" s="1157" t="inlineStr">
        <is>
          <t>Amortization Expense - 10</t>
        </is>
      </c>
      <c r="D362" s="670" t="n"/>
      <c r="E362" s="671" t="n"/>
      <c r="F362" s="74" t="n"/>
      <c r="G362" s="1091">
        <f>+IF(AND(F324=0,G324&gt;0),G324*($D$301/12),F362)</f>
        <v/>
      </c>
      <c r="H362" s="1091">
        <f>+IF(AND(G324=0,H324&gt;0),H324*($D$301/12),G362)</f>
        <v/>
      </c>
      <c r="I362" s="1091">
        <f>+IF(AND(H324=0,I324&gt;0),I324*($D$301/12),H362)</f>
        <v/>
      </c>
      <c r="J362" s="1091">
        <f>+IF(AND(I324=0,J324&gt;0),J324*($D$301/12),I362)</f>
        <v/>
      </c>
      <c r="K362" s="1091">
        <f>+IF(AND(J324=0,K324&gt;0),K324*($D$301/12),J362)</f>
        <v/>
      </c>
      <c r="L362" s="174">
        <f>+IF(AND(K324=0,L324&gt;0),L324*($D$301/12),K362)</f>
        <v/>
      </c>
      <c r="M362" s="1091">
        <f>+IF(AND(L324=0,M324&gt;0),M324*($D$301/12),L362)</f>
        <v/>
      </c>
      <c r="N362" s="1091">
        <f>+IF(AND(M324=0,N324&gt;0),N324*($D$301/12),M362)</f>
        <v/>
      </c>
      <c r="O362" s="1091">
        <f>+IF(AND(N324=0,O324&gt;0),O324*($D$301/12),N362)</f>
        <v/>
      </c>
      <c r="P362" s="1091">
        <f>+IF(AND(O324=0,P324&gt;0),P324*($D$301/12),O362)</f>
        <v/>
      </c>
      <c r="Q362" s="1091">
        <f>+IF(AND(P324=0,Q324&gt;0),Q324*($D$301/12),P362)</f>
        <v/>
      </c>
      <c r="R362" s="174">
        <f>+IF(AND(Q324=0,R324&gt;0),R324*($D$301/12),Q362)</f>
        <v/>
      </c>
      <c r="S362" s="1091">
        <f>+IF(AND(R324=0,S324&gt;0),S324*($D$301/12),R362)</f>
        <v/>
      </c>
      <c r="T362" s="1091">
        <f>+IF(AND(S324=0,T324&gt;0),T324*($D$301/12),S362)</f>
        <v/>
      </c>
      <c r="U362" s="1091">
        <f>+IF(AND(T324=0,U324&gt;0),U324*($D$301/12),T362)</f>
        <v/>
      </c>
      <c r="V362" s="1091">
        <f>+IF(AND(U324=0,V324&gt;0),V324*($D$301/12),U362)</f>
        <v/>
      </c>
      <c r="W362" s="1091">
        <f>+IF(AND(V324=0,W324&gt;0),W324*($D$301/12),V362)</f>
        <v/>
      </c>
      <c r="X362" s="174">
        <f>+IF(AND(W324=0,X324&gt;0),X324*($D$301/12),W362)</f>
        <v/>
      </c>
      <c r="Y362" s="1091">
        <f>+IF(AND(X324=0,Y324&gt;0),Y324*($D$301/12),X362)</f>
        <v/>
      </c>
      <c r="Z362" s="1091">
        <f>+IF(AND(Y324=0,Z324&gt;0),Z324*($D$301/12),Y362)</f>
        <v/>
      </c>
      <c r="AA362" s="1091">
        <f>+IF(AND(Z324=0,AA324&gt;0),AA324*($D$301/12),Z362)</f>
        <v/>
      </c>
      <c r="AB362" s="1091">
        <f>+IF(AND(AA324=0,AB324&gt;0),AB324*($D$301/12),AA362)</f>
        <v/>
      </c>
      <c r="AC362" s="1091">
        <f>+IF(AND(AB324=0,AC324&gt;0),AC324*($D$301/12),AB362)</f>
        <v/>
      </c>
      <c r="AD362" s="174">
        <f>+IF(AND(AC324=0,AD324&gt;0),AD324*($D$301/12),AC362)</f>
        <v/>
      </c>
      <c r="AE362" s="1091">
        <f>+IF(AND(AD324=0,AE324&gt;0),AE324*($D$301/12),AD362)</f>
        <v/>
      </c>
      <c r="AF362" s="1091">
        <f>+IF(AND(AE324=0,AF324&gt;0),AF324*($D$301/12),AE362)</f>
        <v/>
      </c>
      <c r="AG362" s="1091">
        <f>+IF(AND(AF324=0,AG324&gt;0),AG324*($D$301/12),AF362)</f>
        <v/>
      </c>
      <c r="AH362" s="1091">
        <f>+IF(AND(AG324=0,AH324&gt;0),AH324*($D$301/12),AG362)</f>
        <v/>
      </c>
      <c r="AI362" s="1091">
        <f>+IF(AND(AH324=0,AI324&gt;0),AI324*($D$301/12),AH362)</f>
        <v/>
      </c>
      <c r="AJ362" s="174">
        <f>+IF(AND(AI324=0,AJ324&gt;0),AJ324*($D$301/12),AI362)</f>
        <v/>
      </c>
      <c r="AK362" s="1091">
        <f>+IF(AND(AJ324=0,AK324&gt;0),AK324*($D$301/12),AJ362)</f>
        <v/>
      </c>
      <c r="AL362" s="1091">
        <f>+IF(AND(AK324=0,AL324&gt;0),AL324*($D$301/12),AK362)</f>
        <v/>
      </c>
      <c r="AM362" s="1091">
        <f>+IF(AND(AL324=0,AM324&gt;0),AM324*($D$301/12),AL362)</f>
        <v/>
      </c>
      <c r="AN362" s="1091">
        <f>+IF(AND(AM324=0,AN324&gt;0),AN324*($D$301/12),AM362)</f>
        <v/>
      </c>
      <c r="AO362" s="1091">
        <f>+IF(AND(AN324=0,AO324&gt;0),AO324*($D$301/12),AN362)</f>
        <v/>
      </c>
      <c r="AP362" s="174">
        <f>+IF(AND(AO324=0,AP324&gt;0),AP324*($D$301/12),AO362)</f>
        <v/>
      </c>
      <c r="AQ362" s="1091">
        <f>+IF(AND(AP324=0,AQ324&gt;0),AQ324*($D$301/12),AP362)</f>
        <v/>
      </c>
      <c r="AR362" s="1091">
        <f>+IF(AND(AQ324=0,AR324&gt;0),AR324*($D$301/12),AQ362)</f>
        <v/>
      </c>
      <c r="AS362" s="1091">
        <f>+IF(AND(AR324=0,AS324&gt;0),AS324*($D$301/12),AR362)</f>
        <v/>
      </c>
      <c r="AT362" s="1091">
        <f>+IF(AND(AS324=0,AT324&gt;0),AT324*($D$301/12),AS362)</f>
        <v/>
      </c>
      <c r="AU362" s="1091">
        <f>+IF(AND(AT324=0,AU324&gt;0),AU324*($D$301/12),AT362)</f>
        <v/>
      </c>
      <c r="AV362" s="174">
        <f>+IF(AND(AU324=0,AV324&gt;0),AV324*($D$301/12),AU362)</f>
        <v/>
      </c>
      <c r="AW362" s="1091">
        <f>+IF(AND(AV324=0,AW324&gt;0),AW324*($D$301/12),AV362)</f>
        <v/>
      </c>
      <c r="AX362" s="1091">
        <f>+IF(AND(AW324=0,AX324&gt;0),AX324*($D$301/12),AW362)</f>
        <v/>
      </c>
      <c r="AY362" s="1091">
        <f>+IF(AND(AX324=0,AY324&gt;0),AY324*($D$301/12),AX362)</f>
        <v/>
      </c>
      <c r="AZ362" s="1091">
        <f>+IF(AND(AY324=0,AZ324&gt;0),AZ324*($D$301/12),AY362)</f>
        <v/>
      </c>
      <c r="BA362" s="1091">
        <f>+IF(AND(AZ324=0,BA324&gt;0),BA324*($D$301/12),AZ362)</f>
        <v/>
      </c>
      <c r="BB362" s="174">
        <f>+IF(AND(BA324=0,BB324&gt;0),BB324*($D$301/12),BA362)</f>
        <v/>
      </c>
      <c r="BC362" s="1091">
        <f>+IF(AND(BB324=0,BC324&gt;0),BC324*($D$301/12),BB362)</f>
        <v/>
      </c>
      <c r="BD362" s="1091">
        <f>+IF(AND(BC324=0,BD324&gt;0),BD324*($D$301/12),BC362)</f>
        <v/>
      </c>
      <c r="BE362" s="1091">
        <f>+IF(AND(BD324=0,BE324&gt;0),BE324*($D$301/12),BD362)</f>
        <v/>
      </c>
      <c r="BF362" s="1091">
        <f>+IF(AND(BE324=0,BF324&gt;0),BF324*($D$301/12),BE362)</f>
        <v/>
      </c>
      <c r="BG362" s="1091">
        <f>+IF(AND(BF324=0,BG324&gt;0),BG324*($D$301/12),BF362)</f>
        <v/>
      </c>
      <c r="BH362" s="174">
        <f>+IF(AND(BG324=0,BH324&gt;0),BH324*($D$301/12),BG362)</f>
        <v/>
      </c>
      <c r="BI362" s="1091">
        <f>+IF(AND(BH324=0,BI324&gt;0),BI324*($D$301/12),BH362)</f>
        <v/>
      </c>
      <c r="BJ362" s="1091">
        <f>+IF(AND(BI324=0,BJ324&gt;0),BJ324*($D$301/12),BI362)</f>
        <v/>
      </c>
      <c r="BK362" s="1091">
        <f>+IF(AND(BJ324=0,BK324&gt;0),BK324*($D$301/12),BJ362)</f>
        <v/>
      </c>
      <c r="BL362" s="1091">
        <f>+IF(AND(BK324=0,BL324&gt;0),BL324*($D$301/12),BK362)</f>
        <v/>
      </c>
      <c r="BM362" s="1091">
        <f>+IF(AND(BL324=0,BM324&gt;0),BM324*($D$301/12),BL362)</f>
        <v/>
      </c>
      <c r="BN362" s="174">
        <f>+IF(AND(BM324=0,BN324&gt;0),BN324*($D$301/12),BM362)</f>
        <v/>
      </c>
    </row>
    <row r="363" ht="12.75" customHeight="1" s="1883">
      <c r="C363" s="1157" t="inlineStr">
        <is>
          <t>Amortization Expense - 11</t>
        </is>
      </c>
      <c r="D363" s="670" t="n"/>
      <c r="E363" s="671" t="n"/>
      <c r="F363" s="74" t="n"/>
      <c r="G363" s="1091">
        <f>+IF(AND(F325=0,G325&gt;0),G325*($D$301/12),F363)</f>
        <v/>
      </c>
      <c r="H363" s="1091">
        <f>+IF(AND(G325=0,H325&gt;0),H325*($D$301/12),G363)</f>
        <v/>
      </c>
      <c r="I363" s="1091">
        <f>+IF(AND(H325=0,I325&gt;0),I325*($D$301/12),H363)</f>
        <v/>
      </c>
      <c r="J363" s="1091">
        <f>+IF(AND(I325=0,J325&gt;0),J325*($D$301/12),I363)</f>
        <v/>
      </c>
      <c r="K363" s="1091">
        <f>+IF(AND(J325=0,K325&gt;0),K325*($D$301/12),J363)</f>
        <v/>
      </c>
      <c r="L363" s="174">
        <f>+IF(AND(K325=0,L325&gt;0),L325*($D$301/12),K363)</f>
        <v/>
      </c>
      <c r="M363" s="1091">
        <f>+IF(AND(L325=0,M325&gt;0),M325*($D$301/12),L363)</f>
        <v/>
      </c>
      <c r="N363" s="1091">
        <f>+IF(AND(M325=0,N325&gt;0),N325*($D$301/12),M363)</f>
        <v/>
      </c>
      <c r="O363" s="1091">
        <f>+IF(AND(N325=0,O325&gt;0),O325*($D$301/12),N363)</f>
        <v/>
      </c>
      <c r="P363" s="1091">
        <f>+IF(AND(O325=0,P325&gt;0),P325*($D$301/12),O363)</f>
        <v/>
      </c>
      <c r="Q363" s="1091">
        <f>+IF(AND(P325=0,Q325&gt;0),Q325*($D$301/12),P363)</f>
        <v/>
      </c>
      <c r="R363" s="174">
        <f>+IF(AND(Q325=0,R325&gt;0),R325*($D$301/12),Q363)</f>
        <v/>
      </c>
      <c r="S363" s="1091">
        <f>+IF(AND(R325=0,S325&gt;0),S325*($D$301/12),R363)</f>
        <v/>
      </c>
      <c r="T363" s="1091">
        <f>+IF(AND(S325=0,T325&gt;0),T325*($D$301/12),S363)</f>
        <v/>
      </c>
      <c r="U363" s="1091">
        <f>+IF(AND(T325=0,U325&gt;0),U325*($D$301/12),T363)</f>
        <v/>
      </c>
      <c r="V363" s="1091">
        <f>+IF(AND(U325=0,V325&gt;0),V325*($D$301/12),U363)</f>
        <v/>
      </c>
      <c r="W363" s="1091">
        <f>+IF(AND(V325=0,W325&gt;0),W325*($D$301/12),V363)</f>
        <v/>
      </c>
      <c r="X363" s="174">
        <f>+IF(AND(W325=0,X325&gt;0),X325*($D$301/12),W363)</f>
        <v/>
      </c>
      <c r="Y363" s="1091">
        <f>+IF(AND(X325=0,Y325&gt;0),Y325*($D$301/12),X363)</f>
        <v/>
      </c>
      <c r="Z363" s="1091">
        <f>+IF(AND(Y325=0,Z325&gt;0),Z325*($D$301/12),Y363)</f>
        <v/>
      </c>
      <c r="AA363" s="1091">
        <f>+IF(AND(Z325=0,AA325&gt;0),AA325*($D$301/12),Z363)</f>
        <v/>
      </c>
      <c r="AB363" s="1091">
        <f>+IF(AND(AA325=0,AB325&gt;0),AB325*($D$301/12),AA363)</f>
        <v/>
      </c>
      <c r="AC363" s="1091">
        <f>+IF(AND(AB325=0,AC325&gt;0),AC325*($D$301/12),AB363)</f>
        <v/>
      </c>
      <c r="AD363" s="174">
        <f>+IF(AND(AC325=0,AD325&gt;0),AD325*($D$301/12),AC363)</f>
        <v/>
      </c>
      <c r="AE363" s="1091">
        <f>+IF(AND(AD325=0,AE325&gt;0),AE325*($D$301/12),AD363)</f>
        <v/>
      </c>
      <c r="AF363" s="1091">
        <f>+IF(AND(AE325=0,AF325&gt;0),AF325*($D$301/12),AE363)</f>
        <v/>
      </c>
      <c r="AG363" s="1091">
        <f>+IF(AND(AF325=0,AG325&gt;0),AG325*($D$301/12),AF363)</f>
        <v/>
      </c>
      <c r="AH363" s="1091">
        <f>+IF(AND(AG325=0,AH325&gt;0),AH325*($D$301/12),AG363)</f>
        <v/>
      </c>
      <c r="AI363" s="1091">
        <f>+IF(AND(AH325=0,AI325&gt;0),AI325*($D$301/12),AH363)</f>
        <v/>
      </c>
      <c r="AJ363" s="174">
        <f>+IF(AND(AI325=0,AJ325&gt;0),AJ325*($D$301/12),AI363)</f>
        <v/>
      </c>
      <c r="AK363" s="1091">
        <f>+IF(AND(AJ325=0,AK325&gt;0),AK325*($D$301/12),AJ363)</f>
        <v/>
      </c>
      <c r="AL363" s="1091">
        <f>+IF(AND(AK325=0,AL325&gt;0),AL325*($D$301/12),AK363)</f>
        <v/>
      </c>
      <c r="AM363" s="1091">
        <f>+IF(AND(AL325=0,AM325&gt;0),AM325*($D$301/12),AL363)</f>
        <v/>
      </c>
      <c r="AN363" s="1091">
        <f>+IF(AND(AM325=0,AN325&gt;0),AN325*($D$301/12),AM363)</f>
        <v/>
      </c>
      <c r="AO363" s="1091">
        <f>+IF(AND(AN325=0,AO325&gt;0),AO325*($D$301/12),AN363)</f>
        <v/>
      </c>
      <c r="AP363" s="174">
        <f>+IF(AND(AO325=0,AP325&gt;0),AP325*($D$301/12),AO363)</f>
        <v/>
      </c>
      <c r="AQ363" s="1091">
        <f>+IF(AND(AP325=0,AQ325&gt;0),AQ325*($D$301/12),AP363)</f>
        <v/>
      </c>
      <c r="AR363" s="1091">
        <f>+IF(AND(AQ325=0,AR325&gt;0),AR325*($D$301/12),AQ363)</f>
        <v/>
      </c>
      <c r="AS363" s="1091">
        <f>+IF(AND(AR325=0,AS325&gt;0),AS325*($D$301/12),AR363)</f>
        <v/>
      </c>
      <c r="AT363" s="1091">
        <f>+IF(AND(AS325=0,AT325&gt;0),AT325*($D$301/12),AS363)</f>
        <v/>
      </c>
      <c r="AU363" s="1091">
        <f>+IF(AND(AT325=0,AU325&gt;0),AU325*($D$301/12),AT363)</f>
        <v/>
      </c>
      <c r="AV363" s="174">
        <f>+IF(AND(AU325=0,AV325&gt;0),AV325*($D$301/12),AU363)</f>
        <v/>
      </c>
      <c r="AW363" s="1091">
        <f>+IF(AND(AV325=0,AW325&gt;0),AW325*($D$301/12),AV363)</f>
        <v/>
      </c>
      <c r="AX363" s="1091">
        <f>+IF(AND(AW325=0,AX325&gt;0),AX325*($D$301/12),AW363)</f>
        <v/>
      </c>
      <c r="AY363" s="1091">
        <f>+IF(AND(AX325=0,AY325&gt;0),AY325*($D$301/12),AX363)</f>
        <v/>
      </c>
      <c r="AZ363" s="1091">
        <f>+IF(AND(AY325=0,AZ325&gt;0),AZ325*($D$301/12),AY363)</f>
        <v/>
      </c>
      <c r="BA363" s="1091">
        <f>+IF(AND(AZ325=0,BA325&gt;0),BA325*($D$301/12),AZ363)</f>
        <v/>
      </c>
      <c r="BB363" s="174">
        <f>+IF(AND(BA325=0,BB325&gt;0),BB325*($D$301/12),BA363)</f>
        <v/>
      </c>
      <c r="BC363" s="1091">
        <f>+IF(AND(BB325=0,BC325&gt;0),BC325*($D$301/12),BB363)</f>
        <v/>
      </c>
      <c r="BD363" s="1091">
        <f>+IF(AND(BC325=0,BD325&gt;0),BD325*($D$301/12),BC363)</f>
        <v/>
      </c>
      <c r="BE363" s="1091">
        <f>+IF(AND(BD325=0,BE325&gt;0),BE325*($D$301/12),BD363)</f>
        <v/>
      </c>
      <c r="BF363" s="1091">
        <f>+IF(AND(BE325=0,BF325&gt;0),BF325*($D$301/12),BE363)</f>
        <v/>
      </c>
      <c r="BG363" s="1091">
        <f>+IF(AND(BF325=0,BG325&gt;0),BG325*($D$301/12),BF363)</f>
        <v/>
      </c>
      <c r="BH363" s="174">
        <f>+IF(AND(BG325=0,BH325&gt;0),BH325*($D$301/12),BG363)</f>
        <v/>
      </c>
      <c r="BI363" s="1091">
        <f>+IF(AND(BH325=0,BI325&gt;0),BI325*($D$301/12),BH363)</f>
        <v/>
      </c>
      <c r="BJ363" s="1091">
        <f>+IF(AND(BI325=0,BJ325&gt;0),BJ325*($D$301/12),BI363)</f>
        <v/>
      </c>
      <c r="BK363" s="1091">
        <f>+IF(AND(BJ325=0,BK325&gt;0),BK325*($D$301/12),BJ363)</f>
        <v/>
      </c>
      <c r="BL363" s="1091">
        <f>+IF(AND(BK325=0,BL325&gt;0),BL325*($D$301/12),BK363)</f>
        <v/>
      </c>
      <c r="BM363" s="1091">
        <f>+IF(AND(BL325=0,BM325&gt;0),BM325*($D$301/12),BL363)</f>
        <v/>
      </c>
      <c r="BN363" s="174">
        <f>+IF(AND(BM325=0,BN325&gt;0),BN325*($D$301/12),BM363)</f>
        <v/>
      </c>
    </row>
    <row r="364" ht="12.75" customHeight="1" s="1883">
      <c r="C364" s="1157" t="inlineStr">
        <is>
          <t>Amortization Expense - 12</t>
        </is>
      </c>
      <c r="D364" s="670" t="n"/>
      <c r="E364" s="671" t="n"/>
      <c r="F364" s="74" t="n"/>
      <c r="G364" s="1091">
        <f>+IF(AND(F326=0,G326&gt;0),G326*($D$301/12),F364)</f>
        <v/>
      </c>
      <c r="H364" s="1091">
        <f>+IF(AND(G326=0,H326&gt;0),H326*($D$301/12),G364)</f>
        <v/>
      </c>
      <c r="I364" s="1091">
        <f>+IF(AND(H326=0,I326&gt;0),I326*($D$301/12),H364)</f>
        <v/>
      </c>
      <c r="J364" s="1091">
        <f>+IF(AND(I326=0,J326&gt;0),J326*($D$301/12),I364)</f>
        <v/>
      </c>
      <c r="K364" s="1091">
        <f>+IF(AND(J326=0,K326&gt;0),K326*($D$301/12),J364)</f>
        <v/>
      </c>
      <c r="L364" s="174">
        <f>+IF(AND(K326=0,L326&gt;0),L326*($D$301/12),K364)</f>
        <v/>
      </c>
      <c r="M364" s="1091">
        <f>+IF(AND(L326=0,M326&gt;0),M326*($D$301/12),L364)</f>
        <v/>
      </c>
      <c r="N364" s="1091">
        <f>+IF(AND(M326=0,N326&gt;0),N326*($D$301/12),M364)</f>
        <v/>
      </c>
      <c r="O364" s="1091">
        <f>+IF(AND(N326=0,O326&gt;0),O326*($D$301/12),N364)</f>
        <v/>
      </c>
      <c r="P364" s="1091">
        <f>+IF(AND(O326=0,P326&gt;0),P326*($D$301/12),O364)</f>
        <v/>
      </c>
      <c r="Q364" s="1091">
        <f>+IF(AND(P326=0,Q326&gt;0),Q326*($D$301/12),P364)</f>
        <v/>
      </c>
      <c r="R364" s="174">
        <f>+IF(AND(Q326=0,R326&gt;0),R326*($D$301/12),Q364)</f>
        <v/>
      </c>
      <c r="S364" s="1091">
        <f>+IF(AND(R326=0,S326&gt;0),S326*($D$301/12),R364)</f>
        <v/>
      </c>
      <c r="T364" s="1091">
        <f>+IF(AND(S326=0,T326&gt;0),T326*($D$301/12),S364)</f>
        <v/>
      </c>
      <c r="U364" s="1091">
        <f>+IF(AND(T326=0,U326&gt;0),U326*($D$301/12),T364)</f>
        <v/>
      </c>
      <c r="V364" s="1091">
        <f>+IF(AND(U326=0,V326&gt;0),V326*($D$301/12),U364)</f>
        <v/>
      </c>
      <c r="W364" s="1091">
        <f>+IF(AND(V326=0,W326&gt;0),W326*($D$301/12),V364)</f>
        <v/>
      </c>
      <c r="X364" s="174">
        <f>+IF(AND(W326=0,X326&gt;0),X326*($D$301/12),W364)</f>
        <v/>
      </c>
      <c r="Y364" s="1091">
        <f>+IF(AND(X326=0,Y326&gt;0),Y326*($D$301/12),X364)</f>
        <v/>
      </c>
      <c r="Z364" s="1091">
        <f>+IF(AND(Y326=0,Z326&gt;0),Z326*($D$301/12),Y364)</f>
        <v/>
      </c>
      <c r="AA364" s="1091">
        <f>+IF(AND(Z326=0,AA326&gt;0),AA326*($D$301/12),Z364)</f>
        <v/>
      </c>
      <c r="AB364" s="1091">
        <f>+IF(AND(AA326=0,AB326&gt;0),AB326*($D$301/12),AA364)</f>
        <v/>
      </c>
      <c r="AC364" s="1091">
        <f>+IF(AND(AB326=0,AC326&gt;0),AC326*($D$301/12),AB364)</f>
        <v/>
      </c>
      <c r="AD364" s="174">
        <f>+IF(AND(AC326=0,AD326&gt;0),AD326*($D$301/12),AC364)</f>
        <v/>
      </c>
      <c r="AE364" s="1091">
        <f>+IF(AND(AD326=0,AE326&gt;0),AE326*($D$301/12),AD364)</f>
        <v/>
      </c>
      <c r="AF364" s="1091">
        <f>+IF(AND(AE326=0,AF326&gt;0),AF326*($D$301/12),AE364)</f>
        <v/>
      </c>
      <c r="AG364" s="1091">
        <f>+IF(AND(AF326=0,AG326&gt;0),AG326*($D$301/12),AF364)</f>
        <v/>
      </c>
      <c r="AH364" s="1091">
        <f>+IF(AND(AG326=0,AH326&gt;0),AH326*($D$301/12),AG364)</f>
        <v/>
      </c>
      <c r="AI364" s="1091">
        <f>+IF(AND(AH326=0,AI326&gt;0),AI326*($D$301/12),AH364)</f>
        <v/>
      </c>
      <c r="AJ364" s="174">
        <f>+IF(AND(AI326=0,AJ326&gt;0),AJ326*($D$301/12),AI364)</f>
        <v/>
      </c>
      <c r="AK364" s="1091">
        <f>+IF(AND(AJ326=0,AK326&gt;0),AK326*($D$301/12),AJ364)</f>
        <v/>
      </c>
      <c r="AL364" s="1091">
        <f>+IF(AND(AK326=0,AL326&gt;0),AL326*($D$301/12),AK364)</f>
        <v/>
      </c>
      <c r="AM364" s="1091">
        <f>+IF(AND(AL326=0,AM326&gt;0),AM326*($D$301/12),AL364)</f>
        <v/>
      </c>
      <c r="AN364" s="1091">
        <f>+IF(AND(AM326=0,AN326&gt;0),AN326*($D$301/12),AM364)</f>
        <v/>
      </c>
      <c r="AO364" s="1091">
        <f>+IF(AND(AN326=0,AO326&gt;0),AO326*($D$301/12),AN364)</f>
        <v/>
      </c>
      <c r="AP364" s="174">
        <f>+IF(AND(AO326=0,AP326&gt;0),AP326*($D$301/12),AO364)</f>
        <v/>
      </c>
      <c r="AQ364" s="1091">
        <f>+IF(AND(AP326=0,AQ326&gt;0),AQ326*($D$301/12),AP364)</f>
        <v/>
      </c>
      <c r="AR364" s="1091">
        <f>+IF(AND(AQ326=0,AR326&gt;0),AR326*($D$301/12),AQ364)</f>
        <v/>
      </c>
      <c r="AS364" s="1091">
        <f>+IF(AND(AR326=0,AS326&gt;0),AS326*($D$301/12),AR364)</f>
        <v/>
      </c>
      <c r="AT364" s="1091">
        <f>+IF(AND(AS326=0,AT326&gt;0),AT326*($D$301/12),AS364)</f>
        <v/>
      </c>
      <c r="AU364" s="1091">
        <f>+IF(AND(AT326=0,AU326&gt;0),AU326*($D$301/12),AT364)</f>
        <v/>
      </c>
      <c r="AV364" s="174">
        <f>+IF(AND(AU326=0,AV326&gt;0),AV326*($D$301/12),AU364)</f>
        <v/>
      </c>
      <c r="AW364" s="1091">
        <f>+IF(AND(AV326=0,AW326&gt;0),AW326*($D$301/12),AV364)</f>
        <v/>
      </c>
      <c r="AX364" s="1091">
        <f>+IF(AND(AW326=0,AX326&gt;0),AX326*($D$301/12),AW364)</f>
        <v/>
      </c>
      <c r="AY364" s="1091">
        <f>+IF(AND(AX326=0,AY326&gt;0),AY326*($D$301/12),AX364)</f>
        <v/>
      </c>
      <c r="AZ364" s="1091">
        <f>+IF(AND(AY326=0,AZ326&gt;0),AZ326*($D$301/12),AY364)</f>
        <v/>
      </c>
      <c r="BA364" s="1091">
        <f>+IF(AND(AZ326=0,BA326&gt;0),BA326*($D$301/12),AZ364)</f>
        <v/>
      </c>
      <c r="BB364" s="174">
        <f>+IF(AND(BA326=0,BB326&gt;0),BB326*($D$301/12),BA364)</f>
        <v/>
      </c>
      <c r="BC364" s="1091">
        <f>+IF(AND(BB326=0,BC326&gt;0),BC326*($D$301/12),BB364)</f>
        <v/>
      </c>
      <c r="BD364" s="1091">
        <f>+IF(AND(BC326=0,BD326&gt;0),BD326*($D$301/12),BC364)</f>
        <v/>
      </c>
      <c r="BE364" s="1091">
        <f>+IF(AND(BD326=0,BE326&gt;0),BE326*($D$301/12),BD364)</f>
        <v/>
      </c>
      <c r="BF364" s="1091">
        <f>+IF(AND(BE326=0,BF326&gt;0),BF326*($D$301/12),BE364)</f>
        <v/>
      </c>
      <c r="BG364" s="1091">
        <f>+IF(AND(BF326=0,BG326&gt;0),BG326*($D$301/12),BF364)</f>
        <v/>
      </c>
      <c r="BH364" s="174">
        <f>+IF(AND(BG326=0,BH326&gt;0),BH326*($D$301/12),BG364)</f>
        <v/>
      </c>
      <c r="BI364" s="1091">
        <f>+IF(AND(BH326=0,BI326&gt;0),BI326*($D$301/12),BH364)</f>
        <v/>
      </c>
      <c r="BJ364" s="1091">
        <f>+IF(AND(BI326=0,BJ326&gt;0),BJ326*($D$301/12),BI364)</f>
        <v/>
      </c>
      <c r="BK364" s="1091">
        <f>+IF(AND(BJ326=0,BK326&gt;0),BK326*($D$301/12),BJ364)</f>
        <v/>
      </c>
      <c r="BL364" s="1091">
        <f>+IF(AND(BK326=0,BL326&gt;0),BL326*($D$301/12),BK364)</f>
        <v/>
      </c>
      <c r="BM364" s="1091">
        <f>+IF(AND(BL326=0,BM326&gt;0),BM326*($D$301/12),BL364)</f>
        <v/>
      </c>
      <c r="BN364" s="174">
        <f>+IF(AND(BM326=0,BN326&gt;0),BN326*($D$301/12),BM364)</f>
        <v/>
      </c>
    </row>
    <row r="365" ht="12.75" customHeight="1" s="1883">
      <c r="C365" s="1157" t="inlineStr">
        <is>
          <t>Amortization Expense - 13</t>
        </is>
      </c>
      <c r="D365" s="670" t="n"/>
      <c r="E365" s="671" t="n"/>
      <c r="F365" s="74" t="n"/>
      <c r="G365" s="1091">
        <f>+IF(AND(F327=0,G327&gt;0),G327*($D$301/12),F365)</f>
        <v/>
      </c>
      <c r="H365" s="1091">
        <f>+IF(AND(G327=0,H327&gt;0),H327*($D$301/12),G365)</f>
        <v/>
      </c>
      <c r="I365" s="1091">
        <f>+IF(AND(H327=0,I327&gt;0),I327*($D$301/12),H365)</f>
        <v/>
      </c>
      <c r="J365" s="1091">
        <f>+IF(AND(I327=0,J327&gt;0),J327*($D$301/12),I365)</f>
        <v/>
      </c>
      <c r="K365" s="1091">
        <f>+IF(AND(J327=0,K327&gt;0),K327*($D$301/12),J365)</f>
        <v/>
      </c>
      <c r="L365" s="174">
        <f>+IF(AND(K327=0,L327&gt;0),L327*($D$301/12),K365)</f>
        <v/>
      </c>
      <c r="M365" s="1091">
        <f>+IF(AND(L327=0,M327&gt;0),M327*($D$301/12),L365)</f>
        <v/>
      </c>
      <c r="N365" s="1091">
        <f>+IF(AND(M327=0,N327&gt;0),N327*($D$301/12),M365)</f>
        <v/>
      </c>
      <c r="O365" s="1091">
        <f>+IF(AND(N327=0,O327&gt;0),O327*($D$301/12),N365)</f>
        <v/>
      </c>
      <c r="P365" s="1091">
        <f>+IF(AND(O327=0,P327&gt;0),P327*($D$301/12),O365)</f>
        <v/>
      </c>
      <c r="Q365" s="1091">
        <f>+IF(AND(P327=0,Q327&gt;0),Q327*($D$301/12),P365)</f>
        <v/>
      </c>
      <c r="R365" s="174">
        <f>+IF(AND(Q327=0,R327&gt;0),R327*($D$301/12),Q365)</f>
        <v/>
      </c>
      <c r="S365" s="1091">
        <f>+IF(AND(R327=0,S327&gt;0),S327*($D$301/12),R365)</f>
        <v/>
      </c>
      <c r="T365" s="1091">
        <f>+IF(AND(S327=0,T327&gt;0),T327*($D$301/12),S365)</f>
        <v/>
      </c>
      <c r="U365" s="1091">
        <f>+IF(AND(T327=0,U327&gt;0),U327*($D$301/12),T365)</f>
        <v/>
      </c>
      <c r="V365" s="1091">
        <f>+IF(AND(U327=0,V327&gt;0),V327*($D$301/12),U365)</f>
        <v/>
      </c>
      <c r="W365" s="1091">
        <f>+IF(AND(V327=0,W327&gt;0),W327*($D$301/12),V365)</f>
        <v/>
      </c>
      <c r="X365" s="174">
        <f>+IF(AND(W327=0,X327&gt;0),X327*($D$301/12),W365)</f>
        <v/>
      </c>
      <c r="Y365" s="1091">
        <f>+IF(AND(X327=0,Y327&gt;0),Y327*($D$301/12),X365)</f>
        <v/>
      </c>
      <c r="Z365" s="1091">
        <f>+IF(AND(Y327=0,Z327&gt;0),Z327*($D$301/12),Y365)</f>
        <v/>
      </c>
      <c r="AA365" s="1091">
        <f>+IF(AND(Z327=0,AA327&gt;0),AA327*($D$301/12),Z365)</f>
        <v/>
      </c>
      <c r="AB365" s="1091">
        <f>+IF(AND(AA327=0,AB327&gt;0),AB327*($D$301/12),AA365)</f>
        <v/>
      </c>
      <c r="AC365" s="1091">
        <f>+IF(AND(AB327=0,AC327&gt;0),AC327*($D$301/12),AB365)</f>
        <v/>
      </c>
      <c r="AD365" s="174">
        <f>+IF(AND(AC327=0,AD327&gt;0),AD327*($D$301/12),AC365)</f>
        <v/>
      </c>
      <c r="AE365" s="1091">
        <f>+IF(AND(AD327=0,AE327&gt;0),AE327*($D$301/12),AD365)</f>
        <v/>
      </c>
      <c r="AF365" s="1091">
        <f>+IF(AND(AE327=0,AF327&gt;0),AF327*($D$301/12),AE365)</f>
        <v/>
      </c>
      <c r="AG365" s="1091">
        <f>+IF(AND(AF327=0,AG327&gt;0),AG327*($D$301/12),AF365)</f>
        <v/>
      </c>
      <c r="AH365" s="1091">
        <f>+IF(AND(AG327=0,AH327&gt;0),AH327*($D$301/12),AG365)</f>
        <v/>
      </c>
      <c r="AI365" s="1091">
        <f>+IF(AND(AH327=0,AI327&gt;0),AI327*($D$301/12),AH365)</f>
        <v/>
      </c>
      <c r="AJ365" s="174">
        <f>+IF(AND(AI327=0,AJ327&gt;0),AJ327*($D$301/12),AI365)</f>
        <v/>
      </c>
      <c r="AK365" s="1091">
        <f>+IF(AND(AJ327=0,AK327&gt;0),AK327*($D$301/12),AJ365)</f>
        <v/>
      </c>
      <c r="AL365" s="1091">
        <f>+IF(AND(AK327=0,AL327&gt;0),AL327*($D$301/12),AK365)</f>
        <v/>
      </c>
      <c r="AM365" s="1091">
        <f>+IF(AND(AL327=0,AM327&gt;0),AM327*($D$301/12),AL365)</f>
        <v/>
      </c>
      <c r="AN365" s="1091">
        <f>+IF(AND(AM327=0,AN327&gt;0),AN327*($D$301/12),AM365)</f>
        <v/>
      </c>
      <c r="AO365" s="1091">
        <f>+IF(AND(AN327=0,AO327&gt;0),AO327*($D$301/12),AN365)</f>
        <v/>
      </c>
      <c r="AP365" s="174">
        <f>+IF(AND(AO327=0,AP327&gt;0),AP327*($D$301/12),AO365)</f>
        <v/>
      </c>
      <c r="AQ365" s="1091">
        <f>+IF(AND(AP327=0,AQ327&gt;0),AQ327*($D$301/12),AP365)</f>
        <v/>
      </c>
      <c r="AR365" s="1091">
        <f>+IF(AND(AQ327=0,AR327&gt;0),AR327*($D$301/12),AQ365)</f>
        <v/>
      </c>
      <c r="AS365" s="1091">
        <f>+IF(AND(AR327=0,AS327&gt;0),AS327*($D$301/12),AR365)</f>
        <v/>
      </c>
      <c r="AT365" s="1091">
        <f>+IF(AND(AS327=0,AT327&gt;0),AT327*($D$301/12),AS365)</f>
        <v/>
      </c>
      <c r="AU365" s="1091">
        <f>+IF(AND(AT327=0,AU327&gt;0),AU327*($D$301/12),AT365)</f>
        <v/>
      </c>
      <c r="AV365" s="174">
        <f>+IF(AND(AU327=0,AV327&gt;0),AV327*($D$301/12),AU365)</f>
        <v/>
      </c>
      <c r="AW365" s="1091">
        <f>+IF(AND(AV327=0,AW327&gt;0),AW327*($D$301/12),AV365)</f>
        <v/>
      </c>
      <c r="AX365" s="1091">
        <f>+IF(AND(AW327=0,AX327&gt;0),AX327*($D$301/12),AW365)</f>
        <v/>
      </c>
      <c r="AY365" s="1091">
        <f>+IF(AND(AX327=0,AY327&gt;0),AY327*($D$301/12),AX365)</f>
        <v/>
      </c>
      <c r="AZ365" s="1091">
        <f>+IF(AND(AY327=0,AZ327&gt;0),AZ327*($D$301/12),AY365)</f>
        <v/>
      </c>
      <c r="BA365" s="1091">
        <f>+IF(AND(AZ327=0,BA327&gt;0),BA327*($D$301/12),AZ365)</f>
        <v/>
      </c>
      <c r="BB365" s="174">
        <f>+IF(AND(BA327=0,BB327&gt;0),BB327*($D$301/12),BA365)</f>
        <v/>
      </c>
      <c r="BC365" s="1091">
        <f>+IF(AND(BB327=0,BC327&gt;0),BC327*($D$301/12),BB365)</f>
        <v/>
      </c>
      <c r="BD365" s="1091">
        <f>+IF(AND(BC327=0,BD327&gt;0),BD327*($D$301/12),BC365)</f>
        <v/>
      </c>
      <c r="BE365" s="1091">
        <f>+IF(AND(BD327=0,BE327&gt;0),BE327*($D$301/12),BD365)</f>
        <v/>
      </c>
      <c r="BF365" s="1091">
        <f>+IF(AND(BE327=0,BF327&gt;0),BF327*($D$301/12),BE365)</f>
        <v/>
      </c>
      <c r="BG365" s="1091">
        <f>+IF(AND(BF327=0,BG327&gt;0),BG327*($D$301/12),BF365)</f>
        <v/>
      </c>
      <c r="BH365" s="174">
        <f>+IF(AND(BG327=0,BH327&gt;0),BH327*($D$301/12),BG365)</f>
        <v/>
      </c>
      <c r="BI365" s="1091">
        <f>+IF(AND(BH327=0,BI327&gt;0),BI327*($D$301/12),BH365)</f>
        <v/>
      </c>
      <c r="BJ365" s="1091">
        <f>+IF(AND(BI327=0,BJ327&gt;0),BJ327*($D$301/12),BI365)</f>
        <v/>
      </c>
      <c r="BK365" s="1091">
        <f>+IF(AND(BJ327=0,BK327&gt;0),BK327*($D$301/12),BJ365)</f>
        <v/>
      </c>
      <c r="BL365" s="1091">
        <f>+IF(AND(BK327=0,BL327&gt;0),BL327*($D$301/12),BK365)</f>
        <v/>
      </c>
      <c r="BM365" s="1091">
        <f>+IF(AND(BL327=0,BM327&gt;0),BM327*($D$301/12),BL365)</f>
        <v/>
      </c>
      <c r="BN365" s="174">
        <f>+IF(AND(BM327=0,BN327&gt;0),BN327*($D$301/12),BM365)</f>
        <v/>
      </c>
    </row>
    <row r="366" ht="12.75" customHeight="1" s="1883">
      <c r="C366" s="1157" t="inlineStr">
        <is>
          <t>Amortization Expense - 14</t>
        </is>
      </c>
      <c r="D366" s="670" t="n"/>
      <c r="E366" s="671" t="n"/>
      <c r="F366" s="74" t="n"/>
      <c r="G366" s="1091">
        <f>+IF(AND(F328=0,G328&gt;0),G328*($D$301/12),F366)</f>
        <v/>
      </c>
      <c r="H366" s="1091">
        <f>+IF(AND(G328=0,H328&gt;0),H328*($D$301/12),G366)</f>
        <v/>
      </c>
      <c r="I366" s="1091">
        <f>+IF(AND(H328=0,I328&gt;0),I328*($D$301/12),H366)</f>
        <v/>
      </c>
      <c r="J366" s="1091">
        <f>+IF(AND(I328=0,J328&gt;0),J328*($D$301/12),I366)</f>
        <v/>
      </c>
      <c r="K366" s="1091">
        <f>+IF(AND(J328=0,K328&gt;0),K328*($D$301/12),J366)</f>
        <v/>
      </c>
      <c r="L366" s="174">
        <f>+IF(AND(K328=0,L328&gt;0),L328*($D$301/12),K366)</f>
        <v/>
      </c>
      <c r="M366" s="1091">
        <f>+IF(AND(L328=0,M328&gt;0),M328*($D$301/12),L366)</f>
        <v/>
      </c>
      <c r="N366" s="1091">
        <f>+IF(AND(M328=0,N328&gt;0),N328*($D$301/12),M366)</f>
        <v/>
      </c>
      <c r="O366" s="1091">
        <f>+IF(AND(N328=0,O328&gt;0),O328*($D$301/12),N366)</f>
        <v/>
      </c>
      <c r="P366" s="1091">
        <f>+IF(AND(O328=0,P328&gt;0),P328*($D$301/12),O366)</f>
        <v/>
      </c>
      <c r="Q366" s="1091">
        <f>+IF(AND(P328=0,Q328&gt;0),Q328*($D$301/12),P366)</f>
        <v/>
      </c>
      <c r="R366" s="174">
        <f>+IF(AND(Q328=0,R328&gt;0),R328*($D$301/12),Q366)</f>
        <v/>
      </c>
      <c r="S366" s="1091">
        <f>+IF(AND(R328=0,S328&gt;0),S328*($D$301/12),R366)</f>
        <v/>
      </c>
      <c r="T366" s="1091">
        <f>+IF(AND(S328=0,T328&gt;0),T328*($D$301/12),S366)</f>
        <v/>
      </c>
      <c r="U366" s="1091">
        <f>+IF(AND(T328=0,U328&gt;0),U328*($D$301/12),T366)</f>
        <v/>
      </c>
      <c r="V366" s="1091">
        <f>+IF(AND(U328=0,V328&gt;0),V328*($D$301/12),U366)</f>
        <v/>
      </c>
      <c r="W366" s="1091">
        <f>+IF(AND(V328=0,W328&gt;0),W328*($D$301/12),V366)</f>
        <v/>
      </c>
      <c r="X366" s="174">
        <f>+IF(AND(W328=0,X328&gt;0),X328*($D$301/12),W366)</f>
        <v/>
      </c>
      <c r="Y366" s="1091">
        <f>+IF(AND(X328=0,Y328&gt;0),Y328*($D$301/12),X366)</f>
        <v/>
      </c>
      <c r="Z366" s="1091">
        <f>+IF(AND(Y328=0,Z328&gt;0),Z328*($D$301/12),Y366)</f>
        <v/>
      </c>
      <c r="AA366" s="1091">
        <f>+IF(AND(Z328=0,AA328&gt;0),AA328*($D$301/12),Z366)</f>
        <v/>
      </c>
      <c r="AB366" s="1091">
        <f>+IF(AND(AA328=0,AB328&gt;0),AB328*($D$301/12),AA366)</f>
        <v/>
      </c>
      <c r="AC366" s="1091">
        <f>+IF(AND(AB328=0,AC328&gt;0),AC328*($D$301/12),AB366)</f>
        <v/>
      </c>
      <c r="AD366" s="174">
        <f>+IF(AND(AC328=0,AD328&gt;0),AD328*($D$301/12),AC366)</f>
        <v/>
      </c>
      <c r="AE366" s="1091">
        <f>+IF(AND(AD328=0,AE328&gt;0),AE328*($D$301/12),AD366)</f>
        <v/>
      </c>
      <c r="AF366" s="1091">
        <f>+IF(AND(AE328=0,AF328&gt;0),AF328*($D$301/12),AE366)</f>
        <v/>
      </c>
      <c r="AG366" s="1091">
        <f>+IF(AND(AF328=0,AG328&gt;0),AG328*($D$301/12),AF366)</f>
        <v/>
      </c>
      <c r="AH366" s="1091">
        <f>+IF(AND(AG328=0,AH328&gt;0),AH328*($D$301/12),AG366)</f>
        <v/>
      </c>
      <c r="AI366" s="1091">
        <f>+IF(AND(AH328=0,AI328&gt;0),AI328*($D$301/12),AH366)</f>
        <v/>
      </c>
      <c r="AJ366" s="174">
        <f>+IF(AND(AI328=0,AJ328&gt;0),AJ328*($D$301/12),AI366)</f>
        <v/>
      </c>
      <c r="AK366" s="1091">
        <f>+IF(AND(AJ328=0,AK328&gt;0),AK328*($D$301/12),AJ366)</f>
        <v/>
      </c>
      <c r="AL366" s="1091">
        <f>+IF(AND(AK328=0,AL328&gt;0),AL328*($D$301/12),AK366)</f>
        <v/>
      </c>
      <c r="AM366" s="1091">
        <f>+IF(AND(AL328=0,AM328&gt;0),AM328*($D$301/12),AL366)</f>
        <v/>
      </c>
      <c r="AN366" s="1091">
        <f>+IF(AND(AM328=0,AN328&gt;0),AN328*($D$301/12),AM366)</f>
        <v/>
      </c>
      <c r="AO366" s="1091">
        <f>+IF(AND(AN328=0,AO328&gt;0),AO328*($D$301/12),AN366)</f>
        <v/>
      </c>
      <c r="AP366" s="174">
        <f>+IF(AND(AO328=0,AP328&gt;0),AP328*($D$301/12),AO366)</f>
        <v/>
      </c>
      <c r="AQ366" s="1091">
        <f>+IF(AND(AP328=0,AQ328&gt;0),AQ328*($D$301/12),AP366)</f>
        <v/>
      </c>
      <c r="AR366" s="1091">
        <f>+IF(AND(AQ328=0,AR328&gt;0),AR328*($D$301/12),AQ366)</f>
        <v/>
      </c>
      <c r="AS366" s="1091">
        <f>+IF(AND(AR328=0,AS328&gt;0),AS328*($D$301/12),AR366)</f>
        <v/>
      </c>
      <c r="AT366" s="1091">
        <f>+IF(AND(AS328=0,AT328&gt;0),AT328*($D$301/12),AS366)</f>
        <v/>
      </c>
      <c r="AU366" s="1091">
        <f>+IF(AND(AT328=0,AU328&gt;0),AU328*($D$301/12),AT366)</f>
        <v/>
      </c>
      <c r="AV366" s="174">
        <f>+IF(AND(AU328=0,AV328&gt;0),AV328*($D$301/12),AU366)</f>
        <v/>
      </c>
      <c r="AW366" s="1091">
        <f>+IF(AND(AV328=0,AW328&gt;0),AW328*($D$301/12),AV366)</f>
        <v/>
      </c>
      <c r="AX366" s="1091">
        <f>+IF(AND(AW328=0,AX328&gt;0),AX328*($D$301/12),AW366)</f>
        <v/>
      </c>
      <c r="AY366" s="1091">
        <f>+IF(AND(AX328=0,AY328&gt;0),AY328*($D$301/12),AX366)</f>
        <v/>
      </c>
      <c r="AZ366" s="1091">
        <f>+IF(AND(AY328=0,AZ328&gt;0),AZ328*($D$301/12),AY366)</f>
        <v/>
      </c>
      <c r="BA366" s="1091">
        <f>+IF(AND(AZ328=0,BA328&gt;0),BA328*($D$301/12),AZ366)</f>
        <v/>
      </c>
      <c r="BB366" s="174">
        <f>+IF(AND(BA328=0,BB328&gt;0),BB328*($D$301/12),BA366)</f>
        <v/>
      </c>
      <c r="BC366" s="1091">
        <f>+IF(AND(BB328=0,BC328&gt;0),BC328*($D$301/12),BB366)</f>
        <v/>
      </c>
      <c r="BD366" s="1091">
        <f>+IF(AND(BC328=0,BD328&gt;0),BD328*($D$301/12),BC366)</f>
        <v/>
      </c>
      <c r="BE366" s="1091">
        <f>+IF(AND(BD328=0,BE328&gt;0),BE328*($D$301/12),BD366)</f>
        <v/>
      </c>
      <c r="BF366" s="1091">
        <f>+IF(AND(BE328=0,BF328&gt;0),BF328*($D$301/12),BE366)</f>
        <v/>
      </c>
      <c r="BG366" s="1091">
        <f>+IF(AND(BF328=0,BG328&gt;0),BG328*($D$301/12),BF366)</f>
        <v/>
      </c>
      <c r="BH366" s="174">
        <f>+IF(AND(BG328=0,BH328&gt;0),BH328*($D$301/12),BG366)</f>
        <v/>
      </c>
      <c r="BI366" s="1091">
        <f>+IF(AND(BH328=0,BI328&gt;0),BI328*($D$301/12),BH366)</f>
        <v/>
      </c>
      <c r="BJ366" s="1091">
        <f>+IF(AND(BI328=0,BJ328&gt;0),BJ328*($D$301/12),BI366)</f>
        <v/>
      </c>
      <c r="BK366" s="1091">
        <f>+IF(AND(BJ328=0,BK328&gt;0),BK328*($D$301/12),BJ366)</f>
        <v/>
      </c>
      <c r="BL366" s="1091">
        <f>+IF(AND(BK328=0,BL328&gt;0),BL328*($D$301/12),BK366)</f>
        <v/>
      </c>
      <c r="BM366" s="1091">
        <f>+IF(AND(BL328=0,BM328&gt;0),BM328*($D$301/12),BL366)</f>
        <v/>
      </c>
      <c r="BN366" s="174">
        <f>+IF(AND(BM328=0,BN328&gt;0),BN328*($D$301/12),BM366)</f>
        <v/>
      </c>
    </row>
    <row r="367" ht="12.75" customHeight="1" s="1883">
      <c r="C367" s="1157" t="inlineStr">
        <is>
          <t>Amortization Expense - 15</t>
        </is>
      </c>
      <c r="D367" s="670" t="n"/>
      <c r="E367" s="671" t="n"/>
      <c r="F367" s="74" t="n"/>
      <c r="G367" s="1091">
        <f>+IF(AND(F329=0,G329&gt;0),G329*($D$301/12),F367)</f>
        <v/>
      </c>
      <c r="H367" s="1091">
        <f>+IF(AND(G329=0,H329&gt;0),H329*($D$301/12),G367)</f>
        <v/>
      </c>
      <c r="I367" s="1091">
        <f>+IF(AND(H329=0,I329&gt;0),I329*($D$301/12),H367)</f>
        <v/>
      </c>
      <c r="J367" s="1091">
        <f>+IF(AND(I329=0,J329&gt;0),J329*($D$301/12),I367)</f>
        <v/>
      </c>
      <c r="K367" s="1091">
        <f>+IF(AND(J329=0,K329&gt;0),K329*($D$301/12),J367)</f>
        <v/>
      </c>
      <c r="L367" s="174">
        <f>+IF(AND(K329=0,L329&gt;0),L329*($D$301/12),K367)</f>
        <v/>
      </c>
      <c r="M367" s="1091">
        <f>+IF(AND(L329=0,M329&gt;0),M329*($D$301/12),L367)</f>
        <v/>
      </c>
      <c r="N367" s="1091">
        <f>+IF(AND(M329=0,N329&gt;0),N329*($D$301/12),M367)</f>
        <v/>
      </c>
      <c r="O367" s="1091">
        <f>+IF(AND(N329=0,O329&gt;0),O329*($D$301/12),N367)</f>
        <v/>
      </c>
      <c r="P367" s="1091">
        <f>+IF(AND(O329=0,P329&gt;0),P329*($D$301/12),O367)</f>
        <v/>
      </c>
      <c r="Q367" s="1091">
        <f>+IF(AND(P329=0,Q329&gt;0),Q329*($D$301/12),P367)</f>
        <v/>
      </c>
      <c r="R367" s="174">
        <f>+IF(AND(Q329=0,R329&gt;0),R329*($D$301/12),Q367)</f>
        <v/>
      </c>
      <c r="S367" s="1091">
        <f>+IF(AND(R329=0,S329&gt;0),S329*($D$301/12),R367)</f>
        <v/>
      </c>
      <c r="T367" s="1091">
        <f>+IF(AND(S329=0,T329&gt;0),T329*($D$301/12),S367)</f>
        <v/>
      </c>
      <c r="U367" s="1091">
        <f>+IF(AND(T329=0,U329&gt;0),U329*($D$301/12),T367)</f>
        <v/>
      </c>
      <c r="V367" s="1091">
        <f>+IF(AND(U329=0,V329&gt;0),V329*($D$301/12),U367)</f>
        <v/>
      </c>
      <c r="W367" s="1091">
        <f>+IF(AND(V329=0,W329&gt;0),W329*($D$301/12),V367)</f>
        <v/>
      </c>
      <c r="X367" s="174">
        <f>+IF(AND(W329=0,X329&gt;0),X329*($D$301/12),W367)</f>
        <v/>
      </c>
      <c r="Y367" s="1091">
        <f>+IF(AND(X329=0,Y329&gt;0),Y329*($D$301/12),X367)</f>
        <v/>
      </c>
      <c r="Z367" s="1091">
        <f>+IF(AND(Y329=0,Z329&gt;0),Z329*($D$301/12),Y367)</f>
        <v/>
      </c>
      <c r="AA367" s="1091">
        <f>+IF(AND(Z329=0,AA329&gt;0),AA329*($D$301/12),Z367)</f>
        <v/>
      </c>
      <c r="AB367" s="1091">
        <f>+IF(AND(AA329=0,AB329&gt;0),AB329*($D$301/12),AA367)</f>
        <v/>
      </c>
      <c r="AC367" s="1091">
        <f>+IF(AND(AB329=0,AC329&gt;0),AC329*($D$301/12),AB367)</f>
        <v/>
      </c>
      <c r="AD367" s="174">
        <f>+IF(AND(AC329=0,AD329&gt;0),AD329*($D$301/12),AC367)</f>
        <v/>
      </c>
      <c r="AE367" s="1091">
        <f>+IF(AND(AD329=0,AE329&gt;0),AE329*($D$301/12),AD367)</f>
        <v/>
      </c>
      <c r="AF367" s="1091">
        <f>+IF(AND(AE329=0,AF329&gt;0),AF329*($D$301/12),AE367)</f>
        <v/>
      </c>
      <c r="AG367" s="1091">
        <f>+IF(AND(AF329=0,AG329&gt;0),AG329*($D$301/12),AF367)</f>
        <v/>
      </c>
      <c r="AH367" s="1091">
        <f>+IF(AND(AG329=0,AH329&gt;0),AH329*($D$301/12),AG367)</f>
        <v/>
      </c>
      <c r="AI367" s="1091">
        <f>+IF(AND(AH329=0,AI329&gt;0),AI329*($D$301/12),AH367)</f>
        <v/>
      </c>
      <c r="AJ367" s="174">
        <f>+IF(AND(AI329=0,AJ329&gt;0),AJ329*($D$301/12),AI367)</f>
        <v/>
      </c>
      <c r="AK367" s="1091">
        <f>+IF(AND(AJ329=0,AK329&gt;0),AK329*($D$301/12),AJ367)</f>
        <v/>
      </c>
      <c r="AL367" s="1091">
        <f>+IF(AND(AK329=0,AL329&gt;0),AL329*($D$301/12),AK367)</f>
        <v/>
      </c>
      <c r="AM367" s="1091">
        <f>+IF(AND(AL329=0,AM329&gt;0),AM329*($D$301/12),AL367)</f>
        <v/>
      </c>
      <c r="AN367" s="1091">
        <f>+IF(AND(AM329=0,AN329&gt;0),AN329*($D$301/12),AM367)</f>
        <v/>
      </c>
      <c r="AO367" s="1091">
        <f>+IF(AND(AN329=0,AO329&gt;0),AO329*($D$301/12),AN367)</f>
        <v/>
      </c>
      <c r="AP367" s="174">
        <f>+IF(AND(AO329=0,AP329&gt;0),AP329*($D$301/12),AO367)</f>
        <v/>
      </c>
      <c r="AQ367" s="1091">
        <f>+IF(AND(AP329=0,AQ329&gt;0),AQ329*($D$301/12),AP367)</f>
        <v/>
      </c>
      <c r="AR367" s="1091">
        <f>+IF(AND(AQ329=0,AR329&gt;0),AR329*($D$301/12),AQ367)</f>
        <v/>
      </c>
      <c r="AS367" s="1091">
        <f>+IF(AND(AR329=0,AS329&gt;0),AS329*($D$301/12),AR367)</f>
        <v/>
      </c>
      <c r="AT367" s="1091">
        <f>+IF(AND(AS329=0,AT329&gt;0),AT329*($D$301/12),AS367)</f>
        <v/>
      </c>
      <c r="AU367" s="1091">
        <f>+IF(AND(AT329=0,AU329&gt;0),AU329*($D$301/12),AT367)</f>
        <v/>
      </c>
      <c r="AV367" s="174">
        <f>+IF(AND(AU329=0,AV329&gt;0),AV329*($D$301/12),AU367)</f>
        <v/>
      </c>
      <c r="AW367" s="1091">
        <f>+IF(AND(AV329=0,AW329&gt;0),AW329*($D$301/12),AV367)</f>
        <v/>
      </c>
      <c r="AX367" s="1091">
        <f>+IF(AND(AW329=0,AX329&gt;0),AX329*($D$301/12),AW367)</f>
        <v/>
      </c>
      <c r="AY367" s="1091">
        <f>+IF(AND(AX329=0,AY329&gt;0),AY329*($D$301/12),AX367)</f>
        <v/>
      </c>
      <c r="AZ367" s="1091">
        <f>+IF(AND(AY329=0,AZ329&gt;0),AZ329*($D$301/12),AY367)</f>
        <v/>
      </c>
      <c r="BA367" s="1091">
        <f>+IF(AND(AZ329=0,BA329&gt;0),BA329*($D$301/12),AZ367)</f>
        <v/>
      </c>
      <c r="BB367" s="174">
        <f>+IF(AND(BA329=0,BB329&gt;0),BB329*($D$301/12),BA367)</f>
        <v/>
      </c>
      <c r="BC367" s="1091">
        <f>+IF(AND(BB329=0,BC329&gt;0),BC329*($D$301/12),BB367)</f>
        <v/>
      </c>
      <c r="BD367" s="1091">
        <f>+IF(AND(BC329=0,BD329&gt;0),BD329*($D$301/12),BC367)</f>
        <v/>
      </c>
      <c r="BE367" s="1091">
        <f>+IF(AND(BD329=0,BE329&gt;0),BE329*($D$301/12),BD367)</f>
        <v/>
      </c>
      <c r="BF367" s="1091">
        <f>+IF(AND(BE329=0,BF329&gt;0),BF329*($D$301/12),BE367)</f>
        <v/>
      </c>
      <c r="BG367" s="1091">
        <f>+IF(AND(BF329=0,BG329&gt;0),BG329*($D$301/12),BF367)</f>
        <v/>
      </c>
      <c r="BH367" s="174">
        <f>+IF(AND(BG329=0,BH329&gt;0),BH329*($D$301/12),BG367)</f>
        <v/>
      </c>
      <c r="BI367" s="1091">
        <f>+IF(AND(BH329=0,BI329&gt;0),BI329*($D$301/12),BH367)</f>
        <v/>
      </c>
      <c r="BJ367" s="1091">
        <f>+IF(AND(BI329=0,BJ329&gt;0),BJ329*($D$301/12),BI367)</f>
        <v/>
      </c>
      <c r="BK367" s="1091">
        <f>+IF(AND(BJ329=0,BK329&gt;0),BK329*($D$301/12),BJ367)</f>
        <v/>
      </c>
      <c r="BL367" s="1091">
        <f>+IF(AND(BK329=0,BL329&gt;0),BL329*($D$301/12),BK367)</f>
        <v/>
      </c>
      <c r="BM367" s="1091">
        <f>+IF(AND(BL329=0,BM329&gt;0),BM329*($D$301/12),BL367)</f>
        <v/>
      </c>
      <c r="BN367" s="174">
        <f>+IF(AND(BM329=0,BN329&gt;0),BN329*($D$301/12),BM367)</f>
        <v/>
      </c>
    </row>
    <row r="368" ht="12.75" customHeight="1" s="1883">
      <c r="C368" s="1157" t="inlineStr">
        <is>
          <t>Amortization Expense - 16</t>
        </is>
      </c>
      <c r="D368" s="670" t="n"/>
      <c r="E368" s="671" t="n"/>
      <c r="F368" s="74" t="n"/>
      <c r="G368" s="1091">
        <f>+IF(AND(F330=0,G330&gt;0),G330*($D$301/12),F368)</f>
        <v/>
      </c>
      <c r="H368" s="1091">
        <f>+IF(AND(G330=0,H330&gt;0),H330*($D$301/12),G368)</f>
        <v/>
      </c>
      <c r="I368" s="1091">
        <f>+IF(AND(H330=0,I330&gt;0),I330*($D$301/12),H368)</f>
        <v/>
      </c>
      <c r="J368" s="1091">
        <f>+IF(AND(I330=0,J330&gt;0),J330*($D$301/12),I368)</f>
        <v/>
      </c>
      <c r="K368" s="1091">
        <f>+IF(AND(J330=0,K330&gt;0),K330*($D$301/12),J368)</f>
        <v/>
      </c>
      <c r="L368" s="174">
        <f>+IF(AND(K330=0,L330&gt;0),L330*($D$301/12),K368)</f>
        <v/>
      </c>
      <c r="M368" s="1091">
        <f>+IF(AND(L330=0,M330&gt;0),M330*($D$301/12),L368)</f>
        <v/>
      </c>
      <c r="N368" s="1091">
        <f>+IF(AND(M330=0,N330&gt;0),N330*($D$301/12),M368)</f>
        <v/>
      </c>
      <c r="O368" s="1091">
        <f>+IF(AND(N330=0,O330&gt;0),O330*($D$301/12),N368)</f>
        <v/>
      </c>
      <c r="P368" s="1091">
        <f>+IF(AND(O330=0,P330&gt;0),P330*($D$301/12),O368)</f>
        <v/>
      </c>
      <c r="Q368" s="1091">
        <f>+IF(AND(P330=0,Q330&gt;0),Q330*($D$301/12),P368)</f>
        <v/>
      </c>
      <c r="R368" s="174">
        <f>+IF(AND(Q330=0,R330&gt;0),R330*($D$301/12),Q368)</f>
        <v/>
      </c>
      <c r="S368" s="1091">
        <f>+IF(AND(R330=0,S330&gt;0),S330*($D$301/12),R368)</f>
        <v/>
      </c>
      <c r="T368" s="1091">
        <f>+IF(AND(S330=0,T330&gt;0),T330*($D$301/12),S368)</f>
        <v/>
      </c>
      <c r="U368" s="1091">
        <f>+IF(AND(T330=0,U330&gt;0),U330*($D$301/12),T368)</f>
        <v/>
      </c>
      <c r="V368" s="1091">
        <f>+IF(AND(U330=0,V330&gt;0),V330*($D$301/12),U368)</f>
        <v/>
      </c>
      <c r="W368" s="1091">
        <f>+IF(AND(V330=0,W330&gt;0),W330*($D$301/12),V368)</f>
        <v/>
      </c>
      <c r="X368" s="174">
        <f>+IF(AND(W330=0,X330&gt;0),X330*($D$301/12),W368)</f>
        <v/>
      </c>
      <c r="Y368" s="1091">
        <f>+IF(AND(X330=0,Y330&gt;0),Y330*($D$301/12),X368)</f>
        <v/>
      </c>
      <c r="Z368" s="1091">
        <f>+IF(AND(Y330=0,Z330&gt;0),Z330*($D$301/12),Y368)</f>
        <v/>
      </c>
      <c r="AA368" s="1091">
        <f>+IF(AND(Z330=0,AA330&gt;0),AA330*($D$301/12),Z368)</f>
        <v/>
      </c>
      <c r="AB368" s="1091">
        <f>+IF(AND(AA330=0,AB330&gt;0),AB330*($D$301/12),AA368)</f>
        <v/>
      </c>
      <c r="AC368" s="1091">
        <f>+IF(AND(AB330=0,AC330&gt;0),AC330*($D$301/12),AB368)</f>
        <v/>
      </c>
      <c r="AD368" s="174">
        <f>+IF(AND(AC330=0,AD330&gt;0),AD330*($D$301/12),AC368)</f>
        <v/>
      </c>
      <c r="AE368" s="1091">
        <f>+IF(AND(AD330=0,AE330&gt;0),AE330*($D$301/12),AD368)</f>
        <v/>
      </c>
      <c r="AF368" s="1091">
        <f>+IF(AND(AE330=0,AF330&gt;0),AF330*($D$301/12),AE368)</f>
        <v/>
      </c>
      <c r="AG368" s="1091">
        <f>+IF(AND(AF330=0,AG330&gt;0),AG330*($D$301/12),AF368)</f>
        <v/>
      </c>
      <c r="AH368" s="1091">
        <f>+IF(AND(AG330=0,AH330&gt;0),AH330*($D$301/12),AG368)</f>
        <v/>
      </c>
      <c r="AI368" s="1091">
        <f>+IF(AND(AH330=0,AI330&gt;0),AI330*($D$301/12),AH368)</f>
        <v/>
      </c>
      <c r="AJ368" s="174">
        <f>+IF(AND(AI330=0,AJ330&gt;0),AJ330*($D$301/12),AI368)</f>
        <v/>
      </c>
      <c r="AK368" s="1091">
        <f>+IF(AND(AJ330=0,AK330&gt;0),AK330*($D$301/12),AJ368)</f>
        <v/>
      </c>
      <c r="AL368" s="1091">
        <f>+IF(AND(AK330=0,AL330&gt;0),AL330*($D$301/12),AK368)</f>
        <v/>
      </c>
      <c r="AM368" s="1091">
        <f>+IF(AND(AL330=0,AM330&gt;0),AM330*($D$301/12),AL368)</f>
        <v/>
      </c>
      <c r="AN368" s="1091">
        <f>+IF(AND(AM330=0,AN330&gt;0),AN330*($D$301/12),AM368)</f>
        <v/>
      </c>
      <c r="AO368" s="1091">
        <f>+IF(AND(AN330=0,AO330&gt;0),AO330*($D$301/12),AN368)</f>
        <v/>
      </c>
      <c r="AP368" s="174">
        <f>+IF(AND(AO330=0,AP330&gt;0),AP330*($D$301/12),AO368)</f>
        <v/>
      </c>
      <c r="AQ368" s="1091">
        <f>+IF(AND(AP330=0,AQ330&gt;0),AQ330*($D$301/12),AP368)</f>
        <v/>
      </c>
      <c r="AR368" s="1091">
        <f>+IF(AND(AQ330=0,AR330&gt;0),AR330*($D$301/12),AQ368)</f>
        <v/>
      </c>
      <c r="AS368" s="1091">
        <f>+IF(AND(AR330=0,AS330&gt;0),AS330*($D$301/12),AR368)</f>
        <v/>
      </c>
      <c r="AT368" s="1091">
        <f>+IF(AND(AS330=0,AT330&gt;0),AT330*($D$301/12),AS368)</f>
        <v/>
      </c>
      <c r="AU368" s="1091">
        <f>+IF(AND(AT330=0,AU330&gt;0),AU330*($D$301/12),AT368)</f>
        <v/>
      </c>
      <c r="AV368" s="174">
        <f>+IF(AND(AU330=0,AV330&gt;0),AV330*($D$301/12),AU368)</f>
        <v/>
      </c>
      <c r="AW368" s="1091">
        <f>+IF(AND(AV330=0,AW330&gt;0),AW330*($D$301/12),AV368)</f>
        <v/>
      </c>
      <c r="AX368" s="1091">
        <f>+IF(AND(AW330=0,AX330&gt;0),AX330*($D$301/12),AW368)</f>
        <v/>
      </c>
      <c r="AY368" s="1091">
        <f>+IF(AND(AX330=0,AY330&gt;0),AY330*($D$301/12),AX368)</f>
        <v/>
      </c>
      <c r="AZ368" s="1091">
        <f>+IF(AND(AY330=0,AZ330&gt;0),AZ330*($D$301/12),AY368)</f>
        <v/>
      </c>
      <c r="BA368" s="1091">
        <f>+IF(AND(AZ330=0,BA330&gt;0),BA330*($D$301/12),AZ368)</f>
        <v/>
      </c>
      <c r="BB368" s="174">
        <f>+IF(AND(BA330=0,BB330&gt;0),BB330*($D$301/12),BA368)</f>
        <v/>
      </c>
      <c r="BC368" s="1091">
        <f>+IF(AND(BB330=0,BC330&gt;0),BC330*($D$301/12),BB368)</f>
        <v/>
      </c>
      <c r="BD368" s="1091">
        <f>+IF(AND(BC330=0,BD330&gt;0),BD330*($D$301/12),BC368)</f>
        <v/>
      </c>
      <c r="BE368" s="1091">
        <f>+IF(AND(BD330=0,BE330&gt;0),BE330*($D$301/12),BD368)</f>
        <v/>
      </c>
      <c r="BF368" s="1091">
        <f>+IF(AND(BE330=0,BF330&gt;0),BF330*($D$301/12),BE368)</f>
        <v/>
      </c>
      <c r="BG368" s="1091">
        <f>+IF(AND(BF330=0,BG330&gt;0),BG330*($D$301/12),BF368)</f>
        <v/>
      </c>
      <c r="BH368" s="174">
        <f>+IF(AND(BG330=0,BH330&gt;0),BH330*($D$301/12),BG368)</f>
        <v/>
      </c>
      <c r="BI368" s="1091">
        <f>+IF(AND(BH330=0,BI330&gt;0),BI330*($D$301/12),BH368)</f>
        <v/>
      </c>
      <c r="BJ368" s="1091">
        <f>+IF(AND(BI330=0,BJ330&gt;0),BJ330*($D$301/12),BI368)</f>
        <v/>
      </c>
      <c r="BK368" s="1091">
        <f>+IF(AND(BJ330=0,BK330&gt;0),BK330*($D$301/12),BJ368)</f>
        <v/>
      </c>
      <c r="BL368" s="1091">
        <f>+IF(AND(BK330=0,BL330&gt;0),BL330*($D$301/12),BK368)</f>
        <v/>
      </c>
      <c r="BM368" s="1091">
        <f>+IF(AND(BL330=0,BM330&gt;0),BM330*($D$301/12),BL368)</f>
        <v/>
      </c>
      <c r="BN368" s="174">
        <f>+IF(AND(BM330=0,BN330&gt;0),BN330*($D$301/12),BM368)</f>
        <v/>
      </c>
    </row>
    <row r="369" ht="12.75" customHeight="1" s="1883">
      <c r="C369" s="1157" t="inlineStr">
        <is>
          <t>Amortization Expense - 17</t>
        </is>
      </c>
      <c r="D369" s="670" t="n"/>
      <c r="E369" s="671" t="n"/>
      <c r="F369" s="74" t="n"/>
      <c r="G369" s="1091">
        <f>+IF(AND(F331=0,G331&gt;0),G331*($D$301/12),F369)</f>
        <v/>
      </c>
      <c r="H369" s="1091">
        <f>+IF(AND(G331=0,H331&gt;0),H331*($D$301/12),G369)</f>
        <v/>
      </c>
      <c r="I369" s="1091">
        <f>+IF(AND(H331=0,I331&gt;0),I331*($D$301/12),H369)</f>
        <v/>
      </c>
      <c r="J369" s="1091">
        <f>+IF(AND(I331=0,J331&gt;0),J331*($D$301/12),I369)</f>
        <v/>
      </c>
      <c r="K369" s="1091">
        <f>+IF(AND(J331=0,K331&gt;0),K331*($D$301/12),J369)</f>
        <v/>
      </c>
      <c r="L369" s="174">
        <f>+IF(AND(K331=0,L331&gt;0),L331*($D$301/12),K369)</f>
        <v/>
      </c>
      <c r="M369" s="1091">
        <f>+IF(AND(L331=0,M331&gt;0),M331*($D$301/12),L369)</f>
        <v/>
      </c>
      <c r="N369" s="1091">
        <f>+IF(AND(M331=0,N331&gt;0),N331*($D$301/12),M369)</f>
        <v/>
      </c>
      <c r="O369" s="1091">
        <f>+IF(AND(N331=0,O331&gt;0),O331*($D$301/12),N369)</f>
        <v/>
      </c>
      <c r="P369" s="1091">
        <f>+IF(AND(O331=0,P331&gt;0),P331*($D$301/12),O369)</f>
        <v/>
      </c>
      <c r="Q369" s="1091">
        <f>+IF(AND(P331=0,Q331&gt;0),Q331*($D$301/12),P369)</f>
        <v/>
      </c>
      <c r="R369" s="174">
        <f>+IF(AND(Q331=0,R331&gt;0),R331*($D$301/12),Q369)</f>
        <v/>
      </c>
      <c r="S369" s="1091">
        <f>+IF(AND(R331=0,S331&gt;0),S331*($D$301/12),R369)</f>
        <v/>
      </c>
      <c r="T369" s="1091">
        <f>+IF(AND(S331=0,T331&gt;0),T331*($D$301/12),S369)</f>
        <v/>
      </c>
      <c r="U369" s="1091">
        <f>+IF(AND(T331=0,U331&gt;0),U331*($D$301/12),T369)</f>
        <v/>
      </c>
      <c r="V369" s="1091">
        <f>+IF(AND(U331=0,V331&gt;0),V331*($D$301/12),U369)</f>
        <v/>
      </c>
      <c r="W369" s="1091">
        <f>+IF(AND(V331=0,W331&gt;0),W331*($D$301/12),V369)</f>
        <v/>
      </c>
      <c r="X369" s="174">
        <f>+IF(AND(W331=0,X331&gt;0),X331*($D$301/12),W369)</f>
        <v/>
      </c>
      <c r="Y369" s="1091">
        <f>+IF(AND(X331=0,Y331&gt;0),Y331*($D$301/12),X369)</f>
        <v/>
      </c>
      <c r="Z369" s="1091">
        <f>+IF(AND(Y331=0,Z331&gt;0),Z331*($D$301/12),Y369)</f>
        <v/>
      </c>
      <c r="AA369" s="1091">
        <f>+IF(AND(Z331=0,AA331&gt;0),AA331*($D$301/12),Z369)</f>
        <v/>
      </c>
      <c r="AB369" s="1091">
        <f>+IF(AND(AA331=0,AB331&gt;0),AB331*($D$301/12),AA369)</f>
        <v/>
      </c>
      <c r="AC369" s="1091">
        <f>+IF(AND(AB331=0,AC331&gt;0),AC331*($D$301/12),AB369)</f>
        <v/>
      </c>
      <c r="AD369" s="174">
        <f>+IF(AND(AC331=0,AD331&gt;0),AD331*($D$301/12),AC369)</f>
        <v/>
      </c>
      <c r="AE369" s="1091">
        <f>+IF(AND(AD331=0,AE331&gt;0),AE331*($D$301/12),AD369)</f>
        <v/>
      </c>
      <c r="AF369" s="1091">
        <f>+IF(AND(AE331=0,AF331&gt;0),AF331*($D$301/12),AE369)</f>
        <v/>
      </c>
      <c r="AG369" s="1091">
        <f>+IF(AND(AF331=0,AG331&gt;0),AG331*($D$301/12),AF369)</f>
        <v/>
      </c>
      <c r="AH369" s="1091">
        <f>+IF(AND(AG331=0,AH331&gt;0),AH331*($D$301/12),AG369)</f>
        <v/>
      </c>
      <c r="AI369" s="1091">
        <f>+IF(AND(AH331=0,AI331&gt;0),AI331*($D$301/12),AH369)</f>
        <v/>
      </c>
      <c r="AJ369" s="174">
        <f>+IF(AND(AI331=0,AJ331&gt;0),AJ331*($D$301/12),AI369)</f>
        <v/>
      </c>
      <c r="AK369" s="1091">
        <f>+IF(AND(AJ331=0,AK331&gt;0),AK331*($D$301/12),AJ369)</f>
        <v/>
      </c>
      <c r="AL369" s="1091">
        <f>+IF(AND(AK331=0,AL331&gt;0),AL331*($D$301/12),AK369)</f>
        <v/>
      </c>
      <c r="AM369" s="1091">
        <f>+IF(AND(AL331=0,AM331&gt;0),AM331*($D$301/12),AL369)</f>
        <v/>
      </c>
      <c r="AN369" s="1091">
        <f>+IF(AND(AM331=0,AN331&gt;0),AN331*($D$301/12),AM369)</f>
        <v/>
      </c>
      <c r="AO369" s="1091">
        <f>+IF(AND(AN331=0,AO331&gt;0),AO331*($D$301/12),AN369)</f>
        <v/>
      </c>
      <c r="AP369" s="174">
        <f>+IF(AND(AO331=0,AP331&gt;0),AP331*($D$301/12),AO369)</f>
        <v/>
      </c>
      <c r="AQ369" s="1091">
        <f>+IF(AND(AP331=0,AQ331&gt;0),AQ331*($D$301/12),AP369)</f>
        <v/>
      </c>
      <c r="AR369" s="1091">
        <f>+IF(AND(AQ331=0,AR331&gt;0),AR331*($D$301/12),AQ369)</f>
        <v/>
      </c>
      <c r="AS369" s="1091">
        <f>+IF(AND(AR331=0,AS331&gt;0),AS331*($D$301/12),AR369)</f>
        <v/>
      </c>
      <c r="AT369" s="1091">
        <f>+IF(AND(AS331=0,AT331&gt;0),AT331*($D$301/12),AS369)</f>
        <v/>
      </c>
      <c r="AU369" s="1091">
        <f>+IF(AND(AT331=0,AU331&gt;0),AU331*($D$301/12),AT369)</f>
        <v/>
      </c>
      <c r="AV369" s="174">
        <f>+IF(AND(AU331=0,AV331&gt;0),AV331*($D$301/12),AU369)</f>
        <v/>
      </c>
      <c r="AW369" s="1091">
        <f>+IF(AND(AV331=0,AW331&gt;0),AW331*($D$301/12),AV369)</f>
        <v/>
      </c>
      <c r="AX369" s="1091">
        <f>+IF(AND(AW331=0,AX331&gt;0),AX331*($D$301/12),AW369)</f>
        <v/>
      </c>
      <c r="AY369" s="1091">
        <f>+IF(AND(AX331=0,AY331&gt;0),AY331*($D$301/12),AX369)</f>
        <v/>
      </c>
      <c r="AZ369" s="1091">
        <f>+IF(AND(AY331=0,AZ331&gt;0),AZ331*($D$301/12),AY369)</f>
        <v/>
      </c>
      <c r="BA369" s="1091">
        <f>+IF(AND(AZ331=0,BA331&gt;0),BA331*($D$301/12),AZ369)</f>
        <v/>
      </c>
      <c r="BB369" s="174">
        <f>+IF(AND(BA331=0,BB331&gt;0),BB331*($D$301/12),BA369)</f>
        <v/>
      </c>
      <c r="BC369" s="1091">
        <f>+IF(AND(BB331=0,BC331&gt;0),BC331*($D$301/12),BB369)</f>
        <v/>
      </c>
      <c r="BD369" s="1091">
        <f>+IF(AND(BC331=0,BD331&gt;0),BD331*($D$301/12),BC369)</f>
        <v/>
      </c>
      <c r="BE369" s="1091">
        <f>+IF(AND(BD331=0,BE331&gt;0),BE331*($D$301/12),BD369)</f>
        <v/>
      </c>
      <c r="BF369" s="1091">
        <f>+IF(AND(BE331=0,BF331&gt;0),BF331*($D$301/12),BE369)</f>
        <v/>
      </c>
      <c r="BG369" s="1091">
        <f>+IF(AND(BF331=0,BG331&gt;0),BG331*($D$301/12),BF369)</f>
        <v/>
      </c>
      <c r="BH369" s="174">
        <f>+IF(AND(BG331=0,BH331&gt;0),BH331*($D$301/12),BG369)</f>
        <v/>
      </c>
      <c r="BI369" s="1091">
        <f>+IF(AND(BH331=0,BI331&gt;0),BI331*($D$301/12),BH369)</f>
        <v/>
      </c>
      <c r="BJ369" s="1091">
        <f>+IF(AND(BI331=0,BJ331&gt;0),BJ331*($D$301/12),BI369)</f>
        <v/>
      </c>
      <c r="BK369" s="1091">
        <f>+IF(AND(BJ331=0,BK331&gt;0),BK331*($D$301/12),BJ369)</f>
        <v/>
      </c>
      <c r="BL369" s="1091">
        <f>+IF(AND(BK331=0,BL331&gt;0),BL331*($D$301/12),BK369)</f>
        <v/>
      </c>
      <c r="BM369" s="1091">
        <f>+IF(AND(BL331=0,BM331&gt;0),BM331*($D$301/12),BL369)</f>
        <v/>
      </c>
      <c r="BN369" s="174">
        <f>+IF(AND(BM331=0,BN331&gt;0),BN331*($D$301/12),BM369)</f>
        <v/>
      </c>
    </row>
    <row r="370" ht="12.75" customHeight="1" s="1883">
      <c r="C370" s="1157" t="inlineStr">
        <is>
          <t>Amortization Expense - 18</t>
        </is>
      </c>
      <c r="D370" s="670" t="n"/>
      <c r="E370" s="671" t="n"/>
      <c r="F370" s="74" t="n"/>
      <c r="G370" s="1091">
        <f>+IF(AND(F332=0,G332&gt;0),G332*($D$301/12),F370)</f>
        <v/>
      </c>
      <c r="H370" s="1091">
        <f>+IF(AND(G332=0,H332&gt;0),H332*($D$301/12),G370)</f>
        <v/>
      </c>
      <c r="I370" s="1091">
        <f>+IF(AND(H332=0,I332&gt;0),I332*($D$301/12),H370)</f>
        <v/>
      </c>
      <c r="J370" s="1091">
        <f>+IF(AND(I332=0,J332&gt;0),J332*($D$301/12),I370)</f>
        <v/>
      </c>
      <c r="K370" s="1091">
        <f>+IF(AND(J332=0,K332&gt;0),K332*($D$301/12),J370)</f>
        <v/>
      </c>
      <c r="L370" s="174">
        <f>+IF(AND(K332=0,L332&gt;0),L332*($D$301/12),K370)</f>
        <v/>
      </c>
      <c r="M370" s="1091">
        <f>+IF(AND(L332=0,M332&gt;0),M332*($D$301/12),L370)</f>
        <v/>
      </c>
      <c r="N370" s="1091">
        <f>+IF(AND(M332=0,N332&gt;0),N332*($D$301/12),M370)</f>
        <v/>
      </c>
      <c r="O370" s="1091">
        <f>+IF(AND(N332=0,O332&gt;0),O332*($D$301/12),N370)</f>
        <v/>
      </c>
      <c r="P370" s="1091">
        <f>+IF(AND(O332=0,P332&gt;0),P332*($D$301/12),O370)</f>
        <v/>
      </c>
      <c r="Q370" s="1091">
        <f>+IF(AND(P332=0,Q332&gt;0),Q332*($D$301/12),P370)</f>
        <v/>
      </c>
      <c r="R370" s="174">
        <f>+IF(AND(Q332=0,R332&gt;0),R332*($D$301/12),Q370)</f>
        <v/>
      </c>
      <c r="S370" s="1091">
        <f>+IF(AND(R332=0,S332&gt;0),S332*($D$301/12),R370)</f>
        <v/>
      </c>
      <c r="T370" s="1091">
        <f>+IF(AND(S332=0,T332&gt;0),T332*($D$301/12),S370)</f>
        <v/>
      </c>
      <c r="U370" s="1091">
        <f>+IF(AND(T332=0,U332&gt;0),U332*($D$301/12),T370)</f>
        <v/>
      </c>
      <c r="V370" s="1091">
        <f>+IF(AND(U332=0,V332&gt;0),V332*($D$301/12),U370)</f>
        <v/>
      </c>
      <c r="W370" s="1091">
        <f>+IF(AND(V332=0,W332&gt;0),W332*($D$301/12),V370)</f>
        <v/>
      </c>
      <c r="X370" s="174">
        <f>+IF(AND(W332=0,X332&gt;0),X332*($D$301/12),W370)</f>
        <v/>
      </c>
      <c r="Y370" s="1091">
        <f>+IF(AND(X332=0,Y332&gt;0),Y332*($D$301/12),X370)</f>
        <v/>
      </c>
      <c r="Z370" s="1091">
        <f>+IF(AND(Y332=0,Z332&gt;0),Z332*($D$301/12),Y370)</f>
        <v/>
      </c>
      <c r="AA370" s="1091">
        <f>+IF(AND(Z332=0,AA332&gt;0),AA332*($D$301/12),Z370)</f>
        <v/>
      </c>
      <c r="AB370" s="1091">
        <f>+IF(AND(AA332=0,AB332&gt;0),AB332*($D$301/12),AA370)</f>
        <v/>
      </c>
      <c r="AC370" s="1091">
        <f>+IF(AND(AB332=0,AC332&gt;0),AC332*($D$301/12),AB370)</f>
        <v/>
      </c>
      <c r="AD370" s="174">
        <f>+IF(AND(AC332=0,AD332&gt;0),AD332*($D$301/12),AC370)</f>
        <v/>
      </c>
      <c r="AE370" s="1091">
        <f>+IF(AND(AD332=0,AE332&gt;0),AE332*($D$301/12),AD370)</f>
        <v/>
      </c>
      <c r="AF370" s="1091">
        <f>+IF(AND(AE332=0,AF332&gt;0),AF332*($D$301/12),AE370)</f>
        <v/>
      </c>
      <c r="AG370" s="1091">
        <f>+IF(AND(AF332=0,AG332&gt;0),AG332*($D$301/12),AF370)</f>
        <v/>
      </c>
      <c r="AH370" s="1091">
        <f>+IF(AND(AG332=0,AH332&gt;0),AH332*($D$301/12),AG370)</f>
        <v/>
      </c>
      <c r="AI370" s="1091">
        <f>+IF(AND(AH332=0,AI332&gt;0),AI332*($D$301/12),AH370)</f>
        <v/>
      </c>
      <c r="AJ370" s="174">
        <f>+IF(AND(AI332=0,AJ332&gt;0),AJ332*($D$301/12),AI370)</f>
        <v/>
      </c>
      <c r="AK370" s="1091">
        <f>+IF(AND(AJ332=0,AK332&gt;0),AK332*($D$301/12),AJ370)</f>
        <v/>
      </c>
      <c r="AL370" s="1091">
        <f>+IF(AND(AK332=0,AL332&gt;0),AL332*($D$301/12),AK370)</f>
        <v/>
      </c>
      <c r="AM370" s="1091">
        <f>+IF(AND(AL332=0,AM332&gt;0),AM332*($D$301/12),AL370)</f>
        <v/>
      </c>
      <c r="AN370" s="1091">
        <f>+IF(AND(AM332=0,AN332&gt;0),AN332*($D$301/12),AM370)</f>
        <v/>
      </c>
      <c r="AO370" s="1091">
        <f>+IF(AND(AN332=0,AO332&gt;0),AO332*($D$301/12),AN370)</f>
        <v/>
      </c>
      <c r="AP370" s="174">
        <f>+IF(AND(AO332=0,AP332&gt;0),AP332*($D$301/12),AO370)</f>
        <v/>
      </c>
      <c r="AQ370" s="1091">
        <f>+IF(AND(AP332=0,AQ332&gt;0),AQ332*($D$301/12),AP370)</f>
        <v/>
      </c>
      <c r="AR370" s="1091">
        <f>+IF(AND(AQ332=0,AR332&gt;0),AR332*($D$301/12),AQ370)</f>
        <v/>
      </c>
      <c r="AS370" s="1091">
        <f>+IF(AND(AR332=0,AS332&gt;0),AS332*($D$301/12),AR370)</f>
        <v/>
      </c>
      <c r="AT370" s="1091">
        <f>+IF(AND(AS332=0,AT332&gt;0),AT332*($D$301/12),AS370)</f>
        <v/>
      </c>
      <c r="AU370" s="1091">
        <f>+IF(AND(AT332=0,AU332&gt;0),AU332*($D$301/12),AT370)</f>
        <v/>
      </c>
      <c r="AV370" s="174">
        <f>+IF(AND(AU332=0,AV332&gt;0),AV332*($D$301/12),AU370)</f>
        <v/>
      </c>
      <c r="AW370" s="1091">
        <f>+IF(AND(AV332=0,AW332&gt;0),AW332*($D$301/12),AV370)</f>
        <v/>
      </c>
      <c r="AX370" s="1091">
        <f>+IF(AND(AW332=0,AX332&gt;0),AX332*($D$301/12),AW370)</f>
        <v/>
      </c>
      <c r="AY370" s="1091">
        <f>+IF(AND(AX332=0,AY332&gt;0),AY332*($D$301/12),AX370)</f>
        <v/>
      </c>
      <c r="AZ370" s="1091">
        <f>+IF(AND(AY332=0,AZ332&gt;0),AZ332*($D$301/12),AY370)</f>
        <v/>
      </c>
      <c r="BA370" s="1091">
        <f>+IF(AND(AZ332=0,BA332&gt;0),BA332*($D$301/12),AZ370)</f>
        <v/>
      </c>
      <c r="BB370" s="174">
        <f>+IF(AND(BA332=0,BB332&gt;0),BB332*($D$301/12),BA370)</f>
        <v/>
      </c>
      <c r="BC370" s="1091">
        <f>+IF(AND(BB332=0,BC332&gt;0),BC332*($D$301/12),BB370)</f>
        <v/>
      </c>
      <c r="BD370" s="1091">
        <f>+IF(AND(BC332=0,BD332&gt;0),BD332*($D$301/12),BC370)</f>
        <v/>
      </c>
      <c r="BE370" s="1091">
        <f>+IF(AND(BD332=0,BE332&gt;0),BE332*($D$301/12),BD370)</f>
        <v/>
      </c>
      <c r="BF370" s="1091">
        <f>+IF(AND(BE332=0,BF332&gt;0),BF332*($D$301/12),BE370)</f>
        <v/>
      </c>
      <c r="BG370" s="1091">
        <f>+IF(AND(BF332=0,BG332&gt;0),BG332*($D$301/12),BF370)</f>
        <v/>
      </c>
      <c r="BH370" s="174">
        <f>+IF(AND(BG332=0,BH332&gt;0),BH332*($D$301/12),BG370)</f>
        <v/>
      </c>
      <c r="BI370" s="1091">
        <f>+IF(AND(BH332=0,BI332&gt;0),BI332*($D$301/12),BH370)</f>
        <v/>
      </c>
      <c r="BJ370" s="1091">
        <f>+IF(AND(BI332=0,BJ332&gt;0),BJ332*($D$301/12),BI370)</f>
        <v/>
      </c>
      <c r="BK370" s="1091">
        <f>+IF(AND(BJ332=0,BK332&gt;0),BK332*($D$301/12),BJ370)</f>
        <v/>
      </c>
      <c r="BL370" s="1091">
        <f>+IF(AND(BK332=0,BL332&gt;0),BL332*($D$301/12),BK370)</f>
        <v/>
      </c>
      <c r="BM370" s="1091">
        <f>+IF(AND(BL332=0,BM332&gt;0),BM332*($D$301/12),BL370)</f>
        <v/>
      </c>
      <c r="BN370" s="174">
        <f>+IF(AND(BM332=0,BN332&gt;0),BN332*($D$301/12),BM370)</f>
        <v/>
      </c>
    </row>
    <row r="371" ht="12.75" customHeight="1" s="1883">
      <c r="C371" s="1157" t="inlineStr">
        <is>
          <t>Amortization Expense - 19</t>
        </is>
      </c>
      <c r="D371" s="670" t="n"/>
      <c r="E371" s="671" t="n"/>
      <c r="F371" s="74" t="n"/>
      <c r="G371" s="1091">
        <f>+IF(AND(F333=0,G333&gt;0),G333*($D$301/12),F371)</f>
        <v/>
      </c>
      <c r="H371" s="1091">
        <f>+IF(AND(G333=0,H333&gt;0),H333*($D$301/12),G371)</f>
        <v/>
      </c>
      <c r="I371" s="1091">
        <f>+IF(AND(H333=0,I333&gt;0),I333*($D$301/12),H371)</f>
        <v/>
      </c>
      <c r="J371" s="1091">
        <f>+IF(AND(I333=0,J333&gt;0),J333*($D$301/12),I371)</f>
        <v/>
      </c>
      <c r="K371" s="1091">
        <f>+IF(AND(J333=0,K333&gt;0),K333*($D$301/12),J371)</f>
        <v/>
      </c>
      <c r="L371" s="174">
        <f>+IF(AND(K333=0,L333&gt;0),L333*($D$301/12),K371)</f>
        <v/>
      </c>
      <c r="M371" s="1091">
        <f>+IF(AND(L333=0,M333&gt;0),M333*($D$301/12),L371)</f>
        <v/>
      </c>
      <c r="N371" s="1091">
        <f>+IF(AND(M333=0,N333&gt;0),N333*($D$301/12),M371)</f>
        <v/>
      </c>
      <c r="O371" s="1091">
        <f>+IF(AND(N333=0,O333&gt;0),O333*($D$301/12),N371)</f>
        <v/>
      </c>
      <c r="P371" s="1091">
        <f>+IF(AND(O333=0,P333&gt;0),P333*($D$301/12),O371)</f>
        <v/>
      </c>
      <c r="Q371" s="1091">
        <f>+IF(AND(P333=0,Q333&gt;0),Q333*($D$301/12),P371)</f>
        <v/>
      </c>
      <c r="R371" s="174">
        <f>+IF(AND(Q333=0,R333&gt;0),R333*($D$301/12),Q371)</f>
        <v/>
      </c>
      <c r="S371" s="1091">
        <f>+IF(AND(R333=0,S333&gt;0),S333*($D$301/12),R371)</f>
        <v/>
      </c>
      <c r="T371" s="1091">
        <f>+IF(AND(S333=0,T333&gt;0),T333*($D$301/12),S371)</f>
        <v/>
      </c>
      <c r="U371" s="1091">
        <f>+IF(AND(T333=0,U333&gt;0),U333*($D$301/12),T371)</f>
        <v/>
      </c>
      <c r="V371" s="1091">
        <f>+IF(AND(U333=0,V333&gt;0),V333*($D$301/12),U371)</f>
        <v/>
      </c>
      <c r="W371" s="1091">
        <f>+IF(AND(V333=0,W333&gt;0),W333*($D$301/12),V371)</f>
        <v/>
      </c>
      <c r="X371" s="174">
        <f>+IF(AND(W333=0,X333&gt;0),X333*($D$301/12),W371)</f>
        <v/>
      </c>
      <c r="Y371" s="1091">
        <f>+IF(AND(X333=0,Y333&gt;0),Y333*($D$301/12),X371)</f>
        <v/>
      </c>
      <c r="Z371" s="1091">
        <f>+IF(AND(Y333=0,Z333&gt;0),Z333*($D$301/12),Y371)</f>
        <v/>
      </c>
      <c r="AA371" s="1091">
        <f>+IF(AND(Z333=0,AA333&gt;0),AA333*($D$301/12),Z371)</f>
        <v/>
      </c>
      <c r="AB371" s="1091">
        <f>+IF(AND(AA333=0,AB333&gt;0),AB333*($D$301/12),AA371)</f>
        <v/>
      </c>
      <c r="AC371" s="1091">
        <f>+IF(AND(AB333=0,AC333&gt;0),AC333*($D$301/12),AB371)</f>
        <v/>
      </c>
      <c r="AD371" s="174">
        <f>+IF(AND(AC333=0,AD333&gt;0),AD333*($D$301/12),AC371)</f>
        <v/>
      </c>
      <c r="AE371" s="1091">
        <f>+IF(AND(AD333=0,AE333&gt;0),AE333*($D$301/12),AD371)</f>
        <v/>
      </c>
      <c r="AF371" s="1091">
        <f>+IF(AND(AE333=0,AF333&gt;0),AF333*($D$301/12),AE371)</f>
        <v/>
      </c>
      <c r="AG371" s="1091">
        <f>+IF(AND(AF333=0,AG333&gt;0),AG333*($D$301/12),AF371)</f>
        <v/>
      </c>
      <c r="AH371" s="1091">
        <f>+IF(AND(AG333=0,AH333&gt;0),AH333*($D$301/12),AG371)</f>
        <v/>
      </c>
      <c r="AI371" s="1091">
        <f>+IF(AND(AH333=0,AI333&gt;0),AI333*($D$301/12),AH371)</f>
        <v/>
      </c>
      <c r="AJ371" s="174">
        <f>+IF(AND(AI333=0,AJ333&gt;0),AJ333*($D$301/12),AI371)</f>
        <v/>
      </c>
      <c r="AK371" s="1091">
        <f>+IF(AND(AJ333=0,AK333&gt;0),AK333*($D$301/12),AJ371)</f>
        <v/>
      </c>
      <c r="AL371" s="1091">
        <f>+IF(AND(AK333=0,AL333&gt;0),AL333*($D$301/12),AK371)</f>
        <v/>
      </c>
      <c r="AM371" s="1091">
        <f>+IF(AND(AL333=0,AM333&gt;0),AM333*($D$301/12),AL371)</f>
        <v/>
      </c>
      <c r="AN371" s="1091">
        <f>+IF(AND(AM333=0,AN333&gt;0),AN333*($D$301/12),AM371)</f>
        <v/>
      </c>
      <c r="AO371" s="1091">
        <f>+IF(AND(AN333=0,AO333&gt;0),AO333*($D$301/12),AN371)</f>
        <v/>
      </c>
      <c r="AP371" s="174">
        <f>+IF(AND(AO333=0,AP333&gt;0),AP333*($D$301/12),AO371)</f>
        <v/>
      </c>
      <c r="AQ371" s="1091">
        <f>+IF(AND(AP333=0,AQ333&gt;0),AQ333*($D$301/12),AP371)</f>
        <v/>
      </c>
      <c r="AR371" s="1091">
        <f>+IF(AND(AQ333=0,AR333&gt;0),AR333*($D$301/12),AQ371)</f>
        <v/>
      </c>
      <c r="AS371" s="1091">
        <f>+IF(AND(AR333=0,AS333&gt;0),AS333*($D$301/12),AR371)</f>
        <v/>
      </c>
      <c r="AT371" s="1091">
        <f>+IF(AND(AS333=0,AT333&gt;0),AT333*($D$301/12),AS371)</f>
        <v/>
      </c>
      <c r="AU371" s="1091">
        <f>+IF(AND(AT333=0,AU333&gt;0),AU333*($D$301/12),AT371)</f>
        <v/>
      </c>
      <c r="AV371" s="174">
        <f>+IF(AND(AU333=0,AV333&gt;0),AV333*($D$301/12),AU371)</f>
        <v/>
      </c>
      <c r="AW371" s="1091">
        <f>+IF(AND(AV333=0,AW333&gt;0),AW333*($D$301/12),AV371)</f>
        <v/>
      </c>
      <c r="AX371" s="1091">
        <f>+IF(AND(AW333=0,AX333&gt;0),AX333*($D$301/12),AW371)</f>
        <v/>
      </c>
      <c r="AY371" s="1091">
        <f>+IF(AND(AX333=0,AY333&gt;0),AY333*($D$301/12),AX371)</f>
        <v/>
      </c>
      <c r="AZ371" s="1091">
        <f>+IF(AND(AY333=0,AZ333&gt;0),AZ333*($D$301/12),AY371)</f>
        <v/>
      </c>
      <c r="BA371" s="1091">
        <f>+IF(AND(AZ333=0,BA333&gt;0),BA333*($D$301/12),AZ371)</f>
        <v/>
      </c>
      <c r="BB371" s="174">
        <f>+IF(AND(BA333=0,BB333&gt;0),BB333*($D$301/12),BA371)</f>
        <v/>
      </c>
      <c r="BC371" s="1091">
        <f>+IF(AND(BB333=0,BC333&gt;0),BC333*($D$301/12),BB371)</f>
        <v/>
      </c>
      <c r="BD371" s="1091">
        <f>+IF(AND(BC333=0,BD333&gt;0),BD333*($D$301/12),BC371)</f>
        <v/>
      </c>
      <c r="BE371" s="1091">
        <f>+IF(AND(BD333=0,BE333&gt;0),BE333*($D$301/12),BD371)</f>
        <v/>
      </c>
      <c r="BF371" s="1091">
        <f>+IF(AND(BE333=0,BF333&gt;0),BF333*($D$301/12),BE371)</f>
        <v/>
      </c>
      <c r="BG371" s="1091">
        <f>+IF(AND(BF333=0,BG333&gt;0),BG333*($D$301/12),BF371)</f>
        <v/>
      </c>
      <c r="BH371" s="174">
        <f>+IF(AND(BG333=0,BH333&gt;0),BH333*($D$301/12),BG371)</f>
        <v/>
      </c>
      <c r="BI371" s="1091">
        <f>+IF(AND(BH333=0,BI333&gt;0),BI333*($D$301/12),BH371)</f>
        <v/>
      </c>
      <c r="BJ371" s="1091">
        <f>+IF(AND(BI333=0,BJ333&gt;0),BJ333*($D$301/12),BI371)</f>
        <v/>
      </c>
      <c r="BK371" s="1091">
        <f>+IF(AND(BJ333=0,BK333&gt;0),BK333*($D$301/12),BJ371)</f>
        <v/>
      </c>
      <c r="BL371" s="1091">
        <f>+IF(AND(BK333=0,BL333&gt;0),BL333*($D$301/12),BK371)</f>
        <v/>
      </c>
      <c r="BM371" s="1091">
        <f>+IF(AND(BL333=0,BM333&gt;0),BM333*($D$301/12),BL371)</f>
        <v/>
      </c>
      <c r="BN371" s="174">
        <f>+IF(AND(BM333=0,BN333&gt;0),BN333*($D$301/12),BM371)</f>
        <v/>
      </c>
    </row>
    <row r="372" ht="12.75" customHeight="1" s="1883">
      <c r="C372" s="1157" t="inlineStr">
        <is>
          <t>Amortization Expense - 20</t>
        </is>
      </c>
      <c r="D372" s="670" t="n"/>
      <c r="E372" s="671" t="n"/>
      <c r="F372" s="74" t="n"/>
      <c r="G372" s="1091">
        <f>+IF(AND(F334=0,G334&gt;0),G334*($D$301/12),F372)</f>
        <v/>
      </c>
      <c r="H372" s="1091">
        <f>+IF(AND(G334=0,H334&gt;0),H334*($D$301/12),G372)</f>
        <v/>
      </c>
      <c r="I372" s="1091">
        <f>+IF(AND(H334=0,I334&gt;0),I334*($D$301/12),H372)</f>
        <v/>
      </c>
      <c r="J372" s="1091">
        <f>+IF(AND(I334=0,J334&gt;0),J334*($D$301/12),I372)</f>
        <v/>
      </c>
      <c r="K372" s="1091">
        <f>+IF(AND(J334=0,K334&gt;0),K334*($D$301/12),J372)</f>
        <v/>
      </c>
      <c r="L372" s="174">
        <f>+IF(AND(K334=0,L334&gt;0),L334*($D$301/12),K372)</f>
        <v/>
      </c>
      <c r="M372" s="1091">
        <f>+IF(AND(L334=0,M334&gt;0),M334*($D$301/12),L372)</f>
        <v/>
      </c>
      <c r="N372" s="1091">
        <f>+IF(AND(M334=0,N334&gt;0),N334*($D$301/12),M372)</f>
        <v/>
      </c>
      <c r="O372" s="1091">
        <f>+IF(AND(N334=0,O334&gt;0),O334*($D$301/12),N372)</f>
        <v/>
      </c>
      <c r="P372" s="1091">
        <f>+IF(AND(O334=0,P334&gt;0),P334*($D$301/12),O372)</f>
        <v/>
      </c>
      <c r="Q372" s="1091">
        <f>+IF(AND(P334=0,Q334&gt;0),Q334*($D$301/12),P372)</f>
        <v/>
      </c>
      <c r="R372" s="174">
        <f>+IF(AND(Q334=0,R334&gt;0),R334*($D$301/12),Q372)</f>
        <v/>
      </c>
      <c r="S372" s="1091">
        <f>+IF(AND(R334=0,S334&gt;0),S334*($D$301/12),R372)</f>
        <v/>
      </c>
      <c r="T372" s="1091">
        <f>+IF(AND(S334=0,T334&gt;0),T334*($D$301/12),S372)</f>
        <v/>
      </c>
      <c r="U372" s="1091">
        <f>+IF(AND(T334=0,U334&gt;0),U334*($D$301/12),T372)</f>
        <v/>
      </c>
      <c r="V372" s="1091">
        <f>+IF(AND(U334=0,V334&gt;0),V334*($D$301/12),U372)</f>
        <v/>
      </c>
      <c r="W372" s="1091">
        <f>+IF(AND(V334=0,W334&gt;0),W334*($D$301/12),V372)</f>
        <v/>
      </c>
      <c r="X372" s="174">
        <f>+IF(AND(W334=0,X334&gt;0),X334*($D$301/12),W372)</f>
        <v/>
      </c>
      <c r="Y372" s="1091">
        <f>+IF(AND(X334=0,Y334&gt;0),Y334*($D$301/12),X372)</f>
        <v/>
      </c>
      <c r="Z372" s="1091">
        <f>+IF(AND(Y334=0,Z334&gt;0),Z334*($D$301/12),Y372)</f>
        <v/>
      </c>
      <c r="AA372" s="1091">
        <f>+IF(AND(Z334=0,AA334&gt;0),AA334*($D$301/12),Z372)</f>
        <v/>
      </c>
      <c r="AB372" s="1091">
        <f>+IF(AND(AA334=0,AB334&gt;0),AB334*($D$301/12),AA372)</f>
        <v/>
      </c>
      <c r="AC372" s="1091">
        <f>+IF(AND(AB334=0,AC334&gt;0),AC334*($D$301/12),AB372)</f>
        <v/>
      </c>
      <c r="AD372" s="174">
        <f>+IF(AND(AC334=0,AD334&gt;0),AD334*($D$301/12),AC372)</f>
        <v/>
      </c>
      <c r="AE372" s="1091">
        <f>+IF(AND(AD334=0,AE334&gt;0),AE334*($D$301/12),AD372)</f>
        <v/>
      </c>
      <c r="AF372" s="1091">
        <f>+IF(AND(AE334=0,AF334&gt;0),AF334*($D$301/12),AE372)</f>
        <v/>
      </c>
      <c r="AG372" s="1091">
        <f>+IF(AND(AF334=0,AG334&gt;0),AG334*($D$301/12),AF372)</f>
        <v/>
      </c>
      <c r="AH372" s="1091">
        <f>+IF(AND(AG334=0,AH334&gt;0),AH334*($D$301/12),AG372)</f>
        <v/>
      </c>
      <c r="AI372" s="1091">
        <f>+IF(AND(AH334=0,AI334&gt;0),AI334*($D$301/12),AH372)</f>
        <v/>
      </c>
      <c r="AJ372" s="174">
        <f>+IF(AND(AI334=0,AJ334&gt;0),AJ334*($D$301/12),AI372)</f>
        <v/>
      </c>
      <c r="AK372" s="1091">
        <f>+IF(AND(AJ334=0,AK334&gt;0),AK334*($D$301/12),AJ372)</f>
        <v/>
      </c>
      <c r="AL372" s="1091">
        <f>+IF(AND(AK334=0,AL334&gt;0),AL334*($D$301/12),AK372)</f>
        <v/>
      </c>
      <c r="AM372" s="1091">
        <f>+IF(AND(AL334=0,AM334&gt;0),AM334*($D$301/12),AL372)</f>
        <v/>
      </c>
      <c r="AN372" s="1091">
        <f>+IF(AND(AM334=0,AN334&gt;0),AN334*($D$301/12),AM372)</f>
        <v/>
      </c>
      <c r="AO372" s="1091">
        <f>+IF(AND(AN334=0,AO334&gt;0),AO334*($D$301/12),AN372)</f>
        <v/>
      </c>
      <c r="AP372" s="174">
        <f>+IF(AND(AO334=0,AP334&gt;0),AP334*($D$301/12),AO372)</f>
        <v/>
      </c>
      <c r="AQ372" s="1091">
        <f>+IF(AND(AP334=0,AQ334&gt;0),AQ334*($D$301/12),AP372)</f>
        <v/>
      </c>
      <c r="AR372" s="1091">
        <f>+IF(AND(AQ334=0,AR334&gt;0),AR334*($D$301/12),AQ372)</f>
        <v/>
      </c>
      <c r="AS372" s="1091">
        <f>+IF(AND(AR334=0,AS334&gt;0),AS334*($D$301/12),AR372)</f>
        <v/>
      </c>
      <c r="AT372" s="1091">
        <f>+IF(AND(AS334=0,AT334&gt;0),AT334*($D$301/12),AS372)</f>
        <v/>
      </c>
      <c r="AU372" s="1091">
        <f>+IF(AND(AT334=0,AU334&gt;0),AU334*($D$301/12),AT372)</f>
        <v/>
      </c>
      <c r="AV372" s="174">
        <f>+IF(AND(AU334=0,AV334&gt;0),AV334*($D$301/12),AU372)</f>
        <v/>
      </c>
      <c r="AW372" s="1091">
        <f>+IF(AND(AV334=0,AW334&gt;0),AW334*($D$301/12),AV372)</f>
        <v/>
      </c>
      <c r="AX372" s="1091">
        <f>+IF(AND(AW334=0,AX334&gt;0),AX334*($D$301/12),AW372)</f>
        <v/>
      </c>
      <c r="AY372" s="1091">
        <f>+IF(AND(AX334=0,AY334&gt;0),AY334*($D$301/12),AX372)</f>
        <v/>
      </c>
      <c r="AZ372" s="1091">
        <f>+IF(AND(AY334=0,AZ334&gt;0),AZ334*($D$301/12),AY372)</f>
        <v/>
      </c>
      <c r="BA372" s="1091">
        <f>+IF(AND(AZ334=0,BA334&gt;0),BA334*($D$301/12),AZ372)</f>
        <v/>
      </c>
      <c r="BB372" s="174">
        <f>+IF(AND(BA334=0,BB334&gt;0),BB334*($D$301/12),BA372)</f>
        <v/>
      </c>
      <c r="BC372" s="1091">
        <f>+IF(AND(BB334=0,BC334&gt;0),BC334*($D$301/12),BB372)</f>
        <v/>
      </c>
      <c r="BD372" s="1091">
        <f>+IF(AND(BC334=0,BD334&gt;0),BD334*($D$301/12),BC372)</f>
        <v/>
      </c>
      <c r="BE372" s="1091">
        <f>+IF(AND(BD334=0,BE334&gt;0),BE334*($D$301/12),BD372)</f>
        <v/>
      </c>
      <c r="BF372" s="1091">
        <f>+IF(AND(BE334=0,BF334&gt;0),BF334*($D$301/12),BE372)</f>
        <v/>
      </c>
      <c r="BG372" s="1091">
        <f>+IF(AND(BF334=0,BG334&gt;0),BG334*($D$301/12),BF372)</f>
        <v/>
      </c>
      <c r="BH372" s="174">
        <f>+IF(AND(BG334=0,BH334&gt;0),BH334*($D$301/12),BG372)</f>
        <v/>
      </c>
      <c r="BI372" s="1091">
        <f>+IF(AND(BH334=0,BI334&gt;0),BI334*($D$301/12),BH372)</f>
        <v/>
      </c>
      <c r="BJ372" s="1091">
        <f>+IF(AND(BI334=0,BJ334&gt;0),BJ334*($D$301/12),BI372)</f>
        <v/>
      </c>
      <c r="BK372" s="1091">
        <f>+IF(AND(BJ334=0,BK334&gt;0),BK334*($D$301/12),BJ372)</f>
        <v/>
      </c>
      <c r="BL372" s="1091">
        <f>+IF(AND(BK334=0,BL334&gt;0),BL334*($D$301/12),BK372)</f>
        <v/>
      </c>
      <c r="BM372" s="1091">
        <f>+IF(AND(BL334=0,BM334&gt;0),BM334*($D$301/12),BL372)</f>
        <v/>
      </c>
      <c r="BN372" s="174">
        <f>+IF(AND(BM334=0,BN334&gt;0),BN334*($D$301/12),BM372)</f>
        <v/>
      </c>
    </row>
    <row r="373" ht="12.75" customHeight="1" s="1883">
      <c r="C373" s="1157" t="inlineStr">
        <is>
          <t>Amortization Expense - 21</t>
        </is>
      </c>
      <c r="D373" s="670" t="n"/>
      <c r="E373" s="671" t="n"/>
      <c r="F373" s="74" t="n"/>
      <c r="G373" s="1091">
        <f>+IF(AND(F335=0,G335&gt;0),G335*($D$301/12),F373)</f>
        <v/>
      </c>
      <c r="H373" s="1091">
        <f>+IF(AND(G335=0,H335&gt;0),H335*($D$301/12),G373)</f>
        <v/>
      </c>
      <c r="I373" s="1091">
        <f>+IF(AND(H335=0,I335&gt;0),I335*($D$301/12),H373)</f>
        <v/>
      </c>
      <c r="J373" s="1091">
        <f>+IF(AND(I335=0,J335&gt;0),J335*($D$301/12),I373)</f>
        <v/>
      </c>
      <c r="K373" s="1091">
        <f>+IF(AND(J335=0,K335&gt;0),K335*($D$301/12),J373)</f>
        <v/>
      </c>
      <c r="L373" s="174">
        <f>+IF(AND(K335=0,L335&gt;0),L335*($D$301/12),K373)</f>
        <v/>
      </c>
      <c r="M373" s="1091">
        <f>+IF(AND(L335=0,M335&gt;0),M335*($D$301/12),L373)</f>
        <v/>
      </c>
      <c r="N373" s="1091">
        <f>+IF(AND(M335=0,N335&gt;0),N335*($D$301/12),M373)</f>
        <v/>
      </c>
      <c r="O373" s="1091">
        <f>+IF(AND(N335=0,O335&gt;0),O335*($D$301/12),N373)</f>
        <v/>
      </c>
      <c r="P373" s="1091">
        <f>+IF(AND(O335=0,P335&gt;0),P335*($D$301/12),O373)</f>
        <v/>
      </c>
      <c r="Q373" s="1091">
        <f>+IF(AND(P335=0,Q335&gt;0),Q335*($D$301/12),P373)</f>
        <v/>
      </c>
      <c r="R373" s="174">
        <f>+IF(AND(Q335=0,R335&gt;0),R335*($D$301/12),Q373)</f>
        <v/>
      </c>
      <c r="S373" s="1091">
        <f>+IF(AND(R335=0,S335&gt;0),S335*($D$301/12),R373)</f>
        <v/>
      </c>
      <c r="T373" s="1091">
        <f>+IF(AND(S335=0,T335&gt;0),T335*($D$301/12),S373)</f>
        <v/>
      </c>
      <c r="U373" s="1091">
        <f>+IF(AND(T335=0,U335&gt;0),U335*($D$301/12),T373)</f>
        <v/>
      </c>
      <c r="V373" s="1091">
        <f>+IF(AND(U335=0,V335&gt;0),V335*($D$301/12),U373)</f>
        <v/>
      </c>
      <c r="W373" s="1091">
        <f>+IF(AND(V335=0,W335&gt;0),W335*($D$301/12),V373)</f>
        <v/>
      </c>
      <c r="X373" s="174">
        <f>+IF(AND(W335=0,X335&gt;0),X335*($D$301/12),W373)</f>
        <v/>
      </c>
      <c r="Y373" s="1091">
        <f>+IF(AND(X335=0,Y335&gt;0),Y335*($D$301/12),X373)</f>
        <v/>
      </c>
      <c r="Z373" s="1091">
        <f>+IF(AND(Y335=0,Z335&gt;0),Z335*($D$301/12),Y373)</f>
        <v/>
      </c>
      <c r="AA373" s="1091">
        <f>+IF(AND(Z335=0,AA335&gt;0),AA335*($D$301/12),Z373)</f>
        <v/>
      </c>
      <c r="AB373" s="1091">
        <f>+IF(AND(AA335=0,AB335&gt;0),AB335*($D$301/12),AA373)</f>
        <v/>
      </c>
      <c r="AC373" s="1091">
        <f>+IF(AND(AB335=0,AC335&gt;0),AC335*($D$301/12),AB373)</f>
        <v/>
      </c>
      <c r="AD373" s="174">
        <f>+IF(AND(AC335=0,AD335&gt;0),AD335*($D$301/12),AC373)</f>
        <v/>
      </c>
      <c r="AE373" s="1091">
        <f>+IF(AND(AD335=0,AE335&gt;0),AE335*($D$301/12),AD373)</f>
        <v/>
      </c>
      <c r="AF373" s="1091">
        <f>+IF(AND(AE335=0,AF335&gt;0),AF335*($D$301/12),AE373)</f>
        <v/>
      </c>
      <c r="AG373" s="1091">
        <f>+IF(AND(AF335=0,AG335&gt;0),AG335*($D$301/12),AF373)</f>
        <v/>
      </c>
      <c r="AH373" s="1091">
        <f>+IF(AND(AG335=0,AH335&gt;0),AH335*($D$301/12),AG373)</f>
        <v/>
      </c>
      <c r="AI373" s="1091">
        <f>+IF(AND(AH335=0,AI335&gt;0),AI335*($D$301/12),AH373)</f>
        <v/>
      </c>
      <c r="AJ373" s="174">
        <f>+IF(AND(AI335=0,AJ335&gt;0),AJ335*($D$301/12),AI373)</f>
        <v/>
      </c>
      <c r="AK373" s="1091">
        <f>+IF(AND(AJ335=0,AK335&gt;0),AK335*($D$301/12),AJ373)</f>
        <v/>
      </c>
      <c r="AL373" s="1091">
        <f>+IF(AND(AK335=0,AL335&gt;0),AL335*($D$301/12),AK373)</f>
        <v/>
      </c>
      <c r="AM373" s="1091">
        <f>+IF(AND(AL335=0,AM335&gt;0),AM335*($D$301/12),AL373)</f>
        <v/>
      </c>
      <c r="AN373" s="1091">
        <f>+IF(AND(AM335=0,AN335&gt;0),AN335*($D$301/12),AM373)</f>
        <v/>
      </c>
      <c r="AO373" s="1091">
        <f>+IF(AND(AN335=0,AO335&gt;0),AO335*($D$301/12),AN373)</f>
        <v/>
      </c>
      <c r="AP373" s="174">
        <f>+IF(AND(AO335=0,AP335&gt;0),AP335*($D$301/12),AO373)</f>
        <v/>
      </c>
      <c r="AQ373" s="1091">
        <f>+IF(AND(AP335=0,AQ335&gt;0),AQ335*($D$301/12),AP373)</f>
        <v/>
      </c>
      <c r="AR373" s="1091">
        <f>+IF(AND(AQ335=0,AR335&gt;0),AR335*($D$301/12),AQ373)</f>
        <v/>
      </c>
      <c r="AS373" s="1091">
        <f>+IF(AND(AR335=0,AS335&gt;0),AS335*($D$301/12),AR373)</f>
        <v/>
      </c>
      <c r="AT373" s="1091">
        <f>+IF(AND(AS335=0,AT335&gt;0),AT335*($D$301/12),AS373)</f>
        <v/>
      </c>
      <c r="AU373" s="1091">
        <f>+IF(AND(AT335=0,AU335&gt;0),AU335*($D$301/12),AT373)</f>
        <v/>
      </c>
      <c r="AV373" s="174">
        <f>+IF(AND(AU335=0,AV335&gt;0),AV335*($D$301/12),AU373)</f>
        <v/>
      </c>
      <c r="AW373" s="1091">
        <f>+IF(AND(AV335=0,AW335&gt;0),AW335*($D$301/12),AV373)</f>
        <v/>
      </c>
      <c r="AX373" s="1091">
        <f>+IF(AND(AW335=0,AX335&gt;0),AX335*($D$301/12),AW373)</f>
        <v/>
      </c>
      <c r="AY373" s="1091">
        <f>+IF(AND(AX335=0,AY335&gt;0),AY335*($D$301/12),AX373)</f>
        <v/>
      </c>
      <c r="AZ373" s="1091">
        <f>+IF(AND(AY335=0,AZ335&gt;0),AZ335*($D$301/12),AY373)</f>
        <v/>
      </c>
      <c r="BA373" s="1091">
        <f>+IF(AND(AZ335=0,BA335&gt;0),BA335*($D$301/12),AZ373)</f>
        <v/>
      </c>
      <c r="BB373" s="174">
        <f>+IF(AND(BA335=0,BB335&gt;0),BB335*($D$301/12),BA373)</f>
        <v/>
      </c>
      <c r="BC373" s="1091">
        <f>+IF(AND(BB335=0,BC335&gt;0),BC335*($D$301/12),BB373)</f>
        <v/>
      </c>
      <c r="BD373" s="1091">
        <f>+IF(AND(BC335=0,BD335&gt;0),BD335*($D$301/12),BC373)</f>
        <v/>
      </c>
      <c r="BE373" s="1091">
        <f>+IF(AND(BD335=0,BE335&gt;0),BE335*($D$301/12),BD373)</f>
        <v/>
      </c>
      <c r="BF373" s="1091">
        <f>+IF(AND(BE335=0,BF335&gt;0),BF335*($D$301/12),BE373)</f>
        <v/>
      </c>
      <c r="BG373" s="1091">
        <f>+IF(AND(BF335=0,BG335&gt;0),BG335*($D$301/12),BF373)</f>
        <v/>
      </c>
      <c r="BH373" s="174">
        <f>+IF(AND(BG335=0,BH335&gt;0),BH335*($D$301/12),BG373)</f>
        <v/>
      </c>
      <c r="BI373" s="1091">
        <f>+IF(AND(BH335=0,BI335&gt;0),BI335*($D$301/12),BH373)</f>
        <v/>
      </c>
      <c r="BJ373" s="1091">
        <f>+IF(AND(BI335=0,BJ335&gt;0),BJ335*($D$301/12),BI373)</f>
        <v/>
      </c>
      <c r="BK373" s="1091">
        <f>+IF(AND(BJ335=0,BK335&gt;0),BK335*($D$301/12),BJ373)</f>
        <v/>
      </c>
      <c r="BL373" s="1091">
        <f>+IF(AND(BK335=0,BL335&gt;0),BL335*($D$301/12),BK373)</f>
        <v/>
      </c>
      <c r="BM373" s="1091">
        <f>+IF(AND(BL335=0,BM335&gt;0),BM335*($D$301/12),BL373)</f>
        <v/>
      </c>
      <c r="BN373" s="174">
        <f>+IF(AND(BM335=0,BN335&gt;0),BN335*($D$301/12),BM373)</f>
        <v/>
      </c>
    </row>
    <row r="374" ht="12.75" customHeight="1" s="1883">
      <c r="C374" s="1157" t="inlineStr">
        <is>
          <t>Amortization Expense - 22</t>
        </is>
      </c>
      <c r="D374" s="670" t="n"/>
      <c r="E374" s="671" t="n"/>
      <c r="F374" s="74" t="n"/>
      <c r="G374" s="1091">
        <f>+IF(AND(F336=0,G336&gt;0),G336*($D$301/12),F374)</f>
        <v/>
      </c>
      <c r="H374" s="1091">
        <f>+IF(AND(G336=0,H336&gt;0),H336*($D$301/12),G374)</f>
        <v/>
      </c>
      <c r="I374" s="1091">
        <f>+IF(AND(H336=0,I336&gt;0),I336*($D$301/12),H374)</f>
        <v/>
      </c>
      <c r="J374" s="1091">
        <f>+IF(AND(I336=0,J336&gt;0),J336*($D$301/12),I374)</f>
        <v/>
      </c>
      <c r="K374" s="1091">
        <f>+IF(AND(J336=0,K336&gt;0),K336*($D$301/12),J374)</f>
        <v/>
      </c>
      <c r="L374" s="174">
        <f>+IF(AND(K336=0,L336&gt;0),L336*($D$301/12),K374)</f>
        <v/>
      </c>
      <c r="M374" s="1091">
        <f>+IF(AND(L336=0,M336&gt;0),M336*($D$301/12),L374)</f>
        <v/>
      </c>
      <c r="N374" s="1091">
        <f>+IF(AND(M336=0,N336&gt;0),N336*($D$301/12),M374)</f>
        <v/>
      </c>
      <c r="O374" s="1091">
        <f>+IF(AND(N336=0,O336&gt;0),O336*($D$301/12),N374)</f>
        <v/>
      </c>
      <c r="P374" s="1091">
        <f>+IF(AND(O336=0,P336&gt;0),P336*($D$301/12),O374)</f>
        <v/>
      </c>
      <c r="Q374" s="1091">
        <f>+IF(AND(P336=0,Q336&gt;0),Q336*($D$301/12),P374)</f>
        <v/>
      </c>
      <c r="R374" s="174">
        <f>+IF(AND(Q336=0,R336&gt;0),R336*($D$301/12),Q374)</f>
        <v/>
      </c>
      <c r="S374" s="1091">
        <f>+IF(AND(R336=0,S336&gt;0),S336*($D$301/12),R374)</f>
        <v/>
      </c>
      <c r="T374" s="1091">
        <f>+IF(AND(S336=0,T336&gt;0),T336*($D$301/12),S374)</f>
        <v/>
      </c>
      <c r="U374" s="1091">
        <f>+IF(AND(T336=0,U336&gt;0),U336*($D$301/12),T374)</f>
        <v/>
      </c>
      <c r="V374" s="1091">
        <f>+IF(AND(U336=0,V336&gt;0),V336*($D$301/12),U374)</f>
        <v/>
      </c>
      <c r="W374" s="1091">
        <f>+IF(AND(V336=0,W336&gt;0),W336*($D$301/12),V374)</f>
        <v/>
      </c>
      <c r="X374" s="174">
        <f>+IF(AND(W336=0,X336&gt;0),X336*($D$301/12),W374)</f>
        <v/>
      </c>
      <c r="Y374" s="1091">
        <f>+IF(AND(X336=0,Y336&gt;0),Y336*($D$301/12),X374)</f>
        <v/>
      </c>
      <c r="Z374" s="1091">
        <f>+IF(AND(Y336=0,Z336&gt;0),Z336*($D$301/12),Y374)</f>
        <v/>
      </c>
      <c r="AA374" s="1091">
        <f>+IF(AND(Z336=0,AA336&gt;0),AA336*($D$301/12),Z374)</f>
        <v/>
      </c>
      <c r="AB374" s="1091">
        <f>+IF(AND(AA336=0,AB336&gt;0),AB336*($D$301/12),AA374)</f>
        <v/>
      </c>
      <c r="AC374" s="1091">
        <f>+IF(AND(AB336=0,AC336&gt;0),AC336*($D$301/12),AB374)</f>
        <v/>
      </c>
      <c r="AD374" s="174">
        <f>+IF(AND(AC336=0,AD336&gt;0),AD336*($D$301/12),AC374)</f>
        <v/>
      </c>
      <c r="AE374" s="1091">
        <f>+IF(AND(AD336=0,AE336&gt;0),AE336*($D$301/12),AD374)</f>
        <v/>
      </c>
      <c r="AF374" s="1091">
        <f>+IF(AND(AE336=0,AF336&gt;0),AF336*($D$301/12),AE374)</f>
        <v/>
      </c>
      <c r="AG374" s="1091">
        <f>+IF(AND(AF336=0,AG336&gt;0),AG336*($D$301/12),AF374)</f>
        <v/>
      </c>
      <c r="AH374" s="1091">
        <f>+IF(AND(AG336=0,AH336&gt;0),AH336*($D$301/12),AG374)</f>
        <v/>
      </c>
      <c r="AI374" s="1091">
        <f>+IF(AND(AH336=0,AI336&gt;0),AI336*($D$301/12),AH374)</f>
        <v/>
      </c>
      <c r="AJ374" s="174">
        <f>+IF(AND(AI336=0,AJ336&gt;0),AJ336*($D$301/12),AI374)</f>
        <v/>
      </c>
      <c r="AK374" s="1091">
        <f>+IF(AND(AJ336=0,AK336&gt;0),AK336*($D$301/12),AJ374)</f>
        <v/>
      </c>
      <c r="AL374" s="1091">
        <f>+IF(AND(AK336=0,AL336&gt;0),AL336*($D$301/12),AK374)</f>
        <v/>
      </c>
      <c r="AM374" s="1091">
        <f>+IF(AND(AL336=0,AM336&gt;0),AM336*($D$301/12),AL374)</f>
        <v/>
      </c>
      <c r="AN374" s="1091">
        <f>+IF(AND(AM336=0,AN336&gt;0),AN336*($D$301/12),AM374)</f>
        <v/>
      </c>
      <c r="AO374" s="1091">
        <f>+IF(AND(AN336=0,AO336&gt;0),AO336*($D$301/12),AN374)</f>
        <v/>
      </c>
      <c r="AP374" s="174">
        <f>+IF(AND(AO336=0,AP336&gt;0),AP336*($D$301/12),AO374)</f>
        <v/>
      </c>
      <c r="AQ374" s="1091">
        <f>+IF(AND(AP336=0,AQ336&gt;0),AQ336*($D$301/12),AP374)</f>
        <v/>
      </c>
      <c r="AR374" s="1091">
        <f>+IF(AND(AQ336=0,AR336&gt;0),AR336*($D$301/12),AQ374)</f>
        <v/>
      </c>
      <c r="AS374" s="1091">
        <f>+IF(AND(AR336=0,AS336&gt;0),AS336*($D$301/12),AR374)</f>
        <v/>
      </c>
      <c r="AT374" s="1091">
        <f>+IF(AND(AS336=0,AT336&gt;0),AT336*($D$301/12),AS374)</f>
        <v/>
      </c>
      <c r="AU374" s="1091">
        <f>+IF(AND(AT336=0,AU336&gt;0),AU336*($D$301/12),AT374)</f>
        <v/>
      </c>
      <c r="AV374" s="174">
        <f>+IF(AND(AU336=0,AV336&gt;0),AV336*($D$301/12),AU374)</f>
        <v/>
      </c>
      <c r="AW374" s="1091">
        <f>+IF(AND(AV336=0,AW336&gt;0),AW336*($D$301/12),AV374)</f>
        <v/>
      </c>
      <c r="AX374" s="1091">
        <f>+IF(AND(AW336=0,AX336&gt;0),AX336*($D$301/12),AW374)</f>
        <v/>
      </c>
      <c r="AY374" s="1091">
        <f>+IF(AND(AX336=0,AY336&gt;0),AY336*($D$301/12),AX374)</f>
        <v/>
      </c>
      <c r="AZ374" s="1091">
        <f>+IF(AND(AY336=0,AZ336&gt;0),AZ336*($D$301/12),AY374)</f>
        <v/>
      </c>
      <c r="BA374" s="1091">
        <f>+IF(AND(AZ336=0,BA336&gt;0),BA336*($D$301/12),AZ374)</f>
        <v/>
      </c>
      <c r="BB374" s="174">
        <f>+IF(AND(BA336=0,BB336&gt;0),BB336*($D$301/12),BA374)</f>
        <v/>
      </c>
      <c r="BC374" s="1091">
        <f>+IF(AND(BB336=0,BC336&gt;0),BC336*($D$301/12),BB374)</f>
        <v/>
      </c>
      <c r="BD374" s="1091">
        <f>+IF(AND(BC336=0,BD336&gt;0),BD336*($D$301/12),BC374)</f>
        <v/>
      </c>
      <c r="BE374" s="1091">
        <f>+IF(AND(BD336=0,BE336&gt;0),BE336*($D$301/12),BD374)</f>
        <v/>
      </c>
      <c r="BF374" s="1091">
        <f>+IF(AND(BE336=0,BF336&gt;0),BF336*($D$301/12),BE374)</f>
        <v/>
      </c>
      <c r="BG374" s="1091">
        <f>+IF(AND(BF336=0,BG336&gt;0),BG336*($D$301/12),BF374)</f>
        <v/>
      </c>
      <c r="BH374" s="174">
        <f>+IF(AND(BG336=0,BH336&gt;0),BH336*($D$301/12),BG374)</f>
        <v/>
      </c>
      <c r="BI374" s="1091">
        <f>+IF(AND(BH336=0,BI336&gt;0),BI336*($D$301/12),BH374)</f>
        <v/>
      </c>
      <c r="BJ374" s="1091">
        <f>+IF(AND(BI336=0,BJ336&gt;0),BJ336*($D$301/12),BI374)</f>
        <v/>
      </c>
      <c r="BK374" s="1091">
        <f>+IF(AND(BJ336=0,BK336&gt;0),BK336*($D$301/12),BJ374)</f>
        <v/>
      </c>
      <c r="BL374" s="1091">
        <f>+IF(AND(BK336=0,BL336&gt;0),BL336*($D$301/12),BK374)</f>
        <v/>
      </c>
      <c r="BM374" s="1091">
        <f>+IF(AND(BL336=0,BM336&gt;0),BM336*($D$301/12),BL374)</f>
        <v/>
      </c>
      <c r="BN374" s="174">
        <f>+IF(AND(BM336=0,BN336&gt;0),BN336*($D$301/12),BM374)</f>
        <v/>
      </c>
    </row>
    <row r="375" ht="12.75" customHeight="1" s="1883">
      <c r="C375" s="1157" t="inlineStr">
        <is>
          <t>Amortization Expense - 23</t>
        </is>
      </c>
      <c r="D375" s="670" t="n"/>
      <c r="E375" s="671" t="n"/>
      <c r="F375" s="74" t="n"/>
      <c r="G375" s="1091">
        <f>+IF(AND(F337=0,G337&gt;0),G337*($D$301/12),F375)</f>
        <v/>
      </c>
      <c r="H375" s="1091">
        <f>+IF(AND(G337=0,H337&gt;0),H337*($D$301/12),G375)</f>
        <v/>
      </c>
      <c r="I375" s="1091">
        <f>+IF(AND(H337=0,I337&gt;0),I337*($D$301/12),H375)</f>
        <v/>
      </c>
      <c r="J375" s="1091">
        <f>+IF(AND(I337=0,J337&gt;0),J337*($D$301/12),I375)</f>
        <v/>
      </c>
      <c r="K375" s="1091">
        <f>+IF(AND(J337=0,K337&gt;0),K337*($D$301/12),J375)</f>
        <v/>
      </c>
      <c r="L375" s="174">
        <f>+IF(AND(K337=0,L337&gt;0),L337*($D$301/12),K375)</f>
        <v/>
      </c>
      <c r="M375" s="1091">
        <f>+IF(AND(L337=0,M337&gt;0),M337*($D$301/12),L375)</f>
        <v/>
      </c>
      <c r="N375" s="1091">
        <f>+IF(AND(M337=0,N337&gt;0),N337*($D$301/12),M375)</f>
        <v/>
      </c>
      <c r="O375" s="1091">
        <f>+IF(AND(N337=0,O337&gt;0),O337*($D$301/12),N375)</f>
        <v/>
      </c>
      <c r="P375" s="1091">
        <f>+IF(AND(O337=0,P337&gt;0),P337*($D$301/12),O375)</f>
        <v/>
      </c>
      <c r="Q375" s="1091">
        <f>+IF(AND(P337=0,Q337&gt;0),Q337*($D$301/12),P375)</f>
        <v/>
      </c>
      <c r="R375" s="174">
        <f>+IF(AND(Q337=0,R337&gt;0),R337*($D$301/12),Q375)</f>
        <v/>
      </c>
      <c r="S375" s="1091">
        <f>+IF(AND(R337=0,S337&gt;0),S337*($D$301/12),R375)</f>
        <v/>
      </c>
      <c r="T375" s="1091">
        <f>+IF(AND(S337=0,T337&gt;0),T337*($D$301/12),S375)</f>
        <v/>
      </c>
      <c r="U375" s="1091">
        <f>+IF(AND(T337=0,U337&gt;0),U337*($D$301/12),T375)</f>
        <v/>
      </c>
      <c r="V375" s="1091">
        <f>+IF(AND(U337=0,V337&gt;0),V337*($D$301/12),U375)</f>
        <v/>
      </c>
      <c r="W375" s="1091">
        <f>+IF(AND(V337=0,W337&gt;0),W337*($D$301/12),V375)</f>
        <v/>
      </c>
      <c r="X375" s="174">
        <f>+IF(AND(W337=0,X337&gt;0),X337*($D$301/12),W375)</f>
        <v/>
      </c>
      <c r="Y375" s="1091">
        <f>+IF(AND(X337=0,Y337&gt;0),Y337*($D$301/12),X375)</f>
        <v/>
      </c>
      <c r="Z375" s="1091">
        <f>+IF(AND(Y337=0,Z337&gt;0),Z337*($D$301/12),Y375)</f>
        <v/>
      </c>
      <c r="AA375" s="1091">
        <f>+IF(AND(Z337=0,AA337&gt;0),AA337*($D$301/12),Z375)</f>
        <v/>
      </c>
      <c r="AB375" s="1091">
        <f>+IF(AND(AA337=0,AB337&gt;0),AB337*($D$301/12),AA375)</f>
        <v/>
      </c>
      <c r="AC375" s="1091">
        <f>+IF(AND(AB337=0,AC337&gt;0),AC337*($D$301/12),AB375)</f>
        <v/>
      </c>
      <c r="AD375" s="174">
        <f>+IF(AND(AC337=0,AD337&gt;0),AD337*($D$301/12),AC375)</f>
        <v/>
      </c>
      <c r="AE375" s="1091">
        <f>+IF(AND(AD337=0,AE337&gt;0),AE337*($D$301/12),AD375)</f>
        <v/>
      </c>
      <c r="AF375" s="1091">
        <f>+IF(AND(AE337=0,AF337&gt;0),AF337*($D$301/12),AE375)</f>
        <v/>
      </c>
      <c r="AG375" s="1091">
        <f>+IF(AND(AF337=0,AG337&gt;0),AG337*($D$301/12),AF375)</f>
        <v/>
      </c>
      <c r="AH375" s="1091">
        <f>+IF(AND(AG337=0,AH337&gt;0),AH337*($D$301/12),AG375)</f>
        <v/>
      </c>
      <c r="AI375" s="1091">
        <f>+IF(AND(AH337=0,AI337&gt;0),AI337*($D$301/12),AH375)</f>
        <v/>
      </c>
      <c r="AJ375" s="174">
        <f>+IF(AND(AI337=0,AJ337&gt;0),AJ337*($D$301/12),AI375)</f>
        <v/>
      </c>
      <c r="AK375" s="1091">
        <f>+IF(AND(AJ337=0,AK337&gt;0),AK337*($D$301/12),AJ375)</f>
        <v/>
      </c>
      <c r="AL375" s="1091">
        <f>+IF(AND(AK337=0,AL337&gt;0),AL337*($D$301/12),AK375)</f>
        <v/>
      </c>
      <c r="AM375" s="1091">
        <f>+IF(AND(AL337=0,AM337&gt;0),AM337*($D$301/12),AL375)</f>
        <v/>
      </c>
      <c r="AN375" s="1091">
        <f>+IF(AND(AM337=0,AN337&gt;0),AN337*($D$301/12),AM375)</f>
        <v/>
      </c>
      <c r="AO375" s="1091">
        <f>+IF(AND(AN337=0,AO337&gt;0),AO337*($D$301/12),AN375)</f>
        <v/>
      </c>
      <c r="AP375" s="174">
        <f>+IF(AND(AO337=0,AP337&gt;0),AP337*($D$301/12),AO375)</f>
        <v/>
      </c>
      <c r="AQ375" s="1091">
        <f>+IF(AND(AP337=0,AQ337&gt;0),AQ337*($D$301/12),AP375)</f>
        <v/>
      </c>
      <c r="AR375" s="1091">
        <f>+IF(AND(AQ337=0,AR337&gt;0),AR337*($D$301/12),AQ375)</f>
        <v/>
      </c>
      <c r="AS375" s="1091">
        <f>+IF(AND(AR337=0,AS337&gt;0),AS337*($D$301/12),AR375)</f>
        <v/>
      </c>
      <c r="AT375" s="1091">
        <f>+IF(AND(AS337=0,AT337&gt;0),AT337*($D$301/12),AS375)</f>
        <v/>
      </c>
      <c r="AU375" s="1091">
        <f>+IF(AND(AT337=0,AU337&gt;0),AU337*($D$301/12),AT375)</f>
        <v/>
      </c>
      <c r="AV375" s="174">
        <f>+IF(AND(AU337=0,AV337&gt;0),AV337*($D$301/12),AU375)</f>
        <v/>
      </c>
      <c r="AW375" s="1091">
        <f>+IF(AND(AV337=0,AW337&gt;0),AW337*($D$301/12),AV375)</f>
        <v/>
      </c>
      <c r="AX375" s="1091">
        <f>+IF(AND(AW337=0,AX337&gt;0),AX337*($D$301/12),AW375)</f>
        <v/>
      </c>
      <c r="AY375" s="1091">
        <f>+IF(AND(AX337=0,AY337&gt;0),AY337*($D$301/12),AX375)</f>
        <v/>
      </c>
      <c r="AZ375" s="1091">
        <f>+IF(AND(AY337=0,AZ337&gt;0),AZ337*($D$301/12),AY375)</f>
        <v/>
      </c>
      <c r="BA375" s="1091">
        <f>+IF(AND(AZ337=0,BA337&gt;0),BA337*($D$301/12),AZ375)</f>
        <v/>
      </c>
      <c r="BB375" s="174">
        <f>+IF(AND(BA337=0,BB337&gt;0),BB337*($D$301/12),BA375)</f>
        <v/>
      </c>
      <c r="BC375" s="1091">
        <f>+IF(AND(BB337=0,BC337&gt;0),BC337*($D$301/12),BB375)</f>
        <v/>
      </c>
      <c r="BD375" s="1091">
        <f>+IF(AND(BC337=0,BD337&gt;0),BD337*($D$301/12),BC375)</f>
        <v/>
      </c>
      <c r="BE375" s="1091">
        <f>+IF(AND(BD337=0,BE337&gt;0),BE337*($D$301/12),BD375)</f>
        <v/>
      </c>
      <c r="BF375" s="1091">
        <f>+IF(AND(BE337=0,BF337&gt;0),BF337*($D$301/12),BE375)</f>
        <v/>
      </c>
      <c r="BG375" s="1091">
        <f>+IF(AND(BF337=0,BG337&gt;0),BG337*($D$301/12),BF375)</f>
        <v/>
      </c>
      <c r="BH375" s="174">
        <f>+IF(AND(BG337=0,BH337&gt;0),BH337*($D$301/12),BG375)</f>
        <v/>
      </c>
      <c r="BI375" s="1091">
        <f>+IF(AND(BH337=0,BI337&gt;0),BI337*($D$301/12),BH375)</f>
        <v/>
      </c>
      <c r="BJ375" s="1091">
        <f>+IF(AND(BI337=0,BJ337&gt;0),BJ337*($D$301/12),BI375)</f>
        <v/>
      </c>
      <c r="BK375" s="1091">
        <f>+IF(AND(BJ337=0,BK337&gt;0),BK337*($D$301/12),BJ375)</f>
        <v/>
      </c>
      <c r="BL375" s="1091">
        <f>+IF(AND(BK337=0,BL337&gt;0),BL337*($D$301/12),BK375)</f>
        <v/>
      </c>
      <c r="BM375" s="1091">
        <f>+IF(AND(BL337=0,BM337&gt;0),BM337*($D$301/12),BL375)</f>
        <v/>
      </c>
      <c r="BN375" s="174">
        <f>+IF(AND(BM337=0,BN337&gt;0),BN337*($D$301/12),BM375)</f>
        <v/>
      </c>
    </row>
    <row r="376" ht="12.75" customHeight="1" s="1883">
      <c r="C376" s="1157" t="inlineStr">
        <is>
          <t>Amortization Expense - 24</t>
        </is>
      </c>
      <c r="D376" s="670" t="n"/>
      <c r="E376" s="671" t="n"/>
      <c r="F376" s="74" t="n"/>
      <c r="G376" s="1091">
        <f>+IF(AND(F338=0,G338&gt;0),G338*($D$301/12),F376)</f>
        <v/>
      </c>
      <c r="H376" s="1091">
        <f>+IF(AND(G338=0,H338&gt;0),H338*($D$301/12),G376)</f>
        <v/>
      </c>
      <c r="I376" s="1091">
        <f>+IF(AND(H338=0,I338&gt;0),I338*($D$301/12),H376)</f>
        <v/>
      </c>
      <c r="J376" s="1091">
        <f>+IF(AND(I338=0,J338&gt;0),J338*($D$301/12),I376)</f>
        <v/>
      </c>
      <c r="K376" s="1091">
        <f>+IF(AND(J338=0,K338&gt;0),K338*($D$301/12),J376)</f>
        <v/>
      </c>
      <c r="L376" s="174">
        <f>+IF(AND(K338=0,L338&gt;0),L338*($D$301/12),K376)</f>
        <v/>
      </c>
      <c r="M376" s="1091">
        <f>+IF(AND(L338=0,M338&gt;0),M338*($D$301/12),L376)</f>
        <v/>
      </c>
      <c r="N376" s="1091">
        <f>+IF(AND(M338=0,N338&gt;0),N338*($D$301/12),M376)</f>
        <v/>
      </c>
      <c r="O376" s="1091">
        <f>+IF(AND(N338=0,O338&gt;0),O338*($D$301/12),N376)</f>
        <v/>
      </c>
      <c r="P376" s="1091">
        <f>+IF(AND(O338=0,P338&gt;0),P338*($D$301/12),O376)</f>
        <v/>
      </c>
      <c r="Q376" s="1091">
        <f>+IF(AND(P338=0,Q338&gt;0),Q338*($D$301/12),P376)</f>
        <v/>
      </c>
      <c r="R376" s="174">
        <f>+IF(AND(Q338=0,R338&gt;0),R338*($D$301/12),Q376)</f>
        <v/>
      </c>
      <c r="S376" s="1091">
        <f>+IF(AND(R338=0,S338&gt;0),S338*($D$301/12),R376)</f>
        <v/>
      </c>
      <c r="T376" s="1091">
        <f>+IF(AND(S338=0,T338&gt;0),T338*($D$301/12),S376)</f>
        <v/>
      </c>
      <c r="U376" s="1091">
        <f>+IF(AND(T338=0,U338&gt;0),U338*($D$301/12),T376)</f>
        <v/>
      </c>
      <c r="V376" s="1091">
        <f>+IF(AND(U338=0,V338&gt;0),V338*($D$301/12),U376)</f>
        <v/>
      </c>
      <c r="W376" s="1091">
        <f>+IF(AND(V338=0,W338&gt;0),W338*($D$301/12),V376)</f>
        <v/>
      </c>
      <c r="X376" s="174">
        <f>+IF(AND(W338=0,X338&gt;0),X338*($D$301/12),W376)</f>
        <v/>
      </c>
      <c r="Y376" s="1091">
        <f>+IF(AND(X338=0,Y338&gt;0),Y338*($D$301/12),X376)</f>
        <v/>
      </c>
      <c r="Z376" s="1091">
        <f>+IF(AND(Y338=0,Z338&gt;0),Z338*($D$301/12),Y376)</f>
        <v/>
      </c>
      <c r="AA376" s="1091">
        <f>+IF(AND(Z338=0,AA338&gt;0),AA338*($D$301/12),Z376)</f>
        <v/>
      </c>
      <c r="AB376" s="1091">
        <f>+IF(AND(AA338=0,AB338&gt;0),AB338*($D$301/12),AA376)</f>
        <v/>
      </c>
      <c r="AC376" s="1091">
        <f>+IF(AND(AB338=0,AC338&gt;0),AC338*($D$301/12),AB376)</f>
        <v/>
      </c>
      <c r="AD376" s="174">
        <f>+IF(AND(AC338=0,AD338&gt;0),AD338*($D$301/12),AC376)</f>
        <v/>
      </c>
      <c r="AE376" s="1091">
        <f>+IF(AND(AD338=0,AE338&gt;0),AE338*($D$301/12),AD376)</f>
        <v/>
      </c>
      <c r="AF376" s="1091">
        <f>+IF(AND(AE338=0,AF338&gt;0),AF338*($D$301/12),AE376)</f>
        <v/>
      </c>
      <c r="AG376" s="1091">
        <f>+IF(AND(AF338=0,AG338&gt;0),AG338*($D$301/12),AF376)</f>
        <v/>
      </c>
      <c r="AH376" s="1091">
        <f>+IF(AND(AG338=0,AH338&gt;0),AH338*($D$301/12),AG376)</f>
        <v/>
      </c>
      <c r="AI376" s="1091">
        <f>+IF(AND(AH338=0,AI338&gt;0),AI338*($D$301/12),AH376)</f>
        <v/>
      </c>
      <c r="AJ376" s="174">
        <f>+IF(AND(AI338=0,AJ338&gt;0),AJ338*($D$301/12),AI376)</f>
        <v/>
      </c>
      <c r="AK376" s="1091">
        <f>+IF(AND(AJ338=0,AK338&gt;0),AK338*($D$301/12),AJ376)</f>
        <v/>
      </c>
      <c r="AL376" s="1091">
        <f>+IF(AND(AK338=0,AL338&gt;0),AL338*($D$301/12),AK376)</f>
        <v/>
      </c>
      <c r="AM376" s="1091">
        <f>+IF(AND(AL338=0,AM338&gt;0),AM338*($D$301/12),AL376)</f>
        <v/>
      </c>
      <c r="AN376" s="1091">
        <f>+IF(AND(AM338=0,AN338&gt;0),AN338*($D$301/12),AM376)</f>
        <v/>
      </c>
      <c r="AO376" s="1091">
        <f>+IF(AND(AN338=0,AO338&gt;0),AO338*($D$301/12),AN376)</f>
        <v/>
      </c>
      <c r="AP376" s="174">
        <f>+IF(AND(AO338=0,AP338&gt;0),AP338*($D$301/12),AO376)</f>
        <v/>
      </c>
      <c r="AQ376" s="1091">
        <f>+IF(AND(AP338=0,AQ338&gt;0),AQ338*($D$301/12),AP376)</f>
        <v/>
      </c>
      <c r="AR376" s="1091">
        <f>+IF(AND(AQ338=0,AR338&gt;0),AR338*($D$301/12),AQ376)</f>
        <v/>
      </c>
      <c r="AS376" s="1091">
        <f>+IF(AND(AR338=0,AS338&gt;0),AS338*($D$301/12),AR376)</f>
        <v/>
      </c>
      <c r="AT376" s="1091">
        <f>+IF(AND(AS338=0,AT338&gt;0),AT338*($D$301/12),AS376)</f>
        <v/>
      </c>
      <c r="AU376" s="1091">
        <f>+IF(AND(AT338=0,AU338&gt;0),AU338*($D$301/12),AT376)</f>
        <v/>
      </c>
      <c r="AV376" s="174">
        <f>+IF(AND(AU338=0,AV338&gt;0),AV338*($D$301/12),AU376)</f>
        <v/>
      </c>
      <c r="AW376" s="1091">
        <f>+IF(AND(AV338=0,AW338&gt;0),AW338*($D$301/12),AV376)</f>
        <v/>
      </c>
      <c r="AX376" s="1091">
        <f>+IF(AND(AW338=0,AX338&gt;0),AX338*($D$301/12),AW376)</f>
        <v/>
      </c>
      <c r="AY376" s="1091">
        <f>+IF(AND(AX338=0,AY338&gt;0),AY338*($D$301/12),AX376)</f>
        <v/>
      </c>
      <c r="AZ376" s="1091">
        <f>+IF(AND(AY338=0,AZ338&gt;0),AZ338*($D$301/12),AY376)</f>
        <v/>
      </c>
      <c r="BA376" s="1091">
        <f>+IF(AND(AZ338=0,BA338&gt;0),BA338*($D$301/12),AZ376)</f>
        <v/>
      </c>
      <c r="BB376" s="174">
        <f>+IF(AND(BA338=0,BB338&gt;0),BB338*($D$301/12),BA376)</f>
        <v/>
      </c>
      <c r="BC376" s="1091">
        <f>+IF(AND(BB338=0,BC338&gt;0),BC338*($D$301/12),BB376)</f>
        <v/>
      </c>
      <c r="BD376" s="1091">
        <f>+IF(AND(BC338=0,BD338&gt;0),BD338*($D$301/12),BC376)</f>
        <v/>
      </c>
      <c r="BE376" s="1091">
        <f>+IF(AND(BD338=0,BE338&gt;0),BE338*($D$301/12),BD376)</f>
        <v/>
      </c>
      <c r="BF376" s="1091">
        <f>+IF(AND(BE338=0,BF338&gt;0),BF338*($D$301/12),BE376)</f>
        <v/>
      </c>
      <c r="BG376" s="1091">
        <f>+IF(AND(BF338=0,BG338&gt;0),BG338*($D$301/12),BF376)</f>
        <v/>
      </c>
      <c r="BH376" s="174">
        <f>+IF(AND(BG338=0,BH338&gt;0),BH338*($D$301/12),BG376)</f>
        <v/>
      </c>
      <c r="BI376" s="1091">
        <f>+IF(AND(BH338=0,BI338&gt;0),BI338*($D$301/12),BH376)</f>
        <v/>
      </c>
      <c r="BJ376" s="1091">
        <f>+IF(AND(BI338=0,BJ338&gt;0),BJ338*($D$301/12),BI376)</f>
        <v/>
      </c>
      <c r="BK376" s="1091">
        <f>+IF(AND(BJ338=0,BK338&gt;0),BK338*($D$301/12),BJ376)</f>
        <v/>
      </c>
      <c r="BL376" s="1091">
        <f>+IF(AND(BK338=0,BL338&gt;0),BL338*($D$301/12),BK376)</f>
        <v/>
      </c>
      <c r="BM376" s="1091">
        <f>+IF(AND(BL338=0,BM338&gt;0),BM338*($D$301/12),BL376)</f>
        <v/>
      </c>
      <c r="BN376" s="174">
        <f>+IF(AND(BM338=0,BN338&gt;0),BN338*($D$301/12),BM376)</f>
        <v/>
      </c>
    </row>
    <row r="377" ht="12.75" customHeight="1" s="1883">
      <c r="C377" s="1157" t="inlineStr">
        <is>
          <t>Amortization Expense - 25</t>
        </is>
      </c>
      <c r="D377" s="670" t="n"/>
      <c r="E377" s="671" t="n"/>
      <c r="F377" s="74" t="n"/>
      <c r="G377" s="1091">
        <f>+IF(AND(F339=0,G339&gt;0),G339*($D$301/12),F377)</f>
        <v/>
      </c>
      <c r="H377" s="1091">
        <f>+IF(AND(G339=0,H339&gt;0),H339*($D$301/12),G377)</f>
        <v/>
      </c>
      <c r="I377" s="1091">
        <f>+IF(AND(H339=0,I339&gt;0),I339*($D$301/12),H377)</f>
        <v/>
      </c>
      <c r="J377" s="1091">
        <f>+IF(AND(I339=0,J339&gt;0),J339*($D$301/12),I377)</f>
        <v/>
      </c>
      <c r="K377" s="1091">
        <f>+IF(AND(J339=0,K339&gt;0),K339*($D$301/12),J377)</f>
        <v/>
      </c>
      <c r="L377" s="174">
        <f>+IF(AND(K339=0,L339&gt;0),L339*($D$301/12),K377)</f>
        <v/>
      </c>
      <c r="M377" s="1091">
        <f>+IF(AND(L339=0,M339&gt;0),M339*($D$301/12),L377)</f>
        <v/>
      </c>
      <c r="N377" s="1091">
        <f>+IF(AND(M339=0,N339&gt;0),N339*($D$301/12),M377)</f>
        <v/>
      </c>
      <c r="O377" s="1091">
        <f>+IF(AND(N339=0,O339&gt;0),O339*($D$301/12),N377)</f>
        <v/>
      </c>
      <c r="P377" s="1091">
        <f>+IF(AND(O339=0,P339&gt;0),P339*($D$301/12),O377)</f>
        <v/>
      </c>
      <c r="Q377" s="1091">
        <f>+IF(AND(P339=0,Q339&gt;0),Q339*($D$301/12),P377)</f>
        <v/>
      </c>
      <c r="R377" s="174">
        <f>+IF(AND(Q339=0,R339&gt;0),R339*($D$301/12),Q377)</f>
        <v/>
      </c>
      <c r="S377" s="1091">
        <f>+IF(AND(R339=0,S339&gt;0),S339*($D$301/12),R377)</f>
        <v/>
      </c>
      <c r="T377" s="1091">
        <f>+IF(AND(S339=0,T339&gt;0),T339*($D$301/12),S377)</f>
        <v/>
      </c>
      <c r="U377" s="1091">
        <f>+IF(AND(T339=0,U339&gt;0),U339*($D$301/12),T377)</f>
        <v/>
      </c>
      <c r="V377" s="1091">
        <f>+IF(AND(U339=0,V339&gt;0),V339*($D$301/12),U377)</f>
        <v/>
      </c>
      <c r="W377" s="1091">
        <f>+IF(AND(V339=0,W339&gt;0),W339*($D$301/12),V377)</f>
        <v/>
      </c>
      <c r="X377" s="174">
        <f>+IF(AND(W339=0,X339&gt;0),X339*($D$301/12),W377)</f>
        <v/>
      </c>
      <c r="Y377" s="1091">
        <f>+IF(AND(X339=0,Y339&gt;0),Y339*($D$301/12),X377)</f>
        <v/>
      </c>
      <c r="Z377" s="1091">
        <f>+IF(AND(Y339=0,Z339&gt;0),Z339*($D$301/12),Y377)</f>
        <v/>
      </c>
      <c r="AA377" s="1091">
        <f>+IF(AND(Z339=0,AA339&gt;0),AA339*($D$301/12),Z377)</f>
        <v/>
      </c>
      <c r="AB377" s="1091">
        <f>+IF(AND(AA339=0,AB339&gt;0),AB339*($D$301/12),AA377)</f>
        <v/>
      </c>
      <c r="AC377" s="1091">
        <f>+IF(AND(AB339=0,AC339&gt;0),AC339*($D$301/12),AB377)</f>
        <v/>
      </c>
      <c r="AD377" s="174">
        <f>+IF(AND(AC339=0,AD339&gt;0),AD339*($D$301/12),AC377)</f>
        <v/>
      </c>
      <c r="AE377" s="1091">
        <f>+IF(AND(AD339=0,AE339&gt;0),AE339*($D$301/12),AD377)</f>
        <v/>
      </c>
      <c r="AF377" s="1091">
        <f>+IF(AND(AE339=0,AF339&gt;0),AF339*($D$301/12),AE377)</f>
        <v/>
      </c>
      <c r="AG377" s="1091">
        <f>+IF(AND(AF339=0,AG339&gt;0),AG339*($D$301/12),AF377)</f>
        <v/>
      </c>
      <c r="AH377" s="1091">
        <f>+IF(AND(AG339=0,AH339&gt;0),AH339*($D$301/12),AG377)</f>
        <v/>
      </c>
      <c r="AI377" s="1091">
        <f>+IF(AND(AH339=0,AI339&gt;0),AI339*($D$301/12),AH377)</f>
        <v/>
      </c>
      <c r="AJ377" s="174">
        <f>+IF(AND(AI339=0,AJ339&gt;0),AJ339*($D$301/12),AI377)</f>
        <v/>
      </c>
      <c r="AK377" s="1091">
        <f>+IF(AND(AJ339=0,AK339&gt;0),AK339*($D$301/12),AJ377)</f>
        <v/>
      </c>
      <c r="AL377" s="1091">
        <f>+IF(AND(AK339=0,AL339&gt;0),AL339*($D$301/12),AK377)</f>
        <v/>
      </c>
      <c r="AM377" s="1091">
        <f>+IF(AND(AL339=0,AM339&gt;0),AM339*($D$301/12),AL377)</f>
        <v/>
      </c>
      <c r="AN377" s="1091">
        <f>+IF(AND(AM339=0,AN339&gt;0),AN339*($D$301/12),AM377)</f>
        <v/>
      </c>
      <c r="AO377" s="1091">
        <f>+IF(AND(AN339=0,AO339&gt;0),AO339*($D$301/12),AN377)</f>
        <v/>
      </c>
      <c r="AP377" s="174">
        <f>+IF(AND(AO339=0,AP339&gt;0),AP339*($D$301/12),AO377)</f>
        <v/>
      </c>
      <c r="AQ377" s="1091">
        <f>+IF(AND(AP339=0,AQ339&gt;0),AQ339*($D$301/12),AP377)</f>
        <v/>
      </c>
      <c r="AR377" s="1091">
        <f>+IF(AND(AQ339=0,AR339&gt;0),AR339*($D$301/12),AQ377)</f>
        <v/>
      </c>
      <c r="AS377" s="1091">
        <f>+IF(AND(AR339=0,AS339&gt;0),AS339*($D$301/12),AR377)</f>
        <v/>
      </c>
      <c r="AT377" s="1091">
        <f>+IF(AND(AS339=0,AT339&gt;0),AT339*($D$301/12),AS377)</f>
        <v/>
      </c>
      <c r="AU377" s="1091">
        <f>+IF(AND(AT339=0,AU339&gt;0),AU339*($D$301/12),AT377)</f>
        <v/>
      </c>
      <c r="AV377" s="174">
        <f>+IF(AND(AU339=0,AV339&gt;0),AV339*($D$301/12),AU377)</f>
        <v/>
      </c>
      <c r="AW377" s="1091">
        <f>+IF(AND(AV339=0,AW339&gt;0),AW339*($D$301/12),AV377)</f>
        <v/>
      </c>
      <c r="AX377" s="1091">
        <f>+IF(AND(AW339=0,AX339&gt;0),AX339*($D$301/12),AW377)</f>
        <v/>
      </c>
      <c r="AY377" s="1091">
        <f>+IF(AND(AX339=0,AY339&gt;0),AY339*($D$301/12),AX377)</f>
        <v/>
      </c>
      <c r="AZ377" s="1091">
        <f>+IF(AND(AY339=0,AZ339&gt;0),AZ339*($D$301/12),AY377)</f>
        <v/>
      </c>
      <c r="BA377" s="1091">
        <f>+IF(AND(AZ339=0,BA339&gt;0),BA339*($D$301/12),AZ377)</f>
        <v/>
      </c>
      <c r="BB377" s="174">
        <f>+IF(AND(BA339=0,BB339&gt;0),BB339*($D$301/12),BA377)</f>
        <v/>
      </c>
      <c r="BC377" s="1091">
        <f>+IF(AND(BB339=0,BC339&gt;0),BC339*($D$301/12),BB377)</f>
        <v/>
      </c>
      <c r="BD377" s="1091">
        <f>+IF(AND(BC339=0,BD339&gt;0),BD339*($D$301/12),BC377)</f>
        <v/>
      </c>
      <c r="BE377" s="1091">
        <f>+IF(AND(BD339=0,BE339&gt;0),BE339*($D$301/12),BD377)</f>
        <v/>
      </c>
      <c r="BF377" s="1091">
        <f>+IF(AND(BE339=0,BF339&gt;0),BF339*($D$301/12),BE377)</f>
        <v/>
      </c>
      <c r="BG377" s="1091">
        <f>+IF(AND(BF339=0,BG339&gt;0),BG339*($D$301/12),BF377)</f>
        <v/>
      </c>
      <c r="BH377" s="174">
        <f>+IF(AND(BG339=0,BH339&gt;0),BH339*($D$301/12),BG377)</f>
        <v/>
      </c>
      <c r="BI377" s="1091">
        <f>+IF(AND(BH339=0,BI339&gt;0),BI339*($D$301/12),BH377)</f>
        <v/>
      </c>
      <c r="BJ377" s="1091">
        <f>+IF(AND(BI339=0,BJ339&gt;0),BJ339*($D$301/12),BI377)</f>
        <v/>
      </c>
      <c r="BK377" s="1091">
        <f>+IF(AND(BJ339=0,BK339&gt;0),BK339*($D$301/12),BJ377)</f>
        <v/>
      </c>
      <c r="BL377" s="1091">
        <f>+IF(AND(BK339=0,BL339&gt;0),BL339*($D$301/12),BK377)</f>
        <v/>
      </c>
      <c r="BM377" s="1091">
        <f>+IF(AND(BL339=0,BM339&gt;0),BM339*($D$301/12),BL377)</f>
        <v/>
      </c>
      <c r="BN377" s="174">
        <f>+IF(AND(BM339=0,BN339&gt;0),BN339*($D$301/12),BM377)</f>
        <v/>
      </c>
    </row>
    <row r="378" ht="12.75" customHeight="1" s="1883">
      <c r="C378" s="1157" t="inlineStr">
        <is>
          <t>Amortization Expense - 26</t>
        </is>
      </c>
      <c r="D378" s="670" t="n"/>
      <c r="E378" s="671" t="n"/>
      <c r="F378" s="74" t="n"/>
      <c r="G378" s="1091">
        <f>+IF(AND(F340=0,G340&gt;0),G340*($D$301/12),F378)</f>
        <v/>
      </c>
      <c r="H378" s="1091">
        <f>+IF(AND(G340=0,H340&gt;0),H340*($D$301/12),G378)</f>
        <v/>
      </c>
      <c r="I378" s="1091">
        <f>+IF(AND(H340=0,I340&gt;0),I340*($D$301/12),H378)</f>
        <v/>
      </c>
      <c r="J378" s="1091">
        <f>+IF(AND(I340=0,J340&gt;0),J340*($D$301/12),I378)</f>
        <v/>
      </c>
      <c r="K378" s="1091">
        <f>+IF(AND(J340=0,K340&gt;0),K340*($D$301/12),J378)</f>
        <v/>
      </c>
      <c r="L378" s="174">
        <f>+IF(AND(K340=0,L340&gt;0),L340*($D$301/12),K378)</f>
        <v/>
      </c>
      <c r="M378" s="1091">
        <f>+IF(AND(L340=0,M340&gt;0),M340*($D$301/12),L378)</f>
        <v/>
      </c>
      <c r="N378" s="1091">
        <f>+IF(AND(M340=0,N340&gt;0),N340*($D$301/12),M378)</f>
        <v/>
      </c>
      <c r="O378" s="1091">
        <f>+IF(AND(N340=0,O340&gt;0),O340*($D$301/12),N378)</f>
        <v/>
      </c>
      <c r="P378" s="1091">
        <f>+IF(AND(O340=0,P340&gt;0),P340*($D$301/12),O378)</f>
        <v/>
      </c>
      <c r="Q378" s="1091">
        <f>+IF(AND(P340=0,Q340&gt;0),Q340*($D$301/12),P378)</f>
        <v/>
      </c>
      <c r="R378" s="174">
        <f>+IF(AND(Q340=0,R340&gt;0),R340*($D$301/12),Q378)</f>
        <v/>
      </c>
      <c r="S378" s="1091">
        <f>+IF(AND(R340=0,S340&gt;0),S340*($D$301/12),R378)</f>
        <v/>
      </c>
      <c r="T378" s="1091">
        <f>+IF(AND(S340=0,T340&gt;0),T340*($D$301/12),S378)</f>
        <v/>
      </c>
      <c r="U378" s="1091">
        <f>+IF(AND(T340=0,U340&gt;0),U340*($D$301/12),T378)</f>
        <v/>
      </c>
      <c r="V378" s="1091">
        <f>+IF(AND(U340=0,V340&gt;0),V340*($D$301/12),U378)</f>
        <v/>
      </c>
      <c r="W378" s="1091">
        <f>+IF(AND(V340=0,W340&gt;0),W340*($D$301/12),V378)</f>
        <v/>
      </c>
      <c r="X378" s="174">
        <f>+IF(AND(W340=0,X340&gt;0),X340*($D$301/12),W378)</f>
        <v/>
      </c>
      <c r="Y378" s="1091">
        <f>+IF(AND(X340=0,Y340&gt;0),Y340*($D$301/12),X378)</f>
        <v/>
      </c>
      <c r="Z378" s="1091">
        <f>+IF(AND(Y340=0,Z340&gt;0),Z340*($D$301/12),Y378)</f>
        <v/>
      </c>
      <c r="AA378" s="1091">
        <f>+IF(AND(Z340=0,AA340&gt;0),AA340*($D$301/12),Z378)</f>
        <v/>
      </c>
      <c r="AB378" s="1091">
        <f>+IF(AND(AA340=0,AB340&gt;0),AB340*($D$301/12),AA378)</f>
        <v/>
      </c>
      <c r="AC378" s="1091">
        <f>+IF(AND(AB340=0,AC340&gt;0),AC340*($D$301/12),AB378)</f>
        <v/>
      </c>
      <c r="AD378" s="174">
        <f>+IF(AND(AC340=0,AD340&gt;0),AD340*($D$301/12),AC378)</f>
        <v/>
      </c>
      <c r="AE378" s="1091">
        <f>+IF(AND(AD340=0,AE340&gt;0),AE340*($D$301/12),AD378)</f>
        <v/>
      </c>
      <c r="AF378" s="1091">
        <f>+IF(AND(AE340=0,AF340&gt;0),AF340*($D$301/12),AE378)</f>
        <v/>
      </c>
      <c r="AG378" s="1091">
        <f>+IF(AND(AF340=0,AG340&gt;0),AG340*($D$301/12),AF378)</f>
        <v/>
      </c>
      <c r="AH378" s="1091">
        <f>+IF(AND(AG340=0,AH340&gt;0),AH340*($D$301/12),AG378)</f>
        <v/>
      </c>
      <c r="AI378" s="1091">
        <f>+IF(AND(AH340=0,AI340&gt;0),AI340*($D$301/12),AH378)</f>
        <v/>
      </c>
      <c r="AJ378" s="174">
        <f>+IF(AND(AI340=0,AJ340&gt;0),AJ340*($D$301/12),AI378)</f>
        <v/>
      </c>
      <c r="AK378" s="1091">
        <f>+IF(AND(AJ340=0,AK340&gt;0),AK340*($D$301/12),AJ378)</f>
        <v/>
      </c>
      <c r="AL378" s="1091">
        <f>+IF(AND(AK340=0,AL340&gt;0),AL340*($D$301/12),AK378)</f>
        <v/>
      </c>
      <c r="AM378" s="1091">
        <f>+IF(AND(AL340=0,AM340&gt;0),AM340*($D$301/12),AL378)</f>
        <v/>
      </c>
      <c r="AN378" s="1091">
        <f>+IF(AND(AM340=0,AN340&gt;0),AN340*($D$301/12),AM378)</f>
        <v/>
      </c>
      <c r="AO378" s="1091">
        <f>+IF(AND(AN340=0,AO340&gt;0),AO340*($D$301/12),AN378)</f>
        <v/>
      </c>
      <c r="AP378" s="174">
        <f>+IF(AND(AO340=0,AP340&gt;0),AP340*($D$301/12),AO378)</f>
        <v/>
      </c>
      <c r="AQ378" s="1091">
        <f>+IF(AND(AP340=0,AQ340&gt;0),AQ340*($D$301/12),AP378)</f>
        <v/>
      </c>
      <c r="AR378" s="1091">
        <f>+IF(AND(AQ340=0,AR340&gt;0),AR340*($D$301/12),AQ378)</f>
        <v/>
      </c>
      <c r="AS378" s="1091">
        <f>+IF(AND(AR340=0,AS340&gt;0),AS340*($D$301/12),AR378)</f>
        <v/>
      </c>
      <c r="AT378" s="1091">
        <f>+IF(AND(AS340=0,AT340&gt;0),AT340*($D$301/12),AS378)</f>
        <v/>
      </c>
      <c r="AU378" s="1091">
        <f>+IF(AND(AT340=0,AU340&gt;0),AU340*($D$301/12),AT378)</f>
        <v/>
      </c>
      <c r="AV378" s="174">
        <f>+IF(AND(AU340=0,AV340&gt;0),AV340*($D$301/12),AU378)</f>
        <v/>
      </c>
      <c r="AW378" s="1091">
        <f>+IF(AND(AV340=0,AW340&gt;0),AW340*($D$301/12),AV378)</f>
        <v/>
      </c>
      <c r="AX378" s="1091">
        <f>+IF(AND(AW340=0,AX340&gt;0),AX340*($D$301/12),AW378)</f>
        <v/>
      </c>
      <c r="AY378" s="1091">
        <f>+IF(AND(AX340=0,AY340&gt;0),AY340*($D$301/12),AX378)</f>
        <v/>
      </c>
      <c r="AZ378" s="1091">
        <f>+IF(AND(AY340=0,AZ340&gt;0),AZ340*($D$301/12),AY378)</f>
        <v/>
      </c>
      <c r="BA378" s="1091">
        <f>+IF(AND(AZ340=0,BA340&gt;0),BA340*($D$301/12),AZ378)</f>
        <v/>
      </c>
      <c r="BB378" s="174">
        <f>+IF(AND(BA340=0,BB340&gt;0),BB340*($D$301/12),BA378)</f>
        <v/>
      </c>
      <c r="BC378" s="1091">
        <f>+IF(AND(BB340=0,BC340&gt;0),BC340*($D$301/12),BB378)</f>
        <v/>
      </c>
      <c r="BD378" s="1091">
        <f>+IF(AND(BC340=0,BD340&gt;0),BD340*($D$301/12),BC378)</f>
        <v/>
      </c>
      <c r="BE378" s="1091">
        <f>+IF(AND(BD340=0,BE340&gt;0),BE340*($D$301/12),BD378)</f>
        <v/>
      </c>
      <c r="BF378" s="1091">
        <f>+IF(AND(BE340=0,BF340&gt;0),BF340*($D$301/12),BE378)</f>
        <v/>
      </c>
      <c r="BG378" s="1091">
        <f>+IF(AND(BF340=0,BG340&gt;0),BG340*($D$301/12),BF378)</f>
        <v/>
      </c>
      <c r="BH378" s="174">
        <f>+IF(AND(BG340=0,BH340&gt;0),BH340*($D$301/12),BG378)</f>
        <v/>
      </c>
      <c r="BI378" s="1091">
        <f>+IF(AND(BH340=0,BI340&gt;0),BI340*($D$301/12),BH378)</f>
        <v/>
      </c>
      <c r="BJ378" s="1091">
        <f>+IF(AND(BI340=0,BJ340&gt;0),BJ340*($D$301/12),BI378)</f>
        <v/>
      </c>
      <c r="BK378" s="1091">
        <f>+IF(AND(BJ340=0,BK340&gt;0),BK340*($D$301/12),BJ378)</f>
        <v/>
      </c>
      <c r="BL378" s="1091">
        <f>+IF(AND(BK340=0,BL340&gt;0),BL340*($D$301/12),BK378)</f>
        <v/>
      </c>
      <c r="BM378" s="1091">
        <f>+IF(AND(BL340=0,BM340&gt;0),BM340*($D$301/12),BL378)</f>
        <v/>
      </c>
      <c r="BN378" s="174">
        <f>+IF(AND(BM340=0,BN340&gt;0),BN340*($D$301/12),BM378)</f>
        <v/>
      </c>
    </row>
    <row r="379" ht="12.75" customHeight="1" s="1883">
      <c r="C379" s="1157" t="inlineStr">
        <is>
          <t>Amortization Expense - 27</t>
        </is>
      </c>
      <c r="D379" s="670" t="n"/>
      <c r="E379" s="671" t="n"/>
      <c r="F379" s="74" t="n"/>
      <c r="G379" s="1091">
        <f>+IF(AND(F341=0,G341&gt;0),G341*($D$301/12),F379)</f>
        <v/>
      </c>
      <c r="H379" s="1091">
        <f>+IF(AND(G341=0,H341&gt;0),H341*($D$301/12),G379)</f>
        <v/>
      </c>
      <c r="I379" s="1091">
        <f>+IF(AND(H341=0,I341&gt;0),I341*($D$301/12),H379)</f>
        <v/>
      </c>
      <c r="J379" s="1091">
        <f>+IF(AND(I341=0,J341&gt;0),J341*($D$301/12),I379)</f>
        <v/>
      </c>
      <c r="K379" s="1091">
        <f>+IF(AND(J341=0,K341&gt;0),K341*($D$301/12),J379)</f>
        <v/>
      </c>
      <c r="L379" s="174">
        <f>+IF(AND(K341=0,L341&gt;0),L341*($D$301/12),K379)</f>
        <v/>
      </c>
      <c r="M379" s="1091">
        <f>+IF(AND(L341=0,M341&gt;0),M341*($D$301/12),L379)</f>
        <v/>
      </c>
      <c r="N379" s="1091">
        <f>+IF(AND(M341=0,N341&gt;0),N341*($D$301/12),M379)</f>
        <v/>
      </c>
      <c r="O379" s="1091">
        <f>+IF(AND(N341=0,O341&gt;0),O341*($D$301/12),N379)</f>
        <v/>
      </c>
      <c r="P379" s="1091">
        <f>+IF(AND(O341=0,P341&gt;0),P341*($D$301/12),O379)</f>
        <v/>
      </c>
      <c r="Q379" s="1091">
        <f>+IF(AND(P341=0,Q341&gt;0),Q341*($D$301/12),P379)</f>
        <v/>
      </c>
      <c r="R379" s="174">
        <f>+IF(AND(Q341=0,R341&gt;0),R341*($D$301/12),Q379)</f>
        <v/>
      </c>
      <c r="S379" s="1091">
        <f>+IF(AND(R341=0,S341&gt;0),S341*($D$301/12),R379)</f>
        <v/>
      </c>
      <c r="T379" s="1091">
        <f>+IF(AND(S341=0,T341&gt;0),T341*($D$301/12),S379)</f>
        <v/>
      </c>
      <c r="U379" s="1091">
        <f>+IF(AND(T341=0,U341&gt;0),U341*($D$301/12),T379)</f>
        <v/>
      </c>
      <c r="V379" s="1091">
        <f>+IF(AND(U341=0,V341&gt;0),V341*($D$301/12),U379)</f>
        <v/>
      </c>
      <c r="W379" s="1091">
        <f>+IF(AND(V341=0,W341&gt;0),W341*($D$301/12),V379)</f>
        <v/>
      </c>
      <c r="X379" s="174">
        <f>+IF(AND(W341=0,X341&gt;0),X341*($D$301/12),W379)</f>
        <v/>
      </c>
      <c r="Y379" s="1091">
        <f>+IF(AND(X341=0,Y341&gt;0),Y341*($D$301/12),X379)</f>
        <v/>
      </c>
      <c r="Z379" s="1091">
        <f>+IF(AND(Y341=0,Z341&gt;0),Z341*($D$301/12),Y379)</f>
        <v/>
      </c>
      <c r="AA379" s="1091">
        <f>+IF(AND(Z341=0,AA341&gt;0),AA341*($D$301/12),Z379)</f>
        <v/>
      </c>
      <c r="AB379" s="1091">
        <f>+IF(AND(AA341=0,AB341&gt;0),AB341*($D$301/12),AA379)</f>
        <v/>
      </c>
      <c r="AC379" s="1091">
        <f>+IF(AND(AB341=0,AC341&gt;0),AC341*($D$301/12),AB379)</f>
        <v/>
      </c>
      <c r="AD379" s="174">
        <f>+IF(AND(AC341=0,AD341&gt;0),AD341*($D$301/12),AC379)</f>
        <v/>
      </c>
      <c r="AE379" s="1091">
        <f>+IF(AND(AD341=0,AE341&gt;0),AE341*($D$301/12),AD379)</f>
        <v/>
      </c>
      <c r="AF379" s="1091">
        <f>+IF(AND(AE341=0,AF341&gt;0),AF341*($D$301/12),AE379)</f>
        <v/>
      </c>
      <c r="AG379" s="1091">
        <f>+IF(AND(AF341=0,AG341&gt;0),AG341*($D$301/12),AF379)</f>
        <v/>
      </c>
      <c r="AH379" s="1091">
        <f>+IF(AND(AG341=0,AH341&gt;0),AH341*($D$301/12),AG379)</f>
        <v/>
      </c>
      <c r="AI379" s="1091">
        <f>+IF(AND(AH341=0,AI341&gt;0),AI341*($D$301/12),AH379)</f>
        <v/>
      </c>
      <c r="AJ379" s="174">
        <f>+IF(AND(AI341=0,AJ341&gt;0),AJ341*($D$301/12),AI379)</f>
        <v/>
      </c>
      <c r="AK379" s="1091">
        <f>+IF(AND(AJ341=0,AK341&gt;0),AK341*($D$301/12),AJ379)</f>
        <v/>
      </c>
      <c r="AL379" s="1091">
        <f>+IF(AND(AK341=0,AL341&gt;0),AL341*($D$301/12),AK379)</f>
        <v/>
      </c>
      <c r="AM379" s="1091">
        <f>+IF(AND(AL341=0,AM341&gt;0),AM341*($D$301/12),AL379)</f>
        <v/>
      </c>
      <c r="AN379" s="1091">
        <f>+IF(AND(AM341=0,AN341&gt;0),AN341*($D$301/12),AM379)</f>
        <v/>
      </c>
      <c r="AO379" s="1091">
        <f>+IF(AND(AN341=0,AO341&gt;0),AO341*($D$301/12),AN379)</f>
        <v/>
      </c>
      <c r="AP379" s="174">
        <f>+IF(AND(AO341=0,AP341&gt;0),AP341*($D$301/12),AO379)</f>
        <v/>
      </c>
      <c r="AQ379" s="1091">
        <f>+IF(AND(AP341=0,AQ341&gt;0),AQ341*($D$301/12),AP379)</f>
        <v/>
      </c>
      <c r="AR379" s="1091">
        <f>+IF(AND(AQ341=0,AR341&gt;0),AR341*($D$301/12),AQ379)</f>
        <v/>
      </c>
      <c r="AS379" s="1091">
        <f>+IF(AND(AR341=0,AS341&gt;0),AS341*($D$301/12),AR379)</f>
        <v/>
      </c>
      <c r="AT379" s="1091">
        <f>+IF(AND(AS341=0,AT341&gt;0),AT341*($D$301/12),AS379)</f>
        <v/>
      </c>
      <c r="AU379" s="1091">
        <f>+IF(AND(AT341=0,AU341&gt;0),AU341*($D$301/12),AT379)</f>
        <v/>
      </c>
      <c r="AV379" s="174">
        <f>+IF(AND(AU341=0,AV341&gt;0),AV341*($D$301/12),AU379)</f>
        <v/>
      </c>
      <c r="AW379" s="1091">
        <f>+IF(AND(AV341=0,AW341&gt;0),AW341*($D$301/12),AV379)</f>
        <v/>
      </c>
      <c r="AX379" s="1091">
        <f>+IF(AND(AW341=0,AX341&gt;0),AX341*($D$301/12),AW379)</f>
        <v/>
      </c>
      <c r="AY379" s="1091">
        <f>+IF(AND(AX341=0,AY341&gt;0),AY341*($D$301/12),AX379)</f>
        <v/>
      </c>
      <c r="AZ379" s="1091">
        <f>+IF(AND(AY341=0,AZ341&gt;0),AZ341*($D$301/12),AY379)</f>
        <v/>
      </c>
      <c r="BA379" s="1091">
        <f>+IF(AND(AZ341=0,BA341&gt;0),BA341*($D$301/12),AZ379)</f>
        <v/>
      </c>
      <c r="BB379" s="174">
        <f>+IF(AND(BA341=0,BB341&gt;0),BB341*($D$301/12),BA379)</f>
        <v/>
      </c>
      <c r="BC379" s="1091">
        <f>+IF(AND(BB341=0,BC341&gt;0),BC341*($D$301/12),BB379)</f>
        <v/>
      </c>
      <c r="BD379" s="1091">
        <f>+IF(AND(BC341=0,BD341&gt;0),BD341*($D$301/12),BC379)</f>
        <v/>
      </c>
      <c r="BE379" s="1091">
        <f>+IF(AND(BD341=0,BE341&gt;0),BE341*($D$301/12),BD379)</f>
        <v/>
      </c>
      <c r="BF379" s="1091">
        <f>+IF(AND(BE341=0,BF341&gt;0),BF341*($D$301/12),BE379)</f>
        <v/>
      </c>
      <c r="BG379" s="1091">
        <f>+IF(AND(BF341=0,BG341&gt;0),BG341*($D$301/12),BF379)</f>
        <v/>
      </c>
      <c r="BH379" s="174">
        <f>+IF(AND(BG341=0,BH341&gt;0),BH341*($D$301/12),BG379)</f>
        <v/>
      </c>
      <c r="BI379" s="1091">
        <f>+IF(AND(BH341=0,BI341&gt;0),BI341*($D$301/12),BH379)</f>
        <v/>
      </c>
      <c r="BJ379" s="1091">
        <f>+IF(AND(BI341=0,BJ341&gt;0),BJ341*($D$301/12),BI379)</f>
        <v/>
      </c>
      <c r="BK379" s="1091">
        <f>+IF(AND(BJ341=0,BK341&gt;0),BK341*($D$301/12),BJ379)</f>
        <v/>
      </c>
      <c r="BL379" s="1091">
        <f>+IF(AND(BK341=0,BL341&gt;0),BL341*($D$301/12),BK379)</f>
        <v/>
      </c>
      <c r="BM379" s="1091">
        <f>+IF(AND(BL341=0,BM341&gt;0),BM341*($D$301/12),BL379)</f>
        <v/>
      </c>
      <c r="BN379" s="174">
        <f>+IF(AND(BM341=0,BN341&gt;0),BN341*($D$301/12),BM379)</f>
        <v/>
      </c>
    </row>
    <row r="380" ht="12.75" customHeight="1" s="1883">
      <c r="C380" s="1157" t="inlineStr">
        <is>
          <t>Amortization Expense - 28</t>
        </is>
      </c>
      <c r="D380" s="670" t="n"/>
      <c r="E380" s="671" t="n"/>
      <c r="F380" s="74" t="n"/>
      <c r="G380" s="1091">
        <f>+IF(AND(F342=0,G342&gt;0),G342*($D$301/12),F380)</f>
        <v/>
      </c>
      <c r="H380" s="1091">
        <f>+IF(AND(G342=0,H342&gt;0),H342*($D$301/12),G380)</f>
        <v/>
      </c>
      <c r="I380" s="1091">
        <f>+IF(AND(H342=0,I342&gt;0),I342*($D$301/12),H380)</f>
        <v/>
      </c>
      <c r="J380" s="1091">
        <f>+IF(AND(I342=0,J342&gt;0),J342*($D$301/12),I380)</f>
        <v/>
      </c>
      <c r="K380" s="1091">
        <f>+IF(AND(J342=0,K342&gt;0),K342*($D$301/12),J380)</f>
        <v/>
      </c>
      <c r="L380" s="174">
        <f>+IF(AND(K342=0,L342&gt;0),L342*($D$301/12),K380)</f>
        <v/>
      </c>
      <c r="M380" s="1091">
        <f>+IF(AND(L342=0,M342&gt;0),M342*($D$301/12),L380)</f>
        <v/>
      </c>
      <c r="N380" s="1091">
        <f>+IF(AND(M342=0,N342&gt;0),N342*($D$301/12),M380)</f>
        <v/>
      </c>
      <c r="O380" s="1091">
        <f>+IF(AND(N342=0,O342&gt;0),O342*($D$301/12),N380)</f>
        <v/>
      </c>
      <c r="P380" s="1091">
        <f>+IF(AND(O342=0,P342&gt;0),P342*($D$301/12),O380)</f>
        <v/>
      </c>
      <c r="Q380" s="1091">
        <f>+IF(AND(P342=0,Q342&gt;0),Q342*($D$301/12),P380)</f>
        <v/>
      </c>
      <c r="R380" s="174">
        <f>+IF(AND(Q342=0,R342&gt;0),R342*($D$301/12),Q380)</f>
        <v/>
      </c>
      <c r="S380" s="1091">
        <f>+IF(AND(R342=0,S342&gt;0),S342*($D$301/12),R380)</f>
        <v/>
      </c>
      <c r="T380" s="1091">
        <f>+IF(AND(S342=0,T342&gt;0),T342*($D$301/12),S380)</f>
        <v/>
      </c>
      <c r="U380" s="1091">
        <f>+IF(AND(T342=0,U342&gt;0),U342*($D$301/12),T380)</f>
        <v/>
      </c>
      <c r="V380" s="1091">
        <f>+IF(AND(U342=0,V342&gt;0),V342*($D$301/12),U380)</f>
        <v/>
      </c>
      <c r="W380" s="1091">
        <f>+IF(AND(V342=0,W342&gt;0),W342*($D$301/12),V380)</f>
        <v/>
      </c>
      <c r="X380" s="174">
        <f>+IF(AND(W342=0,X342&gt;0),X342*($D$301/12),W380)</f>
        <v/>
      </c>
      <c r="Y380" s="1091">
        <f>+IF(AND(X342=0,Y342&gt;0),Y342*($D$301/12),X380)</f>
        <v/>
      </c>
      <c r="Z380" s="1091">
        <f>+IF(AND(Y342=0,Z342&gt;0),Z342*($D$301/12),Y380)</f>
        <v/>
      </c>
      <c r="AA380" s="1091">
        <f>+IF(AND(Z342=0,AA342&gt;0),AA342*($D$301/12),Z380)</f>
        <v/>
      </c>
      <c r="AB380" s="1091">
        <f>+IF(AND(AA342=0,AB342&gt;0),AB342*($D$301/12),AA380)</f>
        <v/>
      </c>
      <c r="AC380" s="1091">
        <f>+IF(AND(AB342=0,AC342&gt;0),AC342*($D$301/12),AB380)</f>
        <v/>
      </c>
      <c r="AD380" s="174">
        <f>+IF(AND(AC342=0,AD342&gt;0),AD342*($D$301/12),AC380)</f>
        <v/>
      </c>
      <c r="AE380" s="1091">
        <f>+IF(AND(AD342=0,AE342&gt;0),AE342*($D$301/12),AD380)</f>
        <v/>
      </c>
      <c r="AF380" s="1091">
        <f>+IF(AND(AE342=0,AF342&gt;0),AF342*($D$301/12),AE380)</f>
        <v/>
      </c>
      <c r="AG380" s="1091">
        <f>+IF(AND(AF342=0,AG342&gt;0),AG342*($D$301/12),AF380)</f>
        <v/>
      </c>
      <c r="AH380" s="1091">
        <f>+IF(AND(AG342=0,AH342&gt;0),AH342*($D$301/12),AG380)</f>
        <v/>
      </c>
      <c r="AI380" s="1091">
        <f>+IF(AND(AH342=0,AI342&gt;0),AI342*($D$301/12),AH380)</f>
        <v/>
      </c>
      <c r="AJ380" s="174">
        <f>+IF(AND(AI342=0,AJ342&gt;0),AJ342*($D$301/12),AI380)</f>
        <v/>
      </c>
      <c r="AK380" s="1091">
        <f>+IF(AND(AJ342=0,AK342&gt;0),AK342*($D$301/12),AJ380)</f>
        <v/>
      </c>
      <c r="AL380" s="1091">
        <f>+IF(AND(AK342=0,AL342&gt;0),AL342*($D$301/12),AK380)</f>
        <v/>
      </c>
      <c r="AM380" s="1091">
        <f>+IF(AND(AL342=0,AM342&gt;0),AM342*($D$301/12),AL380)</f>
        <v/>
      </c>
      <c r="AN380" s="1091">
        <f>+IF(AND(AM342=0,AN342&gt;0),AN342*($D$301/12),AM380)</f>
        <v/>
      </c>
      <c r="AO380" s="1091">
        <f>+IF(AND(AN342=0,AO342&gt;0),AO342*($D$301/12),AN380)</f>
        <v/>
      </c>
      <c r="AP380" s="174">
        <f>+IF(AND(AO342=0,AP342&gt;0),AP342*($D$301/12),AO380)</f>
        <v/>
      </c>
      <c r="AQ380" s="1091">
        <f>+IF(AND(AP342=0,AQ342&gt;0),AQ342*($D$301/12),AP380)</f>
        <v/>
      </c>
      <c r="AR380" s="1091">
        <f>+IF(AND(AQ342=0,AR342&gt;0),AR342*($D$301/12),AQ380)</f>
        <v/>
      </c>
      <c r="AS380" s="1091">
        <f>+IF(AND(AR342=0,AS342&gt;0),AS342*($D$301/12),AR380)</f>
        <v/>
      </c>
      <c r="AT380" s="1091">
        <f>+IF(AND(AS342=0,AT342&gt;0),AT342*($D$301/12),AS380)</f>
        <v/>
      </c>
      <c r="AU380" s="1091">
        <f>+IF(AND(AT342=0,AU342&gt;0),AU342*($D$301/12),AT380)</f>
        <v/>
      </c>
      <c r="AV380" s="174">
        <f>+IF(AND(AU342=0,AV342&gt;0),AV342*($D$301/12),AU380)</f>
        <v/>
      </c>
      <c r="AW380" s="1091">
        <f>+IF(AND(AV342=0,AW342&gt;0),AW342*($D$301/12),AV380)</f>
        <v/>
      </c>
      <c r="AX380" s="1091">
        <f>+IF(AND(AW342=0,AX342&gt;0),AX342*($D$301/12),AW380)</f>
        <v/>
      </c>
      <c r="AY380" s="1091">
        <f>+IF(AND(AX342=0,AY342&gt;0),AY342*($D$301/12),AX380)</f>
        <v/>
      </c>
      <c r="AZ380" s="1091">
        <f>+IF(AND(AY342=0,AZ342&gt;0),AZ342*($D$301/12),AY380)</f>
        <v/>
      </c>
      <c r="BA380" s="1091">
        <f>+IF(AND(AZ342=0,BA342&gt;0),BA342*($D$301/12),AZ380)</f>
        <v/>
      </c>
      <c r="BB380" s="174">
        <f>+IF(AND(BA342=0,BB342&gt;0),BB342*($D$301/12),BA380)</f>
        <v/>
      </c>
      <c r="BC380" s="1091">
        <f>+IF(AND(BB342=0,BC342&gt;0),BC342*($D$301/12),BB380)</f>
        <v/>
      </c>
      <c r="BD380" s="1091">
        <f>+IF(AND(BC342=0,BD342&gt;0),BD342*($D$301/12),BC380)</f>
        <v/>
      </c>
      <c r="BE380" s="1091">
        <f>+IF(AND(BD342=0,BE342&gt;0),BE342*($D$301/12),BD380)</f>
        <v/>
      </c>
      <c r="BF380" s="1091">
        <f>+IF(AND(BE342=0,BF342&gt;0),BF342*($D$301/12),BE380)</f>
        <v/>
      </c>
      <c r="BG380" s="1091">
        <f>+IF(AND(BF342=0,BG342&gt;0),BG342*($D$301/12),BF380)</f>
        <v/>
      </c>
      <c r="BH380" s="174">
        <f>+IF(AND(BG342=0,BH342&gt;0),BH342*($D$301/12),BG380)</f>
        <v/>
      </c>
      <c r="BI380" s="1091">
        <f>+IF(AND(BH342=0,BI342&gt;0),BI342*($D$301/12),BH380)</f>
        <v/>
      </c>
      <c r="BJ380" s="1091">
        <f>+IF(AND(BI342=0,BJ342&gt;0),BJ342*($D$301/12),BI380)</f>
        <v/>
      </c>
      <c r="BK380" s="1091">
        <f>+IF(AND(BJ342=0,BK342&gt;0),BK342*($D$301/12),BJ380)</f>
        <v/>
      </c>
      <c r="BL380" s="1091">
        <f>+IF(AND(BK342=0,BL342&gt;0),BL342*($D$301/12),BK380)</f>
        <v/>
      </c>
      <c r="BM380" s="1091">
        <f>+IF(AND(BL342=0,BM342&gt;0),BM342*($D$301/12),BL380)</f>
        <v/>
      </c>
      <c r="BN380" s="174">
        <f>+IF(AND(BM342=0,BN342&gt;0),BN342*($D$301/12),BM380)</f>
        <v/>
      </c>
    </row>
    <row r="381" ht="12.75" customHeight="1" s="1883">
      <c r="C381" s="1157" t="inlineStr">
        <is>
          <t>Amortization Expense - 29</t>
        </is>
      </c>
      <c r="D381" s="670" t="n"/>
      <c r="E381" s="671" t="n"/>
      <c r="F381" s="74" t="n"/>
      <c r="G381" s="1091">
        <f>+IF(AND(F343=0,G343&gt;0),G343*($D$301/12),F381)</f>
        <v/>
      </c>
      <c r="H381" s="1091">
        <f>+IF(AND(G343=0,H343&gt;0),H343*($D$301/12),G381)</f>
        <v/>
      </c>
      <c r="I381" s="1091">
        <f>+IF(AND(H343=0,I343&gt;0),I343*($D$301/12),H381)</f>
        <v/>
      </c>
      <c r="J381" s="1091">
        <f>+IF(AND(I343=0,J343&gt;0),J343*($D$301/12),I381)</f>
        <v/>
      </c>
      <c r="K381" s="1091">
        <f>+IF(AND(J343=0,K343&gt;0),K343*($D$301/12),J381)</f>
        <v/>
      </c>
      <c r="L381" s="174">
        <f>+IF(AND(K343=0,L343&gt;0),L343*($D$301/12),K381)</f>
        <v/>
      </c>
      <c r="M381" s="1091">
        <f>+IF(AND(L343=0,M343&gt;0),M343*($D$301/12),L381)</f>
        <v/>
      </c>
      <c r="N381" s="1091">
        <f>+IF(AND(M343=0,N343&gt;0),N343*($D$301/12),M381)</f>
        <v/>
      </c>
      <c r="O381" s="1091">
        <f>+IF(AND(N343=0,O343&gt;0),O343*($D$301/12),N381)</f>
        <v/>
      </c>
      <c r="P381" s="1091">
        <f>+IF(AND(O343=0,P343&gt;0),P343*($D$301/12),O381)</f>
        <v/>
      </c>
      <c r="Q381" s="1091">
        <f>+IF(AND(P343=0,Q343&gt;0),Q343*($D$301/12),P381)</f>
        <v/>
      </c>
      <c r="R381" s="174">
        <f>+IF(AND(Q343=0,R343&gt;0),R343*($D$301/12),Q381)</f>
        <v/>
      </c>
      <c r="S381" s="1091">
        <f>+IF(AND(R343=0,S343&gt;0),S343*($D$301/12),R381)</f>
        <v/>
      </c>
      <c r="T381" s="1091">
        <f>+IF(AND(S343=0,T343&gt;0),T343*($D$301/12),S381)</f>
        <v/>
      </c>
      <c r="U381" s="1091">
        <f>+IF(AND(T343=0,U343&gt;0),U343*($D$301/12),T381)</f>
        <v/>
      </c>
      <c r="V381" s="1091">
        <f>+IF(AND(U343=0,V343&gt;0),V343*($D$301/12),U381)</f>
        <v/>
      </c>
      <c r="W381" s="1091">
        <f>+IF(AND(V343=0,W343&gt;0),W343*($D$301/12),V381)</f>
        <v/>
      </c>
      <c r="X381" s="174">
        <f>+IF(AND(W343=0,X343&gt;0),X343*($D$301/12),W381)</f>
        <v/>
      </c>
      <c r="Y381" s="1091">
        <f>+IF(AND(X343=0,Y343&gt;0),Y343*($D$301/12),X381)</f>
        <v/>
      </c>
      <c r="Z381" s="1091">
        <f>+IF(AND(Y343=0,Z343&gt;0),Z343*($D$301/12),Y381)</f>
        <v/>
      </c>
      <c r="AA381" s="1091">
        <f>+IF(AND(Z343=0,AA343&gt;0),AA343*($D$301/12),Z381)</f>
        <v/>
      </c>
      <c r="AB381" s="1091">
        <f>+IF(AND(AA343=0,AB343&gt;0),AB343*($D$301/12),AA381)</f>
        <v/>
      </c>
      <c r="AC381" s="1091">
        <f>+IF(AND(AB343=0,AC343&gt;0),AC343*($D$301/12),AB381)</f>
        <v/>
      </c>
      <c r="AD381" s="174">
        <f>+IF(AND(AC343=0,AD343&gt;0),AD343*($D$301/12),AC381)</f>
        <v/>
      </c>
      <c r="AE381" s="1091">
        <f>+IF(AND(AD343=0,AE343&gt;0),AE343*($D$301/12),AD381)</f>
        <v/>
      </c>
      <c r="AF381" s="1091">
        <f>+IF(AND(AE343=0,AF343&gt;0),AF343*($D$301/12),AE381)</f>
        <v/>
      </c>
      <c r="AG381" s="1091">
        <f>+IF(AND(AF343=0,AG343&gt;0),AG343*($D$301/12),AF381)</f>
        <v/>
      </c>
      <c r="AH381" s="1091">
        <f>+IF(AND(AG343=0,AH343&gt;0),AH343*($D$301/12),AG381)</f>
        <v/>
      </c>
      <c r="AI381" s="1091">
        <f>+IF(AND(AH343=0,AI343&gt;0),AI343*($D$301/12),AH381)</f>
        <v/>
      </c>
      <c r="AJ381" s="174">
        <f>+IF(AND(AI343=0,AJ343&gt;0),AJ343*($D$301/12),AI381)</f>
        <v/>
      </c>
      <c r="AK381" s="1091">
        <f>+IF(AND(AJ343=0,AK343&gt;0),AK343*($D$301/12),AJ381)</f>
        <v/>
      </c>
      <c r="AL381" s="1091">
        <f>+IF(AND(AK343=0,AL343&gt;0),AL343*($D$301/12),AK381)</f>
        <v/>
      </c>
      <c r="AM381" s="1091">
        <f>+IF(AND(AL343=0,AM343&gt;0),AM343*($D$301/12),AL381)</f>
        <v/>
      </c>
      <c r="AN381" s="1091">
        <f>+IF(AND(AM343=0,AN343&gt;0),AN343*($D$301/12),AM381)</f>
        <v/>
      </c>
      <c r="AO381" s="1091">
        <f>+IF(AND(AN343=0,AO343&gt;0),AO343*($D$301/12),AN381)</f>
        <v/>
      </c>
      <c r="AP381" s="174">
        <f>+IF(AND(AO343=0,AP343&gt;0),AP343*($D$301/12),AO381)</f>
        <v/>
      </c>
      <c r="AQ381" s="1091">
        <f>+IF(AND(AP343=0,AQ343&gt;0),AQ343*($D$301/12),AP381)</f>
        <v/>
      </c>
      <c r="AR381" s="1091">
        <f>+IF(AND(AQ343=0,AR343&gt;0),AR343*($D$301/12),AQ381)</f>
        <v/>
      </c>
      <c r="AS381" s="1091">
        <f>+IF(AND(AR343=0,AS343&gt;0),AS343*($D$301/12),AR381)</f>
        <v/>
      </c>
      <c r="AT381" s="1091">
        <f>+IF(AND(AS343=0,AT343&gt;0),AT343*($D$301/12),AS381)</f>
        <v/>
      </c>
      <c r="AU381" s="1091">
        <f>+IF(AND(AT343=0,AU343&gt;0),AU343*($D$301/12),AT381)</f>
        <v/>
      </c>
      <c r="AV381" s="174">
        <f>+IF(AND(AU343=0,AV343&gt;0),AV343*($D$301/12),AU381)</f>
        <v/>
      </c>
      <c r="AW381" s="1091">
        <f>+IF(AND(AV343=0,AW343&gt;0),AW343*($D$301/12),AV381)</f>
        <v/>
      </c>
      <c r="AX381" s="1091">
        <f>+IF(AND(AW343=0,AX343&gt;0),AX343*($D$301/12),AW381)</f>
        <v/>
      </c>
      <c r="AY381" s="1091">
        <f>+IF(AND(AX343=0,AY343&gt;0),AY343*($D$301/12),AX381)</f>
        <v/>
      </c>
      <c r="AZ381" s="1091">
        <f>+IF(AND(AY343=0,AZ343&gt;0),AZ343*($D$301/12),AY381)</f>
        <v/>
      </c>
      <c r="BA381" s="1091">
        <f>+IF(AND(AZ343=0,BA343&gt;0),BA343*($D$301/12),AZ381)</f>
        <v/>
      </c>
      <c r="BB381" s="174">
        <f>+IF(AND(BA343=0,BB343&gt;0),BB343*($D$301/12),BA381)</f>
        <v/>
      </c>
      <c r="BC381" s="1091">
        <f>+IF(AND(BB343=0,BC343&gt;0),BC343*($D$301/12),BB381)</f>
        <v/>
      </c>
      <c r="BD381" s="1091">
        <f>+IF(AND(BC343=0,BD343&gt;0),BD343*($D$301/12),BC381)</f>
        <v/>
      </c>
      <c r="BE381" s="1091">
        <f>+IF(AND(BD343=0,BE343&gt;0),BE343*($D$301/12),BD381)</f>
        <v/>
      </c>
      <c r="BF381" s="1091">
        <f>+IF(AND(BE343=0,BF343&gt;0),BF343*($D$301/12),BE381)</f>
        <v/>
      </c>
      <c r="BG381" s="1091">
        <f>+IF(AND(BF343=0,BG343&gt;0),BG343*($D$301/12),BF381)</f>
        <v/>
      </c>
      <c r="BH381" s="174">
        <f>+IF(AND(BG343=0,BH343&gt;0),BH343*($D$301/12),BG381)</f>
        <v/>
      </c>
      <c r="BI381" s="1091">
        <f>+IF(AND(BH343=0,BI343&gt;0),BI343*($D$301/12),BH381)</f>
        <v/>
      </c>
      <c r="BJ381" s="1091">
        <f>+IF(AND(BI343=0,BJ343&gt;0),BJ343*($D$301/12),BI381)</f>
        <v/>
      </c>
      <c r="BK381" s="1091">
        <f>+IF(AND(BJ343=0,BK343&gt;0),BK343*($D$301/12),BJ381)</f>
        <v/>
      </c>
      <c r="BL381" s="1091">
        <f>+IF(AND(BK343=0,BL343&gt;0),BL343*($D$301/12),BK381)</f>
        <v/>
      </c>
      <c r="BM381" s="1091">
        <f>+IF(AND(BL343=0,BM343&gt;0),BM343*($D$301/12),BL381)</f>
        <v/>
      </c>
      <c r="BN381" s="174">
        <f>+IF(AND(BM343=0,BN343&gt;0),BN343*($D$301/12),BM381)</f>
        <v/>
      </c>
    </row>
    <row r="382" ht="12.75" customHeight="1" s="1883">
      <c r="C382" s="1157" t="inlineStr">
        <is>
          <t>Amortization Expense - 30</t>
        </is>
      </c>
      <c r="D382" s="670" t="n"/>
      <c r="E382" s="671" t="n"/>
      <c r="F382" s="74" t="n"/>
      <c r="G382" s="1091">
        <f>+IF(AND(F344=0,G344&gt;0),G344*($D$301/12),F382)</f>
        <v/>
      </c>
      <c r="H382" s="1091">
        <f>+IF(AND(G344=0,H344&gt;0),H344*($D$301/12),G382)</f>
        <v/>
      </c>
      <c r="I382" s="1091">
        <f>+IF(AND(H344=0,I344&gt;0),I344*($D$301/12),H382)</f>
        <v/>
      </c>
      <c r="J382" s="1091">
        <f>+IF(AND(I344=0,J344&gt;0),J344*($D$301/12),I382)</f>
        <v/>
      </c>
      <c r="K382" s="1091">
        <f>+IF(AND(J344=0,K344&gt;0),K344*($D$301/12),J382)</f>
        <v/>
      </c>
      <c r="L382" s="174">
        <f>+IF(AND(K344=0,L344&gt;0),L344*($D$301/12),K382)</f>
        <v/>
      </c>
      <c r="M382" s="1091">
        <f>+IF(AND(L344=0,M344&gt;0),M344*($D$301/12),L382)</f>
        <v/>
      </c>
      <c r="N382" s="1091">
        <f>+IF(AND(M344=0,N344&gt;0),N344*($D$301/12),M382)</f>
        <v/>
      </c>
      <c r="O382" s="1091">
        <f>+IF(AND(N344=0,O344&gt;0),O344*($D$301/12),N382)</f>
        <v/>
      </c>
      <c r="P382" s="1091">
        <f>+IF(AND(O344=0,P344&gt;0),P344*($D$301/12),O382)</f>
        <v/>
      </c>
      <c r="Q382" s="1091">
        <f>+IF(AND(P344=0,Q344&gt;0),Q344*($D$301/12),P382)</f>
        <v/>
      </c>
      <c r="R382" s="174">
        <f>+IF(AND(Q344=0,R344&gt;0),R344*($D$301/12),Q382)</f>
        <v/>
      </c>
      <c r="S382" s="1091">
        <f>+IF(AND(R344=0,S344&gt;0),S344*($D$301/12),R382)</f>
        <v/>
      </c>
      <c r="T382" s="1091">
        <f>+IF(AND(S344=0,T344&gt;0),T344*($D$301/12),S382)</f>
        <v/>
      </c>
      <c r="U382" s="1091">
        <f>+IF(AND(T344=0,U344&gt;0),U344*($D$301/12),T382)</f>
        <v/>
      </c>
      <c r="V382" s="1091">
        <f>+IF(AND(U344=0,V344&gt;0),V344*($D$301/12),U382)</f>
        <v/>
      </c>
      <c r="W382" s="1091">
        <f>+IF(AND(V344=0,W344&gt;0),W344*($D$301/12),V382)</f>
        <v/>
      </c>
      <c r="X382" s="174">
        <f>+IF(AND(W344=0,X344&gt;0),X344*($D$301/12),W382)</f>
        <v/>
      </c>
      <c r="Y382" s="1091">
        <f>+IF(AND(X344=0,Y344&gt;0),Y344*($D$301/12),X382)</f>
        <v/>
      </c>
      <c r="Z382" s="1091">
        <f>+IF(AND(Y344=0,Z344&gt;0),Z344*($D$301/12),Y382)</f>
        <v/>
      </c>
      <c r="AA382" s="1091">
        <f>+IF(AND(Z344=0,AA344&gt;0),AA344*($D$301/12),Z382)</f>
        <v/>
      </c>
      <c r="AB382" s="1091">
        <f>+IF(AND(AA344=0,AB344&gt;0),AB344*($D$301/12),AA382)</f>
        <v/>
      </c>
      <c r="AC382" s="1091">
        <f>+IF(AND(AB344=0,AC344&gt;0),AC344*($D$301/12),AB382)</f>
        <v/>
      </c>
      <c r="AD382" s="174">
        <f>+IF(AND(AC344=0,AD344&gt;0),AD344*($D$301/12),AC382)</f>
        <v/>
      </c>
      <c r="AE382" s="1091">
        <f>+IF(AND(AD344=0,AE344&gt;0),AE344*($D$301/12),AD382)</f>
        <v/>
      </c>
      <c r="AF382" s="1091">
        <f>+IF(AND(AE344=0,AF344&gt;0),AF344*($D$301/12),AE382)</f>
        <v/>
      </c>
      <c r="AG382" s="1091">
        <f>+IF(AND(AF344=0,AG344&gt;0),AG344*($D$301/12),AF382)</f>
        <v/>
      </c>
      <c r="AH382" s="1091">
        <f>+IF(AND(AG344=0,AH344&gt;0),AH344*($D$301/12),AG382)</f>
        <v/>
      </c>
      <c r="AI382" s="1091">
        <f>+IF(AND(AH344=0,AI344&gt;0),AI344*($D$301/12),AH382)</f>
        <v/>
      </c>
      <c r="AJ382" s="174">
        <f>+IF(AND(AI344=0,AJ344&gt;0),AJ344*($D$301/12),AI382)</f>
        <v/>
      </c>
      <c r="AK382" s="1091">
        <f>+IF(AND(AJ344=0,AK344&gt;0),AK344*($D$301/12),AJ382)</f>
        <v/>
      </c>
      <c r="AL382" s="1091">
        <f>+IF(AND(AK344=0,AL344&gt;0),AL344*($D$301/12),AK382)</f>
        <v/>
      </c>
      <c r="AM382" s="1091">
        <f>+IF(AND(AL344=0,AM344&gt;0),AM344*($D$301/12),AL382)</f>
        <v/>
      </c>
      <c r="AN382" s="1091">
        <f>+IF(AND(AM344=0,AN344&gt;0),AN344*($D$301/12),AM382)</f>
        <v/>
      </c>
      <c r="AO382" s="1091">
        <f>+IF(AND(AN344=0,AO344&gt;0),AO344*($D$301/12),AN382)</f>
        <v/>
      </c>
      <c r="AP382" s="174">
        <f>+IF(AND(AO344=0,AP344&gt;0),AP344*($D$301/12),AO382)</f>
        <v/>
      </c>
      <c r="AQ382" s="1091">
        <f>+IF(AND(AP344=0,AQ344&gt;0),AQ344*($D$301/12),AP382)</f>
        <v/>
      </c>
      <c r="AR382" s="1091">
        <f>+IF(AND(AQ344=0,AR344&gt;0),AR344*($D$301/12),AQ382)</f>
        <v/>
      </c>
      <c r="AS382" s="1091">
        <f>+IF(AND(AR344=0,AS344&gt;0),AS344*($D$301/12),AR382)</f>
        <v/>
      </c>
      <c r="AT382" s="1091">
        <f>+IF(AND(AS344=0,AT344&gt;0),AT344*($D$301/12),AS382)</f>
        <v/>
      </c>
      <c r="AU382" s="1091">
        <f>+IF(AND(AT344=0,AU344&gt;0),AU344*($D$301/12),AT382)</f>
        <v/>
      </c>
      <c r="AV382" s="174">
        <f>+IF(AND(AU344=0,AV344&gt;0),AV344*($D$301/12),AU382)</f>
        <v/>
      </c>
      <c r="AW382" s="1091">
        <f>+IF(AND(AV344=0,AW344&gt;0),AW344*($D$301/12),AV382)</f>
        <v/>
      </c>
      <c r="AX382" s="1091">
        <f>+IF(AND(AW344=0,AX344&gt;0),AX344*($D$301/12),AW382)</f>
        <v/>
      </c>
      <c r="AY382" s="1091">
        <f>+IF(AND(AX344=0,AY344&gt;0),AY344*($D$301/12),AX382)</f>
        <v/>
      </c>
      <c r="AZ382" s="1091">
        <f>+IF(AND(AY344=0,AZ344&gt;0),AZ344*($D$301/12),AY382)</f>
        <v/>
      </c>
      <c r="BA382" s="1091">
        <f>+IF(AND(AZ344=0,BA344&gt;0),BA344*($D$301/12),AZ382)</f>
        <v/>
      </c>
      <c r="BB382" s="174">
        <f>+IF(AND(BA344=0,BB344&gt;0),BB344*($D$301/12),BA382)</f>
        <v/>
      </c>
      <c r="BC382" s="1091">
        <f>+IF(AND(BB344=0,BC344&gt;0),BC344*($D$301/12),BB382)</f>
        <v/>
      </c>
      <c r="BD382" s="1091">
        <f>+IF(AND(BC344=0,BD344&gt;0),BD344*($D$301/12),BC382)</f>
        <v/>
      </c>
      <c r="BE382" s="1091">
        <f>+IF(AND(BD344=0,BE344&gt;0),BE344*($D$301/12),BD382)</f>
        <v/>
      </c>
      <c r="BF382" s="1091">
        <f>+IF(AND(BE344=0,BF344&gt;0),BF344*($D$301/12),BE382)</f>
        <v/>
      </c>
      <c r="BG382" s="1091">
        <f>+IF(AND(BF344=0,BG344&gt;0),BG344*($D$301/12),BF382)</f>
        <v/>
      </c>
      <c r="BH382" s="174">
        <f>+IF(AND(BG344=0,BH344&gt;0),BH344*($D$301/12),BG382)</f>
        <v/>
      </c>
      <c r="BI382" s="1091">
        <f>+IF(AND(BH344=0,BI344&gt;0),BI344*($D$301/12),BH382)</f>
        <v/>
      </c>
      <c r="BJ382" s="1091">
        <f>+IF(AND(BI344=0,BJ344&gt;0),BJ344*($D$301/12),BI382)</f>
        <v/>
      </c>
      <c r="BK382" s="1091">
        <f>+IF(AND(BJ344=0,BK344&gt;0),BK344*($D$301/12),BJ382)</f>
        <v/>
      </c>
      <c r="BL382" s="1091">
        <f>+IF(AND(BK344=0,BL344&gt;0),BL344*($D$301/12),BK382)</f>
        <v/>
      </c>
      <c r="BM382" s="1091">
        <f>+IF(AND(BL344=0,BM344&gt;0),BM344*($D$301/12),BL382)</f>
        <v/>
      </c>
      <c r="BN382" s="174">
        <f>+IF(AND(BM344=0,BN344&gt;0),BN344*($D$301/12),BM382)</f>
        <v/>
      </c>
    </row>
    <row r="383" ht="12.75" customHeight="1" s="1883">
      <c r="C383" s="1157" t="inlineStr">
        <is>
          <t>Amortization Expense - 31</t>
        </is>
      </c>
      <c r="D383" s="670" t="n"/>
      <c r="E383" s="671" t="n"/>
      <c r="F383" s="74" t="n"/>
      <c r="G383" s="1091">
        <f>+IF(AND(F345=0,G345&gt;0),G345*($D$301/12),F383)</f>
        <v/>
      </c>
      <c r="H383" s="1091">
        <f>+IF(AND(G345=0,H345&gt;0),H345*($D$301/12),G383)</f>
        <v/>
      </c>
      <c r="I383" s="1091">
        <f>+IF(AND(H345=0,I345&gt;0),I345*($D$301/12),H383)</f>
        <v/>
      </c>
      <c r="J383" s="1091">
        <f>+IF(AND(I345=0,J345&gt;0),J345*($D$301/12),I383)</f>
        <v/>
      </c>
      <c r="K383" s="1091">
        <f>+IF(AND(J345=0,K345&gt;0),K345*($D$301/12),J383)</f>
        <v/>
      </c>
      <c r="L383" s="174">
        <f>+IF(AND(K345=0,L345&gt;0),L345*($D$301/12),K383)</f>
        <v/>
      </c>
      <c r="M383" s="1091">
        <f>+IF(AND(L345=0,M345&gt;0),M345*($D$301/12),L383)</f>
        <v/>
      </c>
      <c r="N383" s="1091">
        <f>+IF(AND(M345=0,N345&gt;0),N345*($D$301/12),M383)</f>
        <v/>
      </c>
      <c r="O383" s="1091">
        <f>+IF(AND(N345=0,O345&gt;0),O345*($D$301/12),N383)</f>
        <v/>
      </c>
      <c r="P383" s="1091">
        <f>+IF(AND(O345=0,P345&gt;0),P345*($D$301/12),O383)</f>
        <v/>
      </c>
      <c r="Q383" s="1091">
        <f>+IF(AND(P345=0,Q345&gt;0),Q345*($D$301/12),P383)</f>
        <v/>
      </c>
      <c r="R383" s="174">
        <f>+IF(AND(Q345=0,R345&gt;0),R345*($D$301/12),Q383)</f>
        <v/>
      </c>
      <c r="S383" s="1091">
        <f>+IF(AND(R345=0,S345&gt;0),S345*($D$301/12),R383)</f>
        <v/>
      </c>
      <c r="T383" s="1091">
        <f>+IF(AND(S345=0,T345&gt;0),T345*($D$301/12),S383)</f>
        <v/>
      </c>
      <c r="U383" s="1091">
        <f>+IF(AND(T345=0,U345&gt;0),U345*($D$301/12),T383)</f>
        <v/>
      </c>
      <c r="V383" s="1091">
        <f>+IF(AND(U345=0,V345&gt;0),V345*($D$301/12),U383)</f>
        <v/>
      </c>
      <c r="W383" s="1091">
        <f>+IF(AND(V345=0,W345&gt;0),W345*($D$301/12),V383)</f>
        <v/>
      </c>
      <c r="X383" s="174">
        <f>+IF(AND(W345=0,X345&gt;0),X345*($D$301/12),W383)</f>
        <v/>
      </c>
      <c r="Y383" s="1091">
        <f>+IF(AND(X345=0,Y345&gt;0),Y345*($D$301/12),X383)</f>
        <v/>
      </c>
      <c r="Z383" s="1091">
        <f>+IF(AND(Y345=0,Z345&gt;0),Z345*($D$301/12),Y383)</f>
        <v/>
      </c>
      <c r="AA383" s="1091">
        <f>+IF(AND(Z345=0,AA345&gt;0),AA345*($D$301/12),Z383)</f>
        <v/>
      </c>
      <c r="AB383" s="1091">
        <f>+IF(AND(AA345=0,AB345&gt;0),AB345*($D$301/12),AA383)</f>
        <v/>
      </c>
      <c r="AC383" s="1091">
        <f>+IF(AND(AB345=0,AC345&gt;0),AC345*($D$301/12),AB383)</f>
        <v/>
      </c>
      <c r="AD383" s="174">
        <f>+IF(AND(AC345=0,AD345&gt;0),AD345*($D$301/12),AC383)</f>
        <v/>
      </c>
      <c r="AE383" s="1091">
        <f>+IF(AND(AD345=0,AE345&gt;0),AE345*($D$301/12),AD383)</f>
        <v/>
      </c>
      <c r="AF383" s="1091">
        <f>+IF(AND(AE345=0,AF345&gt;0),AF345*($D$301/12),AE383)</f>
        <v/>
      </c>
      <c r="AG383" s="1091">
        <f>+IF(AND(AF345=0,AG345&gt;0),AG345*($D$301/12),AF383)</f>
        <v/>
      </c>
      <c r="AH383" s="1091">
        <f>+IF(AND(AG345=0,AH345&gt;0),AH345*($D$301/12),AG383)</f>
        <v/>
      </c>
      <c r="AI383" s="1091">
        <f>+IF(AND(AH345=0,AI345&gt;0),AI345*($D$301/12),AH383)</f>
        <v/>
      </c>
      <c r="AJ383" s="174">
        <f>+IF(AND(AI345=0,AJ345&gt;0),AJ345*($D$301/12),AI383)</f>
        <v/>
      </c>
      <c r="AK383" s="1091">
        <f>+IF(AND(AJ345=0,AK345&gt;0),AK345*($D$301/12),AJ383)</f>
        <v/>
      </c>
      <c r="AL383" s="1091">
        <f>+IF(AND(AK345=0,AL345&gt;0),AL345*($D$301/12),AK383)</f>
        <v/>
      </c>
      <c r="AM383" s="1091">
        <f>+IF(AND(AL345=0,AM345&gt;0),AM345*($D$301/12),AL383)</f>
        <v/>
      </c>
      <c r="AN383" s="1091">
        <f>+IF(AND(AM345=0,AN345&gt;0),AN345*($D$301/12),AM383)</f>
        <v/>
      </c>
      <c r="AO383" s="1091">
        <f>+IF(AND(AN345=0,AO345&gt;0),AO345*($D$301/12),AN383)</f>
        <v/>
      </c>
      <c r="AP383" s="174">
        <f>+IF(AND(AO345=0,AP345&gt;0),AP345*($D$301/12),AO383)</f>
        <v/>
      </c>
      <c r="AQ383" s="1091">
        <f>+IF(AND(AP345=0,AQ345&gt;0),AQ345*($D$301/12),AP383)</f>
        <v/>
      </c>
      <c r="AR383" s="1091">
        <f>+IF(AND(AQ345=0,AR345&gt;0),AR345*($D$301/12),AQ383)</f>
        <v/>
      </c>
      <c r="AS383" s="1091">
        <f>+IF(AND(AR345=0,AS345&gt;0),AS345*($D$301/12),AR383)</f>
        <v/>
      </c>
      <c r="AT383" s="1091">
        <f>+IF(AND(AS345=0,AT345&gt;0),AT345*($D$301/12),AS383)</f>
        <v/>
      </c>
      <c r="AU383" s="1091">
        <f>+IF(AND(AT345=0,AU345&gt;0),AU345*($D$301/12),AT383)</f>
        <v/>
      </c>
      <c r="AV383" s="174">
        <f>+IF(AND(AU345=0,AV345&gt;0),AV345*($D$301/12),AU383)</f>
        <v/>
      </c>
      <c r="AW383" s="1091">
        <f>+IF(AND(AV345=0,AW345&gt;0),AW345*($D$301/12),AV383)</f>
        <v/>
      </c>
      <c r="AX383" s="1091">
        <f>+IF(AND(AW345=0,AX345&gt;0),AX345*($D$301/12),AW383)</f>
        <v/>
      </c>
      <c r="AY383" s="1091">
        <f>+IF(AND(AX345=0,AY345&gt;0),AY345*($D$301/12),AX383)</f>
        <v/>
      </c>
      <c r="AZ383" s="1091">
        <f>+IF(AND(AY345=0,AZ345&gt;0),AZ345*($D$301/12),AY383)</f>
        <v/>
      </c>
      <c r="BA383" s="1091">
        <f>+IF(AND(AZ345=0,BA345&gt;0),BA345*($D$301/12),AZ383)</f>
        <v/>
      </c>
      <c r="BB383" s="174">
        <f>+IF(AND(BA345=0,BB345&gt;0),BB345*($D$301/12),BA383)</f>
        <v/>
      </c>
      <c r="BC383" s="1091">
        <f>+IF(AND(BB345=0,BC345&gt;0),BC345*($D$301/12),BB383)</f>
        <v/>
      </c>
      <c r="BD383" s="1091">
        <f>+IF(AND(BC345=0,BD345&gt;0),BD345*($D$301/12),BC383)</f>
        <v/>
      </c>
      <c r="BE383" s="1091">
        <f>+IF(AND(BD345=0,BE345&gt;0),BE345*($D$301/12),BD383)</f>
        <v/>
      </c>
      <c r="BF383" s="1091">
        <f>+IF(AND(BE345=0,BF345&gt;0),BF345*($D$301/12),BE383)</f>
        <v/>
      </c>
      <c r="BG383" s="1091">
        <f>+IF(AND(BF345=0,BG345&gt;0),BG345*($D$301/12),BF383)</f>
        <v/>
      </c>
      <c r="BH383" s="174">
        <f>+IF(AND(BG345=0,BH345&gt;0),BH345*($D$301/12),BG383)</f>
        <v/>
      </c>
      <c r="BI383" s="1091">
        <f>+IF(AND(BH345=0,BI345&gt;0),BI345*($D$301/12),BH383)</f>
        <v/>
      </c>
      <c r="BJ383" s="1091">
        <f>+IF(AND(BI345=0,BJ345&gt;0),BJ345*($D$301/12),BI383)</f>
        <v/>
      </c>
      <c r="BK383" s="1091">
        <f>+IF(AND(BJ345=0,BK345&gt;0),BK345*($D$301/12),BJ383)</f>
        <v/>
      </c>
      <c r="BL383" s="1091">
        <f>+IF(AND(BK345=0,BL345&gt;0),BL345*($D$301/12),BK383)</f>
        <v/>
      </c>
      <c r="BM383" s="1091">
        <f>+IF(AND(BL345=0,BM345&gt;0),BM345*($D$301/12),BL383)</f>
        <v/>
      </c>
      <c r="BN383" s="174">
        <f>+IF(AND(BM345=0,BN345&gt;0),BN345*($D$301/12),BM383)</f>
        <v/>
      </c>
    </row>
    <row r="384" ht="12.75" customHeight="1" s="1883">
      <c r="C384" s="1157" t="inlineStr">
        <is>
          <t>Amortization Expense - 32</t>
        </is>
      </c>
      <c r="D384" s="670" t="n"/>
      <c r="E384" s="671" t="n"/>
      <c r="F384" s="74" t="n"/>
      <c r="G384" s="1091">
        <f>+IF(AND(F346=0,G346&gt;0),G346*($D$301/12),F384)</f>
        <v/>
      </c>
      <c r="H384" s="1091">
        <f>+IF(AND(G346=0,H346&gt;0),H346*($D$301/12),G384)</f>
        <v/>
      </c>
      <c r="I384" s="1091">
        <f>+IF(AND(H346=0,I346&gt;0),I346*($D$301/12),H384)</f>
        <v/>
      </c>
      <c r="J384" s="1091">
        <f>+IF(AND(I346=0,J346&gt;0),J346*($D$301/12),I384)</f>
        <v/>
      </c>
      <c r="K384" s="1091">
        <f>+IF(AND(J346=0,K346&gt;0),K346*($D$301/12),J384)</f>
        <v/>
      </c>
      <c r="L384" s="174">
        <f>+IF(AND(K346=0,L346&gt;0),L346*($D$301/12),K384)</f>
        <v/>
      </c>
      <c r="M384" s="1091">
        <f>+IF(AND(L346=0,M346&gt;0),M346*($D$301/12),L384)</f>
        <v/>
      </c>
      <c r="N384" s="1091">
        <f>+IF(AND(M346=0,N346&gt;0),N346*($D$301/12),M384)</f>
        <v/>
      </c>
      <c r="O384" s="1091">
        <f>+IF(AND(N346=0,O346&gt;0),O346*($D$301/12),N384)</f>
        <v/>
      </c>
      <c r="P384" s="1091">
        <f>+IF(AND(O346=0,P346&gt;0),P346*($D$301/12),O384)</f>
        <v/>
      </c>
      <c r="Q384" s="1091">
        <f>+IF(AND(P346=0,Q346&gt;0),Q346*($D$301/12),P384)</f>
        <v/>
      </c>
      <c r="R384" s="174">
        <f>+IF(AND(Q346=0,R346&gt;0),R346*($D$301/12),Q384)</f>
        <v/>
      </c>
      <c r="S384" s="1091">
        <f>+IF(AND(R346=0,S346&gt;0),S346*($D$301/12),R384)</f>
        <v/>
      </c>
      <c r="T384" s="1091">
        <f>+IF(AND(S346=0,T346&gt;0),T346*($D$301/12),S384)</f>
        <v/>
      </c>
      <c r="U384" s="1091">
        <f>+IF(AND(T346=0,U346&gt;0),U346*($D$301/12),T384)</f>
        <v/>
      </c>
      <c r="V384" s="1091">
        <f>+IF(AND(U346=0,V346&gt;0),V346*($D$301/12),U384)</f>
        <v/>
      </c>
      <c r="W384" s="1091">
        <f>+IF(AND(V346=0,W346&gt;0),W346*($D$301/12),V384)</f>
        <v/>
      </c>
      <c r="X384" s="174">
        <f>+IF(AND(W346=0,X346&gt;0),X346*($D$301/12),W384)</f>
        <v/>
      </c>
      <c r="Y384" s="1091">
        <f>+IF(AND(X346=0,Y346&gt;0),Y346*($D$301/12),X384)</f>
        <v/>
      </c>
      <c r="Z384" s="1091">
        <f>+IF(AND(Y346=0,Z346&gt;0),Z346*($D$301/12),Y384)</f>
        <v/>
      </c>
      <c r="AA384" s="1091">
        <f>+IF(AND(Z346=0,AA346&gt;0),AA346*($D$301/12),Z384)</f>
        <v/>
      </c>
      <c r="AB384" s="1091">
        <f>+IF(AND(AA346=0,AB346&gt;0),AB346*($D$301/12),AA384)</f>
        <v/>
      </c>
      <c r="AC384" s="1091">
        <f>+IF(AND(AB346=0,AC346&gt;0),AC346*($D$301/12),AB384)</f>
        <v/>
      </c>
      <c r="AD384" s="174">
        <f>+IF(AND(AC346=0,AD346&gt;0),AD346*($D$301/12),AC384)</f>
        <v/>
      </c>
      <c r="AE384" s="1091">
        <f>+IF(AND(AD346=0,AE346&gt;0),AE346*($D$301/12),AD384)</f>
        <v/>
      </c>
      <c r="AF384" s="1091">
        <f>+IF(AND(AE346=0,AF346&gt;0),AF346*($D$301/12),AE384)</f>
        <v/>
      </c>
      <c r="AG384" s="1091">
        <f>+IF(AND(AF346=0,AG346&gt;0),AG346*($D$301/12),AF384)</f>
        <v/>
      </c>
      <c r="AH384" s="1091">
        <f>+IF(AND(AG346=0,AH346&gt;0),AH346*($D$301/12),AG384)</f>
        <v/>
      </c>
      <c r="AI384" s="1091">
        <f>+IF(AND(AH346=0,AI346&gt;0),AI346*($D$301/12),AH384)</f>
        <v/>
      </c>
      <c r="AJ384" s="174">
        <f>+IF(AND(AI346=0,AJ346&gt;0),AJ346*($D$301/12),AI384)</f>
        <v/>
      </c>
      <c r="AK384" s="1091">
        <f>+IF(AND(AJ346=0,AK346&gt;0),AK346*($D$301/12),AJ384)</f>
        <v/>
      </c>
      <c r="AL384" s="1091">
        <f>+IF(AND(AK346=0,AL346&gt;0),AL346*($D$301/12),AK384)</f>
        <v/>
      </c>
      <c r="AM384" s="1091">
        <f>+IF(AND(AL346=0,AM346&gt;0),AM346*($D$301/12),AL384)</f>
        <v/>
      </c>
      <c r="AN384" s="1091">
        <f>+IF(AND(AM346=0,AN346&gt;0),AN346*($D$301/12),AM384)</f>
        <v/>
      </c>
      <c r="AO384" s="1091">
        <f>+IF(AND(AN346=0,AO346&gt;0),AO346*($D$301/12),AN384)</f>
        <v/>
      </c>
      <c r="AP384" s="174">
        <f>+IF(AND(AO346=0,AP346&gt;0),AP346*($D$301/12),AO384)</f>
        <v/>
      </c>
      <c r="AQ384" s="1091">
        <f>+IF(AND(AP346=0,AQ346&gt;0),AQ346*($D$301/12),AP384)</f>
        <v/>
      </c>
      <c r="AR384" s="1091">
        <f>+IF(AND(AQ346=0,AR346&gt;0),AR346*($D$301/12),AQ384)</f>
        <v/>
      </c>
      <c r="AS384" s="1091">
        <f>+IF(AND(AR346=0,AS346&gt;0),AS346*($D$301/12),AR384)</f>
        <v/>
      </c>
      <c r="AT384" s="1091">
        <f>+IF(AND(AS346=0,AT346&gt;0),AT346*($D$301/12),AS384)</f>
        <v/>
      </c>
      <c r="AU384" s="1091">
        <f>+IF(AND(AT346=0,AU346&gt;0),AU346*($D$301/12),AT384)</f>
        <v/>
      </c>
      <c r="AV384" s="174">
        <f>+IF(AND(AU346=0,AV346&gt;0),AV346*($D$301/12),AU384)</f>
        <v/>
      </c>
      <c r="AW384" s="1091">
        <f>+IF(AND(AV346=0,AW346&gt;0),AW346*($D$301/12),AV384)</f>
        <v/>
      </c>
      <c r="AX384" s="1091">
        <f>+IF(AND(AW346=0,AX346&gt;0),AX346*($D$301/12),AW384)</f>
        <v/>
      </c>
      <c r="AY384" s="1091">
        <f>+IF(AND(AX346=0,AY346&gt;0),AY346*($D$301/12),AX384)</f>
        <v/>
      </c>
      <c r="AZ384" s="1091">
        <f>+IF(AND(AY346=0,AZ346&gt;0),AZ346*($D$301/12),AY384)</f>
        <v/>
      </c>
      <c r="BA384" s="1091">
        <f>+IF(AND(AZ346=0,BA346&gt;0),BA346*($D$301/12),AZ384)</f>
        <v/>
      </c>
      <c r="BB384" s="174">
        <f>+IF(AND(BA346=0,BB346&gt;0),BB346*($D$301/12),BA384)</f>
        <v/>
      </c>
      <c r="BC384" s="1091">
        <f>+IF(AND(BB346=0,BC346&gt;0),BC346*($D$301/12),BB384)</f>
        <v/>
      </c>
      <c r="BD384" s="1091">
        <f>+IF(AND(BC346=0,BD346&gt;0),BD346*($D$301/12),BC384)</f>
        <v/>
      </c>
      <c r="BE384" s="1091">
        <f>+IF(AND(BD346=0,BE346&gt;0),BE346*($D$301/12),BD384)</f>
        <v/>
      </c>
      <c r="BF384" s="1091">
        <f>+IF(AND(BE346=0,BF346&gt;0),BF346*($D$301/12),BE384)</f>
        <v/>
      </c>
      <c r="BG384" s="1091">
        <f>+IF(AND(BF346=0,BG346&gt;0),BG346*($D$301/12),BF384)</f>
        <v/>
      </c>
      <c r="BH384" s="174">
        <f>+IF(AND(BG346=0,BH346&gt;0),BH346*($D$301/12),BG384)</f>
        <v/>
      </c>
      <c r="BI384" s="1091">
        <f>+IF(AND(BH346=0,BI346&gt;0),BI346*($D$301/12),BH384)</f>
        <v/>
      </c>
      <c r="BJ384" s="1091">
        <f>+IF(AND(BI346=0,BJ346&gt;0),BJ346*($D$301/12),BI384)</f>
        <v/>
      </c>
      <c r="BK384" s="1091">
        <f>+IF(AND(BJ346=0,BK346&gt;0),BK346*($D$301/12),BJ384)</f>
        <v/>
      </c>
      <c r="BL384" s="1091">
        <f>+IF(AND(BK346=0,BL346&gt;0),BL346*($D$301/12),BK384)</f>
        <v/>
      </c>
      <c r="BM384" s="1091">
        <f>+IF(AND(BL346=0,BM346&gt;0),BM346*($D$301/12),BL384)</f>
        <v/>
      </c>
      <c r="BN384" s="174">
        <f>+IF(AND(BM346=0,BN346&gt;0),BN346*($D$301/12),BM384)</f>
        <v/>
      </c>
    </row>
    <row r="385" ht="12.75" customHeight="1" s="1883">
      <c r="B385" s="1153" t="n"/>
      <c r="C385" s="1157" t="inlineStr">
        <is>
          <t>Amortization Expense - 33</t>
        </is>
      </c>
      <c r="D385" s="670" t="n"/>
      <c r="E385" s="671" t="n"/>
      <c r="F385" s="74" t="n"/>
      <c r="G385" s="1091">
        <f>+IF(AND(F347=0,G347&gt;0),G347*($D$301/12),F385)</f>
        <v/>
      </c>
      <c r="H385" s="1091">
        <f>+IF(AND(G347=0,H347&gt;0),H347*($D$301/12),G385)</f>
        <v/>
      </c>
      <c r="I385" s="1091">
        <f>+IF(AND(H347=0,I347&gt;0),I347*($D$301/12),H385)</f>
        <v/>
      </c>
      <c r="J385" s="1091">
        <f>+IF(AND(I347=0,J347&gt;0),J347*($D$301/12),I385)</f>
        <v/>
      </c>
      <c r="K385" s="1091">
        <f>+IF(AND(J347=0,K347&gt;0),K347*($D$301/12),J385)</f>
        <v/>
      </c>
      <c r="L385" s="174">
        <f>+IF(AND(K347=0,L347&gt;0),L347*($D$301/12),K385)</f>
        <v/>
      </c>
      <c r="M385" s="1091">
        <f>+IF(AND(L347=0,M347&gt;0),M347*($D$301/12),L385)</f>
        <v/>
      </c>
      <c r="N385" s="1091">
        <f>+IF(AND(M347=0,N347&gt;0),N347*($D$301/12),M385)</f>
        <v/>
      </c>
      <c r="O385" s="1091">
        <f>+IF(AND(N347=0,O347&gt;0),O347*($D$301/12),N385)</f>
        <v/>
      </c>
      <c r="P385" s="1091">
        <f>+IF(AND(O347=0,P347&gt;0),P347*($D$301/12),O385)</f>
        <v/>
      </c>
      <c r="Q385" s="1091">
        <f>+IF(AND(P347=0,Q347&gt;0),Q347*($D$301/12),P385)</f>
        <v/>
      </c>
      <c r="R385" s="174">
        <f>+IF(AND(Q347=0,R347&gt;0),R347*($D$301/12),Q385)</f>
        <v/>
      </c>
      <c r="S385" s="1091">
        <f>+IF(AND(R347=0,S347&gt;0),S347*($D$301/12),R385)</f>
        <v/>
      </c>
      <c r="T385" s="1091">
        <f>+IF(AND(S347=0,T347&gt;0),T347*($D$301/12),S385)</f>
        <v/>
      </c>
      <c r="U385" s="1091">
        <f>+IF(AND(T347=0,U347&gt;0),U347*($D$301/12),T385)</f>
        <v/>
      </c>
      <c r="V385" s="1091">
        <f>+IF(AND(U347=0,V347&gt;0),V347*($D$301/12),U385)</f>
        <v/>
      </c>
      <c r="W385" s="1091">
        <f>+IF(AND(V347=0,W347&gt;0),W347*($D$301/12),V385)</f>
        <v/>
      </c>
      <c r="X385" s="174">
        <f>+IF(AND(W347=0,X347&gt;0),X347*($D$301/12),W385)</f>
        <v/>
      </c>
      <c r="Y385" s="1091">
        <f>+IF(AND(X347=0,Y347&gt;0),Y347*($D$301/12),X385)</f>
        <v/>
      </c>
      <c r="Z385" s="1091">
        <f>+IF(AND(Y347=0,Z347&gt;0),Z347*($D$301/12),Y385)</f>
        <v/>
      </c>
      <c r="AA385" s="1091">
        <f>+IF(AND(Z347=0,AA347&gt;0),AA347*($D$301/12),Z385)</f>
        <v/>
      </c>
      <c r="AB385" s="1091">
        <f>+IF(AND(AA347=0,AB347&gt;0),AB347*($D$301/12),AA385)</f>
        <v/>
      </c>
      <c r="AC385" s="1091">
        <f>+IF(AND(AB347=0,AC347&gt;0),AC347*($D$301/12),AB385)</f>
        <v/>
      </c>
      <c r="AD385" s="174">
        <f>+IF(AND(AC347=0,AD347&gt;0),AD347*($D$301/12),AC385)</f>
        <v/>
      </c>
      <c r="AE385" s="1091">
        <f>+IF(AND(AD347=0,AE347&gt;0),AE347*($D$301/12),AD385)</f>
        <v/>
      </c>
      <c r="AF385" s="1091">
        <f>+IF(AND(AE347=0,AF347&gt;0),AF347*($D$301/12),AE385)</f>
        <v/>
      </c>
      <c r="AG385" s="1091">
        <f>+IF(AND(AF347=0,AG347&gt;0),AG347*($D$301/12),AF385)</f>
        <v/>
      </c>
      <c r="AH385" s="1091">
        <f>+IF(AND(AG347=0,AH347&gt;0),AH347*($D$301/12),AG385)</f>
        <v/>
      </c>
      <c r="AI385" s="1091">
        <f>+IF(AND(AH347=0,AI347&gt;0),AI347*($D$301/12),AH385)</f>
        <v/>
      </c>
      <c r="AJ385" s="174">
        <f>+IF(AND(AI347=0,AJ347&gt;0),AJ347*($D$301/12),AI385)</f>
        <v/>
      </c>
      <c r="AK385" s="1091">
        <f>+IF(AND(AJ347=0,AK347&gt;0),AK347*($D$301/12),AJ385)</f>
        <v/>
      </c>
      <c r="AL385" s="1091">
        <f>+IF(AND(AK347=0,AL347&gt;0),AL347*($D$301/12),AK385)</f>
        <v/>
      </c>
      <c r="AM385" s="1091">
        <f>+IF(AND(AL347=0,AM347&gt;0),AM347*($D$301/12),AL385)</f>
        <v/>
      </c>
      <c r="AN385" s="1091">
        <f>+IF(AND(AM347=0,AN347&gt;0),AN347*($D$301/12),AM385)</f>
        <v/>
      </c>
      <c r="AO385" s="1091">
        <f>+IF(AND(AN347=0,AO347&gt;0),AO347*($D$301/12),AN385)</f>
        <v/>
      </c>
      <c r="AP385" s="174">
        <f>+IF(AND(AO347=0,AP347&gt;0),AP347*($D$301/12),AO385)</f>
        <v/>
      </c>
      <c r="AQ385" s="1091">
        <f>+IF(AND(AP347=0,AQ347&gt;0),AQ347*($D$301/12),AP385)</f>
        <v/>
      </c>
      <c r="AR385" s="1091">
        <f>+IF(AND(AQ347=0,AR347&gt;0),AR347*($D$301/12),AQ385)</f>
        <v/>
      </c>
      <c r="AS385" s="1091">
        <f>+IF(AND(AR347=0,AS347&gt;0),AS347*($D$301/12),AR385)</f>
        <v/>
      </c>
      <c r="AT385" s="1091">
        <f>+IF(AND(AS347=0,AT347&gt;0),AT347*($D$301/12),AS385)</f>
        <v/>
      </c>
      <c r="AU385" s="1091">
        <f>+IF(AND(AT347=0,AU347&gt;0),AU347*($D$301/12),AT385)</f>
        <v/>
      </c>
      <c r="AV385" s="174">
        <f>+IF(AND(AU347=0,AV347&gt;0),AV347*($D$301/12),AU385)</f>
        <v/>
      </c>
      <c r="AW385" s="1091">
        <f>+IF(AND(AV347=0,AW347&gt;0),AW347*($D$301/12),AV385)</f>
        <v/>
      </c>
      <c r="AX385" s="1091">
        <f>+IF(AND(AW347=0,AX347&gt;0),AX347*($D$301/12),AW385)</f>
        <v/>
      </c>
      <c r="AY385" s="1091">
        <f>+IF(AND(AX347=0,AY347&gt;0),AY347*($D$301/12),AX385)</f>
        <v/>
      </c>
      <c r="AZ385" s="1091">
        <f>+IF(AND(AY347=0,AZ347&gt;0),AZ347*($D$301/12),AY385)</f>
        <v/>
      </c>
      <c r="BA385" s="1091">
        <f>+IF(AND(AZ347=0,BA347&gt;0),BA347*($D$301/12),AZ385)</f>
        <v/>
      </c>
      <c r="BB385" s="174">
        <f>+IF(AND(BA347=0,BB347&gt;0),BB347*($D$301/12),BA385)</f>
        <v/>
      </c>
      <c r="BC385" s="1091">
        <f>+IF(AND(BB347=0,BC347&gt;0),BC347*($D$301/12),BB385)</f>
        <v/>
      </c>
      <c r="BD385" s="1091">
        <f>+IF(AND(BC347=0,BD347&gt;0),BD347*($D$301/12),BC385)</f>
        <v/>
      </c>
      <c r="BE385" s="1091">
        <f>+IF(AND(BD347=0,BE347&gt;0),BE347*($D$301/12),BD385)</f>
        <v/>
      </c>
      <c r="BF385" s="1091">
        <f>+IF(AND(BE347=0,BF347&gt;0),BF347*($D$301/12),BE385)</f>
        <v/>
      </c>
      <c r="BG385" s="1091">
        <f>+IF(AND(BF347=0,BG347&gt;0),BG347*($D$301/12),BF385)</f>
        <v/>
      </c>
      <c r="BH385" s="174">
        <f>+IF(AND(BG347=0,BH347&gt;0),BH347*($D$301/12),BG385)</f>
        <v/>
      </c>
      <c r="BI385" s="1091">
        <f>+IF(AND(BH347=0,BI347&gt;0),BI347*($D$301/12),BH385)</f>
        <v/>
      </c>
      <c r="BJ385" s="1091">
        <f>+IF(AND(BI347=0,BJ347&gt;0),BJ347*($D$301/12),BI385)</f>
        <v/>
      </c>
      <c r="BK385" s="1091">
        <f>+IF(AND(BJ347=0,BK347&gt;0),BK347*($D$301/12),BJ385)</f>
        <v/>
      </c>
      <c r="BL385" s="1091">
        <f>+IF(AND(BK347=0,BL347&gt;0),BL347*($D$301/12),BK385)</f>
        <v/>
      </c>
      <c r="BM385" s="1091">
        <f>+IF(AND(BL347=0,BM347&gt;0),BM347*($D$301/12),BL385)</f>
        <v/>
      </c>
      <c r="BN385" s="174">
        <f>+IF(AND(BM347=0,BN347&gt;0),BN347*($D$301/12),BM385)</f>
        <v/>
      </c>
    </row>
    <row r="386" ht="12.75" customHeight="1" s="1883">
      <c r="B386" s="1153" t="n"/>
      <c r="C386" s="1157" t="inlineStr">
        <is>
          <t>Amortization Expense - 34</t>
        </is>
      </c>
      <c r="D386" s="670" t="n"/>
      <c r="E386" s="671" t="n"/>
      <c r="F386" s="74" t="n"/>
      <c r="G386" s="1091">
        <f>+IF(AND(F348=0,G348&gt;0),G348*($D$301/12),F386)</f>
        <v/>
      </c>
      <c r="H386" s="1091">
        <f>+IF(AND(G348=0,H348&gt;0),H348*($D$301/12),G386)</f>
        <v/>
      </c>
      <c r="I386" s="1091">
        <f>+IF(AND(H348=0,I348&gt;0),I348*($D$301/12),H386)</f>
        <v/>
      </c>
      <c r="J386" s="1091">
        <f>+IF(AND(I348=0,J348&gt;0),J348*($D$301/12),I386)</f>
        <v/>
      </c>
      <c r="K386" s="1091">
        <f>+IF(AND(J348=0,K348&gt;0),K348*($D$301/12),J386)</f>
        <v/>
      </c>
      <c r="L386" s="174">
        <f>+IF(AND(K348=0,L348&gt;0),L348*($D$301/12),K386)</f>
        <v/>
      </c>
      <c r="M386" s="1091">
        <f>+IF(AND(L348=0,M348&gt;0),M348*($D$301/12),L386)</f>
        <v/>
      </c>
      <c r="N386" s="1091">
        <f>+IF(AND(M348=0,N348&gt;0),N348*($D$301/12),M386)</f>
        <v/>
      </c>
      <c r="O386" s="1091">
        <f>+IF(AND(N348=0,O348&gt;0),O348*($D$301/12),N386)</f>
        <v/>
      </c>
      <c r="P386" s="1091">
        <f>+IF(AND(O348=0,P348&gt;0),P348*($D$301/12),O386)</f>
        <v/>
      </c>
      <c r="Q386" s="1091">
        <f>+IF(AND(P348=0,Q348&gt;0),Q348*($D$301/12),P386)</f>
        <v/>
      </c>
      <c r="R386" s="174">
        <f>+IF(AND(Q348=0,R348&gt;0),R348*($D$301/12),Q386)</f>
        <v/>
      </c>
      <c r="S386" s="1091">
        <f>+IF(AND(R348=0,S348&gt;0),S348*($D$301/12),R386)</f>
        <v/>
      </c>
      <c r="T386" s="1091">
        <f>+IF(AND(S348=0,T348&gt;0),T348*($D$301/12),S386)</f>
        <v/>
      </c>
      <c r="U386" s="1091">
        <f>+IF(AND(T348=0,U348&gt;0),U348*($D$301/12),T386)</f>
        <v/>
      </c>
      <c r="V386" s="1091">
        <f>+IF(AND(U348=0,V348&gt;0),V348*($D$301/12),U386)</f>
        <v/>
      </c>
      <c r="W386" s="1091">
        <f>+IF(AND(V348=0,W348&gt;0),W348*($D$301/12),V386)</f>
        <v/>
      </c>
      <c r="X386" s="174">
        <f>+IF(AND(W348=0,X348&gt;0),X348*($D$301/12),W386)</f>
        <v/>
      </c>
      <c r="Y386" s="1091">
        <f>+IF(AND(X348=0,Y348&gt;0),Y348*($D$301/12),X386)</f>
        <v/>
      </c>
      <c r="Z386" s="1091">
        <f>+IF(AND(Y348=0,Z348&gt;0),Z348*($D$301/12),Y386)</f>
        <v/>
      </c>
      <c r="AA386" s="1091">
        <f>+IF(AND(Z348=0,AA348&gt;0),AA348*($D$301/12),Z386)</f>
        <v/>
      </c>
      <c r="AB386" s="1091">
        <f>+IF(AND(AA348=0,AB348&gt;0),AB348*($D$301/12),AA386)</f>
        <v/>
      </c>
      <c r="AC386" s="1091">
        <f>+IF(AND(AB348=0,AC348&gt;0),AC348*($D$301/12),AB386)</f>
        <v/>
      </c>
      <c r="AD386" s="174">
        <f>+IF(AND(AC348=0,AD348&gt;0),AD348*($D$301/12),AC386)</f>
        <v/>
      </c>
      <c r="AE386" s="1091">
        <f>+IF(AND(AD348=0,AE348&gt;0),AE348*($D$301/12),AD386)</f>
        <v/>
      </c>
      <c r="AF386" s="1091">
        <f>+IF(AND(AE348=0,AF348&gt;0),AF348*($D$301/12),AE386)</f>
        <v/>
      </c>
      <c r="AG386" s="1091">
        <f>+IF(AND(AF348=0,AG348&gt;0),AG348*($D$301/12),AF386)</f>
        <v/>
      </c>
      <c r="AH386" s="1091">
        <f>+IF(AND(AG348=0,AH348&gt;0),AH348*($D$301/12),AG386)</f>
        <v/>
      </c>
      <c r="AI386" s="1091">
        <f>+IF(AND(AH348=0,AI348&gt;0),AI348*($D$301/12),AH386)</f>
        <v/>
      </c>
      <c r="AJ386" s="174">
        <f>+IF(AND(AI348=0,AJ348&gt;0),AJ348*($D$301/12),AI386)</f>
        <v/>
      </c>
      <c r="AK386" s="1091">
        <f>+IF(AND(AJ348=0,AK348&gt;0),AK348*($D$301/12),AJ386)</f>
        <v/>
      </c>
      <c r="AL386" s="1091">
        <f>+IF(AND(AK348=0,AL348&gt;0),AL348*($D$301/12),AK386)</f>
        <v/>
      </c>
      <c r="AM386" s="1091">
        <f>+IF(AND(AL348=0,AM348&gt;0),AM348*($D$301/12),AL386)</f>
        <v/>
      </c>
      <c r="AN386" s="1091">
        <f>+IF(AND(AM348=0,AN348&gt;0),AN348*($D$301/12),AM386)</f>
        <v/>
      </c>
      <c r="AO386" s="1091">
        <f>+IF(AND(AN348=0,AO348&gt;0),AO348*($D$301/12),AN386)</f>
        <v/>
      </c>
      <c r="AP386" s="174">
        <f>+IF(AND(AO348=0,AP348&gt;0),AP348*($D$301/12),AO386)</f>
        <v/>
      </c>
      <c r="AQ386" s="1091">
        <f>+IF(AND(AP348=0,AQ348&gt;0),AQ348*($D$301/12),AP386)</f>
        <v/>
      </c>
      <c r="AR386" s="1091">
        <f>+IF(AND(AQ348=0,AR348&gt;0),AR348*($D$301/12),AQ386)</f>
        <v/>
      </c>
      <c r="AS386" s="1091">
        <f>+IF(AND(AR348=0,AS348&gt;0),AS348*($D$301/12),AR386)</f>
        <v/>
      </c>
      <c r="AT386" s="1091">
        <f>+IF(AND(AS348=0,AT348&gt;0),AT348*($D$301/12),AS386)</f>
        <v/>
      </c>
      <c r="AU386" s="1091">
        <f>+IF(AND(AT348=0,AU348&gt;0),AU348*($D$301/12),AT386)</f>
        <v/>
      </c>
      <c r="AV386" s="174">
        <f>+IF(AND(AU348=0,AV348&gt;0),AV348*($D$301/12),AU386)</f>
        <v/>
      </c>
      <c r="AW386" s="1091">
        <f>+IF(AND(AV348=0,AW348&gt;0),AW348*($D$301/12),AV386)</f>
        <v/>
      </c>
      <c r="AX386" s="1091">
        <f>+IF(AND(AW348=0,AX348&gt;0),AX348*($D$301/12),AW386)</f>
        <v/>
      </c>
      <c r="AY386" s="1091">
        <f>+IF(AND(AX348=0,AY348&gt;0),AY348*($D$301/12),AX386)</f>
        <v/>
      </c>
      <c r="AZ386" s="1091">
        <f>+IF(AND(AY348=0,AZ348&gt;0),AZ348*($D$301/12),AY386)</f>
        <v/>
      </c>
      <c r="BA386" s="1091">
        <f>+IF(AND(AZ348=0,BA348&gt;0),BA348*($D$301/12),AZ386)</f>
        <v/>
      </c>
      <c r="BB386" s="174">
        <f>+IF(AND(BA348=0,BB348&gt;0),BB348*($D$301/12),BA386)</f>
        <v/>
      </c>
      <c r="BC386" s="1091">
        <f>+IF(AND(BB348=0,BC348&gt;0),BC348*($D$301/12),BB386)</f>
        <v/>
      </c>
      <c r="BD386" s="1091">
        <f>+IF(AND(BC348=0,BD348&gt;0),BD348*($D$301/12),BC386)</f>
        <v/>
      </c>
      <c r="BE386" s="1091">
        <f>+IF(AND(BD348=0,BE348&gt;0),BE348*($D$301/12),BD386)</f>
        <v/>
      </c>
      <c r="BF386" s="1091">
        <f>+IF(AND(BE348=0,BF348&gt;0),BF348*($D$301/12),BE386)</f>
        <v/>
      </c>
      <c r="BG386" s="1091">
        <f>+IF(AND(BF348=0,BG348&gt;0),BG348*($D$301/12),BF386)</f>
        <v/>
      </c>
      <c r="BH386" s="174">
        <f>+IF(AND(BG348=0,BH348&gt;0),BH348*($D$301/12),BG386)</f>
        <v/>
      </c>
      <c r="BI386" s="1091">
        <f>+IF(AND(BH348=0,BI348&gt;0),BI348*($D$301/12),BH386)</f>
        <v/>
      </c>
      <c r="BJ386" s="1091">
        <f>+IF(AND(BI348=0,BJ348&gt;0),BJ348*($D$301/12),BI386)</f>
        <v/>
      </c>
      <c r="BK386" s="1091">
        <f>+IF(AND(BJ348=0,BK348&gt;0),BK348*($D$301/12),BJ386)</f>
        <v/>
      </c>
      <c r="BL386" s="1091">
        <f>+IF(AND(BK348=0,BL348&gt;0),BL348*($D$301/12),BK386)</f>
        <v/>
      </c>
      <c r="BM386" s="1091">
        <f>+IF(AND(BL348=0,BM348&gt;0),BM348*($D$301/12),BL386)</f>
        <v/>
      </c>
      <c r="BN386" s="174">
        <f>+IF(AND(BM348=0,BN348&gt;0),BN348*($D$301/12),BM386)</f>
        <v/>
      </c>
    </row>
    <row r="387" ht="12.75" customHeight="1" s="1883">
      <c r="B387" s="1153" t="n"/>
      <c r="C387" s="1157" t="inlineStr">
        <is>
          <t>Accumulated Amortization - End</t>
        </is>
      </c>
      <c r="D387" s="670" t="n"/>
      <c r="E387" s="671" t="n"/>
      <c r="F387" s="74" t="n"/>
      <c r="G387" s="201">
        <f>+G351+SUM(G353:G386)</f>
        <v/>
      </c>
      <c r="H387" s="201">
        <f>+H351+SUM(H353:H386)</f>
        <v/>
      </c>
      <c r="I387" s="201">
        <f>+I351+SUM(I353:I386)</f>
        <v/>
      </c>
      <c r="J387" s="201">
        <f>+J351+SUM(J353:J386)</f>
        <v/>
      </c>
      <c r="K387" s="201">
        <f>+K351+SUM(K353:K386)</f>
        <v/>
      </c>
      <c r="L387" s="200">
        <f>+L351+SUM(L353:L386)</f>
        <v/>
      </c>
      <c r="M387" s="201">
        <f>+M351+SUM(M353:M386)</f>
        <v/>
      </c>
      <c r="N387" s="201">
        <f>+N351+SUM(N353:N386)</f>
        <v/>
      </c>
      <c r="O387" s="201">
        <f>+O351+SUM(O353:O386)</f>
        <v/>
      </c>
      <c r="P387" s="201">
        <f>+P351+SUM(P353:P386)</f>
        <v/>
      </c>
      <c r="Q387" s="201">
        <f>+Q351+SUM(Q353:Q386)</f>
        <v/>
      </c>
      <c r="R387" s="200">
        <f>+R351+SUM(R353:R386)</f>
        <v/>
      </c>
      <c r="S387" s="201">
        <f>+S351+SUM(S353:S386)</f>
        <v/>
      </c>
      <c r="T387" s="201">
        <f>+T351+SUM(T353:T386)</f>
        <v/>
      </c>
      <c r="U387" s="201">
        <f>+U351+SUM(U353:U386)</f>
        <v/>
      </c>
      <c r="V387" s="201">
        <f>+V351+SUM(V353:V386)</f>
        <v/>
      </c>
      <c r="W387" s="201">
        <f>+W351+SUM(W353:W386)</f>
        <v/>
      </c>
      <c r="X387" s="200">
        <f>+X351+SUM(X353:X386)</f>
        <v/>
      </c>
      <c r="Y387" s="201">
        <f>+Y351+SUM(Y353:Y386)</f>
        <v/>
      </c>
      <c r="Z387" s="201">
        <f>+Z351+SUM(Z353:Z386)</f>
        <v/>
      </c>
      <c r="AA387" s="201">
        <f>+AA351+SUM(AA353:AA386)</f>
        <v/>
      </c>
      <c r="AB387" s="201">
        <f>+AB351+SUM(AB353:AB386)</f>
        <v/>
      </c>
      <c r="AC387" s="201">
        <f>+AC351+SUM(AC353:AC386)</f>
        <v/>
      </c>
      <c r="AD387" s="200">
        <f>+AD351+SUM(AD353:AD386)</f>
        <v/>
      </c>
      <c r="AE387" s="201">
        <f>+AE351+SUM(AE353:AE386)</f>
        <v/>
      </c>
      <c r="AF387" s="201">
        <f>+AF351+SUM(AF353:AF386)</f>
        <v/>
      </c>
      <c r="AG387" s="201">
        <f>+AG351+SUM(AG353:AG386)</f>
        <v/>
      </c>
      <c r="AH387" s="201">
        <f>+AH351+SUM(AH353:AH386)</f>
        <v/>
      </c>
      <c r="AI387" s="201">
        <f>+AI351+SUM(AI353:AI386)</f>
        <v/>
      </c>
      <c r="AJ387" s="200">
        <f>+AJ351+SUM(AJ353:AJ386)</f>
        <v/>
      </c>
      <c r="AK387" s="201">
        <f>+AK351+SUM(AK353:AK386)</f>
        <v/>
      </c>
      <c r="AL387" s="201">
        <f>+AL351+SUM(AL353:AL386)</f>
        <v/>
      </c>
      <c r="AM387" s="201">
        <f>+AM351+SUM(AM353:AM386)</f>
        <v/>
      </c>
      <c r="AN387" s="201">
        <f>+AN351+SUM(AN353:AN386)</f>
        <v/>
      </c>
      <c r="AO387" s="201">
        <f>+AO351+SUM(AO353:AO386)</f>
        <v/>
      </c>
      <c r="AP387" s="200">
        <f>+AP351+SUM(AP353:AP386)</f>
        <v/>
      </c>
      <c r="AQ387" s="201">
        <f>+AQ351+SUM(AQ353:AQ386)</f>
        <v/>
      </c>
      <c r="AR387" s="201">
        <f>+AR351+SUM(AR353:AR386)</f>
        <v/>
      </c>
      <c r="AS387" s="201">
        <f>+AS351+SUM(AS353:AS386)</f>
        <v/>
      </c>
      <c r="AT387" s="201">
        <f>+AT351+SUM(AT353:AT386)</f>
        <v/>
      </c>
      <c r="AU387" s="201">
        <f>+AU351+SUM(AU353:AU386)</f>
        <v/>
      </c>
      <c r="AV387" s="200">
        <f>+AV351+SUM(AV353:AV386)</f>
        <v/>
      </c>
      <c r="AW387" s="201">
        <f>+AW351+SUM(AW353:AW386)</f>
        <v/>
      </c>
      <c r="AX387" s="201">
        <f>+AX351+SUM(AX353:AX386)</f>
        <v/>
      </c>
      <c r="AY387" s="201">
        <f>+AY351+SUM(AY353:AY386)</f>
        <v/>
      </c>
      <c r="AZ387" s="201">
        <f>+AZ351+SUM(AZ353:AZ386)</f>
        <v/>
      </c>
      <c r="BA387" s="201">
        <f>+BA351+SUM(BA353:BA386)</f>
        <v/>
      </c>
      <c r="BB387" s="200">
        <f>+BB351+SUM(BB353:BB386)</f>
        <v/>
      </c>
      <c r="BC387" s="201">
        <f>+BC351+SUM(BC353:BC386)</f>
        <v/>
      </c>
      <c r="BD387" s="201">
        <f>+BD351+SUM(BD353:BD386)</f>
        <v/>
      </c>
      <c r="BE387" s="201">
        <f>+BE351+SUM(BE353:BE386)</f>
        <v/>
      </c>
      <c r="BF387" s="201">
        <f>+BF351+SUM(BF353:BF386)</f>
        <v/>
      </c>
      <c r="BG387" s="201">
        <f>+BG351+SUM(BG353:BG386)</f>
        <v/>
      </c>
      <c r="BH387" s="200">
        <f>+BH351+SUM(BH353:BH386)</f>
        <v/>
      </c>
      <c r="BI387" s="201">
        <f>+BI351+SUM(BI353:BI386)</f>
        <v/>
      </c>
      <c r="BJ387" s="201">
        <f>+BJ351+SUM(BJ353:BJ386)</f>
        <v/>
      </c>
      <c r="BK387" s="201">
        <f>+BK351+SUM(BK353:BK386)</f>
        <v/>
      </c>
      <c r="BL387" s="201">
        <f>+BL351+SUM(BL353:BL386)</f>
        <v/>
      </c>
      <c r="BM387" s="201">
        <f>+BM351+SUM(BM353:BM386)</f>
        <v/>
      </c>
      <c r="BN387" s="200">
        <f>+BN351+SUM(BN353:BN386)</f>
        <v/>
      </c>
    </row>
    <row r="388" ht="12.75" customHeight="1" s="1883">
      <c r="B388" s="1042" t="n"/>
      <c r="C388" s="1157" t="inlineStr">
        <is>
          <t>F&amp;F Total - Net</t>
        </is>
      </c>
      <c r="D388" s="670" t="n"/>
      <c r="E388" s="671" t="n"/>
      <c r="F388" s="206" t="n"/>
      <c r="G388" s="201">
        <f>+G302-G307-G387</f>
        <v/>
      </c>
      <c r="H388" s="201">
        <f>+H302-H307-H387</f>
        <v/>
      </c>
      <c r="I388" s="201">
        <f>+I302-I307-I387</f>
        <v/>
      </c>
      <c r="J388" s="201">
        <f>+J302-J307-J387</f>
        <v/>
      </c>
      <c r="K388" s="201">
        <f>+K302-K307-K387</f>
        <v/>
      </c>
      <c r="L388" s="200">
        <f>+L302-L307-L387</f>
        <v/>
      </c>
      <c r="M388" s="201">
        <f>+M302-M307-M387</f>
        <v/>
      </c>
      <c r="N388" s="201">
        <f>+N302-N307-N387</f>
        <v/>
      </c>
      <c r="O388" s="201">
        <f>+O302-O307-O387</f>
        <v/>
      </c>
      <c r="P388" s="201">
        <f>+P302-P307-P387</f>
        <v/>
      </c>
      <c r="Q388" s="201">
        <f>+Q302-Q307-Q387</f>
        <v/>
      </c>
      <c r="R388" s="200">
        <f>+R302-R307-R387</f>
        <v/>
      </c>
      <c r="S388" s="201">
        <f>+S302-S307-S387</f>
        <v/>
      </c>
      <c r="T388" s="201">
        <f>+T302-T307-T387</f>
        <v/>
      </c>
      <c r="U388" s="201">
        <f>+U302-U307-U387</f>
        <v/>
      </c>
      <c r="V388" s="201">
        <f>+V302-V307-V387</f>
        <v/>
      </c>
      <c r="W388" s="201">
        <f>+W302-W307-W387</f>
        <v/>
      </c>
      <c r="X388" s="200">
        <f>+X302-X307-X387</f>
        <v/>
      </c>
      <c r="Y388" s="201">
        <f>+Y302-Y307-Y387</f>
        <v/>
      </c>
      <c r="Z388" s="201">
        <f>+Z302-Z307-Z387</f>
        <v/>
      </c>
      <c r="AA388" s="201">
        <f>+AA302-AA307-AA387</f>
        <v/>
      </c>
      <c r="AB388" s="201">
        <f>+AB302-AB307-AB387</f>
        <v/>
      </c>
      <c r="AC388" s="201">
        <f>+AC302-AC307-AC387</f>
        <v/>
      </c>
      <c r="AD388" s="200">
        <f>+AD302-AD307-AD387</f>
        <v/>
      </c>
      <c r="AE388" s="201">
        <f>+AE302-AE307-AE387</f>
        <v/>
      </c>
      <c r="AF388" s="201">
        <f>+AF302-AF307-AF387</f>
        <v/>
      </c>
      <c r="AG388" s="201">
        <f>+AG302-AG307-AG387</f>
        <v/>
      </c>
      <c r="AH388" s="201">
        <f>+AH302-AH307-AH387</f>
        <v/>
      </c>
      <c r="AI388" s="201">
        <f>+AI302-AI307-AI387</f>
        <v/>
      </c>
      <c r="AJ388" s="200">
        <f>+AJ302-AJ307-AJ387</f>
        <v/>
      </c>
      <c r="AK388" s="201">
        <f>+AK302-AK307-AK387</f>
        <v/>
      </c>
      <c r="AL388" s="201">
        <f>+AL302-AL307-AL387</f>
        <v/>
      </c>
      <c r="AM388" s="201">
        <f>+AM302-AM307-AM387</f>
        <v/>
      </c>
      <c r="AN388" s="201">
        <f>+AN302-AN307-AN387</f>
        <v/>
      </c>
      <c r="AO388" s="201">
        <f>+AO302-AO307-AO387</f>
        <v/>
      </c>
      <c r="AP388" s="200">
        <f>+AP302-AP307-AP387</f>
        <v/>
      </c>
      <c r="AQ388" s="201">
        <f>+AQ302-AQ307-AQ387</f>
        <v/>
      </c>
      <c r="AR388" s="201">
        <f>+AR302-AR307-AR387</f>
        <v/>
      </c>
      <c r="AS388" s="201">
        <f>+AS302-AS307-AS387</f>
        <v/>
      </c>
      <c r="AT388" s="201">
        <f>+AT302-AT307-AT387</f>
        <v/>
      </c>
      <c r="AU388" s="201">
        <f>+AU302-AU307-AU387</f>
        <v/>
      </c>
      <c r="AV388" s="200">
        <f>+AV302-AV307-AV387</f>
        <v/>
      </c>
      <c r="AW388" s="201">
        <f>+AW302-AW307-AW387</f>
        <v/>
      </c>
      <c r="AX388" s="201">
        <f>+AX302-AX307-AX387</f>
        <v/>
      </c>
      <c r="AY388" s="201">
        <f>+AY302-AY307-AY387</f>
        <v/>
      </c>
      <c r="AZ388" s="201">
        <f>+AZ302-AZ307-AZ387</f>
        <v/>
      </c>
      <c r="BA388" s="201">
        <f>+BA302-BA307-BA387</f>
        <v/>
      </c>
      <c r="BB388" s="200">
        <f>+BB302-BB307-BB387</f>
        <v/>
      </c>
      <c r="BC388" s="201">
        <f>+BC302-BC307-BC387</f>
        <v/>
      </c>
      <c r="BD388" s="201">
        <f>+BD302-BD307-BD387</f>
        <v/>
      </c>
      <c r="BE388" s="201">
        <f>+BE302-BE307-BE387</f>
        <v/>
      </c>
      <c r="BF388" s="201">
        <f>+BF302-BF307-BF387</f>
        <v/>
      </c>
      <c r="BG388" s="201">
        <f>+BG302-BG307-BG387</f>
        <v/>
      </c>
      <c r="BH388" s="200">
        <f>+BH302-BH307-BH387</f>
        <v/>
      </c>
      <c r="BI388" s="201">
        <f>+BI302-BI307-BI387</f>
        <v/>
      </c>
      <c r="BJ388" s="201">
        <f>+BJ302-BJ307-BJ387</f>
        <v/>
      </c>
      <c r="BK388" s="201">
        <f>+BK302-BK307-BK387</f>
        <v/>
      </c>
      <c r="BL388" s="201">
        <f>+BL302-BL307-BL387</f>
        <v/>
      </c>
      <c r="BM388" s="201">
        <f>+BM302-BM307-BM387</f>
        <v/>
      </c>
      <c r="BN388" s="200">
        <f>+BN302-BN307-BN387</f>
        <v/>
      </c>
    </row>
    <row r="389" ht="12.75" customHeight="1" s="1883">
      <c r="B389" s="1153" t="n"/>
      <c r="C389" s="1155" t="n"/>
      <c r="D389" s="670" t="n"/>
      <c r="E389" s="671" t="n"/>
      <c r="F389" s="74" t="n"/>
      <c r="G389" s="1091" t="n"/>
      <c r="H389" s="1163" t="n"/>
      <c r="I389" s="1163" t="n"/>
      <c r="J389" s="1163" t="n"/>
      <c r="K389" s="1163" t="n"/>
      <c r="L389" s="203" t="n"/>
      <c r="M389" s="1163" t="n"/>
      <c r="N389" s="1163" t="n"/>
      <c r="O389" s="1163" t="n"/>
      <c r="P389" s="1163" t="n"/>
      <c r="Q389" s="1163" t="n"/>
      <c r="R389" s="203" t="n"/>
      <c r="S389" s="1163" t="n"/>
      <c r="T389" s="1163" t="n"/>
      <c r="U389" s="1163" t="n"/>
      <c r="V389" s="1163" t="n"/>
      <c r="W389" s="1163" t="n"/>
      <c r="X389" s="203" t="n"/>
      <c r="Y389" s="1163" t="n"/>
      <c r="Z389" s="1163" t="n"/>
      <c r="AA389" s="1163" t="n"/>
      <c r="AB389" s="1163" t="n"/>
      <c r="AC389" s="1163" t="n"/>
      <c r="AD389" s="203" t="n"/>
      <c r="AE389" s="1163" t="n"/>
      <c r="AF389" s="1163" t="n"/>
      <c r="AG389" s="1163" t="n"/>
      <c r="AH389" s="1163" t="n"/>
      <c r="AI389" s="1163" t="n"/>
      <c r="AJ389" s="203" t="n"/>
      <c r="AK389" s="1163" t="n"/>
      <c r="AL389" s="1163" t="n"/>
      <c r="AM389" s="1163" t="n"/>
      <c r="AN389" s="1163" t="n"/>
      <c r="AO389" s="1163" t="n"/>
      <c r="AP389" s="203" t="n"/>
      <c r="AQ389" s="1163" t="n"/>
      <c r="AR389" s="1163" t="n"/>
      <c r="AS389" s="1163" t="n"/>
      <c r="AT389" s="1163" t="n"/>
      <c r="AU389" s="1163" t="n"/>
      <c r="AV389" s="203" t="n"/>
      <c r="AW389" s="1163" t="n"/>
      <c r="AX389" s="1163" t="n"/>
      <c r="AY389" s="1163" t="n"/>
      <c r="AZ389" s="1163" t="n"/>
      <c r="BA389" s="1163" t="n"/>
      <c r="BB389" s="203" t="n"/>
      <c r="BC389" s="1163" t="n"/>
      <c r="BD389" s="1163" t="n"/>
      <c r="BE389" s="1163" t="n"/>
      <c r="BF389" s="1163" t="n"/>
      <c r="BG389" s="1163" t="n"/>
      <c r="BH389" s="203" t="n"/>
      <c r="BI389" s="1163" t="n"/>
      <c r="BJ389" s="1163" t="n"/>
      <c r="BK389" s="1163" t="n"/>
      <c r="BL389" s="1163" t="n"/>
      <c r="BM389" s="1163" t="n"/>
      <c r="BN389" s="203" t="n"/>
    </row>
    <row r="390" ht="12.75" customHeight="1" s="1883">
      <c r="B390" s="1153" t="inlineStr">
        <is>
          <t>BS</t>
        </is>
      </c>
      <c r="C390" s="1164" t="inlineStr">
        <is>
          <t>F&amp;F - Gross Cost End</t>
        </is>
      </c>
      <c r="D390" s="1056" t="n"/>
      <c r="E390" s="1057" t="n"/>
      <c r="F390" s="74" t="n"/>
      <c r="G390" s="1068">
        <f>+G302+G313</f>
        <v/>
      </c>
      <c r="H390" s="1068">
        <f>+H302+H313</f>
        <v/>
      </c>
      <c r="I390" s="1068">
        <f>+I302+I313</f>
        <v/>
      </c>
      <c r="J390" s="1068">
        <f>+J302+J313</f>
        <v/>
      </c>
      <c r="K390" s="1068">
        <f>+K302+K313</f>
        <v/>
      </c>
      <c r="L390" s="168">
        <f>+L302+L313</f>
        <v/>
      </c>
      <c r="M390" s="1068">
        <f>+M302+M313</f>
        <v/>
      </c>
      <c r="N390" s="1068">
        <f>+N302+N313</f>
        <v/>
      </c>
      <c r="O390" s="1068">
        <f>+O302+O313</f>
        <v/>
      </c>
      <c r="P390" s="1068">
        <f>+P302+P313</f>
        <v/>
      </c>
      <c r="Q390" s="1068">
        <f>+Q302+Q313</f>
        <v/>
      </c>
      <c r="R390" s="168">
        <f>+R302+R313</f>
        <v/>
      </c>
      <c r="S390" s="1068">
        <f>+S302+S313</f>
        <v/>
      </c>
      <c r="T390" s="1068">
        <f>+T302+T313</f>
        <v/>
      </c>
      <c r="U390" s="1068">
        <f>+U302+U313</f>
        <v/>
      </c>
      <c r="V390" s="1068">
        <f>+V302+V313</f>
        <v/>
      </c>
      <c r="W390" s="1068">
        <f>+W302+W313</f>
        <v/>
      </c>
      <c r="X390" s="168">
        <f>+X302+X313</f>
        <v/>
      </c>
      <c r="Y390" s="1068">
        <f>+Y302+Y313</f>
        <v/>
      </c>
      <c r="Z390" s="1068">
        <f>+Z302+Z313</f>
        <v/>
      </c>
      <c r="AA390" s="1068">
        <f>+AA302+AA313</f>
        <v/>
      </c>
      <c r="AB390" s="1068">
        <f>+AB302+AB313</f>
        <v/>
      </c>
      <c r="AC390" s="1068">
        <f>+AC302+AC313</f>
        <v/>
      </c>
      <c r="AD390" s="168">
        <f>+AD302+AD313</f>
        <v/>
      </c>
      <c r="AE390" s="1068">
        <f>+AE302+AE313</f>
        <v/>
      </c>
      <c r="AF390" s="1068">
        <f>+AF302+AF313</f>
        <v/>
      </c>
      <c r="AG390" s="1068">
        <f>+AG302+AG313</f>
        <v/>
      </c>
      <c r="AH390" s="1068">
        <f>+AH302+AH313</f>
        <v/>
      </c>
      <c r="AI390" s="1068">
        <f>+AI302+AI313</f>
        <v/>
      </c>
      <c r="AJ390" s="168">
        <f>+AJ302+AJ313</f>
        <v/>
      </c>
      <c r="AK390" s="1068">
        <f>+AK302+AK313</f>
        <v/>
      </c>
      <c r="AL390" s="1068">
        <f>+AL302+AL313</f>
        <v/>
      </c>
      <c r="AM390" s="1068">
        <f>+AM302+AM313</f>
        <v/>
      </c>
      <c r="AN390" s="1068">
        <f>+AN302+AN313</f>
        <v/>
      </c>
      <c r="AO390" s="1068">
        <f>+AO302+AO313</f>
        <v/>
      </c>
      <c r="AP390" s="168">
        <f>+AP302+AP313</f>
        <v/>
      </c>
      <c r="AQ390" s="1068">
        <f>+AQ302+AQ313</f>
        <v/>
      </c>
      <c r="AR390" s="1068">
        <f>+AR302+AR313</f>
        <v/>
      </c>
      <c r="AS390" s="1068">
        <f>+AS302+AS313</f>
        <v/>
      </c>
      <c r="AT390" s="1068">
        <f>+AT302+AT313</f>
        <v/>
      </c>
      <c r="AU390" s="1068">
        <f>+AU302+AU313</f>
        <v/>
      </c>
      <c r="AV390" s="168">
        <f>+AV302+AV313</f>
        <v/>
      </c>
      <c r="AW390" s="1068">
        <f>+AW302+AW313</f>
        <v/>
      </c>
      <c r="AX390" s="1068">
        <f>+AX302+AX313</f>
        <v/>
      </c>
      <c r="AY390" s="1068">
        <f>+AY302+AY313</f>
        <v/>
      </c>
      <c r="AZ390" s="1068">
        <f>+AZ302+AZ313</f>
        <v/>
      </c>
      <c r="BA390" s="1068">
        <f>+BA302+BA313</f>
        <v/>
      </c>
      <c r="BB390" s="168">
        <f>+BB302+BB313</f>
        <v/>
      </c>
      <c r="BC390" s="1068">
        <f>+BC302+BC313</f>
        <v/>
      </c>
      <c r="BD390" s="1068">
        <f>+BD302+BD313</f>
        <v/>
      </c>
      <c r="BE390" s="1068">
        <f>+BE302+BE313</f>
        <v/>
      </c>
      <c r="BF390" s="1068">
        <f>+BF302+BF313</f>
        <v/>
      </c>
      <c r="BG390" s="1068">
        <f>+BG302+BG313</f>
        <v/>
      </c>
      <c r="BH390" s="168">
        <f>+BH302+BH313</f>
        <v/>
      </c>
      <c r="BI390" s="1068">
        <f>+BI302+BI313</f>
        <v/>
      </c>
      <c r="BJ390" s="1068">
        <f>+BJ302+BJ313</f>
        <v/>
      </c>
      <c r="BK390" s="1068">
        <f>+BK302+BK313</f>
        <v/>
      </c>
      <c r="BL390" s="1068">
        <f>+BL302+BL313</f>
        <v/>
      </c>
      <c r="BM390" s="1068">
        <f>+BM302+BM313</f>
        <v/>
      </c>
      <c r="BN390" s="168">
        <f>+BN302+BN313</f>
        <v/>
      </c>
    </row>
    <row r="391" ht="12.75" customHeight="1" s="1883">
      <c r="B391" s="1153" t="n"/>
      <c r="C391" s="1040" t="n"/>
      <c r="D391" s="670" t="n"/>
      <c r="E391" s="671" t="n"/>
      <c r="F391" s="74" t="n"/>
      <c r="G391" s="1091" t="n"/>
      <c r="H391" s="1081" t="n"/>
      <c r="I391" s="1081" t="n"/>
      <c r="J391" s="1081" t="n"/>
      <c r="K391" s="1081" t="n"/>
      <c r="L391" s="199" t="n"/>
      <c r="M391" s="1042" t="n"/>
      <c r="N391" s="1042" t="n"/>
      <c r="O391" s="1042" t="n"/>
      <c r="P391" s="1042" t="n"/>
      <c r="Q391" s="1042" t="n"/>
      <c r="R391" s="156" t="n"/>
      <c r="S391" s="1042" t="n"/>
      <c r="T391" s="1042" t="n"/>
      <c r="U391" s="1042" t="n"/>
      <c r="V391" s="1042" t="n"/>
      <c r="W391" s="1042" t="n"/>
      <c r="X391" s="156" t="n"/>
      <c r="Y391" s="1042" t="n"/>
      <c r="Z391" s="1042" t="n"/>
      <c r="AA391" s="1042" t="n"/>
      <c r="AB391" s="1042" t="n"/>
      <c r="AC391" s="1042" t="n"/>
      <c r="AD391" s="156" t="n"/>
      <c r="AE391" s="1042" t="n"/>
      <c r="AF391" s="1042" t="n"/>
      <c r="AG391" s="1042" t="n"/>
      <c r="AH391" s="1042" t="n"/>
      <c r="AI391" s="1042" t="n"/>
      <c r="AJ391" s="156" t="n"/>
      <c r="AK391" s="1042" t="n"/>
      <c r="AL391" s="1042" t="n"/>
      <c r="AM391" s="1042" t="n"/>
      <c r="AN391" s="1042" t="n"/>
      <c r="AO391" s="1042" t="n"/>
      <c r="AP391" s="156" t="n"/>
      <c r="AQ391" s="1042" t="n"/>
      <c r="AR391" s="1042" t="n"/>
      <c r="AS391" s="1042" t="n"/>
      <c r="AT391" s="1042" t="n"/>
      <c r="AU391" s="1042" t="n"/>
      <c r="AV391" s="156" t="n"/>
      <c r="AW391" s="1042" t="n"/>
      <c r="AX391" s="1042" t="n"/>
      <c r="AY391" s="1042" t="n"/>
      <c r="AZ391" s="1042" t="n"/>
      <c r="BA391" s="1042" t="n"/>
      <c r="BB391" s="156" t="n"/>
      <c r="BC391" s="1042" t="n"/>
      <c r="BD391" s="1042" t="n"/>
      <c r="BE391" s="1042" t="n"/>
      <c r="BF391" s="1042" t="n"/>
      <c r="BG391" s="1042" t="n"/>
      <c r="BH391" s="156" t="n"/>
      <c r="BI391" s="1042" t="n"/>
      <c r="BJ391" s="1042" t="n"/>
      <c r="BK391" s="1042" t="n"/>
      <c r="BL391" s="1042" t="n"/>
      <c r="BM391" s="1042" t="n"/>
      <c r="BN391" s="156" t="n"/>
    </row>
    <row r="392" ht="12.75" customHeight="1" s="1883">
      <c r="B392" s="1153" t="inlineStr">
        <is>
          <t>IS</t>
        </is>
      </c>
      <c r="C392" s="1928" t="inlineStr">
        <is>
          <t>Total Amortization Expense - F&amp;F</t>
        </is>
      </c>
      <c r="D392" s="1056" t="n"/>
      <c r="E392" s="1057" t="n"/>
      <c r="F392" s="74" t="n"/>
      <c r="G392" s="1068">
        <f>+G306+SUM(G353:G386)</f>
        <v/>
      </c>
      <c r="H392" s="1068">
        <f>+H306+SUM(H353:H386)</f>
        <v/>
      </c>
      <c r="I392" s="1068">
        <f>+I306+SUM(I353:I386)</f>
        <v/>
      </c>
      <c r="J392" s="1068">
        <f>+J306+SUM(J353:J386)</f>
        <v/>
      </c>
      <c r="K392" s="1068">
        <f>+K306+SUM(K353:K386)</f>
        <v/>
      </c>
      <c r="L392" s="168">
        <f>+L306+SUM(L353:L386)</f>
        <v/>
      </c>
      <c r="M392" s="1068">
        <f>+M306+SUM(M353:M386)</f>
        <v/>
      </c>
      <c r="N392" s="1068">
        <f>+N306+SUM(N353:N386)</f>
        <v/>
      </c>
      <c r="O392" s="1068">
        <f>+O306+SUM(O353:O386)</f>
        <v/>
      </c>
      <c r="P392" s="1068">
        <f>+P306+SUM(P353:P386)</f>
        <v/>
      </c>
      <c r="Q392" s="1068">
        <f>+Q306+SUM(Q353:Q386)</f>
        <v/>
      </c>
      <c r="R392" s="168">
        <f>+R306+SUM(R353:R386)</f>
        <v/>
      </c>
      <c r="S392" s="1068">
        <f>+S306+SUM(S353:S386)</f>
        <v/>
      </c>
      <c r="T392" s="1068">
        <f>+T306+SUM(T353:T386)</f>
        <v/>
      </c>
      <c r="U392" s="1068">
        <f>+U306+SUM(U353:U386)</f>
        <v/>
      </c>
      <c r="V392" s="1068">
        <f>+V306+SUM(V353:V386)</f>
        <v/>
      </c>
      <c r="W392" s="1068">
        <f>+W306+SUM(W353:W386)</f>
        <v/>
      </c>
      <c r="X392" s="168">
        <f>+X306+SUM(X353:X386)</f>
        <v/>
      </c>
      <c r="Y392" s="1068">
        <f>+Y306+SUM(Y353:Y386)</f>
        <v/>
      </c>
      <c r="Z392" s="1068">
        <f>+Z306+SUM(Z353:Z386)</f>
        <v/>
      </c>
      <c r="AA392" s="1068">
        <f>+AA306+SUM(AA353:AA386)</f>
        <v/>
      </c>
      <c r="AB392" s="1068">
        <f>+AB306+SUM(AB353:AB386)</f>
        <v/>
      </c>
      <c r="AC392" s="1068">
        <f>+AC306+SUM(AC353:AC386)</f>
        <v/>
      </c>
      <c r="AD392" s="168">
        <f>+AD306+SUM(AD353:AD386)</f>
        <v/>
      </c>
      <c r="AE392" s="1068">
        <f>+AE306+SUM(AE353:AE386)</f>
        <v/>
      </c>
      <c r="AF392" s="1068">
        <f>+AF306+SUM(AF353:AF386)</f>
        <v/>
      </c>
      <c r="AG392" s="1068">
        <f>+AG306+SUM(AG353:AG386)</f>
        <v/>
      </c>
      <c r="AH392" s="1068">
        <f>+AH306+SUM(AH353:AH386)</f>
        <v/>
      </c>
      <c r="AI392" s="1068">
        <f>+AI306+SUM(AI353:AI386)</f>
        <v/>
      </c>
      <c r="AJ392" s="168">
        <f>+AJ306+SUM(AJ353:AJ386)</f>
        <v/>
      </c>
      <c r="AK392" s="1068">
        <f>+AK306+SUM(AK353:AK386)</f>
        <v/>
      </c>
      <c r="AL392" s="1068">
        <f>+AL306+SUM(AL353:AL386)</f>
        <v/>
      </c>
      <c r="AM392" s="1068">
        <f>+AM306+SUM(AM353:AM386)</f>
        <v/>
      </c>
      <c r="AN392" s="1068">
        <f>+AN306+SUM(AN353:AN386)</f>
        <v/>
      </c>
      <c r="AO392" s="1068">
        <f>+AO306+SUM(AO353:AO386)</f>
        <v/>
      </c>
      <c r="AP392" s="168">
        <f>+AP306+SUM(AP353:AP386)</f>
        <v/>
      </c>
      <c r="AQ392" s="1068">
        <f>+AQ306+SUM(AQ353:AQ386)</f>
        <v/>
      </c>
      <c r="AR392" s="1068">
        <f>+AR306+SUM(AR353:AR386)</f>
        <v/>
      </c>
      <c r="AS392" s="1068">
        <f>+AS306+SUM(AS353:AS386)</f>
        <v/>
      </c>
      <c r="AT392" s="1068">
        <f>+AT306+SUM(AT353:AT386)</f>
        <v/>
      </c>
      <c r="AU392" s="1068">
        <f>+AU306+SUM(AU353:AU386)</f>
        <v/>
      </c>
      <c r="AV392" s="168">
        <f>+AV306+SUM(AV353:AV386)</f>
        <v/>
      </c>
      <c r="AW392" s="1068">
        <f>+AW306+SUM(AW353:AW386)</f>
        <v/>
      </c>
      <c r="AX392" s="1068">
        <f>+AX306+SUM(AX353:AX386)</f>
        <v/>
      </c>
      <c r="AY392" s="1068">
        <f>+AY306+SUM(AY353:AY386)</f>
        <v/>
      </c>
      <c r="AZ392" s="1068">
        <f>+AZ306+SUM(AZ353:AZ386)</f>
        <v/>
      </c>
      <c r="BA392" s="1068">
        <f>+BA306+SUM(BA353:BA386)</f>
        <v/>
      </c>
      <c r="BB392" s="168">
        <f>+BB306+SUM(BB353:BB386)</f>
        <v/>
      </c>
      <c r="BC392" s="1068">
        <f>+BC306+SUM(BC353:BC386)</f>
        <v/>
      </c>
      <c r="BD392" s="1068">
        <f>+BD306+SUM(BD353:BD386)</f>
        <v/>
      </c>
      <c r="BE392" s="1068">
        <f>+BE306+SUM(BE353:BE386)</f>
        <v/>
      </c>
      <c r="BF392" s="1068">
        <f>+BF306+SUM(BF353:BF386)</f>
        <v/>
      </c>
      <c r="BG392" s="1068">
        <f>+BG306+SUM(BG353:BG386)</f>
        <v/>
      </c>
      <c r="BH392" s="168">
        <f>+BH306+SUM(BH353:BH386)</f>
        <v/>
      </c>
      <c r="BI392" s="1068">
        <f>+BI306+SUM(BI353:BI386)</f>
        <v/>
      </c>
      <c r="BJ392" s="1068">
        <f>+BJ306+SUM(BJ353:BJ386)</f>
        <v/>
      </c>
      <c r="BK392" s="1068">
        <f>+BK306+SUM(BK353:BK386)</f>
        <v/>
      </c>
      <c r="BL392" s="1068">
        <f>+BL306+SUM(BL353:BL386)</f>
        <v/>
      </c>
      <c r="BM392" s="1068">
        <f>+BM306+SUM(BM353:BM386)</f>
        <v/>
      </c>
      <c r="BN392" s="168">
        <f>+BN306+SUM(BN353:BN386)</f>
        <v/>
      </c>
    </row>
    <row r="393" ht="12.75" customHeight="1" s="1883">
      <c r="B393" s="1153" t="n"/>
      <c r="C393" s="1165" t="n"/>
      <c r="D393" s="1166" t="n"/>
      <c r="E393" s="1167" t="n"/>
      <c r="F393" s="1168" t="n"/>
      <c r="G393" s="1169" t="n"/>
      <c r="H393" s="1170" t="n"/>
      <c r="I393" s="1170" t="n"/>
      <c r="J393" s="1170" t="n"/>
      <c r="K393" s="1170" t="n"/>
      <c r="L393" s="204" t="n"/>
      <c r="M393" s="1171" t="n"/>
      <c r="N393" s="1171" t="n"/>
      <c r="O393" s="1171" t="n"/>
      <c r="P393" s="1171" t="n"/>
      <c r="Q393" s="1171" t="n"/>
      <c r="R393" s="205" t="n"/>
      <c r="S393" s="1171" t="n"/>
      <c r="T393" s="1171" t="n"/>
      <c r="U393" s="1171" t="n"/>
      <c r="V393" s="1171" t="n"/>
      <c r="W393" s="1171" t="n"/>
      <c r="X393" s="205" t="n"/>
      <c r="Y393" s="1171" t="n"/>
      <c r="Z393" s="1171" t="n"/>
      <c r="AA393" s="1171" t="n"/>
      <c r="AB393" s="1171" t="n"/>
      <c r="AC393" s="1171" t="n"/>
      <c r="AD393" s="205" t="n"/>
      <c r="AE393" s="1171" t="n"/>
      <c r="AF393" s="1171" t="n"/>
      <c r="AG393" s="1171" t="n"/>
      <c r="AH393" s="1171" t="n"/>
      <c r="AI393" s="1171" t="n"/>
      <c r="AJ393" s="205" t="n"/>
      <c r="AK393" s="1171" t="n"/>
      <c r="AL393" s="1171" t="n"/>
      <c r="AM393" s="1171" t="n"/>
      <c r="AN393" s="1171" t="n"/>
      <c r="AO393" s="1171" t="n"/>
      <c r="AP393" s="205" t="n"/>
      <c r="AQ393" s="1171" t="n"/>
      <c r="AR393" s="1171" t="n"/>
      <c r="AS393" s="1171" t="n"/>
      <c r="AT393" s="1171" t="n"/>
      <c r="AU393" s="1171" t="n"/>
      <c r="AV393" s="205" t="n"/>
      <c r="AW393" s="1171" t="n"/>
      <c r="AX393" s="1171" t="n"/>
      <c r="AY393" s="1171" t="n"/>
      <c r="AZ393" s="1171" t="n"/>
      <c r="BA393" s="1171" t="n"/>
      <c r="BB393" s="205" t="n"/>
      <c r="BC393" s="1171" t="n"/>
      <c r="BD393" s="1171" t="n"/>
      <c r="BE393" s="1171" t="n"/>
      <c r="BF393" s="1171" t="n"/>
      <c r="BG393" s="1171" t="n"/>
      <c r="BH393" s="205" t="n"/>
      <c r="BI393" s="1171" t="n"/>
      <c r="BJ393" s="1171" t="n"/>
      <c r="BK393" s="1171" t="n"/>
      <c r="BL393" s="1171" t="n"/>
      <c r="BM393" s="1171" t="n"/>
      <c r="BN393" s="205" t="n"/>
    </row>
    <row r="394" ht="12.75" customHeight="1" s="1883">
      <c r="B394" s="1153" t="inlineStr">
        <is>
          <t>BS</t>
        </is>
      </c>
      <c r="C394" s="1918" t="inlineStr">
        <is>
          <t>Total PP&amp;E - Cost</t>
        </is>
      </c>
      <c r="D394" s="1056" t="n"/>
      <c r="E394" s="1057" t="n"/>
      <c r="F394" s="73">
        <f>+'Balance Sheet'!P17</f>
        <v/>
      </c>
      <c r="G394" s="1715">
        <f>+G390+G297</f>
        <v/>
      </c>
      <c r="H394" s="73">
        <f>+H390+H297</f>
        <v/>
      </c>
      <c r="I394" s="73">
        <f>+I390+I297</f>
        <v/>
      </c>
      <c r="J394" s="73">
        <f>+J390+J297</f>
        <v/>
      </c>
      <c r="K394" s="73">
        <f>+K390+K297</f>
        <v/>
      </c>
      <c r="L394" s="1071">
        <f>+L390+L297</f>
        <v/>
      </c>
      <c r="M394" s="73">
        <f>+M390+M297</f>
        <v/>
      </c>
      <c r="N394" s="73">
        <f>+N390+N297</f>
        <v/>
      </c>
      <c r="O394" s="73">
        <f>+O390+O297</f>
        <v/>
      </c>
      <c r="P394" s="73">
        <f>+P390+P297</f>
        <v/>
      </c>
      <c r="Q394" s="73">
        <f>+Q390+Q297</f>
        <v/>
      </c>
      <c r="R394" s="1071">
        <f>+R390+R297</f>
        <v/>
      </c>
      <c r="S394" s="73">
        <f>+S390+S297</f>
        <v/>
      </c>
      <c r="T394" s="73">
        <f>+T390+T297</f>
        <v/>
      </c>
      <c r="U394" s="73">
        <f>+U390+U297</f>
        <v/>
      </c>
      <c r="V394" s="73">
        <f>+V390+V297</f>
        <v/>
      </c>
      <c r="W394" s="73">
        <f>+W390+W297</f>
        <v/>
      </c>
      <c r="X394" s="1071">
        <f>+X390+X297</f>
        <v/>
      </c>
      <c r="Y394" s="73">
        <f>+Y390+Y297</f>
        <v/>
      </c>
      <c r="Z394" s="73">
        <f>+Z390+Z297</f>
        <v/>
      </c>
      <c r="AA394" s="73">
        <f>+AA390+AA297</f>
        <v/>
      </c>
      <c r="AB394" s="73">
        <f>+AB390+AB297</f>
        <v/>
      </c>
      <c r="AC394" s="73">
        <f>+AC390+AC297</f>
        <v/>
      </c>
      <c r="AD394" s="1071">
        <f>+AD390+AD297</f>
        <v/>
      </c>
      <c r="AE394" s="73">
        <f>+AE390+AE297</f>
        <v/>
      </c>
      <c r="AF394" s="73">
        <f>+AF390+AF297</f>
        <v/>
      </c>
      <c r="AG394" s="73">
        <f>+AG390+AG297</f>
        <v/>
      </c>
      <c r="AH394" s="73">
        <f>+AH390+AH297</f>
        <v/>
      </c>
      <c r="AI394" s="73">
        <f>+AI390+AI297</f>
        <v/>
      </c>
      <c r="AJ394" s="1071">
        <f>+AJ390+AJ297</f>
        <v/>
      </c>
      <c r="AK394" s="73">
        <f>+AK390+AK297</f>
        <v/>
      </c>
      <c r="AL394" s="73">
        <f>+AL390+AL297</f>
        <v/>
      </c>
      <c r="AM394" s="73">
        <f>+AM390+AM297</f>
        <v/>
      </c>
      <c r="AN394" s="73">
        <f>+AN390+AN297</f>
        <v/>
      </c>
      <c r="AO394" s="73">
        <f>+AO390+AO297</f>
        <v/>
      </c>
      <c r="AP394" s="1071">
        <f>+AP390+AP297</f>
        <v/>
      </c>
      <c r="AQ394" s="73">
        <f>+AQ390+AQ297</f>
        <v/>
      </c>
      <c r="AR394" s="73">
        <f>+AR390+AR297</f>
        <v/>
      </c>
      <c r="AS394" s="73">
        <f>+AS390+AS297</f>
        <v/>
      </c>
      <c r="AT394" s="73">
        <f>+AT390+AT297</f>
        <v/>
      </c>
      <c r="AU394" s="73">
        <f>+AU390+AU297</f>
        <v/>
      </c>
      <c r="AV394" s="1071">
        <f>+AV390+AV297</f>
        <v/>
      </c>
      <c r="AW394" s="73">
        <f>+AW390+AW297</f>
        <v/>
      </c>
      <c r="AX394" s="73">
        <f>+AX390+AX297</f>
        <v/>
      </c>
      <c r="AY394" s="73">
        <f>+AY390+AY297</f>
        <v/>
      </c>
      <c r="AZ394" s="73">
        <f>+AZ390+AZ297</f>
        <v/>
      </c>
      <c r="BA394" s="73">
        <f>+BA390+BA297</f>
        <v/>
      </c>
      <c r="BB394" s="1071">
        <f>+BB390+BB297</f>
        <v/>
      </c>
      <c r="BC394" s="73">
        <f>+BC390+BC297</f>
        <v/>
      </c>
      <c r="BD394" s="73">
        <f>+BD390+BD297</f>
        <v/>
      </c>
      <c r="BE394" s="73">
        <f>+BE390+BE297</f>
        <v/>
      </c>
      <c r="BF394" s="73">
        <f>+BF390+BF297</f>
        <v/>
      </c>
      <c r="BG394" s="73">
        <f>+BG390+BG297</f>
        <v/>
      </c>
      <c r="BH394" s="1071">
        <f>+BH390+BH297</f>
        <v/>
      </c>
      <c r="BI394" s="73">
        <f>+BI390+BI297</f>
        <v/>
      </c>
      <c r="BJ394" s="73">
        <f>+BJ390+BJ297</f>
        <v/>
      </c>
      <c r="BK394" s="73">
        <f>+BK390+BK297</f>
        <v/>
      </c>
      <c r="BL394" s="73">
        <f>+BL390+BL297</f>
        <v/>
      </c>
      <c r="BM394" s="73">
        <f>+BM390+BM297</f>
        <v/>
      </c>
      <c r="BN394" s="1071">
        <f>+BN390+BN297</f>
        <v/>
      </c>
    </row>
    <row r="395" ht="12.75" customHeight="1" s="1883">
      <c r="B395" s="56" t="inlineStr">
        <is>
          <t>BS</t>
        </is>
      </c>
      <c r="C395" s="1114" t="inlineStr">
        <is>
          <t>Total Accumulated Amortization</t>
        </is>
      </c>
      <c r="D395" s="70" t="n"/>
      <c r="E395" s="169" t="n"/>
      <c r="F395" s="74" t="n"/>
      <c r="G395" s="73">
        <f>-G387-G307-G294-G216</f>
        <v/>
      </c>
      <c r="H395" s="73">
        <f>-H387-H307-H294-H216</f>
        <v/>
      </c>
      <c r="I395" s="73">
        <f>-I387-I307-I294-I216</f>
        <v/>
      </c>
      <c r="J395" s="73">
        <f>-J387-J307-J294-J216</f>
        <v/>
      </c>
      <c r="K395" s="73">
        <f>-K387-K307-K294-K216</f>
        <v/>
      </c>
      <c r="L395" s="1071">
        <f>-L387-L307-L294-L216</f>
        <v/>
      </c>
      <c r="M395" s="73">
        <f>-M387-M307-M294-M216</f>
        <v/>
      </c>
      <c r="N395" s="73">
        <f>-N387-N307-N294-N216</f>
        <v/>
      </c>
      <c r="O395" s="73">
        <f>-O387-O307-O294-O216</f>
        <v/>
      </c>
      <c r="P395" s="73">
        <f>-P387-P307-P294-P216</f>
        <v/>
      </c>
      <c r="Q395" s="73">
        <f>-Q387-Q307-Q294-Q216</f>
        <v/>
      </c>
      <c r="R395" s="1071">
        <f>-R387-R307-R294-R216</f>
        <v/>
      </c>
      <c r="S395" s="73">
        <f>-S387-S307-S294-S216</f>
        <v/>
      </c>
      <c r="T395" s="73">
        <f>-T387-T307-T294-T216</f>
        <v/>
      </c>
      <c r="U395" s="73">
        <f>-U387-U307-U294-U216</f>
        <v/>
      </c>
      <c r="V395" s="73">
        <f>-V387-V307-V294-V216</f>
        <v/>
      </c>
      <c r="W395" s="73">
        <f>-W387-W307-W294-W216</f>
        <v/>
      </c>
      <c r="X395" s="1071">
        <f>-X387-X307-X294-X216</f>
        <v/>
      </c>
      <c r="Y395" s="73">
        <f>-Y387-Y307-Y294-Y216</f>
        <v/>
      </c>
      <c r="Z395" s="73">
        <f>-Z387-Z307-Z294-Z216</f>
        <v/>
      </c>
      <c r="AA395" s="73">
        <f>-AA387-AA307-AA294-AA216</f>
        <v/>
      </c>
      <c r="AB395" s="73">
        <f>-AB387-AB307-AB294-AB216</f>
        <v/>
      </c>
      <c r="AC395" s="73">
        <f>-AC387-AC307-AC294-AC216</f>
        <v/>
      </c>
      <c r="AD395" s="1071">
        <f>-AD387-AD307-AD294-AD216</f>
        <v/>
      </c>
      <c r="AE395" s="73">
        <f>-AE387-AE307-AE294-AE216</f>
        <v/>
      </c>
      <c r="AF395" s="73">
        <f>-AF387-AF307-AF294-AF216</f>
        <v/>
      </c>
      <c r="AG395" s="73">
        <f>-AG387-AG307-AG294-AG216</f>
        <v/>
      </c>
      <c r="AH395" s="73">
        <f>-AH387-AH307-AH294-AH216</f>
        <v/>
      </c>
      <c r="AI395" s="73">
        <f>-AI387-AI307-AI294-AI216</f>
        <v/>
      </c>
      <c r="AJ395" s="1071">
        <f>-AJ387-AJ307-AJ294-AJ216</f>
        <v/>
      </c>
      <c r="AK395" s="73">
        <f>-AK387-AK307-AK294-AK216</f>
        <v/>
      </c>
      <c r="AL395" s="73">
        <f>-AL387-AL307-AL294-AL216</f>
        <v/>
      </c>
      <c r="AM395" s="73">
        <f>-AM387-AM307-AM294-AM216</f>
        <v/>
      </c>
      <c r="AN395" s="73">
        <f>-AN387-AN307-AN294-AN216</f>
        <v/>
      </c>
      <c r="AO395" s="73">
        <f>-AO387-AO307-AO294-AO216</f>
        <v/>
      </c>
      <c r="AP395" s="1071">
        <f>-AP387-AP307-AP294-AP216</f>
        <v/>
      </c>
      <c r="AQ395" s="73">
        <f>-AQ387-AQ307-AQ294-AQ216</f>
        <v/>
      </c>
      <c r="AR395" s="73">
        <f>-AR387-AR307-AR294-AR216</f>
        <v/>
      </c>
      <c r="AS395" s="73">
        <f>-AS387-AS307-AS294-AS216</f>
        <v/>
      </c>
      <c r="AT395" s="73">
        <f>-AT387-AT307-AT294-AT216</f>
        <v/>
      </c>
      <c r="AU395" s="73">
        <f>-AU387-AU307-AU294-AU216</f>
        <v/>
      </c>
      <c r="AV395" s="1071">
        <f>-AV387-AV307-AV294-AV216</f>
        <v/>
      </c>
      <c r="AW395" s="73">
        <f>-AW387-AW307-AW294-AW216</f>
        <v/>
      </c>
      <c r="AX395" s="73">
        <f>-AX387-AX307-AX294-AX216</f>
        <v/>
      </c>
      <c r="AY395" s="73">
        <f>-AY387-AY307-AY294-AY216</f>
        <v/>
      </c>
      <c r="AZ395" s="73">
        <f>-AZ387-AZ307-AZ294-AZ216</f>
        <v/>
      </c>
      <c r="BA395" s="73">
        <f>-BA387-BA307-BA294-BA216</f>
        <v/>
      </c>
      <c r="BB395" s="1071">
        <f>-BB387-BB307-BB294-BB216</f>
        <v/>
      </c>
      <c r="BC395" s="73">
        <f>-BC387-BC307-BC294-BC216</f>
        <v/>
      </c>
      <c r="BD395" s="73">
        <f>-BD387-BD307-BD294-BD216</f>
        <v/>
      </c>
      <c r="BE395" s="73">
        <f>-BE387-BE307-BE294-BE216</f>
        <v/>
      </c>
      <c r="BF395" s="73">
        <f>-BF387-BF307-BF294-BF216</f>
        <v/>
      </c>
      <c r="BG395" s="73">
        <f>-BG387-BG307-BG294-BG216</f>
        <v/>
      </c>
      <c r="BH395" s="1071">
        <f>-BH387-BH307-BH294-BH216</f>
        <v/>
      </c>
      <c r="BI395" s="73">
        <f>-BI387-BI307-BI294-BI216</f>
        <v/>
      </c>
      <c r="BJ395" s="73">
        <f>-BJ387-BJ307-BJ294-BJ216</f>
        <v/>
      </c>
      <c r="BK395" s="73">
        <f>-BK387-BK307-BK294-BK216</f>
        <v/>
      </c>
      <c r="BL395" s="73">
        <f>-BL387-BL307-BL294-BL216</f>
        <v/>
      </c>
      <c r="BM395" s="73">
        <f>-BM387-BM307-BM294-BM216</f>
        <v/>
      </c>
      <c r="BN395" s="1071">
        <f>-BN387-BN307-BN294-BN216</f>
        <v/>
      </c>
    </row>
    <row r="396" ht="12.75" customHeight="1" s="1883">
      <c r="B396" s="56" t="inlineStr">
        <is>
          <t>BS</t>
        </is>
      </c>
      <c r="C396" s="1114" t="inlineStr">
        <is>
          <t>Total PP&amp;E - Net</t>
        </is>
      </c>
      <c r="D396" s="70" t="n"/>
      <c r="E396" s="169" t="n"/>
      <c r="F396" s="74" t="n"/>
      <c r="G396" s="73">
        <f>SUM(G394:G395)</f>
        <v/>
      </c>
      <c r="H396" s="73">
        <f>SUM(H394:H395)</f>
        <v/>
      </c>
      <c r="I396" s="73">
        <f>SUM(I394:I395)</f>
        <v/>
      </c>
      <c r="J396" s="73">
        <f>SUM(J394:J395)</f>
        <v/>
      </c>
      <c r="K396" s="73">
        <f>SUM(K394:K395)</f>
        <v/>
      </c>
      <c r="L396" s="1071">
        <f>SUM(L394:L395)</f>
        <v/>
      </c>
      <c r="M396" s="73">
        <f>SUM(M394:M395)</f>
        <v/>
      </c>
      <c r="N396" s="73">
        <f>SUM(N394:N395)</f>
        <v/>
      </c>
      <c r="O396" s="73">
        <f>SUM(O394:O395)</f>
        <v/>
      </c>
      <c r="P396" s="73">
        <f>SUM(P394:P395)</f>
        <v/>
      </c>
      <c r="Q396" s="73">
        <f>SUM(Q394:Q395)</f>
        <v/>
      </c>
      <c r="R396" s="1071">
        <f>SUM(R394:R395)</f>
        <v/>
      </c>
      <c r="S396" s="73">
        <f>SUM(S394:S395)</f>
        <v/>
      </c>
      <c r="T396" s="73">
        <f>SUM(T394:T395)</f>
        <v/>
      </c>
      <c r="U396" s="73">
        <f>SUM(U394:U395)</f>
        <v/>
      </c>
      <c r="V396" s="73">
        <f>SUM(V394:V395)</f>
        <v/>
      </c>
      <c r="W396" s="73">
        <f>SUM(W394:W395)</f>
        <v/>
      </c>
      <c r="X396" s="1071">
        <f>SUM(X394:X395)</f>
        <v/>
      </c>
      <c r="Y396" s="73">
        <f>SUM(Y394:Y395)</f>
        <v/>
      </c>
      <c r="Z396" s="73">
        <f>SUM(Z394:Z395)</f>
        <v/>
      </c>
      <c r="AA396" s="73">
        <f>SUM(AA394:AA395)</f>
        <v/>
      </c>
      <c r="AB396" s="73">
        <f>SUM(AB394:AB395)</f>
        <v/>
      </c>
      <c r="AC396" s="73">
        <f>SUM(AC394:AC395)</f>
        <v/>
      </c>
      <c r="AD396" s="1071">
        <f>SUM(AD394:AD395)</f>
        <v/>
      </c>
      <c r="AE396" s="73">
        <f>SUM(AE394:AE395)</f>
        <v/>
      </c>
      <c r="AF396" s="73">
        <f>SUM(AF394:AF395)</f>
        <v/>
      </c>
      <c r="AG396" s="73">
        <f>SUM(AG394:AG395)</f>
        <v/>
      </c>
      <c r="AH396" s="73">
        <f>SUM(AH394:AH395)</f>
        <v/>
      </c>
      <c r="AI396" s="73">
        <f>SUM(AI394:AI395)</f>
        <v/>
      </c>
      <c r="AJ396" s="1071">
        <f>SUM(AJ394:AJ395)</f>
        <v/>
      </c>
      <c r="AK396" s="73">
        <f>SUM(AK394:AK395)</f>
        <v/>
      </c>
      <c r="AL396" s="73">
        <f>SUM(AL394:AL395)</f>
        <v/>
      </c>
      <c r="AM396" s="73">
        <f>SUM(AM394:AM395)</f>
        <v/>
      </c>
      <c r="AN396" s="73">
        <f>SUM(AN394:AN395)</f>
        <v/>
      </c>
      <c r="AO396" s="73">
        <f>SUM(AO394:AO395)</f>
        <v/>
      </c>
      <c r="AP396" s="1071">
        <f>SUM(AP394:AP395)</f>
        <v/>
      </c>
      <c r="AQ396" s="73">
        <f>SUM(AQ394:AQ395)</f>
        <v/>
      </c>
      <c r="AR396" s="73">
        <f>SUM(AR394:AR395)</f>
        <v/>
      </c>
      <c r="AS396" s="73">
        <f>SUM(AS394:AS395)</f>
        <v/>
      </c>
      <c r="AT396" s="73">
        <f>SUM(AT394:AT395)</f>
        <v/>
      </c>
      <c r="AU396" s="73">
        <f>SUM(AU394:AU395)</f>
        <v/>
      </c>
      <c r="AV396" s="1071">
        <f>SUM(AV394:AV395)</f>
        <v/>
      </c>
      <c r="AW396" s="73">
        <f>SUM(AW394:AW395)</f>
        <v/>
      </c>
      <c r="AX396" s="73">
        <f>SUM(AX394:AX395)</f>
        <v/>
      </c>
      <c r="AY396" s="73">
        <f>SUM(AY394:AY395)</f>
        <v/>
      </c>
      <c r="AZ396" s="73">
        <f>SUM(AZ394:AZ395)</f>
        <v/>
      </c>
      <c r="BA396" s="73">
        <f>SUM(BA394:BA395)</f>
        <v/>
      </c>
      <c r="BB396" s="1071">
        <f>SUM(BB394:BB395)</f>
        <v/>
      </c>
      <c r="BC396" s="73">
        <f>SUM(BC394:BC395)</f>
        <v/>
      </c>
      <c r="BD396" s="73">
        <f>SUM(BD394:BD395)</f>
        <v/>
      </c>
      <c r="BE396" s="73">
        <f>SUM(BE394:BE395)</f>
        <v/>
      </c>
      <c r="BF396" s="73">
        <f>SUM(BF394:BF395)</f>
        <v/>
      </c>
      <c r="BG396" s="73">
        <f>SUM(BG394:BG395)</f>
        <v/>
      </c>
      <c r="BH396" s="1071">
        <f>SUM(BH394:BH395)</f>
        <v/>
      </c>
      <c r="BI396" s="73">
        <f>SUM(BI394:BI395)</f>
        <v/>
      </c>
      <c r="BJ396" s="73">
        <f>SUM(BJ394:BJ395)</f>
        <v/>
      </c>
      <c r="BK396" s="73">
        <f>SUM(BK394:BK395)</f>
        <v/>
      </c>
      <c r="BL396" s="73">
        <f>SUM(BL394:BL395)</f>
        <v/>
      </c>
      <c r="BM396" s="73">
        <f>SUM(BM394:BM395)</f>
        <v/>
      </c>
      <c r="BN396" s="1071">
        <f>SUM(BN394:BN395)</f>
        <v/>
      </c>
    </row>
    <row r="397" ht="12.75" customHeight="1" s="1883">
      <c r="B397" s="56" t="n"/>
      <c r="C397" s="1038" t="n"/>
      <c r="D397" s="66" t="n"/>
      <c r="E397" s="67" t="n"/>
      <c r="F397" s="74" t="n"/>
      <c r="G397" s="69" t="n"/>
      <c r="H397" s="207" t="n"/>
      <c r="I397" s="207" t="n"/>
      <c r="J397" s="207" t="n"/>
      <c r="K397" s="207" t="n"/>
      <c r="L397" s="1172" t="n"/>
      <c r="M397" s="59" t="n"/>
      <c r="N397" s="59" t="n"/>
      <c r="O397" s="59" t="n"/>
      <c r="P397" s="59" t="n"/>
      <c r="Q397" s="59" t="n"/>
      <c r="R397" s="1039" t="n"/>
      <c r="S397" s="59" t="n"/>
      <c r="T397" s="59" t="n"/>
      <c r="U397" s="59" t="n"/>
      <c r="V397" s="59" t="n"/>
      <c r="W397" s="59" t="n"/>
      <c r="X397" s="1039" t="n"/>
      <c r="Y397" s="59" t="n"/>
      <c r="Z397" s="59" t="n"/>
      <c r="AA397" s="59" t="n"/>
      <c r="AB397" s="59" t="n"/>
      <c r="AC397" s="59" t="n"/>
      <c r="AD397" s="1039" t="n"/>
      <c r="AE397" s="59" t="n"/>
      <c r="AF397" s="59" t="n"/>
      <c r="AG397" s="59" t="n"/>
      <c r="AH397" s="59" t="n"/>
      <c r="AI397" s="59" t="n"/>
      <c r="AJ397" s="1039" t="n"/>
      <c r="AK397" s="59" t="n"/>
      <c r="AL397" s="59" t="n"/>
      <c r="AM397" s="59" t="n"/>
      <c r="AN397" s="59" t="n"/>
      <c r="AO397" s="59" t="n"/>
      <c r="AP397" s="1039" t="n"/>
      <c r="AQ397" s="59" t="n"/>
      <c r="AR397" s="59" t="n"/>
      <c r="AS397" s="59" t="n"/>
      <c r="AT397" s="59" t="n"/>
      <c r="AU397" s="59" t="n"/>
      <c r="AV397" s="1039" t="n"/>
      <c r="AW397" s="59" t="n"/>
      <c r="AX397" s="59" t="n"/>
      <c r="AY397" s="59" t="n"/>
      <c r="AZ397" s="59" t="n"/>
      <c r="BA397" s="59" t="n"/>
      <c r="BB397" s="1039" t="n"/>
      <c r="BC397" s="59" t="n"/>
      <c r="BD397" s="59" t="n"/>
      <c r="BE397" s="59" t="n"/>
      <c r="BF397" s="59" t="n"/>
      <c r="BG397" s="59" t="n"/>
      <c r="BH397" s="1039" t="n"/>
      <c r="BI397" s="59" t="n"/>
      <c r="BJ397" s="59" t="n"/>
      <c r="BK397" s="59" t="n"/>
      <c r="BL397" s="59" t="n"/>
      <c r="BM397" s="59" t="n"/>
      <c r="BN397" s="1039" t="n"/>
    </row>
    <row r="398" ht="12.75" customHeight="1" s="1883">
      <c r="B398" s="56" t="inlineStr">
        <is>
          <t>IS</t>
        </is>
      </c>
      <c r="C398" s="1114" t="inlineStr">
        <is>
          <t>Total Amortization Cost</t>
        </is>
      </c>
      <c r="D398" s="70" t="n"/>
      <c r="E398" s="169" t="n"/>
      <c r="F398" s="74" t="n"/>
      <c r="G398" s="73">
        <f>+G392+G299</f>
        <v/>
      </c>
      <c r="H398" s="73">
        <f>+H392+H299</f>
        <v/>
      </c>
      <c r="I398" s="73">
        <f>+I392+I299</f>
        <v/>
      </c>
      <c r="J398" s="73">
        <f>+J392+J299</f>
        <v/>
      </c>
      <c r="K398" s="73">
        <f>+K392+K299</f>
        <v/>
      </c>
      <c r="L398" s="1071">
        <f>+L392+L299</f>
        <v/>
      </c>
      <c r="M398" s="73">
        <f>+M392+M299</f>
        <v/>
      </c>
      <c r="N398" s="73">
        <f>+N392+N299</f>
        <v/>
      </c>
      <c r="O398" s="73">
        <f>+O392+O299</f>
        <v/>
      </c>
      <c r="P398" s="73">
        <f>+P392+P299</f>
        <v/>
      </c>
      <c r="Q398" s="73">
        <f>+Q392+Q299</f>
        <v/>
      </c>
      <c r="R398" s="1071">
        <f>+R392+R299</f>
        <v/>
      </c>
      <c r="S398" s="73">
        <f>+S392+S299</f>
        <v/>
      </c>
      <c r="T398" s="73">
        <f>+T392+T299</f>
        <v/>
      </c>
      <c r="U398" s="73">
        <f>+U392+U299</f>
        <v/>
      </c>
      <c r="V398" s="73">
        <f>+V392+V299</f>
        <v/>
      </c>
      <c r="W398" s="73">
        <f>+W392+W299</f>
        <v/>
      </c>
      <c r="X398" s="1071">
        <f>+X392+X299</f>
        <v/>
      </c>
      <c r="Y398" s="73">
        <f>+Y392+Y299</f>
        <v/>
      </c>
      <c r="Z398" s="73">
        <f>+Z392+Z299</f>
        <v/>
      </c>
      <c r="AA398" s="73">
        <f>+AA392+AA299</f>
        <v/>
      </c>
      <c r="AB398" s="73">
        <f>+AB392+AB299</f>
        <v/>
      </c>
      <c r="AC398" s="73">
        <f>+AC392+AC299</f>
        <v/>
      </c>
      <c r="AD398" s="1071">
        <f>+AD392+AD299</f>
        <v/>
      </c>
      <c r="AE398" s="73">
        <f>+AE392+AE299</f>
        <v/>
      </c>
      <c r="AF398" s="73">
        <f>+AF392+AF299</f>
        <v/>
      </c>
      <c r="AG398" s="73">
        <f>+AG392+AG299</f>
        <v/>
      </c>
      <c r="AH398" s="73">
        <f>+AH392+AH299</f>
        <v/>
      </c>
      <c r="AI398" s="73">
        <f>+AI392+AI299</f>
        <v/>
      </c>
      <c r="AJ398" s="1071">
        <f>+AJ392+AJ299</f>
        <v/>
      </c>
      <c r="AK398" s="73">
        <f>+AK392+AK299</f>
        <v/>
      </c>
      <c r="AL398" s="73">
        <f>+AL392+AL299</f>
        <v/>
      </c>
      <c r="AM398" s="73">
        <f>+AM392+AM299</f>
        <v/>
      </c>
      <c r="AN398" s="73">
        <f>+AN392+AN299</f>
        <v/>
      </c>
      <c r="AO398" s="73">
        <f>+AO392+AO299</f>
        <v/>
      </c>
      <c r="AP398" s="1071">
        <f>+AP392+AP299</f>
        <v/>
      </c>
      <c r="AQ398" s="73">
        <f>+AQ392+AQ299</f>
        <v/>
      </c>
      <c r="AR398" s="73">
        <f>+AR392+AR299</f>
        <v/>
      </c>
      <c r="AS398" s="73">
        <f>+AS392+AS299</f>
        <v/>
      </c>
      <c r="AT398" s="73">
        <f>+AT392+AT299</f>
        <v/>
      </c>
      <c r="AU398" s="73">
        <f>+AU392+AU299</f>
        <v/>
      </c>
      <c r="AV398" s="1071">
        <f>+AV392+AV299</f>
        <v/>
      </c>
      <c r="AW398" s="73">
        <f>+AW392+AW299</f>
        <v/>
      </c>
      <c r="AX398" s="73">
        <f>+AX392+AX299</f>
        <v/>
      </c>
      <c r="AY398" s="73">
        <f>+AY392+AY299</f>
        <v/>
      </c>
      <c r="AZ398" s="73">
        <f>+AZ392+AZ299</f>
        <v/>
      </c>
      <c r="BA398" s="73">
        <f>+BA392+BA299</f>
        <v/>
      </c>
      <c r="BB398" s="1071">
        <f>+BB392+BB299</f>
        <v/>
      </c>
      <c r="BC398" s="73">
        <f>+BC392+BC299</f>
        <v/>
      </c>
      <c r="BD398" s="73">
        <f>+BD392+BD299</f>
        <v/>
      </c>
      <c r="BE398" s="73">
        <f>+BE392+BE299</f>
        <v/>
      </c>
      <c r="BF398" s="73">
        <f>+BF392+BF299</f>
        <v/>
      </c>
      <c r="BG398" s="73">
        <f>+BG392+BG299</f>
        <v/>
      </c>
      <c r="BH398" s="1071">
        <f>+BH392+BH299</f>
        <v/>
      </c>
      <c r="BI398" s="73">
        <f>+BI392+BI299</f>
        <v/>
      </c>
      <c r="BJ398" s="73">
        <f>+BJ392+BJ299</f>
        <v/>
      </c>
      <c r="BK398" s="73">
        <f>+BK392+BK299</f>
        <v/>
      </c>
      <c r="BL398" s="73">
        <f>+BL392+BL299</f>
        <v/>
      </c>
      <c r="BM398" s="73">
        <f>+BM392+BM299</f>
        <v/>
      </c>
      <c r="BN398" s="1071">
        <f>+BN392+BN299</f>
        <v/>
      </c>
    </row>
    <row r="399" ht="12.75" customHeight="1" s="1883">
      <c r="B399" s="56" t="n"/>
      <c r="C399" s="1165" t="n"/>
      <c r="D399" s="1166" t="n"/>
      <c r="E399" s="1167" t="n"/>
      <c r="F399" s="1168" t="n"/>
      <c r="G399" s="1169" t="n"/>
      <c r="H399" s="1170" t="n"/>
      <c r="I399" s="1170" t="n"/>
      <c r="J399" s="1170" t="n"/>
      <c r="K399" s="1170" t="n"/>
      <c r="L399" s="204" t="n"/>
      <c r="M399" s="1171" t="n"/>
      <c r="N399" s="1171" t="n"/>
      <c r="O399" s="1171" t="n"/>
      <c r="P399" s="1171" t="n"/>
      <c r="Q399" s="1171" t="n"/>
      <c r="R399" s="205" t="n"/>
      <c r="S399" s="1171" t="n"/>
      <c r="T399" s="1171" t="n"/>
      <c r="U399" s="1171" t="n"/>
      <c r="V399" s="1171" t="n"/>
      <c r="W399" s="1171" t="n"/>
      <c r="X399" s="205" t="n"/>
      <c r="Y399" s="1171" t="n"/>
      <c r="Z399" s="1171" t="n"/>
      <c r="AA399" s="1171" t="n"/>
      <c r="AB399" s="1171" t="n"/>
      <c r="AC399" s="1171" t="n"/>
      <c r="AD399" s="205" t="n"/>
      <c r="AE399" s="1171" t="n"/>
      <c r="AF399" s="1171" t="n"/>
      <c r="AG399" s="1171" t="n"/>
      <c r="AH399" s="1171" t="n"/>
      <c r="AI399" s="1171" t="n"/>
      <c r="AJ399" s="205" t="n"/>
      <c r="AK399" s="1171" t="n"/>
      <c r="AL399" s="1171" t="n"/>
      <c r="AM399" s="1171" t="n"/>
      <c r="AN399" s="1171" t="n"/>
      <c r="AO399" s="1171" t="n"/>
      <c r="AP399" s="205" t="n"/>
      <c r="AQ399" s="1171" t="n"/>
      <c r="AR399" s="1171" t="n"/>
      <c r="AS399" s="1171" t="n"/>
      <c r="AT399" s="1171" t="n"/>
      <c r="AU399" s="1171" t="n"/>
      <c r="AV399" s="205" t="n"/>
      <c r="AW399" s="1171" t="n"/>
      <c r="AX399" s="1171" t="n"/>
      <c r="AY399" s="1171" t="n"/>
      <c r="AZ399" s="1171" t="n"/>
      <c r="BA399" s="1171" t="n"/>
      <c r="BB399" s="205" t="n"/>
      <c r="BC399" s="1171" t="n"/>
      <c r="BD399" s="1171" t="n"/>
      <c r="BE399" s="1171" t="n"/>
      <c r="BF399" s="1171" t="n"/>
      <c r="BG399" s="1171" t="n"/>
      <c r="BH399" s="205" t="n"/>
      <c r="BI399" s="1171" t="n"/>
      <c r="BJ399" s="1171" t="n"/>
      <c r="BK399" s="1171" t="n"/>
      <c r="BL399" s="1171" t="n"/>
      <c r="BM399" s="1171" t="n"/>
      <c r="BN399" s="205" t="n"/>
    </row>
    <row r="400" ht="12.75" customHeight="1" s="1883">
      <c r="B400" s="1153" t="n"/>
      <c r="C400" s="1928" t="inlineStr">
        <is>
          <t>Intangible Assets</t>
        </is>
      </c>
      <c r="D400" s="1154" t="n">
        <v>0</v>
      </c>
      <c r="E400" s="671" t="n"/>
      <c r="F400" s="74" t="n"/>
      <c r="G400" s="1091" t="n"/>
      <c r="H400" s="1081" t="n"/>
      <c r="I400" s="1081" t="n"/>
      <c r="J400" s="1081" t="n"/>
      <c r="K400" s="1081" t="n"/>
      <c r="L400" s="199" t="n"/>
      <c r="M400" s="1042" t="n"/>
      <c r="N400" s="1042" t="n"/>
      <c r="O400" s="1042" t="n"/>
      <c r="P400" s="1042" t="n"/>
      <c r="Q400" s="1042" t="n"/>
      <c r="R400" s="156" t="n"/>
      <c r="S400" s="1042" t="n"/>
      <c r="T400" s="1042" t="n"/>
      <c r="U400" s="1042" t="n"/>
      <c r="V400" s="1042" t="n"/>
      <c r="W400" s="1042" t="n"/>
      <c r="X400" s="156" t="n"/>
      <c r="Y400" s="1042" t="n"/>
      <c r="Z400" s="1042" t="n"/>
      <c r="AA400" s="1042" t="n"/>
      <c r="AB400" s="1042" t="n"/>
      <c r="AC400" s="1042" t="n"/>
      <c r="AD400" s="156" t="n"/>
      <c r="AE400" s="1042" t="n"/>
      <c r="AF400" s="1042" t="n"/>
      <c r="AG400" s="1042" t="n"/>
      <c r="AH400" s="1042" t="n"/>
      <c r="AI400" s="1042" t="n"/>
      <c r="AJ400" s="156" t="n"/>
      <c r="AK400" s="1042" t="n"/>
      <c r="AL400" s="1042" t="n"/>
      <c r="AM400" s="1042" t="n"/>
      <c r="AN400" s="1042" t="n"/>
      <c r="AO400" s="1042" t="n"/>
      <c r="AP400" s="156" t="n"/>
      <c r="AQ400" s="1042" t="n"/>
      <c r="AR400" s="1042" t="n"/>
      <c r="AS400" s="1042" t="n"/>
      <c r="AT400" s="1042" t="n"/>
      <c r="AU400" s="1042" t="n"/>
      <c r="AV400" s="156" t="n"/>
      <c r="AW400" s="1042" t="n"/>
      <c r="AX400" s="1042" t="n"/>
      <c r="AY400" s="1042" t="n"/>
      <c r="AZ400" s="1042" t="n"/>
      <c r="BA400" s="1042" t="n"/>
      <c r="BB400" s="156" t="n"/>
      <c r="BC400" s="1042" t="n"/>
      <c r="BD400" s="1042" t="n"/>
      <c r="BE400" s="1042" t="n"/>
      <c r="BF400" s="1042" t="n"/>
      <c r="BG400" s="1042" t="n"/>
      <c r="BH400" s="156" t="n"/>
      <c r="BI400" s="1042" t="n"/>
      <c r="BJ400" s="1042" t="n"/>
      <c r="BK400" s="1042" t="n"/>
      <c r="BL400" s="1042" t="n"/>
      <c r="BM400" s="1042" t="n"/>
      <c r="BN400" s="156" t="n"/>
    </row>
    <row r="401" ht="12.75" customHeight="1" s="1883">
      <c r="C401" s="1040" t="n"/>
      <c r="D401" s="670" t="n"/>
      <c r="E401" s="671" t="n"/>
      <c r="F401" s="74" t="n"/>
      <c r="G401" s="1091" t="n"/>
      <c r="H401" s="1081" t="n"/>
      <c r="I401" s="1081" t="n"/>
      <c r="J401" s="1081" t="n"/>
      <c r="K401" s="1081" t="n"/>
      <c r="L401" s="199" t="n"/>
      <c r="M401" s="1042" t="n"/>
      <c r="N401" s="1042" t="n"/>
      <c r="O401" s="1042" t="n"/>
      <c r="P401" s="1042" t="n"/>
      <c r="Q401" s="1042" t="n"/>
      <c r="R401" s="156" t="n"/>
      <c r="S401" s="1042" t="n"/>
      <c r="T401" s="1042" t="n"/>
      <c r="U401" s="1042" t="n"/>
      <c r="V401" s="1042" t="n"/>
      <c r="W401" s="1042" t="n"/>
      <c r="X401" s="156" t="n"/>
      <c r="Y401" s="1042" t="n"/>
      <c r="Z401" s="1042" t="n"/>
      <c r="AA401" s="1042" t="n"/>
      <c r="AB401" s="1042" t="n"/>
      <c r="AC401" s="1042" t="n"/>
      <c r="AD401" s="156" t="n"/>
      <c r="AE401" s="1042" t="n"/>
      <c r="AF401" s="1042" t="n"/>
      <c r="AG401" s="1042" t="n"/>
      <c r="AH401" s="1042" t="n"/>
      <c r="AI401" s="1042" t="n"/>
      <c r="AJ401" s="156" t="n"/>
      <c r="AK401" s="1042" t="n"/>
      <c r="AL401" s="1042" t="n"/>
      <c r="AM401" s="1042" t="n"/>
      <c r="AN401" s="1042" t="n"/>
      <c r="AO401" s="1042" t="n"/>
      <c r="AP401" s="156" t="n"/>
      <c r="AQ401" s="1042" t="n"/>
      <c r="AR401" s="1042" t="n"/>
      <c r="AS401" s="1042" t="n"/>
      <c r="AT401" s="1042" t="n"/>
      <c r="AU401" s="1042" t="n"/>
      <c r="AV401" s="156" t="n"/>
      <c r="AW401" s="1042" t="n"/>
      <c r="AX401" s="1042" t="n"/>
      <c r="AY401" s="1042" t="n"/>
      <c r="AZ401" s="1042" t="n"/>
      <c r="BA401" s="1042" t="n"/>
      <c r="BB401" s="156" t="n"/>
      <c r="BC401" s="1042" t="n"/>
      <c r="BD401" s="1042" t="n"/>
      <c r="BE401" s="1042" t="n"/>
      <c r="BF401" s="1042" t="n"/>
      <c r="BG401" s="1042" t="n"/>
      <c r="BH401" s="156" t="n"/>
      <c r="BI401" s="1042" t="n"/>
      <c r="BJ401" s="1042" t="n"/>
      <c r="BK401" s="1042" t="n"/>
      <c r="BL401" s="1042" t="n"/>
      <c r="BM401" s="1042" t="n"/>
      <c r="BN401" s="156" t="n"/>
    </row>
    <row r="402" ht="12.75" customHeight="1" s="1883">
      <c r="C402" s="1156" t="inlineStr">
        <is>
          <t>Wi-Fi</t>
        </is>
      </c>
      <c r="D402" s="670" t="n"/>
      <c r="E402" s="671" t="n"/>
      <c r="F402" s="206" t="n"/>
      <c r="G402" s="69">
        <f>+SUM('6B. Pre-Launch Exps. - Detail'!L122:Q122)</f>
        <v/>
      </c>
      <c r="H402" s="69">
        <f>+G402</f>
        <v/>
      </c>
      <c r="I402" s="69">
        <f>+H402</f>
        <v/>
      </c>
      <c r="J402" s="69">
        <f>+I402</f>
        <v/>
      </c>
      <c r="K402" s="69">
        <f>+J402</f>
        <v/>
      </c>
      <c r="L402" s="1070">
        <f>+K402</f>
        <v/>
      </c>
      <c r="M402" s="69">
        <f>+L402</f>
        <v/>
      </c>
      <c r="N402" s="69">
        <f>+M402</f>
        <v/>
      </c>
      <c r="O402" s="69">
        <f>+N402</f>
        <v/>
      </c>
      <c r="P402" s="69">
        <f>+O402</f>
        <v/>
      </c>
      <c r="Q402" s="69">
        <f>+P402</f>
        <v/>
      </c>
      <c r="R402" s="1070">
        <f>+Q402</f>
        <v/>
      </c>
      <c r="S402" s="69">
        <f>+R402</f>
        <v/>
      </c>
      <c r="T402" s="69">
        <f>+S402</f>
        <v/>
      </c>
      <c r="U402" s="69">
        <f>+T402</f>
        <v/>
      </c>
      <c r="V402" s="69">
        <f>+U402</f>
        <v/>
      </c>
      <c r="W402" s="69">
        <f>+V402</f>
        <v/>
      </c>
      <c r="X402" s="1070">
        <f>+W402</f>
        <v/>
      </c>
      <c r="Y402" s="69">
        <f>+X402</f>
        <v/>
      </c>
      <c r="Z402" s="69">
        <f>+Y402</f>
        <v/>
      </c>
      <c r="AA402" s="69">
        <f>+Z402</f>
        <v/>
      </c>
      <c r="AB402" s="69">
        <f>+AA402</f>
        <v/>
      </c>
      <c r="AC402" s="69">
        <f>+AB402</f>
        <v/>
      </c>
      <c r="AD402" s="1070">
        <f>+AC402</f>
        <v/>
      </c>
      <c r="AE402" s="69">
        <f>+AD402</f>
        <v/>
      </c>
      <c r="AF402" s="69">
        <f>+AE402</f>
        <v/>
      </c>
      <c r="AG402" s="69">
        <f>+AF402</f>
        <v/>
      </c>
      <c r="AH402" s="69">
        <f>+AG402</f>
        <v/>
      </c>
      <c r="AI402" s="69">
        <f>+AH402</f>
        <v/>
      </c>
      <c r="AJ402" s="1070">
        <f>+AI402</f>
        <v/>
      </c>
      <c r="AK402" s="69">
        <f>+AJ402</f>
        <v/>
      </c>
      <c r="AL402" s="69">
        <f>+AK402</f>
        <v/>
      </c>
      <c r="AM402" s="69">
        <f>+AL402</f>
        <v/>
      </c>
      <c r="AN402" s="69">
        <f>+AM402</f>
        <v/>
      </c>
      <c r="AO402" s="69">
        <f>+AN402</f>
        <v/>
      </c>
      <c r="AP402" s="1070">
        <f>+AO402</f>
        <v/>
      </c>
      <c r="AQ402" s="69">
        <f>+AP402</f>
        <v/>
      </c>
      <c r="AR402" s="69">
        <f>+AQ402</f>
        <v/>
      </c>
      <c r="AS402" s="69">
        <f>+AR402</f>
        <v/>
      </c>
      <c r="AT402" s="69">
        <f>+AS402</f>
        <v/>
      </c>
      <c r="AU402" s="69">
        <f>+AT402</f>
        <v/>
      </c>
      <c r="AV402" s="1070">
        <f>+AU402</f>
        <v/>
      </c>
      <c r="AW402" s="69">
        <f>+AV402</f>
        <v/>
      </c>
      <c r="AX402" s="69">
        <f>+AW402</f>
        <v/>
      </c>
      <c r="AY402" s="69">
        <f>+AX402</f>
        <v/>
      </c>
      <c r="AZ402" s="69">
        <f>+AY402</f>
        <v/>
      </c>
      <c r="BA402" s="69">
        <f>+AZ402</f>
        <v/>
      </c>
      <c r="BB402" s="1070">
        <f>+BA402</f>
        <v/>
      </c>
      <c r="BC402" s="69">
        <f>+BB402</f>
        <v/>
      </c>
      <c r="BD402" s="69">
        <f>+BC402</f>
        <v/>
      </c>
      <c r="BE402" s="69">
        <f>+BD402</f>
        <v/>
      </c>
      <c r="BF402" s="69">
        <f>+BE402</f>
        <v/>
      </c>
      <c r="BG402" s="69">
        <f>+BF402</f>
        <v/>
      </c>
      <c r="BH402" s="1070">
        <f>+BG402</f>
        <v/>
      </c>
      <c r="BI402" s="69">
        <f>+BH402</f>
        <v/>
      </c>
      <c r="BJ402" s="69">
        <f>+BI402</f>
        <v/>
      </c>
      <c r="BK402" s="69">
        <f>+BJ402</f>
        <v/>
      </c>
      <c r="BL402" s="69">
        <f>+BK402</f>
        <v/>
      </c>
      <c r="BM402" s="69">
        <f>+BL402</f>
        <v/>
      </c>
      <c r="BN402" s="1070">
        <f>+BM402</f>
        <v/>
      </c>
    </row>
    <row r="403" ht="12.75" customHeight="1" s="1883">
      <c r="C403" s="1156" t="inlineStr">
        <is>
          <t>Licenses</t>
        </is>
      </c>
      <c r="D403" s="670" t="n"/>
      <c r="E403" s="671" t="n"/>
      <c r="F403" s="206" t="n"/>
      <c r="G403" s="69">
        <f>+SUM('6B. Pre-Launch Exps. - Detail'!L123:Q123)</f>
        <v/>
      </c>
      <c r="H403" s="69">
        <f>+G403</f>
        <v/>
      </c>
      <c r="I403" s="69">
        <f>+H403</f>
        <v/>
      </c>
      <c r="J403" s="69">
        <f>+I403</f>
        <v/>
      </c>
      <c r="K403" s="69">
        <f>+J403</f>
        <v/>
      </c>
      <c r="L403" s="1070">
        <f>+K403</f>
        <v/>
      </c>
      <c r="M403" s="69">
        <f>+L403</f>
        <v/>
      </c>
      <c r="N403" s="69">
        <f>+M403</f>
        <v/>
      </c>
      <c r="O403" s="69">
        <f>+N403</f>
        <v/>
      </c>
      <c r="P403" s="69">
        <f>+O403</f>
        <v/>
      </c>
      <c r="Q403" s="69">
        <f>+P403</f>
        <v/>
      </c>
      <c r="R403" s="1070">
        <f>+Q403</f>
        <v/>
      </c>
      <c r="S403" s="69">
        <f>+R403</f>
        <v/>
      </c>
      <c r="T403" s="69">
        <f>+S403</f>
        <v/>
      </c>
      <c r="U403" s="69">
        <f>+T403</f>
        <v/>
      </c>
      <c r="V403" s="69">
        <f>+U403</f>
        <v/>
      </c>
      <c r="W403" s="69">
        <f>+V403</f>
        <v/>
      </c>
      <c r="X403" s="1070">
        <f>+W403</f>
        <v/>
      </c>
      <c r="Y403" s="69">
        <f>+X403</f>
        <v/>
      </c>
      <c r="Z403" s="69">
        <f>+Y403</f>
        <v/>
      </c>
      <c r="AA403" s="69">
        <f>+Z403</f>
        <v/>
      </c>
      <c r="AB403" s="69">
        <f>+AA403</f>
        <v/>
      </c>
      <c r="AC403" s="69">
        <f>+AB403</f>
        <v/>
      </c>
      <c r="AD403" s="1070">
        <f>+AC403</f>
        <v/>
      </c>
      <c r="AE403" s="69">
        <f>+AD403</f>
        <v/>
      </c>
      <c r="AF403" s="69">
        <f>+AE403</f>
        <v/>
      </c>
      <c r="AG403" s="69">
        <f>+AF403</f>
        <v/>
      </c>
      <c r="AH403" s="69">
        <f>+AG403</f>
        <v/>
      </c>
      <c r="AI403" s="69">
        <f>+AH403</f>
        <v/>
      </c>
      <c r="AJ403" s="1070">
        <f>+AI403</f>
        <v/>
      </c>
      <c r="AK403" s="69">
        <f>+AJ403</f>
        <v/>
      </c>
      <c r="AL403" s="69">
        <f>+AK403</f>
        <v/>
      </c>
      <c r="AM403" s="69">
        <f>+AL403</f>
        <v/>
      </c>
      <c r="AN403" s="69">
        <f>+AM403</f>
        <v/>
      </c>
      <c r="AO403" s="69">
        <f>+AN403</f>
        <v/>
      </c>
      <c r="AP403" s="1070">
        <f>+AO403</f>
        <v/>
      </c>
      <c r="AQ403" s="69">
        <f>+AP403</f>
        <v/>
      </c>
      <c r="AR403" s="69">
        <f>+AQ403</f>
        <v/>
      </c>
      <c r="AS403" s="69">
        <f>+AR403</f>
        <v/>
      </c>
      <c r="AT403" s="69">
        <f>+AS403</f>
        <v/>
      </c>
      <c r="AU403" s="69">
        <f>+AT403</f>
        <v/>
      </c>
      <c r="AV403" s="1070">
        <f>+AU403</f>
        <v/>
      </c>
      <c r="AW403" s="69">
        <f>+AV403</f>
        <v/>
      </c>
      <c r="AX403" s="69">
        <f>+AW403</f>
        <v/>
      </c>
      <c r="AY403" s="69">
        <f>+AX403</f>
        <v/>
      </c>
      <c r="AZ403" s="69">
        <f>+AY403</f>
        <v/>
      </c>
      <c r="BA403" s="69">
        <f>+AZ403</f>
        <v/>
      </c>
      <c r="BB403" s="1070">
        <f>+BA403</f>
        <v/>
      </c>
      <c r="BC403" s="69">
        <f>+BB403</f>
        <v/>
      </c>
      <c r="BD403" s="69">
        <f>+BC403</f>
        <v/>
      </c>
      <c r="BE403" s="69">
        <f>+BD403</f>
        <v/>
      </c>
      <c r="BF403" s="69">
        <f>+BE403</f>
        <v/>
      </c>
      <c r="BG403" s="69">
        <f>+BF403</f>
        <v/>
      </c>
      <c r="BH403" s="1070">
        <f>+BG403</f>
        <v/>
      </c>
      <c r="BI403" s="69">
        <f>+BH403</f>
        <v/>
      </c>
      <c r="BJ403" s="69">
        <f>+BI403</f>
        <v/>
      </c>
      <c r="BK403" s="69">
        <f>+BJ403</f>
        <v/>
      </c>
      <c r="BL403" s="69">
        <f>+BK403</f>
        <v/>
      </c>
      <c r="BM403" s="69">
        <f>+BL403</f>
        <v/>
      </c>
      <c r="BN403" s="1070">
        <f>+BM403</f>
        <v/>
      </c>
    </row>
    <row r="404" ht="12.75" customHeight="1" s="1883">
      <c r="C404" s="1156" t="n"/>
      <c r="D404" s="670" t="n"/>
      <c r="E404" s="671" t="n"/>
      <c r="F404" s="74" t="n"/>
      <c r="G404" s="1081" t="n"/>
      <c r="H404" s="1081" t="n"/>
      <c r="I404" s="1081" t="n"/>
      <c r="J404" s="1081" t="n"/>
      <c r="K404" s="1081" t="n"/>
      <c r="L404" s="199" t="n"/>
      <c r="M404" s="1042" t="n"/>
      <c r="N404" s="1042" t="n"/>
      <c r="O404" s="1042" t="n"/>
      <c r="P404" s="1042" t="n"/>
      <c r="Q404" s="1042" t="n"/>
      <c r="R404" s="156" t="n"/>
      <c r="S404" s="1042" t="n"/>
      <c r="T404" s="1042" t="n"/>
      <c r="U404" s="1042" t="n"/>
      <c r="V404" s="1042" t="n"/>
      <c r="W404" s="1042" t="n"/>
      <c r="X404" s="156" t="n"/>
      <c r="Y404" s="1042" t="n"/>
      <c r="Z404" s="1042" t="n"/>
      <c r="AA404" s="1042" t="n"/>
      <c r="AB404" s="1042" t="n"/>
      <c r="AC404" s="1042" t="n"/>
      <c r="AD404" s="156" t="n"/>
      <c r="AE404" s="1042" t="n"/>
      <c r="AF404" s="1042" t="n"/>
      <c r="AG404" s="1042" t="n"/>
      <c r="AH404" s="1042" t="n"/>
      <c r="AI404" s="1042" t="n"/>
      <c r="AJ404" s="156" t="n"/>
      <c r="AK404" s="1042" t="n"/>
      <c r="AL404" s="1042" t="n"/>
      <c r="AM404" s="1042" t="n"/>
      <c r="AN404" s="1042" t="n"/>
      <c r="AO404" s="1042" t="n"/>
      <c r="AP404" s="156" t="n"/>
      <c r="AQ404" s="1042" t="n"/>
      <c r="AR404" s="1042" t="n"/>
      <c r="AS404" s="1042" t="n"/>
      <c r="AT404" s="1042" t="n"/>
      <c r="AU404" s="1042" t="n"/>
      <c r="AV404" s="156" t="n"/>
      <c r="AW404" s="1042" t="n"/>
      <c r="AX404" s="1042" t="n"/>
      <c r="AY404" s="1042" t="n"/>
      <c r="AZ404" s="1042" t="n"/>
      <c r="BA404" s="1042" t="n"/>
      <c r="BB404" s="156" t="n"/>
      <c r="BC404" s="1042" t="n"/>
      <c r="BD404" s="1042" t="n"/>
      <c r="BE404" s="1042" t="n"/>
      <c r="BF404" s="1042" t="n"/>
      <c r="BG404" s="1042" t="n"/>
      <c r="BH404" s="156" t="n"/>
      <c r="BI404" s="1042" t="n"/>
      <c r="BJ404" s="1042" t="n"/>
      <c r="BK404" s="1042" t="n"/>
      <c r="BL404" s="1042" t="n"/>
      <c r="BM404" s="1042" t="n"/>
      <c r="BN404" s="156" t="n"/>
    </row>
    <row r="405" ht="12.75" customHeight="1" s="1883">
      <c r="C405" s="1156" t="inlineStr">
        <is>
          <t>Patents - Beg</t>
        </is>
      </c>
      <c r="D405" s="670" t="n"/>
      <c r="E405" s="671" t="n"/>
      <c r="F405" s="74" t="n"/>
      <c r="G405" s="1028" t="n">
        <v>0</v>
      </c>
      <c r="H405" s="69">
        <f>+G408</f>
        <v/>
      </c>
      <c r="I405" s="69">
        <f>+H408</f>
        <v/>
      </c>
      <c r="J405" s="69">
        <f>+I408</f>
        <v/>
      </c>
      <c r="K405" s="69">
        <f>+J408</f>
        <v/>
      </c>
      <c r="L405" s="1070">
        <f>+K408</f>
        <v/>
      </c>
      <c r="M405" s="69">
        <f>+L408</f>
        <v/>
      </c>
      <c r="N405" s="69">
        <f>+M408</f>
        <v/>
      </c>
      <c r="O405" s="69">
        <f>+N408</f>
        <v/>
      </c>
      <c r="P405" s="69">
        <f>+O408</f>
        <v/>
      </c>
      <c r="Q405" s="69">
        <f>+P408</f>
        <v/>
      </c>
      <c r="R405" s="1070">
        <f>+Q408</f>
        <v/>
      </c>
      <c r="S405" s="69">
        <f>+R408</f>
        <v/>
      </c>
      <c r="T405" s="69">
        <f>+S408</f>
        <v/>
      </c>
      <c r="U405" s="69">
        <f>+T408</f>
        <v/>
      </c>
      <c r="V405" s="69">
        <f>+U408</f>
        <v/>
      </c>
      <c r="W405" s="69">
        <f>+V408</f>
        <v/>
      </c>
      <c r="X405" s="1070">
        <f>+W408</f>
        <v/>
      </c>
      <c r="Y405" s="69">
        <f>+X408</f>
        <v/>
      </c>
      <c r="Z405" s="69">
        <f>+Y408</f>
        <v/>
      </c>
      <c r="AA405" s="69">
        <f>+Z408</f>
        <v/>
      </c>
      <c r="AB405" s="69">
        <f>+AA408</f>
        <v/>
      </c>
      <c r="AC405" s="69">
        <f>+AB408</f>
        <v/>
      </c>
      <c r="AD405" s="1070">
        <f>+AC408</f>
        <v/>
      </c>
      <c r="AE405" s="69">
        <f>+AD408</f>
        <v/>
      </c>
      <c r="AF405" s="69">
        <f>+AE408</f>
        <v/>
      </c>
      <c r="AG405" s="69">
        <f>+AF408</f>
        <v/>
      </c>
      <c r="AH405" s="69">
        <f>+AG408</f>
        <v/>
      </c>
      <c r="AI405" s="69">
        <f>+AH408</f>
        <v/>
      </c>
      <c r="AJ405" s="1070">
        <f>+AI408</f>
        <v/>
      </c>
      <c r="AK405" s="69">
        <f>+AJ408</f>
        <v/>
      </c>
      <c r="AL405" s="69">
        <f>+AK408</f>
        <v/>
      </c>
      <c r="AM405" s="69">
        <f>+AL408</f>
        <v/>
      </c>
      <c r="AN405" s="69">
        <f>+AM408</f>
        <v/>
      </c>
      <c r="AO405" s="69">
        <f>+AN408</f>
        <v/>
      </c>
      <c r="AP405" s="1070">
        <f>+AO408</f>
        <v/>
      </c>
      <c r="AQ405" s="69">
        <f>+AP408</f>
        <v/>
      </c>
      <c r="AR405" s="69">
        <f>+AQ408</f>
        <v/>
      </c>
      <c r="AS405" s="69">
        <f>+AR408</f>
        <v/>
      </c>
      <c r="AT405" s="69">
        <f>+AS408</f>
        <v/>
      </c>
      <c r="AU405" s="69">
        <f>+AT408</f>
        <v/>
      </c>
      <c r="AV405" s="1070">
        <f>+AU408</f>
        <v/>
      </c>
      <c r="AW405" s="69">
        <f>+AV408</f>
        <v/>
      </c>
      <c r="AX405" s="69">
        <f>+AW408</f>
        <v/>
      </c>
      <c r="AY405" s="69">
        <f>+AX408</f>
        <v/>
      </c>
      <c r="AZ405" s="69">
        <f>+AY408</f>
        <v/>
      </c>
      <c r="BA405" s="69">
        <f>+AZ408</f>
        <v/>
      </c>
      <c r="BB405" s="1070">
        <f>+BA408</f>
        <v/>
      </c>
      <c r="BC405" s="69">
        <f>+BB408</f>
        <v/>
      </c>
      <c r="BD405" s="69">
        <f>+BC408</f>
        <v/>
      </c>
      <c r="BE405" s="69">
        <f>+BD408</f>
        <v/>
      </c>
      <c r="BF405" s="69">
        <f>+BE408</f>
        <v/>
      </c>
      <c r="BG405" s="69">
        <f>+BF408</f>
        <v/>
      </c>
      <c r="BH405" s="1070">
        <f>+BG408</f>
        <v/>
      </c>
      <c r="BI405" s="69">
        <f>+BH408</f>
        <v/>
      </c>
      <c r="BJ405" s="69">
        <f>+BI408</f>
        <v/>
      </c>
      <c r="BK405" s="69">
        <f>+BJ408</f>
        <v/>
      </c>
      <c r="BL405" s="69">
        <f>+BK408</f>
        <v/>
      </c>
      <c r="BM405" s="69">
        <f>+BL408</f>
        <v/>
      </c>
      <c r="BN405" s="1070">
        <f>+BM408</f>
        <v/>
      </c>
    </row>
    <row r="406" ht="12.75" customHeight="1" s="1883">
      <c r="C406" s="1156" t="inlineStr">
        <is>
          <t>Additions</t>
        </is>
      </c>
      <c r="D406" s="1154" t="n">
        <v>0.01</v>
      </c>
      <c r="E406" s="1155" t="inlineStr">
        <is>
          <t>of R&amp;D spending</t>
        </is>
      </c>
      <c r="F406" s="74" t="n"/>
      <c r="G406" s="1028" t="n">
        <v>30000</v>
      </c>
      <c r="H406" s="69">
        <f>+$D$406*H67</f>
        <v/>
      </c>
      <c r="I406" s="69">
        <f>+$D$406*I67</f>
        <v/>
      </c>
      <c r="J406" s="69">
        <f>+$D$406*J67</f>
        <v/>
      </c>
      <c r="K406" s="69">
        <f>+$D$406*K67</f>
        <v/>
      </c>
      <c r="L406" s="1070">
        <f>+$D$406*L67</f>
        <v/>
      </c>
      <c r="M406" s="69">
        <f>+$D$406*M67</f>
        <v/>
      </c>
      <c r="N406" s="69">
        <f>+$D$406*N67</f>
        <v/>
      </c>
      <c r="O406" s="69">
        <f>+$D$406*O67</f>
        <v/>
      </c>
      <c r="P406" s="69">
        <f>+$D$406*P67</f>
        <v/>
      </c>
      <c r="Q406" s="69">
        <f>+$D$406*Q67</f>
        <v/>
      </c>
      <c r="R406" s="1070">
        <f>+$D$406*R67</f>
        <v/>
      </c>
      <c r="S406" s="69">
        <f>+$D$406*S67</f>
        <v/>
      </c>
      <c r="T406" s="69">
        <f>+$D$406*T67</f>
        <v/>
      </c>
      <c r="U406" s="69">
        <f>+$D$406*U67</f>
        <v/>
      </c>
      <c r="V406" s="69">
        <f>+$D$406*V67</f>
        <v/>
      </c>
      <c r="W406" s="69">
        <f>+$D$406*W67</f>
        <v/>
      </c>
      <c r="X406" s="1070">
        <f>+$D$406*X67</f>
        <v/>
      </c>
      <c r="Y406" s="69">
        <f>+$D$406*Y67</f>
        <v/>
      </c>
      <c r="Z406" s="69">
        <f>+$D$406*Z67</f>
        <v/>
      </c>
      <c r="AA406" s="69">
        <f>+$D$406*AA67</f>
        <v/>
      </c>
      <c r="AB406" s="69">
        <f>+$D$406*AB67</f>
        <v/>
      </c>
      <c r="AC406" s="69">
        <f>+$D$406*AC67</f>
        <v/>
      </c>
      <c r="AD406" s="1070">
        <f>+$D$406*AD67</f>
        <v/>
      </c>
      <c r="AE406" s="69">
        <f>+$D$406*AE67</f>
        <v/>
      </c>
      <c r="AF406" s="69">
        <f>+$D$406*AF67</f>
        <v/>
      </c>
      <c r="AG406" s="69">
        <f>+$D$406*AG67</f>
        <v/>
      </c>
      <c r="AH406" s="69">
        <f>+$D$406*AH67</f>
        <v/>
      </c>
      <c r="AI406" s="69">
        <f>+$D$406*AI67</f>
        <v/>
      </c>
      <c r="AJ406" s="1070">
        <f>+$D$406*AJ67</f>
        <v/>
      </c>
      <c r="AK406" s="69">
        <f>+$D$406*AK67</f>
        <v/>
      </c>
      <c r="AL406" s="69">
        <f>+$D$406*AL67</f>
        <v/>
      </c>
      <c r="AM406" s="69">
        <f>+$D$406*AM67</f>
        <v/>
      </c>
      <c r="AN406" s="69">
        <f>+$D$406*AN67</f>
        <v/>
      </c>
      <c r="AO406" s="69">
        <f>+$D$406*AO67</f>
        <v/>
      </c>
      <c r="AP406" s="1070">
        <f>+$D$406*AP67</f>
        <v/>
      </c>
      <c r="AQ406" s="69">
        <f>+$D$406*AQ67</f>
        <v/>
      </c>
      <c r="AR406" s="69">
        <f>+$D$406*AR67</f>
        <v/>
      </c>
      <c r="AS406" s="69">
        <f>+$D$406*AS67</f>
        <v/>
      </c>
      <c r="AT406" s="69">
        <f>+$D$406*AT67</f>
        <v/>
      </c>
      <c r="AU406" s="69">
        <f>+$D$406*AU67</f>
        <v/>
      </c>
      <c r="AV406" s="1070">
        <f>+$D$406*AV67</f>
        <v/>
      </c>
      <c r="AW406" s="69">
        <f>+$D$406*AW67</f>
        <v/>
      </c>
      <c r="AX406" s="69">
        <f>+$D$406*AX67</f>
        <v/>
      </c>
      <c r="AY406" s="69">
        <f>+$D$406*AY67</f>
        <v/>
      </c>
      <c r="AZ406" s="69">
        <f>+$D$406*AZ67</f>
        <v/>
      </c>
      <c r="BA406" s="69">
        <f>+$D$406*BA67</f>
        <v/>
      </c>
      <c r="BB406" s="1070">
        <f>+$D$406*BB67</f>
        <v/>
      </c>
      <c r="BC406" s="69">
        <f>+$D$406*BC67</f>
        <v/>
      </c>
      <c r="BD406" s="69">
        <f>+$D$406*BD67</f>
        <v/>
      </c>
      <c r="BE406" s="69">
        <f>+$D$406*BE67</f>
        <v/>
      </c>
      <c r="BF406" s="69">
        <f>+$D$406*BF67</f>
        <v/>
      </c>
      <c r="BG406" s="69">
        <f>+$D$406*BG67</f>
        <v/>
      </c>
      <c r="BH406" s="1070">
        <f>+$D$406*BH67</f>
        <v/>
      </c>
      <c r="BI406" s="69">
        <f>+$D$406*BI67</f>
        <v/>
      </c>
      <c r="BJ406" s="69">
        <f>+$D$406*BJ67</f>
        <v/>
      </c>
      <c r="BK406" s="69">
        <f>+$D$406*BK67</f>
        <v/>
      </c>
      <c r="BL406" s="69">
        <f>+$D$406*BL67</f>
        <v/>
      </c>
      <c r="BM406" s="69">
        <f>+$D$406*BM67</f>
        <v/>
      </c>
      <c r="BN406" s="1070">
        <f>+$D$406*BN67</f>
        <v/>
      </c>
    </row>
    <row r="407" ht="12.75" customHeight="1" s="1883">
      <c r="C407" s="1156" t="inlineStr">
        <is>
          <t>Impairments</t>
        </is>
      </c>
      <c r="D407" s="670" t="n"/>
      <c r="E407" s="671" t="n"/>
      <c r="F407" s="74" t="n"/>
      <c r="G407" s="69" t="n">
        <v>0</v>
      </c>
      <c r="H407" s="69" t="n">
        <v>0</v>
      </c>
      <c r="I407" s="69" t="n">
        <v>0</v>
      </c>
      <c r="J407" s="69" t="n">
        <v>0</v>
      </c>
      <c r="K407" s="69" t="n">
        <v>0</v>
      </c>
      <c r="L407" s="1070" t="n">
        <v>0</v>
      </c>
      <c r="M407" s="69" t="n">
        <v>0</v>
      </c>
      <c r="N407" s="69" t="n">
        <v>0</v>
      </c>
      <c r="O407" s="69" t="n">
        <v>0</v>
      </c>
      <c r="P407" s="69" t="n">
        <v>0</v>
      </c>
      <c r="Q407" s="69" t="n">
        <v>0</v>
      </c>
      <c r="R407" s="1070" t="n">
        <v>0</v>
      </c>
      <c r="S407" s="69" t="n">
        <v>0</v>
      </c>
      <c r="T407" s="69" t="n">
        <v>0</v>
      </c>
      <c r="U407" s="69" t="n">
        <v>0</v>
      </c>
      <c r="V407" s="69" t="n">
        <v>0</v>
      </c>
      <c r="W407" s="69" t="n">
        <v>0</v>
      </c>
      <c r="X407" s="1070" t="n">
        <v>0</v>
      </c>
      <c r="Y407" s="69" t="n">
        <v>0</v>
      </c>
      <c r="Z407" s="69" t="n">
        <v>0</v>
      </c>
      <c r="AA407" s="69" t="n">
        <v>0</v>
      </c>
      <c r="AB407" s="69" t="n">
        <v>0</v>
      </c>
      <c r="AC407" s="69" t="n">
        <v>0</v>
      </c>
      <c r="AD407" s="1070" t="n">
        <v>0</v>
      </c>
      <c r="AE407" s="69" t="n">
        <v>0</v>
      </c>
      <c r="AF407" s="69" t="n">
        <v>0</v>
      </c>
      <c r="AG407" s="69" t="n">
        <v>0</v>
      </c>
      <c r="AH407" s="69" t="n">
        <v>0</v>
      </c>
      <c r="AI407" s="69" t="n">
        <v>0</v>
      </c>
      <c r="AJ407" s="1070" t="n">
        <v>0</v>
      </c>
      <c r="AK407" s="69" t="n">
        <v>0</v>
      </c>
      <c r="AL407" s="69" t="n">
        <v>0</v>
      </c>
      <c r="AM407" s="69" t="n">
        <v>0</v>
      </c>
      <c r="AN407" s="69" t="n">
        <v>0</v>
      </c>
      <c r="AO407" s="69" t="n">
        <v>0</v>
      </c>
      <c r="AP407" s="1070" t="n">
        <v>0</v>
      </c>
      <c r="AQ407" s="69" t="n">
        <v>0</v>
      </c>
      <c r="AR407" s="69" t="n">
        <v>0</v>
      </c>
      <c r="AS407" s="69" t="n">
        <v>0</v>
      </c>
      <c r="AT407" s="69" t="n">
        <v>0</v>
      </c>
      <c r="AU407" s="69" t="n">
        <v>0</v>
      </c>
      <c r="AV407" s="1070" t="n">
        <v>0</v>
      </c>
      <c r="AW407" s="69" t="n">
        <v>0</v>
      </c>
      <c r="AX407" s="69" t="n">
        <v>0</v>
      </c>
      <c r="AY407" s="69" t="n">
        <v>0</v>
      </c>
      <c r="AZ407" s="69" t="n">
        <v>0</v>
      </c>
      <c r="BA407" s="69" t="n">
        <v>0</v>
      </c>
      <c r="BB407" s="1070" t="n">
        <v>0</v>
      </c>
      <c r="BC407" s="69" t="n">
        <v>0</v>
      </c>
      <c r="BD407" s="69" t="n">
        <v>0</v>
      </c>
      <c r="BE407" s="69" t="n">
        <v>0</v>
      </c>
      <c r="BF407" s="69" t="n">
        <v>0</v>
      </c>
      <c r="BG407" s="69" t="n">
        <v>0</v>
      </c>
      <c r="BH407" s="1070" t="n">
        <v>0</v>
      </c>
      <c r="BI407" s="69" t="n">
        <v>0</v>
      </c>
      <c r="BJ407" s="69" t="n">
        <v>0</v>
      </c>
      <c r="BK407" s="69" t="n">
        <v>0</v>
      </c>
      <c r="BL407" s="69" t="n">
        <v>0</v>
      </c>
      <c r="BM407" s="69" t="n">
        <v>0</v>
      </c>
      <c r="BN407" s="1070" t="n">
        <v>0</v>
      </c>
    </row>
    <row r="408" ht="12.75" customHeight="1" s="1883">
      <c r="C408" s="1156" t="inlineStr">
        <is>
          <t>Patents - End</t>
        </is>
      </c>
      <c r="D408" s="670" t="n"/>
      <c r="E408" s="671" t="n"/>
      <c r="F408" s="74" t="n"/>
      <c r="G408" s="1173">
        <f>+G405+G406-G407</f>
        <v/>
      </c>
      <c r="H408" s="1173">
        <f>+H405+H406-H407</f>
        <v/>
      </c>
      <c r="I408" s="1173">
        <f>+I405+I406-I407</f>
        <v/>
      </c>
      <c r="J408" s="1173">
        <f>+J405+J406-J407</f>
        <v/>
      </c>
      <c r="K408" s="1173">
        <f>+K405+K406-K407</f>
        <v/>
      </c>
      <c r="L408" s="1174">
        <f>+L405+L406-L407</f>
        <v/>
      </c>
      <c r="M408" s="1173">
        <f>+M405+M406-M407</f>
        <v/>
      </c>
      <c r="N408" s="1173">
        <f>+N405+N406-N407</f>
        <v/>
      </c>
      <c r="O408" s="1173">
        <f>+O405+O406-O407</f>
        <v/>
      </c>
      <c r="P408" s="1173">
        <f>+P405+P406-P407</f>
        <v/>
      </c>
      <c r="Q408" s="1173">
        <f>+Q405+Q406-Q407</f>
        <v/>
      </c>
      <c r="R408" s="1174">
        <f>+R405+R406-R407</f>
        <v/>
      </c>
      <c r="S408" s="1173">
        <f>+S405+S406-S407</f>
        <v/>
      </c>
      <c r="T408" s="1173">
        <f>+T405+T406-T407</f>
        <v/>
      </c>
      <c r="U408" s="1173">
        <f>+U405+U406-U407</f>
        <v/>
      </c>
      <c r="V408" s="1173">
        <f>+V405+V406-V407</f>
        <v/>
      </c>
      <c r="W408" s="1173">
        <f>+W405+W406-W407</f>
        <v/>
      </c>
      <c r="X408" s="1174">
        <f>+X405+X406-X407</f>
        <v/>
      </c>
      <c r="Y408" s="1173">
        <f>+Y405+Y406-Y407</f>
        <v/>
      </c>
      <c r="Z408" s="1173">
        <f>+Z405+Z406-Z407</f>
        <v/>
      </c>
      <c r="AA408" s="1173">
        <f>+AA405+AA406-AA407</f>
        <v/>
      </c>
      <c r="AB408" s="1173">
        <f>+AB405+AB406-AB407</f>
        <v/>
      </c>
      <c r="AC408" s="1173">
        <f>+AC405+AC406-AC407</f>
        <v/>
      </c>
      <c r="AD408" s="1174">
        <f>+AD405+AD406-AD407</f>
        <v/>
      </c>
      <c r="AE408" s="1173">
        <f>+AE405+AE406-AE407</f>
        <v/>
      </c>
      <c r="AF408" s="1173">
        <f>+AF405+AF406-AF407</f>
        <v/>
      </c>
      <c r="AG408" s="1173">
        <f>+AG405+AG406-AG407</f>
        <v/>
      </c>
      <c r="AH408" s="1173">
        <f>+AH405+AH406-AH407</f>
        <v/>
      </c>
      <c r="AI408" s="1173">
        <f>+AI405+AI406-AI407</f>
        <v/>
      </c>
      <c r="AJ408" s="1174">
        <f>+AJ405+AJ406-AJ407</f>
        <v/>
      </c>
      <c r="AK408" s="1173">
        <f>+AK405+AK406-AK407</f>
        <v/>
      </c>
      <c r="AL408" s="1173">
        <f>+AL405+AL406-AL407</f>
        <v/>
      </c>
      <c r="AM408" s="1173">
        <f>+AM405+AM406-AM407</f>
        <v/>
      </c>
      <c r="AN408" s="1173">
        <f>+AN405+AN406-AN407</f>
        <v/>
      </c>
      <c r="AO408" s="1173">
        <f>+AO405+AO406-AO407</f>
        <v/>
      </c>
      <c r="AP408" s="1174">
        <f>+AP405+AP406-AP407</f>
        <v/>
      </c>
      <c r="AQ408" s="1173">
        <f>+AQ405+AQ406-AQ407</f>
        <v/>
      </c>
      <c r="AR408" s="1173">
        <f>+AR405+AR406-AR407</f>
        <v/>
      </c>
      <c r="AS408" s="1173">
        <f>+AS405+AS406-AS407</f>
        <v/>
      </c>
      <c r="AT408" s="1173">
        <f>+AT405+AT406-AT407</f>
        <v/>
      </c>
      <c r="AU408" s="1173">
        <f>+AU405+AU406-AU407</f>
        <v/>
      </c>
      <c r="AV408" s="1174">
        <f>+AV405+AV406-AV407</f>
        <v/>
      </c>
      <c r="AW408" s="1173">
        <f>+AW405+AW406-AW407</f>
        <v/>
      </c>
      <c r="AX408" s="1173">
        <f>+AX405+AX406-AX407</f>
        <v/>
      </c>
      <c r="AY408" s="1173">
        <f>+AY405+AY406-AY407</f>
        <v/>
      </c>
      <c r="AZ408" s="1173">
        <f>+AZ405+AZ406-AZ407</f>
        <v/>
      </c>
      <c r="BA408" s="1173">
        <f>+BA405+BA406-BA407</f>
        <v/>
      </c>
      <c r="BB408" s="1174">
        <f>+BB405+BB406-BB407</f>
        <v/>
      </c>
      <c r="BC408" s="1173">
        <f>+BC405+BC406-BC407</f>
        <v/>
      </c>
      <c r="BD408" s="1173">
        <f>+BD405+BD406-BD407</f>
        <v/>
      </c>
      <c r="BE408" s="1173">
        <f>+BE405+BE406-BE407</f>
        <v/>
      </c>
      <c r="BF408" s="1173">
        <f>+BF405+BF406-BF407</f>
        <v/>
      </c>
      <c r="BG408" s="1173">
        <f>+BG405+BG406-BG407</f>
        <v/>
      </c>
      <c r="BH408" s="1174">
        <f>+BH405+BH406-BH407</f>
        <v/>
      </c>
      <c r="BI408" s="1173">
        <f>+BI405+BI406-BI407</f>
        <v/>
      </c>
      <c r="BJ408" s="1173">
        <f>+BJ405+BJ406-BJ407</f>
        <v/>
      </c>
      <c r="BK408" s="1173">
        <f>+BK405+BK406-BK407</f>
        <v/>
      </c>
      <c r="BL408" s="1173">
        <f>+BL405+BL406-BL407</f>
        <v/>
      </c>
      <c r="BM408" s="1173">
        <f>+BM405+BM406-BM407</f>
        <v/>
      </c>
      <c r="BN408" s="1174">
        <f>+BN405+BN406-BN407</f>
        <v/>
      </c>
    </row>
    <row r="409" ht="5.25" customHeight="1" s="1883">
      <c r="C409" s="1156" t="n"/>
      <c r="D409" s="670" t="n"/>
      <c r="E409" s="671" t="n"/>
      <c r="F409" s="74" t="n"/>
      <c r="G409" s="69" t="n"/>
      <c r="H409" s="69" t="n"/>
      <c r="I409" s="69" t="n"/>
      <c r="J409" s="69" t="n"/>
      <c r="K409" s="69" t="n"/>
      <c r="L409" s="1070" t="n"/>
      <c r="M409" s="69" t="n"/>
      <c r="N409" s="69" t="n"/>
      <c r="O409" s="69" t="n"/>
      <c r="P409" s="69" t="n"/>
      <c r="Q409" s="69" t="n"/>
      <c r="R409" s="1070" t="n"/>
      <c r="S409" s="69" t="n"/>
      <c r="T409" s="69" t="n"/>
      <c r="U409" s="69" t="n"/>
      <c r="V409" s="69" t="n"/>
      <c r="W409" s="69" t="n"/>
      <c r="X409" s="1070" t="n"/>
      <c r="Y409" s="69" t="n"/>
      <c r="Z409" s="69" t="n"/>
      <c r="AA409" s="69" t="n"/>
      <c r="AB409" s="69" t="n"/>
      <c r="AC409" s="69" t="n"/>
      <c r="AD409" s="1070" t="n"/>
      <c r="AE409" s="69" t="n"/>
      <c r="AF409" s="69" t="n"/>
      <c r="AG409" s="69" t="n"/>
      <c r="AH409" s="69" t="n"/>
      <c r="AI409" s="69" t="n"/>
      <c r="AJ409" s="1070" t="n"/>
      <c r="AK409" s="69" t="n"/>
      <c r="AL409" s="69" t="n"/>
      <c r="AM409" s="69" t="n"/>
      <c r="AN409" s="69" t="n"/>
      <c r="AO409" s="69" t="n"/>
      <c r="AP409" s="1070" t="n"/>
      <c r="AQ409" s="69" t="n"/>
      <c r="AR409" s="69" t="n"/>
      <c r="AS409" s="69" t="n"/>
      <c r="AT409" s="69" t="n"/>
      <c r="AU409" s="69" t="n"/>
      <c r="AV409" s="1070" t="n"/>
      <c r="AW409" s="69" t="n"/>
      <c r="AX409" s="69" t="n"/>
      <c r="AY409" s="69" t="n"/>
      <c r="AZ409" s="69" t="n"/>
      <c r="BA409" s="69" t="n"/>
      <c r="BB409" s="1070" t="n"/>
      <c r="BC409" s="69" t="n"/>
      <c r="BD409" s="69" t="n"/>
      <c r="BE409" s="69" t="n"/>
      <c r="BF409" s="69" t="n"/>
      <c r="BG409" s="69" t="n"/>
      <c r="BH409" s="1070" t="n"/>
      <c r="BI409" s="69" t="n"/>
      <c r="BJ409" s="69" t="n"/>
      <c r="BK409" s="69" t="n"/>
      <c r="BL409" s="69" t="n"/>
      <c r="BM409" s="69" t="n"/>
      <c r="BN409" s="1070" t="n"/>
    </row>
    <row r="410" ht="12.75" customHeight="1" s="1883">
      <c r="C410" s="1158" t="inlineStr">
        <is>
          <t>Total Intangible Assets</t>
        </is>
      </c>
      <c r="D410" s="670" t="n"/>
      <c r="E410" s="671" t="n"/>
      <c r="F410" s="74" t="n"/>
      <c r="G410" s="1161">
        <f>+SUM(G402:G403)+G408</f>
        <v/>
      </c>
      <c r="H410" s="1161">
        <f>+SUM(H402:H403)+H408</f>
        <v/>
      </c>
      <c r="I410" s="1161">
        <f>+SUM(I402:I403)+I408</f>
        <v/>
      </c>
      <c r="J410" s="1161">
        <f>+SUM(J402:J403)+J408</f>
        <v/>
      </c>
      <c r="K410" s="1161">
        <f>+SUM(K402:K403)+K408</f>
        <v/>
      </c>
      <c r="L410" s="1162">
        <f>+SUM(L402:L403)+L408</f>
        <v/>
      </c>
      <c r="M410" s="1161">
        <f>+SUM(M402:M403)+M408</f>
        <v/>
      </c>
      <c r="N410" s="1161">
        <f>+SUM(N402:N403)+N408</f>
        <v/>
      </c>
      <c r="O410" s="1161">
        <f>+SUM(O402:O403)+O408</f>
        <v/>
      </c>
      <c r="P410" s="1161">
        <f>+SUM(P402:P403)+P408</f>
        <v/>
      </c>
      <c r="Q410" s="1161">
        <f>+SUM(Q402:Q403)+Q408</f>
        <v/>
      </c>
      <c r="R410" s="1162">
        <f>+SUM(R402:R403)+R408</f>
        <v/>
      </c>
      <c r="S410" s="1161">
        <f>+SUM(S402:S403)+S408</f>
        <v/>
      </c>
      <c r="T410" s="1161">
        <f>+SUM(T402:T403)+T408</f>
        <v/>
      </c>
      <c r="U410" s="1161">
        <f>+SUM(U402:U403)+U408</f>
        <v/>
      </c>
      <c r="V410" s="1161">
        <f>+SUM(V402:V403)+V408</f>
        <v/>
      </c>
      <c r="W410" s="1161">
        <f>+SUM(W402:W403)+W408</f>
        <v/>
      </c>
      <c r="X410" s="1162">
        <f>+SUM(X402:X403)+X408</f>
        <v/>
      </c>
      <c r="Y410" s="1161">
        <f>+SUM(Y402:Y403)+Y408</f>
        <v/>
      </c>
      <c r="Z410" s="1161">
        <f>+SUM(Z402:Z403)+Z408</f>
        <v/>
      </c>
      <c r="AA410" s="1161">
        <f>+SUM(AA402:AA403)+AA408</f>
        <v/>
      </c>
      <c r="AB410" s="1161">
        <f>+SUM(AB402:AB403)+AB408</f>
        <v/>
      </c>
      <c r="AC410" s="1161">
        <f>+SUM(AC402:AC403)+AC408</f>
        <v/>
      </c>
      <c r="AD410" s="1162">
        <f>+SUM(AD402:AD403)+AD408</f>
        <v/>
      </c>
      <c r="AE410" s="1161">
        <f>+SUM(AE402:AE403)+AE408</f>
        <v/>
      </c>
      <c r="AF410" s="1161">
        <f>+SUM(AF402:AF403)+AF408</f>
        <v/>
      </c>
      <c r="AG410" s="1161">
        <f>+SUM(AG402:AG403)+AG408</f>
        <v/>
      </c>
      <c r="AH410" s="1161">
        <f>+SUM(AH402:AH403)+AH408</f>
        <v/>
      </c>
      <c r="AI410" s="1161">
        <f>+SUM(AI402:AI403)+AI408</f>
        <v/>
      </c>
      <c r="AJ410" s="1162">
        <f>+SUM(AJ402:AJ403)+AJ408</f>
        <v/>
      </c>
      <c r="AK410" s="1161">
        <f>+SUM(AK402:AK403)+AK408</f>
        <v/>
      </c>
      <c r="AL410" s="1161">
        <f>+SUM(AL402:AL403)+AL408</f>
        <v/>
      </c>
      <c r="AM410" s="1161">
        <f>+SUM(AM402:AM403)+AM408</f>
        <v/>
      </c>
      <c r="AN410" s="1161">
        <f>+SUM(AN402:AN403)+AN408</f>
        <v/>
      </c>
      <c r="AO410" s="1161">
        <f>+SUM(AO402:AO403)+AO408</f>
        <v/>
      </c>
      <c r="AP410" s="1162">
        <f>+SUM(AP402:AP403)+AP408</f>
        <v/>
      </c>
      <c r="AQ410" s="1161">
        <f>+SUM(AQ402:AQ403)+AQ408</f>
        <v/>
      </c>
      <c r="AR410" s="1161">
        <f>+SUM(AR402:AR403)+AR408</f>
        <v/>
      </c>
      <c r="AS410" s="1161">
        <f>+SUM(AS402:AS403)+AS408</f>
        <v/>
      </c>
      <c r="AT410" s="1161">
        <f>+SUM(AT402:AT403)+AT408</f>
        <v/>
      </c>
      <c r="AU410" s="1161">
        <f>+SUM(AU402:AU403)+AU408</f>
        <v/>
      </c>
      <c r="AV410" s="1162">
        <f>+SUM(AV402:AV403)+AV408</f>
        <v/>
      </c>
      <c r="AW410" s="1161">
        <f>+SUM(AW402:AW403)+AW408</f>
        <v/>
      </c>
      <c r="AX410" s="1161">
        <f>+SUM(AX402:AX403)+AX408</f>
        <v/>
      </c>
      <c r="AY410" s="1161">
        <f>+SUM(AY402:AY403)+AY408</f>
        <v/>
      </c>
      <c r="AZ410" s="1161">
        <f>+SUM(AZ402:AZ403)+AZ408</f>
        <v/>
      </c>
      <c r="BA410" s="1161">
        <f>+SUM(BA402:BA403)+BA408</f>
        <v/>
      </c>
      <c r="BB410" s="1162">
        <f>+SUM(BB402:BB403)+BB408</f>
        <v/>
      </c>
      <c r="BC410" s="1161">
        <f>+SUM(BC402:BC403)+BC408</f>
        <v/>
      </c>
      <c r="BD410" s="1161">
        <f>+SUM(BD402:BD403)+BD408</f>
        <v/>
      </c>
      <c r="BE410" s="1161">
        <f>+SUM(BE402:BE403)+BE408</f>
        <v/>
      </c>
      <c r="BF410" s="1161">
        <f>+SUM(BF402:BF403)+BF408</f>
        <v/>
      </c>
      <c r="BG410" s="1161">
        <f>+SUM(BG402:BG403)+BG408</f>
        <v/>
      </c>
      <c r="BH410" s="1162">
        <f>+SUM(BH402:BH403)+BH408</f>
        <v/>
      </c>
      <c r="BI410" s="1161">
        <f>+SUM(BI402:BI403)+BI408</f>
        <v/>
      </c>
      <c r="BJ410" s="1161">
        <f>+SUM(BJ402:BJ403)+BJ408</f>
        <v/>
      </c>
      <c r="BK410" s="1161">
        <f>+SUM(BK402:BK403)+BK408</f>
        <v/>
      </c>
      <c r="BL410" s="1161">
        <f>+SUM(BL402:BL403)+BL408</f>
        <v/>
      </c>
      <c r="BM410" s="1161">
        <f>+SUM(BM402:BM403)+BM408</f>
        <v/>
      </c>
      <c r="BN410" s="1162">
        <f>+SUM(BN402:BN403)+BN408</f>
        <v/>
      </c>
    </row>
    <row r="411" ht="12.75" customHeight="1" s="1883">
      <c r="C411" s="1175" t="n"/>
      <c r="D411" s="1166" t="n"/>
      <c r="E411" s="1167" t="n"/>
      <c r="F411" s="1168" t="n"/>
      <c r="G411" s="1169" t="n"/>
      <c r="H411" s="1169" t="n"/>
      <c r="I411" s="1169" t="n"/>
      <c r="J411" s="1169" t="n"/>
      <c r="K411" s="1169" t="n"/>
      <c r="L411" s="208" t="n"/>
      <c r="M411" s="1169" t="n"/>
      <c r="N411" s="1169" t="n"/>
      <c r="O411" s="1169" t="n"/>
      <c r="P411" s="1169" t="n"/>
      <c r="Q411" s="1169" t="n"/>
      <c r="R411" s="208" t="n"/>
      <c r="S411" s="1169" t="n"/>
      <c r="T411" s="1169" t="n"/>
      <c r="U411" s="1169" t="n"/>
      <c r="V411" s="1169" t="n"/>
      <c r="W411" s="1169" t="n"/>
      <c r="X411" s="208" t="n"/>
      <c r="Y411" s="1169" t="n"/>
      <c r="Z411" s="1169" t="n"/>
      <c r="AA411" s="1169" t="n"/>
      <c r="AB411" s="1169" t="n"/>
      <c r="AC411" s="1169" t="n"/>
      <c r="AD411" s="208" t="n"/>
      <c r="AE411" s="1169" t="n"/>
      <c r="AF411" s="1169" t="n"/>
      <c r="AG411" s="1169" t="n"/>
      <c r="AH411" s="1169" t="n"/>
      <c r="AI411" s="1169" t="n"/>
      <c r="AJ411" s="208" t="n"/>
      <c r="AK411" s="1169" t="n"/>
      <c r="AL411" s="1169" t="n"/>
      <c r="AM411" s="1169" t="n"/>
      <c r="AN411" s="1169" t="n"/>
      <c r="AO411" s="1169" t="n"/>
      <c r="AP411" s="208" t="n"/>
      <c r="AQ411" s="1169" t="n"/>
      <c r="AR411" s="1169" t="n"/>
      <c r="AS411" s="1169" t="n"/>
      <c r="AT411" s="1169" t="n"/>
      <c r="AU411" s="1169" t="n"/>
      <c r="AV411" s="208" t="n"/>
      <c r="AW411" s="1169" t="n"/>
      <c r="AX411" s="1169" t="n"/>
      <c r="AY411" s="1169" t="n"/>
      <c r="AZ411" s="1169" t="n"/>
      <c r="BA411" s="1169" t="n"/>
      <c r="BB411" s="208" t="n"/>
      <c r="BC411" s="1169" t="n"/>
      <c r="BD411" s="1169" t="n"/>
      <c r="BE411" s="1169" t="n"/>
      <c r="BF411" s="1169" t="n"/>
      <c r="BG411" s="1169" t="n"/>
      <c r="BH411" s="208" t="n"/>
      <c r="BI411" s="1169" t="n"/>
      <c r="BJ411" s="1169" t="n"/>
      <c r="BK411" s="1169" t="n"/>
      <c r="BL411" s="1169" t="n"/>
      <c r="BM411" s="1169" t="n"/>
      <c r="BN411" s="208" t="n"/>
    </row>
    <row r="412" ht="12.75" customHeight="1" s="1883">
      <c r="C412" s="1158" t="inlineStr">
        <is>
          <t>AP</t>
        </is>
      </c>
      <c r="D412" s="670" t="inlineStr">
        <is>
          <t>Inventory paid in advance and all expenses paid COD</t>
        </is>
      </c>
      <c r="E412" s="671" t="n"/>
      <c r="F412" s="74" t="n"/>
      <c r="G412" s="69" t="n"/>
      <c r="H412" s="69" t="n"/>
      <c r="I412" s="69" t="n"/>
      <c r="J412" s="69" t="n"/>
      <c r="K412" s="69" t="n"/>
      <c r="L412" s="1070" t="n"/>
      <c r="M412" s="69" t="n"/>
      <c r="N412" s="69" t="n"/>
      <c r="O412" s="69" t="n"/>
      <c r="P412" s="69" t="n"/>
      <c r="Q412" s="69" t="n"/>
      <c r="R412" s="1070" t="n"/>
      <c r="S412" s="69" t="n"/>
      <c r="T412" s="69" t="n"/>
      <c r="U412" s="69" t="n"/>
      <c r="V412" s="69" t="n"/>
      <c r="W412" s="69" t="n"/>
      <c r="X412" s="1070" t="n"/>
      <c r="Y412" s="69" t="n"/>
      <c r="Z412" s="69" t="n"/>
      <c r="AA412" s="69" t="n"/>
      <c r="AB412" s="69" t="n"/>
      <c r="AC412" s="69" t="n"/>
      <c r="AD412" s="1070" t="n"/>
      <c r="AE412" s="69" t="n"/>
      <c r="AF412" s="69" t="n"/>
      <c r="AG412" s="69" t="n"/>
      <c r="AH412" s="69" t="n"/>
      <c r="AI412" s="69" t="n"/>
      <c r="AJ412" s="1070" t="n"/>
      <c r="AK412" s="69" t="n"/>
      <c r="AL412" s="69" t="n"/>
      <c r="AM412" s="69" t="n"/>
      <c r="AN412" s="69" t="n"/>
      <c r="AO412" s="69" t="n"/>
      <c r="AP412" s="1070" t="n"/>
      <c r="AQ412" s="69" t="n"/>
      <c r="AR412" s="69" t="n"/>
      <c r="AS412" s="69" t="n"/>
      <c r="AT412" s="69" t="n"/>
      <c r="AU412" s="69" t="n"/>
      <c r="AV412" s="1070" t="n"/>
      <c r="AW412" s="69" t="n"/>
      <c r="AX412" s="69" t="n"/>
      <c r="AY412" s="69" t="n"/>
      <c r="AZ412" s="69" t="n"/>
      <c r="BA412" s="69" t="n"/>
      <c r="BB412" s="1070" t="n"/>
      <c r="BC412" s="69" t="n"/>
      <c r="BD412" s="69" t="n"/>
      <c r="BE412" s="69" t="n"/>
      <c r="BF412" s="69" t="n"/>
      <c r="BG412" s="69" t="n"/>
      <c r="BH412" s="1070" t="n"/>
      <c r="BI412" s="69" t="n"/>
      <c r="BJ412" s="69" t="n"/>
      <c r="BK412" s="69" t="n"/>
      <c r="BL412" s="69" t="n"/>
      <c r="BM412" s="69" t="n"/>
      <c r="BN412" s="1070" t="n"/>
    </row>
    <row r="413" ht="12.75" customHeight="1" s="1883">
      <c r="C413" s="1175" t="n"/>
      <c r="D413" s="1166" t="n"/>
      <c r="E413" s="1167" t="n"/>
      <c r="F413" s="1168" t="n"/>
      <c r="G413" s="1169" t="n"/>
      <c r="H413" s="1169" t="n"/>
      <c r="I413" s="1169" t="n"/>
      <c r="J413" s="1169" t="n"/>
      <c r="K413" s="1169" t="n"/>
      <c r="L413" s="208" t="n"/>
      <c r="M413" s="1169" t="n"/>
      <c r="N413" s="1169" t="n"/>
      <c r="O413" s="1169" t="n"/>
      <c r="P413" s="1169" t="n"/>
      <c r="Q413" s="1169" t="n"/>
      <c r="R413" s="208" t="n"/>
      <c r="S413" s="69" t="n"/>
      <c r="T413" s="69" t="n"/>
      <c r="U413" s="69" t="n"/>
      <c r="V413" s="69" t="n"/>
      <c r="W413" s="69" t="n"/>
      <c r="X413" s="1070" t="n"/>
      <c r="Y413" s="69" t="n"/>
      <c r="Z413" s="69" t="n"/>
      <c r="AA413" s="69" t="n"/>
      <c r="AB413" s="69" t="n"/>
      <c r="AC413" s="69" t="n"/>
      <c r="AD413" s="1070" t="n"/>
      <c r="AE413" s="69" t="n"/>
      <c r="AF413" s="69" t="n"/>
      <c r="AG413" s="69" t="n"/>
      <c r="AH413" s="69" t="n"/>
      <c r="AI413" s="69" t="n"/>
      <c r="AJ413" s="1070" t="n"/>
      <c r="AK413" s="69" t="n"/>
      <c r="AL413" s="69" t="n"/>
      <c r="AM413" s="69" t="n"/>
      <c r="AN413" s="69" t="n"/>
      <c r="AO413" s="69" t="n"/>
      <c r="AP413" s="1070" t="n"/>
      <c r="AQ413" s="69" t="n"/>
      <c r="AR413" s="69" t="n"/>
      <c r="AS413" s="69" t="n"/>
      <c r="AT413" s="69" t="n"/>
      <c r="AU413" s="69" t="n"/>
      <c r="AV413" s="1070" t="n"/>
      <c r="AW413" s="69" t="n"/>
      <c r="AX413" s="69" t="n"/>
      <c r="AY413" s="69" t="n"/>
      <c r="AZ413" s="69" t="n"/>
      <c r="BA413" s="69" t="n"/>
      <c r="BB413" s="1070" t="n"/>
      <c r="BC413" s="69" t="n"/>
      <c r="BD413" s="69" t="n"/>
      <c r="BE413" s="69" t="n"/>
      <c r="BF413" s="69" t="n"/>
      <c r="BG413" s="69" t="n"/>
      <c r="BH413" s="1070" t="n"/>
      <c r="BI413" s="69" t="n"/>
      <c r="BJ413" s="69" t="n"/>
      <c r="BK413" s="69" t="n"/>
      <c r="BL413" s="69" t="n"/>
      <c r="BM413" s="69" t="n"/>
      <c r="BN413" s="1070" t="n"/>
    </row>
    <row r="414" ht="12.75" customHeight="1" s="1883">
      <c r="C414" s="1158" t="inlineStr">
        <is>
          <t>Trade Finance</t>
        </is>
      </c>
      <c r="D414" s="670" t="n"/>
      <c r="E414" s="671" t="n"/>
      <c r="F414" s="74" t="n"/>
      <c r="G414" s="69" t="n"/>
      <c r="H414" s="69" t="n"/>
      <c r="I414" s="69" t="n"/>
      <c r="J414" s="69" t="n"/>
      <c r="K414" s="69" t="n"/>
      <c r="L414" s="1070" t="n"/>
      <c r="M414" s="69" t="n"/>
      <c r="N414" s="69" t="n"/>
      <c r="O414" s="69" t="n"/>
      <c r="P414" s="69" t="n"/>
      <c r="Q414" s="69" t="n"/>
      <c r="R414" s="1070" t="n"/>
      <c r="S414" s="69" t="n"/>
      <c r="T414" s="69" t="n"/>
      <c r="U414" s="69" t="n"/>
      <c r="V414" s="69" t="n"/>
      <c r="W414" s="69" t="n"/>
      <c r="X414" s="1070" t="n"/>
      <c r="Y414" s="69" t="n"/>
      <c r="Z414" s="69" t="n"/>
      <c r="AA414" s="69" t="n"/>
      <c r="AB414" s="69" t="n"/>
      <c r="AC414" s="69" t="n"/>
      <c r="AD414" s="1070" t="n"/>
      <c r="AE414" s="69" t="n"/>
      <c r="AF414" s="69" t="n"/>
      <c r="AG414" s="69" t="n"/>
      <c r="AH414" s="69" t="n"/>
      <c r="AI414" s="69" t="n"/>
      <c r="AJ414" s="1070" t="n"/>
      <c r="AK414" s="69" t="n"/>
      <c r="AL414" s="69" t="n"/>
      <c r="AM414" s="69" t="n"/>
      <c r="AN414" s="69" t="n"/>
      <c r="AO414" s="69" t="n"/>
      <c r="AP414" s="1070" t="n"/>
      <c r="AQ414" s="69" t="n"/>
      <c r="AR414" s="69" t="n"/>
      <c r="AS414" s="69" t="n"/>
      <c r="AT414" s="69" t="n"/>
      <c r="AU414" s="69" t="n"/>
      <c r="AV414" s="1070" t="n"/>
      <c r="AW414" s="69" t="n"/>
      <c r="AX414" s="69" t="n"/>
      <c r="AY414" s="69" t="n"/>
      <c r="AZ414" s="69" t="n"/>
      <c r="BA414" s="69" t="n"/>
      <c r="BB414" s="1070" t="n"/>
      <c r="BC414" s="69" t="n"/>
      <c r="BD414" s="69" t="n"/>
      <c r="BE414" s="69" t="n"/>
      <c r="BF414" s="69" t="n"/>
      <c r="BG414" s="69" t="n"/>
      <c r="BH414" s="1070" t="n"/>
      <c r="BI414" s="69" t="n"/>
      <c r="BJ414" s="69" t="n"/>
      <c r="BK414" s="69" t="n"/>
      <c r="BL414" s="69" t="n"/>
      <c r="BM414" s="69" t="n"/>
      <c r="BN414" s="1070" t="n"/>
    </row>
    <row r="415" ht="12.75" customHeight="1" s="1883">
      <c r="C415" s="1141" t="inlineStr">
        <is>
          <t>Inventory Advance Rate</t>
        </is>
      </c>
      <c r="D415" s="873" t="n">
        <v>0</v>
      </c>
      <c r="E415" s="85" t="inlineStr">
        <is>
          <t>of final payment</t>
        </is>
      </c>
      <c r="F415" s="57" t="n"/>
      <c r="G415" s="59" t="n"/>
      <c r="H415" s="59" t="n"/>
      <c r="I415" s="59" t="n"/>
      <c r="J415" s="59" t="n"/>
      <c r="K415" s="59" t="n"/>
      <c r="L415" s="1039" t="n"/>
      <c r="M415" s="59" t="n"/>
      <c r="N415" s="59" t="n"/>
      <c r="O415" s="59" t="n"/>
      <c r="P415" s="59" t="n"/>
      <c r="Q415" s="59" t="n"/>
      <c r="R415" s="1039" t="n"/>
      <c r="S415" s="59" t="n"/>
      <c r="T415" s="59" t="n"/>
      <c r="U415" s="59" t="n"/>
      <c r="V415" s="59" t="n"/>
      <c r="W415" s="59" t="n"/>
      <c r="X415" s="1039" t="n"/>
      <c r="Y415" s="59" t="n"/>
      <c r="Z415" s="59" t="n"/>
      <c r="AA415" s="59" t="n"/>
      <c r="AB415" s="59" t="n"/>
      <c r="AC415" s="59" t="n"/>
      <c r="AD415" s="1039" t="n"/>
      <c r="AE415" s="59" t="n"/>
      <c r="AF415" s="59" t="n"/>
      <c r="AG415" s="59" t="n"/>
      <c r="AH415" s="59" t="n"/>
      <c r="AI415" s="59" t="n"/>
      <c r="AJ415" s="1039" t="n"/>
      <c r="AK415" s="59" t="n"/>
      <c r="AL415" s="59" t="n"/>
      <c r="AM415" s="59" t="n"/>
      <c r="AN415" s="59" t="n"/>
      <c r="AO415" s="59" t="n"/>
      <c r="AP415" s="1039" t="n"/>
      <c r="AQ415" s="59" t="n"/>
      <c r="AR415" s="59" t="n"/>
      <c r="AS415" s="59" t="n"/>
      <c r="AT415" s="59" t="n"/>
      <c r="AU415" s="59" t="n"/>
      <c r="AV415" s="1039" t="n"/>
      <c r="AW415" s="59" t="n"/>
      <c r="AX415" s="59" t="n"/>
      <c r="AY415" s="59" t="n"/>
      <c r="AZ415" s="59" t="n"/>
      <c r="BA415" s="59" t="n"/>
      <c r="BB415" s="1039" t="n"/>
      <c r="BC415" s="59" t="n"/>
      <c r="BD415" s="59" t="n"/>
      <c r="BE415" s="59" t="n"/>
      <c r="BF415" s="59" t="n"/>
      <c r="BG415" s="59" t="n"/>
      <c r="BH415" s="1039" t="n"/>
      <c r="BI415" s="59" t="n"/>
      <c r="BJ415" s="59" t="n"/>
      <c r="BK415" s="59" t="n"/>
      <c r="BL415" s="59" t="n"/>
      <c r="BM415" s="59" t="n"/>
      <c r="BN415" s="1039" t="n"/>
    </row>
    <row r="416" ht="12.75" customHeight="1" s="1883">
      <c r="C416" s="1141" t="inlineStr">
        <is>
          <t>Cost of Trade Finance</t>
        </is>
      </c>
      <c r="D416" s="2052" t="n">
        <v>0.015</v>
      </c>
      <c r="E416" s="85" t="inlineStr">
        <is>
          <t>per month</t>
        </is>
      </c>
      <c r="F416" s="57" t="n"/>
      <c r="G416" s="69" t="n"/>
      <c r="H416" s="69" t="n"/>
      <c r="I416" s="69" t="n"/>
      <c r="J416" s="69" t="n"/>
      <c r="K416" s="69" t="n"/>
      <c r="L416" s="1070" t="n"/>
      <c r="M416" s="69" t="n"/>
      <c r="N416" s="69" t="n"/>
      <c r="O416" s="69" t="n"/>
      <c r="P416" s="69" t="n"/>
      <c r="Q416" s="69" t="n"/>
      <c r="R416" s="1070" t="n"/>
      <c r="S416" s="69" t="n"/>
      <c r="T416" s="69" t="n"/>
      <c r="U416" s="69" t="n"/>
      <c r="V416" s="69" t="n"/>
      <c r="W416" s="69" t="n"/>
      <c r="X416" s="1070" t="n"/>
      <c r="Y416" s="69" t="n"/>
      <c r="Z416" s="69" t="n"/>
      <c r="AA416" s="69" t="n"/>
      <c r="AB416" s="69" t="n"/>
      <c r="AC416" s="69" t="n"/>
      <c r="AD416" s="1070" t="n"/>
      <c r="AE416" s="69" t="n"/>
      <c r="AF416" s="69" t="n"/>
      <c r="AG416" s="69" t="n"/>
      <c r="AH416" s="69" t="n"/>
      <c r="AI416" s="69" t="n"/>
      <c r="AJ416" s="1070" t="n"/>
      <c r="AK416" s="69" t="n"/>
      <c r="AL416" s="69" t="n"/>
      <c r="AM416" s="69" t="n"/>
      <c r="AN416" s="69" t="n"/>
      <c r="AO416" s="69" t="n"/>
      <c r="AP416" s="1070" t="n"/>
      <c r="AQ416" s="69" t="n"/>
      <c r="AR416" s="69" t="n"/>
      <c r="AS416" s="69" t="n"/>
      <c r="AT416" s="69" t="n"/>
      <c r="AU416" s="69" t="n"/>
      <c r="AV416" s="1070" t="n"/>
      <c r="AW416" s="69" t="n"/>
      <c r="AX416" s="69" t="n"/>
      <c r="AY416" s="69" t="n"/>
      <c r="AZ416" s="69" t="n"/>
      <c r="BA416" s="69" t="n"/>
      <c r="BB416" s="1070" t="n"/>
      <c r="BC416" s="69" t="n"/>
      <c r="BD416" s="69" t="n"/>
      <c r="BE416" s="69" t="n"/>
      <c r="BF416" s="69" t="n"/>
      <c r="BG416" s="69" t="n"/>
      <c r="BH416" s="1070" t="n"/>
      <c r="BI416" s="69" t="n"/>
      <c r="BJ416" s="69" t="n"/>
      <c r="BK416" s="69" t="n"/>
      <c r="BL416" s="69" t="n"/>
      <c r="BM416" s="69" t="n"/>
      <c r="BN416" s="1070" t="n"/>
    </row>
    <row r="417" ht="12.75" customHeight="1" s="1883">
      <c r="C417" s="1141" t="inlineStr">
        <is>
          <t>Available Date</t>
        </is>
      </c>
      <c r="D417" s="1177" t="n">
        <v>-1</v>
      </c>
      <c r="E417" s="85" t="inlineStr">
        <is>
          <t>Year 1</t>
        </is>
      </c>
      <c r="F417" s="57" t="n"/>
      <c r="G417" s="59" t="n"/>
      <c r="H417" s="59" t="n"/>
      <c r="I417" s="59" t="n"/>
      <c r="J417" s="59" t="n"/>
      <c r="K417" s="59" t="n"/>
      <c r="L417" s="1039" t="n"/>
      <c r="M417" s="59" t="n"/>
      <c r="N417" s="59" t="n"/>
      <c r="O417" s="59" t="n"/>
      <c r="P417" s="59" t="n"/>
      <c r="Q417" s="59" t="n"/>
      <c r="R417" s="1039" t="n"/>
      <c r="S417" s="59" t="n"/>
      <c r="T417" s="59" t="n"/>
      <c r="U417" s="59" t="n"/>
      <c r="V417" s="59" t="n"/>
      <c r="W417" s="59" t="n"/>
      <c r="X417" s="1039" t="n"/>
      <c r="Y417" s="59" t="n"/>
      <c r="Z417" s="59" t="n"/>
      <c r="AA417" s="59" t="n"/>
      <c r="AB417" s="59" t="n"/>
      <c r="AC417" s="59" t="n"/>
      <c r="AD417" s="1039" t="n"/>
      <c r="AE417" s="59" t="n"/>
      <c r="AF417" s="59" t="n"/>
      <c r="AG417" s="59" t="n"/>
      <c r="AH417" s="59" t="n"/>
      <c r="AI417" s="59" t="n"/>
      <c r="AJ417" s="1039" t="n"/>
      <c r="AK417" s="59" t="n"/>
      <c r="AL417" s="59" t="n"/>
      <c r="AM417" s="59" t="n"/>
      <c r="AN417" s="59" t="n"/>
      <c r="AO417" s="59" t="n"/>
      <c r="AP417" s="1039" t="n"/>
      <c r="AQ417" s="59" t="n"/>
      <c r="AR417" s="59" t="n"/>
      <c r="AS417" s="59" t="n"/>
      <c r="AT417" s="59" t="n"/>
      <c r="AU417" s="59" t="n"/>
      <c r="AV417" s="1039" t="n"/>
      <c r="AW417" s="59" t="n"/>
      <c r="AX417" s="59" t="n"/>
      <c r="AY417" s="59" t="n"/>
      <c r="AZ417" s="59" t="n"/>
      <c r="BA417" s="59" t="n"/>
      <c r="BB417" s="1039" t="n"/>
      <c r="BC417" s="59" t="n"/>
      <c r="BD417" s="59" t="n"/>
      <c r="BE417" s="59" t="n"/>
      <c r="BF417" s="59" t="n"/>
      <c r="BG417" s="59" t="n"/>
      <c r="BH417" s="1039" t="n"/>
      <c r="BI417" s="59" t="n"/>
      <c r="BJ417" s="59" t="n"/>
      <c r="BK417" s="59" t="n"/>
      <c r="BL417" s="59" t="n"/>
      <c r="BM417" s="59" t="n"/>
      <c r="BN417" s="1039" t="n"/>
    </row>
    <row r="418" ht="12.75" customHeight="1" s="1883">
      <c r="C418" s="1038" t="n"/>
      <c r="D418" s="55" t="n"/>
      <c r="E418" s="57" t="n"/>
      <c r="F418" s="57" t="n"/>
      <c r="G418" s="59" t="n"/>
      <c r="H418" s="59" t="n"/>
      <c r="I418" s="59" t="n"/>
      <c r="J418" s="59" t="n"/>
      <c r="K418" s="59" t="n"/>
      <c r="L418" s="1039" t="n"/>
      <c r="M418" s="59" t="n"/>
      <c r="N418" s="59" t="n"/>
      <c r="O418" s="59" t="n"/>
      <c r="P418" s="59" t="n"/>
      <c r="Q418" s="59" t="n"/>
      <c r="R418" s="1039" t="n"/>
      <c r="S418" s="59" t="n"/>
      <c r="T418" s="59" t="n"/>
      <c r="U418" s="59" t="n"/>
      <c r="V418" s="59" t="n"/>
      <c r="W418" s="59" t="n"/>
      <c r="X418" s="1039" t="n"/>
      <c r="Y418" s="59" t="n"/>
      <c r="Z418" s="59" t="n"/>
      <c r="AA418" s="59" t="n"/>
      <c r="AB418" s="59" t="n"/>
      <c r="AC418" s="59" t="n"/>
      <c r="AD418" s="1039" t="n"/>
      <c r="AE418" s="59" t="n"/>
      <c r="AF418" s="59" t="n"/>
      <c r="AG418" s="59" t="n"/>
      <c r="AH418" s="59" t="n"/>
      <c r="AI418" s="59" t="n"/>
      <c r="AJ418" s="1039" t="n"/>
      <c r="AK418" s="59" t="n"/>
      <c r="AL418" s="59" t="n"/>
      <c r="AM418" s="59" t="n"/>
      <c r="AN418" s="59" t="n"/>
      <c r="AO418" s="59" t="n"/>
      <c r="AP418" s="1039" t="n"/>
      <c r="AQ418" s="59" t="n"/>
      <c r="AR418" s="59" t="n"/>
      <c r="AS418" s="59" t="n"/>
      <c r="AT418" s="59" t="n"/>
      <c r="AU418" s="59" t="n"/>
      <c r="AV418" s="1039" t="n"/>
      <c r="AW418" s="59" t="n"/>
      <c r="AX418" s="59" t="n"/>
      <c r="AY418" s="59" t="n"/>
      <c r="AZ418" s="59" t="n"/>
      <c r="BA418" s="59" t="n"/>
      <c r="BB418" s="1039" t="n"/>
      <c r="BC418" s="59" t="n"/>
      <c r="BD418" s="59" t="n"/>
      <c r="BE418" s="59" t="n"/>
      <c r="BF418" s="59" t="n"/>
      <c r="BG418" s="59" t="n"/>
      <c r="BH418" s="1039" t="n"/>
      <c r="BI418" s="59" t="n"/>
      <c r="BJ418" s="59" t="n"/>
      <c r="BK418" s="59" t="n"/>
      <c r="BL418" s="59" t="n"/>
      <c r="BM418" s="59" t="n"/>
      <c r="BN418" s="1039" t="n"/>
    </row>
    <row r="419" ht="12.75" customHeight="1" s="1883">
      <c r="C419" s="1038" t="n"/>
      <c r="D419" s="55" t="n"/>
      <c r="E419" s="57" t="n"/>
      <c r="F419" s="57" t="n"/>
      <c r="G419" s="59" t="n"/>
      <c r="H419" s="59" t="n"/>
      <c r="I419" s="59" t="n"/>
      <c r="J419" s="59" t="n"/>
      <c r="K419" s="59" t="n"/>
      <c r="L419" s="1039" t="n"/>
      <c r="M419" s="59" t="n"/>
      <c r="N419" s="59" t="n"/>
      <c r="O419" s="59" t="n"/>
      <c r="P419" s="59" t="n"/>
      <c r="Q419" s="59" t="n"/>
      <c r="R419" s="1039" t="n"/>
      <c r="S419" s="59" t="n"/>
      <c r="T419" s="59" t="n"/>
      <c r="U419" s="59" t="n"/>
      <c r="V419" s="59" t="n"/>
      <c r="W419" s="59" t="n"/>
      <c r="X419" s="1039" t="n"/>
      <c r="Y419" s="59" t="n"/>
      <c r="Z419" s="59" t="n"/>
      <c r="AA419" s="59" t="n"/>
      <c r="AB419" s="59" t="n"/>
      <c r="AC419" s="59" t="n"/>
      <c r="AD419" s="1039" t="n"/>
      <c r="AE419" s="59" t="n"/>
      <c r="AF419" s="59" t="n"/>
      <c r="AG419" s="59" t="n"/>
      <c r="AH419" s="59" t="n"/>
      <c r="AI419" s="59" t="n"/>
      <c r="AJ419" s="1039" t="n"/>
      <c r="AK419" s="59" t="n"/>
      <c r="AL419" s="59" t="n"/>
      <c r="AM419" s="59" t="n"/>
      <c r="AN419" s="59" t="n"/>
      <c r="AO419" s="59" t="n"/>
      <c r="AP419" s="1039" t="n"/>
      <c r="AQ419" s="59" t="n"/>
      <c r="AR419" s="59" t="n"/>
      <c r="AS419" s="59" t="n"/>
      <c r="AT419" s="59" t="n"/>
      <c r="AU419" s="59" t="n"/>
      <c r="AV419" s="1039" t="n"/>
      <c r="AW419" s="59" t="n"/>
      <c r="AX419" s="59" t="n"/>
      <c r="AY419" s="59" t="n"/>
      <c r="AZ419" s="59" t="n"/>
      <c r="BA419" s="59" t="n"/>
      <c r="BB419" s="1039" t="n"/>
      <c r="BC419" s="59" t="n"/>
      <c r="BD419" s="59" t="n"/>
      <c r="BE419" s="59" t="n"/>
      <c r="BF419" s="59" t="n"/>
      <c r="BG419" s="59" t="n"/>
      <c r="BH419" s="1039" t="n"/>
      <c r="BI419" s="59" t="n"/>
      <c r="BJ419" s="59" t="n"/>
      <c r="BK419" s="59" t="n"/>
      <c r="BL419" s="59" t="n"/>
      <c r="BM419" s="59" t="n"/>
      <c r="BN419" s="1039" t="n"/>
    </row>
    <row r="420" ht="12.75" customHeight="1" s="1883">
      <c r="C420" s="1141" t="inlineStr">
        <is>
          <t>Final Inventory Payment Required</t>
        </is>
      </c>
      <c r="D420" s="55" t="n"/>
      <c r="E420" s="69">
        <f>+'6B. Pre-Launch Exps. - Detail'!P155+'6B. Pre-Launch Exps. - Detail'!P164+'6B. Pre-Launch Exps. - Detail'!P173</f>
        <v/>
      </c>
      <c r="F420" s="69">
        <f>+'6B. Pre-Launch Exps. - Detail'!Q155+'6B. Pre-Launch Exps. - Detail'!Q164+'6B. Pre-Launch Exps. - Detail'!Q173</f>
        <v/>
      </c>
      <c r="G420" s="69">
        <f>+G177</f>
        <v/>
      </c>
      <c r="H420" s="69">
        <f>+H177</f>
        <v/>
      </c>
      <c r="I420" s="69">
        <f>+I177</f>
        <v/>
      </c>
      <c r="J420" s="69">
        <f>+J177</f>
        <v/>
      </c>
      <c r="K420" s="69">
        <f>+K177</f>
        <v/>
      </c>
      <c r="L420" s="1070">
        <f>+L177</f>
        <v/>
      </c>
      <c r="M420" s="69">
        <f>+M177</f>
        <v/>
      </c>
      <c r="N420" s="69">
        <f>+N177</f>
        <v/>
      </c>
      <c r="O420" s="69">
        <f>+O177</f>
        <v/>
      </c>
      <c r="P420" s="69">
        <f>+P177</f>
        <v/>
      </c>
      <c r="Q420" s="69">
        <f>+Q177</f>
        <v/>
      </c>
      <c r="R420" s="1070">
        <f>+R177</f>
        <v/>
      </c>
      <c r="S420" s="69">
        <f>+S177</f>
        <v/>
      </c>
      <c r="T420" s="69">
        <f>+T177</f>
        <v/>
      </c>
      <c r="U420" s="69">
        <f>+U177</f>
        <v/>
      </c>
      <c r="V420" s="69">
        <f>+V177</f>
        <v/>
      </c>
      <c r="W420" s="69">
        <f>+W177</f>
        <v/>
      </c>
      <c r="X420" s="1070">
        <f>+X177</f>
        <v/>
      </c>
      <c r="Y420" s="69">
        <f>+Y177</f>
        <v/>
      </c>
      <c r="Z420" s="69">
        <f>+Z177</f>
        <v/>
      </c>
      <c r="AA420" s="69">
        <f>+AA177</f>
        <v/>
      </c>
      <c r="AB420" s="69">
        <f>+AB177</f>
        <v/>
      </c>
      <c r="AC420" s="69">
        <f>+AC177</f>
        <v/>
      </c>
      <c r="AD420" s="1070">
        <f>+AD177</f>
        <v/>
      </c>
      <c r="AE420" s="69">
        <f>+AE177</f>
        <v/>
      </c>
      <c r="AF420" s="69">
        <f>+AF177</f>
        <v/>
      </c>
      <c r="AG420" s="69">
        <f>+AG177</f>
        <v/>
      </c>
      <c r="AH420" s="69">
        <f>+AH177</f>
        <v/>
      </c>
      <c r="AI420" s="69">
        <f>+AI177</f>
        <v/>
      </c>
      <c r="AJ420" s="1070">
        <f>+AJ177</f>
        <v/>
      </c>
      <c r="AK420" s="69">
        <f>+AK177</f>
        <v/>
      </c>
      <c r="AL420" s="69">
        <f>+AL177</f>
        <v/>
      </c>
      <c r="AM420" s="69">
        <f>+AM177</f>
        <v/>
      </c>
      <c r="AN420" s="69">
        <f>+AN177</f>
        <v/>
      </c>
      <c r="AO420" s="69">
        <f>+AO177</f>
        <v/>
      </c>
      <c r="AP420" s="1070">
        <f>+AP177</f>
        <v/>
      </c>
      <c r="AQ420" s="69">
        <f>+AQ177</f>
        <v/>
      </c>
      <c r="AR420" s="69">
        <f>+AR177</f>
        <v/>
      </c>
      <c r="AS420" s="69">
        <f>+AS177</f>
        <v/>
      </c>
      <c r="AT420" s="69">
        <f>+AT177</f>
        <v/>
      </c>
      <c r="AU420" s="69">
        <f>+AU177</f>
        <v/>
      </c>
      <c r="AV420" s="1070">
        <f>+AV177</f>
        <v/>
      </c>
      <c r="AW420" s="69">
        <f>+AW177</f>
        <v/>
      </c>
      <c r="AX420" s="69">
        <f>+AX177</f>
        <v/>
      </c>
      <c r="AY420" s="69">
        <f>+AY177</f>
        <v/>
      </c>
      <c r="AZ420" s="69">
        <f>+AZ177</f>
        <v/>
      </c>
      <c r="BA420" s="69">
        <f>+BA177</f>
        <v/>
      </c>
      <c r="BB420" s="1070">
        <f>+BB177</f>
        <v/>
      </c>
      <c r="BC420" s="69">
        <f>+BC177</f>
        <v/>
      </c>
      <c r="BD420" s="69">
        <f>+BD177</f>
        <v/>
      </c>
      <c r="BE420" s="69">
        <f>+BE177</f>
        <v/>
      </c>
      <c r="BF420" s="69">
        <f>+BF177</f>
        <v/>
      </c>
      <c r="BG420" s="69">
        <f>+BG177</f>
        <v/>
      </c>
      <c r="BH420" s="1070">
        <f>+BH177</f>
        <v/>
      </c>
      <c r="BI420" s="69">
        <f>+BI177</f>
        <v/>
      </c>
      <c r="BJ420" s="69">
        <f>+BJ177</f>
        <v/>
      </c>
      <c r="BK420" s="69">
        <f>+BK177</f>
        <v/>
      </c>
      <c r="BL420" s="69">
        <f>+BL177</f>
        <v/>
      </c>
      <c r="BM420" s="69">
        <f>+BM177</f>
        <v/>
      </c>
      <c r="BN420" s="1070">
        <f>+BN177</f>
        <v/>
      </c>
    </row>
    <row r="421" ht="12.75" customHeight="1" s="1883">
      <c r="C421" s="1141" t="inlineStr">
        <is>
          <t>Availability of Funding</t>
        </is>
      </c>
      <c r="D421" s="55" t="n"/>
      <c r="E421" s="69" t="n"/>
      <c r="F421" s="69">
        <f>IF($D$417=F3,F420*$D$415,IF(E421&gt;0,F420*$D$415,0))</f>
        <v/>
      </c>
      <c r="G421" s="69">
        <f>IF($D$417=G3,G420*$D$415,IF(F421&gt;0,G420*$D$415,0))</f>
        <v/>
      </c>
      <c r="H421" s="69">
        <f>IF($D$417=H3,H420*$D$415,IF(G421&gt;0,H420*$D$415,0))</f>
        <v/>
      </c>
      <c r="I421" s="69">
        <f>IF($D$417=I3,I420*$D$415,IF(H421&gt;0,I420*$D$415,0))</f>
        <v/>
      </c>
      <c r="J421" s="69">
        <f>IF($D$417=J3,J420*$D$415,IF(I421&gt;0,J420*$D$415,0))</f>
        <v/>
      </c>
      <c r="K421" s="69">
        <f>IF($D$417=K3,K420*$D$415,IF(J421&gt;0,K420*$D$415,0))</f>
        <v/>
      </c>
      <c r="L421" s="1070">
        <f>IF($D$417=L3,L420*$D$415,IF(K421&gt;0,L420*$D$415,0))</f>
        <v/>
      </c>
      <c r="M421" s="69">
        <f>IF($D$417=M3,M420*$D$415,IF(L421&gt;0,M420*$D$415,0))</f>
        <v/>
      </c>
      <c r="N421" s="69">
        <f>IF($D$417=N3,N420*$D$415,IF(M421&gt;0,N420*$D$415,0))</f>
        <v/>
      </c>
      <c r="O421" s="69">
        <f>IF($D$417=O3,O420*$D$415,IF(N421&gt;0,O420*$D$415,0))</f>
        <v/>
      </c>
      <c r="P421" s="69">
        <f>IF($D$417=P3,P420*$D$415,IF(O421&gt;0,P420*$D$415,0))</f>
        <v/>
      </c>
      <c r="Q421" s="69">
        <f>IF($D$417=Q3,Q420*$D$415,IF(P421&gt;0,Q420*$D$415,0))</f>
        <v/>
      </c>
      <c r="R421" s="1070">
        <f>IF($D$417=R3,R420*$D$415,IF(Q421&gt;0,R420*$D$415,0))</f>
        <v/>
      </c>
      <c r="S421" s="69">
        <f>IF($D$417=S3,S420*$D$415,IF(R421&gt;0,S420*$D$415,0))</f>
        <v/>
      </c>
      <c r="T421" s="69">
        <f>IF($D$417=T3,T420*$D$415,IF(S421&gt;0,T420*$D$415,0))</f>
        <v/>
      </c>
      <c r="U421" s="69">
        <f>IF($D$417=U3,U420*$D$415,IF(T421&gt;0,U420*$D$415,0))</f>
        <v/>
      </c>
      <c r="V421" s="69">
        <f>IF($D$417=V3,V420*$D$415,IF(U421&gt;0,V420*$D$415,0))</f>
        <v/>
      </c>
      <c r="W421" s="69">
        <f>IF($D$417=W3,W420*$D$415,IF(V421&gt;0,W420*$D$415,0))</f>
        <v/>
      </c>
      <c r="X421" s="1070">
        <f>IF($D$417=X3,X420*$D$415,IF(W421&gt;0,X420*$D$415,0))</f>
        <v/>
      </c>
      <c r="Y421" s="69">
        <f>IF($D$417=Y3,Y420*$D$415,IF(X421&gt;0,Y420*$D$415,0))</f>
        <v/>
      </c>
      <c r="Z421" s="69">
        <f>IF($D$417=Z3,Z420*$D$415,IF(Y421&gt;0,Z420*$D$415,0))</f>
        <v/>
      </c>
      <c r="AA421" s="69">
        <f>IF($D$417=AA3,AA420*$D$415,IF(Z421&gt;0,AA420*$D$415,0))</f>
        <v/>
      </c>
      <c r="AB421" s="69">
        <f>IF($D$417=AB3,AB420*$D$415,IF(AA421&gt;0,AB420*$D$415,0))</f>
        <v/>
      </c>
      <c r="AC421" s="69">
        <f>IF($D$417=AC3,AC420*$D$415,IF(AB421&gt;0,AC420*$D$415,0))</f>
        <v/>
      </c>
      <c r="AD421" s="1070">
        <f>IF($D$417=AD3,AD420*$D$415,IF(AC421&gt;0,AD420*$D$415,0))</f>
        <v/>
      </c>
      <c r="AE421" s="69">
        <f>IF($D$417=AE3,AE420*$D$415,IF(AD421&gt;0,AE420*$D$415,0))</f>
        <v/>
      </c>
      <c r="AF421" s="69">
        <f>IF($D$417=AF3,AF420*$D$415,IF(AE421&gt;0,AF420*$D$415,0))</f>
        <v/>
      </c>
      <c r="AG421" s="69">
        <f>IF($D$417=AG3,AG420*$D$415,IF(AF421&gt;0,AG420*$D$415,0))</f>
        <v/>
      </c>
      <c r="AH421" s="69">
        <f>IF($D$417=AH3,AH420*$D$415,IF(AG421&gt;0,AH420*$D$415,0))</f>
        <v/>
      </c>
      <c r="AI421" s="69">
        <f>IF($D$417=AI3,AI420*$D$415,IF(AH421&gt;0,AI420*$D$415,0))</f>
        <v/>
      </c>
      <c r="AJ421" s="1070">
        <f>IF($D$417=AJ3,AJ420*$D$415,IF(AI421&gt;0,AJ420*$D$415,0))</f>
        <v/>
      </c>
      <c r="AK421" s="69">
        <f>IF($D$417=AK3,AK420*$D$415,IF(AJ421&gt;0,AK420*$D$415,0))</f>
        <v/>
      </c>
      <c r="AL421" s="69">
        <f>IF($D$417=AL3,AL420*$D$415,IF(AK421&gt;0,AL420*$D$415,0))</f>
        <v/>
      </c>
      <c r="AM421" s="69">
        <f>IF($D$417=AM3,AM420*$D$415,IF(AL421&gt;0,AM420*$D$415,0))</f>
        <v/>
      </c>
      <c r="AN421" s="69">
        <f>IF($D$417=AN3,AN420*$D$415,IF(AM421&gt;0,AN420*$D$415,0))</f>
        <v/>
      </c>
      <c r="AO421" s="69">
        <f>IF($D$417=AO3,AO420*$D$415,IF(AN421&gt;0,AO420*$D$415,0))</f>
        <v/>
      </c>
      <c r="AP421" s="1070">
        <f>IF($D$417=AP3,AP420*$D$415,IF(AO421&gt;0,AP420*$D$415,0))</f>
        <v/>
      </c>
      <c r="AQ421" s="69">
        <f>IF($D$417=AQ3,AQ420*$D$415,IF(AP421&gt;0,AQ420*$D$415,0))</f>
        <v/>
      </c>
      <c r="AR421" s="69">
        <f>IF($D$417=AR3,AR420*$D$415,IF(AQ421&gt;0,AR420*$D$415,0))</f>
        <v/>
      </c>
      <c r="AS421" s="69">
        <f>IF($D$417=AS3,AS420*$D$415,IF(AR421&gt;0,AS420*$D$415,0))</f>
        <v/>
      </c>
      <c r="AT421" s="69">
        <f>IF($D$417=AT3,AT420*$D$415,IF(AS421&gt;0,AT420*$D$415,0))</f>
        <v/>
      </c>
      <c r="AU421" s="69">
        <f>IF($D$417=AU3,AU420*$D$415,IF(AT421&gt;0,AU420*$D$415,0))</f>
        <v/>
      </c>
      <c r="AV421" s="1070">
        <f>IF($D$417=AV3,AV420*$D$415,IF(AU421&gt;0,AV420*$D$415,0))</f>
        <v/>
      </c>
      <c r="AW421" s="69">
        <f>IF($D$417=AW3,AW420*$D$415,IF(AV421&gt;0,AW420*$D$415,0))</f>
        <v/>
      </c>
      <c r="AX421" s="69">
        <f>IF($D$417=AX3,AX420*$D$415,IF(AW421&gt;0,AX420*$D$415,0))</f>
        <v/>
      </c>
      <c r="AY421" s="69">
        <f>IF($D$417=AY3,AY420*$D$415,IF(AX421&gt;0,AY420*$D$415,0))</f>
        <v/>
      </c>
      <c r="AZ421" s="69">
        <f>IF($D$417=AZ3,AZ420*$D$415,IF(AY421&gt;0,AZ420*$D$415,0))</f>
        <v/>
      </c>
      <c r="BA421" s="69">
        <f>IF($D$417=BA3,BA420*$D$415,IF(AZ421&gt;0,BA420*$D$415,0))</f>
        <v/>
      </c>
      <c r="BB421" s="1070">
        <f>IF($D$417=BB3,BB420*$D$415,IF(BA421&gt;0,BB420*$D$415,0))</f>
        <v/>
      </c>
      <c r="BC421" s="69">
        <f>IF($D$417=BC3,BC420*$D$415,IF(BB421&gt;0,BC420*$D$415,0))</f>
        <v/>
      </c>
      <c r="BD421" s="69">
        <f>IF($D$417=BD3,BD420*$D$415,IF(BC421&gt;0,BD420*$D$415,0))</f>
        <v/>
      </c>
      <c r="BE421" s="69">
        <f>IF($D$417=BE3,BE420*$D$415,IF(BD421&gt;0,BE420*$D$415,0))</f>
        <v/>
      </c>
      <c r="BF421" s="69">
        <f>IF($D$417=BF3,BF420*$D$415,IF(BE421&gt;0,BF420*$D$415,0))</f>
        <v/>
      </c>
      <c r="BG421" s="69">
        <f>IF($D$417=BG3,BG420*$D$415,IF(BF421&gt;0,BG420*$D$415,0))</f>
        <v/>
      </c>
      <c r="BH421" s="1070">
        <f>IF($D$417=BH3,BH420*$D$415,IF(BG421&gt;0,BH420*$D$415,0))</f>
        <v/>
      </c>
      <c r="BI421" s="69">
        <f>IF($D$417=BI3,BI420*$D$415,IF(BH421&gt;0,BI420*$D$415,0))</f>
        <v/>
      </c>
      <c r="BJ421" s="69">
        <f>IF($D$417=BJ3,BJ420*$D$415,IF(BI421&gt;0,BJ420*$D$415,0))</f>
        <v/>
      </c>
      <c r="BK421" s="69">
        <f>IF($D$417=BK3,BK420*$D$415,IF(BJ421&gt;0,BK420*$D$415,0))</f>
        <v/>
      </c>
      <c r="BL421" s="69">
        <f>IF($D$417=BL3,BL420*$D$415,IF(BK421&gt;0,BL420*$D$415,0))</f>
        <v/>
      </c>
      <c r="BM421" s="69">
        <f>IF($D$417=BM3,BM420*$D$415,IF(BL421&gt;0,BM420*$D$415,0))</f>
        <v/>
      </c>
      <c r="BN421" s="1070">
        <f>IF($D$417=BN3,BN420*$D$415,IF(BM421&gt;0,BN420*$D$415,0))</f>
        <v/>
      </c>
    </row>
    <row r="422" ht="12.75" customHeight="1" s="1883">
      <c r="C422" s="1141" t="inlineStr">
        <is>
          <t>Amount Drawn</t>
        </is>
      </c>
      <c r="D422" s="55" t="n"/>
      <c r="E422" s="69" t="n"/>
      <c r="F422" s="69">
        <f>+F421</f>
        <v/>
      </c>
      <c r="G422" s="69">
        <f>+G421</f>
        <v/>
      </c>
      <c r="H422" s="69">
        <f>+H421</f>
        <v/>
      </c>
      <c r="I422" s="69">
        <f>+I421</f>
        <v/>
      </c>
      <c r="J422" s="69">
        <f>+J421</f>
        <v/>
      </c>
      <c r="K422" s="69">
        <f>+K421</f>
        <v/>
      </c>
      <c r="L422" s="1070">
        <f>+L421</f>
        <v/>
      </c>
      <c r="M422" s="69">
        <f>+M421</f>
        <v/>
      </c>
      <c r="N422" s="69">
        <f>+N421</f>
        <v/>
      </c>
      <c r="O422" s="69">
        <f>+O421</f>
        <v/>
      </c>
      <c r="P422" s="69">
        <f>+P421</f>
        <v/>
      </c>
      <c r="Q422" s="69">
        <f>+Q421</f>
        <v/>
      </c>
      <c r="R422" s="1070">
        <f>+R421</f>
        <v/>
      </c>
      <c r="S422" s="69">
        <f>+S421</f>
        <v/>
      </c>
      <c r="T422" s="69">
        <f>+T421</f>
        <v/>
      </c>
      <c r="U422" s="69">
        <f>+U421</f>
        <v/>
      </c>
      <c r="V422" s="69">
        <f>+V421</f>
        <v/>
      </c>
      <c r="W422" s="69">
        <f>+W421</f>
        <v/>
      </c>
      <c r="X422" s="1070">
        <f>+X421</f>
        <v/>
      </c>
      <c r="Y422" s="69">
        <f>+Y421</f>
        <v/>
      </c>
      <c r="Z422" s="69">
        <f>+Z421</f>
        <v/>
      </c>
      <c r="AA422" s="69">
        <f>+AA421</f>
        <v/>
      </c>
      <c r="AB422" s="69">
        <f>+AB421</f>
        <v/>
      </c>
      <c r="AC422" s="69">
        <f>+AC421</f>
        <v/>
      </c>
      <c r="AD422" s="1070">
        <f>+AD421</f>
        <v/>
      </c>
      <c r="AE422" s="69">
        <f>+AE421</f>
        <v/>
      </c>
      <c r="AF422" s="69">
        <f>+AF421</f>
        <v/>
      </c>
      <c r="AG422" s="69">
        <f>+AG421</f>
        <v/>
      </c>
      <c r="AH422" s="69">
        <f>+AH421</f>
        <v/>
      </c>
      <c r="AI422" s="69">
        <f>+AI421</f>
        <v/>
      </c>
      <c r="AJ422" s="1070">
        <f>+AJ421</f>
        <v/>
      </c>
      <c r="AK422" s="69">
        <f>+AK421</f>
        <v/>
      </c>
      <c r="AL422" s="69">
        <f>+AL421</f>
        <v/>
      </c>
      <c r="AM422" s="69">
        <f>+AM421</f>
        <v/>
      </c>
      <c r="AN422" s="69">
        <f>+AN421</f>
        <v/>
      </c>
      <c r="AO422" s="69">
        <f>+AO421</f>
        <v/>
      </c>
      <c r="AP422" s="1070">
        <f>+AP421</f>
        <v/>
      </c>
      <c r="AQ422" s="69">
        <f>+AQ421</f>
        <v/>
      </c>
      <c r="AR422" s="69">
        <f>+AR421</f>
        <v/>
      </c>
      <c r="AS422" s="69">
        <f>+AS421</f>
        <v/>
      </c>
      <c r="AT422" s="69">
        <f>+AT421</f>
        <v/>
      </c>
      <c r="AU422" s="69">
        <f>+AU421</f>
        <v/>
      </c>
      <c r="AV422" s="1070">
        <f>+AV421</f>
        <v/>
      </c>
      <c r="AW422" s="69">
        <f>+AW421</f>
        <v/>
      </c>
      <c r="AX422" s="69">
        <f>+AX421</f>
        <v/>
      </c>
      <c r="AY422" s="69">
        <f>+AY421</f>
        <v/>
      </c>
      <c r="AZ422" s="69">
        <f>+AZ421</f>
        <v/>
      </c>
      <c r="BA422" s="69">
        <f>+BA421</f>
        <v/>
      </c>
      <c r="BB422" s="1070">
        <f>+BB421</f>
        <v/>
      </c>
      <c r="BC422" s="69">
        <f>+BC421</f>
        <v/>
      </c>
      <c r="BD422" s="69">
        <f>+BD421</f>
        <v/>
      </c>
      <c r="BE422" s="69">
        <f>+BE421</f>
        <v/>
      </c>
      <c r="BF422" s="69">
        <f>+BF421</f>
        <v/>
      </c>
      <c r="BG422" s="69">
        <f>+BG421</f>
        <v/>
      </c>
      <c r="BH422" s="1070">
        <f>+BH421</f>
        <v/>
      </c>
      <c r="BI422" s="69">
        <f>+BI421</f>
        <v/>
      </c>
      <c r="BJ422" s="69">
        <f>+BJ421</f>
        <v/>
      </c>
      <c r="BK422" s="69">
        <f>+BK421</f>
        <v/>
      </c>
      <c r="BL422" s="69">
        <f>+BL421</f>
        <v/>
      </c>
      <c r="BM422" s="69">
        <f>+BM421</f>
        <v/>
      </c>
      <c r="BN422" s="1070">
        <f>+BN421</f>
        <v/>
      </c>
    </row>
    <row r="423" ht="12.75" customHeight="1" s="1883">
      <c r="C423" s="1038" t="n"/>
      <c r="D423" s="55" t="n"/>
      <c r="E423" s="69" t="n"/>
      <c r="F423" s="69" t="n"/>
      <c r="G423" s="69" t="n"/>
      <c r="H423" s="69" t="n"/>
      <c r="I423" s="69" t="n"/>
      <c r="J423" s="69" t="n"/>
      <c r="K423" s="69" t="n"/>
      <c r="L423" s="1070" t="n"/>
      <c r="M423" s="69" t="n"/>
      <c r="N423" s="69" t="n"/>
      <c r="O423" s="69" t="n"/>
      <c r="P423" s="69" t="n"/>
      <c r="Q423" s="69" t="n"/>
      <c r="R423" s="1070" t="n"/>
      <c r="S423" s="69" t="n"/>
      <c r="T423" s="69" t="n"/>
      <c r="U423" s="69" t="n"/>
      <c r="V423" s="69" t="n"/>
      <c r="W423" s="69" t="n"/>
      <c r="X423" s="1070" t="n"/>
      <c r="Y423" s="69" t="n"/>
      <c r="Z423" s="69" t="n"/>
      <c r="AA423" s="69" t="n"/>
      <c r="AB423" s="69" t="n"/>
      <c r="AC423" s="69" t="n"/>
      <c r="AD423" s="1070" t="n"/>
      <c r="AE423" s="69" t="n"/>
      <c r="AF423" s="69" t="n"/>
      <c r="AG423" s="69" t="n"/>
      <c r="AH423" s="69" t="n"/>
      <c r="AI423" s="69" t="n"/>
      <c r="AJ423" s="1070" t="n"/>
      <c r="AK423" s="69" t="n"/>
      <c r="AL423" s="69" t="n"/>
      <c r="AM423" s="69" t="n"/>
      <c r="AN423" s="69" t="n"/>
      <c r="AO423" s="69" t="n"/>
      <c r="AP423" s="1070" t="n"/>
      <c r="AQ423" s="69" t="n"/>
      <c r="AR423" s="69" t="n"/>
      <c r="AS423" s="69" t="n"/>
      <c r="AT423" s="69" t="n"/>
      <c r="AU423" s="69" t="n"/>
      <c r="AV423" s="1070" t="n"/>
      <c r="AW423" s="69" t="n"/>
      <c r="AX423" s="69" t="n"/>
      <c r="AY423" s="69" t="n"/>
      <c r="AZ423" s="69" t="n"/>
      <c r="BA423" s="69" t="n"/>
      <c r="BB423" s="1070" t="n"/>
      <c r="BC423" s="69" t="n"/>
      <c r="BD423" s="69" t="n"/>
      <c r="BE423" s="69" t="n"/>
      <c r="BF423" s="69" t="n"/>
      <c r="BG423" s="69" t="n"/>
      <c r="BH423" s="1070" t="n"/>
      <c r="BI423" s="69" t="n"/>
      <c r="BJ423" s="69" t="n"/>
      <c r="BK423" s="69" t="n"/>
      <c r="BL423" s="69" t="n"/>
      <c r="BM423" s="69" t="n"/>
      <c r="BN423" s="1070" t="n"/>
    </row>
    <row r="424" ht="12.75" customHeight="1" s="1883">
      <c r="C424" s="1152" t="inlineStr">
        <is>
          <t>Interest Expense</t>
        </is>
      </c>
      <c r="D424" s="88" t="n"/>
      <c r="E424" s="69" t="n"/>
      <c r="F424" s="73">
        <f>+F422*$D$416</f>
        <v/>
      </c>
      <c r="G424" s="73">
        <f>+G422*$D$416</f>
        <v/>
      </c>
      <c r="H424" s="73">
        <f>+H422*$D$416</f>
        <v/>
      </c>
      <c r="I424" s="73">
        <f>+I422*$D$416</f>
        <v/>
      </c>
      <c r="J424" s="73">
        <f>+J422*$D$416</f>
        <v/>
      </c>
      <c r="K424" s="73">
        <f>+K422*$D$416</f>
        <v/>
      </c>
      <c r="L424" s="1071">
        <f>+L422*$D$416</f>
        <v/>
      </c>
      <c r="M424" s="73">
        <f>+M422*$D$416</f>
        <v/>
      </c>
      <c r="N424" s="73">
        <f>+N422*$D$416</f>
        <v/>
      </c>
      <c r="O424" s="73">
        <f>+O422*$D$416</f>
        <v/>
      </c>
      <c r="P424" s="73">
        <f>+P422*$D$416</f>
        <v/>
      </c>
      <c r="Q424" s="73">
        <f>+Q422*$D$416</f>
        <v/>
      </c>
      <c r="R424" s="1071">
        <f>+R422*$D$416</f>
        <v/>
      </c>
      <c r="S424" s="73">
        <f>+S422*$D$416</f>
        <v/>
      </c>
      <c r="T424" s="73">
        <f>+T422*$D$416</f>
        <v/>
      </c>
      <c r="U424" s="73">
        <f>+U422*$D$416</f>
        <v/>
      </c>
      <c r="V424" s="73">
        <f>+V422*$D$416</f>
        <v/>
      </c>
      <c r="W424" s="73">
        <f>+W422*$D$416</f>
        <v/>
      </c>
      <c r="X424" s="1071">
        <f>+X422*$D$416</f>
        <v/>
      </c>
      <c r="Y424" s="73">
        <f>+Y422*$D$416</f>
        <v/>
      </c>
      <c r="Z424" s="73">
        <f>+Z422*$D$416</f>
        <v/>
      </c>
      <c r="AA424" s="73">
        <f>+AA422*$D$416</f>
        <v/>
      </c>
      <c r="AB424" s="73">
        <f>+AB422*$D$416</f>
        <v/>
      </c>
      <c r="AC424" s="73">
        <f>+AC422*$D$416</f>
        <v/>
      </c>
      <c r="AD424" s="1071">
        <f>+AD422*$D$416</f>
        <v/>
      </c>
      <c r="AE424" s="73">
        <f>+AE422*$D$416</f>
        <v/>
      </c>
      <c r="AF424" s="73">
        <f>+AF422*$D$416</f>
        <v/>
      </c>
      <c r="AG424" s="73">
        <f>+AG422*$D$416</f>
        <v/>
      </c>
      <c r="AH424" s="73">
        <f>+AH422*$D$416</f>
        <v/>
      </c>
      <c r="AI424" s="73">
        <f>+AI422*$D$416</f>
        <v/>
      </c>
      <c r="AJ424" s="1071">
        <f>+AJ422*$D$416</f>
        <v/>
      </c>
      <c r="AK424" s="73">
        <f>+AK422*$D$416</f>
        <v/>
      </c>
      <c r="AL424" s="73">
        <f>+AL422*$D$416</f>
        <v/>
      </c>
      <c r="AM424" s="73">
        <f>+AM422*$D$416</f>
        <v/>
      </c>
      <c r="AN424" s="73">
        <f>+AN422*$D$416</f>
        <v/>
      </c>
      <c r="AO424" s="73">
        <f>+AO422*$D$416</f>
        <v/>
      </c>
      <c r="AP424" s="1071">
        <f>+AP422*$D$416</f>
        <v/>
      </c>
      <c r="AQ424" s="73">
        <f>+AQ422*$D$416</f>
        <v/>
      </c>
      <c r="AR424" s="73">
        <f>+AR422*$D$416</f>
        <v/>
      </c>
      <c r="AS424" s="73">
        <f>+AS422*$D$416</f>
        <v/>
      </c>
      <c r="AT424" s="73">
        <f>+AT422*$D$416</f>
        <v/>
      </c>
      <c r="AU424" s="73">
        <f>+AU422*$D$416</f>
        <v/>
      </c>
      <c r="AV424" s="1071">
        <f>+AV422*$D$416</f>
        <v/>
      </c>
      <c r="AW424" s="73">
        <f>+AW422*$D$416</f>
        <v/>
      </c>
      <c r="AX424" s="73">
        <f>+AX422*$D$416</f>
        <v/>
      </c>
      <c r="AY424" s="73">
        <f>+AY422*$D$416</f>
        <v/>
      </c>
      <c r="AZ424" s="73">
        <f>+AZ422*$D$416</f>
        <v/>
      </c>
      <c r="BA424" s="73">
        <f>+BA422*$D$416</f>
        <v/>
      </c>
      <c r="BB424" s="1071">
        <f>+BB422*$D$416</f>
        <v/>
      </c>
      <c r="BC424" s="73">
        <f>+BC422*$D$416</f>
        <v/>
      </c>
      <c r="BD424" s="73">
        <f>+BD422*$D$416</f>
        <v/>
      </c>
      <c r="BE424" s="73">
        <f>+BE422*$D$416</f>
        <v/>
      </c>
      <c r="BF424" s="73">
        <f>+BF422*$D$416</f>
        <v/>
      </c>
      <c r="BG424" s="73">
        <f>+BG422*$D$416</f>
        <v/>
      </c>
      <c r="BH424" s="1071">
        <f>+BH422*$D$416</f>
        <v/>
      </c>
      <c r="BI424" s="73">
        <f>+BI422*$D$416</f>
        <v/>
      </c>
      <c r="BJ424" s="73">
        <f>+BJ422*$D$416</f>
        <v/>
      </c>
      <c r="BK424" s="73">
        <f>+BK422*$D$416</f>
        <v/>
      </c>
      <c r="BL424" s="73">
        <f>+BL422*$D$416</f>
        <v/>
      </c>
      <c r="BM424" s="73">
        <f>+BM422*$D$416</f>
        <v/>
      </c>
      <c r="BN424" s="1071">
        <f>+BN422*$D$416</f>
        <v/>
      </c>
    </row>
    <row r="425" ht="12.75" customHeight="1" s="1883">
      <c r="C425" s="1038" t="n"/>
      <c r="D425" s="55" t="n"/>
      <c r="E425" s="69" t="n"/>
      <c r="F425" s="69" t="n"/>
      <c r="G425" s="69" t="n"/>
      <c r="H425" s="69" t="n"/>
      <c r="I425" s="69" t="n"/>
      <c r="J425" s="69" t="n"/>
      <c r="K425" s="69" t="n"/>
      <c r="L425" s="1070" t="n"/>
      <c r="M425" s="69" t="n"/>
      <c r="N425" s="69" t="n"/>
      <c r="O425" s="69" t="n"/>
      <c r="P425" s="69" t="n"/>
      <c r="Q425" s="69" t="n"/>
      <c r="R425" s="1070" t="n"/>
      <c r="S425" s="69" t="n"/>
      <c r="T425" s="69" t="n"/>
      <c r="U425" s="69" t="n"/>
      <c r="V425" s="69" t="n"/>
      <c r="W425" s="69" t="n"/>
      <c r="X425" s="1070" t="n"/>
      <c r="Y425" s="69" t="n"/>
      <c r="Z425" s="69" t="n"/>
      <c r="AA425" s="69" t="n"/>
      <c r="AB425" s="69" t="n"/>
      <c r="AC425" s="69" t="n"/>
      <c r="AD425" s="1070" t="n"/>
      <c r="AE425" s="69" t="n"/>
      <c r="AF425" s="69" t="n"/>
      <c r="AG425" s="69" t="n"/>
      <c r="AH425" s="69" t="n"/>
      <c r="AI425" s="69" t="n"/>
      <c r="AJ425" s="1070" t="n"/>
      <c r="AK425" s="69" t="n"/>
      <c r="AL425" s="69" t="n"/>
      <c r="AM425" s="69" t="n"/>
      <c r="AN425" s="69" t="n"/>
      <c r="AO425" s="69" t="n"/>
      <c r="AP425" s="1070" t="n"/>
      <c r="AQ425" s="69" t="n"/>
      <c r="AR425" s="69" t="n"/>
      <c r="AS425" s="69" t="n"/>
      <c r="AT425" s="69" t="n"/>
      <c r="AU425" s="69" t="n"/>
      <c r="AV425" s="1070" t="n"/>
      <c r="AW425" s="69" t="n"/>
      <c r="AX425" s="69" t="n"/>
      <c r="AY425" s="69" t="n"/>
      <c r="AZ425" s="69" t="n"/>
      <c r="BA425" s="69" t="n"/>
      <c r="BB425" s="1070" t="n"/>
      <c r="BC425" s="69" t="n"/>
      <c r="BD425" s="69" t="n"/>
      <c r="BE425" s="69" t="n"/>
      <c r="BF425" s="69" t="n"/>
      <c r="BG425" s="69" t="n"/>
      <c r="BH425" s="1070" t="n"/>
      <c r="BI425" s="69" t="n"/>
      <c r="BJ425" s="69" t="n"/>
      <c r="BK425" s="69" t="n"/>
      <c r="BL425" s="69" t="n"/>
      <c r="BM425" s="69" t="n"/>
      <c r="BN425" s="1070" t="n"/>
    </row>
    <row r="426" ht="12.75" customHeight="1" s="1883">
      <c r="C426" s="1114" t="inlineStr">
        <is>
          <t>Trade Finance (w accrued interest)</t>
        </is>
      </c>
      <c r="D426" s="55" t="n"/>
      <c r="E426" s="69" t="n"/>
      <c r="F426" s="1173">
        <f>+F422+F424</f>
        <v/>
      </c>
      <c r="G426" s="1173">
        <f>+G422+G424</f>
        <v/>
      </c>
      <c r="H426" s="1173">
        <f>+H422+H424</f>
        <v/>
      </c>
      <c r="I426" s="1173">
        <f>+I422+I424</f>
        <v/>
      </c>
      <c r="J426" s="1173">
        <f>+J422+J424</f>
        <v/>
      </c>
      <c r="K426" s="1173">
        <f>+K422+K424</f>
        <v/>
      </c>
      <c r="L426" s="1174">
        <f>+L422+L424</f>
        <v/>
      </c>
      <c r="M426" s="1173">
        <f>+M422+M424</f>
        <v/>
      </c>
      <c r="N426" s="1173">
        <f>+N422+N424</f>
        <v/>
      </c>
      <c r="O426" s="1173">
        <f>+O422+O424</f>
        <v/>
      </c>
      <c r="P426" s="1173">
        <f>+P422+P424</f>
        <v/>
      </c>
      <c r="Q426" s="1173">
        <f>+Q422+Q424</f>
        <v/>
      </c>
      <c r="R426" s="1174">
        <f>+R422+R424</f>
        <v/>
      </c>
      <c r="S426" s="1173">
        <f>+S422+S424</f>
        <v/>
      </c>
      <c r="T426" s="1173">
        <f>+T422+T424</f>
        <v/>
      </c>
      <c r="U426" s="1173">
        <f>+U422+U424</f>
        <v/>
      </c>
      <c r="V426" s="1173">
        <f>+V422+V424</f>
        <v/>
      </c>
      <c r="W426" s="1173">
        <f>+W422+W424</f>
        <v/>
      </c>
      <c r="X426" s="1174">
        <f>+X422+X424</f>
        <v/>
      </c>
      <c r="Y426" s="1173">
        <f>+Y422+Y424</f>
        <v/>
      </c>
      <c r="Z426" s="1173">
        <f>+Z422+Z424</f>
        <v/>
      </c>
      <c r="AA426" s="1173">
        <f>+AA422+AA424</f>
        <v/>
      </c>
      <c r="AB426" s="1173">
        <f>+AB422+AB424</f>
        <v/>
      </c>
      <c r="AC426" s="1173">
        <f>+AC422+AC424</f>
        <v/>
      </c>
      <c r="AD426" s="1174">
        <f>+AD422+AD424</f>
        <v/>
      </c>
      <c r="AE426" s="1173">
        <f>+AE422+AE424</f>
        <v/>
      </c>
      <c r="AF426" s="1173">
        <f>+AF422+AF424</f>
        <v/>
      </c>
      <c r="AG426" s="1173">
        <f>+AG422+AG424</f>
        <v/>
      </c>
      <c r="AH426" s="1173">
        <f>+AH422+AH424</f>
        <v/>
      </c>
      <c r="AI426" s="1173">
        <f>+AI422+AI424</f>
        <v/>
      </c>
      <c r="AJ426" s="1174">
        <f>+AJ422+AJ424</f>
        <v/>
      </c>
      <c r="AK426" s="1173">
        <f>+AK422+AK424</f>
        <v/>
      </c>
      <c r="AL426" s="1173">
        <f>+AL422+AL424</f>
        <v/>
      </c>
      <c r="AM426" s="1173">
        <f>+AM422+AM424</f>
        <v/>
      </c>
      <c r="AN426" s="1173">
        <f>+AN422+AN424</f>
        <v/>
      </c>
      <c r="AO426" s="1173">
        <f>+AO422+AO424</f>
        <v/>
      </c>
      <c r="AP426" s="1174">
        <f>+AP422+AP424</f>
        <v/>
      </c>
      <c r="AQ426" s="1173">
        <f>+AQ422+AQ424</f>
        <v/>
      </c>
      <c r="AR426" s="1173">
        <f>+AR422+AR424</f>
        <v/>
      </c>
      <c r="AS426" s="1173">
        <f>+AS422+AS424</f>
        <v/>
      </c>
      <c r="AT426" s="1173">
        <f>+AT422+AT424</f>
        <v/>
      </c>
      <c r="AU426" s="1173">
        <f>+AU422+AU424</f>
        <v/>
      </c>
      <c r="AV426" s="1174">
        <f>+AV422+AV424</f>
        <v/>
      </c>
      <c r="AW426" s="1173">
        <f>+AW422+AW424</f>
        <v/>
      </c>
      <c r="AX426" s="1173">
        <f>+AX422+AX424</f>
        <v/>
      </c>
      <c r="AY426" s="1173">
        <f>+AY422+AY424</f>
        <v/>
      </c>
      <c r="AZ426" s="1173">
        <f>+AZ422+AZ424</f>
        <v/>
      </c>
      <c r="BA426" s="1173">
        <f>+BA422+BA424</f>
        <v/>
      </c>
      <c r="BB426" s="1174">
        <f>+BB422+BB424</f>
        <v/>
      </c>
      <c r="BC426" s="1173">
        <f>+BC422+BC424</f>
        <v/>
      </c>
      <c r="BD426" s="1173">
        <f>+BD422+BD424</f>
        <v/>
      </c>
      <c r="BE426" s="1173">
        <f>+BE422+BE424</f>
        <v/>
      </c>
      <c r="BF426" s="1173">
        <f>+BF422+BF424</f>
        <v/>
      </c>
      <c r="BG426" s="1173">
        <f>+BG422+BG424</f>
        <v/>
      </c>
      <c r="BH426" s="1174">
        <f>+BH422+BH424</f>
        <v/>
      </c>
      <c r="BI426" s="1173">
        <f>+BI422+BI424</f>
        <v/>
      </c>
      <c r="BJ426" s="1173">
        <f>+BJ422+BJ424</f>
        <v/>
      </c>
      <c r="BK426" s="1173">
        <f>+BK422+BK424</f>
        <v/>
      </c>
      <c r="BL426" s="1173">
        <f>+BL422+BL424</f>
        <v/>
      </c>
      <c r="BM426" s="1173">
        <f>+BM422+BM424</f>
        <v/>
      </c>
      <c r="BN426" s="1174">
        <f>+BN422+BN424</f>
        <v/>
      </c>
    </row>
    <row r="427" ht="12.75" customHeight="1" s="1883">
      <c r="C427" s="1165" t="n"/>
      <c r="D427" s="1178" t="n"/>
      <c r="E427" s="1179" t="n"/>
      <c r="F427" s="1179" t="n"/>
      <c r="G427" s="1169" t="n"/>
      <c r="H427" s="1169" t="n"/>
      <c r="I427" s="1169" t="n"/>
      <c r="J427" s="1169" t="n"/>
      <c r="K427" s="1169" t="n"/>
      <c r="L427" s="208" t="n"/>
      <c r="M427" s="1169" t="n"/>
      <c r="N427" s="1169" t="n"/>
      <c r="O427" s="1169" t="n"/>
      <c r="P427" s="1169" t="n"/>
      <c r="Q427" s="1169" t="n"/>
      <c r="R427" s="208" t="n"/>
      <c r="S427" s="1169" t="n"/>
      <c r="T427" s="1169" t="n"/>
      <c r="U427" s="1169" t="n"/>
      <c r="V427" s="1169" t="n"/>
      <c r="W427" s="1169" t="n"/>
      <c r="X427" s="208" t="n"/>
      <c r="Y427" s="1169" t="n"/>
      <c r="Z427" s="1169" t="n"/>
      <c r="AA427" s="1169" t="n"/>
      <c r="AB427" s="1169" t="n"/>
      <c r="AC427" s="1169" t="n"/>
      <c r="AD427" s="208" t="n"/>
      <c r="AE427" s="1169" t="n"/>
      <c r="AF427" s="1169" t="n"/>
      <c r="AG427" s="1169" t="n"/>
      <c r="AH427" s="1169" t="n"/>
      <c r="AI427" s="1169" t="n"/>
      <c r="AJ427" s="208" t="n"/>
      <c r="AK427" s="1169" t="n"/>
      <c r="AL427" s="1169" t="n"/>
      <c r="AM427" s="1169" t="n"/>
      <c r="AN427" s="1169" t="n"/>
      <c r="AO427" s="1169" t="n"/>
      <c r="AP427" s="208" t="n"/>
      <c r="AQ427" s="1169" t="n"/>
      <c r="AR427" s="1169" t="n"/>
      <c r="AS427" s="1169" t="n"/>
      <c r="AT427" s="1169" t="n"/>
      <c r="AU427" s="1169" t="n"/>
      <c r="AV427" s="208" t="n"/>
      <c r="AW427" s="1169" t="n"/>
      <c r="AX427" s="1169" t="n"/>
      <c r="AY427" s="1169" t="n"/>
      <c r="AZ427" s="1169" t="n"/>
      <c r="BA427" s="1169" t="n"/>
      <c r="BB427" s="208" t="n"/>
      <c r="BC427" s="1169" t="n"/>
      <c r="BD427" s="1169" t="n"/>
      <c r="BE427" s="1169" t="n"/>
      <c r="BF427" s="1169" t="n"/>
      <c r="BG427" s="1169" t="n"/>
      <c r="BH427" s="208" t="n"/>
      <c r="BI427" s="1169" t="n"/>
      <c r="BJ427" s="1169" t="n"/>
      <c r="BK427" s="1169" t="n"/>
      <c r="BL427" s="1169" t="n"/>
      <c r="BM427" s="1169" t="n"/>
      <c r="BN427" s="208" t="n"/>
    </row>
    <row r="428" ht="12.75" customHeight="1" s="1883">
      <c r="C428" s="1114" t="inlineStr">
        <is>
          <t>Warranty Inventory</t>
        </is>
      </c>
      <c r="D428" s="55" t="n"/>
      <c r="E428" s="57" t="n"/>
      <c r="F428" s="57" t="n"/>
      <c r="G428" s="69" t="n"/>
      <c r="H428" s="69" t="n"/>
      <c r="I428" s="69" t="n"/>
      <c r="J428" s="69" t="n"/>
      <c r="K428" s="69" t="n"/>
      <c r="L428" s="1070" t="n"/>
      <c r="M428" s="69" t="n"/>
      <c r="N428" s="69" t="n"/>
      <c r="O428" s="69" t="n"/>
      <c r="P428" s="69" t="n"/>
      <c r="Q428" s="69" t="n"/>
      <c r="R428" s="1070" t="n"/>
      <c r="S428" s="69" t="n"/>
      <c r="T428" s="69" t="n"/>
      <c r="U428" s="69" t="n"/>
      <c r="V428" s="69" t="n"/>
      <c r="W428" s="69" t="n"/>
      <c r="X428" s="1070" t="n"/>
      <c r="Y428" s="69" t="n"/>
      <c r="Z428" s="69" t="n"/>
      <c r="AA428" s="69" t="n"/>
      <c r="AB428" s="69" t="n"/>
      <c r="AC428" s="69" t="n"/>
      <c r="AD428" s="1070" t="n"/>
      <c r="AE428" s="69" t="n"/>
      <c r="AF428" s="69" t="n"/>
      <c r="AG428" s="69" t="n"/>
      <c r="AH428" s="69" t="n"/>
      <c r="AI428" s="69" t="n"/>
      <c r="AJ428" s="1070" t="n"/>
      <c r="AK428" s="69" t="n"/>
      <c r="AL428" s="69" t="n"/>
      <c r="AM428" s="69" t="n"/>
      <c r="AN428" s="69" t="n"/>
      <c r="AO428" s="69" t="n"/>
      <c r="AP428" s="1070" t="n"/>
      <c r="AQ428" s="69" t="n"/>
      <c r="AR428" s="69" t="n"/>
      <c r="AS428" s="69" t="n"/>
      <c r="AT428" s="69" t="n"/>
      <c r="AU428" s="69" t="n"/>
      <c r="AV428" s="1070" t="n"/>
      <c r="AW428" s="69" t="n"/>
      <c r="AX428" s="69" t="n"/>
      <c r="AY428" s="69" t="n"/>
      <c r="AZ428" s="69" t="n"/>
      <c r="BA428" s="69" t="n"/>
      <c r="BB428" s="1070" t="n"/>
      <c r="BC428" s="69" t="n"/>
      <c r="BD428" s="69" t="n"/>
      <c r="BE428" s="69" t="n"/>
      <c r="BF428" s="69" t="n"/>
      <c r="BG428" s="69" t="n"/>
      <c r="BH428" s="1070" t="n"/>
      <c r="BI428" s="69" t="n"/>
      <c r="BJ428" s="69" t="n"/>
      <c r="BK428" s="69" t="n"/>
      <c r="BL428" s="69" t="n"/>
      <c r="BM428" s="69" t="n"/>
      <c r="BN428" s="1070" t="n"/>
    </row>
    <row r="429" ht="12.75" customHeight="1" s="1883">
      <c r="C429" s="1141" t="inlineStr">
        <is>
          <t>Warranty Reserve (units) - Beg</t>
        </is>
      </c>
      <c r="D429" s="55" t="n"/>
      <c r="E429" s="87" t="n">
        <v>0</v>
      </c>
      <c r="F429" s="87">
        <f>+E432</f>
        <v/>
      </c>
      <c r="G429" s="87">
        <f>+F432</f>
        <v/>
      </c>
      <c r="H429" s="87">
        <f>+G432</f>
        <v/>
      </c>
      <c r="I429" s="87">
        <f>+H432</f>
        <v/>
      </c>
      <c r="J429" s="87">
        <f>+I432</f>
        <v/>
      </c>
      <c r="K429" s="87">
        <f>+J432</f>
        <v/>
      </c>
      <c r="L429" s="1142">
        <f>+K432</f>
        <v/>
      </c>
      <c r="M429" s="87">
        <f>+L432</f>
        <v/>
      </c>
      <c r="N429" s="87">
        <f>+M432</f>
        <v/>
      </c>
      <c r="O429" s="87">
        <f>+N432</f>
        <v/>
      </c>
      <c r="P429" s="87">
        <f>+O432</f>
        <v/>
      </c>
      <c r="Q429" s="87">
        <f>+P432</f>
        <v/>
      </c>
      <c r="R429" s="1142">
        <f>+Q432</f>
        <v/>
      </c>
      <c r="S429" s="87">
        <f>+R432</f>
        <v/>
      </c>
      <c r="T429" s="87">
        <f>+S432</f>
        <v/>
      </c>
      <c r="U429" s="87">
        <f>+T432</f>
        <v/>
      </c>
      <c r="V429" s="87">
        <f>+U432</f>
        <v/>
      </c>
      <c r="W429" s="87">
        <f>+V432</f>
        <v/>
      </c>
      <c r="X429" s="1142">
        <f>+W432</f>
        <v/>
      </c>
      <c r="Y429" s="87">
        <f>+X432</f>
        <v/>
      </c>
      <c r="Z429" s="87">
        <f>+Y432</f>
        <v/>
      </c>
      <c r="AA429" s="87">
        <f>+Z432</f>
        <v/>
      </c>
      <c r="AB429" s="87">
        <f>+AA432</f>
        <v/>
      </c>
      <c r="AC429" s="87">
        <f>+AB432</f>
        <v/>
      </c>
      <c r="AD429" s="1142">
        <f>+AC432</f>
        <v/>
      </c>
      <c r="AE429" s="87">
        <f>+AD432</f>
        <v/>
      </c>
      <c r="AF429" s="87">
        <f>+AE432</f>
        <v/>
      </c>
      <c r="AG429" s="87">
        <f>+AF432</f>
        <v/>
      </c>
      <c r="AH429" s="87">
        <f>+AG432</f>
        <v/>
      </c>
      <c r="AI429" s="87">
        <f>+AH432</f>
        <v/>
      </c>
      <c r="AJ429" s="1142">
        <f>+AI432</f>
        <v/>
      </c>
      <c r="AK429" s="87">
        <f>+AJ432</f>
        <v/>
      </c>
      <c r="AL429" s="87">
        <f>+AK432</f>
        <v/>
      </c>
      <c r="AM429" s="87">
        <f>+AL432</f>
        <v/>
      </c>
      <c r="AN429" s="87">
        <f>+AM432</f>
        <v/>
      </c>
      <c r="AO429" s="87">
        <f>+AN432</f>
        <v/>
      </c>
      <c r="AP429" s="1142">
        <f>+AO432</f>
        <v/>
      </c>
      <c r="AQ429" s="87">
        <f>+AP432</f>
        <v/>
      </c>
      <c r="AR429" s="87">
        <f>+AQ432</f>
        <v/>
      </c>
      <c r="AS429" s="87">
        <f>+AR432</f>
        <v/>
      </c>
      <c r="AT429" s="87">
        <f>+AS432</f>
        <v/>
      </c>
      <c r="AU429" s="87">
        <f>+AT432</f>
        <v/>
      </c>
      <c r="AV429" s="1142">
        <f>+AU432</f>
        <v/>
      </c>
      <c r="AW429" s="87">
        <f>+AV432</f>
        <v/>
      </c>
      <c r="AX429" s="87">
        <f>+AW432</f>
        <v/>
      </c>
      <c r="AY429" s="87">
        <f>+AX432</f>
        <v/>
      </c>
      <c r="AZ429" s="87">
        <f>+AY432</f>
        <v/>
      </c>
      <c r="BA429" s="87">
        <f>+AZ432</f>
        <v/>
      </c>
      <c r="BB429" s="1142">
        <f>+BA432</f>
        <v/>
      </c>
      <c r="BC429" s="87">
        <f>+BB432</f>
        <v/>
      </c>
      <c r="BD429" s="87">
        <f>+BC432</f>
        <v/>
      </c>
      <c r="BE429" s="87">
        <f>+BD432</f>
        <v/>
      </c>
      <c r="BF429" s="87">
        <f>+BE432</f>
        <v/>
      </c>
      <c r="BG429" s="87">
        <f>+BF432</f>
        <v/>
      </c>
      <c r="BH429" s="1142">
        <f>+BG432</f>
        <v/>
      </c>
      <c r="BI429" s="87">
        <f>+BH432</f>
        <v/>
      </c>
      <c r="BJ429" s="87">
        <f>+BI432</f>
        <v/>
      </c>
      <c r="BK429" s="87">
        <f>+BJ432</f>
        <v/>
      </c>
      <c r="BL429" s="87">
        <f>+BK432</f>
        <v/>
      </c>
      <c r="BM429" s="87">
        <f>+BL432</f>
        <v/>
      </c>
      <c r="BN429" s="1142">
        <f>+BM432</f>
        <v/>
      </c>
    </row>
    <row r="430" ht="12.75" customHeight="1" s="1883">
      <c r="C430" s="1141" t="inlineStr">
        <is>
          <t>Units Added</t>
        </is>
      </c>
      <c r="D430" s="55" t="n"/>
      <c r="E430" s="87">
        <f>+E170</f>
        <v/>
      </c>
      <c r="F430" s="87">
        <f>+F170</f>
        <v/>
      </c>
      <c r="G430" s="87">
        <f>+G170</f>
        <v/>
      </c>
      <c r="H430" s="87">
        <f>+H170</f>
        <v/>
      </c>
      <c r="I430" s="87">
        <f>+I170</f>
        <v/>
      </c>
      <c r="J430" s="87">
        <f>+J170</f>
        <v/>
      </c>
      <c r="K430" s="87">
        <f>+K170</f>
        <v/>
      </c>
      <c r="L430" s="1142">
        <f>+L170</f>
        <v/>
      </c>
      <c r="M430" s="87">
        <f>+M170</f>
        <v/>
      </c>
      <c r="N430" s="87">
        <f>+N170</f>
        <v/>
      </c>
      <c r="O430" s="87">
        <f>+O170</f>
        <v/>
      </c>
      <c r="P430" s="87">
        <f>+P170</f>
        <v/>
      </c>
      <c r="Q430" s="87">
        <f>+Q170</f>
        <v/>
      </c>
      <c r="R430" s="1142">
        <f>+R170</f>
        <v/>
      </c>
      <c r="S430" s="87">
        <f>+S170</f>
        <v/>
      </c>
      <c r="T430" s="87">
        <f>+T170</f>
        <v/>
      </c>
      <c r="U430" s="87">
        <f>+U170</f>
        <v/>
      </c>
      <c r="V430" s="87">
        <f>+V170</f>
        <v/>
      </c>
      <c r="W430" s="87">
        <f>+W170</f>
        <v/>
      </c>
      <c r="X430" s="1142">
        <f>+X170</f>
        <v/>
      </c>
      <c r="Y430" s="87">
        <f>+Y170</f>
        <v/>
      </c>
      <c r="Z430" s="87">
        <f>+Z170</f>
        <v/>
      </c>
      <c r="AA430" s="87">
        <f>+AA170</f>
        <v/>
      </c>
      <c r="AB430" s="87">
        <f>+AB170</f>
        <v/>
      </c>
      <c r="AC430" s="87">
        <f>+AC170</f>
        <v/>
      </c>
      <c r="AD430" s="1142">
        <f>+AD170</f>
        <v/>
      </c>
      <c r="AE430" s="87">
        <f>+AE170</f>
        <v/>
      </c>
      <c r="AF430" s="87">
        <f>+AF170</f>
        <v/>
      </c>
      <c r="AG430" s="87">
        <f>+AG170</f>
        <v/>
      </c>
      <c r="AH430" s="87">
        <f>+AH170</f>
        <v/>
      </c>
      <c r="AI430" s="87">
        <f>+AI170</f>
        <v/>
      </c>
      <c r="AJ430" s="1142">
        <f>+AJ170</f>
        <v/>
      </c>
      <c r="AK430" s="87">
        <f>+AK170</f>
        <v/>
      </c>
      <c r="AL430" s="87">
        <f>+AL170</f>
        <v/>
      </c>
      <c r="AM430" s="87">
        <f>+AM170</f>
        <v/>
      </c>
      <c r="AN430" s="87">
        <f>+AN170</f>
        <v/>
      </c>
      <c r="AO430" s="87">
        <f>+AO170</f>
        <v/>
      </c>
      <c r="AP430" s="1142">
        <f>+AP170</f>
        <v/>
      </c>
      <c r="AQ430" s="87">
        <f>+AQ170</f>
        <v/>
      </c>
      <c r="AR430" s="87">
        <f>+AR170</f>
        <v/>
      </c>
      <c r="AS430" s="87">
        <f>+AS170</f>
        <v/>
      </c>
      <c r="AT430" s="87">
        <f>+AT170</f>
        <v/>
      </c>
      <c r="AU430" s="87">
        <f>+AU170</f>
        <v/>
      </c>
      <c r="AV430" s="1142">
        <f>+AV170</f>
        <v/>
      </c>
      <c r="AW430" s="87">
        <f>+AW170</f>
        <v/>
      </c>
      <c r="AX430" s="87">
        <f>+AX170</f>
        <v/>
      </c>
      <c r="AY430" s="87">
        <f>+AY170</f>
        <v/>
      </c>
      <c r="AZ430" s="87">
        <f>+AZ170</f>
        <v/>
      </c>
      <c r="BA430" s="87">
        <f>+BA170</f>
        <v/>
      </c>
      <c r="BB430" s="1142">
        <f>+BB170</f>
        <v/>
      </c>
      <c r="BC430" s="87">
        <f>+BC170</f>
        <v/>
      </c>
      <c r="BD430" s="87">
        <f>+BD170</f>
        <v/>
      </c>
      <c r="BE430" s="87">
        <f>+BE170</f>
        <v/>
      </c>
      <c r="BF430" s="87">
        <f>+BF170</f>
        <v/>
      </c>
      <c r="BG430" s="87">
        <f>+BG170</f>
        <v/>
      </c>
      <c r="BH430" s="1142">
        <f>+BH170</f>
        <v/>
      </c>
      <c r="BI430" s="87">
        <f>+BI170</f>
        <v/>
      </c>
      <c r="BJ430" s="87">
        <f>+BJ170</f>
        <v/>
      </c>
      <c r="BK430" s="87">
        <f>+BK170</f>
        <v/>
      </c>
      <c r="BL430" s="87">
        <f>+BL170</f>
        <v/>
      </c>
      <c r="BM430" s="87">
        <f>+BM170</f>
        <v/>
      </c>
      <c r="BN430" s="1142">
        <f>+BN170</f>
        <v/>
      </c>
    </row>
    <row r="431" ht="12.75" customHeight="1" s="1883">
      <c r="C431" s="1141" t="inlineStr">
        <is>
          <t>Units Taken out for Claims</t>
        </is>
      </c>
      <c r="D431" s="55" t="n"/>
      <c r="E431" s="87" t="n">
        <v>0</v>
      </c>
      <c r="F431" s="87" t="n">
        <v>0</v>
      </c>
      <c r="G431" s="87">
        <f>-ROUNDDOWN(G60/(($D$82*'3F. Revenue &amp; COGS Assumptions'!$C$20)+($D$83*'3F. Revenue &amp; COGS Assumptions'!$D$20)+($D$84*'3F. Revenue &amp; COGS Assumptions'!$E$20)),0)</f>
        <v/>
      </c>
      <c r="H431" s="87">
        <f>-ROUNDDOWN(H60/(($D$82*'3F. Revenue &amp; COGS Assumptions'!$C$20)+($D$83*'3F. Revenue &amp; COGS Assumptions'!$D$20)+($D$84*'3F. Revenue &amp; COGS Assumptions'!$E$20)),0)</f>
        <v/>
      </c>
      <c r="I431" s="87">
        <f>-ROUNDDOWN(I60/(($D$82*'3F. Revenue &amp; COGS Assumptions'!$C$20)+($D$83*'3F. Revenue &amp; COGS Assumptions'!$D$20)+($D$84*'3F. Revenue &amp; COGS Assumptions'!$E$20)),0)</f>
        <v/>
      </c>
      <c r="J431" s="87">
        <f>-ROUNDDOWN(J60/(($D$82*'3F. Revenue &amp; COGS Assumptions'!$C$20)+($D$83*'3F. Revenue &amp; COGS Assumptions'!$D$20)+($D$84*'3F. Revenue &amp; COGS Assumptions'!$E$20)),0)</f>
        <v/>
      </c>
      <c r="K431" s="87">
        <f>-ROUNDDOWN(K60/(($D$82*'3F. Revenue &amp; COGS Assumptions'!$C$20)+($D$83*'3F. Revenue &amp; COGS Assumptions'!$D$20)+($D$84*'3F. Revenue &amp; COGS Assumptions'!$E$20)),0)</f>
        <v/>
      </c>
      <c r="L431" s="1142">
        <f>-ROUNDDOWN(L60/(($D$82*'3F. Revenue &amp; COGS Assumptions'!$C$20)+($D$83*'3F. Revenue &amp; COGS Assumptions'!$D$20)+($D$84*'3F. Revenue &amp; COGS Assumptions'!$E$20)),0)</f>
        <v/>
      </c>
      <c r="M431" s="87">
        <f>-ROUNDDOWN(M60/(($D$82*'3F. Revenue &amp; COGS Assumptions'!$C$20)+($D$83*'3F. Revenue &amp; COGS Assumptions'!$D$20)+($D$84*'3F. Revenue &amp; COGS Assumptions'!$E$20)),0)</f>
        <v/>
      </c>
      <c r="N431" s="87">
        <f>-ROUNDDOWN(N60/(($D$82*'3F. Revenue &amp; COGS Assumptions'!$C$20)+($D$83*'3F. Revenue &amp; COGS Assumptions'!$D$20)+($D$84*'3F. Revenue &amp; COGS Assumptions'!$E$20)),0)</f>
        <v/>
      </c>
      <c r="O431" s="87">
        <f>-ROUNDDOWN(O60/(($D$82*'3F. Revenue &amp; COGS Assumptions'!$C$20)+($D$83*'3F. Revenue &amp; COGS Assumptions'!$D$20)+($D$84*'3F. Revenue &amp; COGS Assumptions'!$E$20)),0)</f>
        <v/>
      </c>
      <c r="P431" s="87">
        <f>-ROUNDDOWN(P60/(($D$82*'3F. Revenue &amp; COGS Assumptions'!$C$20)+($D$83*'3F. Revenue &amp; COGS Assumptions'!$D$20)+($D$84*'3F. Revenue &amp; COGS Assumptions'!$E$20)),0)</f>
        <v/>
      </c>
      <c r="Q431" s="87">
        <f>-ROUNDDOWN(Q60/(($D$82*'3F. Revenue &amp; COGS Assumptions'!$C$20)+($D$83*'3F. Revenue &amp; COGS Assumptions'!$D$20)+($D$84*'3F. Revenue &amp; COGS Assumptions'!$E$20)),0)</f>
        <v/>
      </c>
      <c r="R431" s="1142">
        <f>-ROUNDDOWN(R60/(($D$82*'3F. Revenue &amp; COGS Assumptions'!$C$20)+($D$83*'3F. Revenue &amp; COGS Assumptions'!$D$20)+($D$84*'3F. Revenue &amp; COGS Assumptions'!$E$20)),0)</f>
        <v/>
      </c>
      <c r="S431" s="87">
        <f>-ROUNDDOWN(S60/(($D$82*'3F. Revenue &amp; COGS Assumptions'!$C$20)+($D$83*'3F. Revenue &amp; COGS Assumptions'!$D$20)+($D$84*'3F. Revenue &amp; COGS Assumptions'!$E$20)),0)</f>
        <v/>
      </c>
      <c r="T431" s="87">
        <f>-ROUNDDOWN(T60/(($D$82*'3F. Revenue &amp; COGS Assumptions'!$C$20)+($D$83*'3F. Revenue &amp; COGS Assumptions'!$D$20)+($D$84*'3F. Revenue &amp; COGS Assumptions'!$E$20)),0)</f>
        <v/>
      </c>
      <c r="U431" s="87">
        <f>-ROUNDDOWN(U60/(($D$82*'3F. Revenue &amp; COGS Assumptions'!$C$20)+($D$83*'3F. Revenue &amp; COGS Assumptions'!$D$20)+($D$84*'3F. Revenue &amp; COGS Assumptions'!$E$20)),0)</f>
        <v/>
      </c>
      <c r="V431" s="87">
        <f>-ROUNDDOWN(V60/(($D$82*'3F. Revenue &amp; COGS Assumptions'!$C$20)+($D$83*'3F. Revenue &amp; COGS Assumptions'!$D$20)+($D$84*'3F. Revenue &amp; COGS Assumptions'!$E$20)),0)</f>
        <v/>
      </c>
      <c r="W431" s="87">
        <f>-ROUNDDOWN(W60/(($D$82*'3F. Revenue &amp; COGS Assumptions'!$C$20)+($D$83*'3F. Revenue &amp; COGS Assumptions'!$D$20)+($D$84*'3F. Revenue &amp; COGS Assumptions'!$E$20)),0)</f>
        <v/>
      </c>
      <c r="X431" s="1142">
        <f>-ROUNDDOWN(X60/(($D$82*'3F. Revenue &amp; COGS Assumptions'!$C$20)+($D$83*'3F. Revenue &amp; COGS Assumptions'!$D$20)+($D$84*'3F. Revenue &amp; COGS Assumptions'!$E$20)),0)</f>
        <v/>
      </c>
      <c r="Y431" s="87">
        <f>-ROUNDDOWN(Y60/(($D$82*'3F. Revenue &amp; COGS Assumptions'!$C$20)+($D$83*'3F. Revenue &amp; COGS Assumptions'!$D$20)+($D$84*'3F. Revenue &amp; COGS Assumptions'!$E$20)),0)</f>
        <v/>
      </c>
      <c r="Z431" s="87">
        <f>-ROUNDDOWN(Z60/(($D$82*'3F. Revenue &amp; COGS Assumptions'!$C$20)+($D$83*'3F. Revenue &amp; COGS Assumptions'!$D$20)+($D$84*'3F. Revenue &amp; COGS Assumptions'!$E$20)),0)</f>
        <v/>
      </c>
      <c r="AA431" s="87">
        <f>-ROUNDDOWN(AA60/(($D$82*'3F. Revenue &amp; COGS Assumptions'!$C$20)+($D$83*'3F. Revenue &amp; COGS Assumptions'!$D$20)+($D$84*'3F. Revenue &amp; COGS Assumptions'!$E$20)),0)</f>
        <v/>
      </c>
      <c r="AB431" s="87">
        <f>-ROUNDDOWN(AB60/(($D$82*'3F. Revenue &amp; COGS Assumptions'!$C$20)+($D$83*'3F. Revenue &amp; COGS Assumptions'!$D$20)+($D$84*'3F. Revenue &amp; COGS Assumptions'!$E$20)),0)</f>
        <v/>
      </c>
      <c r="AC431" s="87">
        <f>-ROUNDDOWN(AC60/(($D$82*'3F. Revenue &amp; COGS Assumptions'!$C$20)+($D$83*'3F. Revenue &amp; COGS Assumptions'!$D$20)+($D$84*'3F. Revenue &amp; COGS Assumptions'!$E$20)),0)</f>
        <v/>
      </c>
      <c r="AD431" s="1142">
        <f>-ROUNDDOWN(AD60/(($D$82*'3F. Revenue &amp; COGS Assumptions'!$C$20)+($D$83*'3F. Revenue &amp; COGS Assumptions'!$D$20)+($D$84*'3F. Revenue &amp; COGS Assumptions'!$E$20)),0)</f>
        <v/>
      </c>
      <c r="AE431" s="87">
        <f>-ROUNDDOWN(AE60/(($D$82*'3F. Revenue &amp; COGS Assumptions'!$C$20)+($D$83*'3F. Revenue &amp; COGS Assumptions'!$D$20)+($D$84*'3F. Revenue &amp; COGS Assumptions'!$E$20)),0)</f>
        <v/>
      </c>
      <c r="AF431" s="87">
        <f>-ROUNDDOWN(AF60/(($D$82*'3F. Revenue &amp; COGS Assumptions'!$C$20)+($D$83*'3F. Revenue &amp; COGS Assumptions'!$D$20)+($D$84*'3F. Revenue &amp; COGS Assumptions'!$E$20)),0)</f>
        <v/>
      </c>
      <c r="AG431" s="87">
        <f>-ROUNDDOWN(AG60/(($D$82*'3F. Revenue &amp; COGS Assumptions'!$C$20)+($D$83*'3F. Revenue &amp; COGS Assumptions'!$D$20)+($D$84*'3F. Revenue &amp; COGS Assumptions'!$E$20)),0)</f>
        <v/>
      </c>
      <c r="AH431" s="87">
        <f>-ROUNDDOWN(AH60/(($D$82*'3F. Revenue &amp; COGS Assumptions'!$C$20)+($D$83*'3F. Revenue &amp; COGS Assumptions'!$D$20)+($D$84*'3F. Revenue &amp; COGS Assumptions'!$E$20)),0)</f>
        <v/>
      </c>
      <c r="AI431" s="87">
        <f>-ROUNDDOWN(AI60/(($D$82*'3F. Revenue &amp; COGS Assumptions'!$C$20)+($D$83*'3F. Revenue &amp; COGS Assumptions'!$D$20)+($D$84*'3F. Revenue &amp; COGS Assumptions'!$E$20)),0)</f>
        <v/>
      </c>
      <c r="AJ431" s="1142">
        <f>-ROUNDDOWN(AJ60/(($D$82*'3F. Revenue &amp; COGS Assumptions'!$C$20)+($D$83*'3F. Revenue &amp; COGS Assumptions'!$D$20)+($D$84*'3F. Revenue &amp; COGS Assumptions'!$E$20)),0)</f>
        <v/>
      </c>
      <c r="AK431" s="87">
        <f>-ROUNDDOWN(AK60/(($D$82*'3F. Revenue &amp; COGS Assumptions'!$C$20)+($D$83*'3F. Revenue &amp; COGS Assumptions'!$D$20)+($D$84*'3F. Revenue &amp; COGS Assumptions'!$E$20)),0)</f>
        <v/>
      </c>
      <c r="AL431" s="87">
        <f>-ROUNDDOWN(AL60/(($D$82*'3F. Revenue &amp; COGS Assumptions'!$C$20)+($D$83*'3F. Revenue &amp; COGS Assumptions'!$D$20)+($D$84*'3F. Revenue &amp; COGS Assumptions'!$E$20)),0)</f>
        <v/>
      </c>
      <c r="AM431" s="87">
        <f>-ROUNDDOWN(AM60/(($D$82*'3F. Revenue &amp; COGS Assumptions'!$C$20)+($D$83*'3F. Revenue &amp; COGS Assumptions'!$D$20)+($D$84*'3F. Revenue &amp; COGS Assumptions'!$E$20)),0)</f>
        <v/>
      </c>
      <c r="AN431" s="87">
        <f>-ROUNDDOWN(AN60/(($D$82*'3F. Revenue &amp; COGS Assumptions'!$C$20)+($D$83*'3F. Revenue &amp; COGS Assumptions'!$D$20)+($D$84*'3F. Revenue &amp; COGS Assumptions'!$E$20)),0)</f>
        <v/>
      </c>
      <c r="AO431" s="87">
        <f>-ROUNDDOWN(AO60/(($D$82*'3F. Revenue &amp; COGS Assumptions'!$C$20)+($D$83*'3F. Revenue &amp; COGS Assumptions'!$D$20)+($D$84*'3F. Revenue &amp; COGS Assumptions'!$E$20)),0)</f>
        <v/>
      </c>
      <c r="AP431" s="1142">
        <f>-ROUNDDOWN(AP60/(($D$82*'3F. Revenue &amp; COGS Assumptions'!$C$20)+($D$83*'3F. Revenue &amp; COGS Assumptions'!$D$20)+($D$84*'3F. Revenue &amp; COGS Assumptions'!$E$20)),0)</f>
        <v/>
      </c>
      <c r="AQ431" s="87">
        <f>-ROUNDDOWN(AQ60/(($D$82*'3F. Revenue &amp; COGS Assumptions'!$C$20)+($D$83*'3F. Revenue &amp; COGS Assumptions'!$D$20)+($D$84*'3F. Revenue &amp; COGS Assumptions'!$E$20)),0)</f>
        <v/>
      </c>
      <c r="AR431" s="87">
        <f>-ROUNDDOWN(AR60/(($D$82*'3F. Revenue &amp; COGS Assumptions'!$C$20)+($D$83*'3F. Revenue &amp; COGS Assumptions'!$D$20)+($D$84*'3F. Revenue &amp; COGS Assumptions'!$E$20)),0)</f>
        <v/>
      </c>
      <c r="AS431" s="87">
        <f>-ROUNDDOWN(AS60/(($D$82*'3F. Revenue &amp; COGS Assumptions'!$C$20)+($D$83*'3F. Revenue &amp; COGS Assumptions'!$D$20)+($D$84*'3F. Revenue &amp; COGS Assumptions'!$E$20)),0)</f>
        <v/>
      </c>
      <c r="AT431" s="87">
        <f>-ROUNDDOWN(AT60/(($D$82*'3F. Revenue &amp; COGS Assumptions'!$C$20)+($D$83*'3F. Revenue &amp; COGS Assumptions'!$D$20)+($D$84*'3F. Revenue &amp; COGS Assumptions'!$E$20)),0)</f>
        <v/>
      </c>
      <c r="AU431" s="87">
        <f>-ROUNDDOWN(AU60/(($D$82*'3F. Revenue &amp; COGS Assumptions'!$C$20)+($D$83*'3F. Revenue &amp; COGS Assumptions'!$D$20)+($D$84*'3F. Revenue &amp; COGS Assumptions'!$E$20)),0)</f>
        <v/>
      </c>
      <c r="AV431" s="1142">
        <f>-ROUNDDOWN(AV60/(($D$82*'3F. Revenue &amp; COGS Assumptions'!$C$20)+($D$83*'3F. Revenue &amp; COGS Assumptions'!$D$20)+($D$84*'3F. Revenue &amp; COGS Assumptions'!$E$20)),0)</f>
        <v/>
      </c>
      <c r="AW431" s="87">
        <f>-ROUNDDOWN(AW60/(($D$82*'3F. Revenue &amp; COGS Assumptions'!$C$20)+($D$83*'3F. Revenue &amp; COGS Assumptions'!$D$20)+($D$84*'3F. Revenue &amp; COGS Assumptions'!$E$20)),0)</f>
        <v/>
      </c>
      <c r="AX431" s="87">
        <f>-ROUNDDOWN(AX60/(($D$82*'3F. Revenue &amp; COGS Assumptions'!$C$20)+($D$83*'3F. Revenue &amp; COGS Assumptions'!$D$20)+($D$84*'3F. Revenue &amp; COGS Assumptions'!$E$20)),0)</f>
        <v/>
      </c>
      <c r="AY431" s="87">
        <f>-ROUNDDOWN(AY60/(($D$82*'3F. Revenue &amp; COGS Assumptions'!$C$20)+($D$83*'3F. Revenue &amp; COGS Assumptions'!$D$20)+($D$84*'3F. Revenue &amp; COGS Assumptions'!$E$20)),0)</f>
        <v/>
      </c>
      <c r="AZ431" s="87">
        <f>-ROUNDDOWN(AZ60/(($D$82*'3F. Revenue &amp; COGS Assumptions'!$C$20)+($D$83*'3F. Revenue &amp; COGS Assumptions'!$D$20)+($D$84*'3F. Revenue &amp; COGS Assumptions'!$E$20)),0)</f>
        <v/>
      </c>
      <c r="BA431" s="87">
        <f>-ROUNDDOWN(BA60/(($D$82*'3F. Revenue &amp; COGS Assumptions'!$C$20)+($D$83*'3F. Revenue &amp; COGS Assumptions'!$D$20)+($D$84*'3F. Revenue &amp; COGS Assumptions'!$E$20)),0)</f>
        <v/>
      </c>
      <c r="BB431" s="1142">
        <f>-ROUNDDOWN(BB60/(($D$82*'3F. Revenue &amp; COGS Assumptions'!$C$20)+($D$83*'3F. Revenue &amp; COGS Assumptions'!$D$20)+($D$84*'3F. Revenue &amp; COGS Assumptions'!$E$20)),0)</f>
        <v/>
      </c>
      <c r="BC431" s="87">
        <f>-ROUNDDOWN(BC60/(($D$82*'3F. Revenue &amp; COGS Assumptions'!$C$20)+($D$83*'3F. Revenue &amp; COGS Assumptions'!$D$20)+($D$84*'3F. Revenue &amp; COGS Assumptions'!$E$20)),0)</f>
        <v/>
      </c>
      <c r="BD431" s="87">
        <f>-ROUNDDOWN(BD60/(($D$82*'3F. Revenue &amp; COGS Assumptions'!$C$20)+($D$83*'3F. Revenue &amp; COGS Assumptions'!$D$20)+($D$84*'3F. Revenue &amp; COGS Assumptions'!$E$20)),0)</f>
        <v/>
      </c>
      <c r="BE431" s="87">
        <f>-ROUNDDOWN(BE60/(($D$82*'3F. Revenue &amp; COGS Assumptions'!$C$20)+($D$83*'3F. Revenue &amp; COGS Assumptions'!$D$20)+($D$84*'3F. Revenue &amp; COGS Assumptions'!$E$20)),0)</f>
        <v/>
      </c>
      <c r="BF431" s="87">
        <f>-ROUNDDOWN(BF60/(($D$82*'3F. Revenue &amp; COGS Assumptions'!$C$20)+($D$83*'3F. Revenue &amp; COGS Assumptions'!$D$20)+($D$84*'3F. Revenue &amp; COGS Assumptions'!$E$20)),0)</f>
        <v/>
      </c>
      <c r="BG431" s="87">
        <f>-ROUNDDOWN(BG60/(($D$82*'3F. Revenue &amp; COGS Assumptions'!$C$20)+($D$83*'3F. Revenue &amp; COGS Assumptions'!$D$20)+($D$84*'3F. Revenue &amp; COGS Assumptions'!$E$20)),0)</f>
        <v/>
      </c>
      <c r="BH431" s="1142">
        <f>-ROUNDDOWN(BH60/(($D$82*'3F. Revenue &amp; COGS Assumptions'!$C$20)+($D$83*'3F. Revenue &amp; COGS Assumptions'!$D$20)+($D$84*'3F. Revenue &amp; COGS Assumptions'!$E$20)),0)</f>
        <v/>
      </c>
      <c r="BI431" s="87">
        <f>-ROUNDDOWN(BI60/(($D$82*'3F. Revenue &amp; COGS Assumptions'!$C$20)+($D$83*'3F. Revenue &amp; COGS Assumptions'!$D$20)+($D$84*'3F. Revenue &amp; COGS Assumptions'!$E$20)),0)</f>
        <v/>
      </c>
      <c r="BJ431" s="87">
        <f>-ROUNDDOWN(BJ60/(($D$82*'3F. Revenue &amp; COGS Assumptions'!$C$20)+($D$83*'3F. Revenue &amp; COGS Assumptions'!$D$20)+($D$84*'3F. Revenue &amp; COGS Assumptions'!$E$20)),0)</f>
        <v/>
      </c>
      <c r="BK431" s="87">
        <f>-ROUNDDOWN(BK60/(($D$82*'3F. Revenue &amp; COGS Assumptions'!$C$20)+($D$83*'3F. Revenue &amp; COGS Assumptions'!$D$20)+($D$84*'3F. Revenue &amp; COGS Assumptions'!$E$20)),0)</f>
        <v/>
      </c>
      <c r="BL431" s="87">
        <f>-ROUNDDOWN(BL60/(($D$82*'3F. Revenue &amp; COGS Assumptions'!$C$20)+($D$83*'3F. Revenue &amp; COGS Assumptions'!$D$20)+($D$84*'3F. Revenue &amp; COGS Assumptions'!$E$20)),0)</f>
        <v/>
      </c>
      <c r="BM431" s="87">
        <f>-ROUNDDOWN(BM60/(($D$82*'3F. Revenue &amp; COGS Assumptions'!$C$20)+($D$83*'3F. Revenue &amp; COGS Assumptions'!$D$20)+($D$84*'3F. Revenue &amp; COGS Assumptions'!$E$20)),0)</f>
        <v/>
      </c>
      <c r="BN431" s="1142">
        <f>-ROUNDDOWN(BN60/(($D$82*'3F. Revenue &amp; COGS Assumptions'!$C$20)+($D$83*'3F. Revenue &amp; COGS Assumptions'!$D$20)+($D$84*'3F. Revenue &amp; COGS Assumptions'!$E$20)),0)</f>
        <v/>
      </c>
    </row>
    <row r="432" ht="12.75" customHeight="1" s="1883">
      <c r="C432" s="1141" t="inlineStr">
        <is>
          <t>Warranty Reserve (units) - End</t>
        </is>
      </c>
      <c r="D432" s="55" t="n"/>
      <c r="E432" s="1180">
        <f>SUM(E429:E431)</f>
        <v/>
      </c>
      <c r="F432" s="1180">
        <f>SUM(F429:F431)</f>
        <v/>
      </c>
      <c r="G432" s="1180">
        <f>SUM(G429:G431)</f>
        <v/>
      </c>
      <c r="H432" s="1180">
        <f>SUM(H429:H431)</f>
        <v/>
      </c>
      <c r="I432" s="1180">
        <f>SUM(I429:I431)</f>
        <v/>
      </c>
      <c r="J432" s="1180">
        <f>SUM(J429:J431)</f>
        <v/>
      </c>
      <c r="K432" s="1180">
        <f>SUM(K429:K431)</f>
        <v/>
      </c>
      <c r="L432" s="1181">
        <f>SUM(L429:L431)</f>
        <v/>
      </c>
      <c r="M432" s="1180">
        <f>SUM(M429:M431)</f>
        <v/>
      </c>
      <c r="N432" s="1180">
        <f>SUM(N429:N431)</f>
        <v/>
      </c>
      <c r="O432" s="1180">
        <f>SUM(O429:O431)</f>
        <v/>
      </c>
      <c r="P432" s="1180">
        <f>SUM(P429:P431)</f>
        <v/>
      </c>
      <c r="Q432" s="1180">
        <f>SUM(Q429:Q431)</f>
        <v/>
      </c>
      <c r="R432" s="1181">
        <f>SUM(R429:R431)</f>
        <v/>
      </c>
      <c r="S432" s="1180">
        <f>SUM(S429:S431)</f>
        <v/>
      </c>
      <c r="T432" s="1180">
        <f>SUM(T429:T431)</f>
        <v/>
      </c>
      <c r="U432" s="1180">
        <f>SUM(U429:U431)</f>
        <v/>
      </c>
      <c r="V432" s="1180">
        <f>SUM(V429:V431)</f>
        <v/>
      </c>
      <c r="W432" s="1180">
        <f>SUM(W429:W431)</f>
        <v/>
      </c>
      <c r="X432" s="1181">
        <f>SUM(X429:X431)</f>
        <v/>
      </c>
      <c r="Y432" s="1180">
        <f>SUM(Y429:Y431)</f>
        <v/>
      </c>
      <c r="Z432" s="1180">
        <f>SUM(Z429:Z431)</f>
        <v/>
      </c>
      <c r="AA432" s="1180">
        <f>SUM(AA429:AA431)</f>
        <v/>
      </c>
      <c r="AB432" s="1180">
        <f>SUM(AB429:AB431)</f>
        <v/>
      </c>
      <c r="AC432" s="1180">
        <f>SUM(AC429:AC431)</f>
        <v/>
      </c>
      <c r="AD432" s="1181">
        <f>SUM(AD429:AD431)</f>
        <v/>
      </c>
      <c r="AE432" s="1180">
        <f>SUM(AE429:AE431)</f>
        <v/>
      </c>
      <c r="AF432" s="1180">
        <f>SUM(AF429:AF431)</f>
        <v/>
      </c>
      <c r="AG432" s="1180">
        <f>SUM(AG429:AG431)</f>
        <v/>
      </c>
      <c r="AH432" s="1180">
        <f>SUM(AH429:AH431)</f>
        <v/>
      </c>
      <c r="AI432" s="1180">
        <f>SUM(AI429:AI431)</f>
        <v/>
      </c>
      <c r="AJ432" s="1181">
        <f>SUM(AJ429:AJ431)</f>
        <v/>
      </c>
      <c r="AK432" s="1180">
        <f>SUM(AK429:AK431)</f>
        <v/>
      </c>
      <c r="AL432" s="1180">
        <f>SUM(AL429:AL431)</f>
        <v/>
      </c>
      <c r="AM432" s="1180">
        <f>SUM(AM429:AM431)</f>
        <v/>
      </c>
      <c r="AN432" s="1180">
        <f>SUM(AN429:AN431)</f>
        <v/>
      </c>
      <c r="AO432" s="1180">
        <f>SUM(AO429:AO431)</f>
        <v/>
      </c>
      <c r="AP432" s="1181">
        <f>SUM(AP429:AP431)</f>
        <v/>
      </c>
      <c r="AQ432" s="1180">
        <f>SUM(AQ429:AQ431)</f>
        <v/>
      </c>
      <c r="AR432" s="1180">
        <f>SUM(AR429:AR431)</f>
        <v/>
      </c>
      <c r="AS432" s="1180">
        <f>SUM(AS429:AS431)</f>
        <v/>
      </c>
      <c r="AT432" s="1180">
        <f>SUM(AT429:AT431)</f>
        <v/>
      </c>
      <c r="AU432" s="1180">
        <f>SUM(AU429:AU431)</f>
        <v/>
      </c>
      <c r="AV432" s="1181">
        <f>SUM(AV429:AV431)</f>
        <v/>
      </c>
      <c r="AW432" s="1180">
        <f>SUM(AW429:AW431)</f>
        <v/>
      </c>
      <c r="AX432" s="1180">
        <f>SUM(AX429:AX431)</f>
        <v/>
      </c>
      <c r="AY432" s="1180">
        <f>SUM(AY429:AY431)</f>
        <v/>
      </c>
      <c r="AZ432" s="1180">
        <f>SUM(AZ429:AZ431)</f>
        <v/>
      </c>
      <c r="BA432" s="1180">
        <f>SUM(BA429:BA431)</f>
        <v/>
      </c>
      <c r="BB432" s="1181">
        <f>SUM(BB429:BB431)</f>
        <v/>
      </c>
      <c r="BC432" s="1180">
        <f>SUM(BC429:BC431)</f>
        <v/>
      </c>
      <c r="BD432" s="1180">
        <f>SUM(BD429:BD431)</f>
        <v/>
      </c>
      <c r="BE432" s="1180">
        <f>SUM(BE429:BE431)</f>
        <v/>
      </c>
      <c r="BF432" s="1180">
        <f>SUM(BF429:BF431)</f>
        <v/>
      </c>
      <c r="BG432" s="1180">
        <f>SUM(BG429:BG431)</f>
        <v/>
      </c>
      <c r="BH432" s="1181">
        <f>SUM(BH429:BH431)</f>
        <v/>
      </c>
      <c r="BI432" s="1180">
        <f>SUM(BI429:BI431)</f>
        <v/>
      </c>
      <c r="BJ432" s="1180">
        <f>SUM(BJ429:BJ431)</f>
        <v/>
      </c>
      <c r="BK432" s="1180">
        <f>SUM(BK429:BK431)</f>
        <v/>
      </c>
      <c r="BL432" s="1180">
        <f>SUM(BL429:BL431)</f>
        <v/>
      </c>
      <c r="BM432" s="1180">
        <f>SUM(BM429:BM431)</f>
        <v/>
      </c>
      <c r="BN432" s="1181">
        <f>SUM(BN429:BN431)</f>
        <v/>
      </c>
    </row>
    <row r="433" ht="12.75" customHeight="1" s="1883">
      <c r="C433" s="1141" t="n"/>
      <c r="D433" s="55" t="n"/>
      <c r="E433" s="87" t="n"/>
      <c r="F433" s="87" t="n"/>
      <c r="G433" s="87" t="n"/>
      <c r="H433" s="69" t="n"/>
      <c r="I433" s="69" t="n"/>
      <c r="J433" s="69" t="n"/>
      <c r="K433" s="69" t="n"/>
      <c r="L433" s="1070" t="n"/>
      <c r="M433" s="69" t="n"/>
      <c r="N433" s="69" t="n"/>
      <c r="O433" s="69" t="n"/>
      <c r="P433" s="69" t="n"/>
      <c r="Q433" s="69" t="n"/>
      <c r="R433" s="1070" t="n"/>
      <c r="S433" s="69" t="n"/>
      <c r="T433" s="69" t="n"/>
      <c r="U433" s="69" t="n"/>
      <c r="V433" s="69" t="n"/>
      <c r="W433" s="69" t="n"/>
      <c r="X433" s="1070" t="n"/>
      <c r="Y433" s="69" t="n"/>
      <c r="Z433" s="69" t="n"/>
      <c r="AA433" s="69" t="n"/>
      <c r="AB433" s="69" t="n"/>
      <c r="AC433" s="69" t="n"/>
      <c r="AD433" s="1070" t="n"/>
      <c r="AE433" s="69" t="n"/>
      <c r="AF433" s="69" t="n"/>
      <c r="AG433" s="69" t="n"/>
      <c r="AH433" s="69" t="n"/>
      <c r="AI433" s="69" t="n"/>
      <c r="AJ433" s="1070" t="n"/>
      <c r="AK433" s="69" t="n"/>
      <c r="AL433" s="69" t="n"/>
      <c r="AM433" s="69" t="n"/>
      <c r="AN433" s="69" t="n"/>
      <c r="AO433" s="69" t="n"/>
      <c r="AP433" s="1070" t="n"/>
      <c r="AQ433" s="69" t="n"/>
      <c r="AR433" s="69" t="n"/>
      <c r="AS433" s="69" t="n"/>
      <c r="AT433" s="69" t="n"/>
      <c r="AU433" s="69" t="n"/>
      <c r="AV433" s="1070" t="n"/>
      <c r="AW433" s="69" t="n"/>
      <c r="AX433" s="69" t="n"/>
      <c r="AY433" s="69" t="n"/>
      <c r="AZ433" s="69" t="n"/>
      <c r="BA433" s="69" t="n"/>
      <c r="BB433" s="1070" t="n"/>
      <c r="BC433" s="69" t="n"/>
      <c r="BD433" s="69" t="n"/>
      <c r="BE433" s="69" t="n"/>
      <c r="BF433" s="69" t="n"/>
      <c r="BG433" s="69" t="n"/>
      <c r="BH433" s="1070" t="n"/>
      <c r="BI433" s="69" t="n"/>
      <c r="BJ433" s="69" t="n"/>
      <c r="BK433" s="69" t="n"/>
      <c r="BL433" s="69" t="n"/>
      <c r="BM433" s="69" t="n"/>
      <c r="BN433" s="1070" t="n"/>
    </row>
    <row r="434" ht="12.75" customHeight="1" s="1883">
      <c r="C434" s="1141" t="inlineStr">
        <is>
          <t>Warranty Reserve ($ Value) - Beg</t>
        </is>
      </c>
      <c r="D434" s="55" t="n"/>
      <c r="E434" s="69">
        <f>+(E103*$D$82)+(E125*$D$83)+(E147*$D$84)</f>
        <v/>
      </c>
      <c r="F434" s="69">
        <f>+E437</f>
        <v/>
      </c>
      <c r="G434" s="69">
        <f>+F437</f>
        <v/>
      </c>
      <c r="H434" s="69">
        <f>+G437</f>
        <v/>
      </c>
      <c r="I434" s="69">
        <f>+H437</f>
        <v/>
      </c>
      <c r="J434" s="69">
        <f>+I437</f>
        <v/>
      </c>
      <c r="K434" s="69">
        <f>+J437</f>
        <v/>
      </c>
      <c r="L434" s="1070">
        <f>+K437</f>
        <v/>
      </c>
      <c r="M434" s="69">
        <f>+L437</f>
        <v/>
      </c>
      <c r="N434" s="69">
        <f>+M437</f>
        <v/>
      </c>
      <c r="O434" s="69">
        <f>+N437</f>
        <v/>
      </c>
      <c r="P434" s="69">
        <f>+O437</f>
        <v/>
      </c>
      <c r="Q434" s="69">
        <f>+P437</f>
        <v/>
      </c>
      <c r="R434" s="1070">
        <f>+Q437</f>
        <v/>
      </c>
      <c r="S434" s="69">
        <f>+R437</f>
        <v/>
      </c>
      <c r="T434" s="69">
        <f>+S437</f>
        <v/>
      </c>
      <c r="U434" s="69">
        <f>+T437</f>
        <v/>
      </c>
      <c r="V434" s="69">
        <f>+U437</f>
        <v/>
      </c>
      <c r="W434" s="69">
        <f>+V437</f>
        <v/>
      </c>
      <c r="X434" s="1070">
        <f>+W437</f>
        <v/>
      </c>
      <c r="Y434" s="69">
        <f>+X437</f>
        <v/>
      </c>
      <c r="Z434" s="69">
        <f>+Y437</f>
        <v/>
      </c>
      <c r="AA434" s="69">
        <f>+Z437</f>
        <v/>
      </c>
      <c r="AB434" s="69">
        <f>+AA437</f>
        <v/>
      </c>
      <c r="AC434" s="69">
        <f>+AB437</f>
        <v/>
      </c>
      <c r="AD434" s="1070">
        <f>+AC437</f>
        <v/>
      </c>
      <c r="AE434" s="69">
        <f>+AD437</f>
        <v/>
      </c>
      <c r="AF434" s="69">
        <f>+AE437</f>
        <v/>
      </c>
      <c r="AG434" s="69">
        <f>+AF437</f>
        <v/>
      </c>
      <c r="AH434" s="69">
        <f>+AG437</f>
        <v/>
      </c>
      <c r="AI434" s="69">
        <f>+AH437</f>
        <v/>
      </c>
      <c r="AJ434" s="1070">
        <f>+AI437</f>
        <v/>
      </c>
      <c r="AK434" s="69">
        <f>+AJ437</f>
        <v/>
      </c>
      <c r="AL434" s="69">
        <f>+AK437</f>
        <v/>
      </c>
      <c r="AM434" s="69">
        <f>+AL437</f>
        <v/>
      </c>
      <c r="AN434" s="69">
        <f>+AM437</f>
        <v/>
      </c>
      <c r="AO434" s="69">
        <f>+AN437</f>
        <v/>
      </c>
      <c r="AP434" s="1070">
        <f>+AO437</f>
        <v/>
      </c>
      <c r="AQ434" s="69">
        <f>+AP437</f>
        <v/>
      </c>
      <c r="AR434" s="69">
        <f>+AQ437</f>
        <v/>
      </c>
      <c r="AS434" s="69">
        <f>+AR437</f>
        <v/>
      </c>
      <c r="AT434" s="69">
        <f>+AS437</f>
        <v/>
      </c>
      <c r="AU434" s="69">
        <f>+AT437</f>
        <v/>
      </c>
      <c r="AV434" s="1070">
        <f>+AU437</f>
        <v/>
      </c>
      <c r="AW434" s="69">
        <f>+AV437</f>
        <v/>
      </c>
      <c r="AX434" s="69">
        <f>+AW437</f>
        <v/>
      </c>
      <c r="AY434" s="69">
        <f>+AX437</f>
        <v/>
      </c>
      <c r="AZ434" s="69">
        <f>+AY437</f>
        <v/>
      </c>
      <c r="BA434" s="69">
        <f>+AZ437</f>
        <v/>
      </c>
      <c r="BB434" s="1070">
        <f>+BA437</f>
        <v/>
      </c>
      <c r="BC434" s="69">
        <f>+BB437</f>
        <v/>
      </c>
      <c r="BD434" s="69">
        <f>+BC437</f>
        <v/>
      </c>
      <c r="BE434" s="69">
        <f>+BD437</f>
        <v/>
      </c>
      <c r="BF434" s="69">
        <f>+BE437</f>
        <v/>
      </c>
      <c r="BG434" s="69">
        <f>+BF437</f>
        <v/>
      </c>
      <c r="BH434" s="1070">
        <f>+BG437</f>
        <v/>
      </c>
      <c r="BI434" s="69">
        <f>+BH437</f>
        <v/>
      </c>
      <c r="BJ434" s="69">
        <f>+BI437</f>
        <v/>
      </c>
      <c r="BK434" s="69">
        <f>+BJ437</f>
        <v/>
      </c>
      <c r="BL434" s="69">
        <f>+BK437</f>
        <v/>
      </c>
      <c r="BM434" s="69">
        <f>+BL437</f>
        <v/>
      </c>
      <c r="BN434" s="1070">
        <f>+BM437</f>
        <v/>
      </c>
    </row>
    <row r="435" ht="12.75" customHeight="1" s="1883">
      <c r="C435" s="1141" t="inlineStr">
        <is>
          <t>Units Added ($)</t>
        </is>
      </c>
      <c r="D435" s="55" t="n"/>
      <c r="E435" s="69">
        <f>+(E104*$D$82)+(E126*$D$83)+(E148*$D$84)</f>
        <v/>
      </c>
      <c r="F435" s="69">
        <f>+(F104*$D$82)+(F126*$D$83)+(F148*$D$84)</f>
        <v/>
      </c>
      <c r="G435" s="69">
        <f>+(G104*$D$82)+(G126*$D$83)+(G148*$D$84)</f>
        <v/>
      </c>
      <c r="H435" s="69">
        <f>+(H104*$D$82)+(H126*$D$83)+(H148*$D$84)</f>
        <v/>
      </c>
      <c r="I435" s="69">
        <f>+(I104*$D$82)+(I126*$D$83)+(I148*$D$84)</f>
        <v/>
      </c>
      <c r="J435" s="69">
        <f>+(J104*$D$82)+(J126*$D$83)+(J148*$D$84)</f>
        <v/>
      </c>
      <c r="K435" s="69">
        <f>+(K104*$D$82)+(K126*$D$83)+(K148*$D$84)</f>
        <v/>
      </c>
      <c r="L435" s="1070">
        <f>+(L104*$D$82)+(L126*$D$83)+(L148*$D$84)</f>
        <v/>
      </c>
      <c r="M435" s="69">
        <f>+(M104*$D$82)+(M126*$D$83)+(M148*$D$84)</f>
        <v/>
      </c>
      <c r="N435" s="69">
        <f>+(N104*$D$82)+(N126*$D$83)+(N148*$D$84)</f>
        <v/>
      </c>
      <c r="O435" s="69">
        <f>+(O104*$D$82)+(O126*$D$83)+(O148*$D$84)</f>
        <v/>
      </c>
      <c r="P435" s="69">
        <f>+(P104*$D$82)+(P126*$D$83)+(P148*$D$84)</f>
        <v/>
      </c>
      <c r="Q435" s="69">
        <f>+(Q104*$D$82)+(Q126*$D$83)+(Q148*$D$84)</f>
        <v/>
      </c>
      <c r="R435" s="1070">
        <f>+(R104*$D$82)+(R126*$D$83)+(R148*$D$84)</f>
        <v/>
      </c>
      <c r="S435" s="69">
        <f>+(S104*$D$82)+(S126*$D$83)+(S148*$D$84)</f>
        <v/>
      </c>
      <c r="T435" s="69">
        <f>+(T104*$D$82)+(T126*$D$83)+(T148*$D$84)</f>
        <v/>
      </c>
      <c r="U435" s="69">
        <f>+(U104*$D$82)+(U126*$D$83)+(U148*$D$84)</f>
        <v/>
      </c>
      <c r="V435" s="69">
        <f>+(V104*$D$82)+(V126*$D$83)+(V148*$D$84)</f>
        <v/>
      </c>
      <c r="W435" s="69">
        <f>+(W104*$D$82)+(W126*$D$83)+(W148*$D$84)</f>
        <v/>
      </c>
      <c r="X435" s="1070">
        <f>+(X104*$D$82)+(X126*$D$83)+(X148*$D$84)</f>
        <v/>
      </c>
      <c r="Y435" s="69">
        <f>+(Y104*$D$82)+(Y126*$D$83)+(Y148*$D$84)</f>
        <v/>
      </c>
      <c r="Z435" s="69">
        <f>+(Z104*$D$82)+(Z126*$D$83)+(Z148*$D$84)</f>
        <v/>
      </c>
      <c r="AA435" s="69">
        <f>+(AA104*$D$82)+(AA126*$D$83)+(AA148*$D$84)</f>
        <v/>
      </c>
      <c r="AB435" s="69">
        <f>+(AB104*$D$82)+(AB126*$D$83)+(AB148*$D$84)</f>
        <v/>
      </c>
      <c r="AC435" s="69">
        <f>+(AC104*$D$82)+(AC126*$D$83)+(AC148*$D$84)</f>
        <v/>
      </c>
      <c r="AD435" s="1070">
        <f>+(AD104*$D$82)+(AD126*$D$83)+(AD148*$D$84)</f>
        <v/>
      </c>
      <c r="AE435" s="69">
        <f>+(AE104*$D$82)+(AE126*$D$83)+(AE148*$D$84)</f>
        <v/>
      </c>
      <c r="AF435" s="69">
        <f>+(AF104*$D$82)+(AF126*$D$83)+(AF148*$D$84)</f>
        <v/>
      </c>
      <c r="AG435" s="69">
        <f>+(AG104*$D$82)+(AG126*$D$83)+(AG148*$D$84)</f>
        <v/>
      </c>
      <c r="AH435" s="69">
        <f>+(AH104*$D$82)+(AH126*$D$83)+(AH148*$D$84)</f>
        <v/>
      </c>
      <c r="AI435" s="69">
        <f>+(AI104*$D$82)+(AI126*$D$83)+(AI148*$D$84)</f>
        <v/>
      </c>
      <c r="AJ435" s="1070">
        <f>+(AJ104*$D$82)+(AJ126*$D$83)+(AJ148*$D$84)</f>
        <v/>
      </c>
      <c r="AK435" s="69">
        <f>+(AK104*$D$82)+(AK126*$D$83)+(AK148*$D$84)</f>
        <v/>
      </c>
      <c r="AL435" s="69">
        <f>+(AL104*$D$82)+(AL126*$D$83)+(AL148*$D$84)</f>
        <v/>
      </c>
      <c r="AM435" s="69">
        <f>+(AM104*$D$82)+(AM126*$D$83)+(AM148*$D$84)</f>
        <v/>
      </c>
      <c r="AN435" s="69">
        <f>+(AN104*$D$82)+(AN126*$D$83)+(AN148*$D$84)</f>
        <v/>
      </c>
      <c r="AO435" s="69">
        <f>+(AO104*$D$82)+(AO126*$D$83)+(AO148*$D$84)</f>
        <v/>
      </c>
      <c r="AP435" s="1070">
        <f>+(AP104*$D$82)+(AP126*$D$83)+(AP148*$D$84)</f>
        <v/>
      </c>
      <c r="AQ435" s="69">
        <f>+(AQ104*$D$82)+(AQ126*$D$83)+(AQ148*$D$84)</f>
        <v/>
      </c>
      <c r="AR435" s="69">
        <f>+(AR104*$D$82)+(AR126*$D$83)+(AR148*$D$84)</f>
        <v/>
      </c>
      <c r="AS435" s="69">
        <f>+(AS104*$D$82)+(AS126*$D$83)+(AS148*$D$84)</f>
        <v/>
      </c>
      <c r="AT435" s="69">
        <f>+(AT104*$D$82)+(AT126*$D$83)+(AT148*$D$84)</f>
        <v/>
      </c>
      <c r="AU435" s="69">
        <f>+(AU104*$D$82)+(AU126*$D$83)+(AU148*$D$84)</f>
        <v/>
      </c>
      <c r="AV435" s="1070">
        <f>+(AV104*$D$82)+(AV126*$D$83)+(AV148*$D$84)</f>
        <v/>
      </c>
      <c r="AW435" s="69">
        <f>+(AW104*$D$82)+(AW126*$D$83)+(AW148*$D$84)</f>
        <v/>
      </c>
      <c r="AX435" s="69">
        <f>+(AX104*$D$82)+(AX126*$D$83)+(AX148*$D$84)</f>
        <v/>
      </c>
      <c r="AY435" s="69">
        <f>+(AY104*$D$82)+(AY126*$D$83)+(AY148*$D$84)</f>
        <v/>
      </c>
      <c r="AZ435" s="69">
        <f>+(AZ104*$D$82)+(AZ126*$D$83)+(AZ148*$D$84)</f>
        <v/>
      </c>
      <c r="BA435" s="69">
        <f>+(BA104*$D$82)+(BA126*$D$83)+(BA148*$D$84)</f>
        <v/>
      </c>
      <c r="BB435" s="1070">
        <f>+(BB104*$D$82)+(BB126*$D$83)+(BB148*$D$84)</f>
        <v/>
      </c>
      <c r="BC435" s="69">
        <f>+(BC104*$D$82)+(BC126*$D$83)+(BC148*$D$84)</f>
        <v/>
      </c>
      <c r="BD435" s="69">
        <f>+(BD104*$D$82)+(BD126*$D$83)+(BD148*$D$84)</f>
        <v/>
      </c>
      <c r="BE435" s="69">
        <f>+(BE104*$D$82)+(BE126*$D$83)+(BE148*$D$84)</f>
        <v/>
      </c>
      <c r="BF435" s="69">
        <f>+(BF104*$D$82)+(BF126*$D$83)+(BF148*$D$84)</f>
        <v/>
      </c>
      <c r="BG435" s="69">
        <f>+(BG104*$D$82)+(BG126*$D$83)+(BG148*$D$84)</f>
        <v/>
      </c>
      <c r="BH435" s="1070">
        <f>+(BH104*$D$82)+(BH126*$D$83)+(BH148*$D$84)</f>
        <v/>
      </c>
      <c r="BI435" s="69">
        <f>+(BI104*$D$82)+(BI126*$D$83)+(BI148*$D$84)</f>
        <v/>
      </c>
      <c r="BJ435" s="69">
        <f>+(BJ104*$D$82)+(BJ126*$D$83)+(BJ148*$D$84)</f>
        <v/>
      </c>
      <c r="BK435" s="69">
        <f>+(BK104*$D$82)+(BK126*$D$83)+(BK148*$D$84)</f>
        <v/>
      </c>
      <c r="BL435" s="69">
        <f>+(BL104*$D$82)+(BL126*$D$83)+(BL148*$D$84)</f>
        <v/>
      </c>
      <c r="BM435" s="69">
        <f>+(BM104*$D$82)+(BM126*$D$83)+(BM148*$D$84)</f>
        <v/>
      </c>
      <c r="BN435" s="1070">
        <f>+(BN104*$D$82)+(BN126*$D$83)+(BN148*$D$84)</f>
        <v/>
      </c>
    </row>
    <row r="436" ht="12.75" customHeight="1" s="1883">
      <c r="C436" s="1141" t="inlineStr">
        <is>
          <t>Units Taken out for Claims ($)</t>
        </is>
      </c>
      <c r="D436" s="55" t="n"/>
      <c r="E436" s="69">
        <f>+(E105*$D$82)+(E127*$D$83)+(E149*$D$84)</f>
        <v/>
      </c>
      <c r="F436" s="69">
        <f>+(F105*$D$82)+(F127*$D$83)+(F149*$D$84)</f>
        <v/>
      </c>
      <c r="G436" s="69">
        <f>+(G105*$D$82)+(G127*$D$83)+(G149*$D$84)</f>
        <v/>
      </c>
      <c r="H436" s="69">
        <f>-H60</f>
        <v/>
      </c>
      <c r="I436" s="69">
        <f>-I60</f>
        <v/>
      </c>
      <c r="J436" s="69">
        <f>-J60</f>
        <v/>
      </c>
      <c r="K436" s="69">
        <f>-K60</f>
        <v/>
      </c>
      <c r="L436" s="1070">
        <f>-L60</f>
        <v/>
      </c>
      <c r="M436" s="69">
        <f>-M60</f>
        <v/>
      </c>
      <c r="N436" s="69">
        <f>-N60</f>
        <v/>
      </c>
      <c r="O436" s="69">
        <f>-O60</f>
        <v/>
      </c>
      <c r="P436" s="69">
        <f>-P60</f>
        <v/>
      </c>
      <c r="Q436" s="69">
        <f>-Q60</f>
        <v/>
      </c>
      <c r="R436" s="1070">
        <f>-R60</f>
        <v/>
      </c>
      <c r="S436" s="69">
        <f>-S60</f>
        <v/>
      </c>
      <c r="T436" s="69">
        <f>-T60</f>
        <v/>
      </c>
      <c r="U436" s="69">
        <f>-U60</f>
        <v/>
      </c>
      <c r="V436" s="69">
        <f>-V60</f>
        <v/>
      </c>
      <c r="W436" s="69">
        <f>-W60</f>
        <v/>
      </c>
      <c r="X436" s="1070">
        <f>-X60</f>
        <v/>
      </c>
      <c r="Y436" s="69">
        <f>-Y60</f>
        <v/>
      </c>
      <c r="Z436" s="69">
        <f>-Z60</f>
        <v/>
      </c>
      <c r="AA436" s="69">
        <f>-AA60</f>
        <v/>
      </c>
      <c r="AB436" s="69">
        <f>-AB60</f>
        <v/>
      </c>
      <c r="AC436" s="69">
        <f>-AC60</f>
        <v/>
      </c>
      <c r="AD436" s="1070">
        <f>-AD60</f>
        <v/>
      </c>
      <c r="AE436" s="69">
        <f>-AE60</f>
        <v/>
      </c>
      <c r="AF436" s="69">
        <f>-AF60</f>
        <v/>
      </c>
      <c r="AG436" s="69">
        <f>-AG60</f>
        <v/>
      </c>
      <c r="AH436" s="69">
        <f>-AH60</f>
        <v/>
      </c>
      <c r="AI436" s="69">
        <f>-AI60</f>
        <v/>
      </c>
      <c r="AJ436" s="1070">
        <f>-AJ60</f>
        <v/>
      </c>
      <c r="AK436" s="69">
        <f>-AK60</f>
        <v/>
      </c>
      <c r="AL436" s="69">
        <f>-AL60</f>
        <v/>
      </c>
      <c r="AM436" s="69">
        <f>-AM60</f>
        <v/>
      </c>
      <c r="AN436" s="69">
        <f>-AN60</f>
        <v/>
      </c>
      <c r="AO436" s="69">
        <f>-AO60</f>
        <v/>
      </c>
      <c r="AP436" s="1070">
        <f>-AP60</f>
        <v/>
      </c>
      <c r="AQ436" s="69">
        <f>-AQ60</f>
        <v/>
      </c>
      <c r="AR436" s="69">
        <f>-AR60</f>
        <v/>
      </c>
      <c r="AS436" s="69">
        <f>-AS60</f>
        <v/>
      </c>
      <c r="AT436" s="69">
        <f>-AT60</f>
        <v/>
      </c>
      <c r="AU436" s="69">
        <f>-AU60</f>
        <v/>
      </c>
      <c r="AV436" s="1070">
        <f>-AV60</f>
        <v/>
      </c>
      <c r="AW436" s="69">
        <f>-AW60</f>
        <v/>
      </c>
      <c r="AX436" s="69">
        <f>-AX60</f>
        <v/>
      </c>
      <c r="AY436" s="69">
        <f>-AY60</f>
        <v/>
      </c>
      <c r="AZ436" s="69">
        <f>-AZ60</f>
        <v/>
      </c>
      <c r="BA436" s="69">
        <f>-BA60</f>
        <v/>
      </c>
      <c r="BB436" s="1070">
        <f>-BB60</f>
        <v/>
      </c>
      <c r="BC436" s="69">
        <f>-BC60</f>
        <v/>
      </c>
      <c r="BD436" s="69">
        <f>-BD60</f>
        <v/>
      </c>
      <c r="BE436" s="69">
        <f>-BE60</f>
        <v/>
      </c>
      <c r="BF436" s="69">
        <f>-BF60</f>
        <v/>
      </c>
      <c r="BG436" s="69">
        <f>-BG60</f>
        <v/>
      </c>
      <c r="BH436" s="1070">
        <f>-BH60</f>
        <v/>
      </c>
      <c r="BI436" s="69">
        <f>-BI60</f>
        <v/>
      </c>
      <c r="BJ436" s="69">
        <f>-BJ60</f>
        <v/>
      </c>
      <c r="BK436" s="69">
        <f>-BK60</f>
        <v/>
      </c>
      <c r="BL436" s="69">
        <f>-BL60</f>
        <v/>
      </c>
      <c r="BM436" s="69">
        <f>-BM60</f>
        <v/>
      </c>
      <c r="BN436" s="1070">
        <f>-BN60</f>
        <v/>
      </c>
    </row>
    <row r="437" ht="12.75" customHeight="1" s="1883">
      <c r="C437" s="1152" t="inlineStr">
        <is>
          <t>Warranty Inventory - End</t>
        </is>
      </c>
      <c r="D437" s="88" t="n"/>
      <c r="E437" s="1161">
        <f>SUM(E434:E436)</f>
        <v/>
      </c>
      <c r="F437" s="1161">
        <f>SUM(F434:F436)</f>
        <v/>
      </c>
      <c r="G437" s="1161">
        <f>SUM(G434:G436)</f>
        <v/>
      </c>
      <c r="H437" s="1161">
        <f>SUM(H434:H436)</f>
        <v/>
      </c>
      <c r="I437" s="1161">
        <f>SUM(I434:I436)</f>
        <v/>
      </c>
      <c r="J437" s="1161">
        <f>SUM(J434:J436)</f>
        <v/>
      </c>
      <c r="K437" s="1161">
        <f>SUM(K434:K436)</f>
        <v/>
      </c>
      <c r="L437" s="1162">
        <f>SUM(L434:L436)</f>
        <v/>
      </c>
      <c r="M437" s="1161">
        <f>SUM(M434:M436)</f>
        <v/>
      </c>
      <c r="N437" s="1161">
        <f>SUM(N434:N436)</f>
        <v/>
      </c>
      <c r="O437" s="1161">
        <f>SUM(O434:O436)</f>
        <v/>
      </c>
      <c r="P437" s="1161">
        <f>SUM(P434:P436)</f>
        <v/>
      </c>
      <c r="Q437" s="1161">
        <f>SUM(Q434:Q436)</f>
        <v/>
      </c>
      <c r="R437" s="1162">
        <f>SUM(R434:R436)</f>
        <v/>
      </c>
      <c r="S437" s="1161">
        <f>SUM(S434:S436)</f>
        <v/>
      </c>
      <c r="T437" s="1161">
        <f>SUM(T434:T436)</f>
        <v/>
      </c>
      <c r="U437" s="1161">
        <f>SUM(U434:U436)</f>
        <v/>
      </c>
      <c r="V437" s="1161">
        <f>SUM(V434:V436)</f>
        <v/>
      </c>
      <c r="W437" s="1161">
        <f>SUM(W434:W436)</f>
        <v/>
      </c>
      <c r="X437" s="1162">
        <f>SUM(X434:X436)</f>
        <v/>
      </c>
      <c r="Y437" s="1161">
        <f>SUM(Y434:Y436)</f>
        <v/>
      </c>
      <c r="Z437" s="1161">
        <f>SUM(Z434:Z436)</f>
        <v/>
      </c>
      <c r="AA437" s="1161">
        <f>SUM(AA434:AA436)</f>
        <v/>
      </c>
      <c r="AB437" s="1161">
        <f>SUM(AB434:AB436)</f>
        <v/>
      </c>
      <c r="AC437" s="1161">
        <f>SUM(AC434:AC436)</f>
        <v/>
      </c>
      <c r="AD437" s="1162">
        <f>SUM(AD434:AD436)</f>
        <v/>
      </c>
      <c r="AE437" s="1161">
        <f>SUM(AE434:AE436)</f>
        <v/>
      </c>
      <c r="AF437" s="1161">
        <f>SUM(AF434:AF436)</f>
        <v/>
      </c>
      <c r="AG437" s="1161">
        <f>SUM(AG434:AG436)</f>
        <v/>
      </c>
      <c r="AH437" s="1161">
        <f>SUM(AH434:AH436)</f>
        <v/>
      </c>
      <c r="AI437" s="1161">
        <f>SUM(AI434:AI436)</f>
        <v/>
      </c>
      <c r="AJ437" s="1162">
        <f>SUM(AJ434:AJ436)</f>
        <v/>
      </c>
      <c r="AK437" s="1161">
        <f>SUM(AK434:AK436)</f>
        <v/>
      </c>
      <c r="AL437" s="1161">
        <f>SUM(AL434:AL436)</f>
        <v/>
      </c>
      <c r="AM437" s="1161">
        <f>SUM(AM434:AM436)</f>
        <v/>
      </c>
      <c r="AN437" s="1161">
        <f>SUM(AN434:AN436)</f>
        <v/>
      </c>
      <c r="AO437" s="1161">
        <f>SUM(AO434:AO436)</f>
        <v/>
      </c>
      <c r="AP437" s="1162">
        <f>SUM(AP434:AP436)</f>
        <v/>
      </c>
      <c r="AQ437" s="1161">
        <f>SUM(AQ434:AQ436)</f>
        <v/>
      </c>
      <c r="AR437" s="1161">
        <f>SUM(AR434:AR436)</f>
        <v/>
      </c>
      <c r="AS437" s="1161">
        <f>SUM(AS434:AS436)</f>
        <v/>
      </c>
      <c r="AT437" s="1161">
        <f>SUM(AT434:AT436)</f>
        <v/>
      </c>
      <c r="AU437" s="1161">
        <f>SUM(AU434:AU436)</f>
        <v/>
      </c>
      <c r="AV437" s="1162">
        <f>SUM(AV434:AV436)</f>
        <v/>
      </c>
      <c r="AW437" s="1161">
        <f>SUM(AW434:AW436)</f>
        <v/>
      </c>
      <c r="AX437" s="1161">
        <f>SUM(AX434:AX436)</f>
        <v/>
      </c>
      <c r="AY437" s="1161">
        <f>SUM(AY434:AY436)</f>
        <v/>
      </c>
      <c r="AZ437" s="1161">
        <f>SUM(AZ434:AZ436)</f>
        <v/>
      </c>
      <c r="BA437" s="1161">
        <f>SUM(BA434:BA436)</f>
        <v/>
      </c>
      <c r="BB437" s="1162">
        <f>SUM(BB434:BB436)</f>
        <v/>
      </c>
      <c r="BC437" s="1161">
        <f>SUM(BC434:BC436)</f>
        <v/>
      </c>
      <c r="BD437" s="1161">
        <f>SUM(BD434:BD436)</f>
        <v/>
      </c>
      <c r="BE437" s="1161">
        <f>SUM(BE434:BE436)</f>
        <v/>
      </c>
      <c r="BF437" s="1161">
        <f>SUM(BF434:BF436)</f>
        <v/>
      </c>
      <c r="BG437" s="1161">
        <f>SUM(BG434:BG436)</f>
        <v/>
      </c>
      <c r="BH437" s="1162">
        <f>SUM(BH434:BH436)</f>
        <v/>
      </c>
      <c r="BI437" s="1161">
        <f>SUM(BI434:BI436)</f>
        <v/>
      </c>
      <c r="BJ437" s="1161">
        <f>SUM(BJ434:BJ436)</f>
        <v/>
      </c>
      <c r="BK437" s="1161">
        <f>SUM(BK434:BK436)</f>
        <v/>
      </c>
      <c r="BL437" s="1161">
        <f>SUM(BL434:BL436)</f>
        <v/>
      </c>
      <c r="BM437" s="1161">
        <f>SUM(BM434:BM436)</f>
        <v/>
      </c>
      <c r="BN437" s="1162">
        <f>SUM(BN434:BN436)</f>
        <v/>
      </c>
    </row>
    <row r="438" ht="12.75" customHeight="1" s="1883">
      <c r="C438" s="1165" t="n"/>
      <c r="D438" s="1178" t="n"/>
      <c r="E438" s="1179" t="n"/>
      <c r="F438" s="1179" t="n"/>
      <c r="G438" s="1169" t="n"/>
      <c r="H438" s="1171" t="n"/>
      <c r="I438" s="1171" t="n"/>
      <c r="J438" s="1171" t="n"/>
      <c r="K438" s="1171" t="n"/>
      <c r="L438" s="205" t="n"/>
      <c r="M438" s="1171" t="n"/>
      <c r="N438" s="1171" t="n"/>
      <c r="O438" s="1171" t="n"/>
      <c r="P438" s="1171" t="n"/>
      <c r="Q438" s="1171" t="n"/>
      <c r="R438" s="205" t="n"/>
      <c r="S438" s="1171" t="n"/>
      <c r="T438" s="1171" t="n"/>
      <c r="U438" s="1171" t="n"/>
      <c r="V438" s="1171" t="n"/>
      <c r="W438" s="1171" t="n"/>
      <c r="X438" s="205" t="n"/>
      <c r="Y438" s="1171" t="n"/>
      <c r="Z438" s="1171" t="n"/>
      <c r="AA438" s="1171" t="n"/>
      <c r="AB438" s="1171" t="n"/>
      <c r="AC438" s="1171" t="n"/>
      <c r="AD438" s="205" t="n"/>
      <c r="AE438" s="1171" t="n"/>
      <c r="AF438" s="1171" t="n"/>
      <c r="AG438" s="1171" t="n"/>
      <c r="AH438" s="1171" t="n"/>
      <c r="AI438" s="1171" t="n"/>
      <c r="AJ438" s="205" t="n"/>
      <c r="AK438" s="1171" t="n"/>
      <c r="AL438" s="1171" t="n"/>
      <c r="AM438" s="1171" t="n"/>
      <c r="AN438" s="1171" t="n"/>
      <c r="AO438" s="1171" t="n"/>
      <c r="AP438" s="205" t="n"/>
      <c r="AQ438" s="1171" t="n"/>
      <c r="AR438" s="1171" t="n"/>
      <c r="AS438" s="1171" t="n"/>
      <c r="AT438" s="1171" t="n"/>
      <c r="AU438" s="1171" t="n"/>
      <c r="AV438" s="205" t="n"/>
      <c r="AW438" s="1171" t="n"/>
      <c r="AX438" s="1171" t="n"/>
      <c r="AY438" s="1171" t="n"/>
      <c r="AZ438" s="1171" t="n"/>
      <c r="BA438" s="1171" t="n"/>
      <c r="BB438" s="205" t="n"/>
      <c r="BC438" s="1171" t="n"/>
      <c r="BD438" s="1171" t="n"/>
      <c r="BE438" s="1171" t="n"/>
      <c r="BF438" s="1171" t="n"/>
      <c r="BG438" s="1171" t="n"/>
      <c r="BH438" s="205" t="n"/>
      <c r="BI438" s="1171" t="n"/>
      <c r="BJ438" s="1171" t="n"/>
      <c r="BK438" s="1171" t="n"/>
      <c r="BL438" s="1171" t="n"/>
      <c r="BM438" s="1171" t="n"/>
      <c r="BN438" s="205" t="n"/>
    </row>
    <row r="439" ht="12.75" customHeight="1" s="1883">
      <c r="C439" s="1150" t="inlineStr">
        <is>
          <t>Financing</t>
        </is>
      </c>
      <c r="D439" s="59" t="n"/>
      <c r="E439" s="57" t="n"/>
      <c r="F439" s="57" t="n"/>
      <c r="G439" s="59" t="n"/>
      <c r="H439" s="59" t="n"/>
      <c r="I439" s="59" t="n"/>
      <c r="J439" s="59" t="n"/>
      <c r="K439" s="59" t="n"/>
      <c r="L439" s="1039" t="n"/>
      <c r="M439" s="59" t="n"/>
      <c r="N439" s="59" t="n"/>
      <c r="O439" s="59" t="n"/>
      <c r="P439" s="59" t="n"/>
      <c r="Q439" s="59" t="n"/>
      <c r="R439" s="1039" t="n"/>
      <c r="S439" s="59" t="n"/>
      <c r="T439" s="59" t="n"/>
      <c r="U439" s="59" t="n"/>
      <c r="V439" s="59" t="n"/>
      <c r="W439" s="59" t="n"/>
      <c r="X439" s="1039" t="n"/>
      <c r="Y439" s="59" t="n"/>
      <c r="Z439" s="59" t="n"/>
      <c r="AA439" s="59" t="n"/>
      <c r="AB439" s="59" t="n"/>
      <c r="AC439" s="59" t="n"/>
      <c r="AD439" s="1039" t="n"/>
      <c r="AE439" s="59" t="n"/>
      <c r="AF439" s="59" t="n"/>
      <c r="AG439" s="59" t="n"/>
      <c r="AH439" s="59" t="n"/>
      <c r="AI439" s="59" t="n"/>
      <c r="AJ439" s="1039" t="n"/>
      <c r="AK439" s="59" t="n"/>
      <c r="AL439" s="59" t="n"/>
      <c r="AM439" s="59" t="n"/>
      <c r="AN439" s="59" t="n"/>
      <c r="AO439" s="59" t="n"/>
      <c r="AP439" s="1039" t="n"/>
      <c r="AQ439" s="59" t="n"/>
      <c r="AR439" s="59" t="n"/>
      <c r="AS439" s="59" t="n"/>
      <c r="AT439" s="59" t="n"/>
      <c r="AU439" s="59" t="n"/>
      <c r="AV439" s="1039" t="n"/>
      <c r="AW439" s="59" t="n"/>
      <c r="AX439" s="59" t="n"/>
      <c r="AY439" s="59" t="n"/>
      <c r="AZ439" s="59" t="n"/>
      <c r="BA439" s="59" t="n"/>
      <c r="BB439" s="1039" t="n"/>
      <c r="BC439" s="59" t="n"/>
      <c r="BD439" s="59" t="n"/>
      <c r="BE439" s="59" t="n"/>
      <c r="BF439" s="59" t="n"/>
      <c r="BG439" s="59" t="n"/>
      <c r="BH439" s="1039" t="n"/>
      <c r="BI439" s="59" t="n"/>
      <c r="BJ439" s="59" t="n"/>
      <c r="BK439" s="59" t="n"/>
      <c r="BL439" s="59" t="n"/>
      <c r="BM439" s="59" t="n"/>
      <c r="BN439" s="1039" t="n"/>
    </row>
    <row r="440" ht="12.75" customHeight="1" s="1883">
      <c r="C440" s="1152" t="inlineStr">
        <is>
          <t>Equity</t>
        </is>
      </c>
      <c r="D440" s="59" t="n"/>
      <c r="E440" s="57" t="n"/>
      <c r="F440" s="57" t="n"/>
      <c r="G440" s="73" t="n"/>
      <c r="H440" s="73" t="n"/>
      <c r="I440" s="73" t="n"/>
      <c r="J440" s="73" t="n"/>
      <c r="K440" s="73" t="n"/>
      <c r="L440" s="1071" t="n"/>
      <c r="M440" s="73" t="n"/>
      <c r="N440" s="73" t="n"/>
      <c r="O440" s="73" t="n"/>
      <c r="P440" s="73" t="n"/>
      <c r="Q440" s="73" t="n"/>
      <c r="R440" s="1071" t="n"/>
      <c r="S440" s="73" t="n"/>
      <c r="T440" s="73" t="n"/>
      <c r="U440" s="73" t="n"/>
      <c r="V440" s="73" t="n"/>
      <c r="W440" s="73" t="n"/>
      <c r="X440" s="1071" t="n"/>
      <c r="Y440" s="73" t="n"/>
      <c r="Z440" s="73" t="n"/>
      <c r="AA440" s="73" t="n"/>
      <c r="AB440" s="73" t="n"/>
      <c r="AC440" s="73" t="n"/>
      <c r="AD440" s="1071" t="n"/>
      <c r="AE440" s="73" t="n"/>
      <c r="AF440" s="73" t="n"/>
      <c r="AG440" s="73" t="n"/>
      <c r="AH440" s="73" t="n"/>
      <c r="AI440" s="73" t="n"/>
      <c r="AJ440" s="1071" t="n"/>
      <c r="AK440" s="73" t="n"/>
      <c r="AL440" s="73" t="n"/>
      <c r="AM440" s="73" t="n"/>
      <c r="AN440" s="73" t="n"/>
      <c r="AO440" s="73" t="n"/>
      <c r="AP440" s="1071" t="n"/>
      <c r="AQ440" s="73" t="n"/>
      <c r="AR440" s="73" t="n"/>
      <c r="AS440" s="73" t="n"/>
      <c r="AT440" s="73" t="n"/>
      <c r="AU440" s="73" t="n"/>
      <c r="AV440" s="1071" t="n"/>
      <c r="AW440" s="73" t="n"/>
      <c r="AX440" s="73" t="n"/>
      <c r="AY440" s="73" t="n"/>
      <c r="AZ440" s="73" t="n"/>
      <c r="BA440" s="73" t="n"/>
      <c r="BB440" s="1071" t="n"/>
      <c r="BC440" s="73" t="n"/>
      <c r="BD440" s="73" t="n"/>
      <c r="BE440" s="73" t="n"/>
      <c r="BF440" s="73" t="n"/>
      <c r="BG440" s="73" t="n"/>
      <c r="BH440" s="1071" t="n"/>
      <c r="BI440" s="73" t="n"/>
      <c r="BJ440" s="73" t="n"/>
      <c r="BK440" s="73" t="n"/>
      <c r="BL440" s="73" t="n"/>
      <c r="BM440" s="73" t="n"/>
      <c r="BN440" s="1071" t="n"/>
    </row>
    <row r="441" ht="12.75" customHeight="1" s="1883">
      <c r="C441" s="1141" t="inlineStr">
        <is>
          <t>Bal - Beg</t>
        </is>
      </c>
      <c r="D441" s="69" t="n"/>
      <c r="E441" s="73">
        <f>+'6B. Pre-Launch Exps. - Detail'!P220</f>
        <v/>
      </c>
      <c r="F441" s="73">
        <f>+'6B. Pre-Launch Exps. - Detail'!Q220</f>
        <v/>
      </c>
      <c r="G441" s="73">
        <f>+F443</f>
        <v/>
      </c>
      <c r="H441" s="73">
        <f>+G443</f>
        <v/>
      </c>
      <c r="I441" s="73">
        <f>+H443</f>
        <v/>
      </c>
      <c r="J441" s="73">
        <f>+I443</f>
        <v/>
      </c>
      <c r="K441" s="73">
        <f>+J443</f>
        <v/>
      </c>
      <c r="L441" s="1071">
        <f>+K443</f>
        <v/>
      </c>
      <c r="M441" s="73">
        <f>+L443</f>
        <v/>
      </c>
      <c r="N441" s="73">
        <f>+M443</f>
        <v/>
      </c>
      <c r="O441" s="73">
        <f>+N443</f>
        <v/>
      </c>
      <c r="P441" s="73">
        <f>+O443</f>
        <v/>
      </c>
      <c r="Q441" s="73">
        <f>+P443</f>
        <v/>
      </c>
      <c r="R441" s="1071">
        <f>+Q443</f>
        <v/>
      </c>
      <c r="S441" s="73">
        <f>+R443</f>
        <v/>
      </c>
      <c r="T441" s="73">
        <f>+S443</f>
        <v/>
      </c>
      <c r="U441" s="73">
        <f>+T443</f>
        <v/>
      </c>
      <c r="V441" s="73">
        <f>+U443</f>
        <v/>
      </c>
      <c r="W441" s="73">
        <f>+V443</f>
        <v/>
      </c>
      <c r="X441" s="1071">
        <f>+W443</f>
        <v/>
      </c>
      <c r="Y441" s="73">
        <f>+X443</f>
        <v/>
      </c>
      <c r="Z441" s="73">
        <f>+Y443</f>
        <v/>
      </c>
      <c r="AA441" s="73">
        <f>+Z443</f>
        <v/>
      </c>
      <c r="AB441" s="73">
        <f>+AA443</f>
        <v/>
      </c>
      <c r="AC441" s="73">
        <f>+AB443</f>
        <v/>
      </c>
      <c r="AD441" s="1071">
        <f>+AC443</f>
        <v/>
      </c>
      <c r="AE441" s="73">
        <f>+AD443</f>
        <v/>
      </c>
      <c r="AF441" s="73">
        <f>+AE443</f>
        <v/>
      </c>
      <c r="AG441" s="73">
        <f>+AF443</f>
        <v/>
      </c>
      <c r="AH441" s="73">
        <f>+AG443</f>
        <v/>
      </c>
      <c r="AI441" s="73">
        <f>+AH443</f>
        <v/>
      </c>
      <c r="AJ441" s="1071">
        <f>+AI443</f>
        <v/>
      </c>
      <c r="AK441" s="73">
        <f>+AJ443</f>
        <v/>
      </c>
      <c r="AL441" s="73">
        <f>+AK443</f>
        <v/>
      </c>
      <c r="AM441" s="73">
        <f>+AL443</f>
        <v/>
      </c>
      <c r="AN441" s="73">
        <f>+AM443</f>
        <v/>
      </c>
      <c r="AO441" s="73">
        <f>+AN443</f>
        <v/>
      </c>
      <c r="AP441" s="1071">
        <f>+AO443</f>
        <v/>
      </c>
      <c r="AQ441" s="73">
        <f>+AP443</f>
        <v/>
      </c>
      <c r="AR441" s="73">
        <f>+AQ443</f>
        <v/>
      </c>
      <c r="AS441" s="73">
        <f>+AR443</f>
        <v/>
      </c>
      <c r="AT441" s="73">
        <f>+AS443</f>
        <v/>
      </c>
      <c r="AU441" s="73">
        <f>+AT443</f>
        <v/>
      </c>
      <c r="AV441" s="1071">
        <f>+AU443</f>
        <v/>
      </c>
      <c r="AW441" s="73">
        <f>+AV443</f>
        <v/>
      </c>
      <c r="AX441" s="73">
        <f>+AW443</f>
        <v/>
      </c>
      <c r="AY441" s="73">
        <f>+AX443</f>
        <v/>
      </c>
      <c r="AZ441" s="73">
        <f>+AY443</f>
        <v/>
      </c>
      <c r="BA441" s="73">
        <f>+AZ443</f>
        <v/>
      </c>
      <c r="BB441" s="1071">
        <f>+BA443</f>
        <v/>
      </c>
      <c r="BC441" s="73">
        <f>+BB443</f>
        <v/>
      </c>
      <c r="BD441" s="73">
        <f>+BC443</f>
        <v/>
      </c>
      <c r="BE441" s="73">
        <f>+BD443</f>
        <v/>
      </c>
      <c r="BF441" s="73">
        <f>+BE443</f>
        <v/>
      </c>
      <c r="BG441" s="73">
        <f>+BF443</f>
        <v/>
      </c>
      <c r="BH441" s="1071">
        <f>+BG443</f>
        <v/>
      </c>
      <c r="BI441" s="73">
        <f>+BH443</f>
        <v/>
      </c>
      <c r="BJ441" s="73">
        <f>+BI443</f>
        <v/>
      </c>
      <c r="BK441" s="73">
        <f>+BJ443</f>
        <v/>
      </c>
      <c r="BL441" s="73">
        <f>+BK443</f>
        <v/>
      </c>
      <c r="BM441" s="73">
        <f>+BL443</f>
        <v/>
      </c>
      <c r="BN441" s="1071">
        <f>+BM443</f>
        <v/>
      </c>
    </row>
    <row r="442" ht="12.75" customHeight="1" s="1883">
      <c r="C442" s="1141" t="inlineStr">
        <is>
          <t>Additions</t>
        </is>
      </c>
      <c r="D442" s="59" t="n"/>
      <c r="E442" s="1028">
        <f>+'6B. Pre-Launch Exps. - Detail'!P221</f>
        <v/>
      </c>
      <c r="F442" s="1028">
        <f>+'6B. Pre-Launch Exps. - Detail'!Q221</f>
        <v/>
      </c>
      <c r="G442" s="1028" t="n">
        <v>0</v>
      </c>
      <c r="H442" s="1028" t="n">
        <v>0</v>
      </c>
      <c r="I442" s="1028" t="n">
        <v>0</v>
      </c>
      <c r="J442" s="1028" t="n">
        <v>0</v>
      </c>
      <c r="K442" s="1028" t="n">
        <v>0</v>
      </c>
      <c r="L442" s="209" t="n">
        <v>0</v>
      </c>
      <c r="M442" s="1028" t="n">
        <v>0</v>
      </c>
      <c r="N442" s="1028" t="n">
        <v>0</v>
      </c>
      <c r="O442" s="1028" t="n">
        <v>0</v>
      </c>
      <c r="P442" s="1028" t="n">
        <v>0</v>
      </c>
      <c r="Q442" s="1028" t="n">
        <v>0</v>
      </c>
      <c r="R442" s="209" t="n">
        <v>0</v>
      </c>
      <c r="S442" s="1028" t="n">
        <v>0</v>
      </c>
      <c r="T442" s="1028" t="n">
        <v>0</v>
      </c>
      <c r="U442" s="1028" t="n">
        <v>0</v>
      </c>
      <c r="V442" s="1028" t="n">
        <v>0</v>
      </c>
      <c r="W442" s="1028" t="n">
        <v>0</v>
      </c>
      <c r="X442" s="209" t="n">
        <v>0</v>
      </c>
      <c r="Y442" s="1028" t="n">
        <v>0</v>
      </c>
      <c r="Z442" s="1028" t="n">
        <v>0</v>
      </c>
      <c r="AA442" s="1028" t="n">
        <v>0</v>
      </c>
      <c r="AB442" s="1028" t="n">
        <v>0</v>
      </c>
      <c r="AC442" s="1028" t="n">
        <v>0</v>
      </c>
      <c r="AD442" s="209" t="n">
        <v>0</v>
      </c>
      <c r="AE442" s="1028" t="n">
        <v>0</v>
      </c>
      <c r="AF442" s="1028" t="n">
        <v>0</v>
      </c>
      <c r="AG442" s="1028" t="n">
        <v>0</v>
      </c>
      <c r="AH442" s="1028" t="n">
        <v>0</v>
      </c>
      <c r="AI442" s="1028" t="n">
        <v>0</v>
      </c>
      <c r="AJ442" s="209" t="n">
        <v>0</v>
      </c>
      <c r="AK442" s="1028" t="n">
        <v>0</v>
      </c>
      <c r="AL442" s="1028" t="n">
        <v>0</v>
      </c>
      <c r="AM442" s="1028" t="n">
        <v>0</v>
      </c>
      <c r="AN442" s="1028" t="n">
        <v>0</v>
      </c>
      <c r="AO442" s="1028" t="n">
        <v>0</v>
      </c>
      <c r="AP442" s="209" t="n">
        <v>0</v>
      </c>
      <c r="AQ442" s="1028" t="n">
        <v>0</v>
      </c>
      <c r="AR442" s="1028" t="n">
        <v>0</v>
      </c>
      <c r="AS442" s="1028" t="n">
        <v>0</v>
      </c>
      <c r="AT442" s="1028" t="n">
        <v>0</v>
      </c>
      <c r="AU442" s="1028" t="n">
        <v>0</v>
      </c>
      <c r="AV442" s="209" t="n">
        <v>0</v>
      </c>
      <c r="AW442" s="1028" t="n">
        <v>0</v>
      </c>
      <c r="AX442" s="1028" t="n">
        <v>0</v>
      </c>
      <c r="AY442" s="1028" t="n">
        <v>0</v>
      </c>
      <c r="AZ442" s="1028" t="n">
        <v>0</v>
      </c>
      <c r="BA442" s="1028" t="n">
        <v>0</v>
      </c>
      <c r="BB442" s="209" t="n">
        <v>0</v>
      </c>
      <c r="BC442" s="1028" t="n">
        <v>0</v>
      </c>
      <c r="BD442" s="1028" t="n">
        <v>0</v>
      </c>
      <c r="BE442" s="1028" t="n">
        <v>0</v>
      </c>
      <c r="BF442" s="1028" t="n">
        <v>0</v>
      </c>
      <c r="BG442" s="1028" t="n">
        <v>0</v>
      </c>
      <c r="BH442" s="209" t="n">
        <v>0</v>
      </c>
      <c r="BI442" s="1028" t="n">
        <v>0</v>
      </c>
      <c r="BJ442" s="1028" t="n">
        <v>0</v>
      </c>
      <c r="BK442" s="1028" t="n">
        <v>0</v>
      </c>
      <c r="BL442" s="1028" t="n">
        <v>0</v>
      </c>
      <c r="BM442" s="1028" t="n">
        <v>0</v>
      </c>
      <c r="BN442" s="209" t="n">
        <v>0</v>
      </c>
    </row>
    <row r="443" ht="12.75" customHeight="1" s="1883">
      <c r="C443" s="1141" t="inlineStr">
        <is>
          <t>Bal - End</t>
        </is>
      </c>
      <c r="D443" s="59" t="n"/>
      <c r="E443" s="1161">
        <f>+'6B. Pre-Launch Exps. - Detail'!P222</f>
        <v/>
      </c>
      <c r="F443" s="1161">
        <f>+'6B. Pre-Launch Exps. - Detail'!Q222</f>
        <v/>
      </c>
      <c r="G443" s="1161">
        <f>+G441+G442</f>
        <v/>
      </c>
      <c r="H443" s="1161">
        <f>+H441+H442</f>
        <v/>
      </c>
      <c r="I443" s="1161">
        <f>+I441+I442</f>
        <v/>
      </c>
      <c r="J443" s="1161">
        <f>+J441+J442</f>
        <v/>
      </c>
      <c r="K443" s="1161">
        <f>+K441+K442</f>
        <v/>
      </c>
      <c r="L443" s="1162">
        <f>+L441+L442</f>
        <v/>
      </c>
      <c r="M443" s="1161">
        <f>+M441+M442</f>
        <v/>
      </c>
      <c r="N443" s="1161">
        <f>+N441+N442</f>
        <v/>
      </c>
      <c r="O443" s="1161">
        <f>+O441+O442</f>
        <v/>
      </c>
      <c r="P443" s="1161">
        <f>+P441+P442</f>
        <v/>
      </c>
      <c r="Q443" s="1161">
        <f>+Q441+Q442</f>
        <v/>
      </c>
      <c r="R443" s="1162">
        <f>+R441+R442</f>
        <v/>
      </c>
      <c r="S443" s="1161">
        <f>+S441+S442</f>
        <v/>
      </c>
      <c r="T443" s="1161">
        <f>+T441+T442</f>
        <v/>
      </c>
      <c r="U443" s="1161">
        <f>+U441+U442</f>
        <v/>
      </c>
      <c r="V443" s="1161">
        <f>+V441+V442</f>
        <v/>
      </c>
      <c r="W443" s="1161">
        <f>+W441+W442</f>
        <v/>
      </c>
      <c r="X443" s="1162">
        <f>+X441+X442</f>
        <v/>
      </c>
      <c r="Y443" s="1161">
        <f>+Y441+Y442</f>
        <v/>
      </c>
      <c r="Z443" s="1161">
        <f>+Z441+Z442</f>
        <v/>
      </c>
      <c r="AA443" s="1161">
        <f>+AA441+AA442</f>
        <v/>
      </c>
      <c r="AB443" s="1161">
        <f>+AB441+AB442</f>
        <v/>
      </c>
      <c r="AC443" s="1161">
        <f>+AC441+AC442</f>
        <v/>
      </c>
      <c r="AD443" s="1162">
        <f>+AD441+AD442</f>
        <v/>
      </c>
      <c r="AE443" s="1161">
        <f>+AE441+AE442</f>
        <v/>
      </c>
      <c r="AF443" s="1161">
        <f>+AF441+AF442</f>
        <v/>
      </c>
      <c r="AG443" s="1161">
        <f>+AG441+AG442</f>
        <v/>
      </c>
      <c r="AH443" s="1161">
        <f>+AH441+AH442</f>
        <v/>
      </c>
      <c r="AI443" s="1161">
        <f>+AI441+AI442</f>
        <v/>
      </c>
      <c r="AJ443" s="1162">
        <f>+AJ441+AJ442</f>
        <v/>
      </c>
      <c r="AK443" s="1161">
        <f>+AK441+AK442</f>
        <v/>
      </c>
      <c r="AL443" s="1161">
        <f>+AL441+AL442</f>
        <v/>
      </c>
      <c r="AM443" s="1161">
        <f>+AM441+AM442</f>
        <v/>
      </c>
      <c r="AN443" s="1161">
        <f>+AN441+AN442</f>
        <v/>
      </c>
      <c r="AO443" s="1161">
        <f>+AO441+AO442</f>
        <v/>
      </c>
      <c r="AP443" s="1162">
        <f>+AP441+AP442</f>
        <v/>
      </c>
      <c r="AQ443" s="1161">
        <f>+AQ441+AQ442</f>
        <v/>
      </c>
      <c r="AR443" s="1161">
        <f>+AR441+AR442</f>
        <v/>
      </c>
      <c r="AS443" s="1161">
        <f>+AS441+AS442</f>
        <v/>
      </c>
      <c r="AT443" s="1161">
        <f>+AT441+AT442</f>
        <v/>
      </c>
      <c r="AU443" s="1161">
        <f>+AU441+AU442</f>
        <v/>
      </c>
      <c r="AV443" s="1162">
        <f>+AV441+AV442</f>
        <v/>
      </c>
      <c r="AW443" s="1161">
        <f>+AW441+AW442</f>
        <v/>
      </c>
      <c r="AX443" s="1161">
        <f>+AX441+AX442</f>
        <v/>
      </c>
      <c r="AY443" s="1161">
        <f>+AY441+AY442</f>
        <v/>
      </c>
      <c r="AZ443" s="1161">
        <f>+AZ441+AZ442</f>
        <v/>
      </c>
      <c r="BA443" s="1161">
        <f>+BA441+BA442</f>
        <v/>
      </c>
      <c r="BB443" s="1162">
        <f>+BB441+BB442</f>
        <v/>
      </c>
      <c r="BC443" s="1161">
        <f>+BC441+BC442</f>
        <v/>
      </c>
      <c r="BD443" s="1161">
        <f>+BD441+BD442</f>
        <v/>
      </c>
      <c r="BE443" s="1161">
        <f>+BE441+BE442</f>
        <v/>
      </c>
      <c r="BF443" s="1161">
        <f>+BF441+BF442</f>
        <v/>
      </c>
      <c r="BG443" s="1161">
        <f>+BG441+BG442</f>
        <v/>
      </c>
      <c r="BH443" s="1162">
        <f>+BH441+BH442</f>
        <v/>
      </c>
      <c r="BI443" s="1161">
        <f>+BI441+BI442</f>
        <v/>
      </c>
      <c r="BJ443" s="1161">
        <f>+BJ441+BJ442</f>
        <v/>
      </c>
      <c r="BK443" s="1161">
        <f>+BK441+BK442</f>
        <v/>
      </c>
      <c r="BL443" s="1161">
        <f>+BL441+BL442</f>
        <v/>
      </c>
      <c r="BM443" s="1161">
        <f>+BM441+BM442</f>
        <v/>
      </c>
      <c r="BN443" s="1162">
        <f>+BN441+BN442</f>
        <v/>
      </c>
    </row>
    <row r="444" ht="12.75" customHeight="1" s="1883">
      <c r="C444" s="1151" t="n"/>
      <c r="D444" s="59" t="n"/>
      <c r="E444" s="57" t="n"/>
      <c r="F444" s="57" t="n"/>
      <c r="G444" s="73" t="n"/>
      <c r="H444" s="73" t="n"/>
      <c r="I444" s="73" t="n"/>
      <c r="J444" s="73" t="n"/>
      <c r="K444" s="73" t="n"/>
      <c r="L444" s="1071" t="n"/>
      <c r="M444" s="73" t="n"/>
      <c r="N444" s="73" t="n"/>
      <c r="O444" s="73" t="n"/>
      <c r="P444" s="73" t="n"/>
      <c r="Q444" s="73" t="n"/>
      <c r="R444" s="1071" t="n"/>
      <c r="S444" s="73" t="n"/>
      <c r="T444" s="73" t="n"/>
      <c r="U444" s="73" t="n"/>
      <c r="V444" s="73" t="n"/>
      <c r="W444" s="73" t="n"/>
      <c r="X444" s="1071" t="n"/>
      <c r="Y444" s="73" t="n"/>
      <c r="Z444" s="73" t="n"/>
      <c r="AA444" s="73" t="n"/>
      <c r="AB444" s="73" t="n"/>
      <c r="AC444" s="73" t="n"/>
      <c r="AD444" s="1071" t="n"/>
      <c r="AE444" s="73" t="n"/>
      <c r="AF444" s="73" t="n"/>
      <c r="AG444" s="73" t="n"/>
      <c r="AH444" s="73" t="n"/>
      <c r="AI444" s="73" t="n"/>
      <c r="AJ444" s="1071" t="n"/>
      <c r="AK444" s="73" t="n"/>
      <c r="AL444" s="73" t="n"/>
      <c r="AM444" s="73" t="n"/>
      <c r="AN444" s="73" t="n"/>
      <c r="AO444" s="73" t="n"/>
      <c r="AP444" s="1071" t="n"/>
      <c r="AQ444" s="73" t="n"/>
      <c r="AR444" s="73" t="n"/>
      <c r="AS444" s="73" t="n"/>
      <c r="AT444" s="73" t="n"/>
      <c r="AU444" s="73" t="n"/>
      <c r="AV444" s="1071" t="n"/>
      <c r="AW444" s="73" t="n"/>
      <c r="AX444" s="73" t="n"/>
      <c r="AY444" s="73" t="n"/>
      <c r="AZ444" s="73" t="n"/>
      <c r="BA444" s="73" t="n"/>
      <c r="BB444" s="1071" t="n"/>
      <c r="BC444" s="73" t="n"/>
      <c r="BD444" s="73" t="n"/>
      <c r="BE444" s="73" t="n"/>
      <c r="BF444" s="73" t="n"/>
      <c r="BG444" s="73" t="n"/>
      <c r="BH444" s="1071" t="n"/>
      <c r="BI444" s="73" t="n"/>
      <c r="BJ444" s="73" t="n"/>
      <c r="BK444" s="73" t="n"/>
      <c r="BL444" s="73" t="n"/>
      <c r="BM444" s="73" t="n"/>
      <c r="BN444" s="1071" t="n"/>
    </row>
    <row r="445" ht="12.75" customHeight="1" s="1883">
      <c r="C445" s="1152" t="inlineStr">
        <is>
          <t>Covertible Debenture</t>
        </is>
      </c>
      <c r="D445" s="59" t="n"/>
      <c r="E445" s="57" t="n"/>
      <c r="F445" s="57" t="n"/>
      <c r="G445" s="59" t="n"/>
      <c r="H445" s="59" t="n"/>
      <c r="I445" s="59" t="n"/>
      <c r="J445" s="59" t="n"/>
      <c r="K445" s="59" t="n"/>
      <c r="L445" s="1039" t="n"/>
      <c r="M445" s="59" t="n"/>
      <c r="N445" s="59" t="n"/>
      <c r="O445" s="59" t="n"/>
      <c r="P445" s="59" t="n"/>
      <c r="Q445" s="59" t="n"/>
      <c r="R445" s="1039" t="n"/>
      <c r="S445" s="59" t="n"/>
      <c r="T445" s="59" t="n"/>
      <c r="U445" s="59" t="n"/>
      <c r="V445" s="59" t="n"/>
      <c r="W445" s="59" t="n"/>
      <c r="X445" s="1039" t="n"/>
      <c r="Y445" s="59" t="n"/>
      <c r="Z445" s="59" t="n"/>
      <c r="AA445" s="59" t="n"/>
      <c r="AB445" s="59" t="n"/>
      <c r="AC445" s="59" t="n"/>
      <c r="AD445" s="1039" t="n"/>
      <c r="AE445" s="59" t="n"/>
      <c r="AF445" s="59" t="n"/>
      <c r="AG445" s="59" t="n"/>
      <c r="AH445" s="59" t="n"/>
      <c r="AI445" s="59" t="n"/>
      <c r="AJ445" s="1039" t="n"/>
      <c r="AK445" s="59" t="n"/>
      <c r="AL445" s="59" t="n"/>
      <c r="AM445" s="59" t="n"/>
      <c r="AN445" s="59" t="n"/>
      <c r="AO445" s="59" t="n"/>
      <c r="AP445" s="1039" t="n"/>
      <c r="AQ445" s="59" t="n"/>
      <c r="AR445" s="59" t="n"/>
      <c r="AS445" s="59" t="n"/>
      <c r="AT445" s="59" t="n"/>
      <c r="AU445" s="59" t="n"/>
      <c r="AV445" s="1039" t="n"/>
      <c r="AW445" s="59" t="n"/>
      <c r="AX445" s="59" t="n"/>
      <c r="AY445" s="59" t="n"/>
      <c r="AZ445" s="59" t="n"/>
      <c r="BA445" s="59" t="n"/>
      <c r="BB445" s="1039" t="n"/>
      <c r="BC445" s="59" t="n"/>
      <c r="BD445" s="59" t="n"/>
      <c r="BE445" s="59" t="n"/>
      <c r="BF445" s="59" t="n"/>
      <c r="BG445" s="59" t="n"/>
      <c r="BH445" s="1039" t="n"/>
      <c r="BI445" s="59" t="n"/>
      <c r="BJ445" s="59" t="n"/>
      <c r="BK445" s="59" t="n"/>
      <c r="BL445" s="59" t="n"/>
      <c r="BM445" s="59" t="n"/>
      <c r="BN445" s="1039" t="n"/>
    </row>
    <row r="446" ht="12.75" customHeight="1" s="1883">
      <c r="C446" s="1141" t="inlineStr">
        <is>
          <t>Amount - Up To</t>
        </is>
      </c>
      <c r="D446" s="73">
        <f>+'6B. Pre-Launch Exps. - Detail'!C227</f>
        <v/>
      </c>
      <c r="E446" s="57" t="n"/>
      <c r="F446" s="57" t="n"/>
      <c r="G446" s="59" t="n"/>
      <c r="H446" s="59" t="n"/>
      <c r="I446" s="59" t="n"/>
      <c r="J446" s="59" t="n"/>
      <c r="K446" s="59" t="n"/>
      <c r="L446" s="1039" t="n"/>
      <c r="M446" s="59" t="n"/>
      <c r="N446" s="59" t="n"/>
      <c r="O446" s="59" t="n"/>
      <c r="P446" s="59" t="n"/>
      <c r="Q446" s="59" t="n"/>
      <c r="R446" s="1039" t="n"/>
      <c r="S446" s="59" t="n"/>
      <c r="T446" s="59" t="n"/>
      <c r="U446" s="59" t="n"/>
      <c r="V446" s="59" t="n"/>
      <c r="W446" s="59" t="n"/>
      <c r="X446" s="1039" t="n"/>
      <c r="Y446" s="59" t="n"/>
      <c r="Z446" s="59" t="n"/>
      <c r="AA446" s="59" t="n"/>
      <c r="AB446" s="59" t="n"/>
      <c r="AC446" s="59" t="n"/>
      <c r="AD446" s="1039" t="n"/>
      <c r="AE446" s="59" t="n"/>
      <c r="AF446" s="59" t="n"/>
      <c r="AG446" s="59" t="n"/>
      <c r="AH446" s="59" t="n"/>
      <c r="AI446" s="59" t="n"/>
      <c r="AJ446" s="1039" t="n"/>
      <c r="AK446" s="59" t="n"/>
      <c r="AL446" s="59" t="n"/>
      <c r="AM446" s="59" t="n"/>
      <c r="AN446" s="59" t="n"/>
      <c r="AO446" s="59" t="n"/>
      <c r="AP446" s="1039" t="n"/>
      <c r="AQ446" s="59" t="n"/>
      <c r="AR446" s="59" t="n"/>
      <c r="AS446" s="59" t="n"/>
      <c r="AT446" s="59" t="n"/>
      <c r="AU446" s="59" t="n"/>
      <c r="AV446" s="1039" t="n"/>
      <c r="AW446" s="59" t="n"/>
      <c r="AX446" s="59" t="n"/>
      <c r="AY446" s="59" t="n"/>
      <c r="AZ446" s="59" t="n"/>
      <c r="BA446" s="59" t="n"/>
      <c r="BB446" s="1039" t="n"/>
      <c r="BC446" s="59" t="n"/>
      <c r="BD446" s="59" t="n"/>
      <c r="BE446" s="59" t="n"/>
      <c r="BF446" s="59" t="n"/>
      <c r="BG446" s="59" t="n"/>
      <c r="BH446" s="1039" t="n"/>
      <c r="BI446" s="59" t="n"/>
      <c r="BJ446" s="59" t="n"/>
      <c r="BK446" s="59" t="n"/>
      <c r="BL446" s="59" t="n"/>
      <c r="BM446" s="59" t="n"/>
      <c r="BN446" s="1039" t="n"/>
    </row>
    <row r="447" ht="12.75" customHeight="1" s="1883">
      <c r="C447" s="1141" t="inlineStr">
        <is>
          <t>Interest</t>
        </is>
      </c>
      <c r="D447" s="86">
        <f>+'6B. Pre-Launch Exps. - Detail'!C228</f>
        <v/>
      </c>
      <c r="E447" s="57" t="n"/>
      <c r="F447" s="57" t="n"/>
      <c r="G447" s="59" t="n"/>
      <c r="H447" s="59" t="n"/>
      <c r="I447" s="59" t="n"/>
      <c r="J447" s="59" t="n"/>
      <c r="K447" s="59" t="n"/>
      <c r="L447" s="1039" t="n"/>
      <c r="M447" s="59" t="n"/>
      <c r="N447" s="59" t="n"/>
      <c r="O447" s="59" t="n"/>
      <c r="P447" s="59" t="n"/>
      <c r="Q447" s="59" t="n"/>
      <c r="R447" s="1039" t="n"/>
      <c r="S447" s="59" t="n"/>
      <c r="T447" s="59" t="n"/>
      <c r="U447" s="59" t="n"/>
      <c r="V447" s="59" t="n"/>
      <c r="W447" s="59" t="n"/>
      <c r="X447" s="1039" t="n"/>
      <c r="Y447" s="59" t="n"/>
      <c r="Z447" s="59" t="n"/>
      <c r="AA447" s="59" t="n"/>
      <c r="AB447" s="59" t="n"/>
      <c r="AC447" s="59" t="n"/>
      <c r="AD447" s="1039" t="n"/>
      <c r="AE447" s="59" t="n"/>
      <c r="AF447" s="59" t="n"/>
      <c r="AG447" s="59" t="n"/>
      <c r="AH447" s="59" t="n"/>
      <c r="AI447" s="59" t="n"/>
      <c r="AJ447" s="1039" t="n"/>
      <c r="AK447" s="59" t="n"/>
      <c r="AL447" s="59" t="n"/>
      <c r="AM447" s="59" t="n"/>
      <c r="AN447" s="59" t="n"/>
      <c r="AO447" s="59" t="n"/>
      <c r="AP447" s="1039" t="n"/>
      <c r="AQ447" s="59" t="n"/>
      <c r="AR447" s="59" t="n"/>
      <c r="AS447" s="59" t="n"/>
      <c r="AT447" s="59" t="n"/>
      <c r="AU447" s="59" t="n"/>
      <c r="AV447" s="1039" t="n"/>
      <c r="AW447" s="59" t="n"/>
      <c r="AX447" s="59" t="n"/>
      <c r="AY447" s="59" t="n"/>
      <c r="AZ447" s="59" t="n"/>
      <c r="BA447" s="59" t="n"/>
      <c r="BB447" s="1039" t="n"/>
      <c r="BC447" s="59" t="n"/>
      <c r="BD447" s="59" t="n"/>
      <c r="BE447" s="59" t="n"/>
      <c r="BF447" s="59" t="n"/>
      <c r="BG447" s="59" t="n"/>
      <c r="BH447" s="1039" t="n"/>
      <c r="BI447" s="59" t="n"/>
      <c r="BJ447" s="59" t="n"/>
      <c r="BK447" s="59" t="n"/>
      <c r="BL447" s="59" t="n"/>
      <c r="BM447" s="59" t="n"/>
      <c r="BN447" s="1039" t="n"/>
    </row>
    <row r="448" ht="12.75" customHeight="1" s="1883">
      <c r="C448" s="1151" t="n"/>
      <c r="D448" s="59" t="n"/>
      <c r="E448" s="57" t="n"/>
      <c r="F448" s="57" t="n"/>
      <c r="G448" s="59" t="n"/>
      <c r="H448" s="59" t="n"/>
      <c r="I448" s="59" t="n"/>
      <c r="J448" s="59" t="n"/>
      <c r="K448" s="59" t="n"/>
      <c r="L448" s="1039" t="n"/>
      <c r="M448" s="59" t="n"/>
      <c r="N448" s="59" t="n"/>
      <c r="O448" s="59" t="n"/>
      <c r="P448" s="59" t="n"/>
      <c r="Q448" s="59" t="n"/>
      <c r="R448" s="1039" t="n"/>
      <c r="S448" s="59" t="n"/>
      <c r="T448" s="59" t="n"/>
      <c r="U448" s="59" t="n"/>
      <c r="V448" s="59" t="n"/>
      <c r="W448" s="59" t="n"/>
      <c r="X448" s="1039" t="n"/>
      <c r="Y448" s="59" t="n"/>
      <c r="Z448" s="59" t="n"/>
      <c r="AA448" s="59" t="n"/>
      <c r="AB448" s="59" t="n"/>
      <c r="AC448" s="59" t="n"/>
      <c r="AD448" s="1039" t="n"/>
      <c r="AE448" s="59" t="n"/>
      <c r="AF448" s="59" t="n"/>
      <c r="AG448" s="59" t="n"/>
      <c r="AH448" s="59" t="n"/>
      <c r="AI448" s="59" t="n"/>
      <c r="AJ448" s="1039" t="n"/>
      <c r="AK448" s="59" t="n"/>
      <c r="AL448" s="59" t="n"/>
      <c r="AM448" s="59" t="n"/>
      <c r="AN448" s="59" t="n"/>
      <c r="AO448" s="59" t="n"/>
      <c r="AP448" s="1039" t="n"/>
      <c r="AQ448" s="59" t="n"/>
      <c r="AR448" s="59" t="n"/>
      <c r="AS448" s="59" t="n"/>
      <c r="AT448" s="59" t="n"/>
      <c r="AU448" s="59" t="n"/>
      <c r="AV448" s="1039" t="n"/>
      <c r="AW448" s="59" t="n"/>
      <c r="AX448" s="59" t="n"/>
      <c r="AY448" s="59" t="n"/>
      <c r="AZ448" s="59" t="n"/>
      <c r="BA448" s="59" t="n"/>
      <c r="BB448" s="1039" t="n"/>
      <c r="BC448" s="59" t="n"/>
      <c r="BD448" s="59" t="n"/>
      <c r="BE448" s="59" t="n"/>
      <c r="BF448" s="59" t="n"/>
      <c r="BG448" s="59" t="n"/>
      <c r="BH448" s="1039" t="n"/>
      <c r="BI448" s="59" t="n"/>
      <c r="BJ448" s="59" t="n"/>
      <c r="BK448" s="59" t="n"/>
      <c r="BL448" s="59" t="n"/>
      <c r="BM448" s="59" t="n"/>
      <c r="BN448" s="1039" t="n"/>
    </row>
    <row r="449" ht="12.75" customHeight="1" s="1883">
      <c r="C449" s="1141" t="inlineStr">
        <is>
          <t>Bal - Beg</t>
        </is>
      </c>
      <c r="D449" s="59" t="n"/>
      <c r="E449" s="69">
        <f>+'6B. Pre-Launch Exps. - Detail'!P230</f>
        <v/>
      </c>
      <c r="F449" s="69">
        <f>+'6B. Pre-Launch Exps. - Detail'!Q230</f>
        <v/>
      </c>
      <c r="G449" s="69">
        <f>+F452-F451</f>
        <v/>
      </c>
      <c r="H449" s="69">
        <f>+G452-G451</f>
        <v/>
      </c>
      <c r="I449" s="69">
        <f>+H452-H451</f>
        <v/>
      </c>
      <c r="J449" s="69">
        <f>+I452-I451</f>
        <v/>
      </c>
      <c r="K449" s="69">
        <f>+J452-J451</f>
        <v/>
      </c>
      <c r="L449" s="1070">
        <f>+K452-K451</f>
        <v/>
      </c>
      <c r="M449" s="69">
        <f>+L452-L451</f>
        <v/>
      </c>
      <c r="N449" s="69">
        <f>+M452-M451</f>
        <v/>
      </c>
      <c r="O449" s="69">
        <f>+N452-N451</f>
        <v/>
      </c>
      <c r="P449" s="69">
        <f>+O452-O451</f>
        <v/>
      </c>
      <c r="Q449" s="69">
        <f>+P452-P451</f>
        <v/>
      </c>
      <c r="R449" s="1070">
        <f>+Q452-Q451</f>
        <v/>
      </c>
      <c r="S449" s="69">
        <f>+R452-R451</f>
        <v/>
      </c>
      <c r="T449" s="69">
        <f>+S452-S451</f>
        <v/>
      </c>
      <c r="U449" s="69">
        <f>+T452-T451</f>
        <v/>
      </c>
      <c r="V449" s="69">
        <f>+U452-U451</f>
        <v/>
      </c>
      <c r="W449" s="69">
        <f>+V452-V451</f>
        <v/>
      </c>
      <c r="X449" s="1070">
        <f>+W452-W451</f>
        <v/>
      </c>
      <c r="Y449" s="69">
        <f>+X452-X451</f>
        <v/>
      </c>
      <c r="Z449" s="69">
        <f>+Y452-Y451</f>
        <v/>
      </c>
      <c r="AA449" s="69">
        <f>+Z452-Z451</f>
        <v/>
      </c>
      <c r="AB449" s="69">
        <f>+AA452-AA451</f>
        <v/>
      </c>
      <c r="AC449" s="69">
        <f>+AB452-AB451</f>
        <v/>
      </c>
      <c r="AD449" s="1070">
        <f>+AC452-AC451</f>
        <v/>
      </c>
      <c r="AE449" s="69">
        <f>+AD452-AD451</f>
        <v/>
      </c>
      <c r="AF449" s="69">
        <f>+AE452-AE451</f>
        <v/>
      </c>
      <c r="AG449" s="69">
        <f>+AF452-AF451</f>
        <v/>
      </c>
      <c r="AH449" s="69">
        <f>+AG452-AG451</f>
        <v/>
      </c>
      <c r="AI449" s="69">
        <f>+AH452-AH451</f>
        <v/>
      </c>
      <c r="AJ449" s="1070">
        <f>+AI452-AI451</f>
        <v/>
      </c>
      <c r="AK449" s="69">
        <f>+AJ452-AJ451</f>
        <v/>
      </c>
      <c r="AL449" s="69">
        <f>+AK452-AK451</f>
        <v/>
      </c>
      <c r="AM449" s="69">
        <f>+AL452-AL451</f>
        <v/>
      </c>
      <c r="AN449" s="69">
        <f>+AM452-AM451</f>
        <v/>
      </c>
      <c r="AO449" s="69">
        <f>+AN452-AN451</f>
        <v/>
      </c>
      <c r="AP449" s="1070">
        <f>+AO452-AO451</f>
        <v/>
      </c>
      <c r="AQ449" s="69">
        <f>+AP452-AP451</f>
        <v/>
      </c>
      <c r="AR449" s="69">
        <f>+AQ452-AQ451</f>
        <v/>
      </c>
      <c r="AS449" s="69">
        <f>+AR452-AR451</f>
        <v/>
      </c>
      <c r="AT449" s="69">
        <f>+AS452-AS451</f>
        <v/>
      </c>
      <c r="AU449" s="69">
        <f>+AT452-AT451</f>
        <v/>
      </c>
      <c r="AV449" s="1070">
        <f>+AU452-AU451</f>
        <v/>
      </c>
      <c r="AW449" s="69">
        <f>+AV452-AV451</f>
        <v/>
      </c>
      <c r="AX449" s="69">
        <f>+AW452-AW451</f>
        <v/>
      </c>
      <c r="AY449" s="69">
        <f>+AX452-AX451</f>
        <v/>
      </c>
      <c r="AZ449" s="69">
        <f>+AY452-AY451</f>
        <v/>
      </c>
      <c r="BA449" s="69">
        <f>+AZ452-AZ451</f>
        <v/>
      </c>
      <c r="BB449" s="1070">
        <f>+BA452-BA451</f>
        <v/>
      </c>
      <c r="BC449" s="69">
        <f>+BB452-BB451</f>
        <v/>
      </c>
      <c r="BD449" s="69">
        <f>+BC452-BC451</f>
        <v/>
      </c>
      <c r="BE449" s="69">
        <f>+BD452-BD451</f>
        <v/>
      </c>
      <c r="BF449" s="69">
        <f>+BE452-BE451</f>
        <v/>
      </c>
      <c r="BG449" s="69">
        <f>+BF452-BF451</f>
        <v/>
      </c>
      <c r="BH449" s="1070">
        <f>+BG452-BG451</f>
        <v/>
      </c>
      <c r="BI449" s="69">
        <f>+BH452-BH451</f>
        <v/>
      </c>
      <c r="BJ449" s="69">
        <f>+BI452-BI451</f>
        <v/>
      </c>
      <c r="BK449" s="69">
        <f>+BJ452-BJ451</f>
        <v/>
      </c>
      <c r="BL449" s="69">
        <f>+BK452-BK451</f>
        <v/>
      </c>
      <c r="BM449" s="69">
        <f>+BL452-BL451</f>
        <v/>
      </c>
      <c r="BN449" s="1070">
        <f>+BM452-BM451</f>
        <v/>
      </c>
    </row>
    <row r="450" ht="12.75" customHeight="1" s="1883">
      <c r="C450" s="1141" t="inlineStr">
        <is>
          <t>Advance</t>
        </is>
      </c>
      <c r="D450" s="59" t="n"/>
      <c r="E450" s="69">
        <f>+'6B. Pre-Launch Exps. - Detail'!P231</f>
        <v/>
      </c>
      <c r="F450" s="69">
        <f>+'6B. Pre-Launch Exps. - Detail'!Q231</f>
        <v/>
      </c>
      <c r="G450" s="69">
        <f>IF(AND('Cash Flow'!P35&lt;0,F452-F451&lt;$D446),IF(-'Cash Flow'!P35+G449&gt;$D446,$D446-G449,-'Cash Flow'!P35),0)</f>
        <v/>
      </c>
      <c r="H450" s="69">
        <f>IF(AND('Cash Flow'!Q35&lt;0,G452-G451&lt;$D446),IF(-'Cash Flow'!Q35+H449&gt;$D446,$D446-H449,-'Cash Flow'!Q35),0)</f>
        <v/>
      </c>
      <c r="I450" s="69">
        <f>IF(AND('Cash Flow'!R35&lt;0,H452-H451&lt;$D446),IF(-'Cash Flow'!R35+I449&gt;$D446,$D446-I449,-'Cash Flow'!R35),0)</f>
        <v/>
      </c>
      <c r="J450" s="69">
        <f>IF(AND('Cash Flow'!S35&lt;0,I452-I451&lt;$D446),IF(-'Cash Flow'!S35+J449&gt;$D446,$D446-J449,-'Cash Flow'!S35),0)</f>
        <v/>
      </c>
      <c r="K450" s="69">
        <f>IF(AND('Cash Flow'!T35&lt;0,J452-J451&lt;$D446),IF(-'Cash Flow'!T35+K449&gt;$D446,$D446-K449,-'Cash Flow'!T35),0)</f>
        <v/>
      </c>
      <c r="L450" s="1070">
        <f>IF(AND('Cash Flow'!U35&lt;0,K452-K451&lt;$D446),IF(-'Cash Flow'!U35+L449&gt;$D446,$D446-L449,-'Cash Flow'!U35),0)</f>
        <v/>
      </c>
      <c r="M450" s="69">
        <f>IF(AND('Cash Flow'!V35&lt;0,L452-L451&lt;$D446),IF(-'Cash Flow'!V35+M449&gt;$D446,$D446-M449,-'Cash Flow'!V35),0)</f>
        <v/>
      </c>
      <c r="N450" s="69">
        <f>IF(AND('Cash Flow'!W35&lt;0,M452-M451&lt;$D446),IF(-'Cash Flow'!W35+N449&gt;$D446,$D446-N449,-'Cash Flow'!W35),0)</f>
        <v/>
      </c>
      <c r="O450" s="69">
        <f>IF(AND('Cash Flow'!X35&lt;0,N452-N451&lt;$D446),IF(-'Cash Flow'!X35+O449&gt;$D446,$D446-O449,-'Cash Flow'!X35),0)</f>
        <v/>
      </c>
      <c r="P450" s="69">
        <f>IF(AND('Cash Flow'!Y35&lt;0,O452-O451&lt;$D446),IF(-'Cash Flow'!Y35+P449&gt;$D446,$D446-P449,-'Cash Flow'!Y35),0)</f>
        <v/>
      </c>
      <c r="Q450" s="69">
        <f>IF(AND('Cash Flow'!Z35&lt;0,P452-P451&lt;$D446),IF(-'Cash Flow'!Z35+Q449&gt;$D446,$D446-Q449,-'Cash Flow'!Z35),0)</f>
        <v/>
      </c>
      <c r="R450" s="1070">
        <f>IF(AND('Cash Flow'!AA35&lt;0,Q452-Q451&lt;$D446),IF(-'Cash Flow'!AA35+R449&gt;$D446,$D446-R449,-'Cash Flow'!AA35),0)</f>
        <v/>
      </c>
      <c r="S450" s="69">
        <f>IF(AND('Cash Flow'!AB35&lt;0,R452-R451&lt;$D446),IF(-'Cash Flow'!AB35+S449&gt;$D446,$D446-S449,-'Cash Flow'!AB35),0)</f>
        <v/>
      </c>
      <c r="T450" s="69">
        <f>IF(AND('Cash Flow'!AC35&lt;0,S452-S451&lt;$D446),IF(-'Cash Flow'!AC35+T449&gt;$D446,$D446-T449,-'Cash Flow'!AC35),0)</f>
        <v/>
      </c>
      <c r="U450" s="69">
        <f>IF(AND('Cash Flow'!AD35&lt;0,T452-T451&lt;$D446),IF(-'Cash Flow'!AD35+U449&gt;$D446,$D446-U449,-'Cash Flow'!AD35),0)</f>
        <v/>
      </c>
      <c r="V450" s="69">
        <f>IF(AND('Cash Flow'!AE35&lt;0,U452-U451&lt;$D446),IF(-'Cash Flow'!AE35+V449&gt;$D446,$D446-V449,-'Cash Flow'!AE35),0)</f>
        <v/>
      </c>
      <c r="W450" s="69">
        <f>IF(AND('Cash Flow'!AF35&lt;0,V452-V451&lt;$D446),IF(-'Cash Flow'!AF35+W449&gt;$D446,$D446-W449,-'Cash Flow'!AF35),0)</f>
        <v/>
      </c>
      <c r="X450" s="1070">
        <f>IF(AND('Cash Flow'!AG35&lt;0,W452-W451&lt;$D446),IF(-'Cash Flow'!AG35+X449&gt;$D446,$D446-X449,-'Cash Flow'!AG35),0)</f>
        <v/>
      </c>
      <c r="Y450" s="69">
        <f>IF(AND('Cash Flow'!AH35&lt;0,X452-X451&lt;$D446),IF(-'Cash Flow'!AH35+Y449&gt;$D446,$D446-Y449,-'Cash Flow'!AH35),0)</f>
        <v/>
      </c>
      <c r="Z450" s="69">
        <f>IF(AND('Cash Flow'!AI35&lt;0,Y452-Y451&lt;$D446),IF(-'Cash Flow'!AI35+Z449&gt;$D446,$D446-Z449,-'Cash Flow'!AI35),0)</f>
        <v/>
      </c>
      <c r="AA450" s="69">
        <f>IF(AND('Cash Flow'!AJ35&lt;0,Z452-Z451&lt;$D446),IF(-'Cash Flow'!AJ35+AA449&gt;$D446,$D446-AA449,-'Cash Flow'!AJ35),0)</f>
        <v/>
      </c>
      <c r="AB450" s="69">
        <f>IF(AND('Cash Flow'!AK35&lt;0,AA452-AA451&lt;$D446),IF(-'Cash Flow'!AK35+AB449&gt;$D446,$D446-AB449,-'Cash Flow'!AK35),0)</f>
        <v/>
      </c>
      <c r="AC450" s="69">
        <f>IF(AND('Cash Flow'!AL35&lt;0,AB452-AB451&lt;$D446),IF(-'Cash Flow'!AL35+AC449&gt;$D446,$D446-AC449,-'Cash Flow'!AL35),0)</f>
        <v/>
      </c>
      <c r="AD450" s="1070">
        <f>IF(AND('Cash Flow'!AM35&lt;0,AC452-AC451&lt;$D446),IF(-'Cash Flow'!AM35+AD449&gt;$D446,$D446-AD449,-'Cash Flow'!AM35),0)</f>
        <v/>
      </c>
      <c r="AE450" s="69">
        <f>IF(AND('Cash Flow'!AN35&lt;0,AD452-AD451&lt;$D446),IF(-'Cash Flow'!AN35+AE449&gt;$D446,$D446-AE449,-'Cash Flow'!AN35),0)</f>
        <v/>
      </c>
      <c r="AF450" s="69">
        <f>IF(AND('Cash Flow'!AO35&lt;0,AE452-AE451&lt;$D446),IF(-'Cash Flow'!AO35+AF449&gt;$D446,$D446-AF449,-'Cash Flow'!AO35),0)</f>
        <v/>
      </c>
      <c r="AG450" s="69">
        <f>IF(AND('Cash Flow'!AP35&lt;0,AF452-AF451&lt;$D446),IF(-'Cash Flow'!AP35+AG449&gt;$D446,$D446-AG449,-'Cash Flow'!AP35),0)</f>
        <v/>
      </c>
      <c r="AH450" s="69">
        <f>IF(AND('Cash Flow'!AQ35&lt;0,AG452-AG451&lt;$D446),IF(-'Cash Flow'!AQ35+AH449&gt;$D446,$D446-AH449,-'Cash Flow'!AQ35),0)</f>
        <v/>
      </c>
      <c r="AI450" s="69">
        <f>IF(AND('Cash Flow'!AR35&lt;0,AH452-AH451&lt;$D446),IF(-'Cash Flow'!AR35+AI449&gt;$D446,$D446-AI449,-'Cash Flow'!AR35),0)</f>
        <v/>
      </c>
      <c r="AJ450" s="1070">
        <f>IF(AND('Cash Flow'!AS35&lt;0,AI452-AI451&lt;$D446),IF(-'Cash Flow'!AS35+AJ449&gt;$D446,$D446-AJ449,-'Cash Flow'!AS35),0)</f>
        <v/>
      </c>
      <c r="AK450" s="69">
        <f>IF(AND('Cash Flow'!AT35&lt;0,AJ452-AJ451&lt;$D446),IF(-'Cash Flow'!AT35+AK449&gt;$D446,$D446-AK449,-'Cash Flow'!AT35),0)</f>
        <v/>
      </c>
      <c r="AL450" s="69">
        <f>IF(AND('Cash Flow'!AU35&lt;0,AK452-AK451&lt;$D446),IF(-'Cash Flow'!AU35+AL449&gt;$D446,$D446-AL449,-'Cash Flow'!AU35),0)</f>
        <v/>
      </c>
      <c r="AM450" s="69">
        <f>IF(AND('Cash Flow'!AV35&lt;0,AL452-AL451&lt;$D446),IF(-'Cash Flow'!AV35+AM449&gt;$D446,$D446-AM449,-'Cash Flow'!AV35),0)</f>
        <v/>
      </c>
      <c r="AN450" s="69">
        <f>IF(AND('Cash Flow'!AW35&lt;0,AM452-AM451&lt;$D446),IF(-'Cash Flow'!AW35+AN449&gt;$D446,$D446-AN449,-'Cash Flow'!AW35),0)</f>
        <v/>
      </c>
      <c r="AO450" s="69">
        <f>IF(AND('Cash Flow'!AX35&lt;0,AN452-AN451&lt;$D446),IF(-'Cash Flow'!AX35+AO449&gt;$D446,$D446-AO449,-'Cash Flow'!AX35),0)</f>
        <v/>
      </c>
      <c r="AP450" s="1070">
        <f>IF(AND('Cash Flow'!AY35&lt;0,AO452-AO451&lt;$D446),IF(-'Cash Flow'!AY35+AP449&gt;$D446,$D446-AP449,-'Cash Flow'!AY35),0)</f>
        <v/>
      </c>
      <c r="AQ450" s="69">
        <f>IF(AND('Cash Flow'!AZ35&lt;0,AP452-AP451&lt;$D446),IF(-'Cash Flow'!AZ35+AQ449&gt;$D446,$D446-AQ449,-'Cash Flow'!AZ35),0)</f>
        <v/>
      </c>
      <c r="AR450" s="69">
        <f>IF(AND('Cash Flow'!BA35&lt;0,AQ452-AQ451&lt;$D446),IF(-'Cash Flow'!BA35+AR449&gt;$D446,$D446-AR449,-'Cash Flow'!BA35),0)</f>
        <v/>
      </c>
      <c r="AS450" s="69">
        <f>IF(AND('Cash Flow'!BB35&lt;0,AR452-AR451&lt;$D446),IF(-'Cash Flow'!BB35+AS449&gt;$D446,$D446-AS449,-'Cash Flow'!BB35),0)</f>
        <v/>
      </c>
      <c r="AT450" s="69">
        <f>IF(AND('Cash Flow'!BC35&lt;0,AS452-AS451&lt;$D446),IF(-'Cash Flow'!BC35+AT449&gt;$D446,$D446-AT449,-'Cash Flow'!BC35),0)</f>
        <v/>
      </c>
      <c r="AU450" s="69">
        <f>IF(AND('Cash Flow'!BD35&lt;0,AT452-AT451&lt;$D446),IF(-'Cash Flow'!BD35+AU449&gt;$D446,$D446-AU449,-'Cash Flow'!BD35),0)</f>
        <v/>
      </c>
      <c r="AV450" s="1070">
        <f>IF(AND('Cash Flow'!BE35&lt;0,AU452-AU451&lt;$D446),IF(-'Cash Flow'!BE35+AV449&gt;$D446,$D446-AV449,-'Cash Flow'!BE35),0)</f>
        <v/>
      </c>
      <c r="AW450" s="69">
        <f>IF(AND('Cash Flow'!BF35&lt;0,AV452-AV451&lt;$D446),IF(-'Cash Flow'!BF35+AW449&gt;$D446,$D446-AW449,-'Cash Flow'!BF35),0)</f>
        <v/>
      </c>
      <c r="AX450" s="69">
        <f>IF(AND('Cash Flow'!BG35&lt;0,AW452-AW451&lt;$D446),IF(-'Cash Flow'!BG35+AX449&gt;$D446,$D446-AX449,-'Cash Flow'!BG35),0)</f>
        <v/>
      </c>
      <c r="AY450" s="69">
        <f>IF(AND('Cash Flow'!BH35&lt;0,AX452-AX451&lt;$D446),IF(-'Cash Flow'!BH35+AY449&gt;$D446,$D446-AY449,-'Cash Flow'!BH35),0)</f>
        <v/>
      </c>
      <c r="AZ450" s="69">
        <f>IF(AND('Cash Flow'!BI35&lt;0,AY452-AY451&lt;$D446),IF(-'Cash Flow'!BI35+AZ449&gt;$D446,$D446-AZ449,-'Cash Flow'!BI35),0)</f>
        <v/>
      </c>
      <c r="BA450" s="69">
        <f>IF(AND('Cash Flow'!BJ35&lt;0,AZ452-AZ451&lt;$D446),IF(-'Cash Flow'!BJ35+BA449&gt;$D446,$D446-BA449,-'Cash Flow'!BJ35),0)</f>
        <v/>
      </c>
      <c r="BB450" s="1070">
        <f>IF(AND('Cash Flow'!BK35&lt;0,BA452-BA451&lt;$D446),IF(-'Cash Flow'!BK35+BB449&gt;$D446,$D446-BB449,-'Cash Flow'!BK35),0)</f>
        <v/>
      </c>
      <c r="BC450" s="69">
        <f>IF(AND('Cash Flow'!BL35&lt;0,BB452-BB451&lt;$D446),IF(-'Cash Flow'!BL35+BC449&gt;$D446,$D446-BC449,-'Cash Flow'!BL35),0)</f>
        <v/>
      </c>
      <c r="BD450" s="69">
        <f>IF(AND('Cash Flow'!BM35&lt;0,BC452-BC451&lt;$D446),IF(-'Cash Flow'!BM35+BD449&gt;$D446,$D446-BD449,-'Cash Flow'!BM35),0)</f>
        <v/>
      </c>
      <c r="BE450" s="69">
        <f>IF(AND('Cash Flow'!BN35&lt;0,BD452-BD451&lt;$D446),IF(-'Cash Flow'!BN35+BE449&gt;$D446,$D446-BE449,-'Cash Flow'!BN35),0)</f>
        <v/>
      </c>
      <c r="BF450" s="69">
        <f>IF(AND('Cash Flow'!BO35&lt;0,BE452-BE451&lt;$D446),IF(-'Cash Flow'!BO35+BF449&gt;$D446,$D446-BF449,-'Cash Flow'!BO35),0)</f>
        <v/>
      </c>
      <c r="BG450" s="69">
        <f>IF(AND('Cash Flow'!BP35&lt;0,BF452-BF451&lt;$D446),IF(-'Cash Flow'!BP35+BG449&gt;$D446,$D446-BG449,-'Cash Flow'!BP35),0)</f>
        <v/>
      </c>
      <c r="BH450" s="1070">
        <f>IF(AND('Cash Flow'!BQ35&lt;0,BG452-BG451&lt;$D446),IF(-'Cash Flow'!BQ35+BH449&gt;$D446,$D446-BH449,-'Cash Flow'!BQ35),0)</f>
        <v/>
      </c>
      <c r="BI450" s="69">
        <f>IF(AND('Cash Flow'!BR35&lt;0,BH452-BH451&lt;$D446),IF(-'Cash Flow'!BR35+BI449&gt;$D446,$D446-BI449,-'Cash Flow'!BR35),0)</f>
        <v/>
      </c>
      <c r="BJ450" s="69">
        <f>IF(AND('Cash Flow'!BS35&lt;0,BI452-BI451&lt;$D446),IF(-'Cash Flow'!BS35+BJ449&gt;$D446,$D446-BJ449,-'Cash Flow'!BS35),0)</f>
        <v/>
      </c>
      <c r="BK450" s="69">
        <f>IF(AND('Cash Flow'!BT35&lt;0,BJ452-BJ451&lt;$D446),IF(-'Cash Flow'!BT35+BK449&gt;$D446,$D446-BK449,-'Cash Flow'!BT35),0)</f>
        <v/>
      </c>
      <c r="BL450" s="69">
        <f>IF(AND('Cash Flow'!BU35&lt;0,BK452-BK451&lt;$D446),IF(-'Cash Flow'!BU35+BL449&gt;$D446,$D446-BL449,-'Cash Flow'!BU35),0)</f>
        <v/>
      </c>
      <c r="BM450" s="69">
        <f>IF(AND('Cash Flow'!BV35&lt;0,BL452-BL451&lt;$D446),IF(-'Cash Flow'!BV35+BM449&gt;$D446,$D446-BM449,-'Cash Flow'!BV35),0)</f>
        <v/>
      </c>
      <c r="BN450" s="1070">
        <f>IF(AND('Cash Flow'!BW35&lt;0,BM452-BM451&lt;$D446),IF(-'Cash Flow'!BW35+BN449&gt;$D446,$D446-BN449,-'Cash Flow'!BW35),0)</f>
        <v/>
      </c>
    </row>
    <row r="451" ht="12.75" customHeight="1" s="1883">
      <c r="C451" s="1141" t="inlineStr">
        <is>
          <t>Interest</t>
        </is>
      </c>
      <c r="D451" s="59" t="n"/>
      <c r="E451" s="69">
        <f>+'6B. Pre-Launch Exps. - Detail'!P232</f>
        <v/>
      </c>
      <c r="F451" s="69">
        <f>+'6B. Pre-Launch Exps. - Detail'!Q232</f>
        <v/>
      </c>
      <c r="G451" s="69">
        <f>+G449*$D447/12</f>
        <v/>
      </c>
      <c r="H451" s="69">
        <f>+H449*$D447/12</f>
        <v/>
      </c>
      <c r="I451" s="69">
        <f>+I449*$D447/12</f>
        <v/>
      </c>
      <c r="J451" s="69">
        <f>+J449*$D447/12</f>
        <v/>
      </c>
      <c r="K451" s="69">
        <f>+K449*$D447/12</f>
        <v/>
      </c>
      <c r="L451" s="1070">
        <f>+L449*$D447/12</f>
        <v/>
      </c>
      <c r="M451" s="69">
        <f>+M449*$D447/12</f>
        <v/>
      </c>
      <c r="N451" s="69">
        <f>+N449*$D447/12</f>
        <v/>
      </c>
      <c r="O451" s="69">
        <f>+O449*$D447/12</f>
        <v/>
      </c>
      <c r="P451" s="69">
        <f>+P449*$D447/12</f>
        <v/>
      </c>
      <c r="Q451" s="69">
        <f>+Q449*$D447/12</f>
        <v/>
      </c>
      <c r="R451" s="1070">
        <f>+R449*$D447/12</f>
        <v/>
      </c>
      <c r="S451" s="69">
        <f>+S449*$D447/12</f>
        <v/>
      </c>
      <c r="T451" s="69">
        <f>+T449*$D447/12</f>
        <v/>
      </c>
      <c r="U451" s="69">
        <f>+U449*$D447/12</f>
        <v/>
      </c>
      <c r="V451" s="69">
        <f>+V449*$D447/12</f>
        <v/>
      </c>
      <c r="W451" s="69">
        <f>+W449*$D447/12</f>
        <v/>
      </c>
      <c r="X451" s="1070">
        <f>+X449*$D447/12</f>
        <v/>
      </c>
      <c r="Y451" s="69">
        <f>+Y449*$D447/12</f>
        <v/>
      </c>
      <c r="Z451" s="69">
        <f>+Z449*$D447/12</f>
        <v/>
      </c>
      <c r="AA451" s="69">
        <f>+AA449*$D447/12</f>
        <v/>
      </c>
      <c r="AB451" s="69">
        <f>+AB449*$D447/12</f>
        <v/>
      </c>
      <c r="AC451" s="69">
        <f>+AC449*$D447/12</f>
        <v/>
      </c>
      <c r="AD451" s="1070">
        <f>+AD449*$D447/12</f>
        <v/>
      </c>
      <c r="AE451" s="69">
        <f>+AE449*$D447/12</f>
        <v/>
      </c>
      <c r="AF451" s="69">
        <f>+AF449*$D447/12</f>
        <v/>
      </c>
      <c r="AG451" s="69">
        <f>+AG449*$D447/12</f>
        <v/>
      </c>
      <c r="AH451" s="69">
        <f>+AH449*$D447/12</f>
        <v/>
      </c>
      <c r="AI451" s="69">
        <f>+AI449*$D447/12</f>
        <v/>
      </c>
      <c r="AJ451" s="1070">
        <f>+AJ449*$D447/12</f>
        <v/>
      </c>
      <c r="AK451" s="69">
        <f>+AK449*$D447/12</f>
        <v/>
      </c>
      <c r="AL451" s="69">
        <f>+AL449*$D447/12</f>
        <v/>
      </c>
      <c r="AM451" s="69">
        <f>+AM449*$D447/12</f>
        <v/>
      </c>
      <c r="AN451" s="69">
        <f>+AN449*$D447/12</f>
        <v/>
      </c>
      <c r="AO451" s="69">
        <f>+AO449*$D447/12</f>
        <v/>
      </c>
      <c r="AP451" s="1070">
        <f>+AP449*$D447/12</f>
        <v/>
      </c>
      <c r="AQ451" s="69">
        <f>+AQ449*$D447/12</f>
        <v/>
      </c>
      <c r="AR451" s="69">
        <f>+AR449*$D447/12</f>
        <v/>
      </c>
      <c r="AS451" s="69">
        <f>+AS449*$D447/12</f>
        <v/>
      </c>
      <c r="AT451" s="69">
        <f>+AT449*$D447/12</f>
        <v/>
      </c>
      <c r="AU451" s="69">
        <f>+AU449*$D447/12</f>
        <v/>
      </c>
      <c r="AV451" s="1070">
        <f>+AV449*$D447/12</f>
        <v/>
      </c>
      <c r="AW451" s="69">
        <f>+AW449*$D447/12</f>
        <v/>
      </c>
      <c r="AX451" s="69">
        <f>+AX449*$D447/12</f>
        <v/>
      </c>
      <c r="AY451" s="69">
        <f>+AY449*$D447/12</f>
        <v/>
      </c>
      <c r="AZ451" s="69">
        <f>+AZ449*$D447/12</f>
        <v/>
      </c>
      <c r="BA451" s="69">
        <f>+BA449*$D447/12</f>
        <v/>
      </c>
      <c r="BB451" s="1070">
        <f>+BB449*$D447/12</f>
        <v/>
      </c>
      <c r="BC451" s="69">
        <f>+BC449*$D447/12</f>
        <v/>
      </c>
      <c r="BD451" s="69">
        <f>+BD449*$D447/12</f>
        <v/>
      </c>
      <c r="BE451" s="69">
        <f>+BE449*$D447/12</f>
        <v/>
      </c>
      <c r="BF451" s="69">
        <f>+BF449*$D447/12</f>
        <v/>
      </c>
      <c r="BG451" s="69">
        <f>+BG449*$D447/12</f>
        <v/>
      </c>
      <c r="BH451" s="1070">
        <f>+BH449*$D447/12</f>
        <v/>
      </c>
      <c r="BI451" s="69">
        <f>+BI449*$D447/12</f>
        <v/>
      </c>
      <c r="BJ451" s="69">
        <f>+BJ449*$D447/12</f>
        <v/>
      </c>
      <c r="BK451" s="69">
        <f>+BK449*$D447/12</f>
        <v/>
      </c>
      <c r="BL451" s="69">
        <f>+BL449*$D447/12</f>
        <v/>
      </c>
      <c r="BM451" s="69">
        <f>+BM449*$D447/12</f>
        <v/>
      </c>
      <c r="BN451" s="1070">
        <f>+BN449*$D447/12</f>
        <v/>
      </c>
    </row>
    <row r="452" ht="12.75" customHeight="1" s="1883">
      <c r="C452" s="1141" t="inlineStr">
        <is>
          <t>Bal - End</t>
        </is>
      </c>
      <c r="D452" s="59" t="n"/>
      <c r="E452" s="1173">
        <f>+'6B. Pre-Launch Exps. - Detail'!P233</f>
        <v/>
      </c>
      <c r="F452" s="1173">
        <f>+'6B. Pre-Launch Exps. - Detail'!Q233</f>
        <v/>
      </c>
      <c r="G452" s="1173">
        <f>+SUM(G449:G451)</f>
        <v/>
      </c>
      <c r="H452" s="1173">
        <f>+SUM(H449:H451)</f>
        <v/>
      </c>
      <c r="I452" s="1173">
        <f>+SUM(I449:I451)</f>
        <v/>
      </c>
      <c r="J452" s="1173">
        <f>+SUM(J449:J451)</f>
        <v/>
      </c>
      <c r="K452" s="1173">
        <f>+SUM(K449:K451)</f>
        <v/>
      </c>
      <c r="L452" s="1174">
        <f>+SUM(L449:L451)</f>
        <v/>
      </c>
      <c r="M452" s="1173">
        <f>+SUM(M449:M451)</f>
        <v/>
      </c>
      <c r="N452" s="1173">
        <f>+SUM(N449:N451)</f>
        <v/>
      </c>
      <c r="O452" s="1173">
        <f>+SUM(O449:O451)</f>
        <v/>
      </c>
      <c r="P452" s="1173">
        <f>+SUM(P449:P451)</f>
        <v/>
      </c>
      <c r="Q452" s="1173">
        <f>+SUM(Q449:Q451)</f>
        <v/>
      </c>
      <c r="R452" s="1174">
        <f>+SUM(R449:R451)</f>
        <v/>
      </c>
      <c r="S452" s="1173">
        <f>+SUM(S449:S451)</f>
        <v/>
      </c>
      <c r="T452" s="1173">
        <f>+SUM(T449:T451)</f>
        <v/>
      </c>
      <c r="U452" s="1173">
        <f>+SUM(U449:U451)</f>
        <v/>
      </c>
      <c r="V452" s="1173">
        <f>+SUM(V449:V451)</f>
        <v/>
      </c>
      <c r="W452" s="1173">
        <f>+SUM(W449:W451)</f>
        <v/>
      </c>
      <c r="X452" s="1174">
        <f>+SUM(X449:X451)</f>
        <v/>
      </c>
      <c r="Y452" s="1173">
        <f>+SUM(Y449:Y451)</f>
        <v/>
      </c>
      <c r="Z452" s="1173">
        <f>+SUM(Z449:Z451)</f>
        <v/>
      </c>
      <c r="AA452" s="1173">
        <f>+SUM(AA449:AA451)</f>
        <v/>
      </c>
      <c r="AB452" s="1173">
        <f>+SUM(AB449:AB451)</f>
        <v/>
      </c>
      <c r="AC452" s="1173">
        <f>+SUM(AC449:AC451)</f>
        <v/>
      </c>
      <c r="AD452" s="1174">
        <f>+SUM(AD449:AD451)</f>
        <v/>
      </c>
      <c r="AE452" s="1173">
        <f>+SUM(AE449:AE451)</f>
        <v/>
      </c>
      <c r="AF452" s="1173">
        <f>+SUM(AF449:AF451)</f>
        <v/>
      </c>
      <c r="AG452" s="1173">
        <f>+SUM(AG449:AG451)</f>
        <v/>
      </c>
      <c r="AH452" s="1173">
        <f>+SUM(AH449:AH451)</f>
        <v/>
      </c>
      <c r="AI452" s="1173">
        <f>+SUM(AI449:AI451)</f>
        <v/>
      </c>
      <c r="AJ452" s="1174">
        <f>+SUM(AJ449:AJ451)</f>
        <v/>
      </c>
      <c r="AK452" s="1173">
        <f>+SUM(AK449:AK451)</f>
        <v/>
      </c>
      <c r="AL452" s="1173">
        <f>+SUM(AL449:AL451)</f>
        <v/>
      </c>
      <c r="AM452" s="1173">
        <f>+SUM(AM449:AM451)</f>
        <v/>
      </c>
      <c r="AN452" s="1173">
        <f>+SUM(AN449:AN451)</f>
        <v/>
      </c>
      <c r="AO452" s="1173">
        <f>+SUM(AO449:AO451)</f>
        <v/>
      </c>
      <c r="AP452" s="1174">
        <f>+SUM(AP449:AP451)</f>
        <v/>
      </c>
      <c r="AQ452" s="1173">
        <f>+SUM(AQ449:AQ451)</f>
        <v/>
      </c>
      <c r="AR452" s="1173">
        <f>+SUM(AR449:AR451)</f>
        <v/>
      </c>
      <c r="AS452" s="1173">
        <f>+SUM(AS449:AS451)</f>
        <v/>
      </c>
      <c r="AT452" s="1173">
        <f>+SUM(AT449:AT451)</f>
        <v/>
      </c>
      <c r="AU452" s="1173">
        <f>+SUM(AU449:AU451)</f>
        <v/>
      </c>
      <c r="AV452" s="1174">
        <f>+SUM(AV449:AV451)</f>
        <v/>
      </c>
      <c r="AW452" s="1173">
        <f>+SUM(AW449:AW451)</f>
        <v/>
      </c>
      <c r="AX452" s="1173">
        <f>+SUM(AX449:AX451)</f>
        <v/>
      </c>
      <c r="AY452" s="1173">
        <f>+SUM(AY449:AY451)</f>
        <v/>
      </c>
      <c r="AZ452" s="1173">
        <f>+SUM(AZ449:AZ451)</f>
        <v/>
      </c>
      <c r="BA452" s="1173">
        <f>+SUM(BA449:BA451)</f>
        <v/>
      </c>
      <c r="BB452" s="1174">
        <f>+SUM(BB449:BB451)</f>
        <v/>
      </c>
      <c r="BC452" s="1173">
        <f>+SUM(BC449:BC451)</f>
        <v/>
      </c>
      <c r="BD452" s="1173">
        <f>+SUM(BD449:BD451)</f>
        <v/>
      </c>
      <c r="BE452" s="1173">
        <f>+SUM(BE449:BE451)</f>
        <v/>
      </c>
      <c r="BF452" s="1173">
        <f>+SUM(BF449:BF451)</f>
        <v/>
      </c>
      <c r="BG452" s="1173">
        <f>+SUM(BG449:BG451)</f>
        <v/>
      </c>
      <c r="BH452" s="1174">
        <f>+SUM(BH449:BH451)</f>
        <v/>
      </c>
      <c r="BI452" s="1173">
        <f>+SUM(BI449:BI451)</f>
        <v/>
      </c>
      <c r="BJ452" s="1173">
        <f>+SUM(BJ449:BJ451)</f>
        <v/>
      </c>
      <c r="BK452" s="1173">
        <f>+SUM(BK449:BK451)</f>
        <v/>
      </c>
      <c r="BL452" s="1173">
        <f>+SUM(BL449:BL451)</f>
        <v/>
      </c>
      <c r="BM452" s="1173">
        <f>+SUM(BM449:BM451)</f>
        <v/>
      </c>
      <c r="BN452" s="1174">
        <f>+SUM(BN449:BN451)</f>
        <v/>
      </c>
    </row>
    <row r="453" ht="12.75" customHeight="1" s="1883">
      <c r="C453" s="1038" t="n"/>
      <c r="D453" s="55" t="n"/>
      <c r="E453" s="69" t="n"/>
      <c r="F453" s="69" t="n"/>
      <c r="G453" s="59" t="n"/>
      <c r="H453" s="59" t="n"/>
      <c r="I453" s="59" t="n"/>
      <c r="J453" s="59" t="n"/>
      <c r="K453" s="59" t="n"/>
      <c r="L453" s="1039" t="n"/>
      <c r="M453" s="59" t="n"/>
      <c r="N453" s="59" t="n"/>
      <c r="O453" s="59" t="n"/>
      <c r="P453" s="59" t="n"/>
      <c r="Q453" s="59" t="n"/>
      <c r="R453" s="1039" t="n"/>
      <c r="S453" s="59" t="n"/>
      <c r="T453" s="59" t="n"/>
      <c r="U453" s="59" t="n"/>
      <c r="V453" s="59" t="n"/>
      <c r="W453" s="59" t="n"/>
      <c r="X453" s="1039" t="n"/>
      <c r="Y453" s="59" t="n"/>
      <c r="Z453" s="59" t="n"/>
      <c r="AA453" s="59" t="n"/>
      <c r="AB453" s="59" t="n"/>
      <c r="AC453" s="59" t="n"/>
      <c r="AD453" s="1039" t="n"/>
      <c r="AE453" s="59" t="n"/>
      <c r="AF453" s="59" t="n"/>
      <c r="AG453" s="59" t="n"/>
      <c r="AH453" s="59" t="n"/>
      <c r="AI453" s="59" t="n"/>
      <c r="AJ453" s="1039" t="n"/>
      <c r="AK453" s="59" t="n"/>
      <c r="AL453" s="59" t="n"/>
      <c r="AM453" s="59" t="n"/>
      <c r="AN453" s="59" t="n"/>
      <c r="AO453" s="59" t="n"/>
      <c r="AP453" s="1039" t="n"/>
      <c r="AQ453" s="59" t="n"/>
      <c r="AR453" s="59" t="n"/>
      <c r="AS453" s="59" t="n"/>
      <c r="AT453" s="59" t="n"/>
      <c r="AU453" s="59" t="n"/>
      <c r="AV453" s="1039" t="n"/>
      <c r="AW453" s="59" t="n"/>
      <c r="AX453" s="59" t="n"/>
      <c r="AY453" s="59" t="n"/>
      <c r="AZ453" s="59" t="n"/>
      <c r="BA453" s="59" t="n"/>
      <c r="BB453" s="1039" t="n"/>
      <c r="BC453" s="59" t="n"/>
      <c r="BD453" s="59" t="n"/>
      <c r="BE453" s="59" t="n"/>
      <c r="BF453" s="59" t="n"/>
      <c r="BG453" s="59" t="n"/>
      <c r="BH453" s="1039" t="n"/>
      <c r="BI453" s="59" t="n"/>
      <c r="BJ453" s="59" t="n"/>
      <c r="BK453" s="59" t="n"/>
      <c r="BL453" s="59" t="n"/>
      <c r="BM453" s="59" t="n"/>
      <c r="BN453" s="1039" t="n"/>
    </row>
    <row r="454" ht="12.75" customHeight="1" s="1883">
      <c r="C454" s="1114" t="inlineStr">
        <is>
          <t>Interest Expense</t>
        </is>
      </c>
      <c r="D454" s="88" t="n"/>
      <c r="E454" s="69">
        <f>+'6B. Pre-Launch Exps. - Detail'!P235</f>
        <v/>
      </c>
      <c r="F454" s="69">
        <f>+'6B. Pre-Launch Exps. - Detail'!Q235</f>
        <v/>
      </c>
      <c r="G454" s="73">
        <f>+G451</f>
        <v/>
      </c>
      <c r="H454" s="73">
        <f>+H451</f>
        <v/>
      </c>
      <c r="I454" s="73">
        <f>+I451</f>
        <v/>
      </c>
      <c r="J454" s="73">
        <f>+J451</f>
        <v/>
      </c>
      <c r="K454" s="73">
        <f>+K451</f>
        <v/>
      </c>
      <c r="L454" s="1071">
        <f>+L451</f>
        <v/>
      </c>
      <c r="M454" s="73">
        <f>+M451</f>
        <v/>
      </c>
      <c r="N454" s="73">
        <f>+N451</f>
        <v/>
      </c>
      <c r="O454" s="73">
        <f>+O451</f>
        <v/>
      </c>
      <c r="P454" s="73">
        <f>+P451</f>
        <v/>
      </c>
      <c r="Q454" s="73">
        <f>+Q451</f>
        <v/>
      </c>
      <c r="R454" s="1071">
        <f>+R451</f>
        <v/>
      </c>
      <c r="S454" s="73">
        <f>+S451</f>
        <v/>
      </c>
      <c r="T454" s="73">
        <f>+T451</f>
        <v/>
      </c>
      <c r="U454" s="73">
        <f>+U451</f>
        <v/>
      </c>
      <c r="V454" s="73">
        <f>+V451</f>
        <v/>
      </c>
      <c r="W454" s="73">
        <f>+W451</f>
        <v/>
      </c>
      <c r="X454" s="1071">
        <f>+X451</f>
        <v/>
      </c>
      <c r="Y454" s="73">
        <f>+Y451</f>
        <v/>
      </c>
      <c r="Z454" s="73">
        <f>+Z451</f>
        <v/>
      </c>
      <c r="AA454" s="73">
        <f>+AA451</f>
        <v/>
      </c>
      <c r="AB454" s="73">
        <f>+AB451</f>
        <v/>
      </c>
      <c r="AC454" s="73">
        <f>+AC451</f>
        <v/>
      </c>
      <c r="AD454" s="1071">
        <f>+AD451</f>
        <v/>
      </c>
      <c r="AE454" s="73">
        <f>+AE451</f>
        <v/>
      </c>
      <c r="AF454" s="73">
        <f>+AF451</f>
        <v/>
      </c>
      <c r="AG454" s="73">
        <f>+AG451</f>
        <v/>
      </c>
      <c r="AH454" s="73">
        <f>+AH451</f>
        <v/>
      </c>
      <c r="AI454" s="73">
        <f>+AI451</f>
        <v/>
      </c>
      <c r="AJ454" s="1071">
        <f>+AJ451</f>
        <v/>
      </c>
      <c r="AK454" s="73">
        <f>+AK451</f>
        <v/>
      </c>
      <c r="AL454" s="73">
        <f>+AL451</f>
        <v/>
      </c>
      <c r="AM454" s="73">
        <f>+AM451</f>
        <v/>
      </c>
      <c r="AN454" s="73">
        <f>+AN451</f>
        <v/>
      </c>
      <c r="AO454" s="73">
        <f>+AO451</f>
        <v/>
      </c>
      <c r="AP454" s="1071">
        <f>+AP451</f>
        <v/>
      </c>
      <c r="AQ454" s="73">
        <f>+AQ451</f>
        <v/>
      </c>
      <c r="AR454" s="73">
        <f>+AR451</f>
        <v/>
      </c>
      <c r="AS454" s="73">
        <f>+AS451</f>
        <v/>
      </c>
      <c r="AT454" s="73">
        <f>+AT451</f>
        <v/>
      </c>
      <c r="AU454" s="73">
        <f>+AU451</f>
        <v/>
      </c>
      <c r="AV454" s="1071">
        <f>+AV451</f>
        <v/>
      </c>
      <c r="AW454" s="73">
        <f>+AW451</f>
        <v/>
      </c>
      <c r="AX454" s="73">
        <f>+AX451</f>
        <v/>
      </c>
      <c r="AY454" s="73">
        <f>+AY451</f>
        <v/>
      </c>
      <c r="AZ454" s="73">
        <f>+AZ451</f>
        <v/>
      </c>
      <c r="BA454" s="73">
        <f>+BA451</f>
        <v/>
      </c>
      <c r="BB454" s="1071">
        <f>+BB451</f>
        <v/>
      </c>
      <c r="BC454" s="73">
        <f>+BC451</f>
        <v/>
      </c>
      <c r="BD454" s="73">
        <f>+BD451</f>
        <v/>
      </c>
      <c r="BE454" s="73">
        <f>+BE451</f>
        <v/>
      </c>
      <c r="BF454" s="73">
        <f>+BF451</f>
        <v/>
      </c>
      <c r="BG454" s="73">
        <f>+BG451</f>
        <v/>
      </c>
      <c r="BH454" s="1071">
        <f>+BH451</f>
        <v/>
      </c>
      <c r="BI454" s="73">
        <f>+BI451</f>
        <v/>
      </c>
      <c r="BJ454" s="73">
        <f>+BJ451</f>
        <v/>
      </c>
      <c r="BK454" s="73">
        <f>+BK451</f>
        <v/>
      </c>
      <c r="BL454" s="73">
        <f>+BL451</f>
        <v/>
      </c>
      <c r="BM454" s="73">
        <f>+BM451</f>
        <v/>
      </c>
      <c r="BN454" s="1071">
        <f>+BN451</f>
        <v/>
      </c>
    </row>
    <row r="455" ht="12.75" customHeight="1" s="1883">
      <c r="C455" s="1038" t="n"/>
      <c r="D455" s="55" t="n"/>
      <c r="E455" s="57" t="n"/>
      <c r="F455" s="57" t="n"/>
      <c r="G455" s="59" t="n"/>
      <c r="H455" s="59" t="n"/>
      <c r="I455" s="59" t="n"/>
      <c r="J455" s="59" t="n"/>
      <c r="K455" s="59" t="n"/>
      <c r="L455" s="1039" t="n"/>
      <c r="M455" s="59" t="n"/>
      <c r="N455" s="59" t="n"/>
      <c r="O455" s="59" t="n"/>
      <c r="P455" s="59" t="n"/>
      <c r="Q455" s="59" t="n"/>
      <c r="R455" s="1039" t="n"/>
      <c r="S455" s="59" t="n"/>
      <c r="T455" s="59" t="n"/>
      <c r="U455" s="59" t="n"/>
      <c r="V455" s="59" t="n"/>
      <c r="W455" s="59" t="n"/>
      <c r="X455" s="1039" t="n"/>
      <c r="Y455" s="59" t="n"/>
      <c r="Z455" s="59" t="n"/>
      <c r="AA455" s="59" t="n"/>
      <c r="AB455" s="59" t="n"/>
      <c r="AC455" s="59" t="n"/>
      <c r="AD455" s="1039" t="n"/>
      <c r="AE455" s="59" t="n"/>
      <c r="AF455" s="59" t="n"/>
      <c r="AG455" s="59" t="n"/>
      <c r="AH455" s="59" t="n"/>
      <c r="AI455" s="59" t="n"/>
      <c r="AJ455" s="1039" t="n"/>
      <c r="AK455" s="59" t="n"/>
      <c r="AL455" s="59" t="n"/>
      <c r="AM455" s="59" t="n"/>
      <c r="AN455" s="59" t="n"/>
      <c r="AO455" s="59" t="n"/>
      <c r="AP455" s="1039" t="n"/>
      <c r="AQ455" s="59" t="n"/>
      <c r="AR455" s="59" t="n"/>
      <c r="AS455" s="59" t="n"/>
      <c r="AT455" s="59" t="n"/>
      <c r="AU455" s="59" t="n"/>
      <c r="AV455" s="1039" t="n"/>
      <c r="AW455" s="59" t="n"/>
      <c r="AX455" s="59" t="n"/>
      <c r="AY455" s="59" t="n"/>
      <c r="AZ455" s="59" t="n"/>
      <c r="BA455" s="59" t="n"/>
      <c r="BB455" s="1039" t="n"/>
      <c r="BC455" s="59" t="n"/>
      <c r="BD455" s="59" t="n"/>
      <c r="BE455" s="59" t="n"/>
      <c r="BF455" s="59" t="n"/>
      <c r="BG455" s="59" t="n"/>
      <c r="BH455" s="1039" t="n"/>
      <c r="BI455" s="59" t="n"/>
      <c r="BJ455" s="59" t="n"/>
      <c r="BK455" s="59" t="n"/>
      <c r="BL455" s="59" t="n"/>
      <c r="BM455" s="59" t="n"/>
      <c r="BN455" s="1039" t="n"/>
    </row>
    <row r="456" ht="12.75" customHeight="1" s="1883">
      <c r="C456" s="1038" t="n"/>
      <c r="D456" s="55" t="n"/>
      <c r="E456" s="57" t="n"/>
      <c r="F456" s="57" t="n"/>
      <c r="G456" s="59" t="n"/>
      <c r="H456" s="59" t="n"/>
      <c r="I456" s="59" t="n"/>
      <c r="J456" s="59" t="n"/>
      <c r="K456" s="59" t="n"/>
      <c r="L456" s="1039" t="n"/>
      <c r="M456" s="59" t="n"/>
      <c r="N456" s="59" t="n"/>
      <c r="O456" s="59" t="n"/>
      <c r="P456" s="59" t="n"/>
      <c r="Q456" s="59" t="n"/>
      <c r="R456" s="1039" t="n"/>
      <c r="S456" s="59" t="n"/>
      <c r="T456" s="59" t="n"/>
      <c r="U456" s="59" t="n"/>
      <c r="V456" s="59" t="n"/>
      <c r="W456" s="59" t="n"/>
      <c r="X456" s="1039" t="n"/>
      <c r="Y456" s="59" t="n"/>
      <c r="Z456" s="59" t="n"/>
      <c r="AA456" s="59" t="n"/>
      <c r="AB456" s="59" t="n"/>
      <c r="AC456" s="59" t="n"/>
      <c r="AD456" s="1039" t="n"/>
      <c r="AE456" s="59" t="n"/>
      <c r="AF456" s="59" t="n"/>
      <c r="AG456" s="59" t="n"/>
      <c r="AH456" s="59" t="n"/>
      <c r="AI456" s="59" t="n"/>
      <c r="AJ456" s="1039" t="n"/>
      <c r="AK456" s="59" t="n"/>
      <c r="AL456" s="59" t="n"/>
      <c r="AM456" s="59" t="n"/>
      <c r="AN456" s="59" t="n"/>
      <c r="AO456" s="59" t="n"/>
      <c r="AP456" s="1039" t="n"/>
      <c r="AQ456" s="59" t="n"/>
      <c r="AR456" s="59" t="n"/>
      <c r="AS456" s="59" t="n"/>
      <c r="AT456" s="59" t="n"/>
      <c r="AU456" s="59" t="n"/>
      <c r="AV456" s="1039" t="n"/>
      <c r="AW456" s="59" t="n"/>
      <c r="AX456" s="59" t="n"/>
      <c r="AY456" s="59" t="n"/>
      <c r="AZ456" s="59" t="n"/>
      <c r="BA456" s="59" t="n"/>
      <c r="BB456" s="1039" t="n"/>
      <c r="BC456" s="59" t="n"/>
      <c r="BD456" s="59" t="n"/>
      <c r="BE456" s="59" t="n"/>
      <c r="BF456" s="59" t="n"/>
      <c r="BG456" s="59" t="n"/>
      <c r="BH456" s="1039" t="n"/>
      <c r="BI456" s="59" t="n"/>
      <c r="BJ456" s="59" t="n"/>
      <c r="BK456" s="59" t="n"/>
      <c r="BL456" s="59" t="n"/>
      <c r="BM456" s="59" t="n"/>
      <c r="BN456" s="1039" t="n"/>
    </row>
    <row r="457" ht="12.75" customHeight="1" s="1883">
      <c r="C457" s="1038" t="n"/>
      <c r="D457" s="55" t="n"/>
      <c r="E457" s="57" t="n"/>
      <c r="F457" s="57" t="n"/>
      <c r="G457" s="59" t="n"/>
      <c r="H457" s="59" t="n"/>
      <c r="I457" s="59" t="n"/>
      <c r="J457" s="59" t="n"/>
      <c r="K457" s="59" t="n"/>
      <c r="L457" s="1039" t="n"/>
      <c r="M457" s="59" t="n"/>
      <c r="N457" s="59" t="n"/>
      <c r="O457" s="59" t="n"/>
      <c r="P457" s="59" t="n"/>
      <c r="Q457" s="59" t="n"/>
      <c r="R457" s="1039" t="n"/>
      <c r="S457" s="59" t="n"/>
      <c r="T457" s="59" t="n"/>
      <c r="U457" s="59" t="n"/>
      <c r="V457" s="59" t="n"/>
      <c r="W457" s="59" t="n"/>
      <c r="X457" s="1039" t="n"/>
      <c r="Y457" s="59" t="n"/>
      <c r="Z457" s="59" t="n"/>
      <c r="AA457" s="59" t="n"/>
      <c r="AB457" s="59" t="n"/>
      <c r="AC457" s="59" t="n"/>
      <c r="AD457" s="1039" t="n"/>
      <c r="AE457" s="59" t="n"/>
      <c r="AF457" s="59" t="n"/>
      <c r="AG457" s="59" t="n"/>
      <c r="AH457" s="59" t="n"/>
      <c r="AI457" s="59" t="n"/>
      <c r="AJ457" s="1039" t="n"/>
      <c r="AK457" s="59" t="n"/>
      <c r="AL457" s="59" t="n"/>
      <c r="AM457" s="59" t="n"/>
      <c r="AN457" s="59" t="n"/>
      <c r="AO457" s="59" t="n"/>
      <c r="AP457" s="1039" t="n"/>
      <c r="AQ457" s="59" t="n"/>
      <c r="AR457" s="59" t="n"/>
      <c r="AS457" s="59" t="n"/>
      <c r="AT457" s="59" t="n"/>
      <c r="AU457" s="59" t="n"/>
      <c r="AV457" s="1039" t="n"/>
      <c r="AW457" s="59" t="n"/>
      <c r="AX457" s="59" t="n"/>
      <c r="AY457" s="59" t="n"/>
      <c r="AZ457" s="59" t="n"/>
      <c r="BA457" s="59" t="n"/>
      <c r="BB457" s="1039" t="n"/>
      <c r="BC457" s="59" t="n"/>
      <c r="BD457" s="59" t="n"/>
      <c r="BE457" s="59" t="n"/>
      <c r="BF457" s="59" t="n"/>
      <c r="BG457" s="59" t="n"/>
      <c r="BH457" s="1039" t="n"/>
      <c r="BI457" s="59" t="n"/>
      <c r="BJ457" s="59" t="n"/>
      <c r="BK457" s="59" t="n"/>
      <c r="BL457" s="59" t="n"/>
      <c r="BM457" s="59" t="n"/>
      <c r="BN457" s="1039" t="n"/>
    </row>
    <row r="458" ht="12.75" customHeight="1" s="1883">
      <c r="C458" s="1038" t="n"/>
      <c r="D458" s="55" t="n"/>
      <c r="E458" s="57" t="n"/>
      <c r="F458" s="57" t="n"/>
      <c r="G458" s="59" t="n"/>
      <c r="H458" s="59" t="n"/>
      <c r="I458" s="59" t="n"/>
      <c r="J458" s="59" t="n"/>
      <c r="K458" s="59" t="n"/>
      <c r="L458" s="1039" t="n"/>
      <c r="M458" s="59" t="n"/>
      <c r="N458" s="59" t="n"/>
      <c r="O458" s="59" t="n"/>
      <c r="P458" s="59" t="n"/>
      <c r="Q458" s="59" t="n"/>
      <c r="R458" s="1039" t="n"/>
      <c r="S458" s="59" t="n"/>
      <c r="T458" s="59" t="n"/>
      <c r="U458" s="59" t="n"/>
      <c r="V458" s="59" t="n"/>
      <c r="W458" s="59" t="n"/>
      <c r="X458" s="1039" t="n"/>
      <c r="Y458" s="59" t="n"/>
      <c r="Z458" s="59" t="n"/>
      <c r="AA458" s="59" t="n"/>
      <c r="AB458" s="59" t="n"/>
      <c r="AC458" s="59" t="n"/>
      <c r="AD458" s="1039" t="n"/>
      <c r="AE458" s="59" t="n"/>
      <c r="AF458" s="59" t="n"/>
      <c r="AG458" s="59" t="n"/>
      <c r="AH458" s="59" t="n"/>
      <c r="AI458" s="59" t="n"/>
      <c r="AJ458" s="1039" t="n"/>
      <c r="AK458" s="59" t="n"/>
      <c r="AL458" s="59" t="n"/>
      <c r="AM458" s="59" t="n"/>
      <c r="AN458" s="59" t="n"/>
      <c r="AO458" s="59" t="n"/>
      <c r="AP458" s="1039" t="n"/>
      <c r="AQ458" s="59" t="n"/>
      <c r="AR458" s="59" t="n"/>
      <c r="AS458" s="59" t="n"/>
      <c r="AT458" s="59" t="n"/>
      <c r="AU458" s="59" t="n"/>
      <c r="AV458" s="1039" t="n"/>
      <c r="AW458" s="59" t="n"/>
      <c r="AX458" s="59" t="n"/>
      <c r="AY458" s="59" t="n"/>
      <c r="AZ458" s="59" t="n"/>
      <c r="BA458" s="59" t="n"/>
      <c r="BB458" s="1039" t="n"/>
      <c r="BC458" s="59" t="n"/>
      <c r="BD458" s="59" t="n"/>
      <c r="BE458" s="59" t="n"/>
      <c r="BF458" s="59" t="n"/>
      <c r="BG458" s="59" t="n"/>
      <c r="BH458" s="1039" t="n"/>
      <c r="BI458" s="59" t="n"/>
      <c r="BJ458" s="59" t="n"/>
      <c r="BK458" s="59" t="n"/>
      <c r="BL458" s="59" t="n"/>
      <c r="BM458" s="59" t="n"/>
      <c r="BN458" s="1039" t="n"/>
    </row>
    <row r="459" ht="12.75" customHeight="1" s="1883">
      <c r="C459" s="1038" t="n"/>
      <c r="D459" s="55" t="n"/>
      <c r="E459" s="57" t="n"/>
      <c r="F459" s="57" t="n"/>
      <c r="G459" s="59" t="n"/>
      <c r="H459" s="59" t="n"/>
      <c r="I459" s="59" t="n"/>
      <c r="J459" s="59" t="n"/>
      <c r="K459" s="59" t="n"/>
      <c r="L459" s="1039" t="n"/>
      <c r="M459" s="59" t="n"/>
      <c r="N459" s="59" t="n"/>
      <c r="O459" s="59" t="n"/>
      <c r="P459" s="59" t="n"/>
      <c r="Q459" s="59" t="n"/>
      <c r="R459" s="1039" t="n"/>
      <c r="S459" s="59" t="n"/>
      <c r="T459" s="59" t="n"/>
      <c r="U459" s="59" t="n"/>
      <c r="V459" s="59" t="n"/>
      <c r="W459" s="59" t="n"/>
      <c r="X459" s="1039" t="n"/>
      <c r="Y459" s="59" t="n"/>
      <c r="Z459" s="59" t="n"/>
      <c r="AA459" s="59" t="n"/>
      <c r="AB459" s="59" t="n"/>
      <c r="AC459" s="59" t="n"/>
      <c r="AD459" s="1039" t="n"/>
      <c r="AE459" s="59" t="n"/>
      <c r="AF459" s="59" t="n"/>
      <c r="AG459" s="59" t="n"/>
      <c r="AH459" s="59" t="n"/>
      <c r="AI459" s="59" t="n"/>
      <c r="AJ459" s="1039" t="n"/>
      <c r="AK459" s="59" t="n"/>
      <c r="AL459" s="59" t="n"/>
      <c r="AM459" s="59" t="n"/>
      <c r="AN459" s="59" t="n"/>
      <c r="AO459" s="59" t="n"/>
      <c r="AP459" s="1039" t="n"/>
      <c r="AQ459" s="59" t="n"/>
      <c r="AR459" s="59" t="n"/>
      <c r="AS459" s="59" t="n"/>
      <c r="AT459" s="59" t="n"/>
      <c r="AU459" s="59" t="n"/>
      <c r="AV459" s="1039" t="n"/>
      <c r="AW459" s="59" t="n"/>
      <c r="AX459" s="59" t="n"/>
      <c r="AY459" s="59" t="n"/>
      <c r="AZ459" s="59" t="n"/>
      <c r="BA459" s="59" t="n"/>
      <c r="BB459" s="1039" t="n"/>
      <c r="BC459" s="59" t="n"/>
      <c r="BD459" s="59" t="n"/>
      <c r="BE459" s="59" t="n"/>
      <c r="BF459" s="59" t="n"/>
      <c r="BG459" s="59" t="n"/>
      <c r="BH459" s="1039" t="n"/>
      <c r="BI459" s="59" t="n"/>
      <c r="BJ459" s="59" t="n"/>
      <c r="BK459" s="59" t="n"/>
      <c r="BL459" s="59" t="n"/>
      <c r="BM459" s="59" t="n"/>
      <c r="BN459" s="1039" t="n"/>
    </row>
    <row r="460" ht="12.75" customHeight="1" s="1883">
      <c r="C460" s="1038" t="n"/>
      <c r="D460" s="55" t="n"/>
      <c r="E460" s="57" t="n"/>
      <c r="F460" s="57" t="n"/>
      <c r="G460" s="59" t="n"/>
      <c r="H460" s="59" t="n"/>
      <c r="I460" s="59" t="n"/>
      <c r="J460" s="59" t="n"/>
      <c r="K460" s="59" t="n"/>
      <c r="L460" s="1039" t="n"/>
      <c r="M460" s="59" t="n"/>
      <c r="N460" s="59" t="n"/>
      <c r="O460" s="59" t="n"/>
      <c r="P460" s="59" t="n"/>
      <c r="Q460" s="59" t="n"/>
      <c r="R460" s="1039" t="n"/>
      <c r="S460" s="59" t="n"/>
      <c r="T460" s="59" t="n"/>
      <c r="U460" s="59" t="n"/>
      <c r="V460" s="59" t="n"/>
      <c r="W460" s="59" t="n"/>
      <c r="X460" s="1039" t="n"/>
      <c r="Y460" s="59" t="n"/>
      <c r="Z460" s="59" t="n"/>
      <c r="AA460" s="59" t="n"/>
      <c r="AB460" s="59" t="n"/>
      <c r="AC460" s="59" t="n"/>
      <c r="AD460" s="1039" t="n"/>
      <c r="AE460" s="59" t="n"/>
      <c r="AF460" s="59" t="n"/>
      <c r="AG460" s="59" t="n"/>
      <c r="AH460" s="59" t="n"/>
      <c r="AI460" s="59" t="n"/>
      <c r="AJ460" s="1039" t="n"/>
      <c r="AK460" s="59" t="n"/>
      <c r="AL460" s="59" t="n"/>
      <c r="AM460" s="59" t="n"/>
      <c r="AN460" s="59" t="n"/>
      <c r="AO460" s="59" t="n"/>
      <c r="AP460" s="1039" t="n"/>
      <c r="AQ460" s="59" t="n"/>
      <c r="AR460" s="59" t="n"/>
      <c r="AS460" s="59" t="n"/>
      <c r="AT460" s="59" t="n"/>
      <c r="AU460" s="59" t="n"/>
      <c r="AV460" s="1039" t="n"/>
      <c r="AW460" s="59" t="n"/>
      <c r="AX460" s="59" t="n"/>
      <c r="AY460" s="59" t="n"/>
      <c r="AZ460" s="59" t="n"/>
      <c r="BA460" s="59" t="n"/>
      <c r="BB460" s="1039" t="n"/>
      <c r="BC460" s="59" t="n"/>
      <c r="BD460" s="59" t="n"/>
      <c r="BE460" s="59" t="n"/>
      <c r="BF460" s="59" t="n"/>
      <c r="BG460" s="59" t="n"/>
      <c r="BH460" s="1039" t="n"/>
      <c r="BI460" s="59" t="n"/>
      <c r="BJ460" s="59" t="n"/>
      <c r="BK460" s="59" t="n"/>
      <c r="BL460" s="59" t="n"/>
      <c r="BM460" s="59" t="n"/>
      <c r="BN460" s="1039" t="n"/>
    </row>
    <row r="461" ht="12.75" customHeight="1" s="1883">
      <c r="C461" s="1038" t="n"/>
      <c r="D461" s="55" t="n"/>
      <c r="E461" s="57" t="n"/>
      <c r="F461" s="57" t="n"/>
      <c r="G461" s="59" t="n"/>
      <c r="H461" s="59" t="n"/>
      <c r="I461" s="59" t="n"/>
      <c r="J461" s="59" t="n"/>
      <c r="K461" s="59" t="n"/>
      <c r="L461" s="1039" t="n"/>
      <c r="M461" s="59" t="n"/>
      <c r="N461" s="59" t="n"/>
      <c r="O461" s="59" t="n"/>
      <c r="P461" s="59" t="n"/>
      <c r="Q461" s="59" t="n"/>
      <c r="R461" s="1039" t="n"/>
      <c r="S461" s="59" t="n"/>
      <c r="T461" s="59" t="n"/>
      <c r="U461" s="59" t="n"/>
      <c r="V461" s="59" t="n"/>
      <c r="W461" s="59" t="n"/>
      <c r="X461" s="1039" t="n"/>
      <c r="Y461" s="59" t="n"/>
      <c r="Z461" s="59" t="n"/>
      <c r="AA461" s="59" t="n"/>
      <c r="AB461" s="59" t="n"/>
      <c r="AC461" s="59" t="n"/>
      <c r="AD461" s="1039" t="n"/>
      <c r="AE461" s="59" t="n"/>
      <c r="AF461" s="59" t="n"/>
      <c r="AG461" s="59" t="n"/>
      <c r="AH461" s="59" t="n"/>
      <c r="AI461" s="59" t="n"/>
      <c r="AJ461" s="1039" t="n"/>
      <c r="AK461" s="59" t="n"/>
      <c r="AL461" s="59" t="n"/>
      <c r="AM461" s="59" t="n"/>
      <c r="AN461" s="59" t="n"/>
      <c r="AO461" s="59" t="n"/>
      <c r="AP461" s="1039" t="n"/>
      <c r="AQ461" s="59" t="n"/>
      <c r="AR461" s="59" t="n"/>
      <c r="AS461" s="59" t="n"/>
      <c r="AT461" s="59" t="n"/>
      <c r="AU461" s="59" t="n"/>
      <c r="AV461" s="1039" t="n"/>
      <c r="AW461" s="59" t="n"/>
      <c r="AX461" s="59" t="n"/>
      <c r="AY461" s="59" t="n"/>
      <c r="AZ461" s="59" t="n"/>
      <c r="BA461" s="59" t="n"/>
      <c r="BB461" s="1039" t="n"/>
      <c r="BC461" s="59" t="n"/>
      <c r="BD461" s="59" t="n"/>
      <c r="BE461" s="59" t="n"/>
      <c r="BF461" s="59" t="n"/>
      <c r="BG461" s="59" t="n"/>
      <c r="BH461" s="1039" t="n"/>
      <c r="BI461" s="59" t="n"/>
      <c r="BJ461" s="59" t="n"/>
      <c r="BK461" s="59" t="n"/>
      <c r="BL461" s="59" t="n"/>
      <c r="BM461" s="59" t="n"/>
      <c r="BN461" s="1039" t="n"/>
    </row>
    <row r="462" ht="12.75" customHeight="1" s="1883">
      <c r="C462" s="1038" t="n"/>
      <c r="D462" s="55" t="n"/>
      <c r="E462" s="57" t="n"/>
      <c r="F462" s="57" t="n"/>
      <c r="G462" s="59" t="n"/>
      <c r="H462" s="59" t="n"/>
      <c r="I462" s="59" t="n"/>
      <c r="J462" s="59" t="n"/>
      <c r="K462" s="59" t="n"/>
      <c r="L462" s="1039" t="n"/>
      <c r="M462" s="59" t="n"/>
      <c r="N462" s="59" t="n"/>
      <c r="O462" s="59" t="n"/>
      <c r="P462" s="59" t="n"/>
      <c r="Q462" s="59" t="n"/>
      <c r="R462" s="1039" t="n"/>
      <c r="S462" s="59" t="n"/>
      <c r="T462" s="59" t="n"/>
      <c r="U462" s="59" t="n"/>
      <c r="V462" s="59" t="n"/>
      <c r="W462" s="59" t="n"/>
      <c r="X462" s="1039" t="n"/>
      <c r="Y462" s="59" t="n"/>
      <c r="Z462" s="59" t="n"/>
      <c r="AA462" s="59" t="n"/>
      <c r="AB462" s="59" t="n"/>
      <c r="AC462" s="59" t="n"/>
      <c r="AD462" s="1039" t="n"/>
      <c r="AE462" s="59" t="n"/>
      <c r="AF462" s="59" t="n"/>
      <c r="AG462" s="59" t="n"/>
      <c r="AH462" s="59" t="n"/>
      <c r="AI462" s="59" t="n"/>
      <c r="AJ462" s="1039" t="n"/>
      <c r="AK462" s="59" t="n"/>
      <c r="AL462" s="59" t="n"/>
      <c r="AM462" s="59" t="n"/>
      <c r="AN462" s="59" t="n"/>
      <c r="AO462" s="59" t="n"/>
      <c r="AP462" s="1039" t="n"/>
      <c r="AQ462" s="59" t="n"/>
      <c r="AR462" s="59" t="n"/>
      <c r="AS462" s="59" t="n"/>
      <c r="AT462" s="59" t="n"/>
      <c r="AU462" s="59" t="n"/>
      <c r="AV462" s="1039" t="n"/>
      <c r="AW462" s="59" t="n"/>
      <c r="AX462" s="59" t="n"/>
      <c r="AY462" s="59" t="n"/>
      <c r="AZ462" s="59" t="n"/>
      <c r="BA462" s="59" t="n"/>
      <c r="BB462" s="1039" t="n"/>
      <c r="BC462" s="59" t="n"/>
      <c r="BD462" s="59" t="n"/>
      <c r="BE462" s="59" t="n"/>
      <c r="BF462" s="59" t="n"/>
      <c r="BG462" s="59" t="n"/>
      <c r="BH462" s="1039" t="n"/>
      <c r="BI462" s="59" t="n"/>
      <c r="BJ462" s="59" t="n"/>
      <c r="BK462" s="59" t="n"/>
      <c r="BL462" s="59" t="n"/>
      <c r="BM462" s="59" t="n"/>
      <c r="BN462" s="1039" t="n"/>
    </row>
    <row r="463" ht="12.75" customHeight="1" s="1883">
      <c r="C463" s="1038" t="n"/>
      <c r="D463" s="55" t="n"/>
      <c r="E463" s="57" t="n"/>
      <c r="F463" s="57" t="n"/>
      <c r="G463" s="59" t="n"/>
      <c r="H463" s="59" t="n"/>
      <c r="I463" s="59" t="n"/>
      <c r="J463" s="59" t="n"/>
      <c r="K463" s="59" t="n"/>
      <c r="L463" s="1039" t="n"/>
      <c r="M463" s="59" t="n"/>
      <c r="N463" s="59" t="n"/>
      <c r="O463" s="59" t="n"/>
      <c r="P463" s="59" t="n"/>
      <c r="Q463" s="59" t="n"/>
      <c r="R463" s="1039" t="n"/>
      <c r="S463" s="59" t="n"/>
      <c r="T463" s="59" t="n"/>
      <c r="U463" s="59" t="n"/>
      <c r="V463" s="59" t="n"/>
      <c r="W463" s="59" t="n"/>
      <c r="X463" s="1039" t="n"/>
      <c r="Y463" s="59" t="n"/>
      <c r="Z463" s="59" t="n"/>
      <c r="AA463" s="59" t="n"/>
      <c r="AB463" s="59" t="n"/>
      <c r="AC463" s="59" t="n"/>
      <c r="AD463" s="1039" t="n"/>
      <c r="AE463" s="59" t="n"/>
      <c r="AF463" s="59" t="n"/>
      <c r="AG463" s="59" t="n"/>
      <c r="AH463" s="59" t="n"/>
      <c r="AI463" s="59" t="n"/>
      <c r="AJ463" s="1039" t="n"/>
      <c r="AK463" s="59" t="n"/>
      <c r="AL463" s="59" t="n"/>
      <c r="AM463" s="59" t="n"/>
      <c r="AN463" s="59" t="n"/>
      <c r="AO463" s="59" t="n"/>
      <c r="AP463" s="1039" t="n"/>
      <c r="AQ463" s="59" t="n"/>
      <c r="AR463" s="59" t="n"/>
      <c r="AS463" s="59" t="n"/>
      <c r="AT463" s="59" t="n"/>
      <c r="AU463" s="59" t="n"/>
      <c r="AV463" s="1039" t="n"/>
      <c r="AW463" s="59" t="n"/>
      <c r="AX463" s="59" t="n"/>
      <c r="AY463" s="59" t="n"/>
      <c r="AZ463" s="59" t="n"/>
      <c r="BA463" s="59" t="n"/>
      <c r="BB463" s="1039" t="n"/>
      <c r="BC463" s="59" t="n"/>
      <c r="BD463" s="59" t="n"/>
      <c r="BE463" s="59" t="n"/>
      <c r="BF463" s="59" t="n"/>
      <c r="BG463" s="59" t="n"/>
      <c r="BH463" s="1039" t="n"/>
      <c r="BI463" s="59" t="n"/>
      <c r="BJ463" s="59" t="n"/>
      <c r="BK463" s="59" t="n"/>
      <c r="BL463" s="59" t="n"/>
      <c r="BM463" s="59" t="n"/>
      <c r="BN463" s="1039" t="n"/>
    </row>
    <row r="464" ht="12.75" customHeight="1" s="1883">
      <c r="C464" s="1038" t="n"/>
      <c r="D464" s="55" t="n"/>
      <c r="E464" s="57" t="n"/>
      <c r="F464" s="57" t="n"/>
      <c r="G464" s="59" t="n"/>
      <c r="H464" s="59" t="n"/>
      <c r="I464" s="59" t="n"/>
      <c r="J464" s="59" t="n"/>
      <c r="K464" s="59" t="n"/>
      <c r="L464" s="1039" t="n"/>
      <c r="M464" s="59" t="n"/>
      <c r="N464" s="59" t="n"/>
      <c r="O464" s="59" t="n"/>
      <c r="P464" s="59" t="n"/>
      <c r="Q464" s="59" t="n"/>
      <c r="R464" s="1039" t="n"/>
      <c r="S464" s="59" t="n"/>
      <c r="T464" s="59" t="n"/>
      <c r="U464" s="59" t="n"/>
      <c r="V464" s="59" t="n"/>
      <c r="W464" s="59" t="n"/>
      <c r="X464" s="1039" t="n"/>
      <c r="Y464" s="59" t="n"/>
      <c r="Z464" s="59" t="n"/>
      <c r="AA464" s="59" t="n"/>
      <c r="AB464" s="59" t="n"/>
      <c r="AC464" s="59" t="n"/>
      <c r="AD464" s="1039" t="n"/>
      <c r="AE464" s="59" t="n"/>
      <c r="AF464" s="59" t="n"/>
      <c r="AG464" s="59" t="n"/>
      <c r="AH464" s="59" t="n"/>
      <c r="AI464" s="59" t="n"/>
      <c r="AJ464" s="1039" t="n"/>
      <c r="AK464" s="59" t="n"/>
      <c r="AL464" s="59" t="n"/>
      <c r="AM464" s="59" t="n"/>
      <c r="AN464" s="59" t="n"/>
      <c r="AO464" s="59" t="n"/>
      <c r="AP464" s="1039" t="n"/>
      <c r="AQ464" s="59" t="n"/>
      <c r="AR464" s="59" t="n"/>
      <c r="AS464" s="59" t="n"/>
      <c r="AT464" s="59" t="n"/>
      <c r="AU464" s="59" t="n"/>
      <c r="AV464" s="1039" t="n"/>
      <c r="AW464" s="59" t="n"/>
      <c r="AX464" s="59" t="n"/>
      <c r="AY464" s="59" t="n"/>
      <c r="AZ464" s="59" t="n"/>
      <c r="BA464" s="59" t="n"/>
      <c r="BB464" s="1039" t="n"/>
      <c r="BC464" s="59" t="n"/>
      <c r="BD464" s="59" t="n"/>
      <c r="BE464" s="59" t="n"/>
      <c r="BF464" s="59" t="n"/>
      <c r="BG464" s="59" t="n"/>
      <c r="BH464" s="1039" t="n"/>
      <c r="BI464" s="59" t="n"/>
      <c r="BJ464" s="59" t="n"/>
      <c r="BK464" s="59" t="n"/>
      <c r="BL464" s="59" t="n"/>
      <c r="BM464" s="59" t="n"/>
      <c r="BN464" s="1039" t="n"/>
    </row>
    <row r="465" ht="12.75" customHeight="1" s="1883">
      <c r="D465" s="55" t="n"/>
    </row>
    <row r="466" ht="12.75" customHeight="1" s="1883">
      <c r="D466" s="55" t="n"/>
    </row>
    <row r="467" ht="12.75" customHeight="1" s="1883">
      <c r="D467" s="55" t="n"/>
    </row>
    <row r="468" ht="12.75" customHeight="1" s="1883">
      <c r="D468" s="55" t="n"/>
    </row>
    <row r="469" ht="12.75" customHeight="1" s="1883">
      <c r="D469" s="55" t="n"/>
    </row>
    <row r="470" ht="12.75" customHeight="1" s="1883">
      <c r="D470" s="55" t="n"/>
    </row>
    <row r="471" ht="12.75" customHeight="1" s="1883">
      <c r="D471" s="55" t="n"/>
    </row>
    <row r="472" ht="12.75" customHeight="1" s="1883">
      <c r="D472" s="55" t="n"/>
    </row>
    <row r="473" ht="12.75" customHeight="1" s="1883">
      <c r="D473" s="55" t="n"/>
    </row>
    <row r="474" ht="12.75" customHeight="1" s="1883">
      <c r="D474" s="55" t="n"/>
    </row>
    <row r="475" ht="12.75" customHeight="1" s="1883">
      <c r="D475" s="55" t="n"/>
    </row>
    <row r="476" ht="12.75" customHeight="1" s="1883">
      <c r="D476" s="55" t="n"/>
    </row>
    <row r="477" ht="12.75" customHeight="1" s="1883">
      <c r="D477" s="55" t="n"/>
    </row>
    <row r="478" ht="12.75" customHeight="1" s="1883">
      <c r="D478" s="55" t="n"/>
    </row>
    <row r="479" ht="12.75" customHeight="1" s="1883">
      <c r="D479" s="55" t="n"/>
    </row>
    <row r="480" ht="12.75" customHeight="1" s="1883">
      <c r="D480" s="55" t="n"/>
    </row>
    <row r="481" ht="12.75" customHeight="1" s="1883">
      <c r="D481" s="55" t="n"/>
    </row>
    <row r="482" ht="12.75" customHeight="1" s="1883">
      <c r="D482" s="55" t="n"/>
    </row>
    <row r="483" ht="12.75" customHeight="1" s="1883">
      <c r="D483" s="55" t="n"/>
    </row>
    <row r="484" ht="12.75" customHeight="1" s="1883">
      <c r="D484" s="55" t="n"/>
    </row>
    <row r="485" ht="12.75" customHeight="1" s="1883">
      <c r="D485" s="55" t="n"/>
    </row>
    <row r="486" ht="12.75" customHeight="1" s="1883">
      <c r="D486" s="55" t="n"/>
    </row>
    <row r="487" ht="12.75" customHeight="1" s="1883">
      <c r="D487" s="55" t="n"/>
    </row>
    <row r="488" ht="12.75" customHeight="1" s="1883">
      <c r="D488" s="55" t="n"/>
    </row>
    <row r="489" ht="12.75" customHeight="1" s="1883">
      <c r="D489" s="55" t="n"/>
    </row>
    <row r="490" ht="12.75" customHeight="1" s="1883">
      <c r="D490" s="55" t="n"/>
    </row>
    <row r="491" ht="12.75" customHeight="1" s="1883">
      <c r="D491" s="55" t="n"/>
    </row>
    <row r="492" ht="12.75" customHeight="1" s="1883">
      <c r="D492" s="55" t="n"/>
    </row>
    <row r="493" ht="12.75" customHeight="1" s="1883">
      <c r="D493" s="55" t="n"/>
    </row>
    <row r="494" ht="12.75" customHeight="1" s="1883">
      <c r="D494" s="55" t="n"/>
    </row>
    <row r="495" ht="12.75" customHeight="1" s="1883">
      <c r="D495" s="55" t="n"/>
    </row>
    <row r="496" ht="12.75" customHeight="1" s="1883">
      <c r="D496" s="55" t="n"/>
    </row>
    <row r="497" ht="12.75" customHeight="1" s="1883">
      <c r="D497" s="55" t="n"/>
    </row>
    <row r="498" ht="12.75" customHeight="1" s="1883">
      <c r="D498" s="55" t="n"/>
    </row>
    <row r="499" ht="12.75" customHeight="1" s="1883">
      <c r="D499" s="55" t="n"/>
    </row>
    <row r="500" ht="12.75" customHeight="1" s="1883">
      <c r="D500" s="55" t="n"/>
    </row>
    <row r="501" ht="12.75" customHeight="1" s="1883">
      <c r="D501" s="55" t="n"/>
    </row>
    <row r="502" ht="12.75" customHeight="1" s="1883">
      <c r="D502" s="55" t="n"/>
    </row>
    <row r="503" ht="12.75" customHeight="1" s="1883">
      <c r="D503" s="55" t="n"/>
    </row>
    <row r="504" ht="12.75" customHeight="1" s="1883">
      <c r="D504" s="55" t="n"/>
    </row>
    <row r="505" ht="12.75" customHeight="1" s="1883">
      <c r="D505" s="55" t="n"/>
    </row>
    <row r="506" ht="12.75" customHeight="1" s="1883">
      <c r="D506" s="55" t="n"/>
    </row>
    <row r="507" ht="12.75" customHeight="1" s="1883">
      <c r="D507" s="55" t="n"/>
    </row>
    <row r="508" ht="12.75" customHeight="1" s="1883">
      <c r="D508" s="55" t="n"/>
    </row>
    <row r="509" ht="12.75" customHeight="1" s="1883">
      <c r="D509" s="55" t="n"/>
    </row>
    <row r="510" ht="12.75" customHeight="1" s="1883">
      <c r="D510" s="55" t="n"/>
    </row>
    <row r="511" ht="12.75" customHeight="1" s="1883">
      <c r="D511" s="55" t="n"/>
    </row>
    <row r="512" ht="12.75" customHeight="1" s="1883">
      <c r="D512" s="55" t="n"/>
    </row>
    <row r="513" ht="12.75" customHeight="1" s="1883">
      <c r="D513" s="55" t="n"/>
    </row>
    <row r="514" ht="12.75" customHeight="1" s="1883">
      <c r="D514" s="55" t="n"/>
    </row>
    <row r="515" ht="12.75" customHeight="1" s="1883">
      <c r="D515" s="55" t="n"/>
    </row>
    <row r="516" ht="12.75" customHeight="1" s="1883">
      <c r="D516" s="55" t="n"/>
    </row>
    <row r="517" ht="12.75" customHeight="1" s="1883">
      <c r="D517" s="55" t="n"/>
    </row>
    <row r="518" ht="12.75" customHeight="1" s="1883">
      <c r="D518" s="55" t="n"/>
    </row>
    <row r="519" ht="12.75" customHeight="1" s="1883">
      <c r="D519" s="55" t="n"/>
    </row>
    <row r="520" ht="12.75" customHeight="1" s="1883">
      <c r="D520" s="55" t="n"/>
    </row>
    <row r="521" ht="12.75" customHeight="1" s="1883">
      <c r="D521" s="55" t="n"/>
    </row>
    <row r="522" ht="12.75" customHeight="1" s="1883">
      <c r="D522" s="55" t="n"/>
    </row>
    <row r="523" ht="12.75" customHeight="1" s="1883">
      <c r="D523" s="55" t="n"/>
    </row>
    <row r="524" ht="12.75" customHeight="1" s="1883">
      <c r="D524" s="55" t="n"/>
    </row>
    <row r="525" ht="12.75" customHeight="1" s="1883">
      <c r="D525" s="55" t="n"/>
    </row>
    <row r="526" ht="12.75" customHeight="1" s="1883">
      <c r="D526" s="55" t="n"/>
    </row>
    <row r="527" ht="12.75" customHeight="1" s="1883">
      <c r="D527" s="55" t="n"/>
    </row>
    <row r="528" ht="12.75" customHeight="1" s="1883">
      <c r="D528" s="55" t="n"/>
    </row>
    <row r="529" ht="12.75" customHeight="1" s="1883">
      <c r="D529" s="55" t="n"/>
    </row>
    <row r="530" ht="12.75" customHeight="1" s="1883">
      <c r="D530" s="55" t="n"/>
    </row>
    <row r="531" ht="12.75" customHeight="1" s="1883">
      <c r="D531" s="55" t="n"/>
    </row>
    <row r="532" ht="12.75" customHeight="1" s="1883">
      <c r="D532" s="55" t="n"/>
    </row>
    <row r="533" ht="12.75" customHeight="1" s="1883">
      <c r="D533" s="55" t="n"/>
    </row>
    <row r="534" ht="12.75" customHeight="1" s="1883">
      <c r="D534" s="55" t="n"/>
    </row>
    <row r="535" ht="12.75" customHeight="1" s="1883">
      <c r="D535" s="55" t="n"/>
    </row>
    <row r="536" ht="12.75" customHeight="1" s="1883">
      <c r="D536" s="55" t="n"/>
    </row>
    <row r="537" ht="12.75" customHeight="1" s="1883">
      <c r="D537" s="55" t="n"/>
    </row>
    <row r="538" ht="12.75" customHeight="1" s="1883">
      <c r="D538" s="55" t="n"/>
    </row>
    <row r="539" ht="12.75" customHeight="1" s="1883">
      <c r="D539" s="55" t="n"/>
    </row>
    <row r="540" ht="12.75" customHeight="1" s="1883">
      <c r="D540" s="55" t="n"/>
    </row>
    <row r="541" ht="12.75" customHeight="1" s="1883">
      <c r="D541" s="55" t="n"/>
    </row>
    <row r="542" ht="12.75" customHeight="1" s="1883">
      <c r="D542" s="55" t="n"/>
    </row>
    <row r="543" ht="12.75" customHeight="1" s="1883">
      <c r="D543" s="55" t="n"/>
    </row>
    <row r="544" ht="12.75" customHeight="1" s="1883">
      <c r="D544" s="55" t="n"/>
    </row>
    <row r="545" ht="12.75" customHeight="1" s="1883">
      <c r="D545" s="55" t="n"/>
    </row>
    <row r="546" ht="12.75" customHeight="1" s="1883">
      <c r="D546" s="55" t="n"/>
    </row>
    <row r="547" ht="12.75" customHeight="1" s="1883">
      <c r="D547" s="55" t="n"/>
    </row>
    <row r="548" ht="12.75" customHeight="1" s="1883">
      <c r="D548" s="55" t="n"/>
    </row>
    <row r="549" ht="12.75" customHeight="1" s="1883">
      <c r="D549" s="55" t="n"/>
    </row>
    <row r="550" ht="12.75" customHeight="1" s="1883">
      <c r="D550" s="55" t="n"/>
    </row>
    <row r="551" ht="12.75" customHeight="1" s="1883">
      <c r="D551" s="55" t="n"/>
    </row>
    <row r="552" ht="12.75" customHeight="1" s="1883">
      <c r="D552" s="55" t="n"/>
    </row>
    <row r="553" ht="12.75" customHeight="1" s="1883">
      <c r="D553" s="55" t="n"/>
    </row>
    <row r="554" ht="12.75" customHeight="1" s="1883">
      <c r="D554" s="55" t="n"/>
    </row>
    <row r="555" ht="12.75" customHeight="1" s="1883">
      <c r="D555" s="55" t="n"/>
    </row>
    <row r="556" ht="12.75" customHeight="1" s="1883">
      <c r="D556" s="55" t="n"/>
    </row>
    <row r="557" ht="12.75" customHeight="1" s="1883">
      <c r="D557" s="55" t="n"/>
    </row>
    <row r="558" ht="12.75" customHeight="1" s="1883">
      <c r="D558" s="55" t="n"/>
    </row>
    <row r="559" ht="12.75" customHeight="1" s="1883">
      <c r="D559" s="55" t="n"/>
    </row>
    <row r="560" ht="12.75" customHeight="1" s="1883">
      <c r="D560" s="55" t="n"/>
    </row>
    <row r="561" ht="12.75" customHeight="1" s="1883">
      <c r="D561" s="55" t="n"/>
    </row>
    <row r="562" ht="12.75" customHeight="1" s="1883">
      <c r="D562" s="55" t="n"/>
    </row>
    <row r="563" ht="12.75" customHeight="1" s="1883">
      <c r="D563" s="55" t="n"/>
    </row>
    <row r="564" ht="12.75" customHeight="1" s="1883">
      <c r="D564" s="55" t="n"/>
    </row>
    <row r="565" ht="12.75" customHeight="1" s="1883">
      <c r="D565" s="55" t="n"/>
    </row>
    <row r="566" ht="12.75" customHeight="1" s="1883">
      <c r="D566" s="55" t="n"/>
    </row>
    <row r="567" ht="12.75" customHeight="1" s="1883">
      <c r="D567" s="55" t="n"/>
    </row>
    <row r="568" ht="12.75" customHeight="1" s="1883">
      <c r="D568" s="55" t="n"/>
    </row>
    <row r="569" ht="12.75" customHeight="1" s="1883">
      <c r="D569" s="55" t="n"/>
    </row>
    <row r="570" ht="12.75" customHeight="1" s="1883">
      <c r="D570" s="55" t="n"/>
    </row>
    <row r="571" ht="12.75" customHeight="1" s="1883">
      <c r="D571" s="55" t="n"/>
    </row>
    <row r="572" ht="12.75" customHeight="1" s="1883">
      <c r="D572" s="55" t="n"/>
    </row>
    <row r="573" ht="12.75" customHeight="1" s="1883">
      <c r="D573" s="55" t="n"/>
    </row>
    <row r="574" ht="12.75" customHeight="1" s="1883">
      <c r="D574" s="55" t="n"/>
    </row>
    <row r="575" ht="12.75" customHeight="1" s="1883">
      <c r="D575" s="55" t="n"/>
    </row>
    <row r="576" ht="12.75" customHeight="1" s="1883">
      <c r="D576" s="55" t="n"/>
    </row>
    <row r="577" ht="12.75" customHeight="1" s="1883">
      <c r="D577" s="55" t="n"/>
    </row>
    <row r="578" ht="12.75" customHeight="1" s="1883">
      <c r="D578" s="55" t="n"/>
    </row>
    <row r="579" ht="12.75" customHeight="1" s="1883">
      <c r="D579" s="55" t="n"/>
    </row>
    <row r="580" ht="12.75" customHeight="1" s="1883">
      <c r="D580" s="55" t="n"/>
    </row>
    <row r="581" ht="12.75" customHeight="1" s="1883">
      <c r="D581" s="55" t="n"/>
    </row>
    <row r="582" ht="12.75" customHeight="1" s="1883">
      <c r="D582" s="55" t="n"/>
    </row>
    <row r="583" ht="12.75" customHeight="1" s="1883">
      <c r="D583" s="55" t="n"/>
    </row>
    <row r="584" ht="12.75" customHeight="1" s="1883">
      <c r="D584" s="55" t="n"/>
    </row>
    <row r="585" ht="12.75" customHeight="1" s="1883">
      <c r="D585" s="55" t="n"/>
    </row>
    <row r="586" ht="12.75" customHeight="1" s="1883">
      <c r="D586" s="55" t="n"/>
    </row>
    <row r="587" ht="12.75" customHeight="1" s="1883">
      <c r="D587" s="55" t="n"/>
    </row>
    <row r="588" ht="12.75" customHeight="1" s="1883">
      <c r="D588" s="55" t="n"/>
    </row>
    <row r="589" ht="12.75" customHeight="1" s="1883">
      <c r="D589" s="55" t="n"/>
    </row>
    <row r="590" ht="12.75" customHeight="1" s="1883">
      <c r="D590" s="55" t="n"/>
    </row>
    <row r="591" ht="12.75" customHeight="1" s="1883">
      <c r="D591" s="55" t="n"/>
    </row>
    <row r="592" ht="12.75" customHeight="1" s="1883">
      <c r="D592" s="55" t="n"/>
    </row>
    <row r="593" ht="12.75" customHeight="1" s="1883">
      <c r="D593" s="55" t="n"/>
    </row>
    <row r="594" ht="12.75" customHeight="1" s="1883">
      <c r="D594" s="55" t="n"/>
    </row>
    <row r="595" ht="12.75" customHeight="1" s="1883">
      <c r="D595" s="55" t="n"/>
    </row>
    <row r="596" ht="12.75" customHeight="1" s="1883">
      <c r="D596" s="55" t="n"/>
    </row>
    <row r="597" ht="12.75" customHeight="1" s="1883">
      <c r="D597" s="55" t="n"/>
    </row>
    <row r="598" ht="12.75" customHeight="1" s="1883">
      <c r="D598" s="55" t="n"/>
    </row>
    <row r="599" ht="12.75" customHeight="1" s="1883">
      <c r="D599" s="55" t="n"/>
    </row>
    <row r="600" ht="12.75" customHeight="1" s="1883">
      <c r="D600" s="55" t="n"/>
    </row>
    <row r="601" ht="12.75" customHeight="1" s="1883">
      <c r="D601" s="55" t="n"/>
    </row>
    <row r="602" ht="12.75" customHeight="1" s="1883">
      <c r="D602" s="55" t="n"/>
    </row>
    <row r="603" ht="12.75" customHeight="1" s="1883">
      <c r="D603" s="55" t="n"/>
    </row>
    <row r="604" ht="12.75" customHeight="1" s="1883">
      <c r="D604" s="55" t="n"/>
    </row>
    <row r="605" ht="12.75" customHeight="1" s="1883">
      <c r="D605" s="55" t="n"/>
    </row>
    <row r="606" ht="12.75" customHeight="1" s="1883">
      <c r="D606" s="55" t="n"/>
    </row>
    <row r="607" ht="12.75" customHeight="1" s="1883">
      <c r="D607" s="55" t="n"/>
    </row>
    <row r="608" ht="12.75" customHeight="1" s="1883">
      <c r="D608" s="55" t="n"/>
    </row>
    <row r="609" ht="12.75" customHeight="1" s="1883">
      <c r="D609" s="55" t="n"/>
    </row>
    <row r="610" ht="12.75" customHeight="1" s="1883">
      <c r="D610" s="55" t="n"/>
    </row>
    <row r="611" ht="12.75" customHeight="1" s="1883">
      <c r="D611" s="55" t="n"/>
    </row>
    <row r="612" ht="12.75" customHeight="1" s="1883">
      <c r="D612" s="55" t="n"/>
    </row>
    <row r="613" ht="12.75" customHeight="1" s="1883">
      <c r="D613" s="55" t="n"/>
    </row>
    <row r="614" ht="12.75" customHeight="1" s="1883">
      <c r="D614" s="55" t="n"/>
    </row>
    <row r="615" ht="12.75" customHeight="1" s="1883">
      <c r="D615" s="55" t="n"/>
    </row>
    <row r="616" ht="12.75" customHeight="1" s="1883">
      <c r="D616" s="55" t="n"/>
    </row>
    <row r="617" ht="12.75" customHeight="1" s="1883">
      <c r="D617" s="55" t="n"/>
    </row>
    <row r="618" ht="12.75" customHeight="1" s="1883">
      <c r="D618" s="55" t="n"/>
    </row>
    <row r="619" ht="12.75" customHeight="1" s="1883">
      <c r="D619" s="55" t="n"/>
    </row>
    <row r="620" ht="12.75" customHeight="1" s="1883">
      <c r="D620" s="55" t="n"/>
    </row>
    <row r="621" ht="12.75" customHeight="1" s="1883">
      <c r="D621" s="55" t="n"/>
    </row>
    <row r="622" ht="12.75" customHeight="1" s="1883">
      <c r="D622" s="55" t="n"/>
    </row>
    <row r="623" ht="12.75" customHeight="1" s="1883">
      <c r="D623" s="55" t="n"/>
    </row>
    <row r="624" ht="12.75" customHeight="1" s="1883">
      <c r="D624" s="55" t="n"/>
    </row>
    <row r="625" ht="12.75" customHeight="1" s="1883">
      <c r="D625" s="55" t="n"/>
    </row>
    <row r="626" ht="12.75" customHeight="1" s="1883">
      <c r="D626" s="55" t="n"/>
    </row>
    <row r="627" ht="12.75" customHeight="1" s="1883">
      <c r="D627" s="55" t="n"/>
    </row>
    <row r="628" ht="12.75" customHeight="1" s="1883">
      <c r="D628" s="55" t="n"/>
    </row>
    <row r="629" ht="12.75" customHeight="1" s="1883">
      <c r="D629" s="55" t="n"/>
    </row>
    <row r="630" ht="12.75" customHeight="1" s="1883">
      <c r="D630" s="55" t="n"/>
    </row>
    <row r="631" ht="12.75" customHeight="1" s="1883">
      <c r="D631" s="55" t="n"/>
    </row>
    <row r="632" ht="12.75" customHeight="1" s="1883">
      <c r="D632" s="55" t="n"/>
    </row>
    <row r="633" ht="12.75" customHeight="1" s="1883">
      <c r="D633" s="55" t="n"/>
    </row>
    <row r="634" ht="12.75" customHeight="1" s="1883">
      <c r="D634" s="55" t="n"/>
    </row>
    <row r="635" ht="12.75" customHeight="1" s="1883">
      <c r="D635" s="55" t="n"/>
    </row>
    <row r="636" ht="12.75" customHeight="1" s="1883">
      <c r="D636" s="55" t="n"/>
    </row>
    <row r="637" ht="12.75" customHeight="1" s="1883">
      <c r="D637" s="55" t="n"/>
    </row>
    <row r="638" ht="12.75" customHeight="1" s="1883">
      <c r="D638" s="55" t="n"/>
    </row>
    <row r="639" ht="12.75" customHeight="1" s="1883">
      <c r="D639" s="55" t="n"/>
    </row>
    <row r="640" ht="12.75" customHeight="1" s="1883">
      <c r="D640" s="55" t="n"/>
    </row>
    <row r="641" ht="12.75" customHeight="1" s="1883">
      <c r="D641" s="55" t="n"/>
    </row>
    <row r="642" ht="12.75" customHeight="1" s="1883">
      <c r="D642" s="55" t="n"/>
    </row>
    <row r="643" ht="12.75" customHeight="1" s="1883">
      <c r="D643" s="55" t="n"/>
    </row>
    <row r="644" ht="12.75" customHeight="1" s="1883">
      <c r="D644" s="55" t="n"/>
    </row>
    <row r="645" ht="12.75" customHeight="1" s="1883">
      <c r="D645" s="55" t="n"/>
    </row>
    <row r="646" ht="12.75" customHeight="1" s="1883">
      <c r="D646" s="55" t="n"/>
    </row>
    <row r="647" ht="12.75" customHeight="1" s="1883">
      <c r="D647" s="55" t="n"/>
    </row>
    <row r="648" ht="12.75" customHeight="1" s="1883">
      <c r="D648" s="55" t="n"/>
    </row>
    <row r="649" ht="12.75" customHeight="1" s="1883">
      <c r="D649" s="55" t="n"/>
    </row>
    <row r="650" ht="12.75" customHeight="1" s="1883">
      <c r="D650" s="55" t="n"/>
    </row>
    <row r="651" ht="12.75" customHeight="1" s="1883">
      <c r="D651" s="55" t="n"/>
    </row>
    <row r="652" ht="12.75" customHeight="1" s="1883">
      <c r="D652" s="55" t="n"/>
    </row>
    <row r="653" ht="12.75" customHeight="1" s="1883">
      <c r="D653" s="55" t="n"/>
    </row>
    <row r="654" ht="12.75" customHeight="1" s="1883">
      <c r="D654" s="55" t="n"/>
    </row>
    <row r="655" ht="12.75" customHeight="1" s="1883">
      <c r="D655" s="55" t="n"/>
    </row>
    <row r="656" ht="12.75" customHeight="1" s="1883">
      <c r="D656" s="55" t="n"/>
    </row>
    <row r="657" ht="12.75" customHeight="1" s="1883">
      <c r="D657" s="55" t="n"/>
    </row>
    <row r="658" ht="12.75" customHeight="1" s="1883">
      <c r="D658" s="55" t="n"/>
    </row>
    <row r="659" ht="12.75" customHeight="1" s="1883">
      <c r="D659" s="55" t="n"/>
    </row>
    <row r="660" ht="12.75" customHeight="1" s="1883">
      <c r="D660" s="55" t="n"/>
    </row>
    <row r="661" ht="12.75" customHeight="1" s="1883">
      <c r="D661" s="55" t="n"/>
    </row>
    <row r="662" ht="12.75" customHeight="1" s="1883">
      <c r="D662" s="55" t="n"/>
    </row>
    <row r="663" ht="12.75" customHeight="1" s="1883">
      <c r="D663" s="55" t="n"/>
    </row>
    <row r="664" ht="12.75" customHeight="1" s="1883">
      <c r="D664" s="55" t="n"/>
    </row>
    <row r="665" ht="12.75" customHeight="1" s="1883">
      <c r="D665" s="55" t="n"/>
    </row>
    <row r="666" ht="12.75" customHeight="1" s="1883">
      <c r="D666" s="55" t="n"/>
    </row>
    <row r="667" ht="12.75" customHeight="1" s="1883">
      <c r="D667" s="55" t="n"/>
    </row>
    <row r="668" ht="12.75" customHeight="1" s="1883">
      <c r="D668" s="55" t="n"/>
    </row>
    <row r="669" ht="12.75" customHeight="1" s="1883">
      <c r="D669" s="55" t="n"/>
    </row>
    <row r="670" ht="12.75" customHeight="1" s="1883">
      <c r="D670" s="55" t="n"/>
    </row>
    <row r="671" ht="12.75" customHeight="1" s="1883">
      <c r="D671" s="55" t="n"/>
    </row>
    <row r="672" ht="12.75" customHeight="1" s="1883">
      <c r="D672" s="55" t="n"/>
    </row>
    <row r="673" ht="12.75" customHeight="1" s="1883">
      <c r="D673" s="55" t="n"/>
    </row>
    <row r="674" ht="12.75" customHeight="1" s="1883">
      <c r="D674" s="55" t="n"/>
    </row>
    <row r="675" ht="12.75" customHeight="1" s="1883">
      <c r="D675" s="55" t="n"/>
    </row>
    <row r="676" ht="12.75" customHeight="1" s="1883">
      <c r="D676" s="55" t="n"/>
    </row>
    <row r="677" ht="12.75" customHeight="1" s="1883">
      <c r="D677" s="55" t="n"/>
    </row>
    <row r="678" ht="12.75" customHeight="1" s="1883">
      <c r="D678" s="55" t="n"/>
    </row>
    <row r="679" ht="12.75" customHeight="1" s="1883">
      <c r="D679" s="55" t="n"/>
    </row>
    <row r="680" ht="12.75" customHeight="1" s="1883">
      <c r="D680" s="55" t="n"/>
    </row>
    <row r="681" ht="12.75" customHeight="1" s="1883">
      <c r="D681" s="55" t="n"/>
    </row>
    <row r="682" ht="12.75" customHeight="1" s="1883">
      <c r="D682" s="55" t="n"/>
    </row>
    <row r="683" ht="12.75" customHeight="1" s="1883">
      <c r="D683" s="55" t="n"/>
    </row>
    <row r="684" ht="12.75" customHeight="1" s="1883">
      <c r="D684" s="55" t="n"/>
    </row>
    <row r="685" ht="12.75" customHeight="1" s="1883">
      <c r="D685" s="55" t="n"/>
    </row>
    <row r="686" ht="12.75" customHeight="1" s="1883">
      <c r="D686" s="55" t="n"/>
    </row>
    <row r="687" ht="12.75" customHeight="1" s="1883">
      <c r="D687" s="55" t="n"/>
    </row>
    <row r="688" ht="12.75" customHeight="1" s="1883">
      <c r="D688" s="55" t="n"/>
    </row>
    <row r="689" ht="12.75" customHeight="1" s="1883">
      <c r="D689" s="55" t="n"/>
    </row>
    <row r="690" ht="12.75" customHeight="1" s="1883">
      <c r="D690" s="55" t="n"/>
    </row>
    <row r="691" ht="12.75" customHeight="1" s="1883">
      <c r="D691" s="55" t="n"/>
    </row>
    <row r="692" ht="12.75" customHeight="1" s="1883">
      <c r="D692" s="55" t="n"/>
    </row>
    <row r="693" ht="12.75" customHeight="1" s="1883">
      <c r="D693" s="55" t="n"/>
    </row>
    <row r="694" ht="12.75" customHeight="1" s="1883">
      <c r="D694" s="55" t="n"/>
    </row>
    <row r="695" ht="12.75" customHeight="1" s="1883">
      <c r="D695" s="55" t="n"/>
    </row>
    <row r="696" ht="12.75" customHeight="1" s="1883">
      <c r="D696" s="55" t="n"/>
    </row>
    <row r="697" ht="12.75" customHeight="1" s="1883">
      <c r="D697" s="55" t="n"/>
    </row>
    <row r="698" ht="12.75" customHeight="1" s="1883">
      <c r="D698" s="55" t="n"/>
    </row>
    <row r="699" ht="12.75" customHeight="1" s="1883">
      <c r="D699" s="55" t="n"/>
    </row>
    <row r="700" ht="12.75" customHeight="1" s="1883">
      <c r="D700" s="55" t="n"/>
    </row>
    <row r="701" ht="12.75" customHeight="1" s="1883">
      <c r="D701" s="55" t="n"/>
    </row>
    <row r="702" ht="12.75" customHeight="1" s="1883">
      <c r="D702" s="55" t="n"/>
    </row>
    <row r="703" ht="12.75" customHeight="1" s="1883">
      <c r="D703" s="55" t="n"/>
    </row>
    <row r="704" ht="12.75" customHeight="1" s="1883">
      <c r="D704" s="55" t="n"/>
    </row>
    <row r="705" ht="12.75" customHeight="1" s="1883">
      <c r="D705" s="55" t="n"/>
    </row>
    <row r="706" ht="12.75" customHeight="1" s="1883">
      <c r="D706" s="55" t="n"/>
    </row>
    <row r="707" ht="12.75" customHeight="1" s="1883">
      <c r="D707" s="55" t="n"/>
    </row>
    <row r="708" ht="12.75" customHeight="1" s="1883">
      <c r="D708" s="55" t="n"/>
    </row>
    <row r="709" ht="12.75" customHeight="1" s="1883">
      <c r="D709" s="55" t="n"/>
    </row>
    <row r="710" ht="12.75" customHeight="1" s="1883">
      <c r="D710" s="55" t="n"/>
    </row>
    <row r="711" ht="12.75" customHeight="1" s="1883">
      <c r="D711" s="55" t="n"/>
    </row>
    <row r="712" ht="12.75" customHeight="1" s="1883">
      <c r="D712" s="55" t="n"/>
    </row>
    <row r="713" ht="12.75" customHeight="1" s="1883">
      <c r="D713" s="55" t="n"/>
    </row>
    <row r="714" ht="12.75" customHeight="1" s="1883">
      <c r="D714" s="55" t="n"/>
    </row>
    <row r="715" ht="12.75" customHeight="1" s="1883">
      <c r="D715" s="55" t="n"/>
    </row>
    <row r="716" ht="12.75" customHeight="1" s="1883">
      <c r="D716" s="55" t="n"/>
    </row>
    <row r="717" ht="12.75" customHeight="1" s="1883">
      <c r="D717" s="55" t="n"/>
    </row>
    <row r="718" ht="12.75" customHeight="1" s="1883">
      <c r="D718" s="55" t="n"/>
    </row>
    <row r="719" ht="12.75" customHeight="1" s="1883">
      <c r="D719" s="55" t="n"/>
    </row>
    <row r="720" ht="12.75" customHeight="1" s="1883">
      <c r="D720" s="55" t="n"/>
    </row>
    <row r="721" ht="12.75" customHeight="1" s="1883">
      <c r="D721" s="55" t="n"/>
    </row>
    <row r="722" ht="12.75" customHeight="1" s="1883">
      <c r="D722" s="55" t="n"/>
    </row>
    <row r="723" ht="12.75" customHeight="1" s="1883">
      <c r="D723" s="55" t="n"/>
    </row>
    <row r="724" ht="12.75" customHeight="1" s="1883">
      <c r="D724" s="55" t="n"/>
    </row>
    <row r="725" ht="12.75" customHeight="1" s="1883">
      <c r="D725" s="55" t="n"/>
    </row>
    <row r="726" ht="12.75" customHeight="1" s="1883">
      <c r="D726" s="55" t="n"/>
    </row>
    <row r="727" ht="12.75" customHeight="1" s="1883">
      <c r="D727" s="55" t="n"/>
    </row>
    <row r="728" ht="12.75" customHeight="1" s="1883">
      <c r="D728" s="55" t="n"/>
    </row>
    <row r="729" ht="12.75" customHeight="1" s="1883">
      <c r="D729" s="55" t="n"/>
    </row>
    <row r="730" ht="12.75" customHeight="1" s="1883">
      <c r="D730" s="55" t="n"/>
    </row>
    <row r="731" ht="12.75" customHeight="1" s="1883">
      <c r="D731" s="55" t="n"/>
    </row>
    <row r="732" ht="12.75" customHeight="1" s="1883">
      <c r="D732" s="55" t="n"/>
    </row>
    <row r="733" ht="12.75" customHeight="1" s="1883">
      <c r="D733" s="55" t="n"/>
    </row>
    <row r="734" ht="12.75" customHeight="1" s="1883">
      <c r="D734" s="55" t="n"/>
    </row>
    <row r="735" ht="12.75" customHeight="1" s="1883">
      <c r="D735" s="55" t="n"/>
    </row>
    <row r="736" ht="12.75" customHeight="1" s="1883">
      <c r="D736" s="55" t="n"/>
    </row>
    <row r="737" ht="12.75" customHeight="1" s="1883">
      <c r="D737" s="55" t="n"/>
    </row>
    <row r="738" ht="12.75" customHeight="1" s="1883">
      <c r="D738" s="55" t="n"/>
    </row>
    <row r="739" ht="12.75" customHeight="1" s="1883">
      <c r="D739" s="55" t="n"/>
    </row>
    <row r="740" ht="12.75" customHeight="1" s="1883">
      <c r="D740" s="55" t="n"/>
    </row>
    <row r="741" ht="12.75" customHeight="1" s="1883">
      <c r="D741" s="55" t="n"/>
    </row>
    <row r="742" ht="12.75" customHeight="1" s="1883">
      <c r="D742" s="55" t="n"/>
    </row>
    <row r="743" ht="12.75" customHeight="1" s="1883">
      <c r="D743" s="55" t="n"/>
    </row>
    <row r="744" ht="12.75" customHeight="1" s="1883">
      <c r="D744" s="55" t="n"/>
    </row>
    <row r="745" ht="12.75" customHeight="1" s="1883">
      <c r="D745" s="55" t="n"/>
    </row>
    <row r="746" ht="12.75" customHeight="1" s="1883">
      <c r="D746" s="55" t="n"/>
    </row>
    <row r="747" ht="12.75" customHeight="1" s="1883">
      <c r="D747" s="55" t="n"/>
    </row>
    <row r="748" ht="12.75" customHeight="1" s="1883">
      <c r="D748" s="55" t="n"/>
    </row>
    <row r="749" ht="12.75" customHeight="1" s="1883">
      <c r="D749" s="55" t="n"/>
    </row>
    <row r="750" ht="12.75" customHeight="1" s="1883">
      <c r="D750" s="55" t="n"/>
    </row>
    <row r="751" ht="12.75" customHeight="1" s="1883">
      <c r="D751" s="55" t="n"/>
    </row>
    <row r="752" ht="12.75" customHeight="1" s="1883">
      <c r="D752" s="55" t="n"/>
    </row>
    <row r="753" ht="12.75" customHeight="1" s="1883">
      <c r="D753" s="55" t="n"/>
    </row>
    <row r="754" ht="12.75" customHeight="1" s="1883">
      <c r="D754" s="55" t="n"/>
    </row>
    <row r="755" ht="12.75" customHeight="1" s="1883">
      <c r="D755" s="55" t="n"/>
    </row>
    <row r="756" ht="12.75" customHeight="1" s="1883">
      <c r="D756" s="55" t="n"/>
    </row>
    <row r="757" ht="12.75" customHeight="1" s="1883">
      <c r="D757" s="55" t="n"/>
    </row>
    <row r="758" ht="12.75" customHeight="1" s="1883">
      <c r="D758" s="55" t="n"/>
    </row>
    <row r="759" ht="12.75" customHeight="1" s="1883">
      <c r="D759" s="55" t="n"/>
    </row>
    <row r="760" ht="12.75" customHeight="1" s="1883">
      <c r="D760" s="55" t="n"/>
    </row>
    <row r="761" ht="12.75" customHeight="1" s="1883">
      <c r="D761" s="55" t="n"/>
    </row>
    <row r="762" ht="12.75" customHeight="1" s="1883">
      <c r="D762" s="55" t="n"/>
    </row>
    <row r="763" ht="12.75" customHeight="1" s="1883">
      <c r="D763" s="55" t="n"/>
    </row>
    <row r="764" ht="12.75" customHeight="1" s="1883">
      <c r="D764" s="55" t="n"/>
    </row>
    <row r="765" ht="12.75" customHeight="1" s="1883">
      <c r="D765" s="55" t="n"/>
    </row>
    <row r="766" ht="12.75" customHeight="1" s="1883">
      <c r="D766" s="55" t="n"/>
    </row>
    <row r="767" ht="12.75" customHeight="1" s="1883">
      <c r="D767" s="55" t="n"/>
    </row>
    <row r="768" ht="12.75" customHeight="1" s="1883">
      <c r="D768" s="55" t="n"/>
    </row>
    <row r="769" ht="12.75" customHeight="1" s="1883">
      <c r="D769" s="55" t="n"/>
    </row>
    <row r="770" ht="12.75" customHeight="1" s="1883">
      <c r="D770" s="55" t="n"/>
    </row>
    <row r="771" ht="12.75" customHeight="1" s="1883">
      <c r="D771" s="55" t="n"/>
    </row>
    <row r="772" ht="12.75" customHeight="1" s="1883">
      <c r="D772" s="55" t="n"/>
    </row>
    <row r="773" ht="12.75" customHeight="1" s="1883">
      <c r="D773" s="55" t="n"/>
    </row>
    <row r="774" ht="12.75" customHeight="1" s="1883">
      <c r="D774" s="55" t="n"/>
    </row>
    <row r="775" ht="12.75" customHeight="1" s="1883">
      <c r="D775" s="55" t="n"/>
    </row>
    <row r="776" ht="12.75" customHeight="1" s="1883">
      <c r="D776" s="55" t="n"/>
    </row>
    <row r="777" ht="12.75" customHeight="1" s="1883">
      <c r="D777" s="55" t="n"/>
    </row>
    <row r="778" ht="12.75" customHeight="1" s="1883">
      <c r="D778" s="55" t="n"/>
    </row>
    <row r="779" ht="12.75" customHeight="1" s="1883">
      <c r="D779" s="55" t="n"/>
    </row>
    <row r="780" ht="12.75" customHeight="1" s="1883">
      <c r="D780" s="55" t="n"/>
    </row>
    <row r="781" ht="12.75" customHeight="1" s="1883">
      <c r="D781" s="55" t="n"/>
    </row>
    <row r="782" ht="12.75" customHeight="1" s="1883">
      <c r="D782" s="55" t="n"/>
    </row>
    <row r="783" ht="12.75" customHeight="1" s="1883">
      <c r="D783" s="55" t="n"/>
    </row>
    <row r="784" ht="12.75" customHeight="1" s="1883">
      <c r="D784" s="55" t="n"/>
    </row>
    <row r="785" ht="12.75" customHeight="1" s="1883">
      <c r="D785" s="55" t="n"/>
    </row>
    <row r="786" ht="12.75" customHeight="1" s="1883">
      <c r="D786" s="55" t="n"/>
    </row>
    <row r="787" ht="12.75" customHeight="1" s="1883">
      <c r="D787" s="55" t="n"/>
    </row>
    <row r="788" ht="12.75" customHeight="1" s="1883">
      <c r="D788" s="55" t="n"/>
    </row>
    <row r="789" ht="12.75" customHeight="1" s="1883">
      <c r="D789" s="55" t="n"/>
    </row>
    <row r="790" ht="12.75" customHeight="1" s="1883">
      <c r="D790" s="55" t="n"/>
    </row>
    <row r="791" ht="12.75" customHeight="1" s="1883">
      <c r="D791" s="55" t="n"/>
    </row>
    <row r="792" ht="12.75" customHeight="1" s="1883">
      <c r="D792" s="55" t="n"/>
    </row>
    <row r="793" ht="12.75" customHeight="1" s="1883">
      <c r="D793" s="55" t="n"/>
    </row>
    <row r="794" ht="12.75" customHeight="1" s="1883">
      <c r="D794" s="55" t="n"/>
    </row>
    <row r="795" ht="12.75" customHeight="1" s="1883">
      <c r="D795" s="55" t="n"/>
    </row>
    <row r="796" ht="12.75" customHeight="1" s="1883">
      <c r="D796" s="55" t="n"/>
    </row>
    <row r="797" ht="12.75" customHeight="1" s="1883">
      <c r="D797" s="55" t="n"/>
    </row>
    <row r="798" ht="12.75" customHeight="1" s="1883">
      <c r="D798" s="55" t="n"/>
    </row>
    <row r="799" ht="12.75" customHeight="1" s="1883">
      <c r="D799" s="55" t="n"/>
    </row>
    <row r="800" ht="12.75" customHeight="1" s="1883">
      <c r="D800" s="55" t="n"/>
    </row>
    <row r="801" ht="12.75" customHeight="1" s="1883">
      <c r="D801" s="55" t="n"/>
    </row>
    <row r="802" ht="12.75" customHeight="1" s="1883">
      <c r="D802" s="55" t="n"/>
    </row>
    <row r="803" ht="12.75" customHeight="1" s="1883">
      <c r="D803" s="55" t="n"/>
    </row>
    <row r="804" ht="12.75" customHeight="1" s="1883">
      <c r="D804" s="55" t="n"/>
    </row>
    <row r="805" ht="12.75" customHeight="1" s="1883">
      <c r="D805" s="55" t="n"/>
    </row>
    <row r="806" ht="12.75" customHeight="1" s="1883">
      <c r="D806" s="55" t="n"/>
    </row>
    <row r="807" ht="12.75" customHeight="1" s="1883">
      <c r="D807" s="55" t="n"/>
    </row>
    <row r="808" ht="12.75" customHeight="1" s="1883">
      <c r="D808" s="55" t="n"/>
    </row>
    <row r="809" ht="12.75" customHeight="1" s="1883">
      <c r="D809" s="55" t="n"/>
    </row>
    <row r="810" ht="12.75" customHeight="1" s="1883">
      <c r="D810" s="55" t="n"/>
    </row>
    <row r="811" ht="12.75" customHeight="1" s="1883">
      <c r="D811" s="55" t="n"/>
    </row>
    <row r="812" ht="12.75" customHeight="1" s="1883">
      <c r="D812" s="55" t="n"/>
    </row>
    <row r="813" ht="12.75" customHeight="1" s="1883">
      <c r="D813" s="55" t="n"/>
    </row>
    <row r="814" ht="12.75" customHeight="1" s="1883">
      <c r="D814" s="55" t="n"/>
    </row>
    <row r="815" ht="12.75" customHeight="1" s="1883">
      <c r="D815" s="55" t="n"/>
    </row>
    <row r="816" ht="12.75" customHeight="1" s="1883">
      <c r="D816" s="55" t="n"/>
    </row>
    <row r="817" ht="12.75" customHeight="1" s="1883">
      <c r="D817" s="55" t="n"/>
    </row>
    <row r="818" ht="12.75" customHeight="1" s="1883">
      <c r="D818" s="55" t="n"/>
    </row>
    <row r="819" ht="12.75" customHeight="1" s="1883">
      <c r="D819" s="55" t="n"/>
    </row>
    <row r="820" ht="12.75" customHeight="1" s="1883">
      <c r="D820" s="55" t="n"/>
    </row>
    <row r="821" ht="12.75" customHeight="1" s="1883">
      <c r="D821" s="55" t="n"/>
    </row>
    <row r="822" ht="12.75" customHeight="1" s="1883">
      <c r="D822" s="55" t="n"/>
    </row>
    <row r="823" ht="12.75" customHeight="1" s="1883">
      <c r="D823" s="55" t="n"/>
    </row>
    <row r="824" ht="12.75" customHeight="1" s="1883">
      <c r="D824" s="55" t="n"/>
    </row>
    <row r="825" ht="12.75" customHeight="1" s="1883">
      <c r="D825" s="55" t="n"/>
    </row>
    <row r="826" ht="12.75" customHeight="1" s="1883">
      <c r="D826" s="55" t="n"/>
    </row>
    <row r="827" ht="12.75" customHeight="1" s="1883">
      <c r="D827" s="55" t="n"/>
    </row>
    <row r="828" ht="12.75" customHeight="1" s="1883">
      <c r="D828" s="55" t="n"/>
    </row>
    <row r="829" ht="12.75" customHeight="1" s="1883">
      <c r="D829" s="55" t="n"/>
    </row>
    <row r="830" ht="12.75" customHeight="1" s="1883">
      <c r="D830" s="55" t="n"/>
    </row>
    <row r="831" ht="12.75" customHeight="1" s="1883">
      <c r="D831" s="55" t="n"/>
    </row>
    <row r="832" ht="12.75" customHeight="1" s="1883">
      <c r="D832" s="55" t="n"/>
    </row>
    <row r="833" ht="12.75" customHeight="1" s="1883">
      <c r="D833" s="55" t="n"/>
    </row>
    <row r="834" ht="12.75" customHeight="1" s="1883">
      <c r="D834" s="55" t="n"/>
    </row>
    <row r="835" ht="12.75" customHeight="1" s="1883">
      <c r="D835" s="55" t="n"/>
    </row>
    <row r="836" ht="12.75" customHeight="1" s="1883">
      <c r="D836" s="55" t="n"/>
    </row>
    <row r="837" ht="12.75" customHeight="1" s="1883">
      <c r="D837" s="55" t="n"/>
    </row>
    <row r="838" ht="12.75" customHeight="1" s="1883">
      <c r="D838" s="55" t="n"/>
    </row>
    <row r="839" ht="12.75" customHeight="1" s="1883">
      <c r="D839" s="55" t="n"/>
    </row>
    <row r="840" ht="12.75" customHeight="1" s="1883">
      <c r="D840" s="55" t="n"/>
    </row>
    <row r="841" ht="12.75" customHeight="1" s="1883">
      <c r="D841" s="55" t="n"/>
    </row>
    <row r="842" ht="12.75" customHeight="1" s="1883">
      <c r="D842" s="55" t="n"/>
    </row>
    <row r="843" ht="12.75" customHeight="1" s="1883">
      <c r="D843" s="55" t="n"/>
    </row>
    <row r="844" ht="12.75" customHeight="1" s="1883">
      <c r="D844" s="55" t="n"/>
    </row>
    <row r="845" ht="12.75" customHeight="1" s="1883">
      <c r="D845" s="55" t="n"/>
    </row>
    <row r="846" ht="12.75" customHeight="1" s="1883">
      <c r="D846" s="55" t="n"/>
    </row>
    <row r="847" ht="12.75" customHeight="1" s="1883">
      <c r="D847" s="55" t="n"/>
    </row>
    <row r="848" ht="12.75" customHeight="1" s="1883">
      <c r="D848" s="55" t="n"/>
    </row>
    <row r="849" ht="12.75" customHeight="1" s="1883">
      <c r="D849" s="55" t="n"/>
    </row>
    <row r="850" ht="12.75" customHeight="1" s="1883">
      <c r="D850" s="55" t="n"/>
    </row>
    <row r="851" ht="12.75" customHeight="1" s="1883">
      <c r="D851" s="55" t="n"/>
    </row>
    <row r="852" ht="12.75" customHeight="1" s="1883">
      <c r="D852" s="55" t="n"/>
    </row>
    <row r="853" ht="12.75" customHeight="1" s="1883">
      <c r="D853" s="55" t="n"/>
    </row>
    <row r="854" ht="12.75" customHeight="1" s="1883">
      <c r="D854" s="55" t="n"/>
    </row>
    <row r="855" ht="12.75" customHeight="1" s="1883">
      <c r="D855" s="55" t="n"/>
    </row>
    <row r="856" ht="12.75" customHeight="1" s="1883">
      <c r="D856" s="55" t="n"/>
    </row>
    <row r="857" ht="12.75" customHeight="1" s="1883">
      <c r="D857" s="55" t="n"/>
    </row>
    <row r="858" ht="12.75" customHeight="1" s="1883">
      <c r="D858" s="55" t="n"/>
    </row>
    <row r="859" ht="12.75" customHeight="1" s="1883">
      <c r="D859" s="55" t="n"/>
    </row>
    <row r="860" ht="12.75" customHeight="1" s="1883">
      <c r="D860" s="55" t="n"/>
    </row>
    <row r="861" ht="12.75" customHeight="1" s="1883">
      <c r="D861" s="55" t="n"/>
    </row>
    <row r="862" ht="12.75" customHeight="1" s="1883">
      <c r="D862" s="55" t="n"/>
    </row>
    <row r="863" ht="12.75" customHeight="1" s="1883">
      <c r="D863" s="55" t="n"/>
    </row>
    <row r="864" ht="12.75" customHeight="1" s="1883">
      <c r="D864" s="55" t="n"/>
    </row>
    <row r="865" ht="12.75" customHeight="1" s="1883">
      <c r="D865" s="55" t="n"/>
    </row>
    <row r="866" ht="12.75" customHeight="1" s="1883">
      <c r="D866" s="55" t="n"/>
    </row>
    <row r="867" ht="12.75" customHeight="1" s="1883">
      <c r="D867" s="55" t="n"/>
    </row>
    <row r="868" ht="12.75" customHeight="1" s="1883">
      <c r="D868" s="55" t="n"/>
    </row>
    <row r="869" ht="12.75" customHeight="1" s="1883">
      <c r="D869" s="55" t="n"/>
    </row>
    <row r="870" ht="12.75" customHeight="1" s="1883">
      <c r="D870" s="55" t="n"/>
    </row>
    <row r="871" ht="12.75" customHeight="1" s="1883">
      <c r="D871" s="55" t="n"/>
    </row>
    <row r="872" ht="12.75" customHeight="1" s="1883">
      <c r="D872" s="55" t="n"/>
    </row>
    <row r="873" ht="12.75" customHeight="1" s="1883">
      <c r="D873" s="55" t="n"/>
    </row>
    <row r="874" ht="12.75" customHeight="1" s="1883">
      <c r="D874" s="55" t="n"/>
    </row>
    <row r="875" ht="12.75" customHeight="1" s="1883">
      <c r="D875" s="55" t="n"/>
    </row>
    <row r="876" ht="12.75" customHeight="1" s="1883">
      <c r="D876" s="55" t="n"/>
    </row>
    <row r="877" ht="12.75" customHeight="1" s="1883">
      <c r="D877" s="55" t="n"/>
    </row>
    <row r="878" ht="12.75" customHeight="1" s="1883">
      <c r="D878" s="55" t="n"/>
    </row>
    <row r="879" ht="12.75" customHeight="1" s="1883">
      <c r="D879" s="55" t="n"/>
    </row>
    <row r="880" ht="12.75" customHeight="1" s="1883">
      <c r="D880" s="55" t="n"/>
    </row>
    <row r="881" ht="12.75" customHeight="1" s="1883">
      <c r="D881" s="55" t="n"/>
    </row>
    <row r="882" ht="12.75" customHeight="1" s="1883">
      <c r="D882" s="55" t="n"/>
    </row>
    <row r="883" ht="12.75" customHeight="1" s="1883">
      <c r="D883" s="55" t="n"/>
    </row>
    <row r="884" ht="12.75" customHeight="1" s="1883">
      <c r="D884" s="55" t="n"/>
    </row>
    <row r="885" ht="12.75" customHeight="1" s="1883">
      <c r="D885" s="55" t="n"/>
    </row>
    <row r="886" ht="12.75" customHeight="1" s="1883">
      <c r="D886" s="55" t="n"/>
    </row>
    <row r="887" ht="12.75" customHeight="1" s="1883">
      <c r="D887" s="55" t="n"/>
    </row>
    <row r="888" ht="12.75" customHeight="1" s="1883">
      <c r="D888" s="55" t="n"/>
    </row>
    <row r="889" ht="12.75" customHeight="1" s="1883">
      <c r="D889" s="55" t="n"/>
    </row>
    <row r="890" ht="12.75" customHeight="1" s="1883">
      <c r="D890" s="55" t="n"/>
    </row>
    <row r="891" ht="12.75" customHeight="1" s="1883">
      <c r="D891" s="55" t="n"/>
    </row>
    <row r="892" ht="12.75" customHeight="1" s="1883">
      <c r="D892" s="55" t="n"/>
    </row>
    <row r="893" ht="12.75" customHeight="1" s="1883">
      <c r="D893" s="55" t="n"/>
    </row>
    <row r="894" ht="12.75" customHeight="1" s="1883">
      <c r="D894" s="55" t="n"/>
    </row>
    <row r="895" ht="12.75" customHeight="1" s="1883">
      <c r="D895" s="55" t="n"/>
    </row>
    <row r="896" ht="12.75" customHeight="1" s="1883">
      <c r="D896" s="55" t="n"/>
    </row>
    <row r="897" ht="12.75" customHeight="1" s="1883">
      <c r="D897" s="55" t="n"/>
    </row>
    <row r="898" ht="12.75" customHeight="1" s="1883">
      <c r="D898" s="55" t="n"/>
    </row>
    <row r="899" ht="12.75" customHeight="1" s="1883">
      <c r="D899" s="55" t="n"/>
    </row>
    <row r="900" ht="12.75" customHeight="1" s="1883">
      <c r="D900" s="55" t="n"/>
    </row>
    <row r="901" ht="12.75" customHeight="1" s="1883">
      <c r="D901" s="55" t="n"/>
    </row>
    <row r="902" ht="12.75" customHeight="1" s="1883">
      <c r="D902" s="55" t="n"/>
    </row>
    <row r="903" ht="12.75" customHeight="1" s="1883">
      <c r="D903" s="55" t="n"/>
    </row>
    <row r="904" ht="12.75" customHeight="1" s="1883">
      <c r="D904" s="55" t="n"/>
    </row>
    <row r="905" ht="12.75" customHeight="1" s="1883">
      <c r="D905" s="55" t="n"/>
    </row>
    <row r="906" ht="12.75" customHeight="1" s="1883">
      <c r="D906" s="55" t="n"/>
    </row>
    <row r="907" ht="12.75" customHeight="1" s="1883">
      <c r="D907" s="55" t="n"/>
    </row>
    <row r="908" ht="12.75" customHeight="1" s="1883">
      <c r="D908" s="55" t="n"/>
    </row>
    <row r="909" ht="12.75" customHeight="1" s="1883">
      <c r="D909" s="55" t="n"/>
    </row>
    <row r="910" ht="12.75" customHeight="1" s="1883">
      <c r="D910" s="55" t="n"/>
    </row>
    <row r="911" ht="12.75" customHeight="1" s="1883">
      <c r="D911" s="55" t="n"/>
    </row>
    <row r="912" ht="12.75" customHeight="1" s="1883">
      <c r="D912" s="55" t="n"/>
    </row>
    <row r="913" ht="12.75" customHeight="1" s="1883">
      <c r="D913" s="55" t="n"/>
    </row>
    <row r="914" ht="12.75" customHeight="1" s="1883">
      <c r="D914" s="55" t="n"/>
    </row>
    <row r="915" ht="12.75" customHeight="1" s="1883">
      <c r="D915" s="55" t="n"/>
    </row>
    <row r="916" ht="12.75" customHeight="1" s="1883">
      <c r="D916" s="55" t="n"/>
    </row>
    <row r="917" ht="12.75" customHeight="1" s="1883">
      <c r="D917" s="55" t="n"/>
    </row>
    <row r="918" ht="12.75" customHeight="1" s="1883">
      <c r="D918" s="55" t="n"/>
    </row>
    <row r="919" ht="12.75" customHeight="1" s="1883">
      <c r="D919" s="55" t="n"/>
    </row>
    <row r="920" ht="12.75" customHeight="1" s="1883">
      <c r="D920" s="55" t="n"/>
    </row>
    <row r="921" ht="12.75" customHeight="1" s="1883">
      <c r="D921" s="55" t="n"/>
    </row>
    <row r="922" ht="12.75" customHeight="1" s="1883">
      <c r="D922" s="55" t="n"/>
    </row>
    <row r="923" ht="12.75" customHeight="1" s="1883">
      <c r="D923" s="55" t="n"/>
    </row>
    <row r="924" ht="12.75" customHeight="1" s="1883">
      <c r="D924" s="55" t="n"/>
    </row>
    <row r="925" ht="12.75" customHeight="1" s="1883">
      <c r="D925" s="55" t="n"/>
    </row>
    <row r="926" ht="12.75" customHeight="1" s="1883">
      <c r="D926" s="55" t="n"/>
    </row>
    <row r="927" ht="12.75" customHeight="1" s="1883">
      <c r="D927" s="55" t="n"/>
    </row>
    <row r="928" ht="12.75" customHeight="1" s="1883">
      <c r="D928" s="55" t="n"/>
    </row>
    <row r="929" ht="12.75" customHeight="1" s="1883">
      <c r="D929" s="55" t="n"/>
    </row>
    <row r="930" ht="12.75" customHeight="1" s="1883">
      <c r="D930" s="55" t="n"/>
    </row>
    <row r="931" ht="12.75" customHeight="1" s="1883">
      <c r="D931" s="55" t="n"/>
    </row>
    <row r="932" ht="12.75" customHeight="1" s="1883">
      <c r="D932" s="55" t="n"/>
    </row>
    <row r="933" ht="12.75" customHeight="1" s="1883">
      <c r="D933" s="55" t="n"/>
    </row>
    <row r="934" ht="12.75" customHeight="1" s="1883">
      <c r="D934" s="55" t="n"/>
    </row>
    <row r="935" ht="12.75" customHeight="1" s="1883">
      <c r="D935" s="55" t="n"/>
    </row>
    <row r="936" ht="12.75" customHeight="1" s="1883">
      <c r="D936" s="55" t="n"/>
    </row>
    <row r="937" ht="12.75" customHeight="1" s="1883">
      <c r="D937" s="55" t="n"/>
    </row>
    <row r="938" ht="12.75" customHeight="1" s="1883">
      <c r="D938" s="55" t="n"/>
    </row>
    <row r="939" ht="12.75" customHeight="1" s="1883">
      <c r="D939" s="55" t="n"/>
    </row>
    <row r="940" ht="12.75" customHeight="1" s="1883">
      <c r="D940" s="55" t="n"/>
    </row>
    <row r="941" ht="12.75" customHeight="1" s="1883">
      <c r="D941" s="55" t="n"/>
    </row>
    <row r="942" ht="12.75" customHeight="1" s="1883">
      <c r="D942" s="55" t="n"/>
    </row>
    <row r="943" ht="12.75" customHeight="1" s="1883">
      <c r="D943" s="55" t="n"/>
    </row>
    <row r="944" ht="12.75" customHeight="1" s="1883">
      <c r="D944" s="55" t="n"/>
    </row>
    <row r="945" ht="12.75" customHeight="1" s="1883">
      <c r="D945" s="55" t="n"/>
    </row>
    <row r="946" ht="12.75" customHeight="1" s="1883">
      <c r="D946" s="55" t="n"/>
    </row>
    <row r="947" ht="12.75" customHeight="1" s="1883">
      <c r="D947" s="55" t="n"/>
    </row>
    <row r="948" ht="12.75" customHeight="1" s="1883">
      <c r="D948" s="55" t="n"/>
    </row>
    <row r="949" ht="12.75" customHeight="1" s="1883">
      <c r="D949" s="55" t="n"/>
    </row>
    <row r="950" ht="12.75" customHeight="1" s="1883">
      <c r="D950" s="55" t="n"/>
    </row>
    <row r="951" ht="12.75" customHeight="1" s="1883">
      <c r="D951" s="55" t="n"/>
    </row>
    <row r="952" ht="12.75" customHeight="1" s="1883">
      <c r="D952" s="55" t="n"/>
    </row>
    <row r="953" ht="12.75" customHeight="1" s="1883">
      <c r="D953" s="55" t="n"/>
    </row>
    <row r="954" ht="12.75" customHeight="1" s="1883">
      <c r="D954" s="55" t="n"/>
    </row>
    <row r="955" ht="12.75" customHeight="1" s="1883">
      <c r="D955" s="55" t="n"/>
    </row>
    <row r="956" ht="12.75" customHeight="1" s="1883">
      <c r="D956" s="55" t="n"/>
    </row>
    <row r="957" ht="12.75" customHeight="1" s="1883">
      <c r="D957" s="55" t="n"/>
    </row>
    <row r="958" ht="12.75" customHeight="1" s="1883">
      <c r="D958" s="55" t="n"/>
    </row>
    <row r="959" ht="12.75" customHeight="1" s="1883">
      <c r="D959" s="55" t="n"/>
    </row>
    <row r="960" ht="12.75" customHeight="1" s="1883">
      <c r="D960" s="55" t="n"/>
    </row>
    <row r="961" ht="12.75" customHeight="1" s="1883">
      <c r="D961" s="55" t="n"/>
    </row>
    <row r="962" ht="12.75" customHeight="1" s="1883">
      <c r="D962" s="55" t="n"/>
    </row>
    <row r="963" ht="12.75" customHeight="1" s="1883">
      <c r="D963" s="55" t="n"/>
    </row>
    <row r="964" ht="12.75" customHeight="1" s="1883">
      <c r="D964" s="55" t="n"/>
    </row>
    <row r="965" ht="12.75" customHeight="1" s="1883">
      <c r="D965" s="55" t="n"/>
    </row>
    <row r="966" ht="12.75" customHeight="1" s="1883">
      <c r="D966" s="55" t="n"/>
    </row>
    <row r="967" ht="12.75" customHeight="1" s="1883">
      <c r="D967" s="55" t="n"/>
    </row>
    <row r="968" ht="12.75" customHeight="1" s="1883">
      <c r="D968" s="55" t="n"/>
    </row>
    <row r="969" ht="12.75" customHeight="1" s="1883">
      <c r="D969" s="55" t="n"/>
    </row>
    <row r="970" ht="12.75" customHeight="1" s="1883">
      <c r="D970" s="55" t="n"/>
    </row>
    <row r="971" ht="12.75" customHeight="1" s="1883">
      <c r="D971" s="55" t="n"/>
    </row>
    <row r="972" ht="12.75" customHeight="1" s="1883">
      <c r="D972" s="55" t="n"/>
    </row>
    <row r="973" ht="12.75" customHeight="1" s="1883">
      <c r="D973" s="55" t="n"/>
    </row>
    <row r="974" ht="12.75" customHeight="1" s="1883">
      <c r="D974" s="55" t="n"/>
    </row>
    <row r="975" ht="12.75" customHeight="1" s="1883">
      <c r="D975" s="55" t="n"/>
    </row>
    <row r="976" ht="12.75" customHeight="1" s="1883">
      <c r="D976" s="55" t="n"/>
    </row>
    <row r="977" ht="12.75" customHeight="1" s="1883">
      <c r="D977" s="55" t="n"/>
    </row>
    <row r="978" ht="12.75" customHeight="1" s="1883">
      <c r="D978" s="55" t="n"/>
    </row>
    <row r="979" ht="12.75" customHeight="1" s="1883">
      <c r="D979" s="55" t="n"/>
    </row>
    <row r="980" ht="12.75" customHeight="1" s="1883">
      <c r="D980" s="55" t="n"/>
    </row>
    <row r="981" ht="12.75" customHeight="1" s="1883">
      <c r="D981" s="55" t="n"/>
    </row>
    <row r="982" ht="12.75" customHeight="1" s="1883">
      <c r="D982" s="55" t="n"/>
    </row>
    <row r="983" ht="12.75" customHeight="1" s="1883">
      <c r="D983" s="55" t="n"/>
    </row>
    <row r="984" ht="12.75" customHeight="1" s="1883">
      <c r="D984" s="55" t="n"/>
    </row>
    <row r="985" ht="12.75" customHeight="1" s="1883">
      <c r="D985" s="55" t="n"/>
    </row>
    <row r="986" ht="12.75" customHeight="1" s="1883">
      <c r="D986" s="55" t="n"/>
    </row>
    <row r="987" ht="12.75" customHeight="1" s="1883">
      <c r="D987" s="55" t="n"/>
    </row>
    <row r="988" ht="12.75" customHeight="1" s="1883">
      <c r="D988" s="55" t="n"/>
    </row>
    <row r="989" ht="12.75" customHeight="1" s="1883">
      <c r="D989" s="55" t="n"/>
    </row>
    <row r="990" ht="12.75" customHeight="1" s="1883">
      <c r="D990" s="55" t="n"/>
    </row>
    <row r="991" ht="12.75" customHeight="1" s="1883">
      <c r="D991" s="55" t="n"/>
    </row>
    <row r="992" ht="12.75" customHeight="1" s="1883">
      <c r="D992" s="55" t="n"/>
    </row>
    <row r="993" ht="12.75" customHeight="1" s="1883">
      <c r="D993" s="55" t="n"/>
    </row>
    <row r="994" ht="12.75" customHeight="1" s="1883">
      <c r="D994" s="55" t="n"/>
    </row>
    <row r="995" ht="12.75" customHeight="1" s="1883">
      <c r="D995" s="55" t="n"/>
    </row>
    <row r="996" ht="12.75" customHeight="1" s="1883">
      <c r="D996" s="55" t="n"/>
    </row>
    <row r="997" ht="12.75" customHeight="1" s="1883">
      <c r="D997" s="55" t="n"/>
    </row>
    <row r="998" ht="12.75" customHeight="1" s="1883">
      <c r="D998" s="55" t="n"/>
    </row>
    <row r="999" ht="12.75" customHeight="1" s="1883">
      <c r="D999" s="55" t="n"/>
    </row>
    <row r="1000" ht="12.75" customHeight="1" s="1883">
      <c r="D1000" s="55" t="n"/>
    </row>
    <row r="1001" ht="12.75" customHeight="1" s="1883">
      <c r="D1001" s="55" t="n"/>
    </row>
    <row r="1002" ht="12.75" customHeight="1" s="1883">
      <c r="D1002" s="55" t="n"/>
    </row>
    <row r="1003" ht="12.75" customHeight="1" s="1883">
      <c r="D1003" s="55" t="n"/>
    </row>
    <row r="1004" ht="12.75" customHeight="1" s="1883">
      <c r="D1004" s="55" t="n"/>
    </row>
    <row r="1005" ht="12.75" customHeight="1" s="1883">
      <c r="D1005" s="55" t="n"/>
    </row>
  </sheetData>
  <mergeCells count="34">
    <mergeCell ref="AS72:AU72"/>
    <mergeCell ref="AY72:BA72"/>
    <mergeCell ref="AA73:AC73"/>
    <mergeCell ref="I72:K72"/>
    <mergeCell ref="BE72:BG72"/>
    <mergeCell ref="BK72:BM72"/>
    <mergeCell ref="AY71:BA71"/>
    <mergeCell ref="I71:K71"/>
    <mergeCell ref="AS71:AU71"/>
    <mergeCell ref="BE71:BG71"/>
    <mergeCell ref="BK71:BM71"/>
    <mergeCell ref="U72:W72"/>
    <mergeCell ref="AM73:AO73"/>
    <mergeCell ref="AY73:BA73"/>
    <mergeCell ref="C71:E71"/>
    <mergeCell ref="BK73:BM73"/>
    <mergeCell ref="U71:W71"/>
    <mergeCell ref="O71:Q71"/>
    <mergeCell ref="AG71:AI71"/>
    <mergeCell ref="AM71:AO71"/>
    <mergeCell ref="I73:K73"/>
    <mergeCell ref="O73:Q73"/>
    <mergeCell ref="U73:W73"/>
    <mergeCell ref="BE73:BG73"/>
    <mergeCell ref="C72:E72"/>
    <mergeCell ref="O72:Q72"/>
    <mergeCell ref="AA71:AC71"/>
    <mergeCell ref="AG73:AI73"/>
    <mergeCell ref="AA72:AC72"/>
    <mergeCell ref="AS73:AU73"/>
    <mergeCell ref="AM72:AO72"/>
    <mergeCell ref="C73:E73"/>
    <mergeCell ref="AG72:AI72"/>
    <mergeCell ref="D40:D41"/>
  </mergeCells>
  <pageMargins left="0.7" right="0.7" top="0.75" bottom="0.75" header="0.3" footer="0.3"/>
  <pageSetup orientation="portrait" horizontalDpi="0" verticalDpi="0"/>
  <legacyDrawing xmlns:r="http://schemas.openxmlformats.org/officeDocument/2006/relationships" r:id="anysvml"/>
</worksheet>
</file>

<file path=xl/worksheets/sheet15.xml><?xml version="1.0" encoding="utf-8"?>
<worksheet xmlns="http://schemas.openxmlformats.org/spreadsheetml/2006/main">
  <sheetPr>
    <tabColor rgb="FFCCFFCC"/>
    <outlinePr summaryBelow="1" summaryRight="1"/>
    <pageSetUpPr/>
  </sheetPr>
  <dimension ref="B2:DC104"/>
  <sheetViews>
    <sheetView topLeftCell="A69" zoomScale="162" zoomScaleNormal="162" workbookViewId="0">
      <selection activeCell="Y21" sqref="Y21"/>
    </sheetView>
  </sheetViews>
  <sheetFormatPr baseColWidth="10" defaultColWidth="8.6640625" defaultRowHeight="13"/>
  <cols>
    <col width="2.6640625" customWidth="1" style="1883" min="1" max="5"/>
    <col width="31.5" customWidth="1" style="1883" min="6" max="6"/>
    <col width="2.6640625" customWidth="1" style="1883" min="7" max="7"/>
    <col hidden="1" width="2.6640625" customWidth="1" style="1883" min="8" max="18"/>
    <col hidden="1" width="21.6640625" customWidth="1" style="1883" min="19" max="19"/>
    <col width="2.6640625" customWidth="1" style="1883" min="20" max="24"/>
    <col width="15.6640625" customWidth="1" style="1883" min="25" max="37"/>
    <col width="1.6640625" customWidth="1" style="1883" min="38" max="38"/>
    <col width="15.6640625" customWidth="1" style="1883" min="39" max="51"/>
    <col width="1.6640625" customWidth="1" style="1883" min="52" max="52"/>
    <col width="15.6640625" customWidth="1" style="1883" min="53" max="65"/>
    <col width="1.6640625" customWidth="1" style="1883" min="66" max="66"/>
    <col width="15.6640625" customWidth="1" style="1883" min="67" max="79"/>
    <col width="1.6640625" customWidth="1" style="1883" min="80" max="80"/>
    <col width="15.6640625" customWidth="1" style="1883" min="81" max="93"/>
    <col width="1.6640625" customWidth="1" style="1883" min="94" max="94"/>
    <col width="15.6640625" customWidth="1" style="1883" min="95" max="108"/>
  </cols>
  <sheetData>
    <row r="2" ht="15" customHeight="1" s="1883">
      <c r="B2" s="385" t="inlineStr">
        <is>
          <t>PURE TECHNOLOGY</t>
        </is>
      </c>
      <c r="C2" s="726" t="n"/>
      <c r="D2" s="726" t="n"/>
      <c r="E2" s="726" t="n"/>
      <c r="F2" s="726" t="n"/>
      <c r="G2" s="726" t="n"/>
      <c r="H2" s="726" t="n"/>
      <c r="I2" s="726" t="n"/>
      <c r="J2" s="726" t="n"/>
      <c r="K2" s="726" t="n"/>
      <c r="L2" s="726" t="n"/>
      <c r="M2" s="726" t="n"/>
      <c r="N2" s="726" t="n"/>
      <c r="O2" s="726" t="n"/>
      <c r="P2" s="726" t="n"/>
      <c r="Q2" s="726" t="n"/>
      <c r="R2" s="726" t="n"/>
      <c r="S2" s="726" t="n"/>
      <c r="T2" s="726" t="n"/>
      <c r="U2" s="726" t="n"/>
      <c r="V2" s="726" t="n"/>
      <c r="W2" s="726" t="n"/>
      <c r="X2" s="726" t="n"/>
      <c r="Y2" s="726" t="n"/>
      <c r="Z2" s="726" t="n"/>
      <c r="AA2" s="726" t="n"/>
      <c r="AB2" s="726" t="n"/>
      <c r="AC2" s="726" t="n"/>
      <c r="AD2" s="726" t="n"/>
      <c r="AE2" s="726" t="n"/>
      <c r="AF2" s="726" t="n"/>
      <c r="AG2" s="726" t="n"/>
      <c r="AH2" s="726" t="n"/>
      <c r="AI2" s="726" t="n"/>
      <c r="AJ2" s="726" t="n"/>
      <c r="AK2" s="726" t="n"/>
      <c r="AL2" s="726" t="n"/>
      <c r="AM2" s="726" t="n"/>
      <c r="AN2" s="726" t="n"/>
      <c r="AO2" s="726" t="n"/>
      <c r="AP2" s="726" t="n"/>
      <c r="AQ2" s="726" t="n"/>
      <c r="AR2" s="726" t="n"/>
      <c r="AS2" s="726" t="n"/>
      <c r="AT2" s="726" t="n"/>
      <c r="AU2" s="726" t="n"/>
      <c r="AV2" s="726" t="n"/>
      <c r="AW2" s="726" t="n"/>
      <c r="AX2" s="726" t="n"/>
      <c r="AY2" s="726" t="n"/>
      <c r="AZ2" s="726" t="n"/>
      <c r="BA2" s="726" t="n"/>
      <c r="BB2" s="726" t="n"/>
      <c r="BC2" s="726" t="n"/>
      <c r="BD2" s="726" t="n"/>
      <c r="BE2" s="726" t="n"/>
      <c r="BF2" s="726" t="n"/>
      <c r="BG2" s="726" t="n"/>
      <c r="BH2" s="726" t="n"/>
      <c r="BI2" s="726" t="n"/>
      <c r="BJ2" s="726" t="n"/>
      <c r="BK2" s="726" t="n"/>
      <c r="BL2" s="726" t="n"/>
      <c r="BM2" s="726" t="n"/>
      <c r="BN2" s="726" t="n"/>
      <c r="BO2" s="726" t="n"/>
      <c r="BP2" s="726" t="n"/>
      <c r="BQ2" s="726" t="n"/>
      <c r="BR2" s="726" t="n"/>
      <c r="BS2" s="726" t="n"/>
      <c r="BT2" s="726" t="n"/>
      <c r="BU2" s="726" t="n"/>
      <c r="BV2" s="726" t="n"/>
      <c r="BW2" s="726" t="n"/>
      <c r="BX2" s="726" t="n"/>
      <c r="BY2" s="726" t="n"/>
      <c r="BZ2" s="726" t="n"/>
      <c r="CA2" s="726" t="n"/>
      <c r="CB2" s="726" t="n"/>
      <c r="CC2" s="726" t="n"/>
      <c r="CD2" s="726" t="n"/>
      <c r="CE2" s="726" t="n"/>
      <c r="CF2" s="726" t="n"/>
      <c r="CG2" s="726" t="n"/>
      <c r="CH2" s="726" t="n"/>
      <c r="CI2" s="726" t="n"/>
      <c r="CJ2" s="726" t="n"/>
      <c r="CK2" s="726" t="n"/>
      <c r="CL2" s="726" t="n"/>
      <c r="CM2" s="726" t="n"/>
      <c r="CN2" s="726" t="n"/>
      <c r="CO2" s="726" t="n"/>
      <c r="CP2" s="726" t="n"/>
      <c r="CQ2" s="726" t="n"/>
      <c r="CR2" s="726" t="n"/>
      <c r="CS2" s="726" t="n"/>
      <c r="CT2" s="726" t="n"/>
      <c r="CU2" s="726" t="n"/>
      <c r="CV2" s="726" t="n"/>
      <c r="CW2" s="726" t="n"/>
      <c r="CX2" s="726" t="n"/>
      <c r="CY2" s="726" t="n"/>
      <c r="CZ2" s="726" t="n"/>
      <c r="DA2" s="726" t="n"/>
      <c r="DB2" s="726" t="n"/>
      <c r="DC2" s="726" t="n"/>
    </row>
    <row r="3" ht="4.5" customHeight="1" s="1883">
      <c r="B3" s="383" t="n"/>
      <c r="C3" s="726" t="n"/>
      <c r="D3" s="726" t="n"/>
      <c r="E3" s="726" t="n"/>
      <c r="F3" s="726" t="n"/>
      <c r="G3" s="726" t="n"/>
      <c r="H3" s="726" t="n"/>
      <c r="I3" s="726" t="n"/>
      <c r="J3" s="726" t="n"/>
      <c r="K3" s="726" t="n"/>
      <c r="L3" s="726" t="n"/>
      <c r="M3" s="726" t="n"/>
      <c r="N3" s="726" t="n"/>
      <c r="O3" s="726" t="n"/>
      <c r="P3" s="726" t="n"/>
      <c r="Q3" s="726" t="n"/>
      <c r="R3" s="726" t="n"/>
      <c r="S3" s="726" t="n"/>
      <c r="T3" s="726" t="n"/>
      <c r="U3" s="726" t="n"/>
      <c r="V3" s="726" t="n"/>
      <c r="W3" s="726" t="n"/>
      <c r="X3" s="726" t="n"/>
      <c r="Y3" s="726" t="n"/>
      <c r="Z3" s="726" t="n"/>
      <c r="AA3" s="726" t="n"/>
      <c r="AB3" s="726" t="n"/>
      <c r="AC3" s="726" t="n"/>
      <c r="AD3" s="726" t="n"/>
      <c r="AE3" s="726" t="n"/>
      <c r="AF3" s="726" t="n"/>
      <c r="AG3" s="726" t="n"/>
      <c r="AH3" s="726" t="n"/>
      <c r="AI3" s="726" t="n"/>
      <c r="AJ3" s="726" t="n"/>
      <c r="AK3" s="726" t="n"/>
      <c r="AL3" s="726" t="n"/>
      <c r="AM3" s="726" t="n"/>
      <c r="AN3" s="726" t="n"/>
      <c r="AO3" s="726" t="n"/>
      <c r="AP3" s="726" t="n"/>
      <c r="AQ3" s="726" t="n"/>
      <c r="AR3" s="726" t="n"/>
      <c r="AS3" s="726" t="n"/>
      <c r="AT3" s="726" t="n"/>
      <c r="AU3" s="726" t="n"/>
      <c r="AV3" s="726" t="n"/>
      <c r="AW3" s="726" t="n"/>
      <c r="AX3" s="726" t="n"/>
      <c r="AY3" s="726" t="n"/>
      <c r="AZ3" s="726" t="n"/>
      <c r="BA3" s="726" t="n"/>
      <c r="BB3" s="726" t="n"/>
      <c r="BC3" s="726" t="n"/>
      <c r="BD3" s="726" t="n"/>
      <c r="BE3" s="726" t="n"/>
      <c r="BF3" s="726" t="n"/>
      <c r="BG3" s="726" t="n"/>
      <c r="BH3" s="726" t="n"/>
      <c r="BI3" s="726" t="n"/>
      <c r="BJ3" s="726" t="n"/>
      <c r="BK3" s="726" t="n"/>
      <c r="BL3" s="726" t="n"/>
      <c r="BM3" s="726" t="n"/>
      <c r="BN3" s="726" t="n"/>
      <c r="BO3" s="726" t="n"/>
      <c r="BP3" s="726" t="n"/>
      <c r="BQ3" s="726" t="n"/>
      <c r="BR3" s="726" t="n"/>
      <c r="BS3" s="726" t="n"/>
      <c r="BT3" s="726" t="n"/>
      <c r="BU3" s="726" t="n"/>
      <c r="BV3" s="726" t="n"/>
      <c r="BW3" s="726" t="n"/>
      <c r="BX3" s="726" t="n"/>
      <c r="BY3" s="726" t="n"/>
      <c r="BZ3" s="726" t="n"/>
      <c r="CA3" s="726" t="n"/>
      <c r="CB3" s="726" t="n"/>
      <c r="CC3" s="726" t="n"/>
      <c r="CD3" s="726" t="n"/>
      <c r="CE3" s="726" t="n"/>
      <c r="CF3" s="726" t="n"/>
      <c r="CG3" s="726" t="n"/>
      <c r="CH3" s="726" t="n"/>
      <c r="CI3" s="726" t="n"/>
      <c r="CJ3" s="726" t="n"/>
      <c r="CK3" s="726" t="n"/>
      <c r="CL3" s="726" t="n"/>
      <c r="CM3" s="726" t="n"/>
      <c r="CN3" s="726" t="n"/>
      <c r="CO3" s="726" t="n"/>
      <c r="CP3" s="726" t="n"/>
      <c r="CQ3" s="726" t="n"/>
      <c r="CR3" s="726" t="n"/>
      <c r="CS3" s="726" t="n"/>
      <c r="CT3" s="726" t="n"/>
      <c r="CU3" s="726" t="n"/>
      <c r="CV3" s="726" t="n"/>
      <c r="CW3" s="726" t="n"/>
      <c r="CX3" s="726" t="n"/>
      <c r="CY3" s="726" t="n"/>
      <c r="CZ3" s="726" t="n"/>
      <c r="DA3" s="726" t="n"/>
      <c r="DB3" s="726" t="n"/>
      <c r="DC3" s="726" t="n"/>
    </row>
    <row r="4" ht="15" customHeight="1" s="1883">
      <c r="B4" s="423" t="inlineStr">
        <is>
          <t>PEOPLE COST ROLL-UP</t>
        </is>
      </c>
      <c r="C4" s="726" t="n"/>
      <c r="D4" s="726" t="n"/>
      <c r="E4" s="726" t="n"/>
      <c r="F4" s="726" t="n"/>
      <c r="G4" s="726" t="n"/>
      <c r="H4" s="726" t="n"/>
      <c r="I4" s="726" t="n"/>
      <c r="J4" s="726" t="n"/>
      <c r="K4" s="726" t="n"/>
      <c r="L4" s="726" t="n"/>
      <c r="M4" s="726" t="n"/>
      <c r="N4" s="726" t="n"/>
      <c r="O4" s="726" t="n"/>
      <c r="P4" s="726" t="n"/>
      <c r="Q4" s="726" t="n"/>
      <c r="R4" s="726" t="n"/>
      <c r="S4" s="726" t="n"/>
      <c r="T4" s="726" t="n"/>
      <c r="U4" s="726" t="n"/>
      <c r="V4" s="726" t="n"/>
      <c r="W4" s="726" t="n"/>
      <c r="X4" s="726" t="n"/>
      <c r="Y4" s="726" t="n"/>
      <c r="Z4" s="726" t="n"/>
      <c r="AA4" s="726" t="n"/>
      <c r="AB4" s="726" t="n"/>
      <c r="AC4" s="726" t="n"/>
      <c r="AD4" s="726" t="n"/>
      <c r="AE4" s="726" t="n"/>
      <c r="AF4" s="726" t="n"/>
      <c r="AG4" s="726" t="n"/>
      <c r="AH4" s="726" t="n"/>
      <c r="AI4" s="726" t="n"/>
      <c r="AJ4" s="726" t="n"/>
      <c r="AK4" s="726" t="n"/>
      <c r="AL4" s="726" t="n"/>
      <c r="AM4" s="726" t="n"/>
      <c r="AN4" s="726" t="n"/>
      <c r="AO4" s="726" t="n"/>
      <c r="AP4" s="726" t="n"/>
      <c r="AQ4" s="726" t="n"/>
      <c r="AR4" s="726" t="n"/>
      <c r="AS4" s="726" t="n"/>
      <c r="AT4" s="726" t="n"/>
      <c r="AU4" s="726" t="n"/>
      <c r="AV4" s="726" t="n"/>
      <c r="AW4" s="726" t="n"/>
      <c r="AX4" s="726" t="n"/>
      <c r="AY4" s="726" t="n"/>
      <c r="AZ4" s="726" t="n"/>
      <c r="BA4" s="726" t="n"/>
      <c r="BB4" s="726" t="n"/>
      <c r="BC4" s="726" t="n"/>
      <c r="BD4" s="726" t="n"/>
      <c r="BE4" s="726" t="n"/>
      <c r="BF4" s="726" t="n"/>
      <c r="BG4" s="726" t="n"/>
      <c r="BH4" s="726" t="n"/>
      <c r="BI4" s="726" t="n"/>
      <c r="BJ4" s="726" t="n"/>
      <c r="BK4" s="726" t="n"/>
      <c r="BL4" s="726" t="n"/>
      <c r="BM4" s="726" t="n"/>
      <c r="BN4" s="726" t="n"/>
      <c r="BO4" s="726" t="n"/>
      <c r="BP4" s="726" t="n"/>
      <c r="BQ4" s="726" t="n"/>
      <c r="BR4" s="726" t="n"/>
      <c r="BS4" s="726" t="n"/>
      <c r="BT4" s="726" t="n"/>
      <c r="BU4" s="726" t="n"/>
      <c r="BV4" s="726" t="n"/>
      <c r="BW4" s="726" t="n"/>
      <c r="BX4" s="726" t="n"/>
      <c r="BY4" s="726" t="n"/>
      <c r="BZ4" s="726" t="n"/>
      <c r="CA4" s="726" t="n"/>
      <c r="CB4" s="726" t="n"/>
      <c r="CC4" s="726" t="n"/>
      <c r="CD4" s="726" t="n"/>
      <c r="CE4" s="726" t="n"/>
      <c r="CF4" s="726" t="n"/>
      <c r="CG4" s="726" t="n"/>
      <c r="CH4" s="726" t="n"/>
      <c r="CI4" s="726" t="n"/>
      <c r="CJ4" s="726" t="n"/>
      <c r="CK4" s="726" t="n"/>
      <c r="CL4" s="726" t="n"/>
      <c r="CM4" s="726" t="n"/>
      <c r="CN4" s="726" t="n"/>
      <c r="CO4" s="726" t="n"/>
      <c r="CP4" s="726" t="n"/>
      <c r="CQ4" s="726" t="n"/>
      <c r="CR4" s="726" t="n"/>
      <c r="CS4" s="726" t="n"/>
      <c r="CT4" s="726" t="n"/>
      <c r="CU4" s="726" t="n"/>
      <c r="CV4" s="726" t="n"/>
      <c r="CW4" s="726" t="n"/>
      <c r="CX4" s="726" t="n"/>
      <c r="CY4" s="726" t="n"/>
      <c r="CZ4" s="726" t="n"/>
      <c r="DA4" s="726" t="n"/>
      <c r="DB4" s="726" t="n"/>
      <c r="DC4" s="726" t="n"/>
    </row>
    <row r="5" ht="4.5" customHeight="1" s="1883">
      <c r="B5" s="422" t="n"/>
      <c r="C5" s="726" t="n"/>
      <c r="D5" s="726" t="n"/>
      <c r="E5" s="726" t="n"/>
      <c r="F5" s="726" t="n"/>
      <c r="G5" s="726" t="n"/>
      <c r="H5" s="726" t="n"/>
      <c r="I5" s="726" t="n"/>
      <c r="J5" s="726" t="n"/>
      <c r="K5" s="726" t="n"/>
      <c r="L5" s="726" t="n"/>
      <c r="M5" s="726" t="n"/>
      <c r="N5" s="726" t="n"/>
      <c r="O5" s="726" t="n"/>
      <c r="P5" s="726" t="n"/>
      <c r="Q5" s="726" t="n"/>
      <c r="R5" s="726" t="n"/>
      <c r="S5" s="726" t="n"/>
      <c r="T5" s="726" t="n"/>
      <c r="U5" s="726" t="n"/>
      <c r="V5" s="726" t="n"/>
      <c r="W5" s="726" t="n"/>
      <c r="X5" s="726" t="n"/>
      <c r="Y5" s="726" t="n"/>
      <c r="Z5" s="726" t="n"/>
      <c r="AA5" s="726" t="n"/>
      <c r="AB5" s="726" t="n"/>
      <c r="AC5" s="726" t="n"/>
      <c r="AD5" s="726" t="n"/>
      <c r="AE5" s="726" t="n"/>
      <c r="AF5" s="726" t="n"/>
      <c r="AG5" s="726" t="n"/>
      <c r="AH5" s="726" t="n"/>
      <c r="AI5" s="726" t="n"/>
      <c r="AJ5" s="726" t="n"/>
      <c r="AK5" s="726" t="n"/>
      <c r="AL5" s="726" t="n"/>
      <c r="AM5" s="726" t="n"/>
      <c r="AN5" s="726" t="n"/>
      <c r="AO5" s="726" t="n"/>
      <c r="AP5" s="726" t="n"/>
      <c r="AQ5" s="726" t="n"/>
      <c r="AR5" s="726" t="n"/>
      <c r="AS5" s="726" t="n"/>
      <c r="AT5" s="726" t="n"/>
      <c r="AU5" s="726" t="n"/>
      <c r="AV5" s="726" t="n"/>
      <c r="AW5" s="726" t="n"/>
      <c r="AX5" s="726" t="n"/>
      <c r="AY5" s="726" t="n"/>
      <c r="AZ5" s="726" t="n"/>
      <c r="BA5" s="726" t="n"/>
      <c r="BB5" s="726" t="n"/>
      <c r="BC5" s="726" t="n"/>
      <c r="BD5" s="726" t="n"/>
      <c r="BE5" s="726" t="n"/>
      <c r="BF5" s="726" t="n"/>
      <c r="BG5" s="726" t="n"/>
      <c r="BH5" s="726" t="n"/>
      <c r="BI5" s="726" t="n"/>
      <c r="BJ5" s="726" t="n"/>
      <c r="BK5" s="726" t="n"/>
      <c r="BL5" s="726" t="n"/>
      <c r="BM5" s="726" t="n"/>
      <c r="BN5" s="726" t="n"/>
      <c r="BO5" s="726" t="n"/>
      <c r="BP5" s="726" t="n"/>
      <c r="BQ5" s="726" t="n"/>
      <c r="BR5" s="726" t="n"/>
      <c r="BS5" s="726" t="n"/>
      <c r="BT5" s="726" t="n"/>
      <c r="BU5" s="726" t="n"/>
      <c r="BV5" s="726" t="n"/>
      <c r="BW5" s="726" t="n"/>
      <c r="BX5" s="726" t="n"/>
      <c r="BY5" s="726" t="n"/>
      <c r="BZ5" s="726" t="n"/>
      <c r="CA5" s="726" t="n"/>
      <c r="CB5" s="726" t="n"/>
      <c r="CC5" s="726" t="n"/>
      <c r="CD5" s="726" t="n"/>
      <c r="CE5" s="726" t="n"/>
      <c r="CF5" s="726" t="n"/>
      <c r="CG5" s="726" t="n"/>
      <c r="CH5" s="726" t="n"/>
      <c r="CI5" s="726" t="n"/>
      <c r="CJ5" s="726" t="n"/>
      <c r="CK5" s="726" t="n"/>
      <c r="CL5" s="726" t="n"/>
      <c r="CM5" s="726" t="n"/>
      <c r="CN5" s="726" t="n"/>
      <c r="CO5" s="726" t="n"/>
      <c r="CP5" s="726" t="n"/>
      <c r="CQ5" s="726" t="n"/>
      <c r="CR5" s="726" t="n"/>
      <c r="CS5" s="726" t="n"/>
      <c r="CT5" s="726" t="n"/>
      <c r="CU5" s="726" t="n"/>
      <c r="CV5" s="726" t="n"/>
      <c r="CW5" s="726" t="n"/>
      <c r="CX5" s="726" t="n"/>
      <c r="CY5" s="726" t="n"/>
      <c r="CZ5" s="726" t="n"/>
      <c r="DA5" s="726" t="n"/>
      <c r="DB5" s="726" t="n"/>
      <c r="DC5" s="726" t="n"/>
    </row>
    <row r="6" ht="15" customHeight="1" s="1883">
      <c r="B6" s="423" t="inlineStr">
        <is>
          <t>MONTHS 1 - 60</t>
        </is>
      </c>
      <c r="C6" s="726" t="n"/>
      <c r="D6" s="726" t="n"/>
      <c r="E6" s="726" t="n"/>
      <c r="F6" s="726" t="n"/>
      <c r="G6" s="726" t="n"/>
      <c r="H6" s="726" t="n"/>
      <c r="I6" s="726" t="n"/>
      <c r="J6" s="726" t="n"/>
      <c r="K6" s="726" t="n"/>
      <c r="L6" s="726" t="n"/>
      <c r="M6" s="726" t="n"/>
      <c r="N6" s="726" t="n"/>
      <c r="O6" s="726" t="n"/>
      <c r="P6" s="726" t="n"/>
      <c r="Q6" s="726" t="n"/>
      <c r="R6" s="726" t="n"/>
      <c r="S6" s="726" t="n"/>
      <c r="T6" s="726" t="n"/>
      <c r="U6" s="726" t="n"/>
      <c r="V6" s="726" t="n"/>
      <c r="W6" s="726" t="n"/>
      <c r="X6" s="726" t="n"/>
      <c r="Y6" s="726" t="n"/>
      <c r="Z6" s="726" t="n"/>
      <c r="AA6" s="726" t="n"/>
      <c r="AB6" s="726" t="n"/>
      <c r="AC6" s="726" t="n"/>
      <c r="AD6" s="726" t="n"/>
      <c r="AE6" s="726" t="n"/>
      <c r="AF6" s="726" t="n"/>
      <c r="AG6" s="726" t="n"/>
      <c r="AH6" s="726" t="n"/>
      <c r="AI6" s="726" t="n"/>
      <c r="AJ6" s="726" t="n"/>
      <c r="AK6" s="726" t="n"/>
      <c r="AL6" s="726" t="n"/>
      <c r="AM6" s="726" t="n"/>
      <c r="AN6" s="726" t="n"/>
      <c r="AO6" s="726" t="n"/>
      <c r="AP6" s="726" t="n"/>
      <c r="AQ6" s="726" t="n"/>
      <c r="AR6" s="726" t="n"/>
      <c r="AS6" s="726" t="n"/>
      <c r="AT6" s="726" t="n"/>
      <c r="AU6" s="726" t="n"/>
      <c r="AV6" s="726" t="n"/>
      <c r="AW6" s="726" t="n"/>
      <c r="AX6" s="726" t="n"/>
      <c r="AY6" s="726" t="n"/>
      <c r="AZ6" s="726" t="n"/>
      <c r="BA6" s="726" t="n"/>
      <c r="BB6" s="726" t="n"/>
      <c r="BC6" s="726" t="n"/>
      <c r="BD6" s="726" t="n"/>
      <c r="BE6" s="726" t="n"/>
      <c r="BF6" s="726" t="n"/>
      <c r="BG6" s="726" t="n"/>
      <c r="BH6" s="726" t="n"/>
      <c r="BI6" s="726" t="n"/>
      <c r="BJ6" s="726" t="n"/>
      <c r="BK6" s="726" t="n"/>
      <c r="BL6" s="726" t="n"/>
      <c r="BM6" s="726" t="n"/>
      <c r="BN6" s="726" t="n"/>
      <c r="BO6" s="726" t="n"/>
      <c r="BP6" s="726" t="n"/>
      <c r="BQ6" s="726" t="n"/>
      <c r="BR6" s="726" t="n"/>
      <c r="BS6" s="726" t="n"/>
      <c r="BT6" s="726" t="n"/>
      <c r="BU6" s="726" t="n"/>
      <c r="BV6" s="726" t="n"/>
      <c r="BW6" s="726" t="n"/>
      <c r="BX6" s="726" t="n"/>
      <c r="BY6" s="726" t="n"/>
      <c r="BZ6" s="726" t="n"/>
      <c r="CA6" s="726" t="n"/>
      <c r="CB6" s="726" t="n"/>
      <c r="CC6" s="726" t="n"/>
      <c r="CD6" s="726" t="n"/>
      <c r="CE6" s="726" t="n"/>
      <c r="CF6" s="726" t="n"/>
      <c r="CG6" s="726" t="n"/>
      <c r="CH6" s="726" t="n"/>
      <c r="CI6" s="726" t="n"/>
      <c r="CJ6" s="726" t="n"/>
      <c r="CK6" s="726" t="n"/>
      <c r="CL6" s="726" t="n"/>
      <c r="CM6" s="726" t="n"/>
      <c r="CN6" s="726" t="n"/>
      <c r="CO6" s="726" t="n"/>
      <c r="CP6" s="726" t="n"/>
      <c r="CQ6" s="726" t="n"/>
      <c r="CR6" s="726" t="n"/>
      <c r="CS6" s="726" t="n"/>
      <c r="CT6" s="726" t="n"/>
      <c r="CU6" s="726" t="n"/>
      <c r="CV6" s="726" t="n"/>
      <c r="CW6" s="726" t="n"/>
      <c r="CX6" s="726" t="n"/>
      <c r="CY6" s="726" t="n"/>
      <c r="CZ6" s="726" t="n"/>
      <c r="DA6" s="726" t="n"/>
      <c r="DB6" s="726" t="n"/>
      <c r="DC6" s="726" t="n"/>
    </row>
    <row r="7" ht="15" customHeight="1" s="1883">
      <c r="B7" s="726" t="n"/>
      <c r="C7" s="726" t="n"/>
      <c r="D7" s="726" t="n"/>
      <c r="E7" s="726" t="n"/>
      <c r="F7" s="726" t="n"/>
      <c r="G7" s="726" t="n"/>
      <c r="H7" s="726" t="n"/>
      <c r="I7" s="726" t="n"/>
      <c r="J7" s="726" t="n"/>
      <c r="K7" s="726" t="n"/>
      <c r="L7" s="726" t="n"/>
      <c r="M7" s="726" t="n"/>
      <c r="N7" s="726" t="n"/>
      <c r="O7" s="726" t="n"/>
      <c r="P7" s="726" t="n"/>
      <c r="Q7" s="726" t="n"/>
      <c r="R7" s="726" t="n"/>
      <c r="S7" s="726" t="n"/>
      <c r="T7" s="726" t="n"/>
      <c r="U7" s="726" t="n"/>
      <c r="V7" s="726" t="n"/>
      <c r="W7" s="726" t="n"/>
      <c r="X7" s="726" t="n"/>
      <c r="Y7" s="726" t="n"/>
      <c r="Z7" s="726" t="n"/>
      <c r="AA7" s="726" t="n"/>
      <c r="AB7" s="726" t="n"/>
      <c r="AC7" s="726" t="n"/>
      <c r="AD7" s="726" t="n"/>
      <c r="AE7" s="726" t="n"/>
      <c r="AF7" s="726" t="n"/>
      <c r="AG7" s="726" t="n"/>
      <c r="AH7" s="726" t="n"/>
      <c r="AI7" s="726" t="n"/>
      <c r="AJ7" s="726" t="n"/>
      <c r="AK7" s="726" t="n"/>
      <c r="AL7" s="726" t="n"/>
      <c r="AM7" s="726" t="n"/>
      <c r="AN7" s="726" t="n"/>
      <c r="AO7" s="726" t="n"/>
      <c r="AP7" s="726" t="n"/>
      <c r="AQ7" s="726" t="n"/>
      <c r="AR7" s="726" t="n"/>
      <c r="AS7" s="726" t="n"/>
      <c r="AT7" s="726" t="n"/>
      <c r="AU7" s="726" t="n"/>
      <c r="AV7" s="726" t="n"/>
      <c r="AW7" s="726" t="n"/>
      <c r="AX7" s="726" t="n"/>
      <c r="AY7" s="726" t="n"/>
      <c r="AZ7" s="726" t="n"/>
      <c r="BA7" s="726" t="n"/>
      <c r="BB7" s="726" t="n"/>
      <c r="BC7" s="726" t="n"/>
      <c r="BD7" s="726" t="n"/>
      <c r="BE7" s="726" t="n"/>
      <c r="BF7" s="726" t="n"/>
      <c r="BG7" s="726" t="n"/>
      <c r="BH7" s="726" t="n"/>
      <c r="BI7" s="726" t="n"/>
      <c r="BJ7" s="726" t="n"/>
      <c r="BK7" s="726" t="n"/>
      <c r="BL7" s="726" t="n"/>
      <c r="BM7" s="726" t="n"/>
      <c r="BN7" s="726" t="n"/>
      <c r="BO7" s="726" t="n"/>
      <c r="BP7" s="726" t="n"/>
      <c r="BQ7" s="726" t="n"/>
      <c r="BR7" s="726" t="n"/>
      <c r="BS7" s="726" t="n"/>
      <c r="BT7" s="726" t="n"/>
      <c r="BU7" s="726" t="n"/>
      <c r="BV7" s="726" t="n"/>
      <c r="BW7" s="726" t="n"/>
      <c r="BX7" s="726" t="n"/>
      <c r="BY7" s="726" t="n"/>
      <c r="BZ7" s="726" t="n"/>
      <c r="CA7" s="726" t="n"/>
      <c r="CB7" s="726" t="n"/>
      <c r="CC7" s="726" t="n"/>
      <c r="CD7" s="726" t="n"/>
      <c r="CE7" s="726" t="n"/>
      <c r="CF7" s="726" t="n"/>
      <c r="CG7" s="726" t="n"/>
      <c r="CH7" s="726" t="n"/>
      <c r="CI7" s="726" t="n"/>
      <c r="CJ7" s="726" t="n"/>
      <c r="CK7" s="726" t="n"/>
      <c r="CL7" s="726" t="n"/>
      <c r="CM7" s="726" t="n"/>
      <c r="CN7" s="726" t="n"/>
      <c r="CO7" s="726" t="n"/>
      <c r="CP7" s="726" t="n"/>
      <c r="CQ7" s="726" t="n"/>
      <c r="CR7" s="726" t="n"/>
      <c r="CS7" s="726" t="n"/>
      <c r="CT7" s="726" t="n"/>
      <c r="CU7" s="726" t="n"/>
      <c r="CV7" s="726" t="n"/>
      <c r="CW7" s="726" t="n"/>
      <c r="CX7" s="726" t="n"/>
      <c r="CY7" s="726" t="n"/>
      <c r="CZ7" s="726" t="n"/>
      <c r="DA7" s="726" t="n"/>
      <c r="DB7" s="726" t="n"/>
      <c r="DC7" s="726" t="n"/>
    </row>
    <row r="8" ht="3" customHeight="1" s="1883" thickBot="1">
      <c r="B8" s="819" t="n"/>
      <c r="C8" s="819" t="n"/>
      <c r="D8" s="819" t="n"/>
      <c r="E8" s="819" t="n"/>
      <c r="F8" s="819" t="n"/>
      <c r="G8" s="726" t="n"/>
      <c r="H8" s="726" t="n"/>
      <c r="I8" s="726" t="n"/>
      <c r="J8" s="726" t="n"/>
      <c r="K8" s="726" t="n"/>
      <c r="L8" s="726" t="n"/>
      <c r="M8" s="726" t="n"/>
      <c r="N8" s="726" t="n"/>
      <c r="O8" s="726" t="n"/>
      <c r="P8" s="726" t="n"/>
      <c r="Q8" s="726" t="n"/>
      <c r="R8" s="726" t="n"/>
      <c r="S8" s="726" t="n"/>
      <c r="T8" s="726" t="n"/>
      <c r="U8" s="726" t="n"/>
      <c r="V8" s="726" t="n"/>
      <c r="W8" s="726" t="n"/>
      <c r="X8" s="726" t="n"/>
      <c r="Y8" s="726" t="n"/>
      <c r="Z8" s="726" t="n"/>
      <c r="AA8" s="726" t="n"/>
      <c r="AB8" s="726" t="n"/>
      <c r="AC8" s="726" t="n"/>
      <c r="AD8" s="726" t="n"/>
      <c r="AE8" s="726" t="n"/>
      <c r="AF8" s="726" t="n"/>
      <c r="AG8" s="726" t="n"/>
      <c r="AH8" s="726" t="n"/>
      <c r="AI8" s="726" t="n"/>
      <c r="AJ8" s="726" t="n"/>
      <c r="AK8" s="726" t="n"/>
      <c r="AL8" s="726" t="n"/>
      <c r="AM8" s="726" t="n"/>
      <c r="AN8" s="726" t="n"/>
      <c r="AO8" s="726" t="n"/>
      <c r="AP8" s="726" t="n"/>
      <c r="AQ8" s="726" t="n"/>
      <c r="AR8" s="726" t="n"/>
      <c r="AS8" s="726" t="n"/>
      <c r="AT8" s="726" t="n"/>
      <c r="AU8" s="726" t="n"/>
      <c r="AV8" s="726" t="n"/>
      <c r="AW8" s="726" t="n"/>
      <c r="AX8" s="726" t="n"/>
      <c r="AY8" s="726" t="n"/>
      <c r="AZ8" s="726" t="n"/>
      <c r="BA8" s="726" t="n"/>
      <c r="BB8" s="726" t="n"/>
      <c r="BC8" s="726" t="n"/>
      <c r="BD8" s="726" t="n"/>
      <c r="BE8" s="726" t="n"/>
      <c r="BF8" s="726" t="n"/>
      <c r="BG8" s="726" t="n"/>
      <c r="BH8" s="726" t="n"/>
      <c r="BI8" s="726" t="n"/>
      <c r="BJ8" s="726" t="n"/>
      <c r="BK8" s="726" t="n"/>
      <c r="BL8" s="726" t="n"/>
      <c r="BM8" s="726" t="n"/>
      <c r="BN8" s="726" t="n"/>
      <c r="BO8" s="726" t="n"/>
      <c r="BP8" s="726" t="n"/>
      <c r="BQ8" s="726" t="n"/>
      <c r="BR8" s="726" t="n"/>
      <c r="BS8" s="726" t="n"/>
      <c r="BT8" s="726" t="n"/>
      <c r="BU8" s="726" t="n"/>
      <c r="BV8" s="726" t="n"/>
      <c r="BW8" s="726" t="n"/>
      <c r="BX8" s="726" t="n"/>
      <c r="BY8" s="726" t="n"/>
      <c r="BZ8" s="726" t="n"/>
      <c r="CA8" s="726" t="n"/>
      <c r="CB8" s="726" t="n"/>
      <c r="CC8" s="726" t="n"/>
      <c r="CD8" s="726" t="n"/>
      <c r="CE8" s="726" t="n"/>
      <c r="CF8" s="726" t="n"/>
      <c r="CG8" s="726" t="n"/>
      <c r="CH8" s="726" t="n"/>
      <c r="CI8" s="726" t="n"/>
      <c r="CJ8" s="726" t="n"/>
      <c r="CK8" s="726" t="n"/>
      <c r="CL8" s="726" t="n"/>
      <c r="CM8" s="726" t="n"/>
      <c r="CN8" s="726" t="n"/>
      <c r="CO8" s="726" t="n"/>
      <c r="CP8" s="726" t="n"/>
      <c r="CQ8" s="726" t="n"/>
      <c r="CR8" s="726" t="n"/>
      <c r="CS8" s="726" t="n"/>
      <c r="CT8" s="726" t="n"/>
      <c r="CU8" s="726" t="n"/>
      <c r="CV8" s="726" t="n"/>
      <c r="CW8" s="726" t="n"/>
      <c r="CX8" s="726" t="n"/>
      <c r="CY8" s="726" t="n"/>
      <c r="CZ8" s="726" t="n"/>
      <c r="DA8" s="726" t="n"/>
      <c r="DB8" s="726" t="n"/>
      <c r="DC8" s="726" t="n"/>
    </row>
    <row r="9" ht="3" customHeight="1" s="1883" thickTop="1">
      <c r="B9" s="726" t="n"/>
      <c r="C9" s="726" t="n"/>
      <c r="D9" s="726" t="n"/>
      <c r="E9" s="726" t="n"/>
      <c r="F9" s="726" t="n"/>
      <c r="G9" s="726" t="n"/>
      <c r="H9" s="726" t="n"/>
      <c r="I9" s="726" t="n"/>
      <c r="J9" s="726" t="n"/>
      <c r="K9" s="726" t="n"/>
      <c r="L9" s="726" t="n"/>
      <c r="M9" s="726" t="n"/>
      <c r="N9" s="726" t="n"/>
      <c r="O9" s="726" t="n"/>
      <c r="P9" s="726" t="n"/>
      <c r="Q9" s="726" t="n"/>
      <c r="R9" s="726" t="n"/>
      <c r="S9" s="726" t="n"/>
      <c r="T9" s="726" t="n"/>
      <c r="U9" s="726" t="n"/>
      <c r="V9" s="726" t="n"/>
      <c r="W9" s="726" t="n"/>
      <c r="X9" s="726" t="n"/>
      <c r="Y9" s="726" t="n"/>
      <c r="Z9" s="726" t="n"/>
      <c r="AA9" s="726" t="n"/>
      <c r="AB9" s="726" t="n"/>
      <c r="AC9" s="726" t="n"/>
      <c r="AD9" s="726" t="n"/>
      <c r="AE9" s="726" t="n"/>
      <c r="AF9" s="726" t="n"/>
      <c r="AG9" s="726" t="n"/>
      <c r="AH9" s="726" t="n"/>
      <c r="AI9" s="726" t="n"/>
      <c r="AJ9" s="726" t="n"/>
      <c r="AK9" s="726" t="n"/>
      <c r="AL9" s="726" t="n"/>
      <c r="AM9" s="726" t="n"/>
      <c r="AN9" s="726" t="n"/>
      <c r="AO9" s="726" t="n"/>
      <c r="AP9" s="726" t="n"/>
      <c r="AQ9" s="726" t="n"/>
      <c r="AR9" s="726" t="n"/>
      <c r="AS9" s="726" t="n"/>
      <c r="AT9" s="726" t="n"/>
      <c r="AU9" s="726" t="n"/>
      <c r="AV9" s="726" t="n"/>
      <c r="AW9" s="726" t="n"/>
      <c r="AX9" s="726" t="n"/>
      <c r="AY9" s="726" t="n"/>
      <c r="AZ9" s="726" t="n"/>
      <c r="BA9" s="726" t="n"/>
      <c r="BB9" s="726" t="n"/>
      <c r="BC9" s="726" t="n"/>
      <c r="BD9" s="726" t="n"/>
      <c r="BE9" s="726" t="n"/>
      <c r="BF9" s="726" t="n"/>
      <c r="BG9" s="726" t="n"/>
      <c r="BH9" s="726" t="n"/>
      <c r="BI9" s="726" t="n"/>
      <c r="BJ9" s="726" t="n"/>
      <c r="BK9" s="726" t="n"/>
      <c r="BL9" s="726" t="n"/>
      <c r="BM9" s="726" t="n"/>
      <c r="BN9" s="726" t="n"/>
      <c r="BO9" s="726" t="n"/>
      <c r="BP9" s="726" t="n"/>
      <c r="BQ9" s="726" t="n"/>
      <c r="BR9" s="726" t="n"/>
      <c r="BS9" s="726" t="n"/>
      <c r="BT9" s="726" t="n"/>
      <c r="BU9" s="726" t="n"/>
      <c r="BV9" s="726" t="n"/>
      <c r="BW9" s="726" t="n"/>
      <c r="BX9" s="726" t="n"/>
      <c r="BY9" s="726" t="n"/>
      <c r="BZ9" s="726" t="n"/>
      <c r="CA9" s="726" t="n"/>
      <c r="CB9" s="726" t="n"/>
      <c r="CC9" s="726" t="n"/>
      <c r="CD9" s="726" t="n"/>
      <c r="CE9" s="726" t="n"/>
      <c r="CF9" s="726" t="n"/>
      <c r="CG9" s="726" t="n"/>
      <c r="CH9" s="726" t="n"/>
      <c r="CI9" s="726" t="n"/>
      <c r="CJ9" s="726" t="n"/>
      <c r="CK9" s="726" t="n"/>
      <c r="CL9" s="726" t="n"/>
      <c r="CM9" s="726" t="n"/>
      <c r="CN9" s="726" t="n"/>
      <c r="CO9" s="726" t="n"/>
      <c r="CP9" s="726" t="n"/>
      <c r="CQ9" s="726" t="n"/>
      <c r="CR9" s="726" t="n"/>
      <c r="CS9" s="726" t="n"/>
      <c r="CT9" s="726" t="n"/>
      <c r="CU9" s="726" t="n"/>
      <c r="CV9" s="726" t="n"/>
      <c r="CW9" s="726" t="n"/>
      <c r="CX9" s="726" t="n"/>
      <c r="CY9" s="726" t="n"/>
      <c r="CZ9" s="726" t="n"/>
      <c r="DA9" s="726" t="n"/>
      <c r="DB9" s="726" t="n"/>
      <c r="DC9" s="726" t="n"/>
    </row>
    <row r="10" ht="15" customHeight="1" s="1883">
      <c r="B10" s="726" t="n"/>
      <c r="C10" s="726" t="n"/>
      <c r="D10" s="726" t="n"/>
      <c r="E10" s="726" t="n"/>
      <c r="F10" s="726" t="n"/>
      <c r="G10" s="726" t="n"/>
      <c r="H10" s="726" t="n"/>
      <c r="I10" s="726" t="n"/>
      <c r="J10" s="726" t="n"/>
      <c r="K10" s="726" t="n"/>
      <c r="L10" s="726" t="n"/>
      <c r="M10" s="726" t="n"/>
      <c r="N10" s="726" t="n"/>
      <c r="O10" s="726" t="n"/>
      <c r="P10" s="726" t="n"/>
      <c r="Q10" s="726" t="n"/>
      <c r="R10" s="726" t="n"/>
      <c r="S10" s="726" t="n"/>
      <c r="T10" s="726" t="n"/>
      <c r="U10" s="726" t="n"/>
      <c r="V10" s="726" t="n"/>
      <c r="W10" s="726" t="n"/>
      <c r="X10" s="726" t="n"/>
      <c r="Y10" s="726" t="n"/>
      <c r="Z10" s="726" t="n"/>
      <c r="AA10" s="726" t="n"/>
      <c r="AB10" s="726" t="n"/>
      <c r="AC10" s="726" t="n"/>
      <c r="AD10" s="726" t="n"/>
      <c r="AE10" s="726" t="n"/>
      <c r="AF10" s="726" t="n"/>
      <c r="AG10" s="726" t="n"/>
      <c r="AH10" s="726" t="n"/>
      <c r="AI10" s="726" t="n"/>
      <c r="AJ10" s="726" t="n"/>
      <c r="AK10" s="726" t="n"/>
      <c r="AL10" s="726" t="n"/>
      <c r="AM10" s="726" t="n"/>
      <c r="AN10" s="726" t="n"/>
      <c r="AO10" s="726" t="n"/>
      <c r="AP10" s="726" t="n"/>
      <c r="AQ10" s="726" t="n"/>
      <c r="AR10" s="726" t="n"/>
      <c r="AS10" s="726" t="n"/>
      <c r="AT10" s="726" t="n"/>
      <c r="AU10" s="726" t="n"/>
      <c r="AV10" s="726" t="n"/>
      <c r="AW10" s="726" t="n"/>
      <c r="AX10" s="726" t="n"/>
      <c r="AY10" s="726" t="n"/>
      <c r="AZ10" s="726" t="n"/>
      <c r="BA10" s="726" t="n"/>
      <c r="BB10" s="726" t="n"/>
      <c r="BC10" s="726" t="n"/>
      <c r="BD10" s="726" t="n"/>
      <c r="BE10" s="726" t="n"/>
      <c r="BF10" s="726" t="n"/>
      <c r="BG10" s="726" t="n"/>
      <c r="BH10" s="726" t="n"/>
      <c r="BI10" s="726" t="n"/>
      <c r="BJ10" s="726" t="n"/>
      <c r="BK10" s="726" t="n"/>
      <c r="BL10" s="726" t="n"/>
      <c r="BM10" s="726" t="n"/>
      <c r="BN10" s="726" t="n"/>
      <c r="BO10" s="726" t="n"/>
      <c r="BP10" s="726" t="n"/>
      <c r="BQ10" s="726" t="n"/>
      <c r="BR10" s="726" t="n"/>
      <c r="BS10" s="726" t="n"/>
      <c r="BT10" s="726" t="n"/>
      <c r="BU10" s="726" t="n"/>
      <c r="BV10" s="726" t="n"/>
      <c r="BW10" s="726" t="n"/>
      <c r="BX10" s="726" t="n"/>
      <c r="BY10" s="726" t="n"/>
      <c r="BZ10" s="726" t="n"/>
      <c r="CA10" s="726" t="n"/>
      <c r="CB10" s="726" t="n"/>
      <c r="CC10" s="726" t="n"/>
      <c r="CD10" s="726" t="n"/>
      <c r="CE10" s="726" t="n"/>
      <c r="CF10" s="726" t="n"/>
      <c r="CG10" s="726" t="n"/>
      <c r="CH10" s="726" t="n"/>
      <c r="CI10" s="726" t="n"/>
      <c r="CJ10" s="726" t="n"/>
      <c r="CK10" s="726" t="n"/>
      <c r="CL10" s="726" t="n"/>
      <c r="CM10" s="726" t="n"/>
      <c r="CN10" s="726" t="n"/>
      <c r="CO10" s="726" t="n"/>
      <c r="CP10" s="726" t="n"/>
      <c r="CQ10" s="726" t="n"/>
      <c r="CR10" s="726" t="n"/>
      <c r="CS10" s="726" t="n"/>
      <c r="CT10" s="726" t="n"/>
      <c r="CU10" s="726" t="n"/>
      <c r="CV10" s="726" t="n"/>
      <c r="CW10" s="726" t="n"/>
      <c r="CX10" s="726" t="n"/>
      <c r="CY10" s="726" t="n"/>
      <c r="CZ10" s="726" t="n"/>
      <c r="DA10" s="726" t="n"/>
      <c r="DB10" s="726" t="n"/>
      <c r="DC10" s="726" t="n"/>
    </row>
    <row r="11" ht="15" customHeight="1" s="1883">
      <c r="B11" s="726" t="n"/>
      <c r="C11" s="726" t="n"/>
      <c r="D11" s="726" t="n"/>
      <c r="E11" s="726" t="n"/>
      <c r="F11" s="726" t="n"/>
      <c r="G11" s="726" t="n"/>
      <c r="H11" s="726" t="n"/>
      <c r="I11" s="726" t="n"/>
      <c r="J11" s="726" t="n"/>
      <c r="K11" s="726" t="n"/>
      <c r="L11" s="726" t="n"/>
      <c r="M11" s="726" t="n"/>
      <c r="N11" s="726" t="n"/>
      <c r="O11" s="726" t="n"/>
      <c r="P11" s="726" t="n"/>
      <c r="Q11" s="726" t="n"/>
      <c r="R11" s="726" t="n"/>
      <c r="S11" s="726" t="n"/>
      <c r="T11" s="726" t="n"/>
      <c r="U11" s="726" t="n"/>
      <c r="V11" s="726" t="n"/>
      <c r="W11" s="726" t="n"/>
      <c r="X11" s="726" t="n"/>
      <c r="Y11" s="726" t="n"/>
      <c r="Z11" s="726" t="n"/>
      <c r="AA11" s="726" t="n"/>
      <c r="AB11" s="1929" t="inlineStr">
        <is>
          <t>Pre-Launch: Months -12 through -1</t>
        </is>
      </c>
      <c r="AL11" s="726" t="n"/>
      <c r="AM11" s="1929" t="inlineStr">
        <is>
          <t xml:space="preserve">Post-Launch, Year 1: Months 1 - 12 </t>
        </is>
      </c>
      <c r="AZ11" s="726" t="n"/>
      <c r="BA11" s="1929" t="inlineStr">
        <is>
          <t>Post-Launch, Year 2: Months 13 - 24</t>
        </is>
      </c>
      <c r="BN11" s="1917" t="n"/>
      <c r="BO11" s="1929" t="inlineStr">
        <is>
          <t>Post-Launch, Year 3: Months 25 - 36</t>
        </is>
      </c>
      <c r="CB11" s="1917" t="n"/>
      <c r="CC11" s="1929" t="inlineStr">
        <is>
          <t>Post-Launch, Year 4: Months 37 - 48</t>
        </is>
      </c>
      <c r="CQ11" s="1929" t="inlineStr">
        <is>
          <t>Post-Launch, Year 5: Months 49 - 60</t>
        </is>
      </c>
    </row>
    <row r="12" ht="3" customHeight="1" s="1883">
      <c r="B12" s="726" t="n"/>
      <c r="C12" s="726" t="n"/>
      <c r="D12" s="726" t="n"/>
      <c r="E12" s="726" t="n"/>
      <c r="F12" s="726" t="n"/>
      <c r="G12" s="726" t="n"/>
      <c r="H12" s="726" t="n"/>
      <c r="I12" s="726" t="n"/>
      <c r="J12" s="726" t="n"/>
      <c r="K12" s="726" t="n"/>
      <c r="L12" s="726" t="n"/>
      <c r="M12" s="726" t="n"/>
      <c r="N12" s="726" t="n"/>
      <c r="O12" s="726" t="n"/>
      <c r="P12" s="726" t="n"/>
      <c r="Q12" s="726" t="n"/>
      <c r="R12" s="726" t="n"/>
      <c r="S12" s="726" t="n"/>
      <c r="T12" s="726" t="n"/>
      <c r="U12" s="726" t="n"/>
      <c r="V12" s="726" t="n"/>
      <c r="W12" s="726" t="n"/>
      <c r="X12" s="726" t="n"/>
      <c r="Y12" s="734" t="n"/>
      <c r="Z12" s="734" t="n"/>
      <c r="AA12" s="734" t="n"/>
      <c r="AB12" s="734" t="n"/>
      <c r="AC12" s="734" t="n"/>
      <c r="AD12" s="734" t="n"/>
      <c r="AE12" s="387" t="n"/>
      <c r="AF12" s="387" t="n"/>
      <c r="AG12" s="387" t="n"/>
      <c r="AH12" s="387" t="n"/>
      <c r="AI12" s="387" t="n"/>
      <c r="AJ12" s="387" t="n"/>
      <c r="AK12" s="734" t="n"/>
      <c r="AL12" s="726" t="n"/>
      <c r="AM12" s="734" t="n"/>
      <c r="AN12" s="734" t="n"/>
      <c r="AO12" s="734" t="n"/>
      <c r="AP12" s="734" t="n"/>
      <c r="AQ12" s="734" t="n"/>
      <c r="AR12" s="734" t="n"/>
      <c r="AS12" s="734" t="n"/>
      <c r="AT12" s="734" t="n"/>
      <c r="AU12" s="734" t="n"/>
      <c r="AV12" s="734" t="n"/>
      <c r="AW12" s="734" t="n"/>
      <c r="AX12" s="734" t="n"/>
      <c r="AY12" s="734" t="n"/>
      <c r="AZ12" s="726" t="n"/>
      <c r="BA12" s="734" t="n"/>
      <c r="BB12" s="734" t="n"/>
      <c r="BC12" s="734" t="n"/>
      <c r="BD12" s="734" t="n"/>
      <c r="BE12" s="734" t="n"/>
      <c r="BF12" s="734" t="n"/>
      <c r="BG12" s="734" t="n"/>
      <c r="BH12" s="734" t="n"/>
      <c r="BI12" s="734" t="n"/>
      <c r="BJ12" s="734" t="n"/>
      <c r="BK12" s="734" t="n"/>
      <c r="BL12" s="734" t="n"/>
      <c r="BM12" s="734" t="n"/>
      <c r="BN12" s="1917" t="n"/>
      <c r="BO12" s="734" t="n"/>
      <c r="BP12" s="734" t="n"/>
      <c r="BQ12" s="734" t="n"/>
      <c r="BR12" s="734" t="n"/>
      <c r="BS12" s="734" t="n"/>
      <c r="BT12" s="734" t="n"/>
      <c r="BU12" s="734" t="n"/>
      <c r="BV12" s="734" t="n"/>
      <c r="BW12" s="734" t="n"/>
      <c r="BX12" s="734" t="n"/>
      <c r="BY12" s="734" t="n"/>
      <c r="BZ12" s="734" t="n"/>
      <c r="CA12" s="734" t="n"/>
      <c r="CB12" s="1917" t="n"/>
      <c r="CC12" s="734" t="n"/>
      <c r="CD12" s="734" t="n"/>
      <c r="CE12" s="734" t="n"/>
      <c r="CF12" s="734" t="n"/>
      <c r="CG12" s="734" t="n"/>
      <c r="CH12" s="734" t="n"/>
      <c r="CI12" s="734" t="n"/>
      <c r="CJ12" s="734" t="n"/>
      <c r="CK12" s="734" t="n"/>
      <c r="CL12" s="734" t="n"/>
      <c r="CM12" s="734" t="n"/>
      <c r="CN12" s="734" t="n"/>
      <c r="CO12" s="734" t="n"/>
      <c r="CQ12" s="734" t="n"/>
      <c r="CR12" s="734" t="n"/>
      <c r="CS12" s="734" t="n"/>
      <c r="CT12" s="734" t="n"/>
      <c r="CU12" s="734" t="n"/>
      <c r="CV12" s="734" t="n"/>
      <c r="CW12" s="734" t="n"/>
      <c r="CX12" s="734" t="n"/>
      <c r="CY12" s="734" t="n"/>
      <c r="CZ12" s="734" t="n"/>
      <c r="DA12" s="734" t="n"/>
      <c r="DB12" s="734" t="n"/>
      <c r="DC12" s="734" t="n"/>
    </row>
    <row r="13" ht="3" customHeight="1" s="1883">
      <c r="B13" s="726" t="n"/>
      <c r="C13" s="726" t="n"/>
      <c r="D13" s="726" t="n"/>
      <c r="E13" s="726" t="n"/>
      <c r="F13" s="726" t="n"/>
      <c r="G13" s="726" t="n"/>
      <c r="H13" s="726" t="n"/>
      <c r="I13" s="726" t="n"/>
      <c r="J13" s="726" t="n"/>
      <c r="K13" s="726" t="n"/>
      <c r="L13" s="726" t="n"/>
      <c r="M13" s="726" t="n"/>
      <c r="N13" s="726" t="n"/>
      <c r="O13" s="726" t="n"/>
      <c r="P13" s="726" t="n"/>
      <c r="Q13" s="726" t="n"/>
      <c r="R13" s="726" t="n"/>
      <c r="S13" s="726" t="n"/>
      <c r="T13" s="726" t="n"/>
      <c r="U13" s="726" t="n"/>
      <c r="V13" s="726" t="n"/>
      <c r="W13" s="726" t="n"/>
      <c r="X13" s="726" t="n"/>
      <c r="Y13" s="726" t="n"/>
      <c r="Z13" s="726" t="n"/>
      <c r="AA13" s="726" t="n"/>
      <c r="AB13" s="726" t="n"/>
      <c r="AC13" s="726" t="n"/>
      <c r="AD13" s="726" t="n"/>
      <c r="AE13" s="383" t="n"/>
      <c r="AF13" s="383" t="n"/>
      <c r="AG13" s="383" t="n"/>
      <c r="AH13" s="383" t="n"/>
      <c r="AI13" s="383" t="n"/>
      <c r="AJ13" s="383" t="n"/>
      <c r="AK13" s="726" t="n"/>
      <c r="AL13" s="726" t="n"/>
      <c r="AM13" s="726" t="n"/>
      <c r="AN13" s="726" t="n"/>
      <c r="AO13" s="726" t="n"/>
      <c r="AP13" s="726" t="n"/>
      <c r="AQ13" s="726" t="n"/>
      <c r="AR13" s="726" t="n"/>
      <c r="AS13" s="726" t="n"/>
      <c r="AT13" s="726" t="n"/>
      <c r="AU13" s="726" t="n"/>
      <c r="AV13" s="726" t="n"/>
      <c r="AW13" s="726" t="n"/>
      <c r="AX13" s="726" t="n"/>
      <c r="AY13" s="726" t="n"/>
      <c r="AZ13" s="726" t="n"/>
      <c r="BA13" s="726" t="n"/>
      <c r="BB13" s="726" t="n"/>
      <c r="BC13" s="726" t="n"/>
      <c r="BD13" s="726" t="n"/>
      <c r="BE13" s="726" t="n"/>
      <c r="BF13" s="726" t="n"/>
      <c r="BG13" s="726" t="n"/>
      <c r="BH13" s="726" t="n"/>
      <c r="BI13" s="726" t="n"/>
      <c r="BJ13" s="726" t="n"/>
      <c r="BK13" s="726" t="n"/>
      <c r="BL13" s="726" t="n"/>
      <c r="BM13" s="726" t="n"/>
      <c r="BN13" s="1917" t="n"/>
      <c r="BO13" s="726" t="n"/>
      <c r="BP13" s="726" t="n"/>
      <c r="BQ13" s="726" t="n"/>
      <c r="BR13" s="726" t="n"/>
      <c r="BS13" s="726" t="n"/>
      <c r="BT13" s="726" t="n"/>
      <c r="BU13" s="726" t="n"/>
      <c r="BV13" s="726" t="n"/>
      <c r="BW13" s="726" t="n"/>
      <c r="BX13" s="726" t="n"/>
      <c r="BY13" s="726" t="n"/>
      <c r="BZ13" s="726" t="n"/>
      <c r="CA13" s="726" t="n"/>
      <c r="CB13" s="1917" t="n"/>
      <c r="CC13" s="726" t="n"/>
      <c r="CD13" s="726" t="n"/>
      <c r="CE13" s="726" t="n"/>
      <c r="CF13" s="726" t="n"/>
      <c r="CG13" s="726" t="n"/>
      <c r="CH13" s="726" t="n"/>
      <c r="CI13" s="726" t="n"/>
      <c r="CJ13" s="726" t="n"/>
      <c r="CK13" s="726" t="n"/>
      <c r="CL13" s="726" t="n"/>
      <c r="CM13" s="726" t="n"/>
      <c r="CN13" s="726" t="n"/>
      <c r="CO13" s="726" t="n"/>
      <c r="CQ13" s="726" t="n"/>
      <c r="CR13" s="726" t="n"/>
      <c r="CS13" s="726" t="n"/>
      <c r="CT13" s="726" t="n"/>
      <c r="CU13" s="726" t="n"/>
      <c r="CV13" s="726" t="n"/>
      <c r="CW13" s="726" t="n"/>
      <c r="CX13" s="726" t="n"/>
      <c r="CY13" s="726" t="n"/>
      <c r="CZ13" s="726" t="n"/>
      <c r="DA13" s="726" t="n"/>
      <c r="DB13" s="726" t="n"/>
      <c r="DC13" s="726" t="n"/>
    </row>
    <row r="14" ht="15" customHeight="1" s="1883">
      <c r="B14" s="726" t="n"/>
      <c r="C14" s="726" t="n"/>
      <c r="D14" s="726" t="n"/>
      <c r="E14" s="726" t="n"/>
      <c r="F14" s="726" t="n"/>
      <c r="G14" s="726" t="n"/>
      <c r="H14" s="726" t="n"/>
      <c r="I14" s="726" t="n"/>
      <c r="J14" s="726" t="n"/>
      <c r="K14" s="726" t="n"/>
      <c r="L14" s="726" t="n"/>
      <c r="M14" s="726" t="n"/>
      <c r="N14" s="726" t="n"/>
      <c r="O14" s="726" t="n"/>
      <c r="P14" s="726" t="n"/>
      <c r="Q14" s="726" t="n"/>
      <c r="R14" s="726" t="n"/>
      <c r="S14" s="726" t="n"/>
      <c r="T14" s="726" t="n"/>
      <c r="U14" s="726" t="n"/>
      <c r="V14" s="726" t="n"/>
      <c r="W14" s="726" t="n"/>
      <c r="X14" s="726" t="n"/>
      <c r="Y14" s="726" t="n"/>
      <c r="Z14" s="726" t="n"/>
      <c r="AA14" s="726" t="n"/>
      <c r="AB14" s="726" t="n"/>
      <c r="AC14" s="726" t="n"/>
      <c r="AD14" s="726" t="n"/>
      <c r="AE14" s="383" t="n"/>
      <c r="AF14" s="383" t="n"/>
      <c r="AG14" s="383" t="n"/>
      <c r="AH14" s="383" t="n"/>
      <c r="AI14" s="383" t="n"/>
      <c r="AJ14" s="383" t="n"/>
      <c r="AK14" s="728" t="inlineStr">
        <is>
          <t>Total,</t>
        </is>
      </c>
      <c r="AL14" s="726" t="n"/>
      <c r="AM14" s="726" t="n"/>
      <c r="AN14" s="726" t="n"/>
      <c r="AO14" s="726" t="n"/>
      <c r="AP14" s="726" t="n"/>
      <c r="AQ14" s="726" t="n"/>
      <c r="AR14" s="726" t="n"/>
      <c r="AS14" s="726" t="n"/>
      <c r="AT14" s="726" t="n"/>
      <c r="AU14" s="726" t="n"/>
      <c r="AV14" s="726" t="n"/>
      <c r="AW14" s="726" t="n"/>
      <c r="AX14" s="726" t="n"/>
      <c r="AY14" s="728" t="inlineStr">
        <is>
          <t>Total,</t>
        </is>
      </c>
      <c r="AZ14" s="726" t="n"/>
      <c r="BA14" s="726" t="n"/>
      <c r="BB14" s="726" t="n"/>
      <c r="BC14" s="726" t="n"/>
      <c r="BD14" s="726" t="n"/>
      <c r="BE14" s="726" t="n"/>
      <c r="BF14" s="726" t="n"/>
      <c r="BG14" s="726" t="n"/>
      <c r="BH14" s="726" t="n"/>
      <c r="BI14" s="726" t="n"/>
      <c r="BJ14" s="726" t="n"/>
      <c r="BK14" s="726" t="n"/>
      <c r="BL14" s="726" t="n"/>
      <c r="BM14" s="728" t="inlineStr">
        <is>
          <t>Total,</t>
        </is>
      </c>
      <c r="BN14" s="1917" t="n"/>
      <c r="BO14" s="726" t="n"/>
      <c r="BP14" s="726" t="n"/>
      <c r="BQ14" s="726" t="n"/>
      <c r="BR14" s="726" t="n"/>
      <c r="BS14" s="726" t="n"/>
      <c r="BT14" s="726" t="n"/>
      <c r="BU14" s="726" t="n"/>
      <c r="BV14" s="726" t="n"/>
      <c r="BW14" s="726" t="n"/>
      <c r="BX14" s="726" t="n"/>
      <c r="BY14" s="726" t="n"/>
      <c r="BZ14" s="726" t="n"/>
      <c r="CA14" s="728" t="inlineStr">
        <is>
          <t>Total,</t>
        </is>
      </c>
      <c r="CB14" s="1917" t="n"/>
      <c r="CC14" s="726" t="n"/>
      <c r="CD14" s="726" t="n"/>
      <c r="CE14" s="726" t="n"/>
      <c r="CF14" s="726" t="n"/>
      <c r="CG14" s="726" t="n"/>
      <c r="CH14" s="726" t="n"/>
      <c r="CI14" s="726" t="n"/>
      <c r="CJ14" s="726" t="n"/>
      <c r="CK14" s="726" t="n"/>
      <c r="CL14" s="726" t="n"/>
      <c r="CM14" s="726" t="n"/>
      <c r="CN14" s="726" t="n"/>
      <c r="CO14" s="728" t="inlineStr">
        <is>
          <t>Total,</t>
        </is>
      </c>
      <c r="CQ14" s="726" t="n"/>
      <c r="CR14" s="726" t="n"/>
      <c r="CS14" s="726" t="n"/>
      <c r="CT14" s="726" t="n"/>
      <c r="CU14" s="726" t="n"/>
      <c r="CV14" s="726" t="n"/>
      <c r="CW14" s="726" t="n"/>
      <c r="CX14" s="726" t="n"/>
      <c r="CY14" s="726" t="n"/>
      <c r="CZ14" s="726" t="n"/>
      <c r="DA14" s="726" t="n"/>
      <c r="DB14" s="726" t="n"/>
      <c r="DC14" s="728" t="inlineStr">
        <is>
          <t>Total,</t>
        </is>
      </c>
    </row>
    <row r="15" ht="15" customHeight="1" s="1883">
      <c r="B15" s="726" t="n"/>
      <c r="C15" s="726" t="n"/>
      <c r="D15" s="726" t="n"/>
      <c r="E15" s="726" t="n"/>
      <c r="F15" s="726" t="n"/>
      <c r="G15" s="726" t="n"/>
      <c r="H15" s="726" t="n"/>
      <c r="I15" s="726" t="n"/>
      <c r="J15" s="726" t="n"/>
      <c r="K15" s="726" t="n"/>
      <c r="L15" s="726" t="n"/>
      <c r="M15" s="726" t="n"/>
      <c r="N15" s="726" t="n"/>
      <c r="O15" s="726" t="n"/>
      <c r="P15" s="726" t="n"/>
      <c r="Q15" s="726" t="n"/>
      <c r="R15" s="726" t="n"/>
      <c r="S15" s="726" t="n"/>
      <c r="T15" s="726" t="n"/>
      <c r="U15" s="726" t="n"/>
      <c r="V15" s="726" t="n"/>
      <c r="W15" s="726" t="n"/>
      <c r="X15" s="726" t="n"/>
      <c r="Y15" s="728" t="n">
        <v>-12</v>
      </c>
      <c r="Z15" s="728" t="n">
        <v>-11</v>
      </c>
      <c r="AA15" s="728" t="n">
        <v>-10</v>
      </c>
      <c r="AB15" s="728" t="n">
        <v>-9</v>
      </c>
      <c r="AC15" s="728">
        <f>((AB15)+(1))</f>
        <v/>
      </c>
      <c r="AD15" s="728">
        <f>((AC15)+(1))</f>
        <v/>
      </c>
      <c r="AE15" s="728">
        <f>((AD15)+(1))</f>
        <v/>
      </c>
      <c r="AF15" s="728">
        <f>((AE15)+(1))</f>
        <v/>
      </c>
      <c r="AG15" s="728">
        <f>((AF15)+(1))</f>
        <v/>
      </c>
      <c r="AH15" s="728">
        <f>((AG15)+(1))</f>
        <v/>
      </c>
      <c r="AI15" s="728">
        <f>((AH15)+(1))</f>
        <v/>
      </c>
      <c r="AJ15" s="728">
        <f>((AI15)+(1))</f>
        <v/>
      </c>
      <c r="AK15" s="728" t="inlineStr">
        <is>
          <t>Pre-Launch</t>
        </is>
      </c>
      <c r="AL15" s="728" t="n"/>
      <c r="AM15" s="728" t="n">
        <v>1</v>
      </c>
      <c r="AN15" s="728">
        <f>((AM15)+(1))</f>
        <v/>
      </c>
      <c r="AO15" s="728">
        <f>((AN15)+(1))</f>
        <v/>
      </c>
      <c r="AP15" s="728">
        <f>((AO15)+(1))</f>
        <v/>
      </c>
      <c r="AQ15" s="728">
        <f>((AP15)+(1))</f>
        <v/>
      </c>
      <c r="AR15" s="728">
        <f>((AQ15)+(1))</f>
        <v/>
      </c>
      <c r="AS15" s="728">
        <f>((AR15)+(1))</f>
        <v/>
      </c>
      <c r="AT15" s="728">
        <f>((AS15)+(1))</f>
        <v/>
      </c>
      <c r="AU15" s="728">
        <f>((AT15)+(1))</f>
        <v/>
      </c>
      <c r="AV15" s="728">
        <f>((AU15)+(1))</f>
        <v/>
      </c>
      <c r="AW15" s="728">
        <f>((AV15)+(1))</f>
        <v/>
      </c>
      <c r="AX15" s="728">
        <f>((AW15)+(1))</f>
        <v/>
      </c>
      <c r="AY15" s="728" t="inlineStr">
        <is>
          <t xml:space="preserve">Months 1 - 12 </t>
        </is>
      </c>
      <c r="AZ15" s="726" t="n"/>
      <c r="BA15" s="728" t="n">
        <v>13</v>
      </c>
      <c r="BB15" s="728">
        <f>((BA15)+(1))</f>
        <v/>
      </c>
      <c r="BC15" s="728">
        <f>((BB15)+(1))</f>
        <v/>
      </c>
      <c r="BD15" s="728">
        <f>((BC15)+(1))</f>
        <v/>
      </c>
      <c r="BE15" s="728">
        <f>((BD15)+(1))</f>
        <v/>
      </c>
      <c r="BF15" s="728">
        <f>((BE15)+(1))</f>
        <v/>
      </c>
      <c r="BG15" s="728">
        <f>((BF15)+(1))</f>
        <v/>
      </c>
      <c r="BH15" s="728">
        <f>((BG15)+(1))</f>
        <v/>
      </c>
      <c r="BI15" s="728">
        <f>((BH15)+(1))</f>
        <v/>
      </c>
      <c r="BJ15" s="728">
        <f>((BI15)+(1))</f>
        <v/>
      </c>
      <c r="BK15" s="728">
        <f>((BJ15)+(1))</f>
        <v/>
      </c>
      <c r="BL15" s="728">
        <f>((BK15)+(1))</f>
        <v/>
      </c>
      <c r="BM15" s="728" t="inlineStr">
        <is>
          <t xml:space="preserve">Months 13 - 24 </t>
        </is>
      </c>
      <c r="BN15" s="1917" t="n"/>
      <c r="BO15" s="728" t="n">
        <v>25</v>
      </c>
      <c r="BP15" s="728">
        <f>((BO15)+(1))</f>
        <v/>
      </c>
      <c r="BQ15" s="728">
        <f>((BP15)+(1))</f>
        <v/>
      </c>
      <c r="BR15" s="728">
        <f>((BQ15)+(1))</f>
        <v/>
      </c>
      <c r="BS15" s="728">
        <f>((BR15)+(1))</f>
        <v/>
      </c>
      <c r="BT15" s="728">
        <f>((BS15)+(1))</f>
        <v/>
      </c>
      <c r="BU15" s="728">
        <f>((BT15)+(1))</f>
        <v/>
      </c>
      <c r="BV15" s="728">
        <f>((BU15)+(1))</f>
        <v/>
      </c>
      <c r="BW15" s="728">
        <f>((BV15)+(1))</f>
        <v/>
      </c>
      <c r="BX15" s="728">
        <f>((BW15)+(1))</f>
        <v/>
      </c>
      <c r="BY15" s="728">
        <f>((BX15)+(1))</f>
        <v/>
      </c>
      <c r="BZ15" s="728">
        <f>((BY15)+(1))</f>
        <v/>
      </c>
      <c r="CA15" s="728" t="inlineStr">
        <is>
          <t>Months 25 - 36</t>
        </is>
      </c>
      <c r="CB15" s="1917" t="n"/>
      <c r="CC15" s="728" t="n">
        <v>37</v>
      </c>
      <c r="CD15" s="728">
        <f>((CC15)+(1))</f>
        <v/>
      </c>
      <c r="CE15" s="728">
        <f>((CD15)+(1))</f>
        <v/>
      </c>
      <c r="CF15" s="728">
        <f>((CE15)+(1))</f>
        <v/>
      </c>
      <c r="CG15" s="728">
        <f>((CF15)+(1))</f>
        <v/>
      </c>
      <c r="CH15" s="728">
        <f>((CG15)+(1))</f>
        <v/>
      </c>
      <c r="CI15" s="728">
        <f>((CH15)+(1))</f>
        <v/>
      </c>
      <c r="CJ15" s="728">
        <f>((CI15)+(1))</f>
        <v/>
      </c>
      <c r="CK15" s="728">
        <f>((CJ15)+(1))</f>
        <v/>
      </c>
      <c r="CL15" s="728">
        <f>((CK15)+(1))</f>
        <v/>
      </c>
      <c r="CM15" s="728">
        <f>((CL15)+(1))</f>
        <v/>
      </c>
      <c r="CN15" s="728">
        <f>((CM15)+(1))</f>
        <v/>
      </c>
      <c r="CO15" s="728" t="inlineStr">
        <is>
          <t>Months 37 - 48</t>
        </is>
      </c>
      <c r="CQ15" s="728" t="n">
        <v>49</v>
      </c>
      <c r="CR15" s="728">
        <f>((CQ15)+(1))</f>
        <v/>
      </c>
      <c r="CS15" s="728">
        <f>((CR15)+(1))</f>
        <v/>
      </c>
      <c r="CT15" s="728">
        <f>((CS15)+(1))</f>
        <v/>
      </c>
      <c r="CU15" s="728">
        <f>((CT15)+(1))</f>
        <v/>
      </c>
      <c r="CV15" s="728">
        <f>((CU15)+(1))</f>
        <v/>
      </c>
      <c r="CW15" s="728">
        <f>((CV15)+(1))</f>
        <v/>
      </c>
      <c r="CX15" s="728">
        <f>((CW15)+(1))</f>
        <v/>
      </c>
      <c r="CY15" s="728">
        <f>((CX15)+(1))</f>
        <v/>
      </c>
      <c r="CZ15" s="728">
        <f>((CY15)+(1))</f>
        <v/>
      </c>
      <c r="DA15" s="728">
        <f>((CZ15)+(1))</f>
        <v/>
      </c>
      <c r="DB15" s="728">
        <f>((DA15)+(1))</f>
        <v/>
      </c>
      <c r="DC15" s="728" t="inlineStr">
        <is>
          <t>Months 49 - 60</t>
        </is>
      </c>
    </row>
    <row r="19" ht="15" customHeight="1" s="1883">
      <c r="B19" s="758" t="inlineStr">
        <is>
          <t>Total Headcount</t>
        </is>
      </c>
      <c r="C19" s="737" t="n"/>
      <c r="D19" s="737" t="n"/>
      <c r="E19" s="737" t="n"/>
      <c r="F19" s="737" t="n"/>
      <c r="G19" s="737" t="n"/>
      <c r="H19" s="737" t="n"/>
      <c r="I19" s="737" t="n"/>
      <c r="J19" s="737" t="n"/>
      <c r="K19" s="737" t="n"/>
      <c r="L19" s="737" t="n"/>
      <c r="M19" s="737" t="n"/>
      <c r="N19" s="737" t="n"/>
      <c r="O19" s="737" t="n"/>
      <c r="P19" s="737" t="n"/>
      <c r="Q19" s="737" t="n"/>
      <c r="R19" s="737" t="n"/>
      <c r="S19" s="737" t="n"/>
      <c r="T19" s="737" t="n"/>
      <c r="U19" s="737" t="n"/>
      <c r="V19" s="737" t="n"/>
      <c r="W19" s="737" t="n"/>
      <c r="X19" s="737" t="n"/>
      <c r="Y19" s="760">
        <f>(('5B. HC and Salaries - Mgmt.'!$O$58)+('5B. HC and Salaries - Mgmt.'!$O$152)+('5C. HC and Salaries - Support'!Y56))</f>
        <v/>
      </c>
      <c r="Z19" s="760">
        <f>(('5B. HC and Salaries - Mgmt.'!$O$58)+('5B. HC and Salaries - Mgmt.'!$O$152)+('5C. HC and Salaries - Support'!Z56))</f>
        <v/>
      </c>
      <c r="AA19" s="760">
        <f>(('5B. HC and Salaries - Mgmt.'!$O$58)+('5B. HC and Salaries - Mgmt.'!$O$152)+('5C. HC and Salaries - Support'!AA56))</f>
        <v/>
      </c>
      <c r="AB19" s="760">
        <f>(('5B. HC and Salaries - Mgmt.'!$O$58)+('5B. HC and Salaries - Mgmt.'!$O$152)+('5C. HC and Salaries - Support'!AE56))</f>
        <v/>
      </c>
      <c r="AC19" s="760">
        <f>(('5B. HC and Salaries - Mgmt.'!$O$58)+('5B. HC and Salaries - Mgmt.'!$O$152)+('5C. HC and Salaries - Support'!AF56))</f>
        <v/>
      </c>
      <c r="AD19" s="760">
        <f>(('5B. HC and Salaries - Mgmt.'!$O$58)+('5B. HC and Salaries - Mgmt.'!$O$152)+('5C. HC and Salaries - Support'!AG56))</f>
        <v/>
      </c>
      <c r="AE19" s="760">
        <f>(('5B. HC and Salaries - Mgmt.'!$O$58)+('5B. HC and Salaries - Mgmt.'!$O$152)+('5C. HC and Salaries - Support'!AH56))</f>
        <v/>
      </c>
      <c r="AF19" s="760">
        <f>(('5B. HC and Salaries - Mgmt.'!$O$58)+('5B. HC and Salaries - Mgmt.'!$O$152)+('5C. HC and Salaries - Support'!AI56))</f>
        <v/>
      </c>
      <c r="AG19" s="760">
        <f>(('5B. HC and Salaries - Mgmt.'!$O$58)+('5B. HC and Salaries - Mgmt.'!$O$152)+('5C. HC and Salaries - Support'!AJ56))</f>
        <v/>
      </c>
      <c r="AH19" s="760">
        <f>(('5B. HC and Salaries - Mgmt.'!$O$58)+('5B. HC and Salaries - Mgmt.'!$O$152)+('5C. HC and Salaries - Support'!AK56))</f>
        <v/>
      </c>
      <c r="AI19" s="760">
        <f>(('5B. HC and Salaries - Mgmt.'!$O$58)+('5B. HC and Salaries - Mgmt.'!$O$152)+('5C. HC and Salaries - Support'!AL56))</f>
        <v/>
      </c>
      <c r="AJ19" s="760">
        <f>(('5B. HC and Salaries - Mgmt.'!$O$58)+('5B. HC and Salaries - Mgmt.'!$O$152)+('5C. HC and Salaries - Support'!AM56))</f>
        <v/>
      </c>
      <c r="AK19" s="760">
        <f>(AJ19)</f>
        <v/>
      </c>
      <c r="AL19" s="737" t="n"/>
      <c r="AM19" s="760">
        <f>(('5B. HC and Salaries - Mgmt.'!$P$167)+('5C. HC and Salaries - Support'!AP56))</f>
        <v/>
      </c>
      <c r="AN19" s="760">
        <f>(('5B. HC and Salaries - Mgmt.'!$P$167)+('5C. HC and Salaries - Support'!AQ56))</f>
        <v/>
      </c>
      <c r="AO19" s="760">
        <f>(('5B. HC and Salaries - Mgmt.'!$P$167)+('5C. HC and Salaries - Support'!AR56))</f>
        <v/>
      </c>
      <c r="AP19" s="760">
        <f>(('5B. HC and Salaries - Mgmt.'!$P$167)+('5C. HC and Salaries - Support'!AS56))</f>
        <v/>
      </c>
      <c r="AQ19" s="760">
        <f>(('5B. HC and Salaries - Mgmt.'!$P$167)+('5C. HC and Salaries - Support'!AT56))</f>
        <v/>
      </c>
      <c r="AR19" s="760">
        <f>(('5B. HC and Salaries - Mgmt.'!$P$167)+('5C. HC and Salaries - Support'!AU56))</f>
        <v/>
      </c>
      <c r="AS19" s="760">
        <f>(('5B. HC and Salaries - Mgmt.'!$P$167)+('5C. HC and Salaries - Support'!AV56))</f>
        <v/>
      </c>
      <c r="AT19" s="760">
        <f>(('5B. HC and Salaries - Mgmt.'!$P$167)+('5C. HC and Salaries - Support'!AW56))</f>
        <v/>
      </c>
      <c r="AU19" s="760">
        <f>(('5B. HC and Salaries - Mgmt.'!$P$167)+('5C. HC and Salaries - Support'!AX56))</f>
        <v/>
      </c>
      <c r="AV19" s="760">
        <f>(('5B. HC and Salaries - Mgmt.'!$P$167)+('5C. HC and Salaries - Support'!AY56))</f>
        <v/>
      </c>
      <c r="AW19" s="760">
        <f>(('5B. HC and Salaries - Mgmt.'!$P$167)+('5C. HC and Salaries - Support'!AZ56))</f>
        <v/>
      </c>
      <c r="AX19" s="760">
        <f>(('5B. HC and Salaries - Mgmt.'!$P$167)+('5C. HC and Salaries - Support'!BA56))</f>
        <v/>
      </c>
      <c r="AY19" s="760">
        <f>(AX19)</f>
        <v/>
      </c>
      <c r="AZ19" s="737" t="n"/>
      <c r="BA19" s="760">
        <f>(('5B. HC and Salaries - Mgmt.'!$Q$167)+('5C. HC and Salaries - Support'!BD56))</f>
        <v/>
      </c>
      <c r="BB19" s="760">
        <f>(('5B. HC and Salaries - Mgmt.'!$Q$167)+('5C. HC and Salaries - Support'!BE56))</f>
        <v/>
      </c>
      <c r="BC19" s="760">
        <f>(('5B. HC and Salaries - Mgmt.'!$Q$167)+('5C. HC and Salaries - Support'!BF56))</f>
        <v/>
      </c>
      <c r="BD19" s="760">
        <f>(('5B. HC and Salaries - Mgmt.'!$Q$167)+('5C. HC and Salaries - Support'!BG56))</f>
        <v/>
      </c>
      <c r="BE19" s="760">
        <f>(('5B. HC and Salaries - Mgmt.'!$Q$167)+('5C. HC and Salaries - Support'!BH56))</f>
        <v/>
      </c>
      <c r="BF19" s="760">
        <f>(('5B. HC and Salaries - Mgmt.'!$Q$167)+('5C. HC and Salaries - Support'!BI56))</f>
        <v/>
      </c>
      <c r="BG19" s="760">
        <f>(('5B. HC and Salaries - Mgmt.'!$Q$167)+('5C. HC and Salaries - Support'!BJ56))</f>
        <v/>
      </c>
      <c r="BH19" s="760">
        <f>(('5B. HC and Salaries - Mgmt.'!$Q$167)+('5C. HC and Salaries - Support'!BK56))</f>
        <v/>
      </c>
      <c r="BI19" s="760">
        <f>(('5B. HC and Salaries - Mgmt.'!$Q$167)+('5C. HC and Salaries - Support'!BL56))</f>
        <v/>
      </c>
      <c r="BJ19" s="760">
        <f>(('5B. HC and Salaries - Mgmt.'!$Q$167)+('5C. HC and Salaries - Support'!BM56))</f>
        <v/>
      </c>
      <c r="BK19" s="760">
        <f>(('5B. HC and Salaries - Mgmt.'!$Q$167)+('5C. HC and Salaries - Support'!BN56))</f>
        <v/>
      </c>
      <c r="BL19" s="760">
        <f>(('5B. HC and Salaries - Mgmt.'!$Q$167)+('5C. HC and Salaries - Support'!BO56))</f>
        <v/>
      </c>
      <c r="BM19" s="760">
        <f>(BL19)</f>
        <v/>
      </c>
      <c r="BN19" s="405" t="n"/>
      <c r="BO19" s="760">
        <f>(('5B. HC and Salaries - Mgmt.'!$R$167)+('5C. HC and Salaries - Support'!BR56))</f>
        <v/>
      </c>
      <c r="BP19" s="760">
        <f>(('5B. HC and Salaries - Mgmt.'!$R$167)+('5C. HC and Salaries - Support'!BS56))</f>
        <v/>
      </c>
      <c r="BQ19" s="760">
        <f>(('5B. HC and Salaries - Mgmt.'!$R$167)+('5C. HC and Salaries - Support'!BT56))</f>
        <v/>
      </c>
      <c r="BR19" s="760">
        <f>(('5B. HC and Salaries - Mgmt.'!$R$167)+('5C. HC and Salaries - Support'!BU56))</f>
        <v/>
      </c>
      <c r="BS19" s="760">
        <f>(('5B. HC and Salaries - Mgmt.'!$R$167)+('5C. HC and Salaries - Support'!BV56))</f>
        <v/>
      </c>
      <c r="BT19" s="760">
        <f>(('5B. HC and Salaries - Mgmt.'!$R$167)+('5C. HC and Salaries - Support'!BW56))</f>
        <v/>
      </c>
      <c r="BU19" s="760">
        <f>(('5B. HC and Salaries - Mgmt.'!$R$167)+('5C. HC and Salaries - Support'!BX56))</f>
        <v/>
      </c>
      <c r="BV19" s="760">
        <f>(('5B. HC and Salaries - Mgmt.'!$R$167)+('5C. HC and Salaries - Support'!BY56))</f>
        <v/>
      </c>
      <c r="BW19" s="760">
        <f>(('5B. HC and Salaries - Mgmt.'!$R$167)+('5C. HC and Salaries - Support'!BZ56))</f>
        <v/>
      </c>
      <c r="BX19" s="760">
        <f>(('5B. HC and Salaries - Mgmt.'!$R$167)+('5C. HC and Salaries - Support'!CA56))</f>
        <v/>
      </c>
      <c r="BY19" s="760">
        <f>(('5B. HC and Salaries - Mgmt.'!$R$167)+('5C. HC and Salaries - Support'!CB56))</f>
        <v/>
      </c>
      <c r="BZ19" s="760">
        <f>(('5B. HC and Salaries - Mgmt.'!$R$167)+('5C. HC and Salaries - Support'!CC56))</f>
        <v/>
      </c>
      <c r="CA19" s="760">
        <f>(BZ19)</f>
        <v/>
      </c>
      <c r="CB19" s="405" t="n"/>
      <c r="CC19" s="760">
        <f>(('5B. HC and Salaries - Mgmt.'!$S$167)+('5C. HC and Salaries - Support'!CF56))</f>
        <v/>
      </c>
      <c r="CD19" s="760">
        <f>(('5B. HC and Salaries - Mgmt.'!$S$167)+('5C. HC and Salaries - Support'!CG56))</f>
        <v/>
      </c>
      <c r="CE19" s="760">
        <f>(('5B. HC and Salaries - Mgmt.'!$S$167)+('5C. HC and Salaries - Support'!CH56))</f>
        <v/>
      </c>
      <c r="CF19" s="760">
        <f>(('5B. HC and Salaries - Mgmt.'!$S$167)+('5C. HC and Salaries - Support'!CI56))</f>
        <v/>
      </c>
      <c r="CG19" s="760">
        <f>(('5B. HC and Salaries - Mgmt.'!$S$167)+('5C. HC and Salaries - Support'!CJ56))</f>
        <v/>
      </c>
      <c r="CH19" s="760">
        <f>(('5B. HC and Salaries - Mgmt.'!$S$167)+('5C. HC and Salaries - Support'!CK56))</f>
        <v/>
      </c>
      <c r="CI19" s="760">
        <f>(('5B. HC and Salaries - Mgmt.'!$S$167)+('5C. HC and Salaries - Support'!CL56))</f>
        <v/>
      </c>
      <c r="CJ19" s="760">
        <f>(('5B. HC and Salaries - Mgmt.'!$S$167)+('5C. HC and Salaries - Support'!CM56))</f>
        <v/>
      </c>
      <c r="CK19" s="760">
        <f>(('5B. HC and Salaries - Mgmt.'!$S$167)+('5C. HC and Salaries - Support'!CN56))</f>
        <v/>
      </c>
      <c r="CL19" s="760">
        <f>(('5B. HC and Salaries - Mgmt.'!$S$167)+('5C. HC and Salaries - Support'!CO56))</f>
        <v/>
      </c>
      <c r="CM19" s="760">
        <f>(('5B. HC and Salaries - Mgmt.'!$S$167)+('5C. HC and Salaries - Support'!CP56))</f>
        <v/>
      </c>
      <c r="CN19" s="760">
        <f>(('5B. HC and Salaries - Mgmt.'!$S$167)+('5C. HC and Salaries - Support'!CQ56))</f>
        <v/>
      </c>
      <c r="CO19" s="760">
        <f>(CN19)</f>
        <v/>
      </c>
      <c r="CP19" s="405" t="n"/>
      <c r="CQ19" s="760">
        <f>(('5B. HC and Salaries - Mgmt.'!$T$167)+('5C. HC and Salaries - Support'!CT56))</f>
        <v/>
      </c>
      <c r="CR19" s="760">
        <f>(('5B. HC and Salaries - Mgmt.'!$T$167)+('5C. HC and Salaries - Support'!CU56))</f>
        <v/>
      </c>
      <c r="CS19" s="760">
        <f>(('5B. HC and Salaries - Mgmt.'!$T$167)+('5C. HC and Salaries - Support'!CV56))</f>
        <v/>
      </c>
      <c r="CT19" s="760">
        <f>(('5B. HC and Salaries - Mgmt.'!$T$167)+('5C. HC and Salaries - Support'!CW56))</f>
        <v/>
      </c>
      <c r="CU19" s="760">
        <f>(('5B. HC and Salaries - Mgmt.'!$T$167)+('5C. HC and Salaries - Support'!CX56))</f>
        <v/>
      </c>
      <c r="CV19" s="760">
        <f>(('5B. HC and Salaries - Mgmt.'!$T$167)+('5C. HC and Salaries - Support'!CY56))</f>
        <v/>
      </c>
      <c r="CW19" s="760">
        <f>(('5B. HC and Salaries - Mgmt.'!$T$167)+('5C. HC and Salaries - Support'!CZ56))</f>
        <v/>
      </c>
      <c r="CX19" s="760">
        <f>(('5B. HC and Salaries - Mgmt.'!$T$167)+('5C. HC and Salaries - Support'!DA56))</f>
        <v/>
      </c>
      <c r="CY19" s="760">
        <f>(('5B. HC and Salaries - Mgmt.'!$T$167)+('5C. HC and Salaries - Support'!DB56))</f>
        <v/>
      </c>
      <c r="CZ19" s="760">
        <f>(('5B. HC and Salaries - Mgmt.'!$T$167)+('5C. HC and Salaries - Support'!DC56))</f>
        <v/>
      </c>
      <c r="DA19" s="760">
        <f>(('5B. HC and Salaries - Mgmt.'!$T$167)+('5C. HC and Salaries - Support'!DD56))</f>
        <v/>
      </c>
      <c r="DB19" s="760">
        <f>(('5B. HC and Salaries - Mgmt.'!$T$167)+('5C. HC and Salaries - Support'!DE56))</f>
        <v/>
      </c>
      <c r="DC19" s="760">
        <f>(DB19)</f>
        <v/>
      </c>
    </row>
    <row r="20" ht="15" customHeight="1" s="1883">
      <c r="B20" s="810" t="n"/>
      <c r="C20" s="726" t="n"/>
      <c r="D20" s="726" t="n"/>
      <c r="E20" s="726" t="n"/>
      <c r="F20" s="726" t="n"/>
      <c r="G20" s="726" t="n"/>
      <c r="H20" s="726" t="n"/>
      <c r="I20" s="726" t="n"/>
      <c r="J20" s="726" t="n"/>
      <c r="K20" s="726" t="n"/>
      <c r="L20" s="726" t="n"/>
      <c r="M20" s="726" t="n"/>
      <c r="N20" s="726" t="n"/>
      <c r="O20" s="726" t="n"/>
      <c r="P20" s="726" t="n"/>
      <c r="Q20" s="726" t="n"/>
      <c r="R20" s="726" t="n"/>
      <c r="S20" s="726" t="n"/>
      <c r="T20" s="726" t="n"/>
      <c r="U20" s="726" t="n"/>
      <c r="V20" s="726" t="n"/>
      <c r="W20" s="726" t="n"/>
      <c r="X20" s="726" t="n"/>
      <c r="Y20" s="803" t="n"/>
      <c r="Z20" s="803" t="n"/>
      <c r="AA20" s="803" t="n"/>
      <c r="AB20" s="803" t="n"/>
      <c r="AC20" s="803" t="n"/>
      <c r="AD20" s="803" t="n"/>
      <c r="AE20" s="803" t="n"/>
      <c r="AF20" s="803" t="n"/>
      <c r="AG20" s="803" t="n"/>
      <c r="AH20" s="803" t="n"/>
      <c r="AI20" s="803" t="n"/>
      <c r="AJ20" s="803" t="n"/>
      <c r="AK20" s="803" t="n"/>
      <c r="AL20" s="726" t="n"/>
      <c r="AM20" s="803" t="n"/>
      <c r="AN20" s="803" t="n"/>
      <c r="AO20" s="803" t="n"/>
      <c r="AP20" s="803" t="n"/>
      <c r="AQ20" s="803" t="n"/>
      <c r="AR20" s="803" t="n"/>
      <c r="AS20" s="803" t="n"/>
      <c r="AT20" s="803" t="n"/>
      <c r="AU20" s="803" t="n"/>
      <c r="AV20" s="803" t="n"/>
      <c r="AW20" s="803" t="n"/>
      <c r="AX20" s="803" t="n"/>
      <c r="AY20" s="803" t="n"/>
      <c r="AZ20" s="726" t="n"/>
      <c r="BA20" s="803" t="n"/>
      <c r="BB20" s="803" t="n"/>
      <c r="BC20" s="803" t="n"/>
      <c r="BD20" s="803" t="n"/>
      <c r="BE20" s="803" t="n"/>
      <c r="BF20" s="803" t="n"/>
      <c r="BG20" s="803" t="n"/>
      <c r="BH20" s="803" t="n"/>
      <c r="BI20" s="803" t="n"/>
      <c r="BJ20" s="803" t="n"/>
      <c r="BK20" s="803" t="n"/>
      <c r="BL20" s="803" t="n"/>
      <c r="BM20" s="803" t="n"/>
      <c r="BN20" s="1917" t="n"/>
      <c r="BO20" s="803" t="n"/>
      <c r="BP20" s="803" t="n"/>
      <c r="BQ20" s="803" t="n"/>
      <c r="BR20" s="803" t="n"/>
      <c r="BS20" s="803" t="n"/>
      <c r="BT20" s="803" t="n"/>
      <c r="BU20" s="803" t="n"/>
      <c r="BV20" s="803" t="n"/>
      <c r="BW20" s="803" t="n"/>
      <c r="BX20" s="803" t="n"/>
      <c r="BY20" s="803" t="n"/>
      <c r="BZ20" s="803" t="n"/>
      <c r="CA20" s="803" t="n"/>
      <c r="CB20" s="1917" t="n"/>
      <c r="CC20" s="803" t="n"/>
      <c r="CD20" s="803" t="n"/>
      <c r="CE20" s="803" t="n"/>
      <c r="CF20" s="803" t="n"/>
      <c r="CG20" s="803" t="n"/>
      <c r="CH20" s="803" t="n"/>
      <c r="CI20" s="803" t="n"/>
      <c r="CJ20" s="803" t="n"/>
      <c r="CK20" s="803" t="n"/>
      <c r="CL20" s="803" t="n"/>
      <c r="CM20" s="803" t="n"/>
      <c r="CN20" s="803" t="n"/>
      <c r="CO20" s="803" t="n"/>
      <c r="CQ20" s="803" t="n"/>
      <c r="CR20" s="803" t="n"/>
      <c r="CS20" s="803" t="n"/>
      <c r="CT20" s="803" t="n"/>
      <c r="CU20" s="803" t="n"/>
      <c r="CV20" s="803" t="n"/>
      <c r="CW20" s="803" t="n"/>
      <c r="CX20" s="803" t="n"/>
      <c r="CY20" s="803" t="n"/>
      <c r="CZ20" s="803" t="n"/>
      <c r="DA20" s="803" t="n"/>
      <c r="DB20" s="803" t="n"/>
      <c r="DC20" s="803" t="n"/>
    </row>
    <row r="21" ht="15" customHeight="1" s="1883">
      <c r="B21" s="810" t="inlineStr">
        <is>
          <t>Sales and Marketing Headcount</t>
        </is>
      </c>
      <c r="C21" s="726" t="n"/>
      <c r="D21" s="726" t="n"/>
      <c r="E21" s="726" t="n"/>
      <c r="F21" s="726" t="n"/>
      <c r="G21" s="726" t="n"/>
      <c r="H21" s="726" t="n"/>
      <c r="I21" s="726" t="n"/>
      <c r="J21" s="726" t="n"/>
      <c r="K21" s="726" t="n"/>
      <c r="L21" s="726" t="n"/>
      <c r="M21" s="726" t="n"/>
      <c r="N21" s="726" t="n"/>
      <c r="O21" s="726" t="n"/>
      <c r="P21" s="726" t="n"/>
      <c r="Q21" s="726" t="n"/>
      <c r="R21" s="726" t="n"/>
      <c r="S21" s="726" t="n"/>
      <c r="T21" s="726" t="n"/>
      <c r="U21" s="726" t="n"/>
      <c r="V21" s="726" t="n"/>
      <c r="W21" s="726" t="n"/>
      <c r="X21" s="726" t="n"/>
      <c r="Y21" s="803">
        <f>(('5B. HC and Salaries - Mgmt.'!$O$172)+('5C. HC and Salaries - Support'!Y60))</f>
        <v/>
      </c>
      <c r="Z21" s="803">
        <f>(('5B. HC and Salaries - Mgmt.'!$O$172)+('5C. HC and Salaries - Support'!Z60))</f>
        <v/>
      </c>
      <c r="AA21" s="803">
        <f>(('5B. HC and Salaries - Mgmt.'!$O$172)+('5C. HC and Salaries - Support'!AA60))</f>
        <v/>
      </c>
      <c r="AB21" s="803">
        <f>(('5B. HC and Salaries - Mgmt.'!$O$172)+('5C. HC and Salaries - Support'!AE60))</f>
        <v/>
      </c>
      <c r="AC21" s="803">
        <f>(('5B. HC and Salaries - Mgmt.'!$O$172)+('5C. HC and Salaries - Support'!AF60))</f>
        <v/>
      </c>
      <c r="AD21" s="803">
        <f>(('5B. HC and Salaries - Mgmt.'!$O$172)+('5C. HC and Salaries - Support'!AG60))</f>
        <v/>
      </c>
      <c r="AE21" s="803">
        <f>(('5B. HC and Salaries - Mgmt.'!$O$172)+('5C. HC and Salaries - Support'!AH60))</f>
        <v/>
      </c>
      <c r="AF21" s="803">
        <f>(('5B. HC and Salaries - Mgmt.'!$O$172)+('5C. HC and Salaries - Support'!AI60))</f>
        <v/>
      </c>
      <c r="AG21" s="803">
        <f>(('5B. HC and Salaries - Mgmt.'!$O$172)+('5C. HC and Salaries - Support'!AJ60))</f>
        <v/>
      </c>
      <c r="AH21" s="803">
        <f>(('5B. HC and Salaries - Mgmt.'!$O$172)+('5C. HC and Salaries - Support'!AK60))</f>
        <v/>
      </c>
      <c r="AI21" s="803">
        <f>(('5B. HC and Salaries - Mgmt.'!$O$172)+('5C. HC and Salaries - Support'!AL60))</f>
        <v/>
      </c>
      <c r="AJ21" s="803">
        <f>(('5B. HC and Salaries - Mgmt.'!$O$172)+('5C. HC and Salaries - Support'!AM60))</f>
        <v/>
      </c>
      <c r="AK21" s="803">
        <f>(('5B. HC and Salaries - Mgmt.'!$O$172)+('5C. HC and Salaries - Support'!AN60))</f>
        <v/>
      </c>
      <c r="AL21" s="726" t="n"/>
      <c r="AM21" s="803">
        <f>(('5B. HC and Salaries - Mgmt.'!$P$172)+('5C. HC and Salaries - Support'!AP60))</f>
        <v/>
      </c>
      <c r="AN21" s="803">
        <f>(('5B. HC and Salaries - Mgmt.'!$P$172)+('5C. HC and Salaries - Support'!AQ60))</f>
        <v/>
      </c>
      <c r="AO21" s="803">
        <f>(('5B. HC and Salaries - Mgmt.'!$P$172)+('5C. HC and Salaries - Support'!AR60))</f>
        <v/>
      </c>
      <c r="AP21" s="803">
        <f>(('5B. HC and Salaries - Mgmt.'!$P$172)+('5C. HC and Salaries - Support'!AS60))</f>
        <v/>
      </c>
      <c r="AQ21" s="803">
        <f>(('5B. HC and Salaries - Mgmt.'!$P$172)+('5C. HC and Salaries - Support'!AT60))</f>
        <v/>
      </c>
      <c r="AR21" s="803">
        <f>(('5B. HC and Salaries - Mgmt.'!$P$172)+('5C. HC and Salaries - Support'!AU60))</f>
        <v/>
      </c>
      <c r="AS21" s="803">
        <f>(('5B. HC and Salaries - Mgmt.'!$P$172)+('5C. HC and Salaries - Support'!AV60))</f>
        <v/>
      </c>
      <c r="AT21" s="803">
        <f>(('5B. HC and Salaries - Mgmt.'!$P$172)+('5C. HC and Salaries - Support'!AW60))</f>
        <v/>
      </c>
      <c r="AU21" s="803">
        <f>(('5B. HC and Salaries - Mgmt.'!$P$172)+('5C. HC and Salaries - Support'!AX60))</f>
        <v/>
      </c>
      <c r="AV21" s="803">
        <f>(('5B. HC and Salaries - Mgmt.'!$P$172)+('5C. HC and Salaries - Support'!AY60))</f>
        <v/>
      </c>
      <c r="AW21" s="803">
        <f>(('5B. HC and Salaries - Mgmt.'!$P$172)+('5C. HC and Salaries - Support'!AZ60))</f>
        <v/>
      </c>
      <c r="AX21" s="803">
        <f>(('5B. HC and Salaries - Mgmt.'!$P$172)+('5C. HC and Salaries - Support'!BA60))</f>
        <v/>
      </c>
      <c r="AY21" s="803">
        <f>(AX21)</f>
        <v/>
      </c>
      <c r="AZ21" s="726" t="n"/>
      <c r="BA21" s="803">
        <f>(('5B. HC and Salaries - Mgmt.'!$Q$172)+('5C. HC and Salaries - Support'!BD60))</f>
        <v/>
      </c>
      <c r="BB21" s="803">
        <f>(('5B. HC and Salaries - Mgmt.'!$Q$172)+('5C. HC and Salaries - Support'!BE60))</f>
        <v/>
      </c>
      <c r="BC21" s="803">
        <f>(('5B. HC and Salaries - Mgmt.'!$Q$172)+('5C. HC and Salaries - Support'!BF60))</f>
        <v/>
      </c>
      <c r="BD21" s="803">
        <f>(('5B. HC and Salaries - Mgmt.'!$Q$172)+('5C. HC and Salaries - Support'!BG60))</f>
        <v/>
      </c>
      <c r="BE21" s="803">
        <f>(('5B. HC and Salaries - Mgmt.'!$Q$172)+('5C. HC and Salaries - Support'!BH60))</f>
        <v/>
      </c>
      <c r="BF21" s="803">
        <f>(('5B. HC and Salaries - Mgmt.'!$Q$172)+('5C. HC and Salaries - Support'!BI60))</f>
        <v/>
      </c>
      <c r="BG21" s="803">
        <f>(('5B. HC and Salaries - Mgmt.'!$Q$172)+('5C. HC and Salaries - Support'!BJ60))</f>
        <v/>
      </c>
      <c r="BH21" s="803">
        <f>(('5B. HC and Salaries - Mgmt.'!$Q$172)+('5C. HC and Salaries - Support'!BK60))</f>
        <v/>
      </c>
      <c r="BI21" s="803">
        <f>(('5B. HC and Salaries - Mgmt.'!$Q$172)+('5C. HC and Salaries - Support'!BL60))</f>
        <v/>
      </c>
      <c r="BJ21" s="803">
        <f>(('5B. HC and Salaries - Mgmt.'!$Q$172)+('5C. HC and Salaries - Support'!BM60))</f>
        <v/>
      </c>
      <c r="BK21" s="803">
        <f>(('5B. HC and Salaries - Mgmt.'!$Q$172)+('5C. HC and Salaries - Support'!BN60))</f>
        <v/>
      </c>
      <c r="BL21" s="803">
        <f>(('5B. HC and Salaries - Mgmt.'!$Q$172)+('5C. HC and Salaries - Support'!BO60))</f>
        <v/>
      </c>
      <c r="BM21" s="803">
        <f>(BL21)</f>
        <v/>
      </c>
      <c r="BN21" s="1917" t="n"/>
      <c r="BO21" s="803">
        <f>(('5B. HC and Salaries - Mgmt.'!$R$172)+('5C. HC and Salaries - Support'!BR60))</f>
        <v/>
      </c>
      <c r="BP21" s="803">
        <f>(('5B. HC and Salaries - Mgmt.'!$R$172)+('5C. HC and Salaries - Support'!BS60))</f>
        <v/>
      </c>
      <c r="BQ21" s="803">
        <f>(('5B. HC and Salaries - Mgmt.'!$R$172)+('5C. HC and Salaries - Support'!BT60))</f>
        <v/>
      </c>
      <c r="BR21" s="803">
        <f>(('5B. HC and Salaries - Mgmt.'!$R$172)+('5C. HC and Salaries - Support'!BU60))</f>
        <v/>
      </c>
      <c r="BS21" s="803">
        <f>(('5B. HC and Salaries - Mgmt.'!$R$172)+('5C. HC and Salaries - Support'!BV60))</f>
        <v/>
      </c>
      <c r="BT21" s="803">
        <f>(('5B. HC and Salaries - Mgmt.'!$R$172)+('5C. HC and Salaries - Support'!BW60))</f>
        <v/>
      </c>
      <c r="BU21" s="803">
        <f>(('5B. HC and Salaries - Mgmt.'!$R$172)+('5C. HC and Salaries - Support'!BX60))</f>
        <v/>
      </c>
      <c r="BV21" s="803">
        <f>(('5B. HC and Salaries - Mgmt.'!$R$172)+('5C. HC and Salaries - Support'!BY60))</f>
        <v/>
      </c>
      <c r="BW21" s="803">
        <f>(('5B. HC and Salaries - Mgmt.'!$R$172)+('5C. HC and Salaries - Support'!BZ60))</f>
        <v/>
      </c>
      <c r="BX21" s="803">
        <f>(('5B. HC and Salaries - Mgmt.'!$R$172)+('5C. HC and Salaries - Support'!CA60))</f>
        <v/>
      </c>
      <c r="BY21" s="803">
        <f>(('5B. HC and Salaries - Mgmt.'!$R$172)+('5C. HC and Salaries - Support'!CB60))</f>
        <v/>
      </c>
      <c r="BZ21" s="803">
        <f>(('5B. HC and Salaries - Mgmt.'!$R$172)+('5C. HC and Salaries - Support'!CC60))</f>
        <v/>
      </c>
      <c r="CA21" s="803">
        <f>(BZ21)</f>
        <v/>
      </c>
      <c r="CB21" s="1917" t="n"/>
      <c r="CC21" s="803">
        <f>(('5B. HC and Salaries - Mgmt.'!$S$172)+('5C. HC and Salaries - Support'!CF60))</f>
        <v/>
      </c>
      <c r="CD21" s="803">
        <f>(('5B. HC and Salaries - Mgmt.'!$S$172)+('5C. HC and Salaries - Support'!CG60))</f>
        <v/>
      </c>
      <c r="CE21" s="803">
        <f>(('5B. HC and Salaries - Mgmt.'!$S$172)+('5C. HC and Salaries - Support'!CH60))</f>
        <v/>
      </c>
      <c r="CF21" s="803">
        <f>(('5B. HC and Salaries - Mgmt.'!$S$172)+('5C. HC and Salaries - Support'!CI60))</f>
        <v/>
      </c>
      <c r="CG21" s="803">
        <f>(('5B. HC and Salaries - Mgmt.'!$S$172)+('5C. HC and Salaries - Support'!CJ60))</f>
        <v/>
      </c>
      <c r="CH21" s="803">
        <f>(('5B. HC and Salaries - Mgmt.'!$S$172)+('5C. HC and Salaries - Support'!CK60))</f>
        <v/>
      </c>
      <c r="CI21" s="803">
        <f>(('5B. HC and Salaries - Mgmt.'!$S$172)+('5C. HC and Salaries - Support'!CL60))</f>
        <v/>
      </c>
      <c r="CJ21" s="803">
        <f>(('5B. HC and Salaries - Mgmt.'!$S$172)+('5C. HC and Salaries - Support'!CM60))</f>
        <v/>
      </c>
      <c r="CK21" s="803">
        <f>(('5B. HC and Salaries - Mgmt.'!$S$172)+('5C. HC and Salaries - Support'!CN60))</f>
        <v/>
      </c>
      <c r="CL21" s="803">
        <f>(('5B. HC and Salaries - Mgmt.'!$S$172)+('5C. HC and Salaries - Support'!CO60))</f>
        <v/>
      </c>
      <c r="CM21" s="803">
        <f>(('5B. HC and Salaries - Mgmt.'!$S$172)+('5C. HC and Salaries - Support'!CP60))</f>
        <v/>
      </c>
      <c r="CN21" s="803">
        <f>(('5B. HC and Salaries - Mgmt.'!$S$172)+('5C. HC and Salaries - Support'!CQ60))</f>
        <v/>
      </c>
      <c r="CO21" s="803">
        <f>(CN21)</f>
        <v/>
      </c>
      <c r="CQ21" s="803">
        <f>(('5B. HC and Salaries - Mgmt.'!$T$172)+('5C. HC and Salaries - Support'!CT60))</f>
        <v/>
      </c>
      <c r="CR21" s="803">
        <f>(('5B. HC and Salaries - Mgmt.'!$T$172)+('5C. HC and Salaries - Support'!CU60))</f>
        <v/>
      </c>
      <c r="CS21" s="803">
        <f>(('5B. HC and Salaries - Mgmt.'!$T$172)+('5C. HC and Salaries - Support'!CV60))</f>
        <v/>
      </c>
      <c r="CT21" s="803">
        <f>(('5B. HC and Salaries - Mgmt.'!$T$172)+('5C. HC and Salaries - Support'!CW60))</f>
        <v/>
      </c>
      <c r="CU21" s="803">
        <f>(('5B. HC and Salaries - Mgmt.'!$T$172)+('5C. HC and Salaries - Support'!CX60))</f>
        <v/>
      </c>
      <c r="CV21" s="803">
        <f>(('5B. HC and Salaries - Mgmt.'!$T$172)+('5C. HC and Salaries - Support'!CY60))</f>
        <v/>
      </c>
      <c r="CW21" s="803">
        <f>(('5B. HC and Salaries - Mgmt.'!$T$172)+('5C. HC and Salaries - Support'!CZ60))</f>
        <v/>
      </c>
      <c r="CX21" s="803">
        <f>(('5B. HC and Salaries - Mgmt.'!$T$172)+('5C. HC and Salaries - Support'!DA60))</f>
        <v/>
      </c>
      <c r="CY21" s="803">
        <f>(('5B. HC and Salaries - Mgmt.'!$T$172)+('5C. HC and Salaries - Support'!DB60))</f>
        <v/>
      </c>
      <c r="CZ21" s="803">
        <f>(('5B. HC and Salaries - Mgmt.'!$T$172)+('5C. HC and Salaries - Support'!DC60))</f>
        <v/>
      </c>
      <c r="DA21" s="803">
        <f>(('5B. HC and Salaries - Mgmt.'!$T$172)+('5C. HC and Salaries - Support'!DD60))</f>
        <v/>
      </c>
      <c r="DB21" s="803">
        <f>(('5B. HC and Salaries - Mgmt.'!$T$172)+('5C. HC and Salaries - Support'!DE60))</f>
        <v/>
      </c>
      <c r="DC21" s="803">
        <f>(DB21)</f>
        <v/>
      </c>
    </row>
    <row r="22" ht="15" customHeight="1" s="1883">
      <c r="B22" s="726" t="n"/>
      <c r="C22" s="726" t="n"/>
      <c r="D22" s="726" t="n"/>
      <c r="E22" s="726" t="n"/>
      <c r="F22" s="726" t="n"/>
      <c r="G22" s="726" t="n"/>
      <c r="H22" s="726" t="n"/>
      <c r="I22" s="726" t="n"/>
      <c r="J22" s="726" t="n"/>
      <c r="K22" s="726" t="n"/>
      <c r="L22" s="726" t="n"/>
      <c r="M22" s="726" t="n"/>
      <c r="N22" s="726" t="n"/>
      <c r="O22" s="726" t="n"/>
      <c r="P22" s="726" t="n"/>
      <c r="Q22" s="726" t="n"/>
      <c r="R22" s="726" t="n"/>
      <c r="S22" s="726" t="n"/>
      <c r="T22" s="726" t="n"/>
      <c r="U22" s="726" t="n"/>
      <c r="V22" s="726" t="n"/>
      <c r="W22" s="726" t="n"/>
      <c r="X22" s="726" t="n"/>
      <c r="Y22" s="726" t="n"/>
      <c r="Z22" s="726" t="n"/>
      <c r="AA22" s="726" t="n"/>
      <c r="AB22" s="726" t="n"/>
      <c r="AC22" s="726" t="n"/>
      <c r="AD22" s="726" t="n"/>
      <c r="AE22" s="383" t="n"/>
      <c r="AF22" s="383" t="n"/>
      <c r="AG22" s="383" t="n"/>
      <c r="AH22" s="383" t="n"/>
      <c r="AI22" s="383" t="n"/>
      <c r="AJ22" s="383" t="n"/>
      <c r="AK22" s="726" t="n"/>
      <c r="AL22" s="726" t="n"/>
      <c r="AM22" s="726" t="n"/>
      <c r="AN22" s="726" t="n"/>
      <c r="AO22" s="726" t="n"/>
      <c r="AP22" s="726" t="n"/>
      <c r="AQ22" s="726" t="n"/>
      <c r="AR22" s="726" t="n"/>
      <c r="AS22" s="726" t="n"/>
      <c r="AT22" s="726" t="n"/>
      <c r="AU22" s="726" t="n"/>
      <c r="AV22" s="726" t="n"/>
      <c r="AW22" s="726" t="n"/>
      <c r="AX22" s="726" t="n"/>
      <c r="AY22" s="726" t="n"/>
      <c r="AZ22" s="726" t="n"/>
      <c r="BA22" s="726" t="n"/>
      <c r="BB22" s="726" t="n"/>
      <c r="BC22" s="726" t="n"/>
      <c r="BD22" s="726" t="n"/>
      <c r="BE22" s="726" t="n"/>
      <c r="BF22" s="726" t="n"/>
      <c r="BG22" s="726" t="n"/>
      <c r="BH22" s="726" t="n"/>
      <c r="BI22" s="726" t="n"/>
      <c r="BJ22" s="726" t="n"/>
      <c r="BK22" s="726" t="n"/>
      <c r="BL22" s="726" t="n"/>
      <c r="BM22" s="726" t="n"/>
      <c r="BN22" s="1917" t="n"/>
      <c r="BO22" s="726" t="n"/>
      <c r="BP22" s="726" t="n"/>
      <c r="BQ22" s="726" t="n"/>
      <c r="BR22" s="726" t="n"/>
      <c r="BS22" s="726" t="n"/>
      <c r="BT22" s="726" t="n"/>
      <c r="BU22" s="726" t="n"/>
      <c r="BV22" s="726" t="n"/>
      <c r="BW22" s="726" t="n"/>
      <c r="BX22" s="726" t="n"/>
      <c r="BY22" s="726" t="n"/>
      <c r="BZ22" s="726" t="n"/>
      <c r="CA22" s="726" t="n"/>
      <c r="CB22" s="1917" t="n"/>
      <c r="CC22" s="726" t="n"/>
      <c r="CD22" s="726" t="n"/>
      <c r="CE22" s="726" t="n"/>
      <c r="CF22" s="726" t="n"/>
      <c r="CG22" s="726" t="n"/>
      <c r="CH22" s="726" t="n"/>
      <c r="CI22" s="726" t="n"/>
      <c r="CJ22" s="726" t="n"/>
      <c r="CK22" s="726" t="n"/>
      <c r="CL22" s="726" t="n"/>
      <c r="CM22" s="726" t="n"/>
      <c r="CN22" s="726" t="n"/>
      <c r="CO22" s="726" t="n"/>
      <c r="CQ22" s="726" t="n"/>
      <c r="CR22" s="726" t="n"/>
      <c r="CS22" s="726" t="n"/>
      <c r="CT22" s="726" t="n"/>
      <c r="CU22" s="726" t="n"/>
      <c r="CV22" s="726" t="n"/>
      <c r="CW22" s="726" t="n"/>
      <c r="CX22" s="726" t="n"/>
      <c r="CY22" s="726" t="n"/>
      <c r="CZ22" s="726" t="n"/>
      <c r="DA22" s="726" t="n"/>
      <c r="DB22" s="726" t="n"/>
      <c r="DC22" s="726" t="n"/>
    </row>
    <row r="23" ht="15" customHeight="1" s="1883">
      <c r="B23" s="733" t="inlineStr">
        <is>
          <t>Salaries</t>
        </is>
      </c>
      <c r="C23" s="726" t="n"/>
      <c r="D23" s="726" t="n"/>
      <c r="E23" s="726" t="n"/>
      <c r="F23" s="742" t="n"/>
      <c r="G23" s="726" t="n"/>
      <c r="H23" s="726" t="n"/>
      <c r="I23" s="726" t="n"/>
      <c r="J23" s="726" t="n"/>
      <c r="K23" s="726" t="n"/>
      <c r="L23" s="726" t="n"/>
      <c r="M23" s="726" t="n"/>
      <c r="N23" s="726" t="n"/>
      <c r="O23" s="726" t="n"/>
      <c r="P23" s="726" t="n"/>
      <c r="Q23" s="726" t="n"/>
      <c r="R23" s="726" t="n"/>
      <c r="S23" s="726" t="n"/>
      <c r="T23" s="726" t="n"/>
      <c r="U23" s="726" t="n"/>
      <c r="V23" s="726" t="n"/>
      <c r="W23" s="726" t="n"/>
      <c r="X23" s="726" t="n"/>
      <c r="Y23" s="726" t="n"/>
      <c r="Z23" s="726" t="n"/>
      <c r="AA23" s="726" t="n"/>
      <c r="AB23" s="726" t="n"/>
      <c r="AC23" s="726" t="n"/>
      <c r="AD23" s="726" t="n"/>
      <c r="AE23" s="726" t="n"/>
      <c r="AF23" s="726" t="n"/>
      <c r="AG23" s="726" t="n"/>
      <c r="AH23" s="726" t="n"/>
      <c r="AI23" s="726" t="n"/>
      <c r="AJ23" s="726" t="n"/>
      <c r="AK23" s="726" t="n"/>
      <c r="AL23" s="726" t="n"/>
      <c r="AM23" s="726" t="n"/>
      <c r="AN23" s="726" t="n"/>
      <c r="AO23" s="726" t="n"/>
      <c r="AP23" s="726" t="n"/>
      <c r="AQ23" s="726" t="n"/>
      <c r="AR23" s="726" t="n"/>
      <c r="AS23" s="726" t="n"/>
      <c r="AT23" s="726" t="n"/>
      <c r="AU23" s="726" t="n"/>
      <c r="AV23" s="726" t="n"/>
      <c r="AW23" s="726" t="n"/>
      <c r="AX23" s="726" t="n"/>
      <c r="AY23" s="726" t="n"/>
      <c r="AZ23" s="726" t="n"/>
      <c r="BA23" s="726" t="n"/>
      <c r="BB23" s="726" t="n"/>
      <c r="BC23" s="726" t="n"/>
      <c r="BD23" s="726" t="n"/>
      <c r="BE23" s="726" t="n"/>
      <c r="BF23" s="726" t="n"/>
      <c r="BG23" s="726" t="n"/>
      <c r="BH23" s="726" t="n"/>
      <c r="BI23" s="726" t="n"/>
      <c r="BJ23" s="726" t="n"/>
      <c r="BK23" s="726" t="n"/>
      <c r="BL23" s="726" t="n"/>
      <c r="BM23" s="726" t="n"/>
      <c r="BN23" s="726" t="n"/>
      <c r="BO23" s="726" t="n"/>
      <c r="BP23" s="726" t="n"/>
      <c r="BQ23" s="726" t="n"/>
      <c r="BR23" s="726" t="n"/>
      <c r="BS23" s="726" t="n"/>
      <c r="BT23" s="726" t="n"/>
      <c r="BU23" s="726" t="n"/>
      <c r="BV23" s="726" t="n"/>
      <c r="BW23" s="726" t="n"/>
      <c r="BX23" s="726" t="n"/>
      <c r="BY23" s="726" t="n"/>
      <c r="BZ23" s="726" t="n"/>
      <c r="CA23" s="726" t="n"/>
      <c r="CB23" s="726" t="n"/>
      <c r="CC23" s="726" t="n"/>
      <c r="CD23" s="726" t="n"/>
      <c r="CE23" s="726" t="n"/>
      <c r="CF23" s="726" t="n"/>
      <c r="CG23" s="726" t="n"/>
      <c r="CH23" s="726" t="n"/>
      <c r="CI23" s="726" t="n"/>
      <c r="CJ23" s="726" t="n"/>
      <c r="CK23" s="726" t="n"/>
      <c r="CL23" s="726" t="n"/>
      <c r="CM23" s="726" t="n"/>
      <c r="CN23" s="726" t="n"/>
      <c r="CO23" s="726" t="n"/>
      <c r="CP23" s="726" t="n"/>
      <c r="CQ23" s="726" t="n"/>
      <c r="CR23" s="726" t="n"/>
      <c r="CS23" s="726" t="n"/>
      <c r="CT23" s="726" t="n"/>
      <c r="CU23" s="726" t="n"/>
      <c r="CV23" s="726" t="n"/>
      <c r="CW23" s="726" t="n"/>
      <c r="CX23" s="726" t="n"/>
      <c r="CY23" s="726" t="n"/>
      <c r="CZ23" s="726" t="n"/>
      <c r="DA23" s="726" t="n"/>
      <c r="DB23" s="726" t="n"/>
      <c r="DC23" s="726" t="n"/>
    </row>
    <row r="24" ht="3" customHeight="1" s="1883">
      <c r="B24" s="734" t="n"/>
      <c r="C24" s="734" t="n"/>
      <c r="D24" s="734" t="n"/>
      <c r="E24" s="734" t="n"/>
      <c r="F24" s="734" t="n"/>
      <c r="G24" s="726" t="n"/>
      <c r="H24" s="726" t="n"/>
      <c r="I24" s="726" t="n"/>
      <c r="J24" s="726" t="n"/>
      <c r="K24" s="726" t="n"/>
      <c r="L24" s="726" t="n"/>
      <c r="M24" s="726" t="n"/>
      <c r="N24" s="726" t="n"/>
      <c r="O24" s="726" t="n"/>
      <c r="P24" s="726" t="n"/>
      <c r="Q24" s="726" t="n"/>
      <c r="R24" s="726" t="n"/>
      <c r="S24" s="726" t="n"/>
      <c r="T24" s="726" t="n"/>
      <c r="U24" s="726" t="n"/>
      <c r="V24" s="726" t="n"/>
      <c r="W24" s="726" t="n"/>
      <c r="X24" s="726" t="n"/>
      <c r="Y24" s="726" t="n"/>
      <c r="Z24" s="726" t="n"/>
      <c r="AA24" s="726" t="n"/>
      <c r="AB24" s="726" t="n"/>
      <c r="AC24" s="726" t="n"/>
      <c r="AD24" s="726" t="n"/>
      <c r="AE24" s="726" t="n"/>
      <c r="AF24" s="726" t="n"/>
      <c r="AG24" s="726" t="n"/>
      <c r="AH24" s="726" t="n"/>
      <c r="AI24" s="726" t="n"/>
      <c r="AJ24" s="726" t="n"/>
      <c r="AK24" s="726" t="n"/>
      <c r="AL24" s="726" t="n"/>
      <c r="AM24" s="726" t="n"/>
      <c r="AN24" s="726" t="n"/>
      <c r="AO24" s="726" t="n"/>
      <c r="AP24" s="726" t="n"/>
      <c r="AQ24" s="726" t="n"/>
      <c r="AR24" s="726" t="n"/>
      <c r="AS24" s="726" t="n"/>
      <c r="AT24" s="726" t="n"/>
      <c r="AU24" s="726" t="n"/>
      <c r="AV24" s="726" t="n"/>
      <c r="AW24" s="726" t="n"/>
      <c r="AX24" s="726" t="n"/>
      <c r="AY24" s="726" t="n"/>
      <c r="AZ24" s="726" t="n"/>
      <c r="BA24" s="726" t="n"/>
      <c r="BB24" s="726" t="n"/>
      <c r="BC24" s="726" t="n"/>
      <c r="BD24" s="726" t="n"/>
      <c r="BE24" s="726" t="n"/>
      <c r="BF24" s="726" t="n"/>
      <c r="BG24" s="726" t="n"/>
      <c r="BH24" s="726" t="n"/>
      <c r="BI24" s="726" t="n"/>
      <c r="BJ24" s="726" t="n"/>
      <c r="BK24" s="726" t="n"/>
      <c r="BL24" s="726" t="n"/>
      <c r="BM24" s="726" t="n"/>
      <c r="BN24" s="726" t="n"/>
      <c r="BO24" s="726" t="n"/>
      <c r="BP24" s="726" t="n"/>
      <c r="BQ24" s="726" t="n"/>
      <c r="BR24" s="726" t="n"/>
      <c r="BS24" s="726" t="n"/>
      <c r="BT24" s="726" t="n"/>
      <c r="BU24" s="726" t="n"/>
      <c r="BV24" s="726" t="n"/>
      <c r="BW24" s="726" t="n"/>
      <c r="BX24" s="726" t="n"/>
      <c r="BY24" s="726" t="n"/>
      <c r="BZ24" s="726" t="n"/>
      <c r="CA24" s="726" t="n"/>
      <c r="CB24" s="726" t="n"/>
      <c r="CC24" s="726" t="n"/>
      <c r="CD24" s="726" t="n"/>
      <c r="CE24" s="726" t="n"/>
      <c r="CF24" s="726" t="n"/>
      <c r="CG24" s="726" t="n"/>
      <c r="CH24" s="726" t="n"/>
      <c r="CI24" s="726" t="n"/>
      <c r="CJ24" s="726" t="n"/>
      <c r="CK24" s="726" t="n"/>
      <c r="CL24" s="726" t="n"/>
      <c r="CM24" s="726" t="n"/>
      <c r="CN24" s="726" t="n"/>
      <c r="CO24" s="726" t="n"/>
      <c r="CP24" s="726" t="n"/>
      <c r="CQ24" s="726" t="n"/>
      <c r="CR24" s="726" t="n"/>
      <c r="CS24" s="726" t="n"/>
      <c r="CT24" s="726" t="n"/>
      <c r="CU24" s="726" t="n"/>
      <c r="CV24" s="726" t="n"/>
      <c r="CW24" s="726" t="n"/>
      <c r="CX24" s="726" t="n"/>
      <c r="CY24" s="726" t="n"/>
      <c r="CZ24" s="726" t="n"/>
      <c r="DA24" s="726" t="n"/>
      <c r="DB24" s="726" t="n"/>
      <c r="DC24" s="726" t="n"/>
    </row>
    <row r="25" ht="3" customHeight="1" s="1883">
      <c r="B25" s="726" t="n"/>
      <c r="C25" s="726" t="n"/>
      <c r="D25" s="726" t="n"/>
      <c r="E25" s="726" t="n"/>
      <c r="F25" s="742" t="n"/>
      <c r="G25" s="726" t="n"/>
      <c r="H25" s="726" t="n"/>
      <c r="I25" s="726" t="n"/>
      <c r="J25" s="726" t="n"/>
      <c r="K25" s="726" t="n"/>
      <c r="L25" s="726" t="n"/>
      <c r="M25" s="726" t="n"/>
      <c r="N25" s="726" t="n"/>
      <c r="O25" s="726" t="n"/>
      <c r="P25" s="726" t="n"/>
      <c r="Q25" s="726" t="n"/>
      <c r="R25" s="726" t="n"/>
      <c r="S25" s="726" t="n"/>
      <c r="T25" s="726" t="n"/>
      <c r="U25" s="726" t="n"/>
      <c r="V25" s="726" t="n"/>
      <c r="W25" s="726" t="n"/>
      <c r="X25" s="726" t="n"/>
      <c r="Y25" s="726" t="n"/>
      <c r="Z25" s="726" t="n"/>
      <c r="AA25" s="726" t="n"/>
      <c r="AB25" s="726" t="n"/>
      <c r="AC25" s="726" t="n"/>
      <c r="AD25" s="726" t="n"/>
      <c r="AE25" s="726" t="n"/>
      <c r="AF25" s="726" t="n"/>
      <c r="AG25" s="726" t="n"/>
      <c r="AH25" s="726" t="n"/>
      <c r="AI25" s="726" t="n"/>
      <c r="AJ25" s="726" t="n"/>
      <c r="AK25" s="726" t="n"/>
      <c r="AL25" s="726" t="n"/>
      <c r="AM25" s="726" t="n"/>
      <c r="AN25" s="726" t="n"/>
      <c r="AO25" s="726" t="n"/>
      <c r="AP25" s="726" t="n"/>
      <c r="AQ25" s="726" t="n"/>
      <c r="AR25" s="726" t="n"/>
      <c r="AS25" s="726" t="n"/>
      <c r="AT25" s="726" t="n"/>
      <c r="AU25" s="726" t="n"/>
      <c r="AV25" s="726" t="n"/>
      <c r="AW25" s="726" t="n"/>
      <c r="AX25" s="726" t="n"/>
      <c r="AY25" s="726" t="n"/>
      <c r="AZ25" s="726" t="n"/>
      <c r="BA25" s="726" t="n"/>
      <c r="BB25" s="726" t="n"/>
      <c r="BC25" s="726" t="n"/>
      <c r="BD25" s="726" t="n"/>
      <c r="BE25" s="726" t="n"/>
      <c r="BF25" s="726" t="n"/>
      <c r="BG25" s="726" t="n"/>
      <c r="BH25" s="726" t="n"/>
      <c r="BI25" s="726" t="n"/>
      <c r="BJ25" s="726" t="n"/>
      <c r="BK25" s="726" t="n"/>
      <c r="BL25" s="726" t="n"/>
      <c r="BM25" s="726" t="n"/>
      <c r="BN25" s="726" t="n"/>
      <c r="BO25" s="726" t="n"/>
      <c r="BP25" s="726" t="n"/>
      <c r="BQ25" s="726" t="n"/>
      <c r="BR25" s="726" t="n"/>
      <c r="BS25" s="726" t="n"/>
      <c r="BT25" s="726" t="n"/>
      <c r="BU25" s="726" t="n"/>
      <c r="BV25" s="726" t="n"/>
      <c r="BW25" s="726" t="n"/>
      <c r="BX25" s="726" t="n"/>
      <c r="BY25" s="726" t="n"/>
      <c r="BZ25" s="726" t="n"/>
      <c r="CA25" s="726" t="n"/>
      <c r="CB25" s="726" t="n"/>
      <c r="CC25" s="726" t="n"/>
      <c r="CD25" s="726" t="n"/>
      <c r="CE25" s="726" t="n"/>
      <c r="CF25" s="726" t="n"/>
      <c r="CG25" s="726" t="n"/>
      <c r="CH25" s="726" t="n"/>
      <c r="CI25" s="726" t="n"/>
      <c r="CJ25" s="726" t="n"/>
      <c r="CK25" s="726" t="n"/>
      <c r="CL25" s="726" t="n"/>
      <c r="CM25" s="726" t="n"/>
      <c r="CN25" s="726" t="n"/>
      <c r="CO25" s="726" t="n"/>
      <c r="CP25" s="726" t="n"/>
      <c r="CQ25" s="726" t="n"/>
      <c r="CR25" s="726" t="n"/>
      <c r="CS25" s="726" t="n"/>
      <c r="CT25" s="726" t="n"/>
      <c r="CU25" s="726" t="n"/>
      <c r="CV25" s="726" t="n"/>
      <c r="CW25" s="726" t="n"/>
      <c r="CX25" s="726" t="n"/>
      <c r="CY25" s="726" t="n"/>
      <c r="CZ25" s="726" t="n"/>
      <c r="DA25" s="726" t="n"/>
      <c r="DB25" s="726" t="n"/>
      <c r="DC25" s="726" t="n"/>
    </row>
    <row r="26" ht="15" customHeight="1" s="1883">
      <c r="B26" s="729" t="inlineStr">
        <is>
          <t>●</t>
        </is>
      </c>
      <c r="C26" s="733" t="inlineStr">
        <is>
          <t>CONUS</t>
        </is>
      </c>
      <c r="D26" s="726" t="n"/>
      <c r="E26" s="726" t="n"/>
      <c r="F26" s="742" t="n"/>
      <c r="G26" s="726" t="n"/>
      <c r="H26" s="726" t="n"/>
      <c r="I26" s="726" t="n"/>
      <c r="J26" s="726" t="n"/>
      <c r="K26" s="726" t="n"/>
      <c r="L26" s="726" t="n"/>
      <c r="M26" s="726" t="n"/>
      <c r="N26" s="726" t="n"/>
      <c r="O26" s="726" t="n"/>
      <c r="P26" s="726" t="n"/>
      <c r="Q26" s="726" t="n"/>
      <c r="R26" s="726" t="n"/>
      <c r="S26" s="726" t="n"/>
      <c r="T26" s="726" t="n"/>
      <c r="U26" s="726" t="n"/>
      <c r="V26" s="726" t="n"/>
      <c r="W26" s="726" t="n"/>
      <c r="X26" s="726" t="n"/>
      <c r="Y26" s="726" t="n"/>
      <c r="Z26" s="726" t="n"/>
      <c r="AA26" s="726" t="n"/>
      <c r="AB26" s="726" t="n"/>
      <c r="AC26" s="726" t="n"/>
      <c r="AD26" s="726" t="n"/>
      <c r="AE26" s="726" t="n"/>
      <c r="AF26" s="726" t="n"/>
      <c r="AG26" s="726" t="n"/>
      <c r="AH26" s="726" t="n"/>
      <c r="AI26" s="726" t="n"/>
      <c r="AJ26" s="726" t="n"/>
      <c r="AK26" s="726" t="n"/>
      <c r="AL26" s="726" t="n"/>
      <c r="AM26" s="726" t="n"/>
      <c r="AN26" s="726" t="n"/>
      <c r="AO26" s="726" t="n"/>
      <c r="AP26" s="726" t="n"/>
      <c r="AQ26" s="726" t="n"/>
      <c r="AR26" s="726" t="n"/>
      <c r="AS26" s="726" t="n"/>
      <c r="AT26" s="726" t="n"/>
      <c r="AU26" s="726" t="n"/>
      <c r="AV26" s="726" t="n"/>
      <c r="AW26" s="726" t="n"/>
      <c r="AX26" s="726" t="n"/>
      <c r="AY26" s="726" t="n"/>
      <c r="AZ26" s="726" t="n"/>
      <c r="BA26" s="726" t="n"/>
      <c r="BB26" s="726" t="n"/>
      <c r="BC26" s="726" t="n"/>
      <c r="BD26" s="726" t="n"/>
      <c r="BE26" s="726" t="n"/>
      <c r="BF26" s="726" t="n"/>
      <c r="BG26" s="726" t="n"/>
      <c r="BH26" s="726" t="n"/>
      <c r="BI26" s="726" t="n"/>
      <c r="BJ26" s="726" t="n"/>
      <c r="BK26" s="726" t="n"/>
      <c r="BL26" s="726" t="n"/>
      <c r="BM26" s="726" t="n"/>
      <c r="BN26" s="726" t="n"/>
      <c r="BO26" s="726" t="n"/>
      <c r="BP26" s="726" t="n"/>
      <c r="BQ26" s="726" t="n"/>
      <c r="BR26" s="726" t="n"/>
      <c r="BS26" s="726" t="n"/>
      <c r="BT26" s="726" t="n"/>
      <c r="BU26" s="726" t="n"/>
      <c r="BV26" s="726" t="n"/>
      <c r="BW26" s="726" t="n"/>
      <c r="BX26" s="726" t="n"/>
      <c r="BY26" s="726" t="n"/>
      <c r="BZ26" s="726" t="n"/>
      <c r="CA26" s="726" t="n"/>
      <c r="CB26" s="726" t="n"/>
      <c r="CC26" s="726" t="n"/>
      <c r="CD26" s="726" t="n"/>
      <c r="CE26" s="726" t="n"/>
      <c r="CF26" s="726" t="n"/>
      <c r="CG26" s="726" t="n"/>
      <c r="CH26" s="726" t="n"/>
      <c r="CI26" s="726" t="n"/>
      <c r="CJ26" s="726" t="n"/>
      <c r="CK26" s="726" t="n"/>
      <c r="CL26" s="726" t="n"/>
      <c r="CM26" s="726" t="n"/>
      <c r="CN26" s="726" t="n"/>
      <c r="CO26" s="726" t="n"/>
      <c r="CP26" s="726" t="n"/>
      <c r="CQ26" s="726" t="n"/>
      <c r="CR26" s="726" t="n"/>
      <c r="CS26" s="726" t="n"/>
      <c r="CT26" s="726" t="n"/>
      <c r="CU26" s="726" t="n"/>
      <c r="CV26" s="726" t="n"/>
      <c r="CW26" s="726" t="n"/>
      <c r="CX26" s="726" t="n"/>
      <c r="CY26" s="726" t="n"/>
      <c r="CZ26" s="726" t="n"/>
      <c r="DA26" s="726" t="n"/>
      <c r="DB26" s="726" t="n"/>
      <c r="DC26" s="726" t="n"/>
    </row>
    <row r="27" ht="15" customHeight="1" s="1883">
      <c r="B27" s="726" t="n"/>
      <c r="C27" s="729" t="inlineStr">
        <is>
          <t>●</t>
        </is>
      </c>
      <c r="D27" s="726" t="inlineStr">
        <is>
          <t>Senior Management</t>
        </is>
      </c>
      <c r="E27" s="726" t="n"/>
      <c r="F27" s="726" t="n"/>
      <c r="G27" s="726" t="n"/>
      <c r="H27" s="726" t="n"/>
      <c r="I27" s="726" t="n"/>
      <c r="J27" s="726" t="n"/>
      <c r="K27" s="726" t="n"/>
      <c r="L27" s="726" t="n"/>
      <c r="M27" s="726" t="n"/>
      <c r="N27" s="726" t="n"/>
      <c r="O27" s="726" t="n"/>
      <c r="P27" s="726" t="n"/>
      <c r="Q27" s="726" t="n"/>
      <c r="R27" s="726" t="n"/>
      <c r="S27" s="726" t="n"/>
      <c r="T27" s="726" t="n"/>
      <c r="U27" s="726" t="n"/>
      <c r="V27" s="726" t="n"/>
      <c r="W27" s="726" t="n"/>
      <c r="X27" s="726" t="n"/>
      <c r="Y27" s="702">
        <f>'5B. HC and Salaries - Mgmt.'!AC54</f>
        <v/>
      </c>
      <c r="Z27" s="702">
        <f>'5B. HC and Salaries - Mgmt.'!AD54</f>
        <v/>
      </c>
      <c r="AA27" s="702">
        <f>'5B. HC and Salaries - Mgmt.'!AE54</f>
        <v/>
      </c>
      <c r="AB27" s="702">
        <f>'5B. HC and Salaries - Mgmt.'!AF54</f>
        <v/>
      </c>
      <c r="AC27" s="702">
        <f>'5B. HC and Salaries - Mgmt.'!AG54</f>
        <v/>
      </c>
      <c r="AD27" s="702">
        <f>'5B. HC and Salaries - Mgmt.'!AH54</f>
        <v/>
      </c>
      <c r="AE27" s="702">
        <f>'5B. HC and Salaries - Mgmt.'!AI54</f>
        <v/>
      </c>
      <c r="AF27" s="702">
        <f>'5B. HC and Salaries - Mgmt.'!AJ54</f>
        <v/>
      </c>
      <c r="AG27" s="702">
        <f>'5B. HC and Salaries - Mgmt.'!AK54</f>
        <v/>
      </c>
      <c r="AH27" s="702">
        <f>'5B. HC and Salaries - Mgmt.'!AL54</f>
        <v/>
      </c>
      <c r="AI27" s="702">
        <f>'5B. HC and Salaries - Mgmt.'!AM54</f>
        <v/>
      </c>
      <c r="AJ27" s="702">
        <f>'5B. HC and Salaries - Mgmt.'!AN54</f>
        <v/>
      </c>
      <c r="AK27" s="765">
        <f>'5B. HC and Salaries - Mgmt.'!AO54</f>
        <v/>
      </c>
      <c r="AL27" s="726" t="n"/>
      <c r="AM27" s="702">
        <f>'5B. HC and Salaries - Mgmt.'!AQ54</f>
        <v/>
      </c>
      <c r="AN27" s="702">
        <f>'5B. HC and Salaries - Mgmt.'!AR54</f>
        <v/>
      </c>
      <c r="AO27" s="702">
        <f>'5B. HC and Salaries - Mgmt.'!AS54</f>
        <v/>
      </c>
      <c r="AP27" s="702">
        <f>'5B. HC and Salaries - Mgmt.'!AT54</f>
        <v/>
      </c>
      <c r="AQ27" s="702">
        <f>'5B. HC and Salaries - Mgmt.'!AU54</f>
        <v/>
      </c>
      <c r="AR27" s="702">
        <f>'5B. HC and Salaries - Mgmt.'!AV54</f>
        <v/>
      </c>
      <c r="AS27" s="702">
        <f>'5B. HC and Salaries - Mgmt.'!AW54</f>
        <v/>
      </c>
      <c r="AT27" s="702">
        <f>'5B. HC and Salaries - Mgmt.'!AX54</f>
        <v/>
      </c>
      <c r="AU27" s="702">
        <f>'5B. HC and Salaries - Mgmt.'!AY54</f>
        <v/>
      </c>
      <c r="AV27" s="702">
        <f>'5B. HC and Salaries - Mgmt.'!AZ54</f>
        <v/>
      </c>
      <c r="AW27" s="702">
        <f>'5B. HC and Salaries - Mgmt.'!BA54</f>
        <v/>
      </c>
      <c r="AX27" s="702">
        <f>'5B. HC and Salaries - Mgmt.'!BB54</f>
        <v/>
      </c>
      <c r="AY27" s="765">
        <f>'5B. HC and Salaries - Mgmt.'!BC54</f>
        <v/>
      </c>
      <c r="AZ27" s="726" t="n"/>
      <c r="BA27" s="702">
        <f>'5B. HC and Salaries - Mgmt.'!BE54</f>
        <v/>
      </c>
      <c r="BB27" s="702">
        <f>'5B. HC and Salaries - Mgmt.'!BF54</f>
        <v/>
      </c>
      <c r="BC27" s="702">
        <f>'5B. HC and Salaries - Mgmt.'!BG54</f>
        <v/>
      </c>
      <c r="BD27" s="702">
        <f>'5B. HC and Salaries - Mgmt.'!BH54</f>
        <v/>
      </c>
      <c r="BE27" s="702">
        <f>'5B. HC and Salaries - Mgmt.'!BI54</f>
        <v/>
      </c>
      <c r="BF27" s="702">
        <f>'5B. HC and Salaries - Mgmt.'!BJ54</f>
        <v/>
      </c>
      <c r="BG27" s="702">
        <f>'5B. HC and Salaries - Mgmt.'!BK54</f>
        <v/>
      </c>
      <c r="BH27" s="702">
        <f>'5B. HC and Salaries - Mgmt.'!BL54</f>
        <v/>
      </c>
      <c r="BI27" s="702">
        <f>'5B. HC and Salaries - Mgmt.'!BM54</f>
        <v/>
      </c>
      <c r="BJ27" s="702">
        <f>'5B. HC and Salaries - Mgmt.'!BN54</f>
        <v/>
      </c>
      <c r="BK27" s="702">
        <f>'5B. HC and Salaries - Mgmt.'!BO54</f>
        <v/>
      </c>
      <c r="BL27" s="702">
        <f>'5B. HC and Salaries - Mgmt.'!BP54</f>
        <v/>
      </c>
      <c r="BM27" s="765">
        <f>'5B. HC and Salaries - Mgmt.'!BQ54</f>
        <v/>
      </c>
      <c r="BN27" s="726" t="n"/>
      <c r="BO27" s="702">
        <f>'5B. HC and Salaries - Mgmt.'!BS54</f>
        <v/>
      </c>
      <c r="BP27" s="702">
        <f>'5B. HC and Salaries - Mgmt.'!BT54</f>
        <v/>
      </c>
      <c r="BQ27" s="702">
        <f>'5B. HC and Salaries - Mgmt.'!BU54</f>
        <v/>
      </c>
      <c r="BR27" s="702">
        <f>'5B. HC and Salaries - Mgmt.'!BV54</f>
        <v/>
      </c>
      <c r="BS27" s="702">
        <f>'5B. HC and Salaries - Mgmt.'!BW54</f>
        <v/>
      </c>
      <c r="BT27" s="702">
        <f>'5B. HC and Salaries - Mgmt.'!BX54</f>
        <v/>
      </c>
      <c r="BU27" s="702">
        <f>'5B. HC and Salaries - Mgmt.'!BY54</f>
        <v/>
      </c>
      <c r="BV27" s="702">
        <f>'5B. HC and Salaries - Mgmt.'!BZ54</f>
        <v/>
      </c>
      <c r="BW27" s="702">
        <f>'5B. HC and Salaries - Mgmt.'!CA54</f>
        <v/>
      </c>
      <c r="BX27" s="702">
        <f>'5B. HC and Salaries - Mgmt.'!CB54</f>
        <v/>
      </c>
      <c r="BY27" s="702">
        <f>'5B. HC and Salaries - Mgmt.'!CC54</f>
        <v/>
      </c>
      <c r="BZ27" s="702">
        <f>'5B. HC and Salaries - Mgmt.'!CD54</f>
        <v/>
      </c>
      <c r="CA27" s="765">
        <f>'5B. HC and Salaries - Mgmt.'!CE54</f>
        <v/>
      </c>
      <c r="CB27" s="726" t="n"/>
      <c r="CC27" s="702">
        <f>'5B. HC and Salaries - Mgmt.'!CG54</f>
        <v/>
      </c>
      <c r="CD27" s="702">
        <f>'5B. HC and Salaries - Mgmt.'!CH54</f>
        <v/>
      </c>
      <c r="CE27" s="702">
        <f>'5B. HC and Salaries - Mgmt.'!CI54</f>
        <v/>
      </c>
      <c r="CF27" s="702">
        <f>'5B. HC and Salaries - Mgmt.'!CJ54</f>
        <v/>
      </c>
      <c r="CG27" s="702">
        <f>'5B. HC and Salaries - Mgmt.'!CK54</f>
        <v/>
      </c>
      <c r="CH27" s="702">
        <f>'5B. HC and Salaries - Mgmt.'!CL54</f>
        <v/>
      </c>
      <c r="CI27" s="702">
        <f>'5B. HC and Salaries - Mgmt.'!CM54</f>
        <v/>
      </c>
      <c r="CJ27" s="702">
        <f>'5B. HC and Salaries - Mgmt.'!CN54</f>
        <v/>
      </c>
      <c r="CK27" s="702">
        <f>'5B. HC and Salaries - Mgmt.'!CO54</f>
        <v/>
      </c>
      <c r="CL27" s="702">
        <f>'5B. HC and Salaries - Mgmt.'!CP54</f>
        <v/>
      </c>
      <c r="CM27" s="702">
        <f>'5B. HC and Salaries - Mgmt.'!CQ54</f>
        <v/>
      </c>
      <c r="CN27" s="702">
        <f>'5B. HC and Salaries - Mgmt.'!CR54</f>
        <v/>
      </c>
      <c r="CO27" s="765">
        <f>'5B. HC and Salaries - Mgmt.'!CS54</f>
        <v/>
      </c>
      <c r="CP27" s="726" t="n"/>
      <c r="CQ27" s="702">
        <f>'5B. HC and Salaries - Mgmt.'!CU54</f>
        <v/>
      </c>
      <c r="CR27" s="702">
        <f>'5B. HC and Salaries - Mgmt.'!CV54</f>
        <v/>
      </c>
      <c r="CS27" s="702">
        <f>'5B. HC and Salaries - Mgmt.'!CW54</f>
        <v/>
      </c>
      <c r="CT27" s="702">
        <f>'5B. HC and Salaries - Mgmt.'!CX54</f>
        <v/>
      </c>
      <c r="CU27" s="702">
        <f>'5B. HC and Salaries - Mgmt.'!CY54</f>
        <v/>
      </c>
      <c r="CV27" s="702">
        <f>'5B. HC and Salaries - Mgmt.'!CZ54</f>
        <v/>
      </c>
      <c r="CW27" s="702">
        <f>'5B. HC and Salaries - Mgmt.'!DA54</f>
        <v/>
      </c>
      <c r="CX27" s="702">
        <f>'5B. HC and Salaries - Mgmt.'!DB54</f>
        <v/>
      </c>
      <c r="CY27" s="702">
        <f>'5B. HC and Salaries - Mgmt.'!DC54</f>
        <v/>
      </c>
      <c r="CZ27" s="702">
        <f>'5B. HC and Salaries - Mgmt.'!DD54</f>
        <v/>
      </c>
      <c r="DA27" s="702">
        <f>'5B. HC and Salaries - Mgmt.'!DE54</f>
        <v/>
      </c>
      <c r="DB27" s="702">
        <f>'5B. HC and Salaries - Mgmt.'!DF54</f>
        <v/>
      </c>
      <c r="DC27" s="765">
        <f>'5B. HC and Salaries - Mgmt.'!DG54</f>
        <v/>
      </c>
    </row>
    <row r="28" ht="15" customHeight="1" s="1883">
      <c r="B28" s="726" t="n"/>
      <c r="C28" s="729" t="inlineStr">
        <is>
          <t>●</t>
        </is>
      </c>
      <c r="D28" s="726" t="inlineStr">
        <is>
          <t>Middle Management</t>
        </is>
      </c>
      <c r="E28" s="726" t="n"/>
      <c r="F28" s="726" t="n"/>
      <c r="G28" s="726" t="n"/>
      <c r="H28" s="726" t="n"/>
      <c r="I28" s="726" t="n"/>
      <c r="J28" s="726" t="n"/>
      <c r="K28" s="726" t="n"/>
      <c r="L28" s="726" t="n"/>
      <c r="M28" s="726" t="n"/>
      <c r="N28" s="726" t="n"/>
      <c r="O28" s="726" t="n"/>
      <c r="P28" s="726" t="n"/>
      <c r="Q28" s="726" t="n"/>
      <c r="R28" s="726" t="n"/>
      <c r="S28" s="726" t="n"/>
      <c r="T28" s="726" t="n"/>
      <c r="U28" s="726" t="n"/>
      <c r="V28" s="726" t="n"/>
      <c r="W28" s="726" t="n"/>
      <c r="X28" s="726" t="n"/>
      <c r="Y28" s="702">
        <f>'5B. HC and Salaries - Mgmt.'!AC156</f>
        <v/>
      </c>
      <c r="Z28" s="702">
        <f>'5B. HC and Salaries - Mgmt.'!AD156</f>
        <v/>
      </c>
      <c r="AA28" s="702">
        <f>'5B. HC and Salaries - Mgmt.'!AE156</f>
        <v/>
      </c>
      <c r="AB28" s="702">
        <f>'5B. HC and Salaries - Mgmt.'!AF156</f>
        <v/>
      </c>
      <c r="AC28" s="702">
        <f>'5B. HC and Salaries - Mgmt.'!AG156</f>
        <v/>
      </c>
      <c r="AD28" s="702">
        <f>'5B. HC and Salaries - Mgmt.'!AH156</f>
        <v/>
      </c>
      <c r="AE28" s="702">
        <f>'5B. HC and Salaries - Mgmt.'!AI156</f>
        <v/>
      </c>
      <c r="AF28" s="702">
        <f>'5B. HC and Salaries - Mgmt.'!AJ156</f>
        <v/>
      </c>
      <c r="AG28" s="702">
        <f>'5B. HC and Salaries - Mgmt.'!AK156</f>
        <v/>
      </c>
      <c r="AH28" s="702">
        <f>'5B. HC and Salaries - Mgmt.'!AL156</f>
        <v/>
      </c>
      <c r="AI28" s="702">
        <f>'5B. HC and Salaries - Mgmt.'!AM156</f>
        <v/>
      </c>
      <c r="AJ28" s="702">
        <f>'5B. HC and Salaries - Mgmt.'!AN156</f>
        <v/>
      </c>
      <c r="AK28" s="765">
        <f>'5B. HC and Salaries - Mgmt.'!AO156</f>
        <v/>
      </c>
      <c r="AL28" s="726" t="n"/>
      <c r="AM28" s="702">
        <f>'5B. HC and Salaries - Mgmt.'!AQ156</f>
        <v/>
      </c>
      <c r="AN28" s="702">
        <f>'5B. HC and Salaries - Mgmt.'!AR156</f>
        <v/>
      </c>
      <c r="AO28" s="702">
        <f>'5B. HC and Salaries - Mgmt.'!AS156</f>
        <v/>
      </c>
      <c r="AP28" s="702">
        <f>'5B. HC and Salaries - Mgmt.'!AT156</f>
        <v/>
      </c>
      <c r="AQ28" s="702">
        <f>'5B. HC and Salaries - Mgmt.'!AU156</f>
        <v/>
      </c>
      <c r="AR28" s="702">
        <f>'5B. HC and Salaries - Mgmt.'!AV156</f>
        <v/>
      </c>
      <c r="AS28" s="702">
        <f>'5B. HC and Salaries - Mgmt.'!AW156</f>
        <v/>
      </c>
      <c r="AT28" s="702">
        <f>'5B. HC and Salaries - Mgmt.'!AX156</f>
        <v/>
      </c>
      <c r="AU28" s="702">
        <f>'5B. HC and Salaries - Mgmt.'!AY156</f>
        <v/>
      </c>
      <c r="AV28" s="702">
        <f>'5B. HC and Salaries - Mgmt.'!AZ156</f>
        <v/>
      </c>
      <c r="AW28" s="702">
        <f>'5B. HC and Salaries - Mgmt.'!BA156</f>
        <v/>
      </c>
      <c r="AX28" s="702">
        <f>'5B. HC and Salaries - Mgmt.'!BB156</f>
        <v/>
      </c>
      <c r="AY28" s="765">
        <f>'5B. HC and Salaries - Mgmt.'!BC156</f>
        <v/>
      </c>
      <c r="AZ28" s="726" t="n"/>
      <c r="BA28" s="702">
        <f>'5B. HC and Salaries - Mgmt.'!BE156</f>
        <v/>
      </c>
      <c r="BB28" s="702">
        <f>'5B. HC and Salaries - Mgmt.'!BF156</f>
        <v/>
      </c>
      <c r="BC28" s="702">
        <f>'5B. HC and Salaries - Mgmt.'!BG156</f>
        <v/>
      </c>
      <c r="BD28" s="702">
        <f>'5B. HC and Salaries - Mgmt.'!BH156</f>
        <v/>
      </c>
      <c r="BE28" s="702">
        <f>'5B. HC and Salaries - Mgmt.'!BI156</f>
        <v/>
      </c>
      <c r="BF28" s="702">
        <f>'5B. HC and Salaries - Mgmt.'!BJ156</f>
        <v/>
      </c>
      <c r="BG28" s="702">
        <f>'5B. HC and Salaries - Mgmt.'!BK156</f>
        <v/>
      </c>
      <c r="BH28" s="702">
        <f>'5B. HC and Salaries - Mgmt.'!BL156</f>
        <v/>
      </c>
      <c r="BI28" s="702">
        <f>'5B. HC and Salaries - Mgmt.'!BM156</f>
        <v/>
      </c>
      <c r="BJ28" s="702">
        <f>'5B. HC and Salaries - Mgmt.'!BN156</f>
        <v/>
      </c>
      <c r="BK28" s="702">
        <f>'5B. HC and Salaries - Mgmt.'!BO156</f>
        <v/>
      </c>
      <c r="BL28" s="702">
        <f>'5B. HC and Salaries - Mgmt.'!BP156</f>
        <v/>
      </c>
      <c r="BM28" s="765">
        <f>'5B. HC and Salaries - Mgmt.'!BQ156</f>
        <v/>
      </c>
      <c r="BN28" s="726" t="n"/>
      <c r="BO28" s="702">
        <f>'5B. HC and Salaries - Mgmt.'!BS156</f>
        <v/>
      </c>
      <c r="BP28" s="702">
        <f>'5B. HC and Salaries - Mgmt.'!BT156</f>
        <v/>
      </c>
      <c r="BQ28" s="702">
        <f>'5B. HC and Salaries - Mgmt.'!BU156</f>
        <v/>
      </c>
      <c r="BR28" s="702">
        <f>'5B. HC and Salaries - Mgmt.'!BV156</f>
        <v/>
      </c>
      <c r="BS28" s="702">
        <f>'5B. HC and Salaries - Mgmt.'!BW156</f>
        <v/>
      </c>
      <c r="BT28" s="702">
        <f>'5B. HC and Salaries - Mgmt.'!BX156</f>
        <v/>
      </c>
      <c r="BU28" s="702">
        <f>'5B. HC and Salaries - Mgmt.'!BY156</f>
        <v/>
      </c>
      <c r="BV28" s="702">
        <f>'5B. HC and Salaries - Mgmt.'!BZ156</f>
        <v/>
      </c>
      <c r="BW28" s="702">
        <f>'5B. HC and Salaries - Mgmt.'!CA156</f>
        <v/>
      </c>
      <c r="BX28" s="702">
        <f>'5B. HC and Salaries - Mgmt.'!CB156</f>
        <v/>
      </c>
      <c r="BY28" s="702">
        <f>'5B. HC and Salaries - Mgmt.'!CC156</f>
        <v/>
      </c>
      <c r="BZ28" s="702">
        <f>'5B. HC and Salaries - Mgmt.'!CD156</f>
        <v/>
      </c>
      <c r="CA28" s="765">
        <f>'5B. HC and Salaries - Mgmt.'!CE156</f>
        <v/>
      </c>
      <c r="CB28" s="726" t="n"/>
      <c r="CC28" s="702">
        <f>'5B. HC and Salaries - Mgmt.'!CG156</f>
        <v/>
      </c>
      <c r="CD28" s="702">
        <f>'5B. HC and Salaries - Mgmt.'!CH156</f>
        <v/>
      </c>
      <c r="CE28" s="702">
        <f>'5B. HC and Salaries - Mgmt.'!CI156</f>
        <v/>
      </c>
      <c r="CF28" s="702">
        <f>'5B. HC and Salaries - Mgmt.'!CJ156</f>
        <v/>
      </c>
      <c r="CG28" s="702">
        <f>'5B. HC and Salaries - Mgmt.'!CK156</f>
        <v/>
      </c>
      <c r="CH28" s="702">
        <f>'5B. HC and Salaries - Mgmt.'!CL156</f>
        <v/>
      </c>
      <c r="CI28" s="702">
        <f>'5B. HC and Salaries - Mgmt.'!CM156</f>
        <v/>
      </c>
      <c r="CJ28" s="702">
        <f>'5B. HC and Salaries - Mgmt.'!CN156</f>
        <v/>
      </c>
      <c r="CK28" s="702">
        <f>'5B. HC and Salaries - Mgmt.'!CO156</f>
        <v/>
      </c>
      <c r="CL28" s="702">
        <f>'5B. HC and Salaries - Mgmt.'!CP156</f>
        <v/>
      </c>
      <c r="CM28" s="702">
        <f>'5B. HC and Salaries - Mgmt.'!CQ156</f>
        <v/>
      </c>
      <c r="CN28" s="702">
        <f>'5B. HC and Salaries - Mgmt.'!CR156</f>
        <v/>
      </c>
      <c r="CO28" s="765">
        <f>'5B. HC and Salaries - Mgmt.'!CS156</f>
        <v/>
      </c>
      <c r="CP28" s="726" t="n"/>
      <c r="CQ28" s="702">
        <f>'5B. HC and Salaries - Mgmt.'!CU156</f>
        <v/>
      </c>
      <c r="CR28" s="702">
        <f>'5B. HC and Salaries - Mgmt.'!CV156</f>
        <v/>
      </c>
      <c r="CS28" s="702">
        <f>'5B. HC and Salaries - Mgmt.'!CW156</f>
        <v/>
      </c>
      <c r="CT28" s="702">
        <f>'5B. HC and Salaries - Mgmt.'!CX156</f>
        <v/>
      </c>
      <c r="CU28" s="702">
        <f>'5B. HC and Salaries - Mgmt.'!CY156</f>
        <v/>
      </c>
      <c r="CV28" s="702">
        <f>'5B. HC and Salaries - Mgmt.'!CZ156</f>
        <v/>
      </c>
      <c r="CW28" s="702">
        <f>'5B. HC and Salaries - Mgmt.'!DA156</f>
        <v/>
      </c>
      <c r="CX28" s="702">
        <f>'5B. HC and Salaries - Mgmt.'!DB156</f>
        <v/>
      </c>
      <c r="CY28" s="702">
        <f>'5B. HC and Salaries - Mgmt.'!DC156</f>
        <v/>
      </c>
      <c r="CZ28" s="702">
        <f>'5B. HC and Salaries - Mgmt.'!DD156</f>
        <v/>
      </c>
      <c r="DA28" s="702">
        <f>'5B. HC and Salaries - Mgmt.'!DE156</f>
        <v/>
      </c>
      <c r="DB28" s="702">
        <f>'5B. HC and Salaries - Mgmt.'!DF156</f>
        <v/>
      </c>
      <c r="DC28" s="765">
        <f>'5B. HC and Salaries - Mgmt.'!DG156</f>
        <v/>
      </c>
    </row>
    <row r="29" ht="15" customHeight="1" s="1883">
      <c r="B29" s="726" t="n"/>
      <c r="C29" s="729" t="inlineStr">
        <is>
          <t>●</t>
        </is>
      </c>
      <c r="D29" s="726" t="inlineStr">
        <is>
          <t>Administration and Support</t>
        </is>
      </c>
      <c r="E29" s="726" t="n"/>
      <c r="F29" s="726" t="n"/>
      <c r="G29" s="726" t="n"/>
      <c r="H29" s="726" t="n"/>
      <c r="I29" s="726" t="n"/>
      <c r="J29" s="726" t="n"/>
      <c r="K29" s="726" t="n"/>
      <c r="L29" s="726" t="n"/>
      <c r="M29" s="726" t="n"/>
      <c r="N29" s="726" t="n"/>
      <c r="O29" s="726" t="n"/>
      <c r="P29" s="726" t="n"/>
      <c r="Q29" s="726" t="n"/>
      <c r="R29" s="726" t="n"/>
      <c r="S29" s="726" t="n"/>
      <c r="T29" s="726" t="n"/>
      <c r="U29" s="726" t="n"/>
      <c r="V29" s="726" t="n"/>
      <c r="W29" s="726" t="n"/>
      <c r="X29" s="726" t="n"/>
      <c r="Y29" s="702">
        <f>'5C. HC and Salaries - Support'!AB108</f>
        <v/>
      </c>
      <c r="Z29" s="702">
        <f>'5C. HC and Salaries - Support'!AC108</f>
        <v/>
      </c>
      <c r="AA29" s="702">
        <f>'5C. HC and Salaries - Support'!AD108</f>
        <v/>
      </c>
      <c r="AB29" s="702">
        <f>'5C. HC and Salaries - Support'!AE108</f>
        <v/>
      </c>
      <c r="AC29" s="702">
        <f>'5C. HC and Salaries - Support'!AF108</f>
        <v/>
      </c>
      <c r="AD29" s="702">
        <f>'5C. HC and Salaries - Support'!AG108</f>
        <v/>
      </c>
      <c r="AE29" s="702">
        <f>'5C. HC and Salaries - Support'!AH108</f>
        <v/>
      </c>
      <c r="AF29" s="702">
        <f>'5C. HC and Salaries - Support'!AI108</f>
        <v/>
      </c>
      <c r="AG29" s="702">
        <f>'5C. HC and Salaries - Support'!AJ108</f>
        <v/>
      </c>
      <c r="AH29" s="702">
        <f>'5C. HC and Salaries - Support'!AK108</f>
        <v/>
      </c>
      <c r="AI29" s="702">
        <f>'5C. HC and Salaries - Support'!AL108</f>
        <v/>
      </c>
      <c r="AJ29" s="702">
        <f>'5C. HC and Salaries - Support'!AM108</f>
        <v/>
      </c>
      <c r="AK29" s="765">
        <f>'5C. HC and Salaries - Support'!AN108</f>
        <v/>
      </c>
      <c r="AL29" s="726" t="n"/>
      <c r="AM29" s="702">
        <f>'5C. HC and Salaries - Support'!AP108</f>
        <v/>
      </c>
      <c r="AN29" s="702">
        <f>'5C. HC and Salaries - Support'!AQ108</f>
        <v/>
      </c>
      <c r="AO29" s="702">
        <f>'5C. HC and Salaries - Support'!AR108</f>
        <v/>
      </c>
      <c r="AP29" s="702">
        <f>'5C. HC and Salaries - Support'!AS108</f>
        <v/>
      </c>
      <c r="AQ29" s="702">
        <f>'5C. HC and Salaries - Support'!AT108</f>
        <v/>
      </c>
      <c r="AR29" s="702">
        <f>'5C. HC and Salaries - Support'!AU108</f>
        <v/>
      </c>
      <c r="AS29" s="702">
        <f>'5C. HC and Salaries - Support'!AV108</f>
        <v/>
      </c>
      <c r="AT29" s="702">
        <f>'5C. HC and Salaries - Support'!AW108</f>
        <v/>
      </c>
      <c r="AU29" s="702">
        <f>'5C. HC and Salaries - Support'!AX108</f>
        <v/>
      </c>
      <c r="AV29" s="702">
        <f>'5C. HC and Salaries - Support'!AY108</f>
        <v/>
      </c>
      <c r="AW29" s="702">
        <f>'5C. HC and Salaries - Support'!AZ108</f>
        <v/>
      </c>
      <c r="AX29" s="702">
        <f>'5C. HC and Salaries - Support'!BA108</f>
        <v/>
      </c>
      <c r="AY29" s="765">
        <f>'5C. HC and Salaries - Support'!BB108</f>
        <v/>
      </c>
      <c r="AZ29" s="726" t="n"/>
      <c r="BA29" s="702">
        <f>'5C. HC and Salaries - Support'!BD108</f>
        <v/>
      </c>
      <c r="BB29" s="702">
        <f>'5C. HC and Salaries - Support'!BE108</f>
        <v/>
      </c>
      <c r="BC29" s="702">
        <f>'5C. HC and Salaries - Support'!BF108</f>
        <v/>
      </c>
      <c r="BD29" s="702">
        <f>'5C. HC and Salaries - Support'!BG108</f>
        <v/>
      </c>
      <c r="BE29" s="702">
        <f>'5C. HC and Salaries - Support'!BH108</f>
        <v/>
      </c>
      <c r="BF29" s="702">
        <f>'5C. HC and Salaries - Support'!BI108</f>
        <v/>
      </c>
      <c r="BG29" s="702">
        <f>'5C. HC and Salaries - Support'!BJ108</f>
        <v/>
      </c>
      <c r="BH29" s="702">
        <f>'5C. HC and Salaries - Support'!BK108</f>
        <v/>
      </c>
      <c r="BI29" s="702">
        <f>'5C. HC and Salaries - Support'!BL108</f>
        <v/>
      </c>
      <c r="BJ29" s="702">
        <f>'5C. HC and Salaries - Support'!BM108</f>
        <v/>
      </c>
      <c r="BK29" s="702">
        <f>'5C. HC and Salaries - Support'!BN108</f>
        <v/>
      </c>
      <c r="BL29" s="702">
        <f>'5C. HC and Salaries - Support'!BO108</f>
        <v/>
      </c>
      <c r="BM29" s="765">
        <f>'5C. HC and Salaries - Support'!BP108</f>
        <v/>
      </c>
      <c r="BN29" s="726" t="n"/>
      <c r="BO29" s="702">
        <f>'5C. HC and Salaries - Support'!BR108</f>
        <v/>
      </c>
      <c r="BP29" s="702">
        <f>'5C. HC and Salaries - Support'!BS108</f>
        <v/>
      </c>
      <c r="BQ29" s="702">
        <f>'5C. HC and Salaries - Support'!BT108</f>
        <v/>
      </c>
      <c r="BR29" s="702">
        <f>'5C. HC and Salaries - Support'!BU108</f>
        <v/>
      </c>
      <c r="BS29" s="702">
        <f>'5C. HC and Salaries - Support'!BV108</f>
        <v/>
      </c>
      <c r="BT29" s="702">
        <f>'5C. HC and Salaries - Support'!BW108</f>
        <v/>
      </c>
      <c r="BU29" s="702">
        <f>'5C. HC and Salaries - Support'!BX108</f>
        <v/>
      </c>
      <c r="BV29" s="702">
        <f>'5C. HC and Salaries - Support'!BY108</f>
        <v/>
      </c>
      <c r="BW29" s="702">
        <f>'5C. HC and Salaries - Support'!BZ108</f>
        <v/>
      </c>
      <c r="BX29" s="702">
        <f>'5C. HC and Salaries - Support'!CA108</f>
        <v/>
      </c>
      <c r="BY29" s="702">
        <f>'5C. HC and Salaries - Support'!CB108</f>
        <v/>
      </c>
      <c r="BZ29" s="702">
        <f>'5C. HC and Salaries - Support'!CC108</f>
        <v/>
      </c>
      <c r="CA29" s="765">
        <f>'5C. HC and Salaries - Support'!CD108</f>
        <v/>
      </c>
      <c r="CB29" s="726" t="n"/>
      <c r="CC29" s="702">
        <f>'5C. HC and Salaries - Support'!CF108</f>
        <v/>
      </c>
      <c r="CD29" s="702">
        <f>'5C. HC and Salaries - Support'!CG108</f>
        <v/>
      </c>
      <c r="CE29" s="702">
        <f>'5C. HC and Salaries - Support'!CH108</f>
        <v/>
      </c>
      <c r="CF29" s="702">
        <f>'5C. HC and Salaries - Support'!CI108</f>
        <v/>
      </c>
      <c r="CG29" s="702">
        <f>'5C. HC and Salaries - Support'!CJ108</f>
        <v/>
      </c>
      <c r="CH29" s="702">
        <f>'5C. HC and Salaries - Support'!CK108</f>
        <v/>
      </c>
      <c r="CI29" s="702">
        <f>'5C. HC and Salaries - Support'!CL108</f>
        <v/>
      </c>
      <c r="CJ29" s="702">
        <f>'5C. HC and Salaries - Support'!CM108</f>
        <v/>
      </c>
      <c r="CK29" s="702">
        <f>'5C. HC and Salaries - Support'!CN108</f>
        <v/>
      </c>
      <c r="CL29" s="702">
        <f>'5C. HC and Salaries - Support'!CO108</f>
        <v/>
      </c>
      <c r="CM29" s="702">
        <f>'5C. HC and Salaries - Support'!CP108</f>
        <v/>
      </c>
      <c r="CN29" s="702">
        <f>'5C. HC and Salaries - Support'!CQ108</f>
        <v/>
      </c>
      <c r="CO29" s="765">
        <f>'5C. HC and Salaries - Support'!CR108</f>
        <v/>
      </c>
      <c r="CP29" s="726" t="n"/>
      <c r="CQ29" s="702">
        <f>'5C. HC and Salaries - Support'!CT108</f>
        <v/>
      </c>
      <c r="CR29" s="702">
        <f>'5C. HC and Salaries - Support'!CU108</f>
        <v/>
      </c>
      <c r="CS29" s="702">
        <f>'5C. HC and Salaries - Support'!CV108</f>
        <v/>
      </c>
      <c r="CT29" s="702">
        <f>'5C. HC and Salaries - Support'!CW108</f>
        <v/>
      </c>
      <c r="CU29" s="702">
        <f>'5C. HC and Salaries - Support'!CX108</f>
        <v/>
      </c>
      <c r="CV29" s="702">
        <f>'5C. HC and Salaries - Support'!CY108</f>
        <v/>
      </c>
      <c r="CW29" s="702">
        <f>'5C. HC and Salaries - Support'!CZ108</f>
        <v/>
      </c>
      <c r="CX29" s="702">
        <f>'5C. HC and Salaries - Support'!DA108</f>
        <v/>
      </c>
      <c r="CY29" s="702">
        <f>'5C. HC and Salaries - Support'!DB108</f>
        <v/>
      </c>
      <c r="CZ29" s="702">
        <f>'5C. HC and Salaries - Support'!DC108</f>
        <v/>
      </c>
      <c r="DA29" s="702">
        <f>'5C. HC and Salaries - Support'!DD108</f>
        <v/>
      </c>
      <c r="DB29" s="702">
        <f>'5C. HC and Salaries - Support'!DE108</f>
        <v/>
      </c>
      <c r="DC29" s="765">
        <f>'5C. HC and Salaries - Support'!DF108</f>
        <v/>
      </c>
    </row>
    <row r="30" ht="3" customHeight="1" s="1883">
      <c r="B30" s="726" t="n"/>
      <c r="C30" s="726" t="n"/>
      <c r="D30" s="726" t="n"/>
      <c r="E30" s="726" t="n"/>
      <c r="F30" s="726" t="n"/>
      <c r="G30" s="726" t="n"/>
      <c r="H30" s="726" t="n"/>
      <c r="I30" s="726" t="n"/>
      <c r="J30" s="726" t="n"/>
      <c r="K30" s="726" t="n"/>
      <c r="L30" s="726" t="n"/>
      <c r="M30" s="726" t="n"/>
      <c r="N30" s="726" t="n"/>
      <c r="O30" s="726" t="n"/>
      <c r="P30" s="726" t="n"/>
      <c r="Q30" s="726" t="n"/>
      <c r="R30" s="726" t="n"/>
      <c r="S30" s="726" t="n"/>
      <c r="T30" s="726" t="n"/>
      <c r="U30" s="726" t="n"/>
      <c r="V30" s="726" t="n"/>
      <c r="W30" s="726" t="n"/>
      <c r="X30" s="726" t="n"/>
      <c r="Y30" s="734" t="n"/>
      <c r="Z30" s="734" t="n"/>
      <c r="AA30" s="734" t="n"/>
      <c r="AB30" s="734" t="n"/>
      <c r="AC30" s="734" t="n"/>
      <c r="AD30" s="734" t="n"/>
      <c r="AE30" s="734" t="n"/>
      <c r="AF30" s="734" t="n"/>
      <c r="AG30" s="734" t="n"/>
      <c r="AH30" s="734" t="n"/>
      <c r="AI30" s="734" t="n"/>
      <c r="AJ30" s="734" t="n"/>
      <c r="AK30" s="798" t="n"/>
      <c r="AL30" s="726" t="n"/>
      <c r="AM30" s="734" t="n"/>
      <c r="AN30" s="734" t="n"/>
      <c r="AO30" s="734" t="n"/>
      <c r="AP30" s="734" t="n"/>
      <c r="AQ30" s="734" t="n"/>
      <c r="AR30" s="734" t="n"/>
      <c r="AS30" s="734" t="n"/>
      <c r="AT30" s="734" t="n"/>
      <c r="AU30" s="734" t="n"/>
      <c r="AV30" s="734" t="n"/>
      <c r="AW30" s="734" t="n"/>
      <c r="AX30" s="734" t="n"/>
      <c r="AY30" s="798" t="n"/>
      <c r="AZ30" s="726" t="n"/>
      <c r="BA30" s="734" t="n"/>
      <c r="BB30" s="734" t="n"/>
      <c r="BC30" s="734" t="n"/>
      <c r="BD30" s="734" t="n"/>
      <c r="BE30" s="734" t="n"/>
      <c r="BF30" s="734" t="n"/>
      <c r="BG30" s="734" t="n"/>
      <c r="BH30" s="734" t="n"/>
      <c r="BI30" s="734" t="n"/>
      <c r="BJ30" s="734" t="n"/>
      <c r="BK30" s="734" t="n"/>
      <c r="BL30" s="734" t="n"/>
      <c r="BM30" s="798" t="n"/>
      <c r="BN30" s="726" t="n"/>
      <c r="BO30" s="734" t="n"/>
      <c r="BP30" s="734" t="n"/>
      <c r="BQ30" s="734" t="n"/>
      <c r="BR30" s="734" t="n"/>
      <c r="BS30" s="734" t="n"/>
      <c r="BT30" s="734" t="n"/>
      <c r="BU30" s="734" t="n"/>
      <c r="BV30" s="734" t="n"/>
      <c r="BW30" s="734" t="n"/>
      <c r="BX30" s="734" t="n"/>
      <c r="BY30" s="734" t="n"/>
      <c r="BZ30" s="734" t="n"/>
      <c r="CA30" s="798" t="n"/>
      <c r="CB30" s="726" t="n"/>
      <c r="CC30" s="734" t="n"/>
      <c r="CD30" s="734" t="n"/>
      <c r="CE30" s="734" t="n"/>
      <c r="CF30" s="734" t="n"/>
      <c r="CG30" s="734" t="n"/>
      <c r="CH30" s="734" t="n"/>
      <c r="CI30" s="734" t="n"/>
      <c r="CJ30" s="734" t="n"/>
      <c r="CK30" s="734" t="n"/>
      <c r="CL30" s="734" t="n"/>
      <c r="CM30" s="734" t="n"/>
      <c r="CN30" s="734" t="n"/>
      <c r="CO30" s="798" t="n"/>
      <c r="CP30" s="726" t="n"/>
      <c r="CQ30" s="734" t="n"/>
      <c r="CR30" s="734" t="n"/>
      <c r="CS30" s="734" t="n"/>
      <c r="CT30" s="734" t="n"/>
      <c r="CU30" s="734" t="n"/>
      <c r="CV30" s="734" t="n"/>
      <c r="CW30" s="734" t="n"/>
      <c r="CX30" s="734" t="n"/>
      <c r="CY30" s="734" t="n"/>
      <c r="CZ30" s="734" t="n"/>
      <c r="DA30" s="734" t="n"/>
      <c r="DB30" s="734" t="n"/>
      <c r="DC30" s="798" t="n"/>
    </row>
    <row r="31" ht="3" customHeight="1" s="1883">
      <c r="B31" s="726" t="n"/>
      <c r="C31" s="726" t="n"/>
      <c r="D31" s="726" t="n"/>
      <c r="E31" s="726" t="n"/>
      <c r="F31" s="726" t="n"/>
      <c r="G31" s="726" t="n"/>
      <c r="H31" s="726" t="n"/>
      <c r="I31" s="726" t="n"/>
      <c r="J31" s="726" t="n"/>
      <c r="K31" s="726" t="n"/>
      <c r="L31" s="726" t="n"/>
      <c r="M31" s="726" t="n"/>
      <c r="N31" s="726" t="n"/>
      <c r="O31" s="726" t="n"/>
      <c r="P31" s="726" t="n"/>
      <c r="Q31" s="726" t="n"/>
      <c r="R31" s="726" t="n"/>
      <c r="S31" s="726" t="n"/>
      <c r="T31" s="726" t="n"/>
      <c r="U31" s="726" t="n"/>
      <c r="V31" s="726" t="n"/>
      <c r="W31" s="726" t="n"/>
      <c r="X31" s="726" t="n"/>
      <c r="Y31" s="726" t="n"/>
      <c r="Z31" s="726" t="n"/>
      <c r="AA31" s="726" t="n"/>
      <c r="AB31" s="726" t="n"/>
      <c r="AC31" s="726" t="n"/>
      <c r="AD31" s="726" t="n"/>
      <c r="AE31" s="726" t="n"/>
      <c r="AF31" s="726" t="n"/>
      <c r="AG31" s="726" t="n"/>
      <c r="AH31" s="726" t="n"/>
      <c r="AI31" s="726" t="n"/>
      <c r="AJ31" s="726" t="n"/>
      <c r="AK31" s="733" t="n"/>
      <c r="AL31" s="726" t="n"/>
      <c r="AM31" s="726" t="n"/>
      <c r="AN31" s="726" t="n"/>
      <c r="AO31" s="726" t="n"/>
      <c r="AP31" s="726" t="n"/>
      <c r="AQ31" s="726" t="n"/>
      <c r="AR31" s="726" t="n"/>
      <c r="AS31" s="726" t="n"/>
      <c r="AT31" s="726" t="n"/>
      <c r="AU31" s="726" t="n"/>
      <c r="AV31" s="726" t="n"/>
      <c r="AW31" s="726" t="n"/>
      <c r="AX31" s="726" t="n"/>
      <c r="AY31" s="733" t="n"/>
      <c r="AZ31" s="726" t="n"/>
      <c r="BA31" s="726" t="n"/>
      <c r="BB31" s="726" t="n"/>
      <c r="BC31" s="726" t="n"/>
      <c r="BD31" s="726" t="n"/>
      <c r="BE31" s="726" t="n"/>
      <c r="BF31" s="726" t="n"/>
      <c r="BG31" s="726" t="n"/>
      <c r="BH31" s="726" t="n"/>
      <c r="BI31" s="726" t="n"/>
      <c r="BJ31" s="726" t="n"/>
      <c r="BK31" s="726" t="n"/>
      <c r="BL31" s="726" t="n"/>
      <c r="BM31" s="733" t="n"/>
      <c r="BN31" s="726" t="n"/>
      <c r="BO31" s="726" t="n"/>
      <c r="BP31" s="726" t="n"/>
      <c r="BQ31" s="726" t="n"/>
      <c r="BR31" s="726" t="n"/>
      <c r="BS31" s="726" t="n"/>
      <c r="BT31" s="726" t="n"/>
      <c r="BU31" s="726" t="n"/>
      <c r="BV31" s="726" t="n"/>
      <c r="BW31" s="726" t="n"/>
      <c r="BX31" s="726" t="n"/>
      <c r="BY31" s="726" t="n"/>
      <c r="BZ31" s="726" t="n"/>
      <c r="CA31" s="733" t="n"/>
      <c r="CB31" s="726" t="n"/>
      <c r="CC31" s="726" t="n"/>
      <c r="CD31" s="726" t="n"/>
      <c r="CE31" s="726" t="n"/>
      <c r="CF31" s="726" t="n"/>
      <c r="CG31" s="726" t="n"/>
      <c r="CH31" s="726" t="n"/>
      <c r="CI31" s="726" t="n"/>
      <c r="CJ31" s="726" t="n"/>
      <c r="CK31" s="726" t="n"/>
      <c r="CL31" s="726" t="n"/>
      <c r="CM31" s="726" t="n"/>
      <c r="CN31" s="726" t="n"/>
      <c r="CO31" s="733" t="n"/>
      <c r="CP31" s="726" t="n"/>
      <c r="CQ31" s="726" t="n"/>
      <c r="CR31" s="726" t="n"/>
      <c r="CS31" s="726" t="n"/>
      <c r="CT31" s="726" t="n"/>
      <c r="CU31" s="726" t="n"/>
      <c r="CV31" s="726" t="n"/>
      <c r="CW31" s="726" t="n"/>
      <c r="CX31" s="726" t="n"/>
      <c r="CY31" s="726" t="n"/>
      <c r="CZ31" s="726" t="n"/>
      <c r="DA31" s="726" t="n"/>
      <c r="DB31" s="726" t="n"/>
      <c r="DC31" s="733" t="n"/>
    </row>
    <row r="32" ht="15" customHeight="1" s="1883">
      <c r="B32" s="726" t="n"/>
      <c r="C32" s="726" t="n"/>
      <c r="D32" s="726" t="n"/>
      <c r="E32" s="790" t="inlineStr">
        <is>
          <t>∑, CONUS</t>
        </is>
      </c>
      <c r="F32" s="790" t="n"/>
      <c r="G32" s="790" t="n"/>
      <c r="H32" s="726" t="n"/>
      <c r="I32" s="726" t="n"/>
      <c r="J32" s="726" t="n"/>
      <c r="K32" s="726" t="n"/>
      <c r="L32" s="726" t="n"/>
      <c r="M32" s="726" t="n"/>
      <c r="N32" s="726" t="n"/>
      <c r="O32" s="726" t="n"/>
      <c r="P32" s="726" t="n"/>
      <c r="Q32" s="726" t="n"/>
      <c r="R32" s="726" t="n"/>
      <c r="S32" s="726" t="n"/>
      <c r="T32" s="726" t="n"/>
      <c r="U32" s="726" t="n"/>
      <c r="V32" s="726" t="n"/>
      <c r="W32" s="726" t="n"/>
      <c r="X32" s="726" t="n"/>
      <c r="Y32" s="765">
        <f>SUM(Y27:Y29)</f>
        <v/>
      </c>
      <c r="Z32" s="765">
        <f>SUM(Z27:Z29)</f>
        <v/>
      </c>
      <c r="AA32" s="765">
        <f>SUM(AA27:AA29)</f>
        <v/>
      </c>
      <c r="AB32" s="765">
        <f>SUM(AB27:AB29)</f>
        <v/>
      </c>
      <c r="AC32" s="765">
        <f>SUM(AC27:AC29)</f>
        <v/>
      </c>
      <c r="AD32" s="765">
        <f>SUM(AD27:AD29)</f>
        <v/>
      </c>
      <c r="AE32" s="765">
        <f>SUM(AE27:AE29)</f>
        <v/>
      </c>
      <c r="AF32" s="765">
        <f>SUM(AF27:AF29)</f>
        <v/>
      </c>
      <c r="AG32" s="765">
        <f>SUM(AG27:AG29)</f>
        <v/>
      </c>
      <c r="AH32" s="765">
        <f>SUM(AH27:AH29)</f>
        <v/>
      </c>
      <c r="AI32" s="765">
        <f>SUM(AI27:AI29)</f>
        <v/>
      </c>
      <c r="AJ32" s="765">
        <f>SUM(AJ27:AJ29)</f>
        <v/>
      </c>
      <c r="AK32" s="765">
        <f>SUM(AK27:AK29)</f>
        <v/>
      </c>
      <c r="AL32" s="726" t="n"/>
      <c r="AM32" s="765">
        <f>SUM(AM27:AM29)</f>
        <v/>
      </c>
      <c r="AN32" s="765">
        <f>SUM(AN27:AN29)</f>
        <v/>
      </c>
      <c r="AO32" s="765">
        <f>SUM(AO27:AO29)</f>
        <v/>
      </c>
      <c r="AP32" s="765">
        <f>SUM(AP27:AP29)</f>
        <v/>
      </c>
      <c r="AQ32" s="765">
        <f>SUM(AQ27:AQ29)</f>
        <v/>
      </c>
      <c r="AR32" s="765">
        <f>SUM(AR27:AR29)</f>
        <v/>
      </c>
      <c r="AS32" s="765">
        <f>SUM(AS27:AS29)</f>
        <v/>
      </c>
      <c r="AT32" s="765">
        <f>SUM(AT27:AT29)</f>
        <v/>
      </c>
      <c r="AU32" s="765">
        <f>SUM(AU27:AU29)</f>
        <v/>
      </c>
      <c r="AV32" s="765">
        <f>SUM(AV27:AV29)</f>
        <v/>
      </c>
      <c r="AW32" s="765">
        <f>SUM(AW27:AW29)</f>
        <v/>
      </c>
      <c r="AX32" s="765">
        <f>SUM(AX27:AX29)</f>
        <v/>
      </c>
      <c r="AY32" s="765">
        <f>SUM(AY27:AY29)</f>
        <v/>
      </c>
      <c r="AZ32" s="726" t="n"/>
      <c r="BA32" s="765">
        <f>SUM(BA27:BA29)</f>
        <v/>
      </c>
      <c r="BB32" s="765">
        <f>SUM(BB27:BB29)</f>
        <v/>
      </c>
      <c r="BC32" s="765">
        <f>SUM(BC27:BC29)</f>
        <v/>
      </c>
      <c r="BD32" s="765">
        <f>SUM(BD27:BD29)</f>
        <v/>
      </c>
      <c r="BE32" s="765">
        <f>SUM(BE27:BE29)</f>
        <v/>
      </c>
      <c r="BF32" s="765">
        <f>SUM(BF27:BF29)</f>
        <v/>
      </c>
      <c r="BG32" s="765">
        <f>SUM(BG27:BG29)</f>
        <v/>
      </c>
      <c r="BH32" s="765">
        <f>SUM(BH27:BH29)</f>
        <v/>
      </c>
      <c r="BI32" s="765">
        <f>SUM(BI27:BI29)</f>
        <v/>
      </c>
      <c r="BJ32" s="765">
        <f>SUM(BJ27:BJ29)</f>
        <v/>
      </c>
      <c r="BK32" s="765">
        <f>SUM(BK27:BK29)</f>
        <v/>
      </c>
      <c r="BL32" s="765">
        <f>SUM(BL27:BL29)</f>
        <v/>
      </c>
      <c r="BM32" s="765">
        <f>SUM(BM27:BM29)</f>
        <v/>
      </c>
      <c r="BN32" s="726" t="n"/>
      <c r="BO32" s="765">
        <f>SUM(BO27:BO29)</f>
        <v/>
      </c>
      <c r="BP32" s="765">
        <f>SUM(BP27:BP29)</f>
        <v/>
      </c>
      <c r="BQ32" s="765">
        <f>SUM(BQ27:BQ29)</f>
        <v/>
      </c>
      <c r="BR32" s="765">
        <f>SUM(BR27:BR29)</f>
        <v/>
      </c>
      <c r="BS32" s="765">
        <f>SUM(BS27:BS29)</f>
        <v/>
      </c>
      <c r="BT32" s="765">
        <f>SUM(BT27:BT29)</f>
        <v/>
      </c>
      <c r="BU32" s="765">
        <f>SUM(BU27:BU29)</f>
        <v/>
      </c>
      <c r="BV32" s="765">
        <f>SUM(BV27:BV29)</f>
        <v/>
      </c>
      <c r="BW32" s="765">
        <f>SUM(BW27:BW29)</f>
        <v/>
      </c>
      <c r="BX32" s="765">
        <f>SUM(BX27:BX29)</f>
        <v/>
      </c>
      <c r="BY32" s="765">
        <f>SUM(BY27:BY29)</f>
        <v/>
      </c>
      <c r="BZ32" s="765">
        <f>SUM(BZ27:BZ29)</f>
        <v/>
      </c>
      <c r="CA32" s="765">
        <f>SUM(CA27:CA29)</f>
        <v/>
      </c>
      <c r="CB32" s="726" t="n"/>
      <c r="CC32" s="765">
        <f>SUM(CC27:CC29)</f>
        <v/>
      </c>
      <c r="CD32" s="765">
        <f>SUM(CD27:CD29)</f>
        <v/>
      </c>
      <c r="CE32" s="765">
        <f>SUM(CE27:CE29)</f>
        <v/>
      </c>
      <c r="CF32" s="765">
        <f>SUM(CF27:CF29)</f>
        <v/>
      </c>
      <c r="CG32" s="765">
        <f>SUM(CG27:CG29)</f>
        <v/>
      </c>
      <c r="CH32" s="765">
        <f>SUM(CH27:CH29)</f>
        <v/>
      </c>
      <c r="CI32" s="765">
        <f>SUM(CI27:CI29)</f>
        <v/>
      </c>
      <c r="CJ32" s="765">
        <f>SUM(CJ27:CJ29)</f>
        <v/>
      </c>
      <c r="CK32" s="765">
        <f>SUM(CK27:CK29)</f>
        <v/>
      </c>
      <c r="CL32" s="765">
        <f>SUM(CL27:CL29)</f>
        <v/>
      </c>
      <c r="CM32" s="765">
        <f>SUM(CM27:CM29)</f>
        <v/>
      </c>
      <c r="CN32" s="765">
        <f>SUM(CN27:CN29)</f>
        <v/>
      </c>
      <c r="CO32" s="765">
        <f>SUM(CO27:CO29)</f>
        <v/>
      </c>
      <c r="CP32" s="726" t="n"/>
      <c r="CQ32" s="765">
        <f>SUM(CQ27:CQ29)</f>
        <v/>
      </c>
      <c r="CR32" s="765">
        <f>SUM(CR27:CR29)</f>
        <v/>
      </c>
      <c r="CS32" s="765">
        <f>SUM(CS27:CS29)</f>
        <v/>
      </c>
      <c r="CT32" s="765">
        <f>SUM(CT27:CT29)</f>
        <v/>
      </c>
      <c r="CU32" s="765">
        <f>SUM(CU27:CU29)</f>
        <v/>
      </c>
      <c r="CV32" s="765">
        <f>SUM(CV27:CV29)</f>
        <v/>
      </c>
      <c r="CW32" s="765">
        <f>SUM(CW27:CW29)</f>
        <v/>
      </c>
      <c r="CX32" s="765">
        <f>SUM(CX27:CX29)</f>
        <v/>
      </c>
      <c r="CY32" s="765">
        <f>SUM(CY27:CY29)</f>
        <v/>
      </c>
      <c r="CZ32" s="765">
        <f>SUM(CZ27:CZ29)</f>
        <v/>
      </c>
      <c r="DA32" s="765">
        <f>SUM(DA27:DA29)</f>
        <v/>
      </c>
      <c r="DB32" s="765">
        <f>SUM(DB27:DB29)</f>
        <v/>
      </c>
      <c r="DC32" s="765">
        <f>SUM(DC27:DC29)</f>
        <v/>
      </c>
    </row>
    <row r="37" ht="15" customHeight="1" s="1883">
      <c r="B37" s="796" t="inlineStr">
        <is>
          <t>●</t>
        </is>
      </c>
      <c r="C37" s="795" t="inlineStr">
        <is>
          <t>OCONUS</t>
        </is>
      </c>
      <c r="D37" s="773" t="n"/>
      <c r="E37" s="773" t="n"/>
      <c r="F37" s="726" t="n"/>
      <c r="G37" s="726" t="n"/>
      <c r="H37" s="726" t="n"/>
      <c r="I37" s="726" t="n"/>
      <c r="J37" s="726" t="n"/>
      <c r="K37" s="726" t="n"/>
      <c r="L37" s="726" t="n"/>
      <c r="M37" s="726" t="n"/>
      <c r="N37" s="726" t="n"/>
      <c r="O37" s="726" t="n"/>
      <c r="P37" s="726" t="n"/>
      <c r="Q37" s="726" t="n"/>
      <c r="R37" s="726" t="n"/>
      <c r="S37" s="726" t="n"/>
      <c r="T37" s="726" t="n"/>
      <c r="U37" s="726" t="n"/>
      <c r="V37" s="726" t="n"/>
      <c r="W37" s="726" t="n"/>
      <c r="X37" s="726" t="n"/>
      <c r="Y37" s="726" t="n"/>
      <c r="Z37" s="726" t="n"/>
      <c r="AA37" s="726" t="n"/>
      <c r="AB37" s="726" t="n"/>
      <c r="AC37" s="726" t="n"/>
      <c r="AD37" s="726" t="n"/>
      <c r="AE37" s="726" t="n"/>
      <c r="AF37" s="726" t="n"/>
      <c r="AG37" s="726" t="n"/>
      <c r="AH37" s="726" t="n"/>
      <c r="AI37" s="726" t="n"/>
      <c r="AJ37" s="726" t="n"/>
      <c r="AK37" s="733" t="n"/>
      <c r="AL37" s="726" t="n"/>
      <c r="AM37" s="726" t="n"/>
      <c r="AN37" s="726" t="n"/>
      <c r="AO37" s="726" t="n"/>
      <c r="AP37" s="726" t="n"/>
      <c r="AQ37" s="726" t="n"/>
      <c r="AR37" s="726" t="n"/>
      <c r="AS37" s="726" t="n"/>
      <c r="AT37" s="726" t="n"/>
      <c r="AU37" s="726" t="n"/>
      <c r="AV37" s="726" t="n"/>
      <c r="AW37" s="726" t="n"/>
      <c r="AX37" s="726" t="n"/>
      <c r="AY37" s="733" t="n"/>
      <c r="AZ37" s="726" t="n"/>
      <c r="BA37" s="726" t="n"/>
      <c r="BB37" s="726" t="n"/>
      <c r="BC37" s="726" t="n"/>
      <c r="BD37" s="726" t="n"/>
      <c r="BE37" s="726" t="n"/>
      <c r="BF37" s="726" t="n"/>
      <c r="BG37" s="726" t="n"/>
      <c r="BH37" s="726" t="n"/>
      <c r="BI37" s="726" t="n"/>
      <c r="BJ37" s="726" t="n"/>
      <c r="BK37" s="726" t="n"/>
      <c r="BL37" s="726" t="n"/>
      <c r="BM37" s="733" t="n"/>
      <c r="BN37" s="726" t="n"/>
      <c r="BO37" s="726" t="n"/>
      <c r="BP37" s="726" t="n"/>
      <c r="BQ37" s="726" t="n"/>
      <c r="BR37" s="726" t="n"/>
      <c r="BS37" s="726" t="n"/>
      <c r="BT37" s="726" t="n"/>
      <c r="BU37" s="726" t="n"/>
      <c r="BV37" s="726" t="n"/>
      <c r="BW37" s="726" t="n"/>
      <c r="BX37" s="726" t="n"/>
      <c r="BY37" s="726" t="n"/>
      <c r="BZ37" s="726" t="n"/>
      <c r="CA37" s="733" t="n"/>
      <c r="CB37" s="726" t="n"/>
      <c r="CC37" s="726" t="n"/>
      <c r="CD37" s="726" t="n"/>
      <c r="CE37" s="726" t="n"/>
      <c r="CF37" s="726" t="n"/>
      <c r="CG37" s="726" t="n"/>
      <c r="CH37" s="726" t="n"/>
      <c r="CI37" s="726" t="n"/>
      <c r="CJ37" s="726" t="n"/>
      <c r="CK37" s="726" t="n"/>
      <c r="CL37" s="726" t="n"/>
      <c r="CM37" s="726" t="n"/>
      <c r="CN37" s="726" t="n"/>
      <c r="CO37" s="733" t="n"/>
      <c r="CP37" s="726" t="n"/>
      <c r="CQ37" s="726" t="n"/>
      <c r="CR37" s="726" t="n"/>
      <c r="CS37" s="726" t="n"/>
      <c r="CT37" s="726" t="n"/>
      <c r="CU37" s="726" t="n"/>
      <c r="CV37" s="726" t="n"/>
      <c r="CW37" s="726" t="n"/>
      <c r="CX37" s="726" t="n"/>
      <c r="CY37" s="726" t="n"/>
      <c r="CZ37" s="726" t="n"/>
      <c r="DA37" s="726" t="n"/>
      <c r="DB37" s="726" t="n"/>
      <c r="DC37" s="733" t="n"/>
    </row>
    <row r="38" ht="15" customHeight="1" s="1883">
      <c r="B38" s="773" t="n"/>
      <c r="C38" s="796" t="inlineStr">
        <is>
          <t>●</t>
        </is>
      </c>
      <c r="D38" s="773" t="inlineStr">
        <is>
          <t>Senior Management</t>
        </is>
      </c>
      <c r="E38" s="773" t="n"/>
      <c r="F38" s="726" t="n"/>
      <c r="G38" s="726" t="n"/>
      <c r="H38" s="726" t="n"/>
      <c r="I38" s="726" t="n"/>
      <c r="J38" s="726" t="n"/>
      <c r="K38" s="726" t="n"/>
      <c r="L38" s="726" t="n"/>
      <c r="M38" s="726" t="n"/>
      <c r="N38" s="726" t="n"/>
      <c r="O38" s="726" t="n"/>
      <c r="P38" s="726" t="n"/>
      <c r="Q38" s="726" t="n"/>
      <c r="R38" s="726" t="n"/>
      <c r="S38" s="726" t="n"/>
      <c r="T38" s="726" t="n"/>
      <c r="U38" s="726" t="n"/>
      <c r="V38" s="726" t="n"/>
      <c r="W38" s="726" t="n"/>
      <c r="X38" s="726" t="n"/>
      <c r="Y38" s="793">
        <f>'5B. HC and Salaries - Mgmt.'!AC55</f>
        <v/>
      </c>
      <c r="Z38" s="793">
        <f>'5B. HC and Salaries - Mgmt.'!AD55</f>
        <v/>
      </c>
      <c r="AA38" s="793">
        <f>'5B. HC and Salaries - Mgmt.'!AE55</f>
        <v/>
      </c>
      <c r="AB38" s="793">
        <f>'5B. HC and Salaries - Mgmt.'!AF55</f>
        <v/>
      </c>
      <c r="AC38" s="793">
        <f>'5B. HC and Salaries - Mgmt.'!AG55</f>
        <v/>
      </c>
      <c r="AD38" s="793">
        <f>'5B. HC and Salaries - Mgmt.'!AH55</f>
        <v/>
      </c>
      <c r="AE38" s="793">
        <f>'5B. HC and Salaries - Mgmt.'!AI55</f>
        <v/>
      </c>
      <c r="AF38" s="793">
        <f>'5B. HC and Salaries - Mgmt.'!AJ55</f>
        <v/>
      </c>
      <c r="AG38" s="793">
        <f>'5B. HC and Salaries - Mgmt.'!AK55</f>
        <v/>
      </c>
      <c r="AH38" s="793">
        <f>'5B. HC and Salaries - Mgmt.'!AL55</f>
        <v/>
      </c>
      <c r="AI38" s="793">
        <f>'5B. HC and Salaries - Mgmt.'!AM55</f>
        <v/>
      </c>
      <c r="AJ38" s="793">
        <f>'5B. HC and Salaries - Mgmt.'!AN55</f>
        <v/>
      </c>
      <c r="AK38" s="794">
        <f>'5B. HC and Salaries - Mgmt.'!AO55</f>
        <v/>
      </c>
      <c r="AL38" s="726" t="n"/>
      <c r="AM38" s="793">
        <f>'5B. HC and Salaries - Mgmt.'!AQ55</f>
        <v/>
      </c>
      <c r="AN38" s="793">
        <f>'5B. HC and Salaries - Mgmt.'!AR55</f>
        <v/>
      </c>
      <c r="AO38" s="793">
        <f>'5B. HC and Salaries - Mgmt.'!AS55</f>
        <v/>
      </c>
      <c r="AP38" s="793">
        <f>'5B. HC and Salaries - Mgmt.'!AT55</f>
        <v/>
      </c>
      <c r="AQ38" s="793">
        <f>'5B. HC and Salaries - Mgmt.'!AU55</f>
        <v/>
      </c>
      <c r="AR38" s="793">
        <f>'5B. HC and Salaries - Mgmt.'!AV55</f>
        <v/>
      </c>
      <c r="AS38" s="793">
        <f>'5B. HC and Salaries - Mgmt.'!AW55</f>
        <v/>
      </c>
      <c r="AT38" s="793">
        <f>'5B. HC and Salaries - Mgmt.'!AX55</f>
        <v/>
      </c>
      <c r="AU38" s="793">
        <f>'5B. HC and Salaries - Mgmt.'!AY55</f>
        <v/>
      </c>
      <c r="AV38" s="793">
        <f>'5B. HC and Salaries - Mgmt.'!AZ55</f>
        <v/>
      </c>
      <c r="AW38" s="793">
        <f>'5B. HC and Salaries - Mgmt.'!BA55</f>
        <v/>
      </c>
      <c r="AX38" s="793">
        <f>'5B. HC and Salaries - Mgmt.'!BB55</f>
        <v/>
      </c>
      <c r="AY38" s="794">
        <f>'5B. HC and Salaries - Mgmt.'!BC55</f>
        <v/>
      </c>
      <c r="AZ38" s="726" t="n"/>
      <c r="BA38" s="793">
        <f>'5B. HC and Salaries - Mgmt.'!BE55</f>
        <v/>
      </c>
      <c r="BB38" s="793">
        <f>'5B. HC and Salaries - Mgmt.'!BF55</f>
        <v/>
      </c>
      <c r="BC38" s="793">
        <f>'5B. HC and Salaries - Mgmt.'!BG55</f>
        <v/>
      </c>
      <c r="BD38" s="793">
        <f>'5B. HC and Salaries - Mgmt.'!BH55</f>
        <v/>
      </c>
      <c r="BE38" s="793">
        <f>'5B. HC and Salaries - Mgmt.'!BI55</f>
        <v/>
      </c>
      <c r="BF38" s="793">
        <f>'5B. HC and Salaries - Mgmt.'!BJ55</f>
        <v/>
      </c>
      <c r="BG38" s="793">
        <f>'5B. HC and Salaries - Mgmt.'!BK55</f>
        <v/>
      </c>
      <c r="BH38" s="793">
        <f>'5B. HC and Salaries - Mgmt.'!BL55</f>
        <v/>
      </c>
      <c r="BI38" s="793">
        <f>'5B. HC and Salaries - Mgmt.'!BM55</f>
        <v/>
      </c>
      <c r="BJ38" s="793">
        <f>'5B. HC and Salaries - Mgmt.'!BN55</f>
        <v/>
      </c>
      <c r="BK38" s="793">
        <f>'5B. HC and Salaries - Mgmt.'!BO55</f>
        <v/>
      </c>
      <c r="BL38" s="793">
        <f>'5B. HC and Salaries - Mgmt.'!BP55</f>
        <v/>
      </c>
      <c r="BM38" s="794">
        <f>'5B. HC and Salaries - Mgmt.'!BQ55</f>
        <v/>
      </c>
      <c r="BN38" s="726" t="n"/>
      <c r="BO38" s="793">
        <f>'5B. HC and Salaries - Mgmt.'!BS55</f>
        <v/>
      </c>
      <c r="BP38" s="793">
        <f>'5B. HC and Salaries - Mgmt.'!BT55</f>
        <v/>
      </c>
      <c r="BQ38" s="793">
        <f>'5B. HC and Salaries - Mgmt.'!BU55</f>
        <v/>
      </c>
      <c r="BR38" s="793">
        <f>'5B. HC and Salaries - Mgmt.'!BV55</f>
        <v/>
      </c>
      <c r="BS38" s="793">
        <f>'5B. HC and Salaries - Mgmt.'!BW55</f>
        <v/>
      </c>
      <c r="BT38" s="793">
        <f>'5B. HC and Salaries - Mgmt.'!BX55</f>
        <v/>
      </c>
      <c r="BU38" s="793">
        <f>'5B. HC and Salaries - Mgmt.'!BY55</f>
        <v/>
      </c>
      <c r="BV38" s="793">
        <f>'5B. HC and Salaries - Mgmt.'!BZ55</f>
        <v/>
      </c>
      <c r="BW38" s="793">
        <f>'5B. HC and Salaries - Mgmt.'!CA55</f>
        <v/>
      </c>
      <c r="BX38" s="793">
        <f>'5B. HC and Salaries - Mgmt.'!CB55</f>
        <v/>
      </c>
      <c r="BY38" s="793">
        <f>'5B. HC and Salaries - Mgmt.'!CC55</f>
        <v/>
      </c>
      <c r="BZ38" s="793">
        <f>'5B. HC and Salaries - Mgmt.'!CD55</f>
        <v/>
      </c>
      <c r="CA38" s="794">
        <f>'5B. HC and Salaries - Mgmt.'!CE55</f>
        <v/>
      </c>
      <c r="CB38" s="726" t="n"/>
      <c r="CC38" s="793">
        <f>'5B. HC and Salaries - Mgmt.'!CG55</f>
        <v/>
      </c>
      <c r="CD38" s="793">
        <f>'5B. HC and Salaries - Mgmt.'!CH55</f>
        <v/>
      </c>
      <c r="CE38" s="793">
        <f>'5B. HC and Salaries - Mgmt.'!CI55</f>
        <v/>
      </c>
      <c r="CF38" s="793">
        <f>'5B. HC and Salaries - Mgmt.'!CJ55</f>
        <v/>
      </c>
      <c r="CG38" s="793">
        <f>'5B. HC and Salaries - Mgmt.'!CK55</f>
        <v/>
      </c>
      <c r="CH38" s="793">
        <f>'5B. HC and Salaries - Mgmt.'!CL55</f>
        <v/>
      </c>
      <c r="CI38" s="793">
        <f>'5B. HC and Salaries - Mgmt.'!CM55</f>
        <v/>
      </c>
      <c r="CJ38" s="793">
        <f>'5B. HC and Salaries - Mgmt.'!CN55</f>
        <v/>
      </c>
      <c r="CK38" s="793">
        <f>'5B. HC and Salaries - Mgmt.'!CO55</f>
        <v/>
      </c>
      <c r="CL38" s="793">
        <f>'5B. HC and Salaries - Mgmt.'!CP55</f>
        <v/>
      </c>
      <c r="CM38" s="793">
        <f>'5B. HC and Salaries - Mgmt.'!CQ55</f>
        <v/>
      </c>
      <c r="CN38" s="793">
        <f>'5B. HC and Salaries - Mgmt.'!CR55</f>
        <v/>
      </c>
      <c r="CO38" s="794">
        <f>'5B. HC and Salaries - Mgmt.'!CS55</f>
        <v/>
      </c>
      <c r="CP38" s="726" t="n"/>
      <c r="CQ38" s="793">
        <f>'5B. HC and Salaries - Mgmt.'!CU55</f>
        <v/>
      </c>
      <c r="CR38" s="793">
        <f>'5B. HC and Salaries - Mgmt.'!CV55</f>
        <v/>
      </c>
      <c r="CS38" s="793">
        <f>'5B. HC and Salaries - Mgmt.'!CW55</f>
        <v/>
      </c>
      <c r="CT38" s="793">
        <f>'5B. HC and Salaries - Mgmt.'!CX55</f>
        <v/>
      </c>
      <c r="CU38" s="793">
        <f>'5B. HC and Salaries - Mgmt.'!CY55</f>
        <v/>
      </c>
      <c r="CV38" s="793">
        <f>'5B. HC and Salaries - Mgmt.'!CZ55</f>
        <v/>
      </c>
      <c r="CW38" s="793">
        <f>'5B. HC and Salaries - Mgmt.'!DA55</f>
        <v/>
      </c>
      <c r="CX38" s="793">
        <f>'5B. HC and Salaries - Mgmt.'!DB55</f>
        <v/>
      </c>
      <c r="CY38" s="793">
        <f>'5B. HC and Salaries - Mgmt.'!DC55</f>
        <v/>
      </c>
      <c r="CZ38" s="793">
        <f>'5B. HC and Salaries - Mgmt.'!DD55</f>
        <v/>
      </c>
      <c r="DA38" s="793">
        <f>'5B. HC and Salaries - Mgmt.'!DE55</f>
        <v/>
      </c>
      <c r="DB38" s="793">
        <f>'5B. HC and Salaries - Mgmt.'!DF55</f>
        <v/>
      </c>
      <c r="DC38" s="794">
        <f>'5B. HC and Salaries - Mgmt.'!DG55</f>
        <v/>
      </c>
    </row>
    <row r="39" ht="15" customHeight="1" s="1883">
      <c r="B39" s="773" t="n"/>
      <c r="C39" s="796" t="inlineStr">
        <is>
          <t>●</t>
        </is>
      </c>
      <c r="D39" s="773" t="inlineStr">
        <is>
          <t>Middle Management</t>
        </is>
      </c>
      <c r="E39" s="773" t="n"/>
      <c r="F39" s="726" t="n"/>
      <c r="G39" s="726" t="n"/>
      <c r="H39" s="726" t="n"/>
      <c r="I39" s="726" t="n"/>
      <c r="J39" s="726" t="n"/>
      <c r="K39" s="726" t="n"/>
      <c r="L39" s="726" t="n"/>
      <c r="M39" s="726" t="n"/>
      <c r="N39" s="726" t="n"/>
      <c r="O39" s="726" t="n"/>
      <c r="P39" s="726" t="n"/>
      <c r="Q39" s="726" t="n"/>
      <c r="R39" s="726" t="n"/>
      <c r="S39" s="726" t="n"/>
      <c r="T39" s="726" t="n"/>
      <c r="U39" s="726" t="n"/>
      <c r="V39" s="726" t="n"/>
      <c r="W39" s="726" t="n"/>
      <c r="X39" s="726" t="n"/>
      <c r="Y39" s="793">
        <f>'5B. HC and Salaries - Mgmt.'!AC157</f>
        <v/>
      </c>
      <c r="Z39" s="793">
        <f>'5B. HC and Salaries - Mgmt.'!AD157</f>
        <v/>
      </c>
      <c r="AA39" s="793">
        <f>'5B. HC and Salaries - Mgmt.'!AE157</f>
        <v/>
      </c>
      <c r="AB39" s="793">
        <f>'5B. HC and Salaries - Mgmt.'!AF157</f>
        <v/>
      </c>
      <c r="AC39" s="793">
        <f>'5B. HC and Salaries - Mgmt.'!AG157</f>
        <v/>
      </c>
      <c r="AD39" s="793">
        <f>'5B. HC and Salaries - Mgmt.'!AH157</f>
        <v/>
      </c>
      <c r="AE39" s="793">
        <f>'5B. HC and Salaries - Mgmt.'!AI157</f>
        <v/>
      </c>
      <c r="AF39" s="793">
        <f>'5B. HC and Salaries - Mgmt.'!AJ157</f>
        <v/>
      </c>
      <c r="AG39" s="793">
        <f>'5B. HC and Salaries - Mgmt.'!AK157</f>
        <v/>
      </c>
      <c r="AH39" s="793">
        <f>'5B. HC and Salaries - Mgmt.'!AL157</f>
        <v/>
      </c>
      <c r="AI39" s="793">
        <f>'5B. HC and Salaries - Mgmt.'!AM157</f>
        <v/>
      </c>
      <c r="AJ39" s="793">
        <f>'5B. HC and Salaries - Mgmt.'!AN157</f>
        <v/>
      </c>
      <c r="AK39" s="794">
        <f>'5B. HC and Salaries - Mgmt.'!AO157</f>
        <v/>
      </c>
      <c r="AL39" s="726" t="n"/>
      <c r="AM39" s="793">
        <f>'5B. HC and Salaries - Mgmt.'!AQ157</f>
        <v/>
      </c>
      <c r="AN39" s="793">
        <f>'5B. HC and Salaries - Mgmt.'!AR157</f>
        <v/>
      </c>
      <c r="AO39" s="793">
        <f>'5B. HC and Salaries - Mgmt.'!AS157</f>
        <v/>
      </c>
      <c r="AP39" s="793">
        <f>'5B. HC and Salaries - Mgmt.'!AT157</f>
        <v/>
      </c>
      <c r="AQ39" s="793">
        <f>'5B. HC and Salaries - Mgmt.'!AU157</f>
        <v/>
      </c>
      <c r="AR39" s="793">
        <f>'5B. HC and Salaries - Mgmt.'!AV157</f>
        <v/>
      </c>
      <c r="AS39" s="793">
        <f>'5B. HC and Salaries - Mgmt.'!AW157</f>
        <v/>
      </c>
      <c r="AT39" s="793">
        <f>'5B. HC and Salaries - Mgmt.'!AX157</f>
        <v/>
      </c>
      <c r="AU39" s="793">
        <f>'5B. HC and Salaries - Mgmt.'!AY157</f>
        <v/>
      </c>
      <c r="AV39" s="793">
        <f>'5B. HC and Salaries - Mgmt.'!AZ157</f>
        <v/>
      </c>
      <c r="AW39" s="793">
        <f>'5B. HC and Salaries - Mgmt.'!BA157</f>
        <v/>
      </c>
      <c r="AX39" s="793">
        <f>'5B. HC and Salaries - Mgmt.'!BB157</f>
        <v/>
      </c>
      <c r="AY39" s="794">
        <f>'5B. HC and Salaries - Mgmt.'!BC157</f>
        <v/>
      </c>
      <c r="AZ39" s="726" t="n"/>
      <c r="BA39" s="793">
        <f>'5B. HC and Salaries - Mgmt.'!BE157</f>
        <v/>
      </c>
      <c r="BB39" s="793">
        <f>'5B. HC and Salaries - Mgmt.'!BF157</f>
        <v/>
      </c>
      <c r="BC39" s="793">
        <f>'5B. HC and Salaries - Mgmt.'!BG157</f>
        <v/>
      </c>
      <c r="BD39" s="793">
        <f>'5B. HC and Salaries - Mgmt.'!BH157</f>
        <v/>
      </c>
      <c r="BE39" s="793">
        <f>'5B. HC and Salaries - Mgmt.'!BI157</f>
        <v/>
      </c>
      <c r="BF39" s="793">
        <f>'5B. HC and Salaries - Mgmt.'!BJ157</f>
        <v/>
      </c>
      <c r="BG39" s="793">
        <f>'5B. HC and Salaries - Mgmt.'!BK157</f>
        <v/>
      </c>
      <c r="BH39" s="793">
        <f>'5B. HC and Salaries - Mgmt.'!BL157</f>
        <v/>
      </c>
      <c r="BI39" s="793">
        <f>'5B. HC and Salaries - Mgmt.'!BM157</f>
        <v/>
      </c>
      <c r="BJ39" s="793">
        <f>'5B. HC and Salaries - Mgmt.'!BN157</f>
        <v/>
      </c>
      <c r="BK39" s="793">
        <f>'5B. HC and Salaries - Mgmt.'!BO157</f>
        <v/>
      </c>
      <c r="BL39" s="793">
        <f>'5B. HC and Salaries - Mgmt.'!BP157</f>
        <v/>
      </c>
      <c r="BM39" s="794">
        <f>'5B. HC and Salaries - Mgmt.'!BQ157</f>
        <v/>
      </c>
      <c r="BN39" s="726" t="n"/>
      <c r="BO39" s="793">
        <f>'5B. HC and Salaries - Mgmt.'!BS157</f>
        <v/>
      </c>
      <c r="BP39" s="793">
        <f>'5B. HC and Salaries - Mgmt.'!BT157</f>
        <v/>
      </c>
      <c r="BQ39" s="793">
        <f>'5B. HC and Salaries - Mgmt.'!BU157</f>
        <v/>
      </c>
      <c r="BR39" s="793">
        <f>'5B. HC and Salaries - Mgmt.'!BV157</f>
        <v/>
      </c>
      <c r="BS39" s="793">
        <f>'5B. HC and Salaries - Mgmt.'!BW157</f>
        <v/>
      </c>
      <c r="BT39" s="793">
        <f>'5B. HC and Salaries - Mgmt.'!BX157</f>
        <v/>
      </c>
      <c r="BU39" s="793">
        <f>'5B. HC and Salaries - Mgmt.'!BY157</f>
        <v/>
      </c>
      <c r="BV39" s="793">
        <f>'5B. HC and Salaries - Mgmt.'!BZ157</f>
        <v/>
      </c>
      <c r="BW39" s="793">
        <f>'5B. HC and Salaries - Mgmt.'!CA157</f>
        <v/>
      </c>
      <c r="BX39" s="793">
        <f>'5B. HC and Salaries - Mgmt.'!CB157</f>
        <v/>
      </c>
      <c r="BY39" s="793">
        <f>'5B. HC and Salaries - Mgmt.'!CC157</f>
        <v/>
      </c>
      <c r="BZ39" s="793">
        <f>'5B. HC and Salaries - Mgmt.'!CD157</f>
        <v/>
      </c>
      <c r="CA39" s="794">
        <f>'5B. HC and Salaries - Mgmt.'!CE157</f>
        <v/>
      </c>
      <c r="CB39" s="726" t="n"/>
      <c r="CC39" s="793">
        <f>'5B. HC and Salaries - Mgmt.'!CG157</f>
        <v/>
      </c>
      <c r="CD39" s="793">
        <f>'5B. HC and Salaries - Mgmt.'!CH157</f>
        <v/>
      </c>
      <c r="CE39" s="793">
        <f>'5B. HC and Salaries - Mgmt.'!CI157</f>
        <v/>
      </c>
      <c r="CF39" s="793">
        <f>'5B. HC and Salaries - Mgmt.'!CJ157</f>
        <v/>
      </c>
      <c r="CG39" s="793">
        <f>'5B. HC and Salaries - Mgmt.'!CK157</f>
        <v/>
      </c>
      <c r="CH39" s="793">
        <f>'5B. HC and Salaries - Mgmt.'!CL157</f>
        <v/>
      </c>
      <c r="CI39" s="793">
        <f>'5B. HC and Salaries - Mgmt.'!CM157</f>
        <v/>
      </c>
      <c r="CJ39" s="793">
        <f>'5B. HC and Salaries - Mgmt.'!CN157</f>
        <v/>
      </c>
      <c r="CK39" s="793">
        <f>'5B. HC and Salaries - Mgmt.'!CO157</f>
        <v/>
      </c>
      <c r="CL39" s="793">
        <f>'5B. HC and Salaries - Mgmt.'!CP157</f>
        <v/>
      </c>
      <c r="CM39" s="793">
        <f>'5B. HC and Salaries - Mgmt.'!CQ157</f>
        <v/>
      </c>
      <c r="CN39" s="793">
        <f>'5B. HC and Salaries - Mgmt.'!CR157</f>
        <v/>
      </c>
      <c r="CO39" s="794">
        <f>'5B. HC and Salaries - Mgmt.'!CS157</f>
        <v/>
      </c>
      <c r="CP39" s="726" t="n"/>
      <c r="CQ39" s="793">
        <f>'5B. HC and Salaries - Mgmt.'!CU157</f>
        <v/>
      </c>
      <c r="CR39" s="793">
        <f>'5B. HC and Salaries - Mgmt.'!CV157</f>
        <v/>
      </c>
      <c r="CS39" s="793">
        <f>'5B. HC and Salaries - Mgmt.'!CW157</f>
        <v/>
      </c>
      <c r="CT39" s="793">
        <f>'5B. HC and Salaries - Mgmt.'!CX157</f>
        <v/>
      </c>
      <c r="CU39" s="793">
        <f>'5B. HC and Salaries - Mgmt.'!CY157</f>
        <v/>
      </c>
      <c r="CV39" s="793">
        <f>'5B. HC and Salaries - Mgmt.'!CZ157</f>
        <v/>
      </c>
      <c r="CW39" s="793">
        <f>'5B. HC and Salaries - Mgmt.'!DA157</f>
        <v/>
      </c>
      <c r="CX39" s="793">
        <f>'5B. HC and Salaries - Mgmt.'!DB157</f>
        <v/>
      </c>
      <c r="CY39" s="793">
        <f>'5B. HC and Salaries - Mgmt.'!DC157</f>
        <v/>
      </c>
      <c r="CZ39" s="793">
        <f>'5B. HC and Salaries - Mgmt.'!DD157</f>
        <v/>
      </c>
      <c r="DA39" s="793">
        <f>'5B. HC and Salaries - Mgmt.'!DE157</f>
        <v/>
      </c>
      <c r="DB39" s="793">
        <f>'5B. HC and Salaries - Mgmt.'!DF157</f>
        <v/>
      </c>
      <c r="DC39" s="794">
        <f>'5B. HC and Salaries - Mgmt.'!DG157</f>
        <v/>
      </c>
    </row>
    <row r="40" ht="15" customHeight="1" s="1883">
      <c r="B40" s="773" t="n"/>
      <c r="C40" s="796" t="inlineStr">
        <is>
          <t>●</t>
        </is>
      </c>
      <c r="D40" s="773" t="inlineStr">
        <is>
          <t>Administration and Support</t>
        </is>
      </c>
      <c r="E40" s="773" t="n"/>
      <c r="F40" s="726" t="n"/>
      <c r="G40" s="726" t="n"/>
      <c r="H40" s="726" t="n"/>
      <c r="I40" s="726" t="n"/>
      <c r="J40" s="726" t="n"/>
      <c r="K40" s="726" t="n"/>
      <c r="L40" s="726" t="n"/>
      <c r="M40" s="726" t="n"/>
      <c r="N40" s="726" t="n"/>
      <c r="O40" s="726" t="n"/>
      <c r="P40" s="726" t="n"/>
      <c r="Q40" s="726" t="n"/>
      <c r="R40" s="726" t="n"/>
      <c r="S40" s="726" t="n"/>
      <c r="T40" s="726" t="n"/>
      <c r="U40" s="726" t="n"/>
      <c r="V40" s="726" t="n"/>
      <c r="W40" s="726" t="n"/>
      <c r="X40" s="726" t="n"/>
      <c r="Y40" s="793">
        <f>('5C. HC and Salaries - Support'!AB109)</f>
        <v/>
      </c>
      <c r="Z40" s="793">
        <f>('5C. HC and Salaries - Support'!AC109)</f>
        <v/>
      </c>
      <c r="AA40" s="793">
        <f>('5C. HC and Salaries - Support'!AD109)</f>
        <v/>
      </c>
      <c r="AB40" s="793">
        <f>('5C. HC and Salaries - Support'!AE109)</f>
        <v/>
      </c>
      <c r="AC40" s="793">
        <f>('5C. HC and Salaries - Support'!AF109)</f>
        <v/>
      </c>
      <c r="AD40" s="793">
        <f>('5C. HC and Salaries - Support'!AG109)</f>
        <v/>
      </c>
      <c r="AE40" s="793">
        <f>('5C. HC and Salaries - Support'!AH109)</f>
        <v/>
      </c>
      <c r="AF40" s="793">
        <f>('5C. HC and Salaries - Support'!AI109)</f>
        <v/>
      </c>
      <c r="AG40" s="793">
        <f>('5C. HC and Salaries - Support'!AJ109)</f>
        <v/>
      </c>
      <c r="AH40" s="793">
        <f>('5C. HC and Salaries - Support'!AK109)</f>
        <v/>
      </c>
      <c r="AI40" s="793">
        <f>('5C. HC and Salaries - Support'!AL109)</f>
        <v/>
      </c>
      <c r="AJ40" s="793">
        <f>('5C. HC and Salaries - Support'!AM109)</f>
        <v/>
      </c>
      <c r="AK40" s="794">
        <f>('5C. HC and Salaries - Support'!AN109)</f>
        <v/>
      </c>
      <c r="AL40" s="726" t="n"/>
      <c r="AM40" s="793">
        <f>('5C. HC and Salaries - Support'!AP109)</f>
        <v/>
      </c>
      <c r="AN40" s="793">
        <f>('5C. HC and Salaries - Support'!AQ109)</f>
        <v/>
      </c>
      <c r="AO40" s="793">
        <f>('5C. HC and Salaries - Support'!AR109)</f>
        <v/>
      </c>
      <c r="AP40" s="793">
        <f>('5C. HC and Salaries - Support'!AS109)</f>
        <v/>
      </c>
      <c r="AQ40" s="793">
        <f>('5C. HC and Salaries - Support'!AT109)</f>
        <v/>
      </c>
      <c r="AR40" s="793">
        <f>('5C. HC and Salaries - Support'!AU109)</f>
        <v/>
      </c>
      <c r="AS40" s="793">
        <f>('5C. HC and Salaries - Support'!AV109)</f>
        <v/>
      </c>
      <c r="AT40" s="793">
        <f>('5C. HC and Salaries - Support'!AW109)</f>
        <v/>
      </c>
      <c r="AU40" s="793">
        <f>('5C. HC and Salaries - Support'!AX109)</f>
        <v/>
      </c>
      <c r="AV40" s="793">
        <f>('5C. HC and Salaries - Support'!AY109)</f>
        <v/>
      </c>
      <c r="AW40" s="793">
        <f>('5C. HC and Salaries - Support'!AZ109)</f>
        <v/>
      </c>
      <c r="AX40" s="793">
        <f>('5C. HC and Salaries - Support'!BA109)</f>
        <v/>
      </c>
      <c r="AY40" s="794">
        <f>('5C. HC and Salaries - Support'!BB109)</f>
        <v/>
      </c>
      <c r="AZ40" s="726" t="n"/>
      <c r="BA40" s="793">
        <f>('5C. HC and Salaries - Support'!BD109)</f>
        <v/>
      </c>
      <c r="BB40" s="793">
        <f>('5C. HC and Salaries - Support'!BE109)</f>
        <v/>
      </c>
      <c r="BC40" s="793">
        <f>('5C. HC and Salaries - Support'!BF109)</f>
        <v/>
      </c>
      <c r="BD40" s="793">
        <f>('5C. HC and Salaries - Support'!BG109)</f>
        <v/>
      </c>
      <c r="BE40" s="793">
        <f>('5C. HC and Salaries - Support'!BH109)</f>
        <v/>
      </c>
      <c r="BF40" s="793">
        <f>('5C. HC and Salaries - Support'!BI109)</f>
        <v/>
      </c>
      <c r="BG40" s="793">
        <f>('5C. HC and Salaries - Support'!BJ109)</f>
        <v/>
      </c>
      <c r="BH40" s="793">
        <f>('5C. HC and Salaries - Support'!BK109)</f>
        <v/>
      </c>
      <c r="BI40" s="793">
        <f>('5C. HC and Salaries - Support'!BL109)</f>
        <v/>
      </c>
      <c r="BJ40" s="793">
        <f>('5C. HC and Salaries - Support'!BM109)</f>
        <v/>
      </c>
      <c r="BK40" s="793">
        <f>('5C. HC and Salaries - Support'!BN109)</f>
        <v/>
      </c>
      <c r="BL40" s="793">
        <f>('5C. HC and Salaries - Support'!BO109)</f>
        <v/>
      </c>
      <c r="BM40" s="794">
        <f>('5C. HC and Salaries - Support'!BP109)</f>
        <v/>
      </c>
      <c r="BN40" s="726" t="n"/>
      <c r="BO40" s="793">
        <f>('5C. HC and Salaries - Support'!BR109)</f>
        <v/>
      </c>
      <c r="BP40" s="793">
        <f>('5C. HC and Salaries - Support'!BS109)</f>
        <v/>
      </c>
      <c r="BQ40" s="793">
        <f>('5C. HC and Salaries - Support'!BT109)</f>
        <v/>
      </c>
      <c r="BR40" s="793">
        <f>('5C. HC and Salaries - Support'!BU109)</f>
        <v/>
      </c>
      <c r="BS40" s="793">
        <f>('5C. HC and Salaries - Support'!BV109)</f>
        <v/>
      </c>
      <c r="BT40" s="793">
        <f>('5C. HC and Salaries - Support'!BW109)</f>
        <v/>
      </c>
      <c r="BU40" s="793">
        <f>('5C. HC and Salaries - Support'!BX109)</f>
        <v/>
      </c>
      <c r="BV40" s="793">
        <f>('5C. HC and Salaries - Support'!BY109)</f>
        <v/>
      </c>
      <c r="BW40" s="793">
        <f>('5C. HC and Salaries - Support'!BZ109)</f>
        <v/>
      </c>
      <c r="BX40" s="793">
        <f>('5C. HC and Salaries - Support'!CA109)</f>
        <v/>
      </c>
      <c r="BY40" s="793">
        <f>('5C. HC and Salaries - Support'!CB109)</f>
        <v/>
      </c>
      <c r="BZ40" s="793">
        <f>('5C. HC and Salaries - Support'!CC109)</f>
        <v/>
      </c>
      <c r="CA40" s="794">
        <f>('5C. HC and Salaries - Support'!CD109)</f>
        <v/>
      </c>
      <c r="CB40" s="726" t="n"/>
      <c r="CC40" s="793">
        <f>('5C. HC and Salaries - Support'!CF109)</f>
        <v/>
      </c>
      <c r="CD40" s="793">
        <f>('5C. HC and Salaries - Support'!CG109)</f>
        <v/>
      </c>
      <c r="CE40" s="793">
        <f>('5C. HC and Salaries - Support'!CH109)</f>
        <v/>
      </c>
      <c r="CF40" s="793">
        <f>('5C. HC and Salaries - Support'!CI109)</f>
        <v/>
      </c>
      <c r="CG40" s="793">
        <f>('5C. HC and Salaries - Support'!CJ109)</f>
        <v/>
      </c>
      <c r="CH40" s="793">
        <f>('5C. HC and Salaries - Support'!CK109)</f>
        <v/>
      </c>
      <c r="CI40" s="793">
        <f>('5C. HC and Salaries - Support'!CL109)</f>
        <v/>
      </c>
      <c r="CJ40" s="793">
        <f>('5C. HC and Salaries - Support'!CM109)</f>
        <v/>
      </c>
      <c r="CK40" s="793">
        <f>('5C. HC and Salaries - Support'!CN109)</f>
        <v/>
      </c>
      <c r="CL40" s="793">
        <f>('5C. HC and Salaries - Support'!CO109)</f>
        <v/>
      </c>
      <c r="CM40" s="793">
        <f>('5C. HC and Salaries - Support'!CP109)</f>
        <v/>
      </c>
      <c r="CN40" s="793">
        <f>('5C. HC and Salaries - Support'!CQ109)</f>
        <v/>
      </c>
      <c r="CO40" s="794">
        <f>('5C. HC and Salaries - Support'!CR109)</f>
        <v/>
      </c>
      <c r="CP40" s="726" t="n"/>
      <c r="CQ40" s="793">
        <f>('5C. HC and Salaries - Support'!CT109)</f>
        <v/>
      </c>
      <c r="CR40" s="793">
        <f>('5C. HC and Salaries - Support'!CU109)</f>
        <v/>
      </c>
      <c r="CS40" s="793">
        <f>('5C. HC and Salaries - Support'!CV109)</f>
        <v/>
      </c>
      <c r="CT40" s="793">
        <f>('5C. HC and Salaries - Support'!CW109)</f>
        <v/>
      </c>
      <c r="CU40" s="793">
        <f>('5C. HC and Salaries - Support'!CX109)</f>
        <v/>
      </c>
      <c r="CV40" s="793">
        <f>('5C. HC and Salaries - Support'!CY109)</f>
        <v/>
      </c>
      <c r="CW40" s="793">
        <f>('5C. HC and Salaries - Support'!CZ109)</f>
        <v/>
      </c>
      <c r="CX40" s="793">
        <f>('5C. HC and Salaries - Support'!DA109)</f>
        <v/>
      </c>
      <c r="CY40" s="793">
        <f>('5C. HC and Salaries - Support'!DB109)</f>
        <v/>
      </c>
      <c r="CZ40" s="793">
        <f>('5C. HC and Salaries - Support'!DC109)</f>
        <v/>
      </c>
      <c r="DA40" s="793">
        <f>('5C. HC and Salaries - Support'!DD109)</f>
        <v/>
      </c>
      <c r="DB40" s="793">
        <f>('5C. HC and Salaries - Support'!DE109)</f>
        <v/>
      </c>
      <c r="DC40" s="794">
        <f>('5C. HC and Salaries - Support'!DF109)</f>
        <v/>
      </c>
    </row>
    <row r="41" ht="3" customHeight="1" s="1883">
      <c r="B41" s="726" t="n"/>
      <c r="C41" s="726" t="n"/>
      <c r="D41" s="726" t="n"/>
      <c r="E41" s="726" t="n"/>
      <c r="F41" s="726" t="n"/>
      <c r="G41" s="726" t="n"/>
      <c r="H41" s="726" t="n"/>
      <c r="I41" s="726" t="n"/>
      <c r="J41" s="726" t="n"/>
      <c r="K41" s="726" t="n"/>
      <c r="L41" s="726" t="n"/>
      <c r="M41" s="726" t="n"/>
      <c r="N41" s="726" t="n"/>
      <c r="O41" s="726" t="n"/>
      <c r="P41" s="726" t="n"/>
      <c r="Q41" s="726" t="n"/>
      <c r="R41" s="726" t="n"/>
      <c r="S41" s="726" t="n"/>
      <c r="T41" s="726" t="n"/>
      <c r="U41" s="726" t="n"/>
      <c r="V41" s="726" t="n"/>
      <c r="W41" s="726" t="n"/>
      <c r="X41" s="726" t="n"/>
      <c r="Y41" s="797" t="n"/>
      <c r="Z41" s="797" t="n"/>
      <c r="AA41" s="797" t="n"/>
      <c r="AB41" s="797" t="n"/>
      <c r="AC41" s="797" t="n"/>
      <c r="AD41" s="797" t="n"/>
      <c r="AE41" s="797" t="n"/>
      <c r="AF41" s="797" t="n"/>
      <c r="AG41" s="797" t="n"/>
      <c r="AH41" s="797" t="n"/>
      <c r="AI41" s="797" t="n"/>
      <c r="AJ41" s="797" t="n"/>
      <c r="AK41" s="799" t="n"/>
      <c r="AL41" s="726" t="n"/>
      <c r="AM41" s="797" t="n"/>
      <c r="AN41" s="797" t="n"/>
      <c r="AO41" s="797" t="n"/>
      <c r="AP41" s="797" t="n"/>
      <c r="AQ41" s="797" t="n"/>
      <c r="AR41" s="797" t="n"/>
      <c r="AS41" s="797" t="n"/>
      <c r="AT41" s="797" t="n"/>
      <c r="AU41" s="797" t="n"/>
      <c r="AV41" s="797" t="n"/>
      <c r="AW41" s="797" t="n"/>
      <c r="AX41" s="797" t="n"/>
      <c r="AY41" s="799" t="n"/>
      <c r="AZ41" s="726" t="n"/>
      <c r="BA41" s="797" t="n"/>
      <c r="BB41" s="797" t="n"/>
      <c r="BC41" s="797" t="n"/>
      <c r="BD41" s="797" t="n"/>
      <c r="BE41" s="797" t="n"/>
      <c r="BF41" s="797" t="n"/>
      <c r="BG41" s="797" t="n"/>
      <c r="BH41" s="797" t="n"/>
      <c r="BI41" s="797" t="n"/>
      <c r="BJ41" s="797" t="n"/>
      <c r="BK41" s="797" t="n"/>
      <c r="BL41" s="797" t="n"/>
      <c r="BM41" s="799" t="n"/>
      <c r="BN41" s="726" t="n"/>
      <c r="BO41" s="797" t="n"/>
      <c r="BP41" s="797" t="n"/>
      <c r="BQ41" s="797" t="n"/>
      <c r="BR41" s="797" t="n"/>
      <c r="BS41" s="797" t="n"/>
      <c r="BT41" s="797" t="n"/>
      <c r="BU41" s="797" t="n"/>
      <c r="BV41" s="797" t="n"/>
      <c r="BW41" s="797" t="n"/>
      <c r="BX41" s="797" t="n"/>
      <c r="BY41" s="797" t="n"/>
      <c r="BZ41" s="797" t="n"/>
      <c r="CA41" s="799" t="n"/>
      <c r="CB41" s="726" t="n"/>
      <c r="CC41" s="797" t="n"/>
      <c r="CD41" s="797" t="n"/>
      <c r="CE41" s="797" t="n"/>
      <c r="CF41" s="797" t="n"/>
      <c r="CG41" s="797" t="n"/>
      <c r="CH41" s="797" t="n"/>
      <c r="CI41" s="797" t="n"/>
      <c r="CJ41" s="797" t="n"/>
      <c r="CK41" s="797" t="n"/>
      <c r="CL41" s="797" t="n"/>
      <c r="CM41" s="797" t="n"/>
      <c r="CN41" s="797" t="n"/>
      <c r="CO41" s="799" t="n"/>
      <c r="CP41" s="726" t="n"/>
      <c r="CQ41" s="797" t="n"/>
      <c r="CR41" s="797" t="n"/>
      <c r="CS41" s="797" t="n"/>
      <c r="CT41" s="797" t="n"/>
      <c r="CU41" s="797" t="n"/>
      <c r="CV41" s="797" t="n"/>
      <c r="CW41" s="797" t="n"/>
      <c r="CX41" s="797" t="n"/>
      <c r="CY41" s="797" t="n"/>
      <c r="CZ41" s="797" t="n"/>
      <c r="DA41" s="797" t="n"/>
      <c r="DB41" s="797" t="n"/>
      <c r="DC41" s="799" t="n"/>
    </row>
    <row r="42" ht="3" customHeight="1" s="1883">
      <c r="B42" s="726" t="n"/>
      <c r="C42" s="726" t="n"/>
      <c r="D42" s="726" t="n"/>
      <c r="E42" s="726" t="n"/>
      <c r="F42" s="726" t="n"/>
      <c r="G42" s="726" t="n"/>
      <c r="H42" s="726" t="n"/>
      <c r="I42" s="726" t="n"/>
      <c r="J42" s="726" t="n"/>
      <c r="K42" s="726" t="n"/>
      <c r="L42" s="726" t="n"/>
      <c r="M42" s="726" t="n"/>
      <c r="N42" s="726" t="n"/>
      <c r="O42" s="726" t="n"/>
      <c r="P42" s="726" t="n"/>
      <c r="Q42" s="726" t="n"/>
      <c r="R42" s="726" t="n"/>
      <c r="S42" s="726" t="n"/>
      <c r="T42" s="726" t="n"/>
      <c r="U42" s="726" t="n"/>
      <c r="V42" s="726" t="n"/>
      <c r="W42" s="726" t="n"/>
      <c r="X42" s="726" t="n"/>
      <c r="Y42" s="773" t="n"/>
      <c r="Z42" s="773" t="n"/>
      <c r="AA42" s="773" t="n"/>
      <c r="AB42" s="773" t="n"/>
      <c r="AC42" s="773" t="n"/>
      <c r="AD42" s="773" t="n"/>
      <c r="AE42" s="773" t="n"/>
      <c r="AF42" s="773" t="n"/>
      <c r="AG42" s="773" t="n"/>
      <c r="AH42" s="773" t="n"/>
      <c r="AI42" s="773" t="n"/>
      <c r="AJ42" s="773" t="n"/>
      <c r="AK42" s="795" t="n"/>
      <c r="AL42" s="726" t="n"/>
      <c r="AM42" s="773" t="n"/>
      <c r="AN42" s="773" t="n"/>
      <c r="AO42" s="773" t="n"/>
      <c r="AP42" s="773" t="n"/>
      <c r="AQ42" s="773" t="n"/>
      <c r="AR42" s="773" t="n"/>
      <c r="AS42" s="773" t="n"/>
      <c r="AT42" s="773" t="n"/>
      <c r="AU42" s="773" t="n"/>
      <c r="AV42" s="773" t="n"/>
      <c r="AW42" s="773" t="n"/>
      <c r="AX42" s="773" t="n"/>
      <c r="AY42" s="795" t="n"/>
      <c r="AZ42" s="726" t="n"/>
      <c r="BA42" s="773" t="n"/>
      <c r="BB42" s="773" t="n"/>
      <c r="BC42" s="773" t="n"/>
      <c r="BD42" s="773" t="n"/>
      <c r="BE42" s="773" t="n"/>
      <c r="BF42" s="773" t="n"/>
      <c r="BG42" s="773" t="n"/>
      <c r="BH42" s="773" t="n"/>
      <c r="BI42" s="773" t="n"/>
      <c r="BJ42" s="773" t="n"/>
      <c r="BK42" s="773" t="n"/>
      <c r="BL42" s="773" t="n"/>
      <c r="BM42" s="795" t="n"/>
      <c r="BN42" s="726" t="n"/>
      <c r="BO42" s="773" t="n"/>
      <c r="BP42" s="773" t="n"/>
      <c r="BQ42" s="773" t="n"/>
      <c r="BR42" s="773" t="n"/>
      <c r="BS42" s="773" t="n"/>
      <c r="BT42" s="773" t="n"/>
      <c r="BU42" s="773" t="n"/>
      <c r="BV42" s="773" t="n"/>
      <c r="BW42" s="773" t="n"/>
      <c r="BX42" s="773" t="n"/>
      <c r="BY42" s="773" t="n"/>
      <c r="BZ42" s="773" t="n"/>
      <c r="CA42" s="795" t="n"/>
      <c r="CB42" s="726" t="n"/>
      <c r="CC42" s="773" t="n"/>
      <c r="CD42" s="773" t="n"/>
      <c r="CE42" s="773" t="n"/>
      <c r="CF42" s="773" t="n"/>
      <c r="CG42" s="773" t="n"/>
      <c r="CH42" s="773" t="n"/>
      <c r="CI42" s="773" t="n"/>
      <c r="CJ42" s="773" t="n"/>
      <c r="CK42" s="773" t="n"/>
      <c r="CL42" s="773" t="n"/>
      <c r="CM42" s="773" t="n"/>
      <c r="CN42" s="773" t="n"/>
      <c r="CO42" s="795" t="n"/>
      <c r="CP42" s="726" t="n"/>
      <c r="CQ42" s="773" t="n"/>
      <c r="CR42" s="773" t="n"/>
      <c r="CS42" s="773" t="n"/>
      <c r="CT42" s="773" t="n"/>
      <c r="CU42" s="773" t="n"/>
      <c r="CV42" s="773" t="n"/>
      <c r="CW42" s="773" t="n"/>
      <c r="CX42" s="773" t="n"/>
      <c r="CY42" s="773" t="n"/>
      <c r="CZ42" s="773" t="n"/>
      <c r="DA42" s="773" t="n"/>
      <c r="DB42" s="773" t="n"/>
      <c r="DC42" s="795" t="n"/>
    </row>
    <row r="43" ht="15" customHeight="1" s="1883">
      <c r="B43" s="726" t="n"/>
      <c r="C43" s="726" t="n"/>
      <c r="D43" s="726" t="n"/>
      <c r="E43" s="791" t="inlineStr">
        <is>
          <t>∑, OCONUS</t>
        </is>
      </c>
      <c r="F43" s="726" t="n"/>
      <c r="G43" s="726" t="n"/>
      <c r="H43" s="726" t="n"/>
      <c r="I43" s="726" t="n"/>
      <c r="J43" s="726" t="n"/>
      <c r="K43" s="726" t="n"/>
      <c r="L43" s="726" t="n"/>
      <c r="M43" s="726" t="n"/>
      <c r="N43" s="726" t="n"/>
      <c r="O43" s="726" t="n"/>
      <c r="P43" s="726" t="n"/>
      <c r="Q43" s="726" t="n"/>
      <c r="R43" s="726" t="n"/>
      <c r="S43" s="726" t="n"/>
      <c r="T43" s="726" t="n"/>
      <c r="U43" s="726" t="n"/>
      <c r="V43" s="726" t="n"/>
      <c r="W43" s="726" t="n"/>
      <c r="X43" s="726" t="n"/>
      <c r="Y43" s="794">
        <f>SUM(Y38:Y40)</f>
        <v/>
      </c>
      <c r="Z43" s="794">
        <f>SUM(Z38:Z40)</f>
        <v/>
      </c>
      <c r="AA43" s="794">
        <f>SUM(AA38:AA40)</f>
        <v/>
      </c>
      <c r="AB43" s="794">
        <f>SUM(AB38:AB40)</f>
        <v/>
      </c>
      <c r="AC43" s="794">
        <f>SUM(AC38:AC40)</f>
        <v/>
      </c>
      <c r="AD43" s="794">
        <f>SUM(AD38:AD40)</f>
        <v/>
      </c>
      <c r="AE43" s="794">
        <f>SUM(AE38:AE40)</f>
        <v/>
      </c>
      <c r="AF43" s="794">
        <f>SUM(AF38:AF40)</f>
        <v/>
      </c>
      <c r="AG43" s="794">
        <f>SUM(AG38:AG40)</f>
        <v/>
      </c>
      <c r="AH43" s="794">
        <f>SUM(AH38:AH40)</f>
        <v/>
      </c>
      <c r="AI43" s="794">
        <f>SUM(AI38:AI40)</f>
        <v/>
      </c>
      <c r="AJ43" s="794">
        <f>SUM(AJ38:AJ40)</f>
        <v/>
      </c>
      <c r="AK43" s="794">
        <f>SUM(AK38:AK40)</f>
        <v/>
      </c>
      <c r="AL43" s="726" t="n"/>
      <c r="AM43" s="794">
        <f>SUM(AM38:AM40)</f>
        <v/>
      </c>
      <c r="AN43" s="794">
        <f>SUM(AN38:AN40)</f>
        <v/>
      </c>
      <c r="AO43" s="794">
        <f>SUM(AO38:AO40)</f>
        <v/>
      </c>
      <c r="AP43" s="794">
        <f>SUM(AP38:AP40)</f>
        <v/>
      </c>
      <c r="AQ43" s="794">
        <f>SUM(AQ38:AQ40)</f>
        <v/>
      </c>
      <c r="AR43" s="794">
        <f>SUM(AR38:AR40)</f>
        <v/>
      </c>
      <c r="AS43" s="794">
        <f>SUM(AS38:AS40)</f>
        <v/>
      </c>
      <c r="AT43" s="794">
        <f>SUM(AT38:AT40)</f>
        <v/>
      </c>
      <c r="AU43" s="794">
        <f>SUM(AU38:AU40)</f>
        <v/>
      </c>
      <c r="AV43" s="794">
        <f>SUM(AV38:AV40)</f>
        <v/>
      </c>
      <c r="AW43" s="794">
        <f>SUM(AW38:AW40)</f>
        <v/>
      </c>
      <c r="AX43" s="794">
        <f>SUM(AX38:AX40)</f>
        <v/>
      </c>
      <c r="AY43" s="794">
        <f>SUM(AY38:AY40)</f>
        <v/>
      </c>
      <c r="AZ43" s="726" t="n"/>
      <c r="BA43" s="794">
        <f>SUM(BA38:BA40)</f>
        <v/>
      </c>
      <c r="BB43" s="794">
        <f>SUM(BB38:BB40)</f>
        <v/>
      </c>
      <c r="BC43" s="794">
        <f>SUM(BC38:BC40)</f>
        <v/>
      </c>
      <c r="BD43" s="794">
        <f>SUM(BD38:BD40)</f>
        <v/>
      </c>
      <c r="BE43" s="794">
        <f>SUM(BE38:BE40)</f>
        <v/>
      </c>
      <c r="BF43" s="794">
        <f>SUM(BF38:BF40)</f>
        <v/>
      </c>
      <c r="BG43" s="794">
        <f>SUM(BG38:BG40)</f>
        <v/>
      </c>
      <c r="BH43" s="794">
        <f>SUM(BH38:BH40)</f>
        <v/>
      </c>
      <c r="BI43" s="794">
        <f>SUM(BI38:BI40)</f>
        <v/>
      </c>
      <c r="BJ43" s="794">
        <f>SUM(BJ38:BJ40)</f>
        <v/>
      </c>
      <c r="BK43" s="794">
        <f>SUM(BK38:BK40)</f>
        <v/>
      </c>
      <c r="BL43" s="794">
        <f>SUM(BL38:BL40)</f>
        <v/>
      </c>
      <c r="BM43" s="794">
        <f>SUM(BM38:BM40)</f>
        <v/>
      </c>
      <c r="BN43" s="726" t="n"/>
      <c r="BO43" s="794">
        <f>SUM(BO38:BO40)</f>
        <v/>
      </c>
      <c r="BP43" s="794">
        <f>SUM(BP38:BP40)</f>
        <v/>
      </c>
      <c r="BQ43" s="794">
        <f>SUM(BQ38:BQ40)</f>
        <v/>
      </c>
      <c r="BR43" s="794">
        <f>SUM(BR38:BR40)</f>
        <v/>
      </c>
      <c r="BS43" s="794">
        <f>SUM(BS38:BS40)</f>
        <v/>
      </c>
      <c r="BT43" s="794">
        <f>SUM(BT38:BT40)</f>
        <v/>
      </c>
      <c r="BU43" s="794">
        <f>SUM(BU38:BU40)</f>
        <v/>
      </c>
      <c r="BV43" s="794">
        <f>SUM(BV38:BV40)</f>
        <v/>
      </c>
      <c r="BW43" s="794">
        <f>SUM(BW38:BW40)</f>
        <v/>
      </c>
      <c r="BX43" s="794">
        <f>SUM(BX38:BX40)</f>
        <v/>
      </c>
      <c r="BY43" s="794">
        <f>SUM(BY38:BY40)</f>
        <v/>
      </c>
      <c r="BZ43" s="794">
        <f>SUM(BZ38:BZ40)</f>
        <v/>
      </c>
      <c r="CA43" s="794">
        <f>SUM(CA38:CA40)</f>
        <v/>
      </c>
      <c r="CB43" s="726" t="n"/>
      <c r="CC43" s="794">
        <f>SUM(CC38:CC40)</f>
        <v/>
      </c>
      <c r="CD43" s="794">
        <f>SUM(CD38:CD40)</f>
        <v/>
      </c>
      <c r="CE43" s="794">
        <f>SUM(CE38:CE40)</f>
        <v/>
      </c>
      <c r="CF43" s="794">
        <f>SUM(CF38:CF40)</f>
        <v/>
      </c>
      <c r="CG43" s="794">
        <f>SUM(CG38:CG40)</f>
        <v/>
      </c>
      <c r="CH43" s="794">
        <f>SUM(CH38:CH40)</f>
        <v/>
      </c>
      <c r="CI43" s="794">
        <f>SUM(CI38:CI40)</f>
        <v/>
      </c>
      <c r="CJ43" s="794">
        <f>SUM(CJ38:CJ40)</f>
        <v/>
      </c>
      <c r="CK43" s="794">
        <f>SUM(CK38:CK40)</f>
        <v/>
      </c>
      <c r="CL43" s="794">
        <f>SUM(CL38:CL40)</f>
        <v/>
      </c>
      <c r="CM43" s="794">
        <f>SUM(CM38:CM40)</f>
        <v/>
      </c>
      <c r="CN43" s="794">
        <f>SUM(CN38:CN40)</f>
        <v/>
      </c>
      <c r="CO43" s="794">
        <f>SUM(CO38:CO40)</f>
        <v/>
      </c>
      <c r="CP43" s="726" t="n"/>
      <c r="CQ43" s="794">
        <f>SUM(CQ38:CQ40)</f>
        <v/>
      </c>
      <c r="CR43" s="794">
        <f>SUM(CR38:CR40)</f>
        <v/>
      </c>
      <c r="CS43" s="794">
        <f>SUM(CS38:CS40)</f>
        <v/>
      </c>
      <c r="CT43" s="794">
        <f>SUM(CT38:CT40)</f>
        <v/>
      </c>
      <c r="CU43" s="794">
        <f>SUM(CU38:CU40)</f>
        <v/>
      </c>
      <c r="CV43" s="794">
        <f>SUM(CV38:CV40)</f>
        <v/>
      </c>
      <c r="CW43" s="794">
        <f>SUM(CW38:CW40)</f>
        <v/>
      </c>
      <c r="CX43" s="794">
        <f>SUM(CX38:CX40)</f>
        <v/>
      </c>
      <c r="CY43" s="794">
        <f>SUM(CY38:CY40)</f>
        <v/>
      </c>
      <c r="CZ43" s="794">
        <f>SUM(CZ38:CZ40)</f>
        <v/>
      </c>
      <c r="DA43" s="794">
        <f>SUM(DA38:DA40)</f>
        <v/>
      </c>
      <c r="DB43" s="794">
        <f>SUM(DB38:DB40)</f>
        <v/>
      </c>
      <c r="DC43" s="794">
        <f>SUM(DC38:DC40)</f>
        <v/>
      </c>
    </row>
    <row r="44" ht="3" customHeight="1" s="1883">
      <c r="B44" s="726" t="n"/>
      <c r="C44" s="726" t="n"/>
      <c r="D44" s="726" t="n"/>
      <c r="E44" s="726" t="n"/>
      <c r="F44" s="726" t="n"/>
      <c r="G44" s="726" t="n"/>
      <c r="H44" s="726" t="n"/>
      <c r="I44" s="726" t="n"/>
      <c r="J44" s="726" t="n"/>
      <c r="K44" s="726" t="n"/>
      <c r="L44" s="726" t="n"/>
      <c r="M44" s="726" t="n"/>
      <c r="N44" s="726" t="n"/>
      <c r="O44" s="726" t="n"/>
      <c r="P44" s="726" t="n"/>
      <c r="Q44" s="726" t="n"/>
      <c r="R44" s="726" t="n"/>
      <c r="S44" s="726" t="n"/>
      <c r="T44" s="726" t="n"/>
      <c r="U44" s="726" t="n"/>
      <c r="V44" s="726" t="n"/>
      <c r="W44" s="726" t="n"/>
      <c r="X44" s="726" t="n"/>
      <c r="Y44" s="734" t="n"/>
      <c r="Z44" s="734" t="n"/>
      <c r="AA44" s="734" t="n"/>
      <c r="AB44" s="734" t="n"/>
      <c r="AC44" s="734" t="n"/>
      <c r="AD44" s="734" t="n"/>
      <c r="AE44" s="734" t="n"/>
      <c r="AF44" s="734" t="n"/>
      <c r="AG44" s="734" t="n"/>
      <c r="AH44" s="734" t="n"/>
      <c r="AI44" s="734" t="n"/>
      <c r="AJ44" s="734" t="n"/>
      <c r="AK44" s="798" t="n"/>
      <c r="AL44" s="726" t="n"/>
      <c r="AM44" s="734" t="n"/>
      <c r="AN44" s="734" t="n"/>
      <c r="AO44" s="734" t="n"/>
      <c r="AP44" s="734" t="n"/>
      <c r="AQ44" s="734" t="n"/>
      <c r="AR44" s="734" t="n"/>
      <c r="AS44" s="734" t="n"/>
      <c r="AT44" s="734" t="n"/>
      <c r="AU44" s="734" t="n"/>
      <c r="AV44" s="734" t="n"/>
      <c r="AW44" s="734" t="n"/>
      <c r="AX44" s="734" t="n"/>
      <c r="AY44" s="798" t="n"/>
      <c r="AZ44" s="726" t="n"/>
      <c r="BA44" s="734" t="n"/>
      <c r="BB44" s="734" t="n"/>
      <c r="BC44" s="734" t="n"/>
      <c r="BD44" s="734" t="n"/>
      <c r="BE44" s="734" t="n"/>
      <c r="BF44" s="734" t="n"/>
      <c r="BG44" s="734" t="n"/>
      <c r="BH44" s="734" t="n"/>
      <c r="BI44" s="734" t="n"/>
      <c r="BJ44" s="734" t="n"/>
      <c r="BK44" s="734" t="n"/>
      <c r="BL44" s="734" t="n"/>
      <c r="BM44" s="798" t="n"/>
      <c r="BN44" s="726" t="n"/>
      <c r="BO44" s="734" t="n"/>
      <c r="BP44" s="734" t="n"/>
      <c r="BQ44" s="734" t="n"/>
      <c r="BR44" s="734" t="n"/>
      <c r="BS44" s="734" t="n"/>
      <c r="BT44" s="734" t="n"/>
      <c r="BU44" s="734" t="n"/>
      <c r="BV44" s="734" t="n"/>
      <c r="BW44" s="734" t="n"/>
      <c r="BX44" s="734" t="n"/>
      <c r="BY44" s="734" t="n"/>
      <c r="BZ44" s="734" t="n"/>
      <c r="CA44" s="798" t="n"/>
      <c r="CB44" s="726" t="n"/>
      <c r="CC44" s="734" t="n"/>
      <c r="CD44" s="734" t="n"/>
      <c r="CE44" s="734" t="n"/>
      <c r="CF44" s="734" t="n"/>
      <c r="CG44" s="734" t="n"/>
      <c r="CH44" s="734" t="n"/>
      <c r="CI44" s="734" t="n"/>
      <c r="CJ44" s="734" t="n"/>
      <c r="CK44" s="734" t="n"/>
      <c r="CL44" s="734" t="n"/>
      <c r="CM44" s="734" t="n"/>
      <c r="CN44" s="734" t="n"/>
      <c r="CO44" s="798" t="n"/>
      <c r="CP44" s="726" t="n"/>
      <c r="CQ44" s="734" t="n"/>
      <c r="CR44" s="734" t="n"/>
      <c r="CS44" s="734" t="n"/>
      <c r="CT44" s="734" t="n"/>
      <c r="CU44" s="734" t="n"/>
      <c r="CV44" s="734" t="n"/>
      <c r="CW44" s="734" t="n"/>
      <c r="CX44" s="734" t="n"/>
      <c r="CY44" s="734" t="n"/>
      <c r="CZ44" s="734" t="n"/>
      <c r="DA44" s="734" t="n"/>
      <c r="DB44" s="734" t="n"/>
      <c r="DC44" s="798" t="n"/>
    </row>
    <row r="45" ht="3" customHeight="1" s="1883">
      <c r="B45" s="726" t="n"/>
      <c r="C45" s="726" t="n"/>
      <c r="D45" s="726" t="n"/>
      <c r="E45" s="726" t="n"/>
      <c r="F45" s="726" t="n"/>
      <c r="G45" s="726" t="n"/>
      <c r="H45" s="726" t="n"/>
      <c r="I45" s="726" t="n"/>
      <c r="J45" s="726" t="n"/>
      <c r="K45" s="726" t="n"/>
      <c r="L45" s="726" t="n"/>
      <c r="M45" s="726" t="n"/>
      <c r="N45" s="726" t="n"/>
      <c r="O45" s="726" t="n"/>
      <c r="P45" s="726" t="n"/>
      <c r="Q45" s="726" t="n"/>
      <c r="R45" s="726" t="n"/>
      <c r="S45" s="726" t="n"/>
      <c r="T45" s="726" t="n"/>
      <c r="U45" s="726" t="n"/>
      <c r="V45" s="726" t="n"/>
      <c r="W45" s="726" t="n"/>
      <c r="X45" s="726" t="n"/>
      <c r="Y45" s="726" t="n"/>
      <c r="Z45" s="726" t="n"/>
      <c r="AA45" s="726" t="n"/>
      <c r="AB45" s="726" t="n"/>
      <c r="AC45" s="726" t="n"/>
      <c r="AD45" s="726" t="n"/>
      <c r="AE45" s="726" t="n"/>
      <c r="AF45" s="726" t="n"/>
      <c r="AG45" s="726" t="n"/>
      <c r="AH45" s="726" t="n"/>
      <c r="AI45" s="726" t="n"/>
      <c r="AJ45" s="726" t="n"/>
      <c r="AK45" s="733" t="n"/>
      <c r="AL45" s="726" t="n"/>
      <c r="AM45" s="726" t="n"/>
      <c r="AN45" s="726" t="n"/>
      <c r="AO45" s="726" t="n"/>
      <c r="AP45" s="726" t="n"/>
      <c r="AQ45" s="726" t="n"/>
      <c r="AR45" s="726" t="n"/>
      <c r="AS45" s="726" t="n"/>
      <c r="AT45" s="726" t="n"/>
      <c r="AU45" s="726" t="n"/>
      <c r="AV45" s="726" t="n"/>
      <c r="AW45" s="726" t="n"/>
      <c r="AX45" s="726" t="n"/>
      <c r="AY45" s="733" t="n"/>
      <c r="AZ45" s="726" t="n"/>
      <c r="BA45" s="726" t="n"/>
      <c r="BB45" s="726" t="n"/>
      <c r="BC45" s="726" t="n"/>
      <c r="BD45" s="726" t="n"/>
      <c r="BE45" s="726" t="n"/>
      <c r="BF45" s="726" t="n"/>
      <c r="BG45" s="726" t="n"/>
      <c r="BH45" s="726" t="n"/>
      <c r="BI45" s="726" t="n"/>
      <c r="BJ45" s="726" t="n"/>
      <c r="BK45" s="726" t="n"/>
      <c r="BL45" s="726" t="n"/>
      <c r="BM45" s="733" t="n"/>
      <c r="BN45" s="726" t="n"/>
      <c r="BO45" s="726" t="n"/>
      <c r="BP45" s="726" t="n"/>
      <c r="BQ45" s="726" t="n"/>
      <c r="BR45" s="726" t="n"/>
      <c r="BS45" s="726" t="n"/>
      <c r="BT45" s="726" t="n"/>
      <c r="BU45" s="726" t="n"/>
      <c r="BV45" s="726" t="n"/>
      <c r="BW45" s="726" t="n"/>
      <c r="BX45" s="726" t="n"/>
      <c r="BY45" s="726" t="n"/>
      <c r="BZ45" s="726" t="n"/>
      <c r="CA45" s="733" t="n"/>
      <c r="CB45" s="726" t="n"/>
      <c r="CC45" s="726" t="n"/>
      <c r="CD45" s="726" t="n"/>
      <c r="CE45" s="726" t="n"/>
      <c r="CF45" s="726" t="n"/>
      <c r="CG45" s="726" t="n"/>
      <c r="CH45" s="726" t="n"/>
      <c r="CI45" s="726" t="n"/>
      <c r="CJ45" s="726" t="n"/>
      <c r="CK45" s="726" t="n"/>
      <c r="CL45" s="726" t="n"/>
      <c r="CM45" s="726" t="n"/>
      <c r="CN45" s="726" t="n"/>
      <c r="CO45" s="733" t="n"/>
      <c r="CP45" s="726" t="n"/>
      <c r="CQ45" s="726" t="n"/>
      <c r="CR45" s="726" t="n"/>
      <c r="CS45" s="726" t="n"/>
      <c r="CT45" s="726" t="n"/>
      <c r="CU45" s="726" t="n"/>
      <c r="CV45" s="726" t="n"/>
      <c r="CW45" s="726" t="n"/>
      <c r="CX45" s="726" t="n"/>
      <c r="CY45" s="726" t="n"/>
      <c r="CZ45" s="726" t="n"/>
      <c r="DA45" s="726" t="n"/>
      <c r="DB45" s="726" t="n"/>
      <c r="DC45" s="733" t="n"/>
    </row>
    <row r="46" ht="15" customHeight="1" s="1883">
      <c r="B46" s="726" t="n"/>
      <c r="C46" s="726" t="n"/>
      <c r="D46" s="726" t="n"/>
      <c r="E46" s="726" t="n"/>
      <c r="F46" s="726" t="n"/>
      <c r="G46" s="726" t="n"/>
      <c r="H46" s="726" t="n"/>
      <c r="I46" s="726" t="n"/>
      <c r="J46" s="726" t="n"/>
      <c r="K46" s="726" t="n"/>
      <c r="L46" s="726" t="n"/>
      <c r="M46" s="726" t="n"/>
      <c r="N46" s="726" t="n"/>
      <c r="O46" s="726" t="n"/>
      <c r="P46" s="726" t="n"/>
      <c r="Q46" s="726" t="n"/>
      <c r="R46" s="726" t="n"/>
      <c r="S46" s="726" t="n"/>
      <c r="T46" s="726" t="n"/>
      <c r="U46" s="726" t="n"/>
      <c r="V46" s="726" t="n"/>
      <c r="W46" s="726" t="n"/>
      <c r="X46" s="726" t="n"/>
      <c r="Y46" s="726" t="n"/>
      <c r="Z46" s="726" t="n"/>
      <c r="AA46" s="726" t="n"/>
      <c r="AB46" s="726" t="n"/>
      <c r="AC46" s="726" t="n"/>
      <c r="AD46" s="726" t="n"/>
      <c r="AE46" s="726" t="n"/>
      <c r="AF46" s="726" t="n"/>
      <c r="AG46" s="726" t="n"/>
      <c r="AH46" s="726" t="n"/>
      <c r="AI46" s="726" t="n"/>
      <c r="AJ46" s="726" t="n"/>
      <c r="AK46" s="733" t="n"/>
      <c r="AL46" s="726" t="n"/>
      <c r="AM46" s="726" t="n"/>
      <c r="AN46" s="726" t="n"/>
      <c r="AO46" s="726" t="n"/>
      <c r="AP46" s="726" t="n"/>
      <c r="AQ46" s="726" t="n"/>
      <c r="AR46" s="726" t="n"/>
      <c r="AS46" s="726" t="n"/>
      <c r="AT46" s="726" t="n"/>
      <c r="AU46" s="726" t="n"/>
      <c r="AV46" s="726" t="n"/>
      <c r="AW46" s="726" t="n"/>
      <c r="AX46" s="726" t="n"/>
      <c r="AY46" s="733" t="n"/>
      <c r="AZ46" s="726" t="n"/>
      <c r="BA46" s="726" t="n"/>
      <c r="BB46" s="726" t="n"/>
      <c r="BC46" s="726" t="n"/>
      <c r="BD46" s="726" t="n"/>
      <c r="BE46" s="726" t="n"/>
      <c r="BF46" s="726" t="n"/>
      <c r="BG46" s="726" t="n"/>
      <c r="BH46" s="726" t="n"/>
      <c r="BI46" s="726" t="n"/>
      <c r="BJ46" s="726" t="n"/>
      <c r="BK46" s="726" t="n"/>
      <c r="BL46" s="726" t="n"/>
      <c r="BM46" s="733" t="n"/>
      <c r="BN46" s="726" t="n"/>
      <c r="BO46" s="726" t="n"/>
      <c r="BP46" s="726" t="n"/>
      <c r="BQ46" s="726" t="n"/>
      <c r="BR46" s="726" t="n"/>
      <c r="BS46" s="726" t="n"/>
      <c r="BT46" s="726" t="n"/>
      <c r="BU46" s="726" t="n"/>
      <c r="BV46" s="726" t="n"/>
      <c r="BW46" s="726" t="n"/>
      <c r="BX46" s="726" t="n"/>
      <c r="BY46" s="726" t="n"/>
      <c r="BZ46" s="726" t="n"/>
      <c r="CA46" s="733" t="n"/>
      <c r="CB46" s="726" t="n"/>
      <c r="CC46" s="726" t="n"/>
      <c r="CD46" s="726" t="n"/>
      <c r="CE46" s="726" t="n"/>
      <c r="CF46" s="726" t="n"/>
      <c r="CG46" s="726" t="n"/>
      <c r="CH46" s="726" t="n"/>
      <c r="CI46" s="726" t="n"/>
      <c r="CJ46" s="726" t="n"/>
      <c r="CK46" s="726" t="n"/>
      <c r="CL46" s="726" t="n"/>
      <c r="CM46" s="726" t="n"/>
      <c r="CN46" s="726" t="n"/>
      <c r="CO46" s="733" t="n"/>
      <c r="CP46" s="726" t="n"/>
      <c r="CQ46" s="726" t="n"/>
      <c r="CR46" s="726" t="n"/>
      <c r="CS46" s="726" t="n"/>
      <c r="CT46" s="726" t="n"/>
      <c r="CU46" s="726" t="n"/>
      <c r="CV46" s="726" t="n"/>
      <c r="CW46" s="726" t="n"/>
      <c r="CX46" s="726" t="n"/>
      <c r="CY46" s="726" t="n"/>
      <c r="CZ46" s="726" t="n"/>
      <c r="DA46" s="726" t="n"/>
      <c r="DB46" s="726" t="n"/>
      <c r="DC46" s="733" t="n"/>
    </row>
    <row r="47" ht="15" customHeight="1" s="1883">
      <c r="B47" s="726" t="n"/>
      <c r="C47" s="726" t="n"/>
      <c r="D47" s="726" t="n"/>
      <c r="E47" s="726" t="n"/>
      <c r="F47" s="1932" t="inlineStr">
        <is>
          <t>∑, CONUS + ∑, OCONUS</t>
        </is>
      </c>
      <c r="G47" s="726" t="n"/>
      <c r="H47" s="726" t="n"/>
      <c r="I47" s="726" t="n"/>
      <c r="J47" s="733" t="inlineStr">
        <is>
          <t>Check</t>
        </is>
      </c>
      <c r="K47" s="733" t="n"/>
      <c r="L47" s="733" t="n"/>
      <c r="M47" s="733" t="n"/>
      <c r="N47" s="726" t="n"/>
      <c r="O47" s="726" t="n"/>
      <c r="P47" s="726" t="n"/>
      <c r="Q47" s="726" t="n"/>
      <c r="R47" s="726" t="n"/>
      <c r="S47" s="726" t="n"/>
      <c r="Y47" s="765">
        <f>((Y32)+(Y43))</f>
        <v/>
      </c>
      <c r="Z47" s="765">
        <f>((Z32)+(Z43))</f>
        <v/>
      </c>
      <c r="AA47" s="765">
        <f>((AA32)+(AA43))</f>
        <v/>
      </c>
      <c r="AB47" s="765">
        <f>((AB32)+(AB43))</f>
        <v/>
      </c>
      <c r="AC47" s="765">
        <f>((AC32)+(AC43))</f>
        <v/>
      </c>
      <c r="AD47" s="765">
        <f>((AD32)+(AD43))</f>
        <v/>
      </c>
      <c r="AE47" s="765">
        <f>((AE32)+(AE43))</f>
        <v/>
      </c>
      <c r="AF47" s="765">
        <f>((AF32)+(AF43))</f>
        <v/>
      </c>
      <c r="AG47" s="765">
        <f>((AG32)+(AG43))</f>
        <v/>
      </c>
      <c r="AH47" s="765">
        <f>((AH32)+(AH43))</f>
        <v/>
      </c>
      <c r="AI47" s="765">
        <f>((AI32)+(AI43))</f>
        <v/>
      </c>
      <c r="AJ47" s="765">
        <f>((AJ32)+(AJ43))</f>
        <v/>
      </c>
      <c r="AK47" s="765">
        <f>((AK32)+(AK43))</f>
        <v/>
      </c>
      <c r="AL47" s="726" t="n"/>
      <c r="AM47" s="765">
        <f>((AM32)+(AM43))</f>
        <v/>
      </c>
      <c r="AN47" s="765">
        <f>((AN32)+(AN43))</f>
        <v/>
      </c>
      <c r="AO47" s="765">
        <f>((AO32)+(AO43))</f>
        <v/>
      </c>
      <c r="AP47" s="765">
        <f>((AP32)+(AP43))</f>
        <v/>
      </c>
      <c r="AQ47" s="765">
        <f>((AQ32)+(AQ43))</f>
        <v/>
      </c>
      <c r="AR47" s="765">
        <f>((AR32)+(AR43))</f>
        <v/>
      </c>
      <c r="AS47" s="765">
        <f>((AS32)+(AS43))</f>
        <v/>
      </c>
      <c r="AT47" s="765">
        <f>((AT32)+(AT43))</f>
        <v/>
      </c>
      <c r="AU47" s="765">
        <f>((AU32)+(AU43))</f>
        <v/>
      </c>
      <c r="AV47" s="765">
        <f>((AV32)+(AV43))</f>
        <v/>
      </c>
      <c r="AW47" s="765">
        <f>((AW32)+(AW43))</f>
        <v/>
      </c>
      <c r="AX47" s="765">
        <f>((AX32)+(AX43))</f>
        <v/>
      </c>
      <c r="AY47" s="765">
        <f>((AY32)+(AY43))</f>
        <v/>
      </c>
      <c r="AZ47" s="726" t="n"/>
      <c r="BA47" s="765">
        <f>((BA32)+(BA43))</f>
        <v/>
      </c>
      <c r="BB47" s="765">
        <f>((BB32)+(BB43))</f>
        <v/>
      </c>
      <c r="BC47" s="765">
        <f>((BC32)+(BC43))</f>
        <v/>
      </c>
      <c r="BD47" s="765">
        <f>((BD32)+(BD43))</f>
        <v/>
      </c>
      <c r="BE47" s="765">
        <f>((BE32)+(BE43))</f>
        <v/>
      </c>
      <c r="BF47" s="765">
        <f>((BF32)+(BF43))</f>
        <v/>
      </c>
      <c r="BG47" s="765">
        <f>((BG32)+(BG43))</f>
        <v/>
      </c>
      <c r="BH47" s="765">
        <f>((BH32)+(BH43))</f>
        <v/>
      </c>
      <c r="BI47" s="765">
        <f>((BI32)+(BI43))</f>
        <v/>
      </c>
      <c r="BJ47" s="765">
        <f>((BJ32)+(BJ43))</f>
        <v/>
      </c>
      <c r="BK47" s="765">
        <f>((BK32)+(BK43))</f>
        <v/>
      </c>
      <c r="BL47" s="765">
        <f>((BL32)+(BL43))</f>
        <v/>
      </c>
      <c r="BM47" s="765">
        <f>((BM32)+(BM43))</f>
        <v/>
      </c>
      <c r="BN47" s="726" t="n"/>
      <c r="BO47" s="765">
        <f>((BO32)+(BO43))</f>
        <v/>
      </c>
      <c r="BP47" s="765">
        <f>((BP32)+(BP43))</f>
        <v/>
      </c>
      <c r="BQ47" s="765">
        <f>((BQ32)+(BQ43))</f>
        <v/>
      </c>
      <c r="BR47" s="765">
        <f>((BR32)+(BR43))</f>
        <v/>
      </c>
      <c r="BS47" s="765">
        <f>((BS32)+(BS43))</f>
        <v/>
      </c>
      <c r="BT47" s="765">
        <f>((BT32)+(BT43))</f>
        <v/>
      </c>
      <c r="BU47" s="765">
        <f>((BU32)+(BU43))</f>
        <v/>
      </c>
      <c r="BV47" s="765">
        <f>((BV32)+(BV43))</f>
        <v/>
      </c>
      <c r="BW47" s="765">
        <f>((BW32)+(BW43))</f>
        <v/>
      </c>
      <c r="BX47" s="765">
        <f>((BX32)+(BX43))</f>
        <v/>
      </c>
      <c r="BY47" s="765">
        <f>((BY32)+(BY43))</f>
        <v/>
      </c>
      <c r="BZ47" s="765">
        <f>((BZ32)+(BZ43))</f>
        <v/>
      </c>
      <c r="CA47" s="765">
        <f>((CA32)+(CA43))</f>
        <v/>
      </c>
      <c r="CB47" s="726" t="n"/>
      <c r="CC47" s="765">
        <f>((CC32)+(CC43))</f>
        <v/>
      </c>
      <c r="CD47" s="765">
        <f>((CD32)+(CD43))</f>
        <v/>
      </c>
      <c r="CE47" s="765">
        <f>((CE32)+(CE43))</f>
        <v/>
      </c>
      <c r="CF47" s="765">
        <f>((CF32)+(CF43))</f>
        <v/>
      </c>
      <c r="CG47" s="765">
        <f>((CG32)+(CG43))</f>
        <v/>
      </c>
      <c r="CH47" s="765">
        <f>((CH32)+(CH43))</f>
        <v/>
      </c>
      <c r="CI47" s="765">
        <f>((CI32)+(CI43))</f>
        <v/>
      </c>
      <c r="CJ47" s="765">
        <f>((CJ32)+(CJ43))</f>
        <v/>
      </c>
      <c r="CK47" s="765">
        <f>((CK32)+(CK43))</f>
        <v/>
      </c>
      <c r="CL47" s="765">
        <f>((CL32)+(CL43))</f>
        <v/>
      </c>
      <c r="CM47" s="765">
        <f>((CM32)+(CM43))</f>
        <v/>
      </c>
      <c r="CN47" s="765">
        <f>((CN32)+(CN43))</f>
        <v/>
      </c>
      <c r="CO47" s="765">
        <f>((CO32)+(CO43))</f>
        <v/>
      </c>
      <c r="CP47" s="726" t="n"/>
      <c r="CQ47" s="765">
        <f>((CQ32)+(CQ43))</f>
        <v/>
      </c>
      <c r="CR47" s="765">
        <f>((CR32)+(CR43))</f>
        <v/>
      </c>
      <c r="CS47" s="765">
        <f>((CS32)+(CS43))</f>
        <v/>
      </c>
      <c r="CT47" s="765">
        <f>((CT32)+(CT43))</f>
        <v/>
      </c>
      <c r="CU47" s="765">
        <f>((CU32)+(CU43))</f>
        <v/>
      </c>
      <c r="CV47" s="765">
        <f>((CV32)+(CV43))</f>
        <v/>
      </c>
      <c r="CW47" s="765">
        <f>((CW32)+(CW43))</f>
        <v/>
      </c>
      <c r="CX47" s="765">
        <f>((CX32)+(CX43))</f>
        <v/>
      </c>
      <c r="CY47" s="765">
        <f>((CY32)+(CY43))</f>
        <v/>
      </c>
      <c r="CZ47" s="765">
        <f>((CZ32)+(CZ43))</f>
        <v/>
      </c>
      <c r="DA47" s="765">
        <f>((DA32)+(DA43))</f>
        <v/>
      </c>
      <c r="DB47" s="765">
        <f>((DB32)+(DB43))</f>
        <v/>
      </c>
      <c r="DC47" s="765">
        <f>((DC32)+(DC43))</f>
        <v/>
      </c>
    </row>
    <row r="48" ht="15" customHeight="1" s="1883">
      <c r="B48" s="726" t="n"/>
      <c r="C48" s="726" t="n"/>
      <c r="D48" s="726" t="n"/>
      <c r="E48" s="726" t="n"/>
      <c r="F48" s="726" t="n"/>
      <c r="G48" s="726" t="n"/>
      <c r="H48" s="726" t="n"/>
      <c r="I48" s="726" t="n"/>
      <c r="J48" s="726" t="n"/>
      <c r="K48" s="726" t="n"/>
      <c r="L48" s="726" t="n"/>
      <c r="M48" s="726" t="n"/>
      <c r="N48" s="726" t="n"/>
      <c r="O48" s="726" t="n"/>
      <c r="P48" s="726" t="n"/>
      <c r="Q48" s="726" t="n"/>
      <c r="R48" s="726" t="n"/>
      <c r="S48" s="726" t="n"/>
      <c r="Y48" s="765">
        <f>(('5B. HC and Salaries - Mgmt.'!AC167)+('5C. HC and Salaries - Support'!AB112))</f>
        <v/>
      </c>
      <c r="Z48" s="765">
        <f>(('5B. HC and Salaries - Mgmt.'!AD167)+('5C. HC and Salaries - Support'!AC112))</f>
        <v/>
      </c>
      <c r="AA48" s="765">
        <f>(('5B. HC and Salaries - Mgmt.'!AE167)+('5C. HC and Salaries - Support'!AD112))</f>
        <v/>
      </c>
      <c r="AB48" s="765">
        <f>(('5B. HC and Salaries - Mgmt.'!AF167)+('5C. HC and Salaries - Support'!AE112))</f>
        <v/>
      </c>
      <c r="AC48" s="765">
        <f>(('5B. HC and Salaries - Mgmt.'!AG167)+('5C. HC and Salaries - Support'!AF112))</f>
        <v/>
      </c>
      <c r="AD48" s="765">
        <f>(('5B. HC and Salaries - Mgmt.'!AH167)+('5C. HC and Salaries - Support'!AG112))</f>
        <v/>
      </c>
      <c r="AE48" s="765">
        <f>(('5B. HC and Salaries - Mgmt.'!AI167)+('5C. HC and Salaries - Support'!AH112))</f>
        <v/>
      </c>
      <c r="AF48" s="765">
        <f>(('5B. HC and Salaries - Mgmt.'!AJ167)+('5C. HC and Salaries - Support'!AI112))</f>
        <v/>
      </c>
      <c r="AG48" s="765">
        <f>(('5B. HC and Salaries - Mgmt.'!AK167)+('5C. HC and Salaries - Support'!AJ112))</f>
        <v/>
      </c>
      <c r="AH48" s="765">
        <f>(('5B. HC and Salaries - Mgmt.'!AL167)+('5C. HC and Salaries - Support'!AK112))</f>
        <v/>
      </c>
      <c r="AI48" s="765">
        <f>(('5B. HC and Salaries - Mgmt.'!AM167)+('5C. HC and Salaries - Support'!AL112))</f>
        <v/>
      </c>
      <c r="AJ48" s="765">
        <f>(('5B. HC and Salaries - Mgmt.'!AN167)+('5C. HC and Salaries - Support'!AM112))</f>
        <v/>
      </c>
      <c r="AK48" s="765">
        <f>(('5B. HC and Salaries - Mgmt.'!AO167)+('5C. HC and Salaries - Support'!AN112))</f>
        <v/>
      </c>
      <c r="AL48" s="726" t="n"/>
      <c r="AM48" s="765">
        <f>(('5B. HC and Salaries - Mgmt.'!AQ167)+('5C. HC and Salaries - Support'!AP112))</f>
        <v/>
      </c>
      <c r="AN48" s="765">
        <f>(('5B. HC and Salaries - Mgmt.'!AR167)+('5C. HC and Salaries - Support'!AQ112))</f>
        <v/>
      </c>
      <c r="AO48" s="765">
        <f>(('5B. HC and Salaries - Mgmt.'!AS167)+('5C. HC and Salaries - Support'!AR112))</f>
        <v/>
      </c>
      <c r="AP48" s="765">
        <f>(('5B. HC and Salaries - Mgmt.'!AT167)+('5C. HC and Salaries - Support'!AS112))</f>
        <v/>
      </c>
      <c r="AQ48" s="765">
        <f>(('5B. HC and Salaries - Mgmt.'!AU167)+('5C. HC and Salaries - Support'!AT112))</f>
        <v/>
      </c>
      <c r="AR48" s="765">
        <f>(('5B. HC and Salaries - Mgmt.'!AV167)+('5C. HC and Salaries - Support'!AU112))</f>
        <v/>
      </c>
      <c r="AS48" s="765">
        <f>(('5B. HC and Salaries - Mgmt.'!AW167)+('5C. HC and Salaries - Support'!AV112))</f>
        <v/>
      </c>
      <c r="AT48" s="765">
        <f>(('5B. HC and Salaries - Mgmt.'!AX167)+('5C. HC and Salaries - Support'!AW112))</f>
        <v/>
      </c>
      <c r="AU48" s="765">
        <f>(('5B. HC and Salaries - Mgmt.'!AY167)+('5C. HC and Salaries - Support'!AX112))</f>
        <v/>
      </c>
      <c r="AV48" s="765">
        <f>(('5B. HC and Salaries - Mgmt.'!AZ167)+('5C. HC and Salaries - Support'!AY112))</f>
        <v/>
      </c>
      <c r="AW48" s="765">
        <f>(('5B. HC and Salaries - Mgmt.'!BA167)+('5C. HC and Salaries - Support'!AZ112))</f>
        <v/>
      </c>
      <c r="AX48" s="765">
        <f>(('5B. HC and Salaries - Mgmt.'!BB167)+('5C. HC and Salaries - Support'!BA112))</f>
        <v/>
      </c>
      <c r="AY48" s="765">
        <f>(('5B. HC and Salaries - Mgmt.'!BC167)+('5C. HC and Salaries - Support'!BB112))</f>
        <v/>
      </c>
      <c r="AZ48" s="726" t="n"/>
      <c r="BA48" s="765">
        <f>(('5B. HC and Salaries - Mgmt.'!BE167)+('5C. HC and Salaries - Support'!BD112))</f>
        <v/>
      </c>
      <c r="BB48" s="765">
        <f>(('5B. HC and Salaries - Mgmt.'!BF167)+('5C. HC and Salaries - Support'!BE112))</f>
        <v/>
      </c>
      <c r="BC48" s="765">
        <f>(('5B. HC and Salaries - Mgmt.'!BG167)+('5C. HC and Salaries - Support'!BF112))</f>
        <v/>
      </c>
      <c r="BD48" s="765">
        <f>(('5B. HC and Salaries - Mgmt.'!BH167)+('5C. HC and Salaries - Support'!BG112))</f>
        <v/>
      </c>
      <c r="BE48" s="765">
        <f>(('5B. HC and Salaries - Mgmt.'!BI167)+('5C. HC and Salaries - Support'!BH112))</f>
        <v/>
      </c>
      <c r="BF48" s="765">
        <f>(('5B. HC and Salaries - Mgmt.'!BJ167)+('5C. HC and Salaries - Support'!BI112))</f>
        <v/>
      </c>
      <c r="BG48" s="765">
        <f>(('5B. HC and Salaries - Mgmt.'!BK167)+('5C. HC and Salaries - Support'!BJ112))</f>
        <v/>
      </c>
      <c r="BH48" s="765">
        <f>(('5B. HC and Salaries - Mgmt.'!BL167)+('5C. HC and Salaries - Support'!BK112))</f>
        <v/>
      </c>
      <c r="BI48" s="765">
        <f>(('5B. HC and Salaries - Mgmt.'!BM167)+('5C. HC and Salaries - Support'!BL112))</f>
        <v/>
      </c>
      <c r="BJ48" s="765">
        <f>(('5B. HC and Salaries - Mgmt.'!BN167)+('5C. HC and Salaries - Support'!BM112))</f>
        <v/>
      </c>
      <c r="BK48" s="765">
        <f>(('5B. HC and Salaries - Mgmt.'!BO167)+('5C. HC and Salaries - Support'!BN112))</f>
        <v/>
      </c>
      <c r="BL48" s="765">
        <f>(('5B. HC and Salaries - Mgmt.'!BP167)+('5C. HC and Salaries - Support'!BO112))</f>
        <v/>
      </c>
      <c r="BM48" s="765">
        <f>(('5B. HC and Salaries - Mgmt.'!BQ167)+('5C. HC and Salaries - Support'!BP112))</f>
        <v/>
      </c>
      <c r="BN48" s="726" t="n"/>
      <c r="BO48" s="765">
        <f>(('5B. HC and Salaries - Mgmt.'!BS167)+('5C. HC and Salaries - Support'!BR112))</f>
        <v/>
      </c>
      <c r="BP48" s="765">
        <f>(('5B. HC and Salaries - Mgmt.'!BT167)+('5C. HC and Salaries - Support'!BS112))</f>
        <v/>
      </c>
      <c r="BQ48" s="765">
        <f>(('5B. HC and Salaries - Mgmt.'!BU167)+('5C. HC and Salaries - Support'!BT112))</f>
        <v/>
      </c>
      <c r="BR48" s="765">
        <f>(('5B. HC and Salaries - Mgmt.'!BV167)+('5C. HC and Salaries - Support'!BU112))</f>
        <v/>
      </c>
      <c r="BS48" s="765">
        <f>(('5B. HC and Salaries - Mgmt.'!BW167)+('5C. HC and Salaries - Support'!BV112))</f>
        <v/>
      </c>
      <c r="BT48" s="765">
        <f>(('5B. HC and Salaries - Mgmt.'!BX167)+('5C. HC and Salaries - Support'!BW112))</f>
        <v/>
      </c>
      <c r="BU48" s="765">
        <f>(('5B. HC and Salaries - Mgmt.'!BY167)+('5C. HC and Salaries - Support'!BX112))</f>
        <v/>
      </c>
      <c r="BV48" s="765">
        <f>(('5B. HC and Salaries - Mgmt.'!BZ167)+('5C. HC and Salaries - Support'!BY112))</f>
        <v/>
      </c>
      <c r="BW48" s="765">
        <f>(('5B. HC and Salaries - Mgmt.'!CA167)+('5C. HC and Salaries - Support'!BZ112))</f>
        <v/>
      </c>
      <c r="BX48" s="765">
        <f>(('5B. HC and Salaries - Mgmt.'!CB167)+('5C. HC and Salaries - Support'!CA112))</f>
        <v/>
      </c>
      <c r="BY48" s="765">
        <f>(('5B. HC and Salaries - Mgmt.'!CC167)+('5C. HC and Salaries - Support'!CB112))</f>
        <v/>
      </c>
      <c r="BZ48" s="765">
        <f>(('5B. HC and Salaries - Mgmt.'!CD167)+('5C. HC and Salaries - Support'!CC112))</f>
        <v/>
      </c>
      <c r="CA48" s="765">
        <f>(('5B. HC and Salaries - Mgmt.'!CE167)+('5C. HC and Salaries - Support'!CD112))</f>
        <v/>
      </c>
      <c r="CB48" s="726" t="n"/>
      <c r="CC48" s="765">
        <f>(('5B. HC and Salaries - Mgmt.'!CG167)+('5C. HC and Salaries - Support'!CF112))</f>
        <v/>
      </c>
      <c r="CD48" s="765">
        <f>(('5B. HC and Salaries - Mgmt.'!CH167)+('5C. HC and Salaries - Support'!CG112))</f>
        <v/>
      </c>
      <c r="CE48" s="765">
        <f>(('5B. HC and Salaries - Mgmt.'!CI167)+('5C. HC and Salaries - Support'!CH112))</f>
        <v/>
      </c>
      <c r="CF48" s="765">
        <f>(('5B. HC and Salaries - Mgmt.'!CJ167)+('5C. HC and Salaries - Support'!CI112))</f>
        <v/>
      </c>
      <c r="CG48" s="765">
        <f>(('5B. HC and Salaries - Mgmt.'!CK167)+('5C. HC and Salaries - Support'!CJ112))</f>
        <v/>
      </c>
      <c r="CH48" s="765">
        <f>(('5B. HC and Salaries - Mgmt.'!CL167)+('5C. HC and Salaries - Support'!CK112))</f>
        <v/>
      </c>
      <c r="CI48" s="765">
        <f>(('5B. HC and Salaries - Mgmt.'!CM167)+('5C. HC and Salaries - Support'!CL112))</f>
        <v/>
      </c>
      <c r="CJ48" s="765">
        <f>(('5B. HC and Salaries - Mgmt.'!CN167)+('5C. HC and Salaries - Support'!CM112))</f>
        <v/>
      </c>
      <c r="CK48" s="765">
        <f>(('5B. HC and Salaries - Mgmt.'!CO167)+('5C. HC and Salaries - Support'!CN112))</f>
        <v/>
      </c>
      <c r="CL48" s="765">
        <f>(('5B. HC and Salaries - Mgmt.'!CP167)+('5C. HC and Salaries - Support'!CO112))</f>
        <v/>
      </c>
      <c r="CM48" s="765">
        <f>(('5B. HC and Salaries - Mgmt.'!CQ167)+('5C. HC and Salaries - Support'!CP112))</f>
        <v/>
      </c>
      <c r="CN48" s="765">
        <f>(('5B. HC and Salaries - Mgmt.'!CR167)+('5C. HC and Salaries - Support'!CQ112))</f>
        <v/>
      </c>
      <c r="CO48" s="765">
        <f>(('5B. HC and Salaries - Mgmt.'!CS167)+('5C. HC and Salaries - Support'!CR112))</f>
        <v/>
      </c>
      <c r="CP48" s="726" t="n"/>
      <c r="CQ48" s="765">
        <f>(('5B. HC and Salaries - Mgmt.'!CU167)+('5C. HC and Salaries - Support'!CT112))</f>
        <v/>
      </c>
      <c r="CR48" s="765">
        <f>(('5B. HC and Salaries - Mgmt.'!CV167)+('5C. HC and Salaries - Support'!CU112))</f>
        <v/>
      </c>
      <c r="CS48" s="765">
        <f>(('5B. HC and Salaries - Mgmt.'!CW167)+('5C. HC and Salaries - Support'!CV112))</f>
        <v/>
      </c>
      <c r="CT48" s="765">
        <f>(('5B. HC and Salaries - Mgmt.'!CX167)+('5C. HC and Salaries - Support'!CW112))</f>
        <v/>
      </c>
      <c r="CU48" s="765">
        <f>(('5B. HC and Salaries - Mgmt.'!CY167)+('5C. HC and Salaries - Support'!CX112))</f>
        <v/>
      </c>
      <c r="CV48" s="765">
        <f>(('5B. HC and Salaries - Mgmt.'!CZ167)+('5C. HC and Salaries - Support'!CY112))</f>
        <v/>
      </c>
      <c r="CW48" s="765">
        <f>(('5B. HC and Salaries - Mgmt.'!DA167)+('5C. HC and Salaries - Support'!CZ112))</f>
        <v/>
      </c>
      <c r="CX48" s="765">
        <f>(('5B. HC and Salaries - Mgmt.'!DB167)+('5C. HC and Salaries - Support'!DA112))</f>
        <v/>
      </c>
      <c r="CY48" s="765">
        <f>(('5B. HC and Salaries - Mgmt.'!DC167)+('5C. HC and Salaries - Support'!DB112))</f>
        <v/>
      </c>
      <c r="CZ48" s="765">
        <f>(('5B. HC and Salaries - Mgmt.'!DD167)+('5C. HC and Salaries - Support'!DC112))</f>
        <v/>
      </c>
      <c r="DA48" s="765">
        <f>(('5B. HC and Salaries - Mgmt.'!DE167)+('5C. HC and Salaries - Support'!DD112))</f>
        <v/>
      </c>
      <c r="DB48" s="765">
        <f>(('5B. HC and Salaries - Mgmt.'!DF167)+('5C. HC and Salaries - Support'!DE112))</f>
        <v/>
      </c>
      <c r="DC48" s="765">
        <f>(('5B. HC and Salaries - Mgmt.'!DG167)+('5C. HC and Salaries - Support'!DF112))</f>
        <v/>
      </c>
    </row>
    <row r="50">
      <c r="AK50" s="507" t="n"/>
    </row>
    <row r="51" ht="15" customHeight="1" s="1883">
      <c r="B51" s="733" t="inlineStr">
        <is>
          <t>Payroll Taxes</t>
        </is>
      </c>
      <c r="C51" s="726" t="n"/>
      <c r="D51" s="726" t="n"/>
      <c r="E51" s="726" t="n"/>
      <c r="F51" s="726" t="n"/>
      <c r="G51" s="726" t="n"/>
      <c r="H51" s="726" t="n"/>
      <c r="I51" s="726" t="n"/>
      <c r="J51" s="726" t="n"/>
      <c r="K51" s="726" t="n"/>
      <c r="L51" s="726" t="n"/>
      <c r="M51" s="726" t="n"/>
      <c r="N51" s="726" t="n"/>
      <c r="O51" s="726" t="n"/>
      <c r="P51" s="726" t="n"/>
      <c r="Q51" s="726" t="n"/>
      <c r="R51" s="726" t="n"/>
      <c r="S51" s="726" t="n"/>
      <c r="T51" s="726" t="n"/>
      <c r="U51" s="726" t="n"/>
      <c r="V51" s="726" t="n"/>
      <c r="W51" s="726" t="n"/>
      <c r="X51" s="726" t="n"/>
      <c r="Y51" s="726" t="n"/>
      <c r="Z51" s="726" t="n"/>
      <c r="AA51" s="726" t="n"/>
      <c r="AB51" s="726" t="n"/>
      <c r="AC51" s="726" t="n"/>
      <c r="AD51" s="726" t="n"/>
      <c r="AE51" s="726" t="n"/>
      <c r="AF51" s="726" t="n"/>
      <c r="AG51" s="726" t="n"/>
      <c r="AH51" s="726" t="n"/>
      <c r="AI51" s="726" t="n"/>
      <c r="AJ51" s="726" t="n"/>
      <c r="AK51" s="726" t="n"/>
      <c r="AL51" s="726" t="n"/>
      <c r="AM51" s="726" t="n"/>
      <c r="AN51" s="726" t="n"/>
      <c r="AO51" s="726" t="n"/>
      <c r="AP51" s="726" t="n"/>
      <c r="AQ51" s="726" t="n"/>
      <c r="AR51" s="726" t="n"/>
      <c r="AS51" s="726" t="n"/>
      <c r="AT51" s="726" t="n"/>
      <c r="AU51" s="726" t="n"/>
      <c r="AV51" s="726" t="n"/>
      <c r="AW51" s="726" t="n"/>
      <c r="AX51" s="726" t="n"/>
      <c r="AY51" s="726" t="n"/>
      <c r="AZ51" s="726" t="n"/>
      <c r="BA51" s="726" t="n"/>
      <c r="BB51" s="726" t="n"/>
      <c r="BC51" s="726" t="n"/>
      <c r="BD51" s="726" t="n"/>
      <c r="BE51" s="726" t="n"/>
      <c r="BF51" s="726" t="n"/>
      <c r="BG51" s="726" t="n"/>
      <c r="BH51" s="726" t="n"/>
      <c r="BI51" s="726" t="n"/>
      <c r="BJ51" s="726" t="n"/>
      <c r="BK51" s="726" t="n"/>
      <c r="BL51" s="726" t="n"/>
      <c r="BM51" s="726" t="n"/>
      <c r="BN51" s="726" t="n"/>
      <c r="BO51" s="726" t="n"/>
      <c r="BP51" s="726" t="n"/>
      <c r="BQ51" s="726" t="n"/>
      <c r="BR51" s="726" t="n"/>
      <c r="BS51" s="726" t="n"/>
      <c r="BT51" s="726" t="n"/>
      <c r="BU51" s="726" t="n"/>
      <c r="BV51" s="726" t="n"/>
      <c r="BW51" s="726" t="n"/>
      <c r="BX51" s="726" t="n"/>
      <c r="BY51" s="726" t="n"/>
      <c r="BZ51" s="726" t="n"/>
      <c r="CA51" s="726" t="n"/>
      <c r="CB51" s="726" t="n"/>
      <c r="CC51" s="726" t="n"/>
      <c r="CD51" s="726" t="n"/>
      <c r="CE51" s="726" t="n"/>
      <c r="CF51" s="726" t="n"/>
      <c r="CG51" s="726" t="n"/>
      <c r="CH51" s="726" t="n"/>
      <c r="CI51" s="726" t="n"/>
      <c r="CJ51" s="726" t="n"/>
      <c r="CK51" s="726" t="n"/>
      <c r="CL51" s="726" t="n"/>
      <c r="CM51" s="726" t="n"/>
      <c r="CN51" s="726" t="n"/>
      <c r="CO51" s="726" t="n"/>
      <c r="CP51" s="726" t="n"/>
      <c r="CQ51" s="726" t="n"/>
      <c r="CR51" s="726" t="n"/>
      <c r="CS51" s="726" t="n"/>
      <c r="CT51" s="726" t="n"/>
      <c r="CU51" s="726" t="n"/>
      <c r="CV51" s="726" t="n"/>
      <c r="CW51" s="726" t="n"/>
      <c r="CX51" s="726" t="n"/>
      <c r="CY51" s="726" t="n"/>
      <c r="CZ51" s="726" t="n"/>
      <c r="DA51" s="726" t="n"/>
      <c r="DB51" s="726" t="n"/>
      <c r="DC51" s="726" t="n"/>
    </row>
    <row r="52" ht="3" customHeight="1" s="1883">
      <c r="B52" s="734" t="n"/>
      <c r="C52" s="734" t="n"/>
      <c r="D52" s="734" t="n"/>
      <c r="E52" s="734" t="n"/>
      <c r="F52" s="734" t="n"/>
      <c r="G52" s="726" t="n"/>
      <c r="H52" s="726" t="n"/>
      <c r="I52" s="726" t="n"/>
      <c r="J52" s="726" t="n"/>
      <c r="K52" s="726" t="n"/>
      <c r="L52" s="726" t="n"/>
      <c r="M52" s="726" t="n"/>
      <c r="N52" s="726" t="n"/>
      <c r="O52" s="726" t="n"/>
      <c r="P52" s="726" t="n"/>
      <c r="Q52" s="726" t="n"/>
      <c r="R52" s="726" t="n"/>
      <c r="S52" s="726" t="n"/>
      <c r="T52" s="726" t="n"/>
      <c r="U52" s="726" t="n"/>
      <c r="V52" s="726" t="n"/>
      <c r="W52" s="726" t="n"/>
      <c r="X52" s="726" t="n"/>
      <c r="Y52" s="726" t="n"/>
      <c r="Z52" s="726" t="n"/>
      <c r="AA52" s="726" t="n"/>
      <c r="AB52" s="726" t="n"/>
      <c r="AC52" s="726" t="n"/>
      <c r="AD52" s="726" t="n"/>
      <c r="AE52" s="726" t="n"/>
      <c r="AF52" s="726" t="n"/>
      <c r="AG52" s="726" t="n"/>
      <c r="AH52" s="726" t="n"/>
      <c r="AI52" s="726" t="n"/>
      <c r="AJ52" s="726" t="n"/>
      <c r="AK52" s="726" t="n"/>
      <c r="AL52" s="726" t="n"/>
      <c r="AM52" s="726" t="n"/>
      <c r="AN52" s="726" t="n"/>
      <c r="AO52" s="726" t="n"/>
      <c r="AP52" s="726" t="n"/>
      <c r="AQ52" s="726" t="n"/>
      <c r="AR52" s="726" t="n"/>
      <c r="AS52" s="726" t="n"/>
      <c r="AT52" s="726" t="n"/>
      <c r="AU52" s="726" t="n"/>
      <c r="AV52" s="726" t="n"/>
      <c r="AW52" s="726" t="n"/>
      <c r="AX52" s="726" t="n"/>
      <c r="AY52" s="726" t="n"/>
      <c r="AZ52" s="726" t="n"/>
      <c r="BA52" s="726" t="n"/>
      <c r="BB52" s="726" t="n"/>
      <c r="BC52" s="726" t="n"/>
      <c r="BD52" s="726" t="n"/>
      <c r="BE52" s="726" t="n"/>
      <c r="BF52" s="726" t="n"/>
      <c r="BG52" s="726" t="n"/>
      <c r="BH52" s="726" t="n"/>
      <c r="BI52" s="726" t="n"/>
      <c r="BJ52" s="726" t="n"/>
      <c r="BK52" s="726" t="n"/>
      <c r="BL52" s="726" t="n"/>
      <c r="BM52" s="726" t="n"/>
      <c r="BN52" s="726" t="n"/>
      <c r="BO52" s="726" t="n"/>
      <c r="BP52" s="726" t="n"/>
      <c r="BQ52" s="726" t="n"/>
      <c r="BR52" s="726" t="n"/>
      <c r="BS52" s="726" t="n"/>
      <c r="BT52" s="726" t="n"/>
      <c r="BU52" s="726" t="n"/>
      <c r="BV52" s="726" t="n"/>
      <c r="BW52" s="726" t="n"/>
      <c r="BX52" s="726" t="n"/>
      <c r="BY52" s="726" t="n"/>
      <c r="BZ52" s="726" t="n"/>
      <c r="CA52" s="726" t="n"/>
      <c r="CB52" s="726" t="n"/>
      <c r="CC52" s="726" t="n"/>
      <c r="CD52" s="726" t="n"/>
      <c r="CE52" s="726" t="n"/>
      <c r="CF52" s="726" t="n"/>
      <c r="CG52" s="726" t="n"/>
      <c r="CH52" s="726" t="n"/>
      <c r="CI52" s="726" t="n"/>
      <c r="CJ52" s="726" t="n"/>
      <c r="CK52" s="726" t="n"/>
      <c r="CL52" s="726" t="n"/>
      <c r="CM52" s="726" t="n"/>
      <c r="CN52" s="726" t="n"/>
      <c r="CO52" s="726" t="n"/>
      <c r="CP52" s="726" t="n"/>
      <c r="CQ52" s="726" t="n"/>
      <c r="CR52" s="726" t="n"/>
      <c r="CS52" s="726" t="n"/>
      <c r="CT52" s="726" t="n"/>
      <c r="CU52" s="726" t="n"/>
      <c r="CV52" s="726" t="n"/>
      <c r="CW52" s="726" t="n"/>
      <c r="CX52" s="726" t="n"/>
      <c r="CY52" s="726" t="n"/>
      <c r="CZ52" s="726" t="n"/>
      <c r="DA52" s="726" t="n"/>
      <c r="DB52" s="726" t="n"/>
      <c r="DC52" s="726" t="n"/>
    </row>
    <row r="53" ht="3" customHeight="1" s="1883">
      <c r="B53" s="726" t="n"/>
      <c r="C53" s="726" t="n"/>
      <c r="D53" s="726" t="n"/>
      <c r="E53" s="726" t="n"/>
      <c r="F53" s="726" t="n"/>
      <c r="G53" s="726" t="n"/>
      <c r="H53" s="726" t="n"/>
      <c r="I53" s="726" t="n"/>
      <c r="J53" s="726" t="n"/>
      <c r="K53" s="726" t="n"/>
      <c r="L53" s="726" t="n"/>
      <c r="M53" s="726" t="n"/>
      <c r="N53" s="726" t="n"/>
      <c r="O53" s="726" t="n"/>
      <c r="P53" s="726" t="n"/>
      <c r="Q53" s="726" t="n"/>
      <c r="R53" s="726" t="n"/>
      <c r="S53" s="726" t="n"/>
      <c r="T53" s="726" t="n"/>
      <c r="U53" s="726" t="n"/>
      <c r="V53" s="726" t="n"/>
      <c r="W53" s="726" t="n"/>
      <c r="X53" s="726" t="n"/>
      <c r="Y53" s="726" t="n"/>
      <c r="Z53" s="726" t="n"/>
      <c r="AA53" s="726" t="n"/>
      <c r="AB53" s="726" t="n"/>
      <c r="AC53" s="726" t="n"/>
      <c r="AD53" s="726" t="n"/>
      <c r="AE53" s="726" t="n"/>
      <c r="AF53" s="726" t="n"/>
      <c r="AG53" s="726" t="n"/>
      <c r="AH53" s="726" t="n"/>
      <c r="AI53" s="726" t="n"/>
      <c r="AJ53" s="726" t="n"/>
      <c r="AK53" s="726" t="n"/>
      <c r="AL53" s="726" t="n"/>
      <c r="AM53" s="726" t="n"/>
      <c r="AN53" s="726" t="n"/>
      <c r="AO53" s="726" t="n"/>
      <c r="AP53" s="726" t="n"/>
      <c r="AQ53" s="726" t="n"/>
      <c r="AR53" s="726" t="n"/>
      <c r="AS53" s="726" t="n"/>
      <c r="AT53" s="726" t="n"/>
      <c r="AU53" s="726" t="n"/>
      <c r="AV53" s="726" t="n"/>
      <c r="AW53" s="726" t="n"/>
      <c r="AX53" s="726" t="n"/>
      <c r="AY53" s="726" t="n"/>
      <c r="AZ53" s="726" t="n"/>
      <c r="BA53" s="726" t="n"/>
      <c r="BB53" s="726" t="n"/>
      <c r="BC53" s="726" t="n"/>
      <c r="BD53" s="726" t="n"/>
      <c r="BE53" s="726" t="n"/>
      <c r="BF53" s="726" t="n"/>
      <c r="BG53" s="726" t="n"/>
      <c r="BH53" s="726" t="n"/>
      <c r="BI53" s="726" t="n"/>
      <c r="BJ53" s="726" t="n"/>
      <c r="BK53" s="726" t="n"/>
      <c r="BL53" s="726" t="n"/>
      <c r="BM53" s="726" t="n"/>
      <c r="BN53" s="726" t="n"/>
      <c r="BO53" s="726" t="n"/>
      <c r="BP53" s="726" t="n"/>
      <c r="BQ53" s="726" t="n"/>
      <c r="BR53" s="726" t="n"/>
      <c r="BS53" s="726" t="n"/>
      <c r="BT53" s="726" t="n"/>
      <c r="BU53" s="726" t="n"/>
      <c r="BV53" s="726" t="n"/>
      <c r="BW53" s="726" t="n"/>
      <c r="BX53" s="726" t="n"/>
      <c r="BY53" s="726" t="n"/>
      <c r="BZ53" s="726" t="n"/>
      <c r="CA53" s="726" t="n"/>
      <c r="CB53" s="726" t="n"/>
      <c r="CC53" s="726" t="n"/>
      <c r="CD53" s="726" t="n"/>
      <c r="CE53" s="726" t="n"/>
      <c r="CF53" s="726" t="n"/>
      <c r="CG53" s="726" t="n"/>
      <c r="CH53" s="726" t="n"/>
      <c r="CI53" s="726" t="n"/>
      <c r="CJ53" s="726" t="n"/>
      <c r="CK53" s="726" t="n"/>
      <c r="CL53" s="726" t="n"/>
      <c r="CM53" s="726" t="n"/>
      <c r="CN53" s="726" t="n"/>
      <c r="CO53" s="726" t="n"/>
      <c r="CP53" s="726" t="n"/>
      <c r="CQ53" s="726" t="n"/>
      <c r="CR53" s="726" t="n"/>
      <c r="CS53" s="726" t="n"/>
      <c r="CT53" s="726" t="n"/>
      <c r="CU53" s="726" t="n"/>
      <c r="CV53" s="726" t="n"/>
      <c r="CW53" s="726" t="n"/>
      <c r="CX53" s="726" t="n"/>
      <c r="CY53" s="726" t="n"/>
      <c r="CZ53" s="726" t="n"/>
      <c r="DA53" s="726" t="n"/>
      <c r="DB53" s="726" t="n"/>
      <c r="DC53" s="726" t="n"/>
    </row>
    <row r="54" ht="15" customHeight="1" s="1883">
      <c r="B54" s="729" t="inlineStr">
        <is>
          <t>●</t>
        </is>
      </c>
      <c r="C54" s="733" t="inlineStr">
        <is>
          <t>CONUS</t>
        </is>
      </c>
      <c r="D54" s="726" t="n"/>
      <c r="E54" s="726" t="n"/>
      <c r="F54" s="726" t="n"/>
      <c r="G54" s="726" t="n"/>
      <c r="H54" s="726" t="n"/>
      <c r="I54" s="726" t="n"/>
      <c r="J54" s="726" t="n"/>
      <c r="K54" s="726" t="n"/>
      <c r="L54" s="726" t="n"/>
      <c r="M54" s="726" t="n"/>
      <c r="N54" s="726" t="n"/>
      <c r="O54" s="726" t="n"/>
      <c r="P54" s="726" t="n"/>
      <c r="Q54" s="726" t="n"/>
      <c r="R54" s="726" t="n"/>
      <c r="S54" s="726" t="n"/>
      <c r="T54" s="726" t="n"/>
      <c r="U54" s="726" t="n"/>
      <c r="V54" s="726" t="n"/>
      <c r="W54" s="726" t="n"/>
      <c r="X54" s="726" t="n"/>
      <c r="Y54" s="726" t="n"/>
      <c r="Z54" s="726" t="n"/>
      <c r="AA54" s="726" t="n"/>
      <c r="AB54" s="726" t="n"/>
      <c r="AC54" s="726" t="n"/>
      <c r="AD54" s="726" t="n"/>
      <c r="AE54" s="726" t="n"/>
      <c r="AF54" s="726" t="n"/>
      <c r="AG54" s="726" t="n"/>
      <c r="AH54" s="726" t="n"/>
      <c r="AI54" s="726" t="n"/>
      <c r="AJ54" s="726" t="n"/>
      <c r="AK54" s="726" t="n"/>
      <c r="AL54" s="726" t="n"/>
      <c r="AM54" s="726" t="n"/>
      <c r="AN54" s="726" t="n"/>
      <c r="AO54" s="726" t="n"/>
      <c r="AP54" s="726" t="n"/>
      <c r="AQ54" s="726" t="n"/>
      <c r="AR54" s="726" t="n"/>
      <c r="AS54" s="726" t="n"/>
      <c r="AT54" s="726" t="n"/>
      <c r="AU54" s="726" t="n"/>
      <c r="AV54" s="726" t="n"/>
      <c r="AW54" s="726" t="n"/>
      <c r="AX54" s="726" t="n"/>
      <c r="AY54" s="726" t="n"/>
      <c r="AZ54" s="726" t="n"/>
      <c r="BA54" s="726" t="n"/>
      <c r="BB54" s="726" t="n"/>
      <c r="BC54" s="726" t="n"/>
      <c r="BD54" s="726" t="n"/>
      <c r="BE54" s="726" t="n"/>
      <c r="BF54" s="726" t="n"/>
      <c r="BG54" s="726" t="n"/>
      <c r="BH54" s="726" t="n"/>
      <c r="BI54" s="726" t="n"/>
      <c r="BJ54" s="726" t="n"/>
      <c r="BK54" s="726" t="n"/>
      <c r="BL54" s="726" t="n"/>
      <c r="BM54" s="726" t="n"/>
      <c r="BN54" s="726" t="n"/>
      <c r="BO54" s="726" t="n"/>
      <c r="BP54" s="726" t="n"/>
      <c r="BQ54" s="726" t="n"/>
      <c r="BR54" s="726" t="n"/>
      <c r="BS54" s="726" t="n"/>
      <c r="BT54" s="726" t="n"/>
      <c r="BU54" s="726" t="n"/>
      <c r="BV54" s="726" t="n"/>
      <c r="BW54" s="726" t="n"/>
      <c r="BX54" s="726" t="n"/>
      <c r="BY54" s="726" t="n"/>
      <c r="BZ54" s="726" t="n"/>
      <c r="CA54" s="726" t="n"/>
      <c r="CB54" s="726" t="n"/>
      <c r="CC54" s="726" t="n"/>
      <c r="CD54" s="726" t="n"/>
      <c r="CE54" s="726" t="n"/>
      <c r="CF54" s="726" t="n"/>
      <c r="CG54" s="726" t="n"/>
      <c r="CH54" s="726" t="n"/>
      <c r="CI54" s="726" t="n"/>
      <c r="CJ54" s="726" t="n"/>
      <c r="CK54" s="726" t="n"/>
      <c r="CL54" s="726" t="n"/>
      <c r="CM54" s="726" t="n"/>
      <c r="CN54" s="726" t="n"/>
      <c r="CO54" s="726" t="n"/>
      <c r="CP54" s="726" t="n"/>
      <c r="CQ54" s="726" t="n"/>
      <c r="CR54" s="726" t="n"/>
      <c r="CS54" s="726" t="n"/>
      <c r="CT54" s="726" t="n"/>
      <c r="CU54" s="726" t="n"/>
      <c r="CV54" s="726" t="n"/>
      <c r="CW54" s="726" t="n"/>
      <c r="CX54" s="726" t="n"/>
      <c r="CY54" s="726" t="n"/>
      <c r="CZ54" s="726" t="n"/>
      <c r="DA54" s="726" t="n"/>
      <c r="DB54" s="726" t="n"/>
      <c r="DC54" s="726" t="n"/>
    </row>
    <row r="55" ht="15" customHeight="1" s="1883">
      <c r="B55" s="726" t="n"/>
      <c r="C55" s="726" t="n"/>
      <c r="D55" s="726" t="inlineStr">
        <is>
          <t>Taxable Salaries</t>
        </is>
      </c>
      <c r="E55" s="726" t="n"/>
      <c r="F55" s="726" t="n"/>
      <c r="G55" s="726" t="n"/>
      <c r="H55" s="726" t="n"/>
      <c r="I55" s="726" t="n"/>
      <c r="J55" s="726" t="n"/>
      <c r="K55" s="726" t="n"/>
      <c r="L55" s="726" t="n"/>
      <c r="M55" s="726" t="n"/>
      <c r="N55" s="726" t="n"/>
      <c r="O55" s="726" t="n"/>
      <c r="P55" s="726" t="n"/>
      <c r="Q55" s="726" t="n"/>
      <c r="R55" s="726" t="n"/>
      <c r="S55" s="726" t="n"/>
      <c r="T55" s="726" t="n"/>
      <c r="U55" s="726" t="n"/>
      <c r="V55" s="726" t="n"/>
      <c r="W55" s="726" t="n"/>
      <c r="X55" s="726" t="n"/>
      <c r="Y55" s="702">
        <f>(Y32)</f>
        <v/>
      </c>
      <c r="Z55" s="702">
        <f>(Z32)</f>
        <v/>
      </c>
      <c r="AA55" s="702">
        <f>(AA32)</f>
        <v/>
      </c>
      <c r="AB55" s="702">
        <f>(AB32)</f>
        <v/>
      </c>
      <c r="AC55" s="702">
        <f>(AC32)</f>
        <v/>
      </c>
      <c r="AD55" s="702">
        <f>(AD32)</f>
        <v/>
      </c>
      <c r="AE55" s="702">
        <f>(AE32)</f>
        <v/>
      </c>
      <c r="AF55" s="702">
        <f>(AF32)</f>
        <v/>
      </c>
      <c r="AG55" s="702">
        <f>(AG32)</f>
        <v/>
      </c>
      <c r="AH55" s="702">
        <f>(AH32)</f>
        <v/>
      </c>
      <c r="AI55" s="702">
        <f>(AI32)</f>
        <v/>
      </c>
      <c r="AJ55" s="702">
        <f>(AJ32)</f>
        <v/>
      </c>
      <c r="AK55" s="765">
        <f>(AK32)</f>
        <v/>
      </c>
      <c r="AL55" s="726" t="n"/>
      <c r="AM55" s="702">
        <f>(AM32)</f>
        <v/>
      </c>
      <c r="AN55" s="702">
        <f>(AN32)</f>
        <v/>
      </c>
      <c r="AO55" s="702">
        <f>(AO32)</f>
        <v/>
      </c>
      <c r="AP55" s="702">
        <f>(AP32)</f>
        <v/>
      </c>
      <c r="AQ55" s="702">
        <f>(AQ32)</f>
        <v/>
      </c>
      <c r="AR55" s="702">
        <f>(AR32)</f>
        <v/>
      </c>
      <c r="AS55" s="702">
        <f>(AS32)</f>
        <v/>
      </c>
      <c r="AT55" s="702">
        <f>(AT32)</f>
        <v/>
      </c>
      <c r="AU55" s="702">
        <f>(AU32)</f>
        <v/>
      </c>
      <c r="AV55" s="702">
        <f>(AV32)</f>
        <v/>
      </c>
      <c r="AW55" s="702">
        <f>(AW32)</f>
        <v/>
      </c>
      <c r="AX55" s="702">
        <f>(AX32)</f>
        <v/>
      </c>
      <c r="AY55" s="765">
        <f>(AY32)</f>
        <v/>
      </c>
      <c r="AZ55" s="726" t="n"/>
      <c r="BA55" s="702">
        <f>(BA32)</f>
        <v/>
      </c>
      <c r="BB55" s="702">
        <f>(BB32)</f>
        <v/>
      </c>
      <c r="BC55" s="702">
        <f>(BC32)</f>
        <v/>
      </c>
      <c r="BD55" s="702">
        <f>(BD32)</f>
        <v/>
      </c>
      <c r="BE55" s="702">
        <f>(BE32)</f>
        <v/>
      </c>
      <c r="BF55" s="702">
        <f>(BF32)</f>
        <v/>
      </c>
      <c r="BG55" s="702">
        <f>(BG32)</f>
        <v/>
      </c>
      <c r="BH55" s="702">
        <f>(BH32)</f>
        <v/>
      </c>
      <c r="BI55" s="702">
        <f>(BI32)</f>
        <v/>
      </c>
      <c r="BJ55" s="702">
        <f>(BJ32)</f>
        <v/>
      </c>
      <c r="BK55" s="702">
        <f>(BK32)</f>
        <v/>
      </c>
      <c r="BL55" s="702">
        <f>(BL32)</f>
        <v/>
      </c>
      <c r="BM55" s="765">
        <f>(BM32)</f>
        <v/>
      </c>
      <c r="BN55" s="726" t="n"/>
      <c r="BO55" s="702">
        <f>(BO32)</f>
        <v/>
      </c>
      <c r="BP55" s="702">
        <f>(BP32)</f>
        <v/>
      </c>
      <c r="BQ55" s="702">
        <f>(BQ32)</f>
        <v/>
      </c>
      <c r="BR55" s="702">
        <f>(BR32)</f>
        <v/>
      </c>
      <c r="BS55" s="702">
        <f>(BS32)</f>
        <v/>
      </c>
      <c r="BT55" s="702">
        <f>(BT32)</f>
        <v/>
      </c>
      <c r="BU55" s="702">
        <f>(BU32)</f>
        <v/>
      </c>
      <c r="BV55" s="702">
        <f>(BV32)</f>
        <v/>
      </c>
      <c r="BW55" s="702">
        <f>(BW32)</f>
        <v/>
      </c>
      <c r="BX55" s="702">
        <f>(BX32)</f>
        <v/>
      </c>
      <c r="BY55" s="702">
        <f>(BY32)</f>
        <v/>
      </c>
      <c r="BZ55" s="702">
        <f>(BZ32)</f>
        <v/>
      </c>
      <c r="CA55" s="765">
        <f>(CA32)</f>
        <v/>
      </c>
      <c r="CB55" s="726" t="n"/>
      <c r="CC55" s="702">
        <f>(CC32)</f>
        <v/>
      </c>
      <c r="CD55" s="702">
        <f>(CD32)</f>
        <v/>
      </c>
      <c r="CE55" s="702">
        <f>(CE32)</f>
        <v/>
      </c>
      <c r="CF55" s="702">
        <f>(CF32)</f>
        <v/>
      </c>
      <c r="CG55" s="702">
        <f>(CG32)</f>
        <v/>
      </c>
      <c r="CH55" s="702">
        <f>(CH32)</f>
        <v/>
      </c>
      <c r="CI55" s="702">
        <f>(CI32)</f>
        <v/>
      </c>
      <c r="CJ55" s="702">
        <f>(CJ32)</f>
        <v/>
      </c>
      <c r="CK55" s="702">
        <f>(CK32)</f>
        <v/>
      </c>
      <c r="CL55" s="702">
        <f>(CL32)</f>
        <v/>
      </c>
      <c r="CM55" s="702">
        <f>(CM32)</f>
        <v/>
      </c>
      <c r="CN55" s="702">
        <f>(CN32)</f>
        <v/>
      </c>
      <c r="CO55" s="765">
        <f>(CO32)</f>
        <v/>
      </c>
      <c r="CP55" s="726" t="n"/>
      <c r="CQ55" s="702">
        <f>(CQ32)</f>
        <v/>
      </c>
      <c r="CR55" s="702">
        <f>(CR32)</f>
        <v/>
      </c>
      <c r="CS55" s="702">
        <f>(CS32)</f>
        <v/>
      </c>
      <c r="CT55" s="702">
        <f>(CT32)</f>
        <v/>
      </c>
      <c r="CU55" s="702">
        <f>(CU32)</f>
        <v/>
      </c>
      <c r="CV55" s="702">
        <f>(CV32)</f>
        <v/>
      </c>
      <c r="CW55" s="702">
        <f>(CW32)</f>
        <v/>
      </c>
      <c r="CX55" s="702">
        <f>(CX32)</f>
        <v/>
      </c>
      <c r="CY55" s="702">
        <f>(CY32)</f>
        <v/>
      </c>
      <c r="CZ55" s="702">
        <f>(CZ32)</f>
        <v/>
      </c>
      <c r="DA55" s="702">
        <f>(DA32)</f>
        <v/>
      </c>
      <c r="DB55" s="702">
        <f>(DB32)</f>
        <v/>
      </c>
      <c r="DC55" s="765">
        <f>(DC32)</f>
        <v/>
      </c>
    </row>
    <row r="56" ht="15" customHeight="1" s="1883">
      <c r="B56" s="726" t="n"/>
      <c r="C56" s="726" t="n"/>
      <c r="E56" s="733" t="inlineStr">
        <is>
          <t>Employer Payroll Taxes at 9.00%</t>
        </is>
      </c>
      <c r="F56" s="726" t="n"/>
      <c r="G56" s="726" t="n"/>
      <c r="H56" s="726" t="n"/>
      <c r="I56" s="726" t="n"/>
      <c r="J56" s="726" t="n"/>
      <c r="K56" s="726" t="n"/>
      <c r="L56" s="726" t="n"/>
      <c r="M56" s="726" t="n"/>
      <c r="N56" s="726" t="n"/>
      <c r="O56" s="726" t="n"/>
      <c r="P56" s="726" t="n"/>
      <c r="Q56" s="726" t="n"/>
      <c r="R56" s="726" t="n"/>
      <c r="S56" s="726" t="n"/>
      <c r="T56" s="726" t="n"/>
      <c r="U56" s="726" t="n"/>
      <c r="V56" s="726" t="n"/>
      <c r="W56" s="726" t="n"/>
      <c r="X56" s="726" t="n"/>
      <c r="Y56" s="765">
        <f>((0.09)*(Y55))</f>
        <v/>
      </c>
      <c r="Z56" s="765">
        <f>((0.09)*(Z55))</f>
        <v/>
      </c>
      <c r="AA56" s="765">
        <f>((0.09)*(AA55))</f>
        <v/>
      </c>
      <c r="AB56" s="765">
        <f>((0.09)*(AB55))</f>
        <v/>
      </c>
      <c r="AC56" s="765">
        <f>((0.09)*(AC55))</f>
        <v/>
      </c>
      <c r="AD56" s="765">
        <f>((0.09)*(AD55))</f>
        <v/>
      </c>
      <c r="AE56" s="765">
        <f>((0.09)*(AE55))</f>
        <v/>
      </c>
      <c r="AF56" s="765">
        <f>((0.09)*(AF55))</f>
        <v/>
      </c>
      <c r="AG56" s="765">
        <f>((0.09)*(AG55))</f>
        <v/>
      </c>
      <c r="AH56" s="765">
        <f>((0.09)*(AH55))</f>
        <v/>
      </c>
      <c r="AI56" s="765">
        <f>((0.09)*(AI55))</f>
        <v/>
      </c>
      <c r="AJ56" s="765">
        <f>((0.09)*(AJ55))</f>
        <v/>
      </c>
      <c r="AK56" s="765">
        <f>((0.09)*(AK55))</f>
        <v/>
      </c>
      <c r="AL56" s="726" t="n"/>
      <c r="AM56" s="765">
        <f>((0.09)*(AM55))</f>
        <v/>
      </c>
      <c r="AN56" s="765">
        <f>((0.09)*(AN55))</f>
        <v/>
      </c>
      <c r="AO56" s="765">
        <f>((0.09)*(AO55))</f>
        <v/>
      </c>
      <c r="AP56" s="765">
        <f>((0.09)*(AP55))</f>
        <v/>
      </c>
      <c r="AQ56" s="765">
        <f>((0.09)*(AQ55))</f>
        <v/>
      </c>
      <c r="AR56" s="765">
        <f>((0.09)*(AR55))</f>
        <v/>
      </c>
      <c r="AS56" s="765">
        <f>((0.09)*(AS55))</f>
        <v/>
      </c>
      <c r="AT56" s="765">
        <f>((0.09)*(AT55))</f>
        <v/>
      </c>
      <c r="AU56" s="765">
        <f>((0.09)*(AU55))</f>
        <v/>
      </c>
      <c r="AV56" s="765">
        <f>((0.09)*(AV55))</f>
        <v/>
      </c>
      <c r="AW56" s="765">
        <f>((0.09)*(AW55))</f>
        <v/>
      </c>
      <c r="AX56" s="765">
        <f>((0.09)*(AX55))</f>
        <v/>
      </c>
      <c r="AY56" s="765">
        <f>((0.09)*(AY55))</f>
        <v/>
      </c>
      <c r="AZ56" s="726" t="n"/>
      <c r="BA56" s="765">
        <f>((0.09)*(BA55))</f>
        <v/>
      </c>
      <c r="BB56" s="765">
        <f>((0.09)*(BB55))</f>
        <v/>
      </c>
      <c r="BC56" s="765">
        <f>((0.09)*(BC55))</f>
        <v/>
      </c>
      <c r="BD56" s="765">
        <f>((0.09)*(BD55))</f>
        <v/>
      </c>
      <c r="BE56" s="765">
        <f>((0.09)*(BE55))</f>
        <v/>
      </c>
      <c r="BF56" s="765">
        <f>((0.09)*(BF55))</f>
        <v/>
      </c>
      <c r="BG56" s="765">
        <f>((0.09)*(BG55))</f>
        <v/>
      </c>
      <c r="BH56" s="765">
        <f>((0.09)*(BH55))</f>
        <v/>
      </c>
      <c r="BI56" s="765">
        <f>((0.09)*(BI55))</f>
        <v/>
      </c>
      <c r="BJ56" s="765">
        <f>((0.09)*(BJ55))</f>
        <v/>
      </c>
      <c r="BK56" s="765">
        <f>((0.09)*(BK55))</f>
        <v/>
      </c>
      <c r="BL56" s="765">
        <f>((0.09)*(BL55))</f>
        <v/>
      </c>
      <c r="BM56" s="765">
        <f>((0.09)*(BM55))</f>
        <v/>
      </c>
      <c r="BN56" s="726" t="n"/>
      <c r="BO56" s="765">
        <f>((0.09)*(BO55))</f>
        <v/>
      </c>
      <c r="BP56" s="765">
        <f>((0.09)*(BP55))</f>
        <v/>
      </c>
      <c r="BQ56" s="765">
        <f>((0.09)*(BQ55))</f>
        <v/>
      </c>
      <c r="BR56" s="765">
        <f>((0.09)*(BR55))</f>
        <v/>
      </c>
      <c r="BS56" s="765">
        <f>((0.09)*(BS55))</f>
        <v/>
      </c>
      <c r="BT56" s="765">
        <f>((0.09)*(BT55))</f>
        <v/>
      </c>
      <c r="BU56" s="765">
        <f>((0.09)*(BU55))</f>
        <v/>
      </c>
      <c r="BV56" s="765">
        <f>((0.09)*(BV55))</f>
        <v/>
      </c>
      <c r="BW56" s="765">
        <f>((0.09)*(BW55))</f>
        <v/>
      </c>
      <c r="BX56" s="765">
        <f>((0.09)*(BX55))</f>
        <v/>
      </c>
      <c r="BY56" s="765">
        <f>((0.09)*(BY55))</f>
        <v/>
      </c>
      <c r="BZ56" s="765">
        <f>((0.09)*(BZ55))</f>
        <v/>
      </c>
      <c r="CA56" s="765">
        <f>((0.09)*(CA55))</f>
        <v/>
      </c>
      <c r="CB56" s="726" t="n"/>
      <c r="CC56" s="765">
        <f>((0.09)*(CC55))</f>
        <v/>
      </c>
      <c r="CD56" s="765">
        <f>((0.09)*(CD55))</f>
        <v/>
      </c>
      <c r="CE56" s="765">
        <f>((0.09)*(CE55))</f>
        <v/>
      </c>
      <c r="CF56" s="765">
        <f>((0.09)*(CF55))</f>
        <v/>
      </c>
      <c r="CG56" s="765">
        <f>((0.09)*(CG55))</f>
        <v/>
      </c>
      <c r="CH56" s="765">
        <f>((0.09)*(CH55))</f>
        <v/>
      </c>
      <c r="CI56" s="765">
        <f>((0.09)*(CI55))</f>
        <v/>
      </c>
      <c r="CJ56" s="765">
        <f>((0.09)*(CJ55))</f>
        <v/>
      </c>
      <c r="CK56" s="765">
        <f>((0.09)*(CK55))</f>
        <v/>
      </c>
      <c r="CL56" s="765">
        <f>((0.09)*(CL55))</f>
        <v/>
      </c>
      <c r="CM56" s="765">
        <f>((0.09)*(CM55))</f>
        <v/>
      </c>
      <c r="CN56" s="765">
        <f>((0.09)*(CN55))</f>
        <v/>
      </c>
      <c r="CO56" s="765">
        <f>((0.09)*(CO55))</f>
        <v/>
      </c>
      <c r="CP56" s="726" t="n"/>
      <c r="CQ56" s="765">
        <f>((0.09)*(CQ55))</f>
        <v/>
      </c>
      <c r="CR56" s="765">
        <f>((0.09)*(CR55))</f>
        <v/>
      </c>
      <c r="CS56" s="765">
        <f>((0.09)*(CS55))</f>
        <v/>
      </c>
      <c r="CT56" s="765">
        <f>((0.09)*(CT55))</f>
        <v/>
      </c>
      <c r="CU56" s="765">
        <f>((0.09)*(CU55))</f>
        <v/>
      </c>
      <c r="CV56" s="765">
        <f>((0.09)*(CV55))</f>
        <v/>
      </c>
      <c r="CW56" s="765">
        <f>((0.09)*(CW55))</f>
        <v/>
      </c>
      <c r="CX56" s="765">
        <f>((0.09)*(CX55))</f>
        <v/>
      </c>
      <c r="CY56" s="765">
        <f>((0.09)*(CY55))</f>
        <v/>
      </c>
      <c r="CZ56" s="765">
        <f>((0.09)*(CZ55))</f>
        <v/>
      </c>
      <c r="DA56" s="765">
        <f>((0.09)*(DA55))</f>
        <v/>
      </c>
      <c r="DB56" s="765">
        <f>((0.09)*(DB55))</f>
        <v/>
      </c>
      <c r="DC56" s="765">
        <f>((0.09)*(DC55))</f>
        <v/>
      </c>
    </row>
    <row r="57" ht="15" customHeight="1" s="1883">
      <c r="B57" s="726" t="n"/>
      <c r="C57" s="726" t="n"/>
      <c r="D57" s="726" t="n"/>
      <c r="E57" s="726" t="n"/>
      <c r="F57" s="726" t="n"/>
      <c r="G57" s="726" t="n"/>
      <c r="H57" s="726" t="n"/>
      <c r="I57" s="726" t="n"/>
      <c r="J57" s="726" t="n"/>
      <c r="K57" s="726" t="n"/>
      <c r="L57" s="726" t="n"/>
      <c r="M57" s="726" t="n"/>
      <c r="N57" s="726" t="n"/>
      <c r="O57" s="726" t="n"/>
      <c r="P57" s="726" t="n"/>
      <c r="Q57" s="726" t="n"/>
      <c r="R57" s="726" t="n"/>
      <c r="S57" s="726" t="n"/>
      <c r="T57" s="726" t="n"/>
      <c r="U57" s="726" t="n"/>
      <c r="V57" s="726" t="n"/>
      <c r="W57" s="726" t="n"/>
      <c r="X57" s="726" t="n"/>
      <c r="Y57" s="726" t="n"/>
      <c r="Z57" s="726" t="n"/>
      <c r="AA57" s="726" t="n"/>
      <c r="AB57" s="726" t="n"/>
      <c r="AC57" s="726" t="n"/>
      <c r="AD57" s="726" t="n"/>
      <c r="AE57" s="726" t="n"/>
      <c r="AF57" s="726" t="n"/>
      <c r="AG57" s="726" t="n"/>
      <c r="AH57" s="726" t="n"/>
      <c r="AI57" s="726" t="n"/>
      <c r="AJ57" s="726" t="n"/>
      <c r="AK57" s="726" t="n"/>
      <c r="AL57" s="726" t="n"/>
      <c r="AM57" s="726" t="n"/>
      <c r="AN57" s="726" t="n"/>
      <c r="AO57" s="726" t="n"/>
      <c r="AP57" s="726" t="n"/>
      <c r="AQ57" s="726" t="n"/>
      <c r="AR57" s="726" t="n"/>
      <c r="AS57" s="726" t="n"/>
      <c r="AT57" s="726" t="n"/>
      <c r="AU57" s="726" t="n"/>
      <c r="AV57" s="726" t="n"/>
      <c r="AW57" s="726" t="n"/>
      <c r="AX57" s="726" t="n"/>
      <c r="AY57" s="726" t="n"/>
      <c r="AZ57" s="726" t="n"/>
      <c r="BA57" s="726" t="n"/>
      <c r="BB57" s="726" t="n"/>
      <c r="BC57" s="726" t="n"/>
      <c r="BD57" s="726" t="n"/>
      <c r="BE57" s="726" t="n"/>
      <c r="BF57" s="726" t="n"/>
      <c r="BG57" s="726" t="n"/>
      <c r="BH57" s="726" t="n"/>
      <c r="BI57" s="726" t="n"/>
      <c r="BJ57" s="726" t="n"/>
      <c r="BK57" s="726" t="n"/>
      <c r="BL57" s="726" t="n"/>
      <c r="BM57" s="726" t="n"/>
      <c r="BN57" s="726" t="n"/>
      <c r="BO57" s="726" t="n"/>
      <c r="BP57" s="726" t="n"/>
      <c r="BQ57" s="726" t="n"/>
      <c r="BR57" s="726" t="n"/>
      <c r="BS57" s="726" t="n"/>
      <c r="BT57" s="726" t="n"/>
      <c r="BU57" s="726" t="n"/>
      <c r="BV57" s="726" t="n"/>
      <c r="BW57" s="726" t="n"/>
      <c r="BX57" s="726" t="n"/>
      <c r="BY57" s="726" t="n"/>
      <c r="BZ57" s="726" t="n"/>
      <c r="CA57" s="726" t="n"/>
      <c r="CB57" s="726" t="n"/>
      <c r="CC57" s="726" t="n"/>
      <c r="CD57" s="726" t="n"/>
      <c r="CE57" s="726" t="n"/>
      <c r="CF57" s="726" t="n"/>
      <c r="CG57" s="726" t="n"/>
      <c r="CH57" s="726" t="n"/>
      <c r="CI57" s="726" t="n"/>
      <c r="CJ57" s="726" t="n"/>
      <c r="CK57" s="726" t="n"/>
      <c r="CL57" s="726" t="n"/>
      <c r="CM57" s="726" t="n"/>
      <c r="CN57" s="726" t="n"/>
      <c r="CO57" s="726" t="n"/>
      <c r="CP57" s="726" t="n"/>
      <c r="CQ57" s="726" t="n"/>
      <c r="CR57" s="726" t="n"/>
      <c r="CS57" s="726" t="n"/>
      <c r="CT57" s="726" t="n"/>
      <c r="CU57" s="726" t="n"/>
      <c r="CV57" s="726" t="n"/>
      <c r="CW57" s="726" t="n"/>
      <c r="CX57" s="726" t="n"/>
      <c r="CY57" s="726" t="n"/>
      <c r="CZ57" s="726" t="n"/>
      <c r="DA57" s="726" t="n"/>
      <c r="DB57" s="726" t="n"/>
      <c r="DC57" s="726" t="n"/>
    </row>
    <row r="58" ht="15" customHeight="1" s="1883">
      <c r="B58" s="726" t="n"/>
      <c r="C58" s="726" t="n"/>
      <c r="D58" s="726" t="n"/>
      <c r="E58" s="726" t="n"/>
      <c r="F58" s="726" t="n"/>
      <c r="G58" s="726" t="n"/>
      <c r="H58" s="726" t="n"/>
      <c r="I58" s="726" t="n"/>
      <c r="J58" s="726" t="n"/>
      <c r="K58" s="726" t="n"/>
      <c r="L58" s="726" t="n"/>
      <c r="M58" s="726" t="n"/>
      <c r="N58" s="726" t="n"/>
      <c r="O58" s="726" t="n"/>
      <c r="P58" s="726" t="n"/>
      <c r="Q58" s="726" t="n"/>
      <c r="R58" s="726" t="n"/>
      <c r="S58" s="726" t="n"/>
      <c r="T58" s="726" t="n"/>
      <c r="U58" s="726" t="n"/>
      <c r="V58" s="726" t="n"/>
      <c r="W58" s="726" t="n"/>
      <c r="X58" s="726" t="n"/>
      <c r="Y58" s="726" t="n"/>
      <c r="Z58" s="726" t="n"/>
      <c r="AA58" s="726" t="n"/>
      <c r="AB58" s="726" t="n"/>
      <c r="AC58" s="726" t="n"/>
      <c r="AD58" s="726" t="n"/>
      <c r="AE58" s="726" t="n"/>
      <c r="AF58" s="726" t="n"/>
      <c r="AG58" s="726" t="n"/>
      <c r="AH58" s="726" t="n"/>
      <c r="AI58" s="726" t="n"/>
      <c r="AJ58" s="726" t="n"/>
      <c r="AK58" s="726" t="n"/>
      <c r="AL58" s="726" t="n"/>
      <c r="AM58" s="726" t="n"/>
      <c r="AN58" s="726" t="n"/>
      <c r="AO58" s="726" t="n"/>
      <c r="AP58" s="726" t="n"/>
      <c r="AQ58" s="726" t="n"/>
      <c r="AR58" s="726" t="n"/>
      <c r="AS58" s="726" t="n"/>
      <c r="AT58" s="726" t="n"/>
      <c r="AU58" s="726" t="n"/>
      <c r="AV58" s="726" t="n"/>
      <c r="AW58" s="726" t="n"/>
      <c r="AX58" s="726" t="n"/>
      <c r="AY58" s="726" t="n"/>
      <c r="AZ58" s="726" t="n"/>
      <c r="BA58" s="726" t="n"/>
      <c r="BB58" s="726" t="n"/>
      <c r="BC58" s="726" t="n"/>
      <c r="BD58" s="726" t="n"/>
      <c r="BE58" s="726" t="n"/>
      <c r="BF58" s="726" t="n"/>
      <c r="BG58" s="726" t="n"/>
      <c r="BH58" s="726" t="n"/>
      <c r="BI58" s="726" t="n"/>
      <c r="BJ58" s="726" t="n"/>
      <c r="BK58" s="726" t="n"/>
      <c r="BL58" s="726" t="n"/>
      <c r="BM58" s="726" t="n"/>
      <c r="BN58" s="726" t="n"/>
      <c r="BO58" s="726" t="n"/>
      <c r="BP58" s="726" t="n"/>
      <c r="BQ58" s="726" t="n"/>
      <c r="BR58" s="726" t="n"/>
      <c r="BS58" s="726" t="n"/>
      <c r="BT58" s="726" t="n"/>
      <c r="BU58" s="726" t="n"/>
      <c r="BV58" s="726" t="n"/>
      <c r="BW58" s="726" t="n"/>
      <c r="BX58" s="726" t="n"/>
      <c r="BY58" s="726" t="n"/>
      <c r="BZ58" s="726" t="n"/>
      <c r="CA58" s="726" t="n"/>
      <c r="CB58" s="726" t="n"/>
      <c r="CC58" s="726" t="n"/>
      <c r="CD58" s="726" t="n"/>
      <c r="CE58" s="726" t="n"/>
      <c r="CF58" s="726" t="n"/>
      <c r="CG58" s="726" t="n"/>
      <c r="CH58" s="726" t="n"/>
      <c r="CI58" s="726" t="n"/>
      <c r="CJ58" s="726" t="n"/>
      <c r="CK58" s="726" t="n"/>
      <c r="CL58" s="726" t="n"/>
      <c r="CM58" s="726" t="n"/>
      <c r="CN58" s="726" t="n"/>
      <c r="CO58" s="726" t="n"/>
      <c r="CP58" s="726" t="n"/>
      <c r="CQ58" s="726" t="n"/>
      <c r="CR58" s="726" t="n"/>
      <c r="CS58" s="726" t="n"/>
      <c r="CT58" s="726" t="n"/>
      <c r="CU58" s="726" t="n"/>
      <c r="CV58" s="726" t="n"/>
      <c r="CW58" s="726" t="n"/>
      <c r="CX58" s="726" t="n"/>
      <c r="CY58" s="726" t="n"/>
      <c r="CZ58" s="726" t="n"/>
      <c r="DA58" s="726" t="n"/>
      <c r="DB58" s="726" t="n"/>
      <c r="DC58" s="726" t="n"/>
    </row>
    <row r="59" ht="15" customHeight="1" s="1883">
      <c r="B59" s="796" t="inlineStr">
        <is>
          <t>●</t>
        </is>
      </c>
      <c r="C59" s="795" t="inlineStr">
        <is>
          <t>OCONUS</t>
        </is>
      </c>
      <c r="D59" s="773" t="n"/>
      <c r="E59" s="773" t="n"/>
      <c r="F59" s="726" t="n"/>
      <c r="G59" s="726" t="n"/>
      <c r="H59" s="726" t="n"/>
      <c r="I59" s="726" t="n"/>
      <c r="J59" s="726" t="n"/>
      <c r="K59" s="726" t="n"/>
      <c r="L59" s="726" t="n"/>
      <c r="M59" s="726" t="n"/>
      <c r="N59" s="726" t="n"/>
      <c r="O59" s="726" t="n"/>
      <c r="P59" s="726" t="n"/>
      <c r="Q59" s="726" t="n"/>
      <c r="R59" s="726" t="n"/>
      <c r="S59" s="726" t="n"/>
      <c r="T59" s="726" t="n"/>
      <c r="U59" s="726" t="n"/>
      <c r="V59" s="726" t="n"/>
      <c r="W59" s="726" t="n"/>
      <c r="X59" s="726" t="n"/>
      <c r="Y59" s="726" t="n"/>
      <c r="Z59" s="726" t="n"/>
      <c r="AA59" s="726" t="n"/>
      <c r="AB59" s="726" t="n"/>
      <c r="AC59" s="726" t="n"/>
      <c r="AD59" s="726" t="n"/>
      <c r="AE59" s="726" t="n"/>
      <c r="AF59" s="726" t="n"/>
      <c r="AG59" s="726" t="n"/>
      <c r="AH59" s="726" t="n"/>
      <c r="AI59" s="726" t="n"/>
      <c r="AJ59" s="726" t="n"/>
      <c r="AK59" s="726" t="n"/>
      <c r="AL59" s="726" t="n"/>
      <c r="AM59" s="726" t="n"/>
      <c r="AN59" s="726" t="n"/>
      <c r="AO59" s="726" t="n"/>
      <c r="AP59" s="726" t="n"/>
      <c r="AQ59" s="726" t="n"/>
      <c r="AR59" s="726" t="n"/>
      <c r="AS59" s="726" t="n"/>
      <c r="AT59" s="726" t="n"/>
      <c r="AU59" s="726" t="n"/>
      <c r="AV59" s="726" t="n"/>
      <c r="AW59" s="726" t="n"/>
      <c r="AX59" s="726" t="n"/>
      <c r="AY59" s="726" t="n"/>
      <c r="AZ59" s="726" t="n"/>
      <c r="BA59" s="726" t="n"/>
      <c r="BB59" s="726" t="n"/>
      <c r="BC59" s="726" t="n"/>
      <c r="BD59" s="726" t="n"/>
      <c r="BE59" s="726" t="n"/>
      <c r="BF59" s="726" t="n"/>
      <c r="BG59" s="726" t="n"/>
      <c r="BH59" s="726" t="n"/>
      <c r="BI59" s="726" t="n"/>
      <c r="BJ59" s="726" t="n"/>
      <c r="BK59" s="726" t="n"/>
      <c r="BL59" s="726" t="n"/>
      <c r="BM59" s="726" t="n"/>
      <c r="BN59" s="726" t="n"/>
      <c r="BO59" s="726" t="n"/>
      <c r="BP59" s="726" t="n"/>
      <c r="BQ59" s="726" t="n"/>
      <c r="BR59" s="726" t="n"/>
      <c r="BS59" s="726" t="n"/>
      <c r="BT59" s="726" t="n"/>
      <c r="BU59" s="726" t="n"/>
      <c r="BV59" s="726" t="n"/>
      <c r="BW59" s="726" t="n"/>
      <c r="BX59" s="726" t="n"/>
      <c r="BY59" s="726" t="n"/>
      <c r="BZ59" s="726" t="n"/>
      <c r="CA59" s="726" t="n"/>
      <c r="CB59" s="726" t="n"/>
      <c r="CC59" s="726" t="n"/>
      <c r="CD59" s="726" t="n"/>
      <c r="CE59" s="726" t="n"/>
      <c r="CF59" s="726" t="n"/>
      <c r="CG59" s="726" t="n"/>
      <c r="CH59" s="726" t="n"/>
      <c r="CI59" s="726" t="n"/>
      <c r="CJ59" s="726" t="n"/>
      <c r="CK59" s="726" t="n"/>
      <c r="CL59" s="726" t="n"/>
      <c r="CM59" s="726" t="n"/>
      <c r="CN59" s="726" t="n"/>
      <c r="CO59" s="726" t="n"/>
      <c r="CP59" s="726" t="n"/>
      <c r="CQ59" s="726" t="n"/>
      <c r="CR59" s="726" t="n"/>
      <c r="CS59" s="726" t="n"/>
      <c r="CT59" s="726" t="n"/>
      <c r="CU59" s="726" t="n"/>
      <c r="CV59" s="726" t="n"/>
      <c r="CW59" s="726" t="n"/>
      <c r="CX59" s="726" t="n"/>
      <c r="CY59" s="726" t="n"/>
      <c r="CZ59" s="726" t="n"/>
      <c r="DA59" s="726" t="n"/>
      <c r="DB59" s="726" t="n"/>
      <c r="DC59" s="726" t="n"/>
    </row>
    <row r="60" ht="15" customHeight="1" s="1883">
      <c r="B60" s="726" t="n"/>
      <c r="C60" s="726" t="n"/>
      <c r="D60" s="773" t="inlineStr">
        <is>
          <t>Taxable Salaries</t>
        </is>
      </c>
      <c r="E60" s="773" t="n"/>
      <c r="F60" s="726" t="n"/>
      <c r="G60" s="726" t="n"/>
      <c r="H60" s="726" t="n"/>
      <c r="I60" s="726" t="n"/>
      <c r="J60" s="726" t="n"/>
      <c r="K60" s="726" t="n"/>
      <c r="L60" s="726" t="n"/>
      <c r="M60" s="726" t="n"/>
      <c r="N60" s="726" t="n"/>
      <c r="O60" s="726" t="n"/>
      <c r="P60" s="726" t="n"/>
      <c r="Q60" s="726" t="n"/>
      <c r="R60" s="726" t="n"/>
      <c r="S60" s="726" t="n"/>
      <c r="T60" s="726" t="n"/>
      <c r="U60" s="726" t="n"/>
      <c r="V60" s="726" t="n"/>
      <c r="W60" s="726" t="n"/>
      <c r="X60" s="726" t="n"/>
      <c r="Y60" s="793">
        <f>(Y43)</f>
        <v/>
      </c>
      <c r="Z60" s="793">
        <f>(Z43)</f>
        <v/>
      </c>
      <c r="AA60" s="793">
        <f>(AA43)</f>
        <v/>
      </c>
      <c r="AB60" s="793">
        <f>(AB43)</f>
        <v/>
      </c>
      <c r="AC60" s="793">
        <f>(AC43)</f>
        <v/>
      </c>
      <c r="AD60" s="793">
        <f>(AD43)</f>
        <v/>
      </c>
      <c r="AE60" s="793">
        <f>(AE43)</f>
        <v/>
      </c>
      <c r="AF60" s="793">
        <f>(AF43)</f>
        <v/>
      </c>
      <c r="AG60" s="793">
        <f>(AG43)</f>
        <v/>
      </c>
      <c r="AH60" s="793">
        <f>(AH43)</f>
        <v/>
      </c>
      <c r="AI60" s="793">
        <f>(AI43)</f>
        <v/>
      </c>
      <c r="AJ60" s="793">
        <f>(AJ43)</f>
        <v/>
      </c>
      <c r="AK60" s="794">
        <f>(AK43)</f>
        <v/>
      </c>
      <c r="AL60" s="726" t="n"/>
      <c r="AM60" s="793">
        <f>(AM43)</f>
        <v/>
      </c>
      <c r="AN60" s="793">
        <f>(AN43)</f>
        <v/>
      </c>
      <c r="AO60" s="793">
        <f>(AO43)</f>
        <v/>
      </c>
      <c r="AP60" s="793">
        <f>(AP43)</f>
        <v/>
      </c>
      <c r="AQ60" s="793">
        <f>(AQ43)</f>
        <v/>
      </c>
      <c r="AR60" s="793">
        <f>(AR43)</f>
        <v/>
      </c>
      <c r="AS60" s="793">
        <f>(AS43)</f>
        <v/>
      </c>
      <c r="AT60" s="793">
        <f>(AT43)</f>
        <v/>
      </c>
      <c r="AU60" s="793">
        <f>(AU43)</f>
        <v/>
      </c>
      <c r="AV60" s="793">
        <f>(AV43)</f>
        <v/>
      </c>
      <c r="AW60" s="793">
        <f>(AW43)</f>
        <v/>
      </c>
      <c r="AX60" s="793">
        <f>(AX43)</f>
        <v/>
      </c>
      <c r="AY60" s="794">
        <f>(AY43)</f>
        <v/>
      </c>
      <c r="AZ60" s="726" t="n"/>
      <c r="BA60" s="793">
        <f>(BA43)</f>
        <v/>
      </c>
      <c r="BB60" s="793">
        <f>(BB43)</f>
        <v/>
      </c>
      <c r="BC60" s="793">
        <f>(BC43)</f>
        <v/>
      </c>
      <c r="BD60" s="793">
        <f>(BD43)</f>
        <v/>
      </c>
      <c r="BE60" s="793">
        <f>(BE43)</f>
        <v/>
      </c>
      <c r="BF60" s="793">
        <f>(BF43)</f>
        <v/>
      </c>
      <c r="BG60" s="793">
        <f>(BG43)</f>
        <v/>
      </c>
      <c r="BH60" s="793">
        <f>(BH43)</f>
        <v/>
      </c>
      <c r="BI60" s="793">
        <f>(BI43)</f>
        <v/>
      </c>
      <c r="BJ60" s="793">
        <f>(BJ43)</f>
        <v/>
      </c>
      <c r="BK60" s="793">
        <f>(BK43)</f>
        <v/>
      </c>
      <c r="BL60" s="793">
        <f>(BL43)</f>
        <v/>
      </c>
      <c r="BM60" s="794">
        <f>(BM43)</f>
        <v/>
      </c>
      <c r="BN60" s="726" t="n"/>
      <c r="BO60" s="793">
        <f>(BO43)</f>
        <v/>
      </c>
      <c r="BP60" s="793">
        <f>(BP43)</f>
        <v/>
      </c>
      <c r="BQ60" s="793">
        <f>(BQ43)</f>
        <v/>
      </c>
      <c r="BR60" s="793">
        <f>(BR43)</f>
        <v/>
      </c>
      <c r="BS60" s="793">
        <f>(BS43)</f>
        <v/>
      </c>
      <c r="BT60" s="793">
        <f>(BT43)</f>
        <v/>
      </c>
      <c r="BU60" s="793">
        <f>(BU43)</f>
        <v/>
      </c>
      <c r="BV60" s="793">
        <f>(BV43)</f>
        <v/>
      </c>
      <c r="BW60" s="793">
        <f>(BW43)</f>
        <v/>
      </c>
      <c r="BX60" s="793">
        <f>(BX43)</f>
        <v/>
      </c>
      <c r="BY60" s="793">
        <f>(BY43)</f>
        <v/>
      </c>
      <c r="BZ60" s="793">
        <f>(BZ43)</f>
        <v/>
      </c>
      <c r="CA60" s="794">
        <f>(CA43)</f>
        <v/>
      </c>
      <c r="CB60" s="726" t="n"/>
      <c r="CC60" s="793">
        <f>(CC43)</f>
        <v/>
      </c>
      <c r="CD60" s="793">
        <f>(CD43)</f>
        <v/>
      </c>
      <c r="CE60" s="793">
        <f>(CE43)</f>
        <v/>
      </c>
      <c r="CF60" s="793">
        <f>(CF43)</f>
        <v/>
      </c>
      <c r="CG60" s="793">
        <f>(CG43)</f>
        <v/>
      </c>
      <c r="CH60" s="793">
        <f>(CH43)</f>
        <v/>
      </c>
      <c r="CI60" s="793">
        <f>(CI43)</f>
        <v/>
      </c>
      <c r="CJ60" s="793">
        <f>(CJ43)</f>
        <v/>
      </c>
      <c r="CK60" s="793">
        <f>(CK43)</f>
        <v/>
      </c>
      <c r="CL60" s="793">
        <f>(CL43)</f>
        <v/>
      </c>
      <c r="CM60" s="793">
        <f>(CM43)</f>
        <v/>
      </c>
      <c r="CN60" s="793">
        <f>(CN43)</f>
        <v/>
      </c>
      <c r="CO60" s="794">
        <f>(CO43)</f>
        <v/>
      </c>
      <c r="CP60" s="726" t="n"/>
      <c r="CQ60" s="793">
        <f>(CQ43)</f>
        <v/>
      </c>
      <c r="CR60" s="793">
        <f>(CR43)</f>
        <v/>
      </c>
      <c r="CS60" s="793">
        <f>(CS43)</f>
        <v/>
      </c>
      <c r="CT60" s="793">
        <f>(CT43)</f>
        <v/>
      </c>
      <c r="CU60" s="793">
        <f>(CU43)</f>
        <v/>
      </c>
      <c r="CV60" s="793">
        <f>(CV43)</f>
        <v/>
      </c>
      <c r="CW60" s="793">
        <f>(CW43)</f>
        <v/>
      </c>
      <c r="CX60" s="793">
        <f>(CX43)</f>
        <v/>
      </c>
      <c r="CY60" s="793">
        <f>(CY43)</f>
        <v/>
      </c>
      <c r="CZ60" s="793">
        <f>(CZ43)</f>
        <v/>
      </c>
      <c r="DA60" s="793">
        <f>(DA43)</f>
        <v/>
      </c>
      <c r="DB60" s="793">
        <f>(DB43)</f>
        <v/>
      </c>
      <c r="DC60" s="794">
        <f>(DC43)</f>
        <v/>
      </c>
    </row>
    <row r="61" ht="15" customHeight="1" s="1883">
      <c r="B61" s="726" t="n"/>
      <c r="C61" s="726" t="n"/>
      <c r="D61" s="800" t="n"/>
      <c r="E61" s="795" t="inlineStr">
        <is>
          <t>Employer Payroll Taxes at 10.00%</t>
        </is>
      </c>
      <c r="F61" s="726" t="n"/>
      <c r="G61" s="726" t="n"/>
      <c r="H61" s="726" t="n"/>
      <c r="I61" s="726" t="n"/>
      <c r="J61" s="726" t="n"/>
      <c r="K61" s="726" t="n"/>
      <c r="L61" s="726" t="n"/>
      <c r="M61" s="726" t="n"/>
      <c r="N61" s="726" t="n"/>
      <c r="O61" s="726" t="n"/>
      <c r="P61" s="726" t="n"/>
      <c r="Q61" s="726" t="n"/>
      <c r="R61" s="726" t="n"/>
      <c r="S61" s="726" t="n"/>
      <c r="T61" s="726" t="n"/>
      <c r="U61" s="726" t="n"/>
      <c r="V61" s="726" t="n"/>
      <c r="W61" s="726" t="n"/>
      <c r="X61" s="726" t="n"/>
      <c r="Y61" s="794">
        <f>((0.1)*(Y60))</f>
        <v/>
      </c>
      <c r="Z61" s="794">
        <f>((0.1)*(Z60))</f>
        <v/>
      </c>
      <c r="AA61" s="794">
        <f>((0.1)*(AA60))</f>
        <v/>
      </c>
      <c r="AB61" s="794">
        <f>((0.1)*(AB60))</f>
        <v/>
      </c>
      <c r="AC61" s="794">
        <f>((0.1)*(AC60))</f>
        <v/>
      </c>
      <c r="AD61" s="794">
        <f>((0.1)*(AD60))</f>
        <v/>
      </c>
      <c r="AE61" s="794">
        <f>((0.1)*(AE60))</f>
        <v/>
      </c>
      <c r="AF61" s="794">
        <f>((0.1)*(AF60))</f>
        <v/>
      </c>
      <c r="AG61" s="794">
        <f>((0.1)*(AG60))</f>
        <v/>
      </c>
      <c r="AH61" s="794">
        <f>((0.1)*(AH60))</f>
        <v/>
      </c>
      <c r="AI61" s="794">
        <f>((0.1)*(AI60))</f>
        <v/>
      </c>
      <c r="AJ61" s="794">
        <f>((0.1)*(AJ60))</f>
        <v/>
      </c>
      <c r="AK61" s="794">
        <f>((0.1)*(AK60))</f>
        <v/>
      </c>
      <c r="AL61" s="726" t="n"/>
      <c r="AM61" s="794">
        <f>((0.1)*(AM60))</f>
        <v/>
      </c>
      <c r="AN61" s="794">
        <f>((0.1)*(AN60))</f>
        <v/>
      </c>
      <c r="AO61" s="794">
        <f>((0.1)*(AO60))</f>
        <v/>
      </c>
      <c r="AP61" s="794">
        <f>((0.1)*(AP60))</f>
        <v/>
      </c>
      <c r="AQ61" s="794">
        <f>((0.1)*(AQ60))</f>
        <v/>
      </c>
      <c r="AR61" s="794">
        <f>((0.1)*(AR60))</f>
        <v/>
      </c>
      <c r="AS61" s="794">
        <f>((0.1)*(AS60))</f>
        <v/>
      </c>
      <c r="AT61" s="794">
        <f>((0.1)*(AT60))</f>
        <v/>
      </c>
      <c r="AU61" s="794">
        <f>((0.1)*(AU60))</f>
        <v/>
      </c>
      <c r="AV61" s="794">
        <f>((0.1)*(AV60))</f>
        <v/>
      </c>
      <c r="AW61" s="794">
        <f>((0.1)*(AW60))</f>
        <v/>
      </c>
      <c r="AX61" s="794">
        <f>((0.1)*(AX60))</f>
        <v/>
      </c>
      <c r="AY61" s="794">
        <f>((0.1)*(AY60))</f>
        <v/>
      </c>
      <c r="AZ61" s="726" t="n"/>
      <c r="BA61" s="794">
        <f>((0.1)*(BA60))</f>
        <v/>
      </c>
      <c r="BB61" s="794">
        <f>((0.1)*(BB60))</f>
        <v/>
      </c>
      <c r="BC61" s="794">
        <f>((0.1)*(BC60))</f>
        <v/>
      </c>
      <c r="BD61" s="794">
        <f>((0.1)*(BD60))</f>
        <v/>
      </c>
      <c r="BE61" s="794">
        <f>((0.1)*(BE60))</f>
        <v/>
      </c>
      <c r="BF61" s="794">
        <f>((0.1)*(BF60))</f>
        <v/>
      </c>
      <c r="BG61" s="794">
        <f>((0.1)*(BG60))</f>
        <v/>
      </c>
      <c r="BH61" s="794">
        <f>((0.1)*(BH60))</f>
        <v/>
      </c>
      <c r="BI61" s="794">
        <f>((0.1)*(BI60))</f>
        <v/>
      </c>
      <c r="BJ61" s="794">
        <f>((0.1)*(BJ60))</f>
        <v/>
      </c>
      <c r="BK61" s="794">
        <f>((0.1)*(BK60))</f>
        <v/>
      </c>
      <c r="BL61" s="794">
        <f>((0.1)*(BL60))</f>
        <v/>
      </c>
      <c r="BM61" s="794">
        <f>((0.1)*(BM60))</f>
        <v/>
      </c>
      <c r="BN61" s="726" t="n"/>
      <c r="BO61" s="794">
        <f>((0.1)*(BO60))</f>
        <v/>
      </c>
      <c r="BP61" s="794">
        <f>((0.1)*(BP60))</f>
        <v/>
      </c>
      <c r="BQ61" s="794">
        <f>((0.1)*(BQ60))</f>
        <v/>
      </c>
      <c r="BR61" s="794">
        <f>((0.1)*(BR60))</f>
        <v/>
      </c>
      <c r="BS61" s="794">
        <f>((0.1)*(BS60))</f>
        <v/>
      </c>
      <c r="BT61" s="794">
        <f>((0.1)*(BT60))</f>
        <v/>
      </c>
      <c r="BU61" s="794">
        <f>((0.1)*(BU60))</f>
        <v/>
      </c>
      <c r="BV61" s="794">
        <f>((0.1)*(BV60))</f>
        <v/>
      </c>
      <c r="BW61" s="794">
        <f>((0.1)*(BW60))</f>
        <v/>
      </c>
      <c r="BX61" s="794">
        <f>((0.1)*(BX60))</f>
        <v/>
      </c>
      <c r="BY61" s="794">
        <f>((0.1)*(BY60))</f>
        <v/>
      </c>
      <c r="BZ61" s="794">
        <f>((0.1)*(BZ60))</f>
        <v/>
      </c>
      <c r="CA61" s="794">
        <f>((0.1)*(CA60))</f>
        <v/>
      </c>
      <c r="CB61" s="726" t="n"/>
      <c r="CC61" s="794">
        <f>((0.1)*(CC60))</f>
        <v/>
      </c>
      <c r="CD61" s="794">
        <f>((0.1)*(CD60))</f>
        <v/>
      </c>
      <c r="CE61" s="794">
        <f>((0.1)*(CE60))</f>
        <v/>
      </c>
      <c r="CF61" s="794">
        <f>((0.1)*(CF60))</f>
        <v/>
      </c>
      <c r="CG61" s="794">
        <f>((0.1)*(CG60))</f>
        <v/>
      </c>
      <c r="CH61" s="794">
        <f>((0.1)*(CH60))</f>
        <v/>
      </c>
      <c r="CI61" s="794">
        <f>((0.1)*(CI60))</f>
        <v/>
      </c>
      <c r="CJ61" s="794">
        <f>((0.1)*(CJ60))</f>
        <v/>
      </c>
      <c r="CK61" s="794">
        <f>((0.1)*(CK60))</f>
        <v/>
      </c>
      <c r="CL61" s="794">
        <f>((0.1)*(CL60))</f>
        <v/>
      </c>
      <c r="CM61" s="794">
        <f>((0.1)*(CM60))</f>
        <v/>
      </c>
      <c r="CN61" s="794">
        <f>((0.1)*(CN60))</f>
        <v/>
      </c>
      <c r="CO61" s="794">
        <f>((0.1)*(CO60))</f>
        <v/>
      </c>
      <c r="CP61" s="726" t="n"/>
      <c r="CQ61" s="794">
        <f>((0.1)*(CQ60))</f>
        <v/>
      </c>
      <c r="CR61" s="794">
        <f>((0.1)*(CR60))</f>
        <v/>
      </c>
      <c r="CS61" s="794">
        <f>((0.1)*(CS60))</f>
        <v/>
      </c>
      <c r="CT61" s="794">
        <f>((0.1)*(CT60))</f>
        <v/>
      </c>
      <c r="CU61" s="794">
        <f>((0.1)*(CU60))</f>
        <v/>
      </c>
      <c r="CV61" s="794">
        <f>((0.1)*(CV60))</f>
        <v/>
      </c>
      <c r="CW61" s="794">
        <f>((0.1)*(CW60))</f>
        <v/>
      </c>
      <c r="CX61" s="794">
        <f>((0.1)*(CX60))</f>
        <v/>
      </c>
      <c r="CY61" s="794">
        <f>((0.1)*(CY60))</f>
        <v/>
      </c>
      <c r="CZ61" s="794">
        <f>((0.1)*(CZ60))</f>
        <v/>
      </c>
      <c r="DA61" s="794">
        <f>((0.1)*(DA60))</f>
        <v/>
      </c>
      <c r="DB61" s="794">
        <f>((0.1)*(DB60))</f>
        <v/>
      </c>
      <c r="DC61" s="794">
        <f>((0.1)*(DC60))</f>
        <v/>
      </c>
    </row>
    <row r="66" ht="15" customHeight="1" s="1883">
      <c r="B66" s="726" t="n"/>
      <c r="C66" s="726" t="n"/>
      <c r="D66" s="726" t="n"/>
      <c r="E66" s="726" t="n"/>
      <c r="F66" s="733" t="inlineStr">
        <is>
          <t>Total, CONUS + OCONUS</t>
        </is>
      </c>
      <c r="G66" s="726" t="n"/>
      <c r="H66" s="726" t="n"/>
      <c r="I66" s="726" t="n"/>
      <c r="J66" s="726" t="n"/>
      <c r="K66" s="726" t="n"/>
      <c r="L66" s="726" t="n"/>
      <c r="M66" s="726" t="n"/>
      <c r="N66" s="726" t="n"/>
      <c r="O66" s="726" t="n"/>
      <c r="P66" s="726" t="n"/>
      <c r="Q66" s="726" t="n"/>
      <c r="R66" s="726" t="n"/>
      <c r="S66" s="726" t="n"/>
      <c r="T66" s="726" t="n"/>
      <c r="U66" s="726" t="n"/>
      <c r="V66" s="726" t="n"/>
      <c r="W66" s="726" t="n"/>
      <c r="X66" s="726" t="n"/>
      <c r="Y66" s="765">
        <f>((Y56)+(Y61))</f>
        <v/>
      </c>
      <c r="Z66" s="765">
        <f>((Z56)+(Z61))</f>
        <v/>
      </c>
      <c r="AA66" s="765">
        <f>((AA56)+(AA61))</f>
        <v/>
      </c>
      <c r="AB66" s="765">
        <f>((AB56)+(AB61))</f>
        <v/>
      </c>
      <c r="AC66" s="765">
        <f>((AC56)+(AC61))</f>
        <v/>
      </c>
      <c r="AD66" s="765">
        <f>((AD56)+(AD61))</f>
        <v/>
      </c>
      <c r="AE66" s="765">
        <f>((AE56)+(AE61))</f>
        <v/>
      </c>
      <c r="AF66" s="765">
        <f>((AF56)+(AF61))</f>
        <v/>
      </c>
      <c r="AG66" s="765">
        <f>((AG56)+(AG61))</f>
        <v/>
      </c>
      <c r="AH66" s="765">
        <f>((AH56)+(AH61))</f>
        <v/>
      </c>
      <c r="AI66" s="765">
        <f>((AI56)+(AI61))</f>
        <v/>
      </c>
      <c r="AJ66" s="765">
        <f>((AJ56)+(AJ61))</f>
        <v/>
      </c>
      <c r="AK66" s="765">
        <f>((AK56)+(AK61))</f>
        <v/>
      </c>
      <c r="AL66" s="726" t="n"/>
      <c r="AM66" s="765">
        <f>((AM56)+(AM61))</f>
        <v/>
      </c>
      <c r="AN66" s="765">
        <f>((AN56)+(AN61))</f>
        <v/>
      </c>
      <c r="AO66" s="765">
        <f>((AO56)+(AO61))</f>
        <v/>
      </c>
      <c r="AP66" s="765">
        <f>((AP56)+(AP61))</f>
        <v/>
      </c>
      <c r="AQ66" s="765">
        <f>((AQ56)+(AQ61))</f>
        <v/>
      </c>
      <c r="AR66" s="765">
        <f>((AR56)+(AR61))</f>
        <v/>
      </c>
      <c r="AS66" s="765">
        <f>((AS56)+(AS61))</f>
        <v/>
      </c>
      <c r="AT66" s="765">
        <f>((AT56)+(AT61))</f>
        <v/>
      </c>
      <c r="AU66" s="765">
        <f>((AU56)+(AU61))</f>
        <v/>
      </c>
      <c r="AV66" s="765">
        <f>((AV56)+(AV61))</f>
        <v/>
      </c>
      <c r="AW66" s="765">
        <f>((AW56)+(AW61))</f>
        <v/>
      </c>
      <c r="AX66" s="765">
        <f>((AX56)+(AX61))</f>
        <v/>
      </c>
      <c r="AY66" s="765">
        <f>((AY56)+(AY61))</f>
        <v/>
      </c>
      <c r="AZ66" s="726" t="n"/>
      <c r="BA66" s="765">
        <f>((BA56)+(BA61))</f>
        <v/>
      </c>
      <c r="BB66" s="765">
        <f>((BB56)+(BB61))</f>
        <v/>
      </c>
      <c r="BC66" s="765">
        <f>((BC56)+(BC61))</f>
        <v/>
      </c>
      <c r="BD66" s="765">
        <f>((BD56)+(BD61))</f>
        <v/>
      </c>
      <c r="BE66" s="765">
        <f>((BE56)+(BE61))</f>
        <v/>
      </c>
      <c r="BF66" s="765">
        <f>((BF56)+(BF61))</f>
        <v/>
      </c>
      <c r="BG66" s="765">
        <f>((BG56)+(BG61))</f>
        <v/>
      </c>
      <c r="BH66" s="765">
        <f>((BH56)+(BH61))</f>
        <v/>
      </c>
      <c r="BI66" s="765">
        <f>((BI56)+(BI61))</f>
        <v/>
      </c>
      <c r="BJ66" s="765">
        <f>((BJ56)+(BJ61))</f>
        <v/>
      </c>
      <c r="BK66" s="765">
        <f>((BK56)+(BK61))</f>
        <v/>
      </c>
      <c r="BL66" s="765">
        <f>((BL56)+(BL61))</f>
        <v/>
      </c>
      <c r="BM66" s="765">
        <f>((BM56)+(BM61))</f>
        <v/>
      </c>
      <c r="BN66" s="726" t="n"/>
      <c r="BO66" s="765">
        <f>((BO56)+(BO61))</f>
        <v/>
      </c>
      <c r="BP66" s="765">
        <f>((BP56)+(BP61))</f>
        <v/>
      </c>
      <c r="BQ66" s="765">
        <f>((BQ56)+(BQ61))</f>
        <v/>
      </c>
      <c r="BR66" s="765">
        <f>((BR56)+(BR61))</f>
        <v/>
      </c>
      <c r="BS66" s="765">
        <f>((BS56)+(BS61))</f>
        <v/>
      </c>
      <c r="BT66" s="765">
        <f>((BT56)+(BT61))</f>
        <v/>
      </c>
      <c r="BU66" s="765">
        <f>((BU56)+(BU61))</f>
        <v/>
      </c>
      <c r="BV66" s="765">
        <f>((BV56)+(BV61))</f>
        <v/>
      </c>
      <c r="BW66" s="765">
        <f>((BW56)+(BW61))</f>
        <v/>
      </c>
      <c r="BX66" s="765">
        <f>((BX56)+(BX61))</f>
        <v/>
      </c>
      <c r="BY66" s="765">
        <f>((BY56)+(BY61))</f>
        <v/>
      </c>
      <c r="BZ66" s="765">
        <f>((BZ56)+(BZ61))</f>
        <v/>
      </c>
      <c r="CA66" s="765">
        <f>((CA56)+(CA61))</f>
        <v/>
      </c>
      <c r="CB66" s="726" t="n"/>
      <c r="CC66" s="765">
        <f>((CC56)+(CC61))</f>
        <v/>
      </c>
      <c r="CD66" s="765">
        <f>((CD56)+(CD61))</f>
        <v/>
      </c>
      <c r="CE66" s="765">
        <f>((CE56)+(CE61))</f>
        <v/>
      </c>
      <c r="CF66" s="765">
        <f>((CF56)+(CF61))</f>
        <v/>
      </c>
      <c r="CG66" s="765">
        <f>((CG56)+(CG61))</f>
        <v/>
      </c>
      <c r="CH66" s="765">
        <f>((CH56)+(CH61))</f>
        <v/>
      </c>
      <c r="CI66" s="765">
        <f>((CI56)+(CI61))</f>
        <v/>
      </c>
      <c r="CJ66" s="765">
        <f>((CJ56)+(CJ61))</f>
        <v/>
      </c>
      <c r="CK66" s="765">
        <f>((CK56)+(CK61))</f>
        <v/>
      </c>
      <c r="CL66" s="765">
        <f>((CL56)+(CL61))</f>
        <v/>
      </c>
      <c r="CM66" s="765">
        <f>((CM56)+(CM61))</f>
        <v/>
      </c>
      <c r="CN66" s="765">
        <f>((CN56)+(CN61))</f>
        <v/>
      </c>
      <c r="CO66" s="765">
        <f>((CO56)+(CO61))</f>
        <v/>
      </c>
      <c r="CP66" s="726" t="n"/>
      <c r="CQ66" s="765">
        <f>((CQ56)+(CQ61))</f>
        <v/>
      </c>
      <c r="CR66" s="765">
        <f>((CR56)+(CR61))</f>
        <v/>
      </c>
      <c r="CS66" s="765">
        <f>((CS56)+(CS61))</f>
        <v/>
      </c>
      <c r="CT66" s="765">
        <f>((CT56)+(CT61))</f>
        <v/>
      </c>
      <c r="CU66" s="765">
        <f>((CU56)+(CU61))</f>
        <v/>
      </c>
      <c r="CV66" s="765">
        <f>((CV56)+(CV61))</f>
        <v/>
      </c>
      <c r="CW66" s="765">
        <f>((CW56)+(CW61))</f>
        <v/>
      </c>
      <c r="CX66" s="765">
        <f>((CX56)+(CX61))</f>
        <v/>
      </c>
      <c r="CY66" s="765">
        <f>((CY56)+(CY61))</f>
        <v/>
      </c>
      <c r="CZ66" s="765">
        <f>((CZ56)+(CZ61))</f>
        <v/>
      </c>
      <c r="DA66" s="765">
        <f>((DA56)+(DA61))</f>
        <v/>
      </c>
      <c r="DB66" s="765">
        <f>((DB56)+(DB61))</f>
        <v/>
      </c>
      <c r="DC66" s="765">
        <f>((DC56)+(DC61))</f>
        <v/>
      </c>
    </row>
    <row r="67" ht="3" customHeight="1" s="1883">
      <c r="B67" s="726" t="n"/>
      <c r="C67" s="726" t="n"/>
      <c r="D67" s="726" t="n"/>
      <c r="E67" s="726" t="n"/>
      <c r="F67" s="726" t="n"/>
      <c r="G67" s="726" t="n"/>
      <c r="H67" s="726" t="n"/>
      <c r="I67" s="726" t="n"/>
      <c r="J67" s="726" t="n"/>
      <c r="K67" s="726" t="n"/>
      <c r="L67" s="726" t="n"/>
      <c r="M67" s="726" t="n"/>
      <c r="N67" s="726" t="n"/>
      <c r="O67" s="726" t="n"/>
      <c r="P67" s="726" t="n"/>
      <c r="Q67" s="726" t="n"/>
      <c r="R67" s="726" t="n"/>
      <c r="S67" s="726" t="n"/>
      <c r="T67" s="726" t="n"/>
      <c r="U67" s="726" t="n"/>
      <c r="V67" s="726" t="n"/>
      <c r="W67" s="726" t="n"/>
      <c r="X67" s="726" t="n"/>
      <c r="Y67" s="734" t="n"/>
      <c r="Z67" s="734" t="n"/>
      <c r="AA67" s="734" t="n"/>
      <c r="AB67" s="734" t="n"/>
      <c r="AC67" s="734" t="n"/>
      <c r="AD67" s="734" t="n"/>
      <c r="AE67" s="734" t="n"/>
      <c r="AF67" s="734" t="n"/>
      <c r="AG67" s="734" t="n"/>
      <c r="AH67" s="734" t="n"/>
      <c r="AI67" s="734" t="n"/>
      <c r="AJ67" s="734" t="n"/>
      <c r="AK67" s="734" t="n"/>
      <c r="AL67" s="726" t="n"/>
      <c r="AM67" s="734" t="n"/>
      <c r="AN67" s="734" t="n"/>
      <c r="AO67" s="734" t="n"/>
      <c r="AP67" s="734" t="n"/>
      <c r="AQ67" s="734" t="n"/>
      <c r="AR67" s="734" t="n"/>
      <c r="AS67" s="734" t="n"/>
      <c r="AT67" s="734" t="n"/>
      <c r="AU67" s="734" t="n"/>
      <c r="AV67" s="734" t="n"/>
      <c r="AW67" s="734" t="n"/>
      <c r="AX67" s="734" t="n"/>
      <c r="AY67" s="734" t="n"/>
      <c r="AZ67" s="726" t="n"/>
      <c r="BA67" s="734" t="n"/>
      <c r="BB67" s="734" t="n"/>
      <c r="BC67" s="734" t="n"/>
      <c r="BD67" s="734" t="n"/>
      <c r="BE67" s="734" t="n"/>
      <c r="BF67" s="734" t="n"/>
      <c r="BG67" s="734" t="n"/>
      <c r="BH67" s="734" t="n"/>
      <c r="BI67" s="734" t="n"/>
      <c r="BJ67" s="734" t="n"/>
      <c r="BK67" s="734" t="n"/>
      <c r="BL67" s="734" t="n"/>
      <c r="BM67" s="734" t="n"/>
      <c r="BN67" s="726" t="n"/>
      <c r="BO67" s="734" t="n"/>
      <c r="BP67" s="734" t="n"/>
      <c r="BQ67" s="734" t="n"/>
      <c r="BR67" s="734" t="n"/>
      <c r="BS67" s="734" t="n"/>
      <c r="BT67" s="734" t="n"/>
      <c r="BU67" s="734" t="n"/>
      <c r="BV67" s="734" t="n"/>
      <c r="BW67" s="734" t="n"/>
      <c r="BX67" s="734" t="n"/>
      <c r="BY67" s="734" t="n"/>
      <c r="BZ67" s="734" t="n"/>
      <c r="CA67" s="734" t="n"/>
      <c r="CB67" s="726" t="n"/>
      <c r="CC67" s="734" t="n"/>
      <c r="CD67" s="734" t="n"/>
      <c r="CE67" s="734" t="n"/>
      <c r="CF67" s="734" t="n"/>
      <c r="CG67" s="734" t="n"/>
      <c r="CH67" s="734" t="n"/>
      <c r="CI67" s="734" t="n"/>
      <c r="CJ67" s="734" t="n"/>
      <c r="CK67" s="734" t="n"/>
      <c r="CL67" s="734" t="n"/>
      <c r="CM67" s="734" t="n"/>
      <c r="CN67" s="734" t="n"/>
      <c r="CO67" s="734" t="n"/>
      <c r="CP67" s="726" t="n"/>
      <c r="CQ67" s="734" t="n"/>
      <c r="CR67" s="734" t="n"/>
      <c r="CS67" s="734" t="n"/>
      <c r="CT67" s="734" t="n"/>
      <c r="CU67" s="734" t="n"/>
      <c r="CV67" s="734" t="n"/>
      <c r="CW67" s="734" t="n"/>
      <c r="CX67" s="734" t="n"/>
      <c r="CY67" s="734" t="n"/>
      <c r="CZ67" s="734" t="n"/>
      <c r="DA67" s="734" t="n"/>
      <c r="DB67" s="734" t="n"/>
      <c r="DC67" s="734" t="n"/>
    </row>
    <row r="68" ht="3" customHeight="1" s="1883">
      <c r="B68" s="726" t="n"/>
      <c r="C68" s="726" t="n"/>
      <c r="D68" s="726" t="n"/>
      <c r="E68" s="726" t="n"/>
      <c r="F68" s="726" t="n"/>
      <c r="G68" s="726" t="n"/>
      <c r="H68" s="726" t="n"/>
      <c r="I68" s="726" t="n"/>
      <c r="J68" s="726" t="n"/>
      <c r="K68" s="726" t="n"/>
      <c r="L68" s="726" t="n"/>
      <c r="M68" s="726" t="n"/>
      <c r="N68" s="726" t="n"/>
      <c r="O68" s="726" t="n"/>
      <c r="P68" s="726" t="n"/>
      <c r="Q68" s="726" t="n"/>
      <c r="R68" s="726" t="n"/>
      <c r="S68" s="726" t="n"/>
      <c r="T68" s="726" t="n"/>
      <c r="U68" s="726" t="n"/>
      <c r="V68" s="726" t="n"/>
      <c r="W68" s="726" t="n"/>
      <c r="X68" s="726" t="n"/>
      <c r="Y68" s="726" t="n"/>
      <c r="Z68" s="726" t="n"/>
      <c r="AA68" s="726" t="n"/>
      <c r="AB68" s="726" t="n"/>
      <c r="AC68" s="726" t="n"/>
      <c r="AD68" s="726" t="n"/>
      <c r="AE68" s="726" t="n"/>
      <c r="AF68" s="726" t="n"/>
      <c r="AG68" s="726" t="n"/>
      <c r="AH68" s="726" t="n"/>
      <c r="AI68" s="726" t="n"/>
      <c r="AJ68" s="726" t="n"/>
      <c r="AK68" s="726" t="n"/>
      <c r="AL68" s="726" t="n"/>
      <c r="AM68" s="726" t="n"/>
      <c r="AN68" s="726" t="n"/>
      <c r="AO68" s="726" t="n"/>
      <c r="AP68" s="726" t="n"/>
      <c r="AQ68" s="726" t="n"/>
      <c r="AR68" s="726" t="n"/>
      <c r="AS68" s="726" t="n"/>
      <c r="AT68" s="726" t="n"/>
      <c r="AU68" s="726" t="n"/>
      <c r="AV68" s="726" t="n"/>
      <c r="AW68" s="726" t="n"/>
      <c r="AX68" s="726" t="n"/>
      <c r="AY68" s="726" t="n"/>
      <c r="AZ68" s="726" t="n"/>
      <c r="BA68" s="726" t="n"/>
      <c r="BB68" s="726" t="n"/>
      <c r="BC68" s="726" t="n"/>
      <c r="BD68" s="726" t="n"/>
      <c r="BE68" s="726" t="n"/>
      <c r="BF68" s="726" t="n"/>
      <c r="BG68" s="726" t="n"/>
      <c r="BH68" s="726" t="n"/>
      <c r="BI68" s="726" t="n"/>
      <c r="BJ68" s="726" t="n"/>
      <c r="BK68" s="726" t="n"/>
      <c r="BL68" s="726" t="n"/>
      <c r="BM68" s="726" t="n"/>
      <c r="BN68" s="726" t="n"/>
      <c r="BO68" s="726" t="n"/>
      <c r="BP68" s="726" t="n"/>
      <c r="BQ68" s="726" t="n"/>
      <c r="BR68" s="726" t="n"/>
      <c r="BS68" s="726" t="n"/>
      <c r="BT68" s="726" t="n"/>
      <c r="BU68" s="726" t="n"/>
      <c r="BV68" s="726" t="n"/>
      <c r="BW68" s="726" t="n"/>
      <c r="BX68" s="726" t="n"/>
      <c r="BY68" s="726" t="n"/>
      <c r="BZ68" s="726" t="n"/>
      <c r="CA68" s="726" t="n"/>
      <c r="CB68" s="726" t="n"/>
      <c r="CC68" s="726" t="n"/>
      <c r="CD68" s="726" t="n"/>
      <c r="CE68" s="726" t="n"/>
      <c r="CF68" s="726" t="n"/>
      <c r="CG68" s="726" t="n"/>
      <c r="CH68" s="726" t="n"/>
      <c r="CI68" s="726" t="n"/>
      <c r="CJ68" s="726" t="n"/>
      <c r="CK68" s="726" t="n"/>
      <c r="CL68" s="726" t="n"/>
      <c r="CM68" s="726" t="n"/>
      <c r="CN68" s="726" t="n"/>
      <c r="CO68" s="726" t="n"/>
      <c r="CP68" s="726" t="n"/>
      <c r="CQ68" s="726" t="n"/>
      <c r="CR68" s="726" t="n"/>
      <c r="CS68" s="726" t="n"/>
      <c r="CT68" s="726" t="n"/>
      <c r="CU68" s="726" t="n"/>
      <c r="CV68" s="726" t="n"/>
      <c r="CW68" s="726" t="n"/>
      <c r="CX68" s="726" t="n"/>
      <c r="CY68" s="726" t="n"/>
      <c r="CZ68" s="726" t="n"/>
      <c r="DA68" s="726" t="n"/>
      <c r="DB68" s="726" t="n"/>
      <c r="DC68" s="726" t="n"/>
    </row>
    <row r="69" ht="15" customHeight="1" s="1883">
      <c r="B69" s="726" t="n"/>
      <c r="C69" s="726" t="n"/>
      <c r="D69" s="726" t="n"/>
      <c r="E69" s="726" t="n"/>
      <c r="F69" s="726" t="n"/>
      <c r="G69" s="726" t="n"/>
      <c r="H69" s="726" t="n"/>
      <c r="I69" s="726" t="n"/>
      <c r="J69" s="726" t="n"/>
      <c r="K69" s="726" t="n"/>
      <c r="L69" s="726" t="n"/>
      <c r="M69" s="726" t="n"/>
      <c r="N69" s="726" t="n"/>
      <c r="O69" s="726" t="n"/>
      <c r="P69" s="726" t="n"/>
      <c r="Q69" s="726" t="n"/>
      <c r="R69" s="726" t="n"/>
      <c r="S69" s="726" t="n"/>
      <c r="T69" s="726" t="n"/>
      <c r="U69" s="726" t="n"/>
      <c r="V69" s="726" t="n"/>
      <c r="W69" s="726" t="n"/>
      <c r="X69" s="726" t="n"/>
      <c r="Y69" s="726" t="n"/>
      <c r="Z69" s="726" t="n"/>
      <c r="AA69" s="726" t="n"/>
      <c r="AB69" s="726" t="n"/>
      <c r="AC69" s="726" t="n"/>
      <c r="AD69" s="726" t="n"/>
      <c r="AE69" s="726" t="n"/>
      <c r="AF69" s="726" t="n"/>
      <c r="AG69" s="726" t="n"/>
      <c r="AH69" s="726" t="n"/>
      <c r="AI69" s="726" t="n"/>
      <c r="AJ69" s="726" t="n"/>
      <c r="AK69" s="726" t="n"/>
      <c r="AL69" s="726" t="n"/>
      <c r="AM69" s="726" t="n"/>
      <c r="AN69" s="726" t="n"/>
      <c r="AO69" s="726" t="n"/>
      <c r="AP69" s="726" t="n"/>
      <c r="AQ69" s="726" t="n"/>
      <c r="AR69" s="726" t="n"/>
      <c r="AS69" s="726" t="n"/>
      <c r="AT69" s="726" t="n"/>
      <c r="AU69" s="726" t="n"/>
      <c r="AV69" s="726" t="n"/>
      <c r="AW69" s="726" t="n"/>
      <c r="AX69" s="726" t="n"/>
      <c r="AY69" s="726" t="n"/>
      <c r="AZ69" s="726" t="n"/>
      <c r="BA69" s="726" t="n"/>
      <c r="BB69" s="726" t="n"/>
      <c r="BC69" s="726" t="n"/>
      <c r="BD69" s="726" t="n"/>
      <c r="BE69" s="726" t="n"/>
      <c r="BF69" s="726" t="n"/>
      <c r="BG69" s="726" t="n"/>
      <c r="BH69" s="726" t="n"/>
      <c r="BI69" s="726" t="n"/>
      <c r="BJ69" s="726" t="n"/>
      <c r="BK69" s="726" t="n"/>
      <c r="BL69" s="726" t="n"/>
      <c r="BM69" s="726" t="n"/>
      <c r="BN69" s="726" t="n"/>
      <c r="BO69" s="726" t="n"/>
      <c r="BP69" s="726" t="n"/>
      <c r="BQ69" s="726" t="n"/>
      <c r="BR69" s="726" t="n"/>
      <c r="BS69" s="726" t="n"/>
      <c r="BT69" s="726" t="n"/>
      <c r="BU69" s="726" t="n"/>
      <c r="BV69" s="726" t="n"/>
      <c r="BW69" s="726" t="n"/>
      <c r="BX69" s="726" t="n"/>
      <c r="BY69" s="726" t="n"/>
      <c r="BZ69" s="726" t="n"/>
      <c r="CA69" s="726" t="n"/>
      <c r="CB69" s="726" t="n"/>
      <c r="CC69" s="726" t="n"/>
      <c r="CD69" s="726" t="n"/>
      <c r="CE69" s="726" t="n"/>
      <c r="CF69" s="726" t="n"/>
      <c r="CG69" s="726" t="n"/>
      <c r="CH69" s="726" t="n"/>
      <c r="CI69" s="726" t="n"/>
      <c r="CJ69" s="726" t="n"/>
      <c r="CK69" s="726" t="n"/>
      <c r="CL69" s="726" t="n"/>
      <c r="CM69" s="726" t="n"/>
      <c r="CN69" s="726" t="n"/>
      <c r="CO69" s="726" t="n"/>
      <c r="CP69" s="726" t="n"/>
      <c r="CQ69" s="726" t="n"/>
      <c r="CR69" s="726" t="n"/>
      <c r="CS69" s="726" t="n"/>
      <c r="CT69" s="726" t="n"/>
      <c r="CU69" s="726" t="n"/>
      <c r="CV69" s="726" t="n"/>
      <c r="CW69" s="726" t="n"/>
      <c r="CX69" s="726" t="n"/>
      <c r="CY69" s="726" t="n"/>
      <c r="CZ69" s="726" t="n"/>
      <c r="DA69" s="726" t="n"/>
      <c r="DB69" s="726" t="n"/>
      <c r="DC69" s="726" t="n"/>
    </row>
    <row r="70" ht="15" customHeight="1" s="1883">
      <c r="B70" s="726" t="n"/>
      <c r="C70" s="726" t="n"/>
      <c r="D70" s="726" t="n"/>
      <c r="E70" s="726" t="n"/>
      <c r="F70" s="726" t="n"/>
      <c r="G70" s="726" t="n"/>
      <c r="H70" s="726" t="n"/>
      <c r="I70" s="726" t="n"/>
      <c r="J70" s="726" t="n"/>
      <c r="K70" s="726" t="n"/>
      <c r="L70" s="726" t="n"/>
      <c r="M70" s="726" t="n"/>
      <c r="N70" s="726" t="n"/>
      <c r="O70" s="726" t="n"/>
      <c r="P70" s="726" t="n"/>
      <c r="Q70" s="726" t="n"/>
      <c r="R70" s="726" t="n"/>
      <c r="S70" s="726" t="n"/>
      <c r="T70" s="726" t="n"/>
      <c r="U70" s="726" t="n"/>
      <c r="V70" s="726" t="n"/>
      <c r="W70" s="726" t="n"/>
      <c r="X70" s="726" t="n"/>
      <c r="Y70" s="726" t="n"/>
      <c r="Z70" s="726" t="n"/>
      <c r="AA70" s="726" t="n"/>
      <c r="AB70" s="726" t="n"/>
      <c r="AC70" s="726" t="n"/>
      <c r="AD70" s="726" t="n"/>
      <c r="AE70" s="726" t="n"/>
      <c r="AF70" s="726" t="n"/>
      <c r="AG70" s="726" t="n"/>
      <c r="AH70" s="726" t="n"/>
      <c r="AI70" s="726" t="n"/>
      <c r="AJ70" s="726" t="n"/>
      <c r="AK70" s="726" t="n"/>
      <c r="AL70" s="726" t="n"/>
      <c r="AM70" s="726" t="n"/>
      <c r="AN70" s="726" t="n"/>
      <c r="AO70" s="726" t="n"/>
      <c r="AP70" s="726" t="n"/>
      <c r="AQ70" s="726" t="n"/>
      <c r="AR70" s="726" t="n"/>
      <c r="AS70" s="726" t="n"/>
      <c r="AT70" s="726" t="n"/>
      <c r="AU70" s="726" t="n"/>
      <c r="AV70" s="726" t="n"/>
      <c r="AW70" s="726" t="n"/>
      <c r="AX70" s="726" t="n"/>
      <c r="AY70" s="726" t="n"/>
      <c r="AZ70" s="726" t="n"/>
      <c r="BA70" s="726" t="n"/>
      <c r="BB70" s="726" t="n"/>
      <c r="BC70" s="726" t="n"/>
      <c r="BD70" s="726" t="n"/>
      <c r="BE70" s="726" t="n"/>
      <c r="BF70" s="726" t="n"/>
      <c r="BG70" s="726" t="n"/>
      <c r="BH70" s="726" t="n"/>
      <c r="BI70" s="726" t="n"/>
      <c r="BJ70" s="726" t="n"/>
      <c r="BK70" s="726" t="n"/>
      <c r="BL70" s="726" t="n"/>
      <c r="BM70" s="726" t="n"/>
      <c r="BN70" s="726" t="n"/>
      <c r="BO70" s="726" t="n"/>
      <c r="BP70" s="726" t="n"/>
      <c r="BQ70" s="726" t="n"/>
      <c r="BR70" s="726" t="n"/>
      <c r="BS70" s="726" t="n"/>
      <c r="BT70" s="726" t="n"/>
      <c r="BU70" s="726" t="n"/>
      <c r="BV70" s="726" t="n"/>
      <c r="BW70" s="726" t="n"/>
      <c r="BX70" s="726" t="n"/>
      <c r="BY70" s="726" t="n"/>
      <c r="BZ70" s="726" t="n"/>
      <c r="CA70" s="726" t="n"/>
      <c r="CB70" s="726" t="n"/>
      <c r="CC70" s="726" t="n"/>
      <c r="CD70" s="726" t="n"/>
      <c r="CE70" s="726" t="n"/>
      <c r="CF70" s="726" t="n"/>
      <c r="CG70" s="726" t="n"/>
      <c r="CH70" s="726" t="n"/>
      <c r="CI70" s="726" t="n"/>
      <c r="CJ70" s="726" t="n"/>
      <c r="CK70" s="726" t="n"/>
      <c r="CL70" s="726" t="n"/>
      <c r="CM70" s="726" t="n"/>
      <c r="CN70" s="726" t="n"/>
      <c r="CO70" s="726" t="n"/>
      <c r="CP70" s="726" t="n"/>
      <c r="CQ70" s="726" t="n"/>
      <c r="CR70" s="726" t="n"/>
      <c r="CS70" s="726" t="n"/>
      <c r="CT70" s="726" t="n"/>
      <c r="CU70" s="726" t="n"/>
      <c r="CV70" s="726" t="n"/>
      <c r="CW70" s="726" t="n"/>
      <c r="CX70" s="726" t="n"/>
      <c r="CY70" s="726" t="n"/>
      <c r="CZ70" s="726" t="n"/>
      <c r="DA70" s="726" t="n"/>
      <c r="DB70" s="726" t="n"/>
      <c r="DC70" s="726" t="n"/>
    </row>
    <row r="71" ht="15" customHeight="1" s="1883">
      <c r="B71" s="726" t="n"/>
      <c r="C71" s="726" t="n"/>
      <c r="D71" s="726" t="n"/>
      <c r="E71" s="726" t="n"/>
      <c r="F71" s="726" t="n"/>
      <c r="G71" s="726" t="n"/>
      <c r="H71" s="726" t="n"/>
      <c r="I71" s="726" t="n"/>
      <c r="J71" s="726" t="n"/>
      <c r="K71" s="726" t="n"/>
      <c r="L71" s="726" t="n"/>
      <c r="M71" s="726" t="n"/>
      <c r="N71" s="726" t="n"/>
      <c r="O71" s="726" t="n"/>
      <c r="P71" s="726" t="n"/>
      <c r="Q71" s="726" t="n"/>
      <c r="R71" s="726" t="n"/>
      <c r="S71" s="726" t="n"/>
      <c r="T71" s="726" t="n"/>
      <c r="U71" s="726" t="n"/>
      <c r="V71" s="726" t="n"/>
      <c r="W71" s="726" t="n"/>
      <c r="X71" s="726" t="n"/>
      <c r="Y71" s="726" t="n"/>
      <c r="Z71" s="726" t="n"/>
      <c r="AA71" s="726" t="n"/>
      <c r="AB71" s="726" t="n"/>
      <c r="AC71" s="726" t="n"/>
      <c r="AD71" s="726" t="n"/>
      <c r="AE71" s="726" t="n"/>
      <c r="AF71" s="726" t="n"/>
      <c r="AG71" s="726" t="n"/>
      <c r="AH71" s="726" t="n"/>
      <c r="AI71" s="726" t="n"/>
      <c r="AJ71" s="726" t="n"/>
      <c r="AK71" s="726" t="n"/>
      <c r="AL71" s="726" t="n"/>
      <c r="AM71" s="726" t="n"/>
      <c r="AN71" s="726" t="n"/>
      <c r="AO71" s="726" t="n"/>
      <c r="AP71" s="726" t="n"/>
      <c r="AQ71" s="726" t="n"/>
      <c r="AR71" s="726" t="n"/>
      <c r="AS71" s="726" t="n"/>
      <c r="AT71" s="726" t="n"/>
      <c r="AU71" s="726" t="n"/>
      <c r="AV71" s="726" t="n"/>
      <c r="AW71" s="726" t="n"/>
      <c r="AX71" s="726" t="n"/>
      <c r="AY71" s="726" t="n"/>
      <c r="AZ71" s="726" t="n"/>
      <c r="BA71" s="726" t="n"/>
      <c r="BB71" s="726" t="n"/>
      <c r="BC71" s="726" t="n"/>
      <c r="BD71" s="726" t="n"/>
      <c r="BE71" s="726" t="n"/>
      <c r="BF71" s="726" t="n"/>
      <c r="BG71" s="726" t="n"/>
      <c r="BH71" s="726" t="n"/>
      <c r="BI71" s="726" t="n"/>
      <c r="BJ71" s="726" t="n"/>
      <c r="BK71" s="726" t="n"/>
      <c r="BL71" s="726" t="n"/>
      <c r="BM71" s="726" t="n"/>
      <c r="BN71" s="726" t="n"/>
      <c r="BO71" s="726" t="n"/>
      <c r="BP71" s="726" t="n"/>
      <c r="BQ71" s="726" t="n"/>
      <c r="BR71" s="726" t="n"/>
      <c r="BS71" s="726" t="n"/>
      <c r="BT71" s="726" t="n"/>
      <c r="BU71" s="726" t="n"/>
      <c r="BV71" s="726" t="n"/>
      <c r="BW71" s="726" t="n"/>
      <c r="BX71" s="726" t="n"/>
      <c r="BY71" s="726" t="n"/>
      <c r="BZ71" s="726" t="n"/>
      <c r="CA71" s="726" t="n"/>
      <c r="CB71" s="726" t="n"/>
      <c r="CC71" s="726" t="n"/>
      <c r="CD71" s="726" t="n"/>
      <c r="CE71" s="726" t="n"/>
      <c r="CF71" s="726" t="n"/>
      <c r="CG71" s="726" t="n"/>
      <c r="CH71" s="726" t="n"/>
      <c r="CI71" s="726" t="n"/>
      <c r="CJ71" s="726" t="n"/>
      <c r="CK71" s="726" t="n"/>
      <c r="CL71" s="726" t="n"/>
      <c r="CM71" s="726" t="n"/>
      <c r="CN71" s="726" t="n"/>
      <c r="CO71" s="726" t="n"/>
      <c r="CP71" s="726" t="n"/>
      <c r="CQ71" s="726" t="n"/>
      <c r="CR71" s="726" t="n"/>
      <c r="CS71" s="726" t="n"/>
      <c r="CT71" s="726" t="n"/>
      <c r="CU71" s="726" t="n"/>
      <c r="CV71" s="726" t="n"/>
      <c r="CW71" s="726" t="n"/>
      <c r="CX71" s="726" t="n"/>
      <c r="CY71" s="726" t="n"/>
      <c r="CZ71" s="726" t="n"/>
      <c r="DA71" s="726" t="n"/>
      <c r="DB71" s="726" t="n"/>
      <c r="DC71" s="726" t="n"/>
    </row>
    <row r="72" ht="15" customHeight="1" s="1883">
      <c r="B72" s="726" t="n"/>
      <c r="C72" s="726" t="n"/>
      <c r="D72" s="726" t="n"/>
      <c r="E72" s="726" t="n"/>
      <c r="F72" s="726" t="n"/>
      <c r="G72" s="726" t="n"/>
      <c r="H72" s="726" t="n"/>
      <c r="I72" s="726" t="n"/>
      <c r="J72" s="726" t="n"/>
      <c r="K72" s="726" t="n"/>
      <c r="L72" s="726" t="n"/>
      <c r="M72" s="726" t="n"/>
      <c r="N72" s="726" t="n"/>
      <c r="O72" s="726" t="n"/>
      <c r="P72" s="726" t="n"/>
      <c r="Q72" s="726" t="n"/>
      <c r="R72" s="726" t="n"/>
      <c r="S72" s="726" t="n"/>
      <c r="T72" s="726" t="n"/>
      <c r="U72" s="726" t="n"/>
      <c r="V72" s="726" t="n"/>
      <c r="W72" s="726" t="n"/>
      <c r="X72" s="726" t="n"/>
      <c r="Y72" s="726" t="n"/>
      <c r="Z72" s="726" t="n"/>
      <c r="AA72" s="726" t="n"/>
      <c r="AB72" s="726" t="n"/>
      <c r="AC72" s="726" t="n"/>
      <c r="AD72" s="726" t="n"/>
      <c r="AE72" s="726" t="n"/>
      <c r="AF72" s="726" t="n"/>
      <c r="AG72" s="726" t="n"/>
      <c r="AH72" s="726" t="n"/>
      <c r="AI72" s="726" t="n"/>
      <c r="AJ72" s="726" t="n"/>
      <c r="AK72" s="726" t="n"/>
      <c r="AL72" s="726" t="n"/>
      <c r="AM72" s="726" t="n"/>
      <c r="AN72" s="726" t="n"/>
      <c r="AO72" s="726" t="n"/>
      <c r="AP72" s="726" t="n"/>
      <c r="AQ72" s="726" t="n"/>
      <c r="AR72" s="726" t="n"/>
      <c r="AS72" s="726" t="n"/>
      <c r="AT72" s="726" t="n"/>
      <c r="AU72" s="726" t="n"/>
      <c r="AV72" s="726" t="n"/>
      <c r="AW72" s="726" t="n"/>
      <c r="AX72" s="726" t="n"/>
      <c r="AY72" s="726" t="n"/>
      <c r="AZ72" s="726" t="n"/>
      <c r="BA72" s="726" t="n"/>
      <c r="BB72" s="726" t="n"/>
      <c r="BC72" s="726" t="n"/>
      <c r="BD72" s="726" t="n"/>
      <c r="BE72" s="726" t="n"/>
      <c r="BF72" s="726" t="n"/>
      <c r="BG72" s="726" t="n"/>
      <c r="BH72" s="726" t="n"/>
      <c r="BI72" s="726" t="n"/>
      <c r="BJ72" s="726" t="n"/>
      <c r="BK72" s="726" t="n"/>
      <c r="BL72" s="726" t="n"/>
      <c r="BM72" s="726" t="n"/>
      <c r="BN72" s="726" t="n"/>
      <c r="BO72" s="726" t="n"/>
      <c r="BP72" s="726" t="n"/>
      <c r="BQ72" s="726" t="n"/>
      <c r="BR72" s="726" t="n"/>
      <c r="BS72" s="726" t="n"/>
      <c r="BT72" s="726" t="n"/>
      <c r="BU72" s="726" t="n"/>
      <c r="BV72" s="726" t="n"/>
      <c r="BW72" s="726" t="n"/>
      <c r="BX72" s="726" t="n"/>
      <c r="BY72" s="726" t="n"/>
      <c r="BZ72" s="726" t="n"/>
      <c r="CA72" s="726" t="n"/>
      <c r="CB72" s="726" t="n"/>
      <c r="CC72" s="726" t="n"/>
      <c r="CD72" s="726" t="n"/>
      <c r="CE72" s="726" t="n"/>
      <c r="CF72" s="726" t="n"/>
      <c r="CG72" s="726" t="n"/>
      <c r="CH72" s="726" t="n"/>
      <c r="CI72" s="726" t="n"/>
      <c r="CJ72" s="726" t="n"/>
      <c r="CK72" s="726" t="n"/>
      <c r="CL72" s="726" t="n"/>
      <c r="CM72" s="726" t="n"/>
      <c r="CN72" s="726" t="n"/>
      <c r="CO72" s="726" t="n"/>
      <c r="CP72" s="726" t="n"/>
      <c r="CQ72" s="726" t="n"/>
      <c r="CR72" s="726" t="n"/>
      <c r="CS72" s="726" t="n"/>
      <c r="CT72" s="726" t="n"/>
      <c r="CU72" s="726" t="n"/>
      <c r="CV72" s="726" t="n"/>
      <c r="CW72" s="726" t="n"/>
      <c r="CX72" s="726" t="n"/>
      <c r="CY72" s="726" t="n"/>
      <c r="CZ72" s="726" t="n"/>
      <c r="DA72" s="726" t="n"/>
      <c r="DB72" s="726" t="n"/>
      <c r="DC72" s="726" t="n"/>
    </row>
    <row r="73" ht="15" customHeight="1" s="1883">
      <c r="B73" s="733" t="inlineStr">
        <is>
          <t>Employee Benefits</t>
        </is>
      </c>
      <c r="C73" s="726" t="n"/>
      <c r="D73" s="726" t="n"/>
      <c r="E73" s="726" t="n"/>
      <c r="F73" s="726" t="n"/>
      <c r="G73" s="726" t="n"/>
      <c r="H73" s="726" t="n"/>
      <c r="I73" s="726" t="n"/>
      <c r="J73" s="726" t="n"/>
      <c r="K73" s="726" t="n"/>
      <c r="L73" s="726" t="n"/>
      <c r="M73" s="726" t="n"/>
      <c r="N73" s="726" t="n"/>
      <c r="O73" s="726" t="n"/>
      <c r="P73" s="726" t="n"/>
      <c r="Q73" s="726" t="n"/>
      <c r="R73" s="726" t="n"/>
      <c r="S73" s="726" t="n"/>
      <c r="T73" s="726" t="n"/>
      <c r="U73" s="726" t="n"/>
      <c r="V73" s="726" t="n"/>
      <c r="W73" s="726" t="n"/>
      <c r="X73" s="726" t="n"/>
      <c r="Y73" s="726" t="n"/>
      <c r="Z73" s="726" t="n"/>
      <c r="AA73" s="726" t="n"/>
      <c r="AB73" s="726" t="n"/>
      <c r="AC73" s="726" t="n"/>
      <c r="AD73" s="726" t="n"/>
      <c r="AE73" s="726" t="n"/>
      <c r="AF73" s="726" t="n"/>
      <c r="AG73" s="726" t="n"/>
      <c r="AH73" s="726" t="n"/>
      <c r="AI73" s="726" t="n"/>
      <c r="AJ73" s="726" t="n"/>
      <c r="AK73" s="726" t="n"/>
      <c r="AL73" s="726" t="n"/>
      <c r="AM73" s="726" t="n"/>
      <c r="AN73" s="726" t="n"/>
      <c r="AO73" s="726" t="n"/>
      <c r="AP73" s="726" t="n"/>
      <c r="AQ73" s="726" t="n"/>
      <c r="AR73" s="726" t="n"/>
      <c r="AS73" s="726" t="n"/>
      <c r="AT73" s="726" t="n"/>
      <c r="AU73" s="726" t="n"/>
      <c r="AV73" s="726" t="n"/>
      <c r="AW73" s="726" t="n"/>
      <c r="AX73" s="726" t="n"/>
      <c r="AY73" s="726" t="n"/>
      <c r="AZ73" s="726" t="n"/>
      <c r="BA73" s="726" t="n"/>
      <c r="BB73" s="726" t="n"/>
      <c r="BC73" s="726" t="n"/>
      <c r="BD73" s="726" t="n"/>
      <c r="BE73" s="726" t="n"/>
      <c r="BF73" s="726" t="n"/>
      <c r="BG73" s="726" t="n"/>
      <c r="BH73" s="726" t="n"/>
      <c r="BI73" s="726" t="n"/>
      <c r="BJ73" s="726" t="n"/>
      <c r="BK73" s="726" t="n"/>
      <c r="BL73" s="726" t="n"/>
      <c r="BM73" s="726" t="n"/>
      <c r="BN73" s="726" t="n"/>
      <c r="BO73" s="726" t="n"/>
      <c r="BP73" s="726" t="n"/>
      <c r="BQ73" s="726" t="n"/>
      <c r="BR73" s="726" t="n"/>
      <c r="BS73" s="726" t="n"/>
      <c r="BT73" s="726" t="n"/>
      <c r="BU73" s="726" t="n"/>
      <c r="BV73" s="726" t="n"/>
      <c r="BW73" s="726" t="n"/>
      <c r="BX73" s="726" t="n"/>
      <c r="BY73" s="726" t="n"/>
      <c r="BZ73" s="726" t="n"/>
      <c r="CA73" s="726" t="n"/>
      <c r="CB73" s="726" t="n"/>
      <c r="CC73" s="726" t="n"/>
      <c r="CD73" s="726" t="n"/>
      <c r="CE73" s="726" t="n"/>
      <c r="CF73" s="726" t="n"/>
      <c r="CG73" s="726" t="n"/>
      <c r="CH73" s="726" t="n"/>
      <c r="CI73" s="726" t="n"/>
      <c r="CJ73" s="726" t="n"/>
      <c r="CK73" s="726" t="n"/>
      <c r="CL73" s="726" t="n"/>
      <c r="CM73" s="726" t="n"/>
      <c r="CN73" s="726" t="n"/>
      <c r="CO73" s="726" t="n"/>
      <c r="CP73" s="726" t="n"/>
      <c r="CQ73" s="726" t="n"/>
      <c r="CR73" s="726" t="n"/>
      <c r="CS73" s="726" t="n"/>
      <c r="CT73" s="726" t="n"/>
      <c r="CU73" s="726" t="n"/>
      <c r="CV73" s="726" t="n"/>
      <c r="CW73" s="726" t="n"/>
      <c r="CX73" s="726" t="n"/>
      <c r="CY73" s="726" t="n"/>
      <c r="CZ73" s="726" t="n"/>
      <c r="DA73" s="726" t="n"/>
      <c r="DB73" s="726" t="n"/>
      <c r="DC73" s="726" t="n"/>
    </row>
    <row r="74" ht="3" customHeight="1" s="1883">
      <c r="B74" s="734" t="n"/>
      <c r="C74" s="734" t="n"/>
      <c r="D74" s="734" t="n"/>
      <c r="E74" s="734" t="n"/>
      <c r="F74" s="734" t="n"/>
      <c r="G74" s="734" t="n"/>
      <c r="H74" s="734" t="n"/>
      <c r="I74" s="734" t="n"/>
      <c r="J74" s="734" t="n"/>
      <c r="K74" s="734" t="n"/>
      <c r="L74" s="734" t="n"/>
      <c r="M74" s="734" t="n"/>
      <c r="N74" s="734" t="n"/>
      <c r="O74" s="734" t="n"/>
      <c r="P74" s="734" t="n"/>
      <c r="Q74" s="734" t="n"/>
      <c r="R74" s="734" t="n"/>
      <c r="S74" s="734" t="n"/>
      <c r="T74" s="734" t="n"/>
      <c r="U74" s="734" t="n"/>
      <c r="V74" s="734" t="n"/>
      <c r="W74" s="734" t="n"/>
      <c r="X74" s="734" t="n"/>
      <c r="Y74" s="726" t="n"/>
      <c r="Z74" s="726" t="n"/>
      <c r="AA74" s="726" t="n"/>
      <c r="AB74" s="726" t="n"/>
      <c r="AC74" s="726" t="n"/>
      <c r="AD74" s="726" t="n"/>
      <c r="AE74" s="726" t="n"/>
      <c r="AF74" s="726" t="n"/>
      <c r="AG74" s="726" t="n"/>
      <c r="AH74" s="726" t="n"/>
      <c r="AI74" s="726" t="n"/>
      <c r="AJ74" s="726" t="n"/>
      <c r="AK74" s="726" t="n"/>
      <c r="AL74" s="726" t="n"/>
      <c r="AM74" s="726" t="n"/>
      <c r="AN74" s="726" t="n"/>
      <c r="AO74" s="726" t="n"/>
      <c r="AP74" s="726" t="n"/>
      <c r="AQ74" s="726" t="n"/>
      <c r="AR74" s="726" t="n"/>
      <c r="AS74" s="726" t="n"/>
      <c r="AT74" s="726" t="n"/>
      <c r="AU74" s="726" t="n"/>
      <c r="AV74" s="726" t="n"/>
      <c r="AW74" s="726" t="n"/>
      <c r="AX74" s="726" t="n"/>
      <c r="AY74" s="726" t="n"/>
      <c r="AZ74" s="726" t="n"/>
      <c r="BA74" s="726" t="n"/>
      <c r="BB74" s="726" t="n"/>
      <c r="BC74" s="726" t="n"/>
      <c r="BD74" s="726" t="n"/>
      <c r="BE74" s="726" t="n"/>
      <c r="BF74" s="726" t="n"/>
      <c r="BG74" s="726" t="n"/>
      <c r="BH74" s="726" t="n"/>
      <c r="BI74" s="726" t="n"/>
      <c r="BJ74" s="726" t="n"/>
      <c r="BK74" s="726" t="n"/>
      <c r="BL74" s="726" t="n"/>
      <c r="BM74" s="726" t="n"/>
      <c r="BN74" s="726" t="n"/>
      <c r="BO74" s="726" t="n"/>
      <c r="BP74" s="726" t="n"/>
      <c r="BQ74" s="726" t="n"/>
      <c r="BR74" s="726" t="n"/>
      <c r="BS74" s="726" t="n"/>
      <c r="BT74" s="726" t="n"/>
      <c r="BU74" s="726" t="n"/>
      <c r="BV74" s="726" t="n"/>
      <c r="BW74" s="726" t="n"/>
      <c r="BX74" s="726" t="n"/>
      <c r="BY74" s="726" t="n"/>
      <c r="BZ74" s="726" t="n"/>
      <c r="CA74" s="726" t="n"/>
      <c r="CB74" s="726" t="n"/>
      <c r="CC74" s="726" t="n"/>
      <c r="CD74" s="726" t="n"/>
      <c r="CE74" s="726" t="n"/>
      <c r="CF74" s="726" t="n"/>
      <c r="CG74" s="726" t="n"/>
      <c r="CH74" s="726" t="n"/>
      <c r="CI74" s="726" t="n"/>
      <c r="CJ74" s="726" t="n"/>
      <c r="CK74" s="726" t="n"/>
      <c r="CL74" s="726" t="n"/>
      <c r="CM74" s="726" t="n"/>
      <c r="CN74" s="726" t="n"/>
      <c r="CO74" s="726" t="n"/>
      <c r="CP74" s="726" t="n"/>
      <c r="CQ74" s="726" t="n"/>
      <c r="CR74" s="726" t="n"/>
      <c r="CS74" s="726" t="n"/>
      <c r="CT74" s="726" t="n"/>
      <c r="CU74" s="726" t="n"/>
      <c r="CV74" s="726" t="n"/>
      <c r="CW74" s="726" t="n"/>
      <c r="CX74" s="726" t="n"/>
      <c r="CY74" s="726" t="n"/>
      <c r="CZ74" s="726" t="n"/>
      <c r="DA74" s="726" t="n"/>
      <c r="DB74" s="726" t="n"/>
      <c r="DC74" s="726" t="n"/>
    </row>
    <row r="75" ht="3" customHeight="1" s="1883">
      <c r="B75" s="726" t="n"/>
      <c r="C75" s="726" t="n"/>
      <c r="D75" s="726" t="n"/>
      <c r="E75" s="726" t="n"/>
      <c r="F75" s="726" t="n"/>
      <c r="G75" s="726" t="n"/>
      <c r="H75" s="726" t="n"/>
      <c r="I75" s="726" t="n"/>
      <c r="J75" s="726" t="n"/>
      <c r="K75" s="726" t="n"/>
      <c r="L75" s="726" t="n"/>
      <c r="M75" s="726" t="n"/>
      <c r="N75" s="726" t="n"/>
      <c r="O75" s="726" t="n"/>
      <c r="P75" s="726" t="n"/>
      <c r="Q75" s="726" t="n"/>
      <c r="R75" s="726" t="n"/>
      <c r="S75" s="726" t="n"/>
      <c r="T75" s="726" t="n"/>
      <c r="U75" s="726" t="n"/>
      <c r="V75" s="726" t="n"/>
      <c r="W75" s="726" t="n"/>
      <c r="X75" s="726" t="n"/>
      <c r="Y75" s="726" t="n"/>
      <c r="Z75" s="726" t="n"/>
      <c r="AA75" s="726" t="n"/>
      <c r="AB75" s="726" t="n"/>
      <c r="AC75" s="726" t="n"/>
      <c r="AD75" s="726" t="n"/>
      <c r="AE75" s="726" t="n"/>
      <c r="AF75" s="726" t="n"/>
      <c r="AG75" s="726" t="n"/>
      <c r="AH75" s="726" t="n"/>
      <c r="AI75" s="726" t="n"/>
      <c r="AJ75" s="726" t="n"/>
      <c r="AK75" s="726" t="n"/>
      <c r="AL75" s="726" t="n"/>
      <c r="AM75" s="726" t="n"/>
      <c r="AN75" s="726" t="n"/>
      <c r="AO75" s="726" t="n"/>
      <c r="AP75" s="726" t="n"/>
      <c r="AQ75" s="726" t="n"/>
      <c r="AR75" s="726" t="n"/>
      <c r="AS75" s="726" t="n"/>
      <c r="AT75" s="726" t="n"/>
      <c r="AU75" s="726" t="n"/>
      <c r="AV75" s="726" t="n"/>
      <c r="AW75" s="726" t="n"/>
      <c r="AX75" s="726" t="n"/>
      <c r="AY75" s="726" t="n"/>
      <c r="AZ75" s="726" t="n"/>
      <c r="BA75" s="726" t="n"/>
      <c r="BB75" s="726" t="n"/>
      <c r="BC75" s="726" t="n"/>
      <c r="BD75" s="726" t="n"/>
      <c r="BE75" s="726" t="n"/>
      <c r="BF75" s="726" t="n"/>
      <c r="BG75" s="726" t="n"/>
      <c r="BH75" s="726" t="n"/>
      <c r="BI75" s="726" t="n"/>
      <c r="BJ75" s="726" t="n"/>
      <c r="BK75" s="726" t="n"/>
      <c r="BL75" s="726" t="n"/>
      <c r="BM75" s="726" t="n"/>
      <c r="BN75" s="726" t="n"/>
      <c r="BO75" s="726" t="n"/>
      <c r="BP75" s="726" t="n"/>
      <c r="BQ75" s="726" t="n"/>
      <c r="BR75" s="726" t="n"/>
      <c r="BS75" s="726" t="n"/>
      <c r="BT75" s="726" t="n"/>
      <c r="BU75" s="726" t="n"/>
      <c r="BV75" s="726" t="n"/>
      <c r="BW75" s="726" t="n"/>
      <c r="BX75" s="726" t="n"/>
      <c r="BY75" s="726" t="n"/>
      <c r="BZ75" s="726" t="n"/>
      <c r="CA75" s="726" t="n"/>
      <c r="CB75" s="726" t="n"/>
      <c r="CC75" s="726" t="n"/>
      <c r="CD75" s="726" t="n"/>
      <c r="CE75" s="726" t="n"/>
      <c r="CF75" s="726" t="n"/>
      <c r="CG75" s="726" t="n"/>
      <c r="CH75" s="726" t="n"/>
      <c r="CI75" s="726" t="n"/>
      <c r="CJ75" s="726" t="n"/>
      <c r="CK75" s="726" t="n"/>
      <c r="CL75" s="726" t="n"/>
      <c r="CM75" s="726" t="n"/>
      <c r="CN75" s="726" t="n"/>
      <c r="CO75" s="726" t="n"/>
      <c r="CP75" s="726" t="n"/>
      <c r="CQ75" s="726" t="n"/>
      <c r="CR75" s="726" t="n"/>
      <c r="CS75" s="726" t="n"/>
      <c r="CT75" s="726" t="n"/>
      <c r="CU75" s="726" t="n"/>
      <c r="CV75" s="726" t="n"/>
      <c r="CW75" s="726" t="n"/>
      <c r="CX75" s="726" t="n"/>
      <c r="CY75" s="726" t="n"/>
      <c r="CZ75" s="726" t="n"/>
      <c r="DA75" s="726" t="n"/>
      <c r="DB75" s="726" t="n"/>
      <c r="DC75" s="726" t="n"/>
    </row>
    <row r="76" ht="15" customHeight="1" s="1883">
      <c r="B76" s="729" t="inlineStr">
        <is>
          <t>●</t>
        </is>
      </c>
      <c r="C76" s="733" t="inlineStr">
        <is>
          <t>CONUS</t>
        </is>
      </c>
      <c r="D76" s="726" t="n"/>
      <c r="E76" s="726" t="n"/>
      <c r="F76" s="726" t="n"/>
      <c r="G76" s="726" t="n"/>
      <c r="H76" s="726" t="n"/>
      <c r="I76" s="726" t="n"/>
      <c r="J76" s="726" t="n"/>
      <c r="K76" s="726" t="n"/>
      <c r="L76" s="726" t="n"/>
      <c r="M76" s="726" t="n"/>
      <c r="N76" s="726" t="n"/>
      <c r="O76" s="726" t="n"/>
      <c r="P76" s="726" t="n"/>
      <c r="Q76" s="726" t="n"/>
      <c r="R76" s="726" t="n"/>
      <c r="S76" s="726" t="n"/>
      <c r="T76" s="726" t="n"/>
      <c r="U76" s="726" t="n"/>
      <c r="V76" s="726" t="n"/>
      <c r="W76" s="726" t="n"/>
      <c r="X76" s="726" t="n"/>
      <c r="Y76" s="726" t="n"/>
      <c r="Z76" s="726" t="n"/>
      <c r="AA76" s="726" t="n"/>
      <c r="AB76" s="726" t="n"/>
      <c r="AC76" s="726" t="n"/>
      <c r="AD76" s="726" t="n"/>
      <c r="AE76" s="726" t="n"/>
      <c r="AF76" s="726" t="n"/>
      <c r="AG76" s="726" t="n"/>
      <c r="AH76" s="726" t="n"/>
      <c r="AI76" s="726" t="n"/>
      <c r="AJ76" s="726" t="n"/>
      <c r="AK76" s="726" t="n"/>
      <c r="AL76" s="726" t="n"/>
      <c r="AM76" s="726" t="n"/>
      <c r="AN76" s="726" t="n"/>
      <c r="AO76" s="726" t="n"/>
      <c r="AP76" s="726" t="n"/>
      <c r="AQ76" s="726" t="n"/>
      <c r="AR76" s="726" t="n"/>
      <c r="AS76" s="726" t="n"/>
      <c r="AT76" s="726" t="n"/>
      <c r="AU76" s="726" t="n"/>
      <c r="AV76" s="726" t="n"/>
      <c r="AW76" s="726" t="n"/>
      <c r="AX76" s="726" t="n"/>
      <c r="AY76" s="726" t="n"/>
      <c r="AZ76" s="726" t="n"/>
      <c r="BA76" s="726" t="n"/>
      <c r="BB76" s="726" t="n"/>
      <c r="BC76" s="726" t="n"/>
      <c r="BD76" s="726" t="n"/>
      <c r="BE76" s="726" t="n"/>
      <c r="BF76" s="726" t="n"/>
      <c r="BG76" s="726" t="n"/>
      <c r="BH76" s="726" t="n"/>
      <c r="BI76" s="726" t="n"/>
      <c r="BJ76" s="726" t="n"/>
      <c r="BK76" s="726" t="n"/>
      <c r="BL76" s="726" t="n"/>
      <c r="BM76" s="726" t="n"/>
      <c r="BN76" s="726" t="n"/>
      <c r="BO76" s="726" t="n"/>
      <c r="BP76" s="726" t="n"/>
      <c r="BQ76" s="726" t="n"/>
      <c r="BR76" s="726" t="n"/>
      <c r="BS76" s="726" t="n"/>
      <c r="BT76" s="726" t="n"/>
      <c r="BU76" s="726" t="n"/>
      <c r="BV76" s="726" t="n"/>
      <c r="BW76" s="726" t="n"/>
      <c r="BX76" s="726" t="n"/>
      <c r="BY76" s="726" t="n"/>
      <c r="BZ76" s="726" t="n"/>
      <c r="CA76" s="726" t="n"/>
      <c r="CB76" s="726" t="n"/>
      <c r="CC76" s="726" t="n"/>
      <c r="CD76" s="726" t="n"/>
      <c r="CE76" s="726" t="n"/>
      <c r="CF76" s="726" t="n"/>
      <c r="CG76" s="726" t="n"/>
      <c r="CH76" s="726" t="n"/>
      <c r="CI76" s="726" t="n"/>
      <c r="CJ76" s="726" t="n"/>
      <c r="CK76" s="726" t="n"/>
      <c r="CL76" s="726" t="n"/>
      <c r="CM76" s="726" t="n"/>
      <c r="CN76" s="726" t="n"/>
      <c r="CO76" s="726" t="n"/>
      <c r="CP76" s="726" t="n"/>
      <c r="CQ76" s="726" t="n"/>
      <c r="CR76" s="726" t="n"/>
      <c r="CS76" s="726" t="n"/>
      <c r="CT76" s="726" t="n"/>
      <c r="CU76" s="726" t="n"/>
      <c r="CV76" s="726" t="n"/>
      <c r="CW76" s="726" t="n"/>
      <c r="CX76" s="726" t="n"/>
      <c r="CY76" s="726" t="n"/>
      <c r="CZ76" s="726" t="n"/>
      <c r="DA76" s="726" t="n"/>
      <c r="DB76" s="726" t="n"/>
      <c r="DC76" s="726" t="n"/>
    </row>
    <row r="77" ht="15" customHeight="1" s="1883">
      <c r="B77" s="726" t="n"/>
      <c r="C77" s="726" t="n"/>
      <c r="D77" s="726" t="inlineStr">
        <is>
          <t>Salary Base</t>
        </is>
      </c>
      <c r="E77" s="726" t="n"/>
      <c r="F77" s="726" t="n"/>
      <c r="G77" s="726" t="n"/>
      <c r="H77" s="726" t="n"/>
      <c r="I77" s="726" t="n"/>
      <c r="J77" s="726" t="n"/>
      <c r="K77" s="726" t="n"/>
      <c r="L77" s="726" t="n"/>
      <c r="M77" s="726" t="n"/>
      <c r="N77" s="726" t="n"/>
      <c r="O77" s="726" t="n"/>
      <c r="P77" s="726" t="n"/>
      <c r="Q77" s="726" t="n"/>
      <c r="R77" s="726" t="n"/>
      <c r="S77" s="726" t="n"/>
      <c r="T77" s="726" t="n"/>
      <c r="U77" s="726" t="n"/>
      <c r="V77" s="726" t="n"/>
      <c r="W77" s="726" t="n"/>
      <c r="X77" s="726" t="n"/>
      <c r="Y77" s="702">
        <f>(Y32)</f>
        <v/>
      </c>
      <c r="Z77" s="702">
        <f>(Z32)</f>
        <v/>
      </c>
      <c r="AA77" s="702">
        <f>(AA32)</f>
        <v/>
      </c>
      <c r="AB77" s="702">
        <f>(AB32)</f>
        <v/>
      </c>
      <c r="AC77" s="702">
        <f>(AC32)</f>
        <v/>
      </c>
      <c r="AD77" s="702">
        <f>(AD32)</f>
        <v/>
      </c>
      <c r="AE77" s="702">
        <f>(AE32)</f>
        <v/>
      </c>
      <c r="AF77" s="702">
        <f>(AF32)</f>
        <v/>
      </c>
      <c r="AG77" s="702">
        <f>(AG32)</f>
        <v/>
      </c>
      <c r="AH77" s="702">
        <f>(AH32)</f>
        <v/>
      </c>
      <c r="AI77" s="702">
        <f>(AI32)</f>
        <v/>
      </c>
      <c r="AJ77" s="702">
        <f>(AJ32)</f>
        <v/>
      </c>
      <c r="AK77" s="765">
        <f>(AK32)</f>
        <v/>
      </c>
      <c r="AL77" s="726" t="n"/>
      <c r="AM77" s="702">
        <f>(AM32)</f>
        <v/>
      </c>
      <c r="AN77" s="702">
        <f>(AN32)</f>
        <v/>
      </c>
      <c r="AO77" s="702">
        <f>(AO32)</f>
        <v/>
      </c>
      <c r="AP77" s="702">
        <f>(AP32)</f>
        <v/>
      </c>
      <c r="AQ77" s="702">
        <f>(AQ32)</f>
        <v/>
      </c>
      <c r="AR77" s="702">
        <f>(AR32)</f>
        <v/>
      </c>
      <c r="AS77" s="702">
        <f>(AS32)</f>
        <v/>
      </c>
      <c r="AT77" s="702">
        <f>(AT32)</f>
        <v/>
      </c>
      <c r="AU77" s="702">
        <f>(AU32)</f>
        <v/>
      </c>
      <c r="AV77" s="702">
        <f>(AV32)</f>
        <v/>
      </c>
      <c r="AW77" s="702">
        <f>(AW32)</f>
        <v/>
      </c>
      <c r="AX77" s="702">
        <f>(AX32)</f>
        <v/>
      </c>
      <c r="AY77" s="765">
        <f>(AY32)</f>
        <v/>
      </c>
      <c r="AZ77" s="726" t="n"/>
      <c r="BA77" s="702">
        <f>(BA32)</f>
        <v/>
      </c>
      <c r="BB77" s="702">
        <f>(BB32)</f>
        <v/>
      </c>
      <c r="BC77" s="702">
        <f>(BC32)</f>
        <v/>
      </c>
      <c r="BD77" s="702">
        <f>(BD32)</f>
        <v/>
      </c>
      <c r="BE77" s="702">
        <f>(BE32)</f>
        <v/>
      </c>
      <c r="BF77" s="702">
        <f>(BF32)</f>
        <v/>
      </c>
      <c r="BG77" s="702">
        <f>(BG32)</f>
        <v/>
      </c>
      <c r="BH77" s="702">
        <f>(BH32)</f>
        <v/>
      </c>
      <c r="BI77" s="702">
        <f>(BI32)</f>
        <v/>
      </c>
      <c r="BJ77" s="702">
        <f>(BJ32)</f>
        <v/>
      </c>
      <c r="BK77" s="702">
        <f>(BK32)</f>
        <v/>
      </c>
      <c r="BL77" s="702">
        <f>(BL32)</f>
        <v/>
      </c>
      <c r="BM77" s="765">
        <f>(BM32)</f>
        <v/>
      </c>
      <c r="BN77" s="726" t="n"/>
      <c r="BO77" s="702">
        <f>(BO32)</f>
        <v/>
      </c>
      <c r="BP77" s="702">
        <f>(BP32)</f>
        <v/>
      </c>
      <c r="BQ77" s="702">
        <f>(BQ32)</f>
        <v/>
      </c>
      <c r="BR77" s="702">
        <f>(BR32)</f>
        <v/>
      </c>
      <c r="BS77" s="702">
        <f>(BS32)</f>
        <v/>
      </c>
      <c r="BT77" s="702">
        <f>(BT32)</f>
        <v/>
      </c>
      <c r="BU77" s="702">
        <f>(BU32)</f>
        <v/>
      </c>
      <c r="BV77" s="702">
        <f>(BV32)</f>
        <v/>
      </c>
      <c r="BW77" s="702">
        <f>(BW32)</f>
        <v/>
      </c>
      <c r="BX77" s="702">
        <f>(BX32)</f>
        <v/>
      </c>
      <c r="BY77" s="702">
        <f>(BY32)</f>
        <v/>
      </c>
      <c r="BZ77" s="702">
        <f>(BZ32)</f>
        <v/>
      </c>
      <c r="CA77" s="765">
        <f>(CA32)</f>
        <v/>
      </c>
      <c r="CB77" s="726" t="n"/>
      <c r="CC77" s="702">
        <f>(CC32)</f>
        <v/>
      </c>
      <c r="CD77" s="702">
        <f>(CD32)</f>
        <v/>
      </c>
      <c r="CE77" s="702">
        <f>(CE32)</f>
        <v/>
      </c>
      <c r="CF77" s="702">
        <f>(CF32)</f>
        <v/>
      </c>
      <c r="CG77" s="702">
        <f>(CG32)</f>
        <v/>
      </c>
      <c r="CH77" s="702">
        <f>(CH32)</f>
        <v/>
      </c>
      <c r="CI77" s="702">
        <f>(CI32)</f>
        <v/>
      </c>
      <c r="CJ77" s="702">
        <f>(CJ32)</f>
        <v/>
      </c>
      <c r="CK77" s="702">
        <f>(CK32)</f>
        <v/>
      </c>
      <c r="CL77" s="702">
        <f>(CL32)</f>
        <v/>
      </c>
      <c r="CM77" s="702">
        <f>(CM32)</f>
        <v/>
      </c>
      <c r="CN77" s="702">
        <f>(CN32)</f>
        <v/>
      </c>
      <c r="CO77" s="765">
        <f>(CO32)</f>
        <v/>
      </c>
      <c r="CP77" s="726" t="n"/>
      <c r="CQ77" s="702">
        <f>(CQ32)</f>
        <v/>
      </c>
      <c r="CR77" s="702">
        <f>(CR32)</f>
        <v/>
      </c>
      <c r="CS77" s="702">
        <f>(CS32)</f>
        <v/>
      </c>
      <c r="CT77" s="702">
        <f>(CT32)</f>
        <v/>
      </c>
      <c r="CU77" s="702">
        <f>(CU32)</f>
        <v/>
      </c>
      <c r="CV77" s="702">
        <f>(CV32)</f>
        <v/>
      </c>
      <c r="CW77" s="702">
        <f>(CW32)</f>
        <v/>
      </c>
      <c r="CX77" s="702">
        <f>(CX32)</f>
        <v/>
      </c>
      <c r="CY77" s="702">
        <f>(CY32)</f>
        <v/>
      </c>
      <c r="CZ77" s="702">
        <f>(CZ32)</f>
        <v/>
      </c>
      <c r="DA77" s="702">
        <f>(DA32)</f>
        <v/>
      </c>
      <c r="DB77" s="702">
        <f>(DB32)</f>
        <v/>
      </c>
      <c r="DC77" s="765">
        <f>(DC32)</f>
        <v/>
      </c>
    </row>
    <row r="78" ht="15" customHeight="1" s="1883">
      <c r="B78" s="726" t="n"/>
      <c r="C78" s="726" t="n"/>
      <c r="E78" s="733" t="inlineStr">
        <is>
          <t>Employee Benefits, Net of Employee Contribution, at 20.00%</t>
        </is>
      </c>
      <c r="F78" s="726" t="n"/>
      <c r="G78" s="726" t="n"/>
      <c r="H78" s="726" t="n"/>
      <c r="I78" s="726" t="n"/>
      <c r="J78" s="726" t="n"/>
      <c r="K78" s="726" t="n"/>
      <c r="L78" s="726" t="n"/>
      <c r="M78" s="726" t="n"/>
      <c r="N78" s="726" t="n"/>
      <c r="O78" s="726" t="n"/>
      <c r="P78" s="726" t="n"/>
      <c r="Q78" s="726" t="n"/>
      <c r="R78" s="726" t="n"/>
      <c r="S78" s="726" t="n"/>
      <c r="T78" s="726" t="n"/>
      <c r="U78" s="726" t="n"/>
      <c r="V78" s="726" t="n"/>
      <c r="W78" s="726" t="n"/>
      <c r="X78" s="726" t="n"/>
      <c r="Y78" s="765">
        <f>((Y77)*(0.2))</f>
        <v/>
      </c>
      <c r="Z78" s="765">
        <f>((Z77)*(0.2))</f>
        <v/>
      </c>
      <c r="AA78" s="765">
        <f>((AA77)*(0.2))</f>
        <v/>
      </c>
      <c r="AB78" s="765">
        <f>((AB77)*(0.2))</f>
        <v/>
      </c>
      <c r="AC78" s="765">
        <f>((AC77)*(0.2))</f>
        <v/>
      </c>
      <c r="AD78" s="765">
        <f>((AD77)*(0.2))</f>
        <v/>
      </c>
      <c r="AE78" s="765">
        <f>((AE77)*(0.2))</f>
        <v/>
      </c>
      <c r="AF78" s="765">
        <f>((AF77)*(0.2))</f>
        <v/>
      </c>
      <c r="AG78" s="765">
        <f>((AG77)*(0.2))</f>
        <v/>
      </c>
      <c r="AH78" s="765">
        <f>((AH77)*(0.2))</f>
        <v/>
      </c>
      <c r="AI78" s="765">
        <f>((AI77)*(0.2))</f>
        <v/>
      </c>
      <c r="AJ78" s="765">
        <f>((AJ77)*(0.2))</f>
        <v/>
      </c>
      <c r="AK78" s="765">
        <f>((AK77)*(0.2))</f>
        <v/>
      </c>
      <c r="AL78" s="726" t="n"/>
      <c r="AM78" s="765">
        <f>((AM77)*(0.2))</f>
        <v/>
      </c>
      <c r="AN78" s="765">
        <f>((AN77)*(0.2))</f>
        <v/>
      </c>
      <c r="AO78" s="765">
        <f>((AO77)*(0.2))</f>
        <v/>
      </c>
      <c r="AP78" s="765">
        <f>((AP77)*(0.2))</f>
        <v/>
      </c>
      <c r="AQ78" s="765">
        <f>((AQ77)*(0.2))</f>
        <v/>
      </c>
      <c r="AR78" s="765">
        <f>((AR77)*(0.2))</f>
        <v/>
      </c>
      <c r="AS78" s="765">
        <f>((AS77)*(0.2))</f>
        <v/>
      </c>
      <c r="AT78" s="765">
        <f>((AT77)*(0.2))</f>
        <v/>
      </c>
      <c r="AU78" s="765">
        <f>((AU77)*(0.2))</f>
        <v/>
      </c>
      <c r="AV78" s="765">
        <f>((AV77)*(0.2))</f>
        <v/>
      </c>
      <c r="AW78" s="765">
        <f>((AW77)*(0.2))</f>
        <v/>
      </c>
      <c r="AX78" s="765">
        <f>((AX77)*(0.2))</f>
        <v/>
      </c>
      <c r="AY78" s="765">
        <f>((AY77)*(0.2))</f>
        <v/>
      </c>
      <c r="AZ78" s="726" t="n"/>
      <c r="BA78" s="765">
        <f>((BA77)*(0.2))</f>
        <v/>
      </c>
      <c r="BB78" s="765">
        <f>((BB77)*(0.2))</f>
        <v/>
      </c>
      <c r="BC78" s="765">
        <f>((BC77)*(0.2))</f>
        <v/>
      </c>
      <c r="BD78" s="765">
        <f>((BD77)*(0.2))</f>
        <v/>
      </c>
      <c r="BE78" s="765">
        <f>((BE77)*(0.2))</f>
        <v/>
      </c>
      <c r="BF78" s="765">
        <f>((BF77)*(0.2))</f>
        <v/>
      </c>
      <c r="BG78" s="765">
        <f>((BG77)*(0.2))</f>
        <v/>
      </c>
      <c r="BH78" s="765">
        <f>((BH77)*(0.2))</f>
        <v/>
      </c>
      <c r="BI78" s="765">
        <f>((BI77)*(0.2))</f>
        <v/>
      </c>
      <c r="BJ78" s="765">
        <f>((BJ77)*(0.2))</f>
        <v/>
      </c>
      <c r="BK78" s="765">
        <f>((BK77)*(0.2))</f>
        <v/>
      </c>
      <c r="BL78" s="765">
        <f>((BL77)*(0.2))</f>
        <v/>
      </c>
      <c r="BM78" s="765">
        <f>((BM77)*(0.2))</f>
        <v/>
      </c>
      <c r="BN78" s="726" t="n"/>
      <c r="BO78" s="765">
        <f>((BO77)*(0.2))</f>
        <v/>
      </c>
      <c r="BP78" s="765">
        <f>((BP77)*(0.2))</f>
        <v/>
      </c>
      <c r="BQ78" s="765">
        <f>((BQ77)*(0.2))</f>
        <v/>
      </c>
      <c r="BR78" s="765">
        <f>((BR77)*(0.2))</f>
        <v/>
      </c>
      <c r="BS78" s="765">
        <f>((BS77)*(0.2))</f>
        <v/>
      </c>
      <c r="BT78" s="765">
        <f>((BT77)*(0.2))</f>
        <v/>
      </c>
      <c r="BU78" s="765">
        <f>((BU77)*(0.2))</f>
        <v/>
      </c>
      <c r="BV78" s="765">
        <f>((BV77)*(0.2))</f>
        <v/>
      </c>
      <c r="BW78" s="765">
        <f>((BW77)*(0.2))</f>
        <v/>
      </c>
      <c r="BX78" s="765">
        <f>((BX77)*(0.2))</f>
        <v/>
      </c>
      <c r="BY78" s="765">
        <f>((BY77)*(0.2))</f>
        <v/>
      </c>
      <c r="BZ78" s="765">
        <f>((BZ77)*(0.2))</f>
        <v/>
      </c>
      <c r="CA78" s="765">
        <f>((CA77)*(0.2))</f>
        <v/>
      </c>
      <c r="CB78" s="726" t="n"/>
      <c r="CC78" s="765">
        <f>((CC77)*(0.2))</f>
        <v/>
      </c>
      <c r="CD78" s="765">
        <f>((CD77)*(0.2))</f>
        <v/>
      </c>
      <c r="CE78" s="765">
        <f>((CE77)*(0.2))</f>
        <v/>
      </c>
      <c r="CF78" s="765">
        <f>((CF77)*(0.2))</f>
        <v/>
      </c>
      <c r="CG78" s="765">
        <f>((CG77)*(0.2))</f>
        <v/>
      </c>
      <c r="CH78" s="765">
        <f>((CH77)*(0.2))</f>
        <v/>
      </c>
      <c r="CI78" s="765">
        <f>((CI77)*(0.2))</f>
        <v/>
      </c>
      <c r="CJ78" s="765">
        <f>((CJ77)*(0.2))</f>
        <v/>
      </c>
      <c r="CK78" s="765">
        <f>((CK77)*(0.2))</f>
        <v/>
      </c>
      <c r="CL78" s="765">
        <f>((CL77)*(0.2))</f>
        <v/>
      </c>
      <c r="CM78" s="765">
        <f>((CM77)*(0.2))</f>
        <v/>
      </c>
      <c r="CN78" s="765">
        <f>((CN77)*(0.2))</f>
        <v/>
      </c>
      <c r="CO78" s="765">
        <f>((CO77)*(0.2))</f>
        <v/>
      </c>
      <c r="CP78" s="726" t="n"/>
      <c r="CQ78" s="765">
        <f>((CQ77)*(0.2))</f>
        <v/>
      </c>
      <c r="CR78" s="765">
        <f>((CR77)*(0.2))</f>
        <v/>
      </c>
      <c r="CS78" s="765">
        <f>((CS77)*(0.2))</f>
        <v/>
      </c>
      <c r="CT78" s="765">
        <f>((CT77)*(0.2))</f>
        <v/>
      </c>
      <c r="CU78" s="765">
        <f>((CU77)*(0.2))</f>
        <v/>
      </c>
      <c r="CV78" s="765">
        <f>((CV77)*(0.2))</f>
        <v/>
      </c>
      <c r="CW78" s="765">
        <f>((CW77)*(0.2))</f>
        <v/>
      </c>
      <c r="CX78" s="765">
        <f>((CX77)*(0.2))</f>
        <v/>
      </c>
      <c r="CY78" s="765">
        <f>((CY77)*(0.2))</f>
        <v/>
      </c>
      <c r="CZ78" s="765">
        <f>((CZ77)*(0.2))</f>
        <v/>
      </c>
      <c r="DA78" s="765">
        <f>((DA77)*(0.2))</f>
        <v/>
      </c>
      <c r="DB78" s="765">
        <f>((DB77)*(0.2))</f>
        <v/>
      </c>
      <c r="DC78" s="765">
        <f>((DC77)*(0.2))</f>
        <v/>
      </c>
    </row>
    <row r="81" ht="15" customHeight="1" s="1883">
      <c r="B81" s="796" t="inlineStr">
        <is>
          <t>●</t>
        </is>
      </c>
      <c r="C81" s="795" t="inlineStr">
        <is>
          <t>OCONUS</t>
        </is>
      </c>
      <c r="D81" s="773" t="n"/>
      <c r="E81" s="773" t="n"/>
      <c r="F81" s="726" t="n"/>
      <c r="G81" s="726" t="n"/>
      <c r="H81" s="726" t="n"/>
      <c r="I81" s="726" t="n"/>
      <c r="J81" s="726" t="n"/>
      <c r="K81" s="726" t="n"/>
      <c r="L81" s="726" t="n"/>
      <c r="M81" s="726" t="n"/>
      <c r="N81" s="726" t="n"/>
      <c r="O81" s="726" t="n"/>
      <c r="P81" s="726" t="n"/>
      <c r="Q81" s="726" t="n"/>
      <c r="R81" s="726" t="n"/>
      <c r="S81" s="726" t="n"/>
      <c r="T81" s="726" t="n"/>
      <c r="U81" s="726" t="n"/>
      <c r="V81" s="726" t="n"/>
      <c r="W81" s="726" t="n"/>
      <c r="X81" s="726" t="n"/>
      <c r="Y81" s="726" t="n"/>
      <c r="Z81" s="726" t="n"/>
      <c r="AA81" s="726" t="n"/>
      <c r="AB81" s="726" t="n"/>
      <c r="AC81" s="726" t="n"/>
      <c r="AD81" s="726" t="n"/>
      <c r="AE81" s="726" t="n"/>
      <c r="AF81" s="726" t="n"/>
      <c r="AG81" s="726" t="n"/>
      <c r="AH81" s="726" t="n"/>
      <c r="AI81" s="726" t="n"/>
      <c r="AJ81" s="726" t="n"/>
      <c r="AK81" s="726" t="n"/>
      <c r="AL81" s="726" t="n"/>
      <c r="AM81" s="726" t="n"/>
      <c r="AN81" s="726" t="n"/>
      <c r="AO81" s="726" t="n"/>
      <c r="AP81" s="726" t="n"/>
      <c r="AQ81" s="726" t="n"/>
      <c r="AR81" s="726" t="n"/>
      <c r="AS81" s="726" t="n"/>
      <c r="AT81" s="726" t="n"/>
      <c r="AU81" s="726" t="n"/>
      <c r="AV81" s="726" t="n"/>
      <c r="AW81" s="726" t="n"/>
      <c r="AX81" s="726" t="n"/>
      <c r="AY81" s="726" t="n"/>
      <c r="AZ81" s="726" t="n"/>
      <c r="BA81" s="726" t="n"/>
      <c r="BB81" s="726" t="n"/>
      <c r="BC81" s="726" t="n"/>
      <c r="BD81" s="726" t="n"/>
      <c r="BE81" s="726" t="n"/>
      <c r="BF81" s="726" t="n"/>
      <c r="BG81" s="726" t="n"/>
      <c r="BH81" s="726" t="n"/>
      <c r="BI81" s="726" t="n"/>
      <c r="BJ81" s="726" t="n"/>
      <c r="BK81" s="726" t="n"/>
      <c r="BL81" s="726" t="n"/>
      <c r="BM81" s="726" t="n"/>
      <c r="BN81" s="726" t="n"/>
      <c r="BO81" s="726" t="n"/>
      <c r="BP81" s="726" t="n"/>
      <c r="BQ81" s="726" t="n"/>
      <c r="BR81" s="726" t="n"/>
      <c r="BS81" s="726" t="n"/>
      <c r="BT81" s="726" t="n"/>
      <c r="BU81" s="726" t="n"/>
      <c r="BV81" s="726" t="n"/>
      <c r="BW81" s="726" t="n"/>
      <c r="BX81" s="726" t="n"/>
      <c r="BY81" s="726" t="n"/>
      <c r="BZ81" s="726" t="n"/>
      <c r="CA81" s="726" t="n"/>
      <c r="CB81" s="726" t="n"/>
      <c r="CC81" s="726" t="n"/>
      <c r="CD81" s="726" t="n"/>
      <c r="CE81" s="726" t="n"/>
      <c r="CF81" s="726" t="n"/>
      <c r="CG81" s="726" t="n"/>
      <c r="CH81" s="726" t="n"/>
      <c r="CI81" s="726" t="n"/>
      <c r="CJ81" s="726" t="n"/>
      <c r="CK81" s="726" t="n"/>
      <c r="CL81" s="726" t="n"/>
      <c r="CM81" s="726" t="n"/>
      <c r="CN81" s="726" t="n"/>
      <c r="CO81" s="726" t="n"/>
      <c r="CP81" s="726" t="n"/>
      <c r="CQ81" s="726" t="n"/>
      <c r="CR81" s="726" t="n"/>
      <c r="CS81" s="726" t="n"/>
      <c r="CT81" s="726" t="n"/>
      <c r="CU81" s="726" t="n"/>
      <c r="CV81" s="726" t="n"/>
      <c r="CW81" s="726" t="n"/>
      <c r="CX81" s="726" t="n"/>
      <c r="CY81" s="726" t="n"/>
      <c r="CZ81" s="726" t="n"/>
      <c r="DA81" s="726" t="n"/>
      <c r="DB81" s="726" t="n"/>
      <c r="DC81" s="726" t="n"/>
    </row>
    <row r="82" ht="15" customHeight="1" s="1883">
      <c r="B82" s="726" t="n"/>
      <c r="C82" s="726" t="n"/>
      <c r="D82" s="773" t="inlineStr">
        <is>
          <t>Salary Base</t>
        </is>
      </c>
      <c r="E82" s="773" t="n"/>
      <c r="F82" s="726" t="n"/>
      <c r="G82" s="726" t="n"/>
      <c r="H82" s="726" t="n"/>
      <c r="I82" s="726" t="n"/>
      <c r="J82" s="726" t="n"/>
      <c r="K82" s="726" t="n"/>
      <c r="L82" s="726" t="n"/>
      <c r="M82" s="726" t="n"/>
      <c r="N82" s="726" t="n"/>
      <c r="O82" s="726" t="n"/>
      <c r="P82" s="726" t="n"/>
      <c r="Q82" s="726" t="n"/>
      <c r="R82" s="726" t="n"/>
      <c r="S82" s="726" t="n"/>
      <c r="T82" s="726" t="n"/>
      <c r="U82" s="726" t="n"/>
      <c r="V82" s="726" t="n"/>
      <c r="W82" s="726" t="n"/>
      <c r="X82" s="726" t="n"/>
      <c r="Y82" s="793">
        <f>(Y43)</f>
        <v/>
      </c>
      <c r="Z82" s="793">
        <f>(Z43)</f>
        <v/>
      </c>
      <c r="AA82" s="793">
        <f>(AA43)</f>
        <v/>
      </c>
      <c r="AB82" s="793">
        <f>(AB43)</f>
        <v/>
      </c>
      <c r="AC82" s="793">
        <f>(AC43)</f>
        <v/>
      </c>
      <c r="AD82" s="793">
        <f>(AD43)</f>
        <v/>
      </c>
      <c r="AE82" s="793">
        <f>(AE43)</f>
        <v/>
      </c>
      <c r="AF82" s="793">
        <f>(AF43)</f>
        <v/>
      </c>
      <c r="AG82" s="793">
        <f>(AG43)</f>
        <v/>
      </c>
      <c r="AH82" s="793">
        <f>(AH43)</f>
        <v/>
      </c>
      <c r="AI82" s="793">
        <f>(AI43)</f>
        <v/>
      </c>
      <c r="AJ82" s="793">
        <f>(AJ43)</f>
        <v/>
      </c>
      <c r="AK82" s="793">
        <f>(AK43)</f>
        <v/>
      </c>
      <c r="AL82" s="726" t="n"/>
      <c r="AM82" s="793">
        <f>(AM43)</f>
        <v/>
      </c>
      <c r="AN82" s="793">
        <f>(AN43)</f>
        <v/>
      </c>
      <c r="AO82" s="793">
        <f>(AO43)</f>
        <v/>
      </c>
      <c r="AP82" s="793">
        <f>(AP43)</f>
        <v/>
      </c>
      <c r="AQ82" s="793">
        <f>(AQ43)</f>
        <v/>
      </c>
      <c r="AR82" s="793">
        <f>(AR43)</f>
        <v/>
      </c>
      <c r="AS82" s="793">
        <f>(AS43)</f>
        <v/>
      </c>
      <c r="AT82" s="793">
        <f>(AT43)</f>
        <v/>
      </c>
      <c r="AU82" s="793">
        <f>(AU43)</f>
        <v/>
      </c>
      <c r="AV82" s="793">
        <f>(AV43)</f>
        <v/>
      </c>
      <c r="AW82" s="793">
        <f>(AW43)</f>
        <v/>
      </c>
      <c r="AX82" s="793">
        <f>(AX43)</f>
        <v/>
      </c>
      <c r="AY82" s="794">
        <f>(AY43)</f>
        <v/>
      </c>
      <c r="AZ82" s="726" t="n"/>
      <c r="BA82" s="793">
        <f>(BA43)</f>
        <v/>
      </c>
      <c r="BB82" s="793">
        <f>(BB43)</f>
        <v/>
      </c>
      <c r="BC82" s="793">
        <f>(BC43)</f>
        <v/>
      </c>
      <c r="BD82" s="793">
        <f>(BD43)</f>
        <v/>
      </c>
      <c r="BE82" s="793">
        <f>(BE43)</f>
        <v/>
      </c>
      <c r="BF82" s="793">
        <f>(BF43)</f>
        <v/>
      </c>
      <c r="BG82" s="793">
        <f>(BG43)</f>
        <v/>
      </c>
      <c r="BH82" s="793">
        <f>(BH43)</f>
        <v/>
      </c>
      <c r="BI82" s="793">
        <f>(BI43)</f>
        <v/>
      </c>
      <c r="BJ82" s="793">
        <f>(BJ43)</f>
        <v/>
      </c>
      <c r="BK82" s="793">
        <f>(BK43)</f>
        <v/>
      </c>
      <c r="BL82" s="793">
        <f>(BL43)</f>
        <v/>
      </c>
      <c r="BM82" s="794">
        <f>(BM43)</f>
        <v/>
      </c>
      <c r="BN82" s="726" t="n"/>
      <c r="BO82" s="793">
        <f>(BO43)</f>
        <v/>
      </c>
      <c r="BP82" s="793">
        <f>(BP43)</f>
        <v/>
      </c>
      <c r="BQ82" s="793">
        <f>(BQ43)</f>
        <v/>
      </c>
      <c r="BR82" s="793">
        <f>(BR43)</f>
        <v/>
      </c>
      <c r="BS82" s="793">
        <f>(BS43)</f>
        <v/>
      </c>
      <c r="BT82" s="793">
        <f>(BT43)</f>
        <v/>
      </c>
      <c r="BU82" s="793">
        <f>(BU43)</f>
        <v/>
      </c>
      <c r="BV82" s="793">
        <f>(BV43)</f>
        <v/>
      </c>
      <c r="BW82" s="793">
        <f>(BW43)</f>
        <v/>
      </c>
      <c r="BX82" s="793">
        <f>(BX43)</f>
        <v/>
      </c>
      <c r="BY82" s="793">
        <f>(BY43)</f>
        <v/>
      </c>
      <c r="BZ82" s="793">
        <f>(BZ43)</f>
        <v/>
      </c>
      <c r="CA82" s="794">
        <f>(CA43)</f>
        <v/>
      </c>
      <c r="CB82" s="726" t="n"/>
      <c r="CC82" s="793">
        <f>(CC43)</f>
        <v/>
      </c>
      <c r="CD82" s="793">
        <f>(CD43)</f>
        <v/>
      </c>
      <c r="CE82" s="793">
        <f>(CE43)</f>
        <v/>
      </c>
      <c r="CF82" s="793">
        <f>(CF43)</f>
        <v/>
      </c>
      <c r="CG82" s="793">
        <f>(CG43)</f>
        <v/>
      </c>
      <c r="CH82" s="793">
        <f>(CH43)</f>
        <v/>
      </c>
      <c r="CI82" s="793">
        <f>(CI43)</f>
        <v/>
      </c>
      <c r="CJ82" s="793">
        <f>(CJ43)</f>
        <v/>
      </c>
      <c r="CK82" s="793">
        <f>(CK43)</f>
        <v/>
      </c>
      <c r="CL82" s="793">
        <f>(CL43)</f>
        <v/>
      </c>
      <c r="CM82" s="793">
        <f>(CM43)</f>
        <v/>
      </c>
      <c r="CN82" s="793">
        <f>(CN43)</f>
        <v/>
      </c>
      <c r="CO82" s="794">
        <f>(CO43)</f>
        <v/>
      </c>
      <c r="CP82" s="726" t="n"/>
      <c r="CQ82" s="793">
        <f>(CQ43)</f>
        <v/>
      </c>
      <c r="CR82" s="793">
        <f>(CR43)</f>
        <v/>
      </c>
      <c r="CS82" s="793">
        <f>(CS43)</f>
        <v/>
      </c>
      <c r="CT82" s="793">
        <f>(CT43)</f>
        <v/>
      </c>
      <c r="CU82" s="793">
        <f>(CU43)</f>
        <v/>
      </c>
      <c r="CV82" s="793">
        <f>(CV43)</f>
        <v/>
      </c>
      <c r="CW82" s="793">
        <f>(CW43)</f>
        <v/>
      </c>
      <c r="CX82" s="793">
        <f>(CX43)</f>
        <v/>
      </c>
      <c r="CY82" s="793">
        <f>(CY43)</f>
        <v/>
      </c>
      <c r="CZ82" s="793">
        <f>(CZ43)</f>
        <v/>
      </c>
      <c r="DA82" s="793">
        <f>(DA43)</f>
        <v/>
      </c>
      <c r="DB82" s="793">
        <f>(DB43)</f>
        <v/>
      </c>
      <c r="DC82" s="794">
        <f>(DC43)</f>
        <v/>
      </c>
    </row>
    <row r="83" ht="15" customHeight="1" s="1883">
      <c r="B83" s="726" t="n"/>
      <c r="C83" s="726" t="n"/>
      <c r="D83" s="800" t="n"/>
      <c r="E83" s="795" t="inlineStr">
        <is>
          <t>Employee Benefits, Net of Employee Contribution, at 10.00%</t>
        </is>
      </c>
      <c r="F83" s="726" t="n"/>
      <c r="G83" s="726" t="n"/>
      <c r="H83" s="726" t="n"/>
      <c r="I83" s="726" t="n"/>
      <c r="J83" s="726" t="n"/>
      <c r="K83" s="726" t="n"/>
      <c r="L83" s="726" t="n"/>
      <c r="M83" s="726" t="n"/>
      <c r="N83" s="726" t="n"/>
      <c r="O83" s="726" t="n"/>
      <c r="P83" s="726" t="n"/>
      <c r="Q83" s="726" t="n"/>
      <c r="R83" s="726" t="n"/>
      <c r="S83" s="726" t="n"/>
      <c r="T83" s="726" t="n"/>
      <c r="U83" s="726" t="n"/>
      <c r="V83" s="726" t="n"/>
      <c r="W83" s="726" t="n"/>
      <c r="X83" s="726" t="n"/>
      <c r="Y83" s="794">
        <f>((Y82)*(0.1))</f>
        <v/>
      </c>
      <c r="Z83" s="794">
        <f>((Z82)*(0.1))</f>
        <v/>
      </c>
      <c r="AA83" s="794">
        <f>((AA82)*(0.1))</f>
        <v/>
      </c>
      <c r="AB83" s="794">
        <f>((AB82)*(0.1))</f>
        <v/>
      </c>
      <c r="AC83" s="794">
        <f>((AC82)*(0.1))</f>
        <v/>
      </c>
      <c r="AD83" s="794">
        <f>((AD82)*(0.1))</f>
        <v/>
      </c>
      <c r="AE83" s="794">
        <f>((AE82)*(0.1))</f>
        <v/>
      </c>
      <c r="AF83" s="794">
        <f>((AF82)*(0.1))</f>
        <v/>
      </c>
      <c r="AG83" s="794">
        <f>((AG82)*(0.1))</f>
        <v/>
      </c>
      <c r="AH83" s="794">
        <f>((AH82)*(0.1))</f>
        <v/>
      </c>
      <c r="AI83" s="794">
        <f>((AI82)*(0.1))</f>
        <v/>
      </c>
      <c r="AJ83" s="794">
        <f>((AJ82)*(0.1))</f>
        <v/>
      </c>
      <c r="AK83" s="794">
        <f>((AK82)*(0.1))</f>
        <v/>
      </c>
      <c r="AL83" s="726" t="n"/>
      <c r="AM83" s="794">
        <f>((AM82)*(0.1))</f>
        <v/>
      </c>
      <c r="AN83" s="794">
        <f>((AN82)*(0.1))</f>
        <v/>
      </c>
      <c r="AO83" s="794">
        <f>((AO82)*(0.1))</f>
        <v/>
      </c>
      <c r="AP83" s="794">
        <f>((AP82)*(0.1))</f>
        <v/>
      </c>
      <c r="AQ83" s="794">
        <f>((AQ82)*(0.1))</f>
        <v/>
      </c>
      <c r="AR83" s="794">
        <f>((AR82)*(0.1))</f>
        <v/>
      </c>
      <c r="AS83" s="794">
        <f>((AS82)*(0.1))</f>
        <v/>
      </c>
      <c r="AT83" s="794">
        <f>((AT82)*(0.1))</f>
        <v/>
      </c>
      <c r="AU83" s="794">
        <f>((AU82)*(0.1))</f>
        <v/>
      </c>
      <c r="AV83" s="794">
        <f>((AV82)*(0.1))</f>
        <v/>
      </c>
      <c r="AW83" s="794">
        <f>((AW82)*(0.1))</f>
        <v/>
      </c>
      <c r="AX83" s="794">
        <f>((AX82)*(0.1))</f>
        <v/>
      </c>
      <c r="AY83" s="794">
        <f>((AY82)*(0.1))</f>
        <v/>
      </c>
      <c r="AZ83" s="726" t="n"/>
      <c r="BA83" s="794">
        <f>((BA82)*(0.1))</f>
        <v/>
      </c>
      <c r="BB83" s="794">
        <f>((BB82)*(0.1))</f>
        <v/>
      </c>
      <c r="BC83" s="794">
        <f>((BC82)*(0.1))</f>
        <v/>
      </c>
      <c r="BD83" s="794">
        <f>((BD82)*(0.1))</f>
        <v/>
      </c>
      <c r="BE83" s="794">
        <f>((BE82)*(0.1))</f>
        <v/>
      </c>
      <c r="BF83" s="794">
        <f>((BF82)*(0.1))</f>
        <v/>
      </c>
      <c r="BG83" s="794">
        <f>((BG82)*(0.1))</f>
        <v/>
      </c>
      <c r="BH83" s="794">
        <f>((BH82)*(0.1))</f>
        <v/>
      </c>
      <c r="BI83" s="794">
        <f>((BI82)*(0.1))</f>
        <v/>
      </c>
      <c r="BJ83" s="794">
        <f>((BJ82)*(0.1))</f>
        <v/>
      </c>
      <c r="BK83" s="794">
        <f>((BK82)*(0.1))</f>
        <v/>
      </c>
      <c r="BL83" s="794">
        <f>((BL82)*(0.1))</f>
        <v/>
      </c>
      <c r="BM83" s="794">
        <f>((BM82)*(0.1))</f>
        <v/>
      </c>
      <c r="BN83" s="726" t="n"/>
      <c r="BO83" s="794">
        <f>((BO82)*(0.1))</f>
        <v/>
      </c>
      <c r="BP83" s="794">
        <f>((BP82)*(0.1))</f>
        <v/>
      </c>
      <c r="BQ83" s="794">
        <f>((BQ82)*(0.1))</f>
        <v/>
      </c>
      <c r="BR83" s="794">
        <f>((BR82)*(0.1))</f>
        <v/>
      </c>
      <c r="BS83" s="794">
        <f>((BS82)*(0.1))</f>
        <v/>
      </c>
      <c r="BT83" s="794">
        <f>((BT82)*(0.1))</f>
        <v/>
      </c>
      <c r="BU83" s="794">
        <f>((BU82)*(0.1))</f>
        <v/>
      </c>
      <c r="BV83" s="794">
        <f>((BV82)*(0.1))</f>
        <v/>
      </c>
      <c r="BW83" s="794">
        <f>((BW82)*(0.1))</f>
        <v/>
      </c>
      <c r="BX83" s="794">
        <f>((BX82)*(0.1))</f>
        <v/>
      </c>
      <c r="BY83" s="794">
        <f>((BY82)*(0.1))</f>
        <v/>
      </c>
      <c r="BZ83" s="794">
        <f>((BZ82)*(0.1))</f>
        <v/>
      </c>
      <c r="CA83" s="794">
        <f>((CA82)*(0.1))</f>
        <v/>
      </c>
      <c r="CB83" s="726" t="n"/>
      <c r="CC83" s="794">
        <f>((CC82)*(0.1))</f>
        <v/>
      </c>
      <c r="CD83" s="794">
        <f>((CD82)*(0.1))</f>
        <v/>
      </c>
      <c r="CE83" s="794">
        <f>((CE82)*(0.1))</f>
        <v/>
      </c>
      <c r="CF83" s="794">
        <f>((CF82)*(0.1))</f>
        <v/>
      </c>
      <c r="CG83" s="794">
        <f>((CG82)*(0.1))</f>
        <v/>
      </c>
      <c r="CH83" s="794">
        <f>((CH82)*(0.1))</f>
        <v/>
      </c>
      <c r="CI83" s="794">
        <f>((CI82)*(0.1))</f>
        <v/>
      </c>
      <c r="CJ83" s="794">
        <f>((CJ82)*(0.1))</f>
        <v/>
      </c>
      <c r="CK83" s="794">
        <f>((CK82)*(0.1))</f>
        <v/>
      </c>
      <c r="CL83" s="794">
        <f>((CL82)*(0.1))</f>
        <v/>
      </c>
      <c r="CM83" s="794">
        <f>((CM82)*(0.1))</f>
        <v/>
      </c>
      <c r="CN83" s="794">
        <f>((CN82)*(0.1))</f>
        <v/>
      </c>
      <c r="CO83" s="794">
        <f>((CO82)*(0.1))</f>
        <v/>
      </c>
      <c r="CP83" s="726" t="n"/>
      <c r="CQ83" s="794">
        <f>((CQ82)*(0.1))</f>
        <v/>
      </c>
      <c r="CR83" s="794">
        <f>((CR82)*(0.1))</f>
        <v/>
      </c>
      <c r="CS83" s="794">
        <f>((CS82)*(0.1))</f>
        <v/>
      </c>
      <c r="CT83" s="794">
        <f>((CT82)*(0.1))</f>
        <v/>
      </c>
      <c r="CU83" s="794">
        <f>((CU82)*(0.1))</f>
        <v/>
      </c>
      <c r="CV83" s="794">
        <f>((CV82)*(0.1))</f>
        <v/>
      </c>
      <c r="CW83" s="794">
        <f>((CW82)*(0.1))</f>
        <v/>
      </c>
      <c r="CX83" s="794">
        <f>((CX82)*(0.1))</f>
        <v/>
      </c>
      <c r="CY83" s="794">
        <f>((CY82)*(0.1))</f>
        <v/>
      </c>
      <c r="CZ83" s="794">
        <f>((CZ82)*(0.1))</f>
        <v/>
      </c>
      <c r="DA83" s="794">
        <f>((DA82)*(0.1))</f>
        <v/>
      </c>
      <c r="DB83" s="794">
        <f>((DB82)*(0.1))</f>
        <v/>
      </c>
      <c r="DC83" s="794">
        <f>((DC82)*(0.1))</f>
        <v/>
      </c>
    </row>
    <row r="84" ht="15" customHeight="1" s="1883">
      <c r="B84" s="726" t="n"/>
      <c r="C84" s="726" t="n"/>
      <c r="D84" s="726" t="n"/>
      <c r="E84" s="726" t="n"/>
      <c r="F84" s="726" t="n"/>
      <c r="G84" s="726" t="n"/>
      <c r="H84" s="726" t="n"/>
      <c r="I84" s="726" t="n"/>
      <c r="J84" s="726" t="n"/>
      <c r="K84" s="726" t="n"/>
      <c r="L84" s="726" t="n"/>
      <c r="M84" s="726" t="n"/>
      <c r="N84" s="726" t="n"/>
      <c r="O84" s="726" t="n"/>
      <c r="P84" s="726" t="n"/>
      <c r="Q84" s="726" t="n"/>
      <c r="R84" s="726" t="n"/>
      <c r="S84" s="726" t="n"/>
      <c r="T84" s="726" t="n"/>
      <c r="U84" s="726" t="n"/>
      <c r="V84" s="726" t="n"/>
      <c r="W84" s="726" t="n"/>
      <c r="X84" s="726" t="n"/>
      <c r="Y84" s="726" t="n"/>
      <c r="Z84" s="726" t="n"/>
      <c r="AA84" s="726" t="n"/>
      <c r="AB84" s="726" t="n"/>
      <c r="AC84" s="726" t="n"/>
      <c r="AD84" s="726" t="n"/>
      <c r="AE84" s="726" t="n"/>
      <c r="AF84" s="726" t="n"/>
      <c r="AG84" s="726" t="n"/>
      <c r="AH84" s="726" t="n"/>
      <c r="AI84" s="726" t="n"/>
      <c r="AJ84" s="726" t="n"/>
      <c r="AK84" s="726" t="n"/>
      <c r="AL84" s="726" t="n"/>
      <c r="AM84" s="726" t="n"/>
      <c r="AN84" s="726" t="n"/>
      <c r="AO84" s="726" t="n"/>
      <c r="AP84" s="726" t="n"/>
      <c r="AQ84" s="726" t="n"/>
      <c r="AR84" s="726" t="n"/>
      <c r="AS84" s="726" t="n"/>
      <c r="AT84" s="726" t="n"/>
      <c r="AU84" s="726" t="n"/>
      <c r="AV84" s="726" t="n"/>
      <c r="AW84" s="726" t="n"/>
      <c r="AX84" s="726" t="n"/>
      <c r="AY84" s="726" t="n"/>
      <c r="AZ84" s="726" t="n"/>
      <c r="BA84" s="726" t="n"/>
      <c r="BB84" s="726" t="n"/>
      <c r="BC84" s="726" t="n"/>
      <c r="BD84" s="726" t="n"/>
      <c r="BE84" s="726" t="n"/>
      <c r="BF84" s="726" t="n"/>
      <c r="BG84" s="726" t="n"/>
      <c r="BH84" s="726" t="n"/>
      <c r="BI84" s="726" t="n"/>
      <c r="BJ84" s="726" t="n"/>
      <c r="BK84" s="726" t="n"/>
      <c r="BL84" s="726" t="n"/>
      <c r="BM84" s="726" t="n"/>
      <c r="BN84" s="726" t="n"/>
      <c r="BO84" s="726" t="n"/>
      <c r="BP84" s="726" t="n"/>
      <c r="BQ84" s="726" t="n"/>
      <c r="BR84" s="726" t="n"/>
      <c r="BS84" s="726" t="n"/>
      <c r="BT84" s="726" t="n"/>
      <c r="BU84" s="726" t="n"/>
      <c r="BV84" s="726" t="n"/>
      <c r="BW84" s="726" t="n"/>
      <c r="BX84" s="726" t="n"/>
      <c r="BY84" s="726" t="n"/>
      <c r="BZ84" s="726" t="n"/>
      <c r="CA84" s="726" t="n"/>
      <c r="CB84" s="726" t="n"/>
      <c r="CC84" s="726" t="n"/>
      <c r="CD84" s="726" t="n"/>
      <c r="CE84" s="726" t="n"/>
      <c r="CF84" s="726" t="n"/>
      <c r="CG84" s="726" t="n"/>
      <c r="CH84" s="726" t="n"/>
      <c r="CI84" s="726" t="n"/>
      <c r="CJ84" s="726" t="n"/>
      <c r="CK84" s="726" t="n"/>
      <c r="CL84" s="726" t="n"/>
      <c r="CM84" s="726" t="n"/>
      <c r="CN84" s="726" t="n"/>
      <c r="CO84" s="726" t="n"/>
      <c r="CP84" s="726" t="n"/>
      <c r="CQ84" s="726" t="n"/>
      <c r="CR84" s="726" t="n"/>
      <c r="CS84" s="726" t="n"/>
      <c r="CT84" s="726" t="n"/>
      <c r="CU84" s="726" t="n"/>
      <c r="CV84" s="726" t="n"/>
      <c r="CW84" s="726" t="n"/>
      <c r="CX84" s="726" t="n"/>
      <c r="CY84" s="726" t="n"/>
      <c r="CZ84" s="726" t="n"/>
      <c r="DA84" s="726" t="n"/>
      <c r="DB84" s="726" t="n"/>
      <c r="DC84" s="726" t="n"/>
    </row>
    <row r="85" ht="15" customHeight="1" s="1883">
      <c r="B85" s="726" t="n"/>
      <c r="C85" s="726" t="n"/>
      <c r="D85" s="726" t="n"/>
      <c r="E85" s="726" t="n"/>
      <c r="F85" s="726" t="n"/>
      <c r="G85" s="726" t="n"/>
      <c r="H85" s="726" t="n"/>
      <c r="I85" s="726" t="n"/>
      <c r="J85" s="726" t="n"/>
      <c r="K85" s="726" t="n"/>
      <c r="L85" s="726" t="n"/>
      <c r="M85" s="726" t="n"/>
      <c r="N85" s="726" t="n"/>
      <c r="O85" s="726" t="n"/>
      <c r="P85" s="726" t="n"/>
      <c r="Q85" s="726" t="n"/>
      <c r="R85" s="726" t="n"/>
      <c r="S85" s="726" t="n"/>
      <c r="T85" s="726" t="n"/>
      <c r="U85" s="726" t="n"/>
      <c r="V85" s="726" t="n"/>
      <c r="W85" s="726" t="n"/>
      <c r="X85" s="726" t="n"/>
      <c r="Y85" s="726" t="n"/>
      <c r="Z85" s="726" t="n"/>
      <c r="AA85" s="726" t="n"/>
      <c r="AB85" s="726" t="n"/>
      <c r="AC85" s="726" t="n"/>
      <c r="AD85" s="726" t="n"/>
      <c r="AE85" s="726" t="n"/>
      <c r="AF85" s="726" t="n"/>
      <c r="AG85" s="726" t="n"/>
      <c r="AH85" s="726" t="n"/>
      <c r="AI85" s="726" t="n"/>
      <c r="AJ85" s="726" t="n"/>
      <c r="AK85" s="726" t="n"/>
      <c r="AL85" s="726" t="n"/>
      <c r="AM85" s="726" t="n"/>
      <c r="AN85" s="726" t="n"/>
      <c r="AO85" s="726" t="n"/>
      <c r="AP85" s="726" t="n"/>
      <c r="AQ85" s="726" t="n"/>
      <c r="AR85" s="726" t="n"/>
      <c r="AS85" s="726" t="n"/>
      <c r="AT85" s="726" t="n"/>
      <c r="AU85" s="726" t="n"/>
      <c r="AV85" s="726" t="n"/>
      <c r="AW85" s="726" t="n"/>
      <c r="AX85" s="726" t="n"/>
      <c r="AY85" s="726" t="n"/>
      <c r="AZ85" s="726" t="n"/>
      <c r="BA85" s="726" t="n"/>
      <c r="BB85" s="726" t="n"/>
      <c r="BC85" s="726" t="n"/>
      <c r="BD85" s="726" t="n"/>
      <c r="BE85" s="726" t="n"/>
      <c r="BF85" s="726" t="n"/>
      <c r="BG85" s="726" t="n"/>
      <c r="BH85" s="726" t="n"/>
      <c r="BI85" s="726" t="n"/>
      <c r="BJ85" s="726" t="n"/>
      <c r="BK85" s="726" t="n"/>
      <c r="BL85" s="726" t="n"/>
      <c r="BM85" s="726" t="n"/>
      <c r="BN85" s="726" t="n"/>
      <c r="BO85" s="726" t="n"/>
      <c r="BP85" s="726" t="n"/>
      <c r="BQ85" s="726" t="n"/>
      <c r="BR85" s="726" t="n"/>
      <c r="BS85" s="726" t="n"/>
      <c r="BT85" s="726" t="n"/>
      <c r="BU85" s="726" t="n"/>
      <c r="BV85" s="726" t="n"/>
      <c r="BW85" s="726" t="n"/>
      <c r="BX85" s="726" t="n"/>
      <c r="BY85" s="726" t="n"/>
      <c r="BZ85" s="726" t="n"/>
      <c r="CA85" s="726" t="n"/>
      <c r="CB85" s="726" t="n"/>
      <c r="CC85" s="726" t="n"/>
      <c r="CD85" s="726" t="n"/>
      <c r="CE85" s="726" t="n"/>
      <c r="CF85" s="726" t="n"/>
      <c r="CG85" s="726" t="n"/>
      <c r="CH85" s="726" t="n"/>
      <c r="CI85" s="726" t="n"/>
      <c r="CJ85" s="726" t="n"/>
      <c r="CK85" s="726" t="n"/>
      <c r="CL85" s="726" t="n"/>
      <c r="CM85" s="726" t="n"/>
      <c r="CN85" s="726" t="n"/>
      <c r="CO85" s="726" t="n"/>
      <c r="CP85" s="726" t="n"/>
      <c r="CQ85" s="726" t="n"/>
      <c r="CR85" s="726" t="n"/>
      <c r="CS85" s="726" t="n"/>
      <c r="CT85" s="726" t="n"/>
      <c r="CU85" s="726" t="n"/>
      <c r="CV85" s="726" t="n"/>
      <c r="CW85" s="726" t="n"/>
      <c r="CX85" s="726" t="n"/>
      <c r="CY85" s="726" t="n"/>
      <c r="CZ85" s="726" t="n"/>
      <c r="DA85" s="726" t="n"/>
      <c r="DB85" s="726" t="n"/>
      <c r="DC85" s="726" t="n"/>
    </row>
    <row r="86" ht="3" customHeight="1" s="1883">
      <c r="B86" s="726" t="n"/>
      <c r="C86" s="726" t="n"/>
      <c r="D86" s="726" t="n"/>
      <c r="E86" s="726" t="n"/>
      <c r="F86" s="726" t="n"/>
      <c r="G86" s="726" t="n"/>
      <c r="H86" s="726" t="n"/>
      <c r="I86" s="726" t="n"/>
      <c r="J86" s="726" t="n"/>
      <c r="K86" s="726" t="n"/>
      <c r="L86" s="726" t="n"/>
      <c r="M86" s="726" t="n"/>
      <c r="N86" s="726" t="n"/>
      <c r="O86" s="726" t="n"/>
      <c r="P86" s="726" t="n"/>
      <c r="Q86" s="726" t="n"/>
      <c r="R86" s="726" t="n"/>
      <c r="S86" s="726" t="n"/>
      <c r="T86" s="726" t="n"/>
      <c r="U86" s="726" t="n"/>
      <c r="V86" s="726" t="n"/>
      <c r="W86" s="726" t="n"/>
      <c r="X86" s="726" t="n"/>
      <c r="Y86" s="734" t="n"/>
      <c r="Z86" s="734" t="n"/>
      <c r="AA86" s="734" t="n"/>
      <c r="AB86" s="734" t="n"/>
      <c r="AC86" s="734" t="n"/>
      <c r="AD86" s="734" t="n"/>
      <c r="AE86" s="734" t="n"/>
      <c r="AF86" s="734" t="n"/>
      <c r="AG86" s="734" t="n"/>
      <c r="AH86" s="734" t="n"/>
      <c r="AI86" s="734" t="n"/>
      <c r="AJ86" s="734" t="n"/>
      <c r="AK86" s="734" t="n"/>
      <c r="AL86" s="726" t="n"/>
      <c r="AM86" s="734" t="n"/>
      <c r="AN86" s="734" t="n"/>
      <c r="AO86" s="734" t="n"/>
      <c r="AP86" s="734" t="n"/>
      <c r="AQ86" s="734" t="n"/>
      <c r="AR86" s="734" t="n"/>
      <c r="AS86" s="734" t="n"/>
      <c r="AT86" s="734" t="n"/>
      <c r="AU86" s="734" t="n"/>
      <c r="AV86" s="734" t="n"/>
      <c r="AW86" s="734" t="n"/>
      <c r="AX86" s="734" t="n"/>
      <c r="AY86" s="734" t="n"/>
      <c r="AZ86" s="726" t="n"/>
      <c r="BA86" s="734" t="n"/>
      <c r="BB86" s="734" t="n"/>
      <c r="BC86" s="734" t="n"/>
      <c r="BD86" s="734" t="n"/>
      <c r="BE86" s="734" t="n"/>
      <c r="BF86" s="734" t="n"/>
      <c r="BG86" s="734" t="n"/>
      <c r="BH86" s="734" t="n"/>
      <c r="BI86" s="734" t="n"/>
      <c r="BJ86" s="734" t="n"/>
      <c r="BK86" s="734" t="n"/>
      <c r="BL86" s="734" t="n"/>
      <c r="BM86" s="734" t="n"/>
      <c r="BN86" s="726" t="n"/>
      <c r="BO86" s="734" t="n"/>
      <c r="BP86" s="734" t="n"/>
      <c r="BQ86" s="734" t="n"/>
      <c r="BR86" s="734" t="n"/>
      <c r="BS86" s="734" t="n"/>
      <c r="BT86" s="734" t="n"/>
      <c r="BU86" s="734" t="n"/>
      <c r="BV86" s="734" t="n"/>
      <c r="BW86" s="734" t="n"/>
      <c r="BX86" s="734" t="n"/>
      <c r="BY86" s="734" t="n"/>
      <c r="BZ86" s="734" t="n"/>
      <c r="CA86" s="734" t="n"/>
      <c r="CB86" s="726" t="n"/>
      <c r="CC86" s="734" t="n"/>
      <c r="CD86" s="734" t="n"/>
      <c r="CE86" s="734" t="n"/>
      <c r="CF86" s="734" t="n"/>
      <c r="CG86" s="734" t="n"/>
      <c r="CH86" s="734" t="n"/>
      <c r="CI86" s="734" t="n"/>
      <c r="CJ86" s="734" t="n"/>
      <c r="CK86" s="734" t="n"/>
      <c r="CL86" s="734" t="n"/>
      <c r="CM86" s="734" t="n"/>
      <c r="CN86" s="734" t="n"/>
      <c r="CO86" s="734" t="n"/>
      <c r="CP86" s="726" t="n"/>
      <c r="CQ86" s="734" t="n"/>
      <c r="CR86" s="734" t="n"/>
      <c r="CS86" s="734" t="n"/>
      <c r="CT86" s="734" t="n"/>
      <c r="CU86" s="734" t="n"/>
      <c r="CV86" s="734" t="n"/>
      <c r="CW86" s="734" t="n"/>
      <c r="CX86" s="734" t="n"/>
      <c r="CY86" s="734" t="n"/>
      <c r="CZ86" s="734" t="n"/>
      <c r="DA86" s="734" t="n"/>
      <c r="DB86" s="734" t="n"/>
      <c r="DC86" s="734" t="n"/>
    </row>
    <row r="87" ht="3" customHeight="1" s="1883">
      <c r="B87" s="726" t="n"/>
      <c r="C87" s="726" t="n"/>
      <c r="D87" s="726" t="n"/>
      <c r="E87" s="726" t="n"/>
      <c r="F87" s="726" t="n"/>
      <c r="G87" s="726" t="n"/>
      <c r="H87" s="726" t="n"/>
      <c r="I87" s="726" t="n"/>
      <c r="J87" s="726" t="n"/>
      <c r="K87" s="726" t="n"/>
      <c r="L87" s="726" t="n"/>
      <c r="M87" s="726" t="n"/>
      <c r="N87" s="726" t="n"/>
      <c r="O87" s="726" t="n"/>
      <c r="P87" s="726" t="n"/>
      <c r="Q87" s="726" t="n"/>
      <c r="R87" s="726" t="n"/>
      <c r="S87" s="726" t="n"/>
      <c r="T87" s="726" t="n"/>
      <c r="U87" s="726" t="n"/>
      <c r="V87" s="726" t="n"/>
      <c r="W87" s="726" t="n"/>
      <c r="X87" s="726" t="n"/>
      <c r="Y87" s="726" t="n"/>
      <c r="Z87" s="726" t="n"/>
      <c r="AA87" s="726" t="n"/>
      <c r="AB87" s="726" t="n"/>
      <c r="AC87" s="726" t="n"/>
      <c r="AD87" s="726" t="n"/>
      <c r="AE87" s="726" t="n"/>
      <c r="AF87" s="726" t="n"/>
      <c r="AG87" s="726" t="n"/>
      <c r="AH87" s="726" t="n"/>
      <c r="AI87" s="726" t="n"/>
      <c r="AJ87" s="726" t="n"/>
      <c r="AK87" s="726" t="n"/>
      <c r="AL87" s="726" t="n"/>
      <c r="AM87" s="726" t="n"/>
      <c r="AN87" s="726" t="n"/>
      <c r="AO87" s="726" t="n"/>
      <c r="AP87" s="726" t="n"/>
      <c r="AQ87" s="726" t="n"/>
      <c r="AR87" s="726" t="n"/>
      <c r="AS87" s="726" t="n"/>
      <c r="AT87" s="726" t="n"/>
      <c r="AU87" s="726" t="n"/>
      <c r="AV87" s="726" t="n"/>
      <c r="AW87" s="726" t="n"/>
      <c r="AX87" s="726" t="n"/>
      <c r="AY87" s="726" t="n"/>
      <c r="AZ87" s="726" t="n"/>
      <c r="BA87" s="726" t="n"/>
      <c r="BB87" s="726" t="n"/>
      <c r="BC87" s="726" t="n"/>
      <c r="BD87" s="726" t="n"/>
      <c r="BE87" s="726" t="n"/>
      <c r="BF87" s="726" t="n"/>
      <c r="BG87" s="726" t="n"/>
      <c r="BH87" s="726" t="n"/>
      <c r="BI87" s="726" t="n"/>
      <c r="BJ87" s="726" t="n"/>
      <c r="BK87" s="726" t="n"/>
      <c r="BL87" s="726" t="n"/>
      <c r="BM87" s="726" t="n"/>
      <c r="BN87" s="726" t="n"/>
      <c r="BO87" s="726" t="n"/>
      <c r="BP87" s="726" t="n"/>
      <c r="BQ87" s="726" t="n"/>
      <c r="BR87" s="726" t="n"/>
      <c r="BS87" s="726" t="n"/>
      <c r="BT87" s="726" t="n"/>
      <c r="BU87" s="726" t="n"/>
      <c r="BV87" s="726" t="n"/>
      <c r="BW87" s="726" t="n"/>
      <c r="BX87" s="726" t="n"/>
      <c r="BY87" s="726" t="n"/>
      <c r="BZ87" s="726" t="n"/>
      <c r="CA87" s="726" t="n"/>
      <c r="CB87" s="726" t="n"/>
      <c r="CC87" s="726" t="n"/>
      <c r="CD87" s="726" t="n"/>
      <c r="CE87" s="726" t="n"/>
      <c r="CF87" s="726" t="n"/>
      <c r="CG87" s="726" t="n"/>
      <c r="CH87" s="726" t="n"/>
      <c r="CI87" s="726" t="n"/>
      <c r="CJ87" s="726" t="n"/>
      <c r="CK87" s="726" t="n"/>
      <c r="CL87" s="726" t="n"/>
      <c r="CM87" s="726" t="n"/>
      <c r="CN87" s="726" t="n"/>
      <c r="CO87" s="726" t="n"/>
      <c r="CP87" s="726" t="n"/>
      <c r="CQ87" s="726" t="n"/>
      <c r="CR87" s="726" t="n"/>
      <c r="CS87" s="726" t="n"/>
      <c r="CT87" s="726" t="n"/>
      <c r="CU87" s="726" t="n"/>
      <c r="CV87" s="726" t="n"/>
      <c r="CW87" s="726" t="n"/>
      <c r="CX87" s="726" t="n"/>
      <c r="CY87" s="726" t="n"/>
      <c r="CZ87" s="726" t="n"/>
      <c r="DA87" s="726" t="n"/>
      <c r="DB87" s="726" t="n"/>
      <c r="DC87" s="726" t="n"/>
    </row>
    <row r="88" ht="15" customHeight="1" s="1883">
      <c r="B88" s="726" t="n"/>
      <c r="C88" s="726" t="n"/>
      <c r="D88" s="726" t="n"/>
      <c r="E88" s="726" t="n"/>
      <c r="F88" s="733" t="inlineStr">
        <is>
          <t>Total, CONUS + OCONUS</t>
        </is>
      </c>
      <c r="G88" s="726" t="n"/>
      <c r="H88" s="726" t="n"/>
      <c r="I88" s="726" t="n"/>
      <c r="J88" s="726" t="n"/>
      <c r="K88" s="726" t="n"/>
      <c r="L88" s="726" t="n"/>
      <c r="M88" s="726" t="n"/>
      <c r="N88" s="726" t="n"/>
      <c r="O88" s="726" t="n"/>
      <c r="P88" s="726" t="n"/>
      <c r="Q88" s="726" t="n"/>
      <c r="R88" s="726" t="n"/>
      <c r="S88" s="726" t="n"/>
      <c r="T88" s="726" t="n"/>
      <c r="U88" s="726" t="n"/>
      <c r="V88" s="726" t="n"/>
      <c r="W88" s="726" t="n"/>
      <c r="X88" s="726" t="n"/>
      <c r="Y88" s="765">
        <f>((Y78)+(Y83))</f>
        <v/>
      </c>
      <c r="Z88" s="765">
        <f>((Z78)+(Z83))</f>
        <v/>
      </c>
      <c r="AA88" s="765">
        <f>((AA78)+(AA83))</f>
        <v/>
      </c>
      <c r="AB88" s="765">
        <f>((AB78)+(AB83))</f>
        <v/>
      </c>
      <c r="AC88" s="765">
        <f>((AC78)+(AC83))</f>
        <v/>
      </c>
      <c r="AD88" s="765">
        <f>((AD78)+(AD83))</f>
        <v/>
      </c>
      <c r="AE88" s="765">
        <f>((AE78)+(AE83))</f>
        <v/>
      </c>
      <c r="AF88" s="765">
        <f>((AF78)+(AF83))</f>
        <v/>
      </c>
      <c r="AG88" s="765">
        <f>((AG78)+(AG83))</f>
        <v/>
      </c>
      <c r="AH88" s="765">
        <f>((AH78)+(AH83))</f>
        <v/>
      </c>
      <c r="AI88" s="765">
        <f>((AI78)+(AI83))</f>
        <v/>
      </c>
      <c r="AJ88" s="765">
        <f>((AJ78)+(AJ83))</f>
        <v/>
      </c>
      <c r="AK88" s="765">
        <f>((AK78)+(AK83))</f>
        <v/>
      </c>
      <c r="AL88" s="726" t="n"/>
      <c r="AM88" s="765">
        <f>((AM78)+(AM83))</f>
        <v/>
      </c>
      <c r="AN88" s="765">
        <f>((AN78)+(AN83))</f>
        <v/>
      </c>
      <c r="AO88" s="765">
        <f>((AO78)+(AO83))</f>
        <v/>
      </c>
      <c r="AP88" s="765">
        <f>((AP78)+(AP83))</f>
        <v/>
      </c>
      <c r="AQ88" s="765">
        <f>((AQ78)+(AQ83))</f>
        <v/>
      </c>
      <c r="AR88" s="765">
        <f>((AR78)+(AR83))</f>
        <v/>
      </c>
      <c r="AS88" s="765">
        <f>((AS78)+(AS83))</f>
        <v/>
      </c>
      <c r="AT88" s="765">
        <f>((AT78)+(AT83))</f>
        <v/>
      </c>
      <c r="AU88" s="765">
        <f>((AU78)+(AU83))</f>
        <v/>
      </c>
      <c r="AV88" s="765">
        <f>((AV78)+(AV83))</f>
        <v/>
      </c>
      <c r="AW88" s="765">
        <f>((AW78)+(AW83))</f>
        <v/>
      </c>
      <c r="AX88" s="765">
        <f>((AX78)+(AX83))</f>
        <v/>
      </c>
      <c r="AY88" s="765">
        <f>((AY78)+(AY83))</f>
        <v/>
      </c>
      <c r="AZ88" s="726" t="n"/>
      <c r="BA88" s="765">
        <f>((BA78)+(BA83))</f>
        <v/>
      </c>
      <c r="BB88" s="765">
        <f>((BB78)+(BB83))</f>
        <v/>
      </c>
      <c r="BC88" s="765">
        <f>((BC78)+(BC83))</f>
        <v/>
      </c>
      <c r="BD88" s="765">
        <f>((BD78)+(BD83))</f>
        <v/>
      </c>
      <c r="BE88" s="765">
        <f>((BE78)+(BE83))</f>
        <v/>
      </c>
      <c r="BF88" s="765">
        <f>((BF78)+(BF83))</f>
        <v/>
      </c>
      <c r="BG88" s="765">
        <f>((BG78)+(BG83))</f>
        <v/>
      </c>
      <c r="BH88" s="765">
        <f>((BH78)+(BH83))</f>
        <v/>
      </c>
      <c r="BI88" s="765">
        <f>((BI78)+(BI83))</f>
        <v/>
      </c>
      <c r="BJ88" s="765">
        <f>((BJ78)+(BJ83))</f>
        <v/>
      </c>
      <c r="BK88" s="765">
        <f>((BK78)+(BK83))</f>
        <v/>
      </c>
      <c r="BL88" s="765">
        <f>((BL78)+(BL83))</f>
        <v/>
      </c>
      <c r="BM88" s="765">
        <f>((BM78)+(BM83))</f>
        <v/>
      </c>
      <c r="BN88" s="726" t="n"/>
      <c r="BO88" s="765">
        <f>((BO78)+(BO83))</f>
        <v/>
      </c>
      <c r="BP88" s="765">
        <f>((BP78)+(BP83))</f>
        <v/>
      </c>
      <c r="BQ88" s="765">
        <f>((BQ78)+(BQ83))</f>
        <v/>
      </c>
      <c r="BR88" s="765">
        <f>((BR78)+(BR83))</f>
        <v/>
      </c>
      <c r="BS88" s="765">
        <f>((BS78)+(BS83))</f>
        <v/>
      </c>
      <c r="BT88" s="765">
        <f>((BT78)+(BT83))</f>
        <v/>
      </c>
      <c r="BU88" s="765">
        <f>((BU78)+(BU83))</f>
        <v/>
      </c>
      <c r="BV88" s="765">
        <f>((BV78)+(BV83))</f>
        <v/>
      </c>
      <c r="BW88" s="765">
        <f>((BW78)+(BW83))</f>
        <v/>
      </c>
      <c r="BX88" s="765">
        <f>((BX78)+(BX83))</f>
        <v/>
      </c>
      <c r="BY88" s="765">
        <f>((BY78)+(BY83))</f>
        <v/>
      </c>
      <c r="BZ88" s="765">
        <f>((BZ78)+(BZ83))</f>
        <v/>
      </c>
      <c r="CA88" s="765">
        <f>((CA78)+(CA83))</f>
        <v/>
      </c>
      <c r="CB88" s="726" t="n"/>
      <c r="CC88" s="765">
        <f>((CC78)+(CC83))</f>
        <v/>
      </c>
      <c r="CD88" s="765">
        <f>((CD78)+(CD83))</f>
        <v/>
      </c>
      <c r="CE88" s="765">
        <f>((CE78)+(CE83))</f>
        <v/>
      </c>
      <c r="CF88" s="765">
        <f>((CF78)+(CF83))</f>
        <v/>
      </c>
      <c r="CG88" s="765">
        <f>((CG78)+(CG83))</f>
        <v/>
      </c>
      <c r="CH88" s="765">
        <f>((CH78)+(CH83))</f>
        <v/>
      </c>
      <c r="CI88" s="765">
        <f>((CI78)+(CI83))</f>
        <v/>
      </c>
      <c r="CJ88" s="765">
        <f>((CJ78)+(CJ83))</f>
        <v/>
      </c>
      <c r="CK88" s="765">
        <f>((CK78)+(CK83))</f>
        <v/>
      </c>
      <c r="CL88" s="765">
        <f>((CL78)+(CL83))</f>
        <v/>
      </c>
      <c r="CM88" s="765">
        <f>((CM78)+(CM83))</f>
        <v/>
      </c>
      <c r="CN88" s="765">
        <f>((CN78)+(CN83))</f>
        <v/>
      </c>
      <c r="CO88" s="765">
        <f>((CO78)+(CO83))</f>
        <v/>
      </c>
      <c r="CP88" s="726" t="n"/>
      <c r="CQ88" s="765">
        <f>((CQ78)+(CQ83))</f>
        <v/>
      </c>
      <c r="CR88" s="765">
        <f>((CR78)+(CR83))</f>
        <v/>
      </c>
      <c r="CS88" s="765">
        <f>((CS78)+(CS83))</f>
        <v/>
      </c>
      <c r="CT88" s="765">
        <f>((CT78)+(CT83))</f>
        <v/>
      </c>
      <c r="CU88" s="765">
        <f>((CU78)+(CU83))</f>
        <v/>
      </c>
      <c r="CV88" s="765">
        <f>((CV78)+(CV83))</f>
        <v/>
      </c>
      <c r="CW88" s="765">
        <f>((CW78)+(CW83))</f>
        <v/>
      </c>
      <c r="CX88" s="765">
        <f>((CX78)+(CX83))</f>
        <v/>
      </c>
      <c r="CY88" s="765">
        <f>((CY78)+(CY83))</f>
        <v/>
      </c>
      <c r="CZ88" s="765">
        <f>((CZ78)+(CZ83))</f>
        <v/>
      </c>
      <c r="DA88" s="765">
        <f>((DA78)+(DA83))</f>
        <v/>
      </c>
      <c r="DB88" s="765">
        <f>((DB78)+(DB83))</f>
        <v/>
      </c>
      <c r="DC88" s="765">
        <f>((DC78)+(DC83))</f>
        <v/>
      </c>
    </row>
    <row r="89" ht="3" customHeight="1" s="1883">
      <c r="B89" s="726" t="n"/>
      <c r="C89" s="726" t="n"/>
      <c r="D89" s="726" t="n"/>
      <c r="E89" s="726" t="n"/>
      <c r="F89" s="726" t="n"/>
      <c r="G89" s="726" t="n"/>
      <c r="H89" s="726" t="n"/>
      <c r="I89" s="726" t="n"/>
      <c r="J89" s="726" t="n"/>
      <c r="K89" s="726" t="n"/>
      <c r="L89" s="726" t="n"/>
      <c r="M89" s="726" t="n"/>
      <c r="N89" s="726" t="n"/>
      <c r="O89" s="726" t="n"/>
      <c r="P89" s="726" t="n"/>
      <c r="Q89" s="726" t="n"/>
      <c r="R89" s="726" t="n"/>
      <c r="S89" s="726" t="n"/>
      <c r="T89" s="726" t="n"/>
      <c r="U89" s="726" t="n"/>
      <c r="V89" s="726" t="n"/>
      <c r="W89" s="726" t="n"/>
      <c r="X89" s="726" t="n"/>
      <c r="Y89" s="734" t="n"/>
      <c r="Z89" s="734" t="n"/>
      <c r="AA89" s="734" t="n"/>
      <c r="AB89" s="734" t="n"/>
      <c r="AC89" s="734" t="n"/>
      <c r="AD89" s="734" t="n"/>
      <c r="AE89" s="734" t="n"/>
      <c r="AF89" s="734" t="n"/>
      <c r="AG89" s="734" t="n"/>
      <c r="AH89" s="734" t="n"/>
      <c r="AI89" s="734" t="n"/>
      <c r="AJ89" s="734" t="n"/>
      <c r="AK89" s="734" t="n"/>
      <c r="AL89" s="726" t="n"/>
      <c r="AM89" s="734" t="n"/>
      <c r="AN89" s="734" t="n"/>
      <c r="AO89" s="734" t="n"/>
      <c r="AP89" s="734" t="n"/>
      <c r="AQ89" s="734" t="n"/>
      <c r="AR89" s="734" t="n"/>
      <c r="AS89" s="734" t="n"/>
      <c r="AT89" s="734" t="n"/>
      <c r="AU89" s="734" t="n"/>
      <c r="AV89" s="734" t="n"/>
      <c r="AW89" s="734" t="n"/>
      <c r="AX89" s="734" t="n"/>
      <c r="AY89" s="734" t="n"/>
      <c r="AZ89" s="726" t="n"/>
      <c r="BA89" s="734" t="n"/>
      <c r="BB89" s="734" t="n"/>
      <c r="BC89" s="734" t="n"/>
      <c r="BD89" s="734" t="n"/>
      <c r="BE89" s="734" t="n"/>
      <c r="BF89" s="734" t="n"/>
      <c r="BG89" s="734" t="n"/>
      <c r="BH89" s="734" t="n"/>
      <c r="BI89" s="734" t="n"/>
      <c r="BJ89" s="734" t="n"/>
      <c r="BK89" s="734" t="n"/>
      <c r="BL89" s="734" t="n"/>
      <c r="BM89" s="734" t="n"/>
      <c r="BN89" s="726" t="n"/>
      <c r="BO89" s="734" t="n"/>
      <c r="BP89" s="734" t="n"/>
      <c r="BQ89" s="734" t="n"/>
      <c r="BR89" s="734" t="n"/>
      <c r="BS89" s="734" t="n"/>
      <c r="BT89" s="734" t="n"/>
      <c r="BU89" s="734" t="n"/>
      <c r="BV89" s="734" t="n"/>
      <c r="BW89" s="734" t="n"/>
      <c r="BX89" s="734" t="n"/>
      <c r="BY89" s="734" t="n"/>
      <c r="BZ89" s="734" t="n"/>
      <c r="CA89" s="734" t="n"/>
      <c r="CB89" s="726" t="n"/>
      <c r="CC89" s="734" t="n"/>
      <c r="CD89" s="734" t="n"/>
      <c r="CE89" s="734" t="n"/>
      <c r="CF89" s="734" t="n"/>
      <c r="CG89" s="734" t="n"/>
      <c r="CH89" s="734" t="n"/>
      <c r="CI89" s="734" t="n"/>
      <c r="CJ89" s="734" t="n"/>
      <c r="CK89" s="734" t="n"/>
      <c r="CL89" s="734" t="n"/>
      <c r="CM89" s="734" t="n"/>
      <c r="CN89" s="734" t="n"/>
      <c r="CO89" s="734" t="n"/>
      <c r="CP89" s="726" t="n"/>
      <c r="CQ89" s="734" t="n"/>
      <c r="CR89" s="734" t="n"/>
      <c r="CS89" s="734" t="n"/>
      <c r="CT89" s="734" t="n"/>
      <c r="CU89" s="734" t="n"/>
      <c r="CV89" s="734" t="n"/>
      <c r="CW89" s="734" t="n"/>
      <c r="CX89" s="734" t="n"/>
      <c r="CY89" s="734" t="n"/>
      <c r="CZ89" s="734" t="n"/>
      <c r="DA89" s="734" t="n"/>
      <c r="DB89" s="734" t="n"/>
      <c r="DC89" s="734" t="n"/>
    </row>
    <row r="90" ht="3" customHeight="1" s="1883">
      <c r="B90" s="726" t="n"/>
      <c r="C90" s="726" t="n"/>
      <c r="D90" s="726" t="n"/>
      <c r="E90" s="726" t="n"/>
      <c r="F90" s="726" t="n"/>
      <c r="G90" s="726" t="n"/>
      <c r="H90" s="726" t="n"/>
      <c r="I90" s="726" t="n"/>
      <c r="J90" s="726" t="n"/>
      <c r="K90" s="726" t="n"/>
      <c r="L90" s="726" t="n"/>
      <c r="M90" s="726" t="n"/>
      <c r="N90" s="726" t="n"/>
      <c r="O90" s="726" t="n"/>
      <c r="P90" s="726" t="n"/>
      <c r="Q90" s="726" t="n"/>
      <c r="R90" s="726" t="n"/>
      <c r="S90" s="726" t="n"/>
      <c r="T90" s="726" t="n"/>
      <c r="U90" s="726" t="n"/>
      <c r="V90" s="726" t="n"/>
      <c r="W90" s="726" t="n"/>
      <c r="X90" s="726" t="n"/>
      <c r="Y90" s="726" t="n"/>
      <c r="Z90" s="726" t="n"/>
      <c r="AA90" s="726" t="n"/>
      <c r="AB90" s="726" t="n"/>
      <c r="AC90" s="726" t="n"/>
      <c r="AD90" s="726" t="n"/>
      <c r="AE90" s="726" t="n"/>
      <c r="AF90" s="726" t="n"/>
      <c r="AG90" s="726" t="n"/>
      <c r="AH90" s="726" t="n"/>
      <c r="AI90" s="726" t="n"/>
      <c r="AJ90" s="726" t="n"/>
      <c r="AK90" s="726" t="n"/>
      <c r="AL90" s="726" t="n"/>
      <c r="AM90" s="726" t="n"/>
      <c r="AN90" s="726" t="n"/>
      <c r="AO90" s="726" t="n"/>
      <c r="AP90" s="726" t="n"/>
      <c r="AQ90" s="726" t="n"/>
      <c r="AR90" s="726" t="n"/>
      <c r="AS90" s="726" t="n"/>
      <c r="AT90" s="726" t="n"/>
      <c r="AU90" s="726" t="n"/>
      <c r="AV90" s="726" t="n"/>
      <c r="AW90" s="726" t="n"/>
      <c r="AX90" s="726" t="n"/>
      <c r="AY90" s="726" t="n"/>
      <c r="AZ90" s="726" t="n"/>
      <c r="BA90" s="726" t="n"/>
      <c r="BB90" s="726" t="n"/>
      <c r="BC90" s="726" t="n"/>
      <c r="BD90" s="726" t="n"/>
      <c r="BE90" s="726" t="n"/>
      <c r="BF90" s="726" t="n"/>
      <c r="BG90" s="726" t="n"/>
      <c r="BH90" s="726" t="n"/>
      <c r="BI90" s="726" t="n"/>
      <c r="BJ90" s="726" t="n"/>
      <c r="BK90" s="726" t="n"/>
      <c r="BL90" s="726" t="n"/>
      <c r="BM90" s="726" t="n"/>
      <c r="BN90" s="726" t="n"/>
      <c r="BO90" s="726" t="n"/>
      <c r="BP90" s="726" t="n"/>
      <c r="BQ90" s="726" t="n"/>
      <c r="BR90" s="726" t="n"/>
      <c r="BS90" s="726" t="n"/>
      <c r="BT90" s="726" t="n"/>
      <c r="BU90" s="726" t="n"/>
      <c r="BV90" s="726" t="n"/>
      <c r="BW90" s="726" t="n"/>
      <c r="BX90" s="726" t="n"/>
      <c r="BY90" s="726" t="n"/>
      <c r="BZ90" s="726" t="n"/>
      <c r="CA90" s="726" t="n"/>
      <c r="CB90" s="726" t="n"/>
      <c r="CC90" s="726" t="n"/>
      <c r="CD90" s="726" t="n"/>
      <c r="CE90" s="726" t="n"/>
      <c r="CF90" s="726" t="n"/>
      <c r="CG90" s="726" t="n"/>
      <c r="CH90" s="726" t="n"/>
      <c r="CI90" s="726" t="n"/>
      <c r="CJ90" s="726" t="n"/>
      <c r="CK90" s="726" t="n"/>
      <c r="CL90" s="726" t="n"/>
      <c r="CM90" s="726" t="n"/>
      <c r="CN90" s="726" t="n"/>
      <c r="CO90" s="726" t="n"/>
      <c r="CP90" s="726" t="n"/>
      <c r="CQ90" s="726" t="n"/>
      <c r="CR90" s="726" t="n"/>
      <c r="CS90" s="726" t="n"/>
      <c r="CT90" s="726" t="n"/>
      <c r="CU90" s="726" t="n"/>
      <c r="CV90" s="726" t="n"/>
      <c r="CW90" s="726" t="n"/>
      <c r="CX90" s="726" t="n"/>
      <c r="CY90" s="726" t="n"/>
      <c r="CZ90" s="726" t="n"/>
      <c r="DA90" s="726" t="n"/>
      <c r="DB90" s="726" t="n"/>
      <c r="DC90" s="726" t="n"/>
    </row>
    <row r="91" ht="15" customHeight="1" s="1883">
      <c r="B91" s="726" t="n"/>
      <c r="C91" s="726" t="n"/>
      <c r="D91" s="726" t="n"/>
      <c r="E91" s="726" t="n"/>
      <c r="F91" s="726" t="n"/>
      <c r="G91" s="726" t="n"/>
      <c r="H91" s="726" t="n"/>
      <c r="I91" s="726" t="n"/>
      <c r="J91" s="726" t="n"/>
      <c r="K91" s="726" t="n"/>
      <c r="L91" s="726" t="n"/>
      <c r="M91" s="726" t="n"/>
      <c r="N91" s="726" t="n"/>
      <c r="O91" s="726" t="n"/>
      <c r="P91" s="726" t="n"/>
      <c r="Q91" s="726" t="n"/>
      <c r="R91" s="726" t="n"/>
      <c r="S91" s="726" t="n"/>
      <c r="T91" s="726" t="n"/>
      <c r="U91" s="726" t="n"/>
      <c r="V91" s="726" t="n"/>
      <c r="W91" s="726" t="n"/>
      <c r="X91" s="726" t="n"/>
      <c r="Y91" s="726" t="n"/>
      <c r="Z91" s="726" t="n"/>
      <c r="AA91" s="726" t="n"/>
      <c r="AB91" s="726" t="n"/>
      <c r="AC91" s="726" t="n"/>
      <c r="AD91" s="726" t="n"/>
      <c r="AE91" s="726" t="n"/>
      <c r="AF91" s="726" t="n"/>
      <c r="AG91" s="726" t="n"/>
      <c r="AH91" s="726" t="n"/>
      <c r="AI91" s="726" t="n"/>
      <c r="AJ91" s="726" t="n"/>
      <c r="AK91" s="726" t="n"/>
      <c r="AL91" s="726" t="n"/>
      <c r="AM91" s="726" t="n"/>
      <c r="AN91" s="726" t="n"/>
      <c r="AO91" s="726" t="n"/>
      <c r="AP91" s="726" t="n"/>
      <c r="AQ91" s="726" t="n"/>
      <c r="AR91" s="726" t="n"/>
      <c r="AS91" s="726" t="n"/>
      <c r="AT91" s="726" t="n"/>
      <c r="AU91" s="726" t="n"/>
      <c r="AV91" s="726" t="n"/>
      <c r="AW91" s="726" t="n"/>
      <c r="AX91" s="726" t="n"/>
      <c r="AY91" s="726" t="n"/>
      <c r="AZ91" s="726" t="n"/>
      <c r="BA91" s="726" t="n"/>
      <c r="BB91" s="726" t="n"/>
      <c r="BC91" s="726" t="n"/>
      <c r="BD91" s="726" t="n"/>
      <c r="BE91" s="726" t="n"/>
      <c r="BF91" s="726" t="n"/>
      <c r="BG91" s="726" t="n"/>
      <c r="BH91" s="726" t="n"/>
      <c r="BI91" s="726" t="n"/>
      <c r="BJ91" s="726" t="n"/>
      <c r="BK91" s="726" t="n"/>
      <c r="BL91" s="726" t="n"/>
      <c r="BM91" s="726" t="n"/>
      <c r="BN91" s="726" t="n"/>
      <c r="BO91" s="726" t="n"/>
      <c r="BP91" s="726" t="n"/>
      <c r="BQ91" s="726" t="n"/>
      <c r="BR91" s="726" t="n"/>
      <c r="BS91" s="726" t="n"/>
      <c r="BT91" s="726" t="n"/>
      <c r="BU91" s="726" t="n"/>
      <c r="BV91" s="726" t="n"/>
      <c r="BW91" s="726" t="n"/>
      <c r="BX91" s="726" t="n"/>
      <c r="BY91" s="726" t="n"/>
      <c r="BZ91" s="726" t="n"/>
      <c r="CA91" s="726" t="n"/>
      <c r="CB91" s="726" t="n"/>
      <c r="CC91" s="726" t="n"/>
      <c r="CD91" s="726" t="n"/>
      <c r="CE91" s="726" t="n"/>
      <c r="CF91" s="726" t="n"/>
      <c r="CG91" s="726" t="n"/>
      <c r="CH91" s="726" t="n"/>
      <c r="CI91" s="726" t="n"/>
      <c r="CJ91" s="726" t="n"/>
      <c r="CK91" s="726" t="n"/>
      <c r="CL91" s="726" t="n"/>
      <c r="CM91" s="726" t="n"/>
      <c r="CN91" s="726" t="n"/>
      <c r="CO91" s="726" t="n"/>
      <c r="CP91" s="726" t="n"/>
      <c r="CQ91" s="726" t="n"/>
      <c r="CR91" s="726" t="n"/>
      <c r="CS91" s="726" t="n"/>
      <c r="CT91" s="726" t="n"/>
      <c r="CU91" s="726" t="n"/>
      <c r="CV91" s="726" t="n"/>
      <c r="CW91" s="726" t="n"/>
      <c r="CX91" s="726" t="n"/>
      <c r="CY91" s="726" t="n"/>
      <c r="CZ91" s="726" t="n"/>
      <c r="DA91" s="726" t="n"/>
      <c r="DB91" s="726" t="n"/>
      <c r="DC91" s="726" t="n"/>
    </row>
    <row r="92" ht="15" customHeight="1" s="1883">
      <c r="B92" s="726" t="n"/>
      <c r="C92" s="726" t="n"/>
      <c r="D92" s="726" t="n"/>
      <c r="E92" s="726" t="n"/>
      <c r="F92" s="726" t="n"/>
      <c r="G92" s="726" t="n"/>
      <c r="H92" s="726" t="n"/>
      <c r="I92" s="726" t="n"/>
      <c r="J92" s="726" t="n"/>
      <c r="K92" s="726" t="n"/>
      <c r="L92" s="726" t="n"/>
      <c r="M92" s="726" t="n"/>
      <c r="N92" s="726" t="n"/>
      <c r="O92" s="726" t="n"/>
      <c r="P92" s="726" t="n"/>
      <c r="Q92" s="726" t="n"/>
      <c r="R92" s="726" t="n"/>
      <c r="S92" s="726" t="n"/>
      <c r="T92" s="726" t="n"/>
      <c r="U92" s="726" t="n"/>
      <c r="V92" s="726" t="n"/>
      <c r="W92" s="726" t="n"/>
      <c r="X92" s="726" t="n"/>
      <c r="Y92" s="726" t="n"/>
      <c r="Z92" s="726" t="n"/>
      <c r="AA92" s="726" t="n"/>
      <c r="AB92" s="726" t="n"/>
      <c r="AC92" s="726" t="n"/>
      <c r="AD92" s="726" t="n"/>
      <c r="AE92" s="726" t="n"/>
      <c r="AF92" s="726" t="n"/>
      <c r="AG92" s="726" t="n"/>
      <c r="AH92" s="726" t="n"/>
      <c r="AI92" s="726" t="n"/>
      <c r="AJ92" s="726" t="n"/>
      <c r="AK92" s="726" t="n"/>
      <c r="AL92" s="726" t="n"/>
      <c r="AM92" s="726" t="n"/>
      <c r="AN92" s="726" t="n"/>
      <c r="AO92" s="726" t="n"/>
      <c r="AP92" s="726" t="n"/>
      <c r="AQ92" s="726" t="n"/>
      <c r="AR92" s="726" t="n"/>
      <c r="AS92" s="726" t="n"/>
      <c r="AT92" s="726" t="n"/>
      <c r="AU92" s="726" t="n"/>
      <c r="AV92" s="726" t="n"/>
      <c r="AW92" s="726" t="n"/>
      <c r="AX92" s="726" t="n"/>
      <c r="AY92" s="726" t="n"/>
      <c r="AZ92" s="726" t="n"/>
      <c r="BA92" s="726" t="n"/>
      <c r="BB92" s="726" t="n"/>
      <c r="BC92" s="726" t="n"/>
      <c r="BD92" s="726" t="n"/>
      <c r="BE92" s="726" t="n"/>
      <c r="BF92" s="726" t="n"/>
      <c r="BG92" s="726" t="n"/>
      <c r="BH92" s="726" t="n"/>
      <c r="BI92" s="726" t="n"/>
      <c r="BJ92" s="726" t="n"/>
      <c r="BK92" s="726" t="n"/>
      <c r="BL92" s="726" t="n"/>
      <c r="BM92" s="726" t="n"/>
      <c r="BN92" s="726" t="n"/>
      <c r="BO92" s="726" t="n"/>
      <c r="BP92" s="726" t="n"/>
      <c r="BQ92" s="726" t="n"/>
      <c r="BR92" s="726" t="n"/>
      <c r="BS92" s="726" t="n"/>
      <c r="BT92" s="726" t="n"/>
      <c r="BU92" s="726" t="n"/>
      <c r="BV92" s="726" t="n"/>
      <c r="BW92" s="726" t="n"/>
      <c r="BX92" s="726" t="n"/>
      <c r="BY92" s="726" t="n"/>
      <c r="BZ92" s="726" t="n"/>
      <c r="CA92" s="726" t="n"/>
      <c r="CB92" s="726" t="n"/>
      <c r="CC92" s="726" t="n"/>
      <c r="CD92" s="726" t="n"/>
      <c r="CE92" s="726" t="n"/>
      <c r="CF92" s="726" t="n"/>
      <c r="CG92" s="726" t="n"/>
      <c r="CH92" s="726" t="n"/>
      <c r="CI92" s="726" t="n"/>
      <c r="CJ92" s="726" t="n"/>
      <c r="CK92" s="726" t="n"/>
      <c r="CL92" s="726" t="n"/>
      <c r="CM92" s="726" t="n"/>
      <c r="CN92" s="726" t="n"/>
      <c r="CO92" s="726" t="n"/>
      <c r="CP92" s="726" t="n"/>
      <c r="CQ92" s="726" t="n"/>
      <c r="CR92" s="726" t="n"/>
      <c r="CS92" s="726" t="n"/>
      <c r="CT92" s="726" t="n"/>
      <c r="CU92" s="726" t="n"/>
      <c r="CV92" s="726" t="n"/>
      <c r="CW92" s="726" t="n"/>
      <c r="CX92" s="726" t="n"/>
      <c r="CY92" s="726" t="n"/>
      <c r="CZ92" s="726" t="n"/>
      <c r="DA92" s="726" t="n"/>
      <c r="DB92" s="726" t="n"/>
      <c r="DC92" s="726" t="n"/>
    </row>
    <row r="93" ht="15" customHeight="1" s="1883">
      <c r="B93" s="726" t="n"/>
      <c r="C93" s="726" t="n"/>
      <c r="D93" s="726" t="n"/>
      <c r="E93" s="726" t="n"/>
      <c r="F93" s="726" t="n"/>
      <c r="G93" s="726" t="n"/>
      <c r="H93" s="726" t="n"/>
      <c r="I93" s="726" t="n"/>
      <c r="J93" s="726" t="n"/>
      <c r="K93" s="726" t="n"/>
      <c r="L93" s="726" t="n"/>
      <c r="M93" s="726" t="n"/>
      <c r="N93" s="726" t="n"/>
      <c r="O93" s="726" t="n"/>
      <c r="P93" s="726" t="n"/>
      <c r="Q93" s="726" t="n"/>
      <c r="R93" s="726" t="n"/>
      <c r="S93" s="726" t="n"/>
      <c r="T93" s="726" t="n"/>
      <c r="U93" s="726" t="n"/>
      <c r="V93" s="726" t="n"/>
      <c r="W93" s="726" t="n"/>
      <c r="X93" s="726" t="n"/>
      <c r="Y93" s="726" t="n"/>
      <c r="Z93" s="726" t="n"/>
      <c r="AA93" s="726" t="n"/>
      <c r="AB93" s="726" t="n"/>
      <c r="AC93" s="726" t="n"/>
      <c r="AD93" s="726" t="n"/>
      <c r="AE93" s="726" t="n"/>
      <c r="AF93" s="726" t="n"/>
      <c r="AG93" s="726" t="n"/>
      <c r="AH93" s="726" t="n"/>
      <c r="AI93" s="726" t="n"/>
      <c r="AJ93" s="726" t="n"/>
      <c r="AK93" s="726" t="n"/>
      <c r="AL93" s="726" t="n"/>
      <c r="AM93" s="726" t="n"/>
      <c r="AN93" s="726" t="n"/>
      <c r="AO93" s="726" t="n"/>
      <c r="AP93" s="726" t="n"/>
      <c r="AQ93" s="726" t="n"/>
      <c r="AR93" s="726" t="n"/>
      <c r="AS93" s="726" t="n"/>
      <c r="AT93" s="726" t="n"/>
      <c r="AU93" s="726" t="n"/>
      <c r="AV93" s="726" t="n"/>
      <c r="AW93" s="726" t="n"/>
      <c r="AX93" s="726" t="n"/>
      <c r="AY93" s="726" t="n"/>
      <c r="AZ93" s="726" t="n"/>
      <c r="BA93" s="726" t="n"/>
      <c r="BB93" s="726" t="n"/>
      <c r="BC93" s="726" t="n"/>
      <c r="BD93" s="726" t="n"/>
      <c r="BE93" s="726" t="n"/>
      <c r="BF93" s="726" t="n"/>
      <c r="BG93" s="726" t="n"/>
      <c r="BH93" s="726" t="n"/>
      <c r="BI93" s="726" t="n"/>
      <c r="BJ93" s="726" t="n"/>
      <c r="BK93" s="726" t="n"/>
      <c r="BL93" s="726" t="n"/>
      <c r="BM93" s="726" t="n"/>
      <c r="BN93" s="726" t="n"/>
      <c r="BO93" s="726" t="n"/>
      <c r="BP93" s="726" t="n"/>
      <c r="BQ93" s="726" t="n"/>
      <c r="BR93" s="726" t="n"/>
      <c r="BS93" s="726" t="n"/>
      <c r="BT93" s="726" t="n"/>
      <c r="BU93" s="726" t="n"/>
      <c r="BV93" s="726" t="n"/>
      <c r="BW93" s="726" t="n"/>
      <c r="BX93" s="726" t="n"/>
      <c r="BY93" s="726" t="n"/>
      <c r="BZ93" s="726" t="n"/>
      <c r="CA93" s="726" t="n"/>
      <c r="CB93" s="726" t="n"/>
      <c r="CC93" s="726" t="n"/>
      <c r="CD93" s="726" t="n"/>
      <c r="CE93" s="726" t="n"/>
      <c r="CF93" s="726" t="n"/>
      <c r="CG93" s="726" t="n"/>
      <c r="CH93" s="726" t="n"/>
      <c r="CI93" s="726" t="n"/>
      <c r="CJ93" s="726" t="n"/>
      <c r="CK93" s="726" t="n"/>
      <c r="CL93" s="726" t="n"/>
      <c r="CM93" s="726" t="n"/>
      <c r="CN93" s="726" t="n"/>
      <c r="CO93" s="726" t="n"/>
      <c r="CP93" s="726" t="n"/>
      <c r="CQ93" s="726" t="n"/>
      <c r="CR93" s="726" t="n"/>
      <c r="CS93" s="726" t="n"/>
      <c r="CT93" s="726" t="n"/>
      <c r="CU93" s="726" t="n"/>
      <c r="CV93" s="726" t="n"/>
      <c r="CW93" s="726" t="n"/>
      <c r="CX93" s="726" t="n"/>
      <c r="CY93" s="726" t="n"/>
      <c r="CZ93" s="726" t="n"/>
      <c r="DA93" s="726" t="n"/>
      <c r="DB93" s="726" t="n"/>
      <c r="DC93" s="726" t="n"/>
    </row>
    <row r="94" ht="15" customHeight="1" s="1883">
      <c r="B94" s="733" t="inlineStr">
        <is>
          <t>Total People Cost</t>
        </is>
      </c>
      <c r="C94" s="726" t="n"/>
      <c r="D94" s="726" t="n"/>
      <c r="E94" s="726" t="n"/>
      <c r="F94" s="726" t="n"/>
      <c r="G94" s="726" t="n"/>
      <c r="H94" s="726" t="n"/>
      <c r="I94" s="726" t="n"/>
      <c r="J94" s="726" t="n"/>
      <c r="K94" s="726" t="n"/>
      <c r="L94" s="726" t="n"/>
      <c r="M94" s="726" t="n"/>
      <c r="N94" s="726" t="n"/>
      <c r="O94" s="726" t="n"/>
      <c r="P94" s="726" t="n"/>
      <c r="Q94" s="726" t="n"/>
      <c r="R94" s="726" t="n"/>
      <c r="S94" s="726" t="n"/>
      <c r="T94" s="726" t="n"/>
      <c r="U94" s="726" t="n"/>
      <c r="V94" s="726" t="n"/>
      <c r="W94" s="726" t="n"/>
      <c r="X94" s="726" t="n"/>
      <c r="Y94" s="726" t="n"/>
      <c r="Z94" s="726" t="n"/>
      <c r="AA94" s="726" t="n"/>
      <c r="AB94" s="726" t="n"/>
      <c r="AC94" s="726" t="n"/>
      <c r="AD94" s="726" t="n"/>
      <c r="AE94" s="726" t="n"/>
      <c r="AF94" s="726" t="n"/>
      <c r="AG94" s="726" t="n"/>
      <c r="AH94" s="726" t="n"/>
      <c r="AI94" s="726" t="n"/>
      <c r="AJ94" s="726" t="n"/>
      <c r="AK94" s="726" t="n"/>
      <c r="AL94" s="726" t="n"/>
      <c r="AM94" s="726" t="n"/>
      <c r="AN94" s="726" t="n"/>
      <c r="AO94" s="726" t="n"/>
      <c r="AP94" s="726" t="n"/>
      <c r="AQ94" s="726" t="n"/>
      <c r="AR94" s="726" t="n"/>
      <c r="AS94" s="726" t="n"/>
      <c r="AT94" s="726" t="n"/>
      <c r="AU94" s="726" t="n"/>
      <c r="AV94" s="726" t="n"/>
      <c r="AW94" s="726" t="n"/>
      <c r="AX94" s="726" t="n"/>
      <c r="AY94" s="726" t="n"/>
      <c r="AZ94" s="726" t="n"/>
      <c r="BA94" s="726" t="n"/>
      <c r="BB94" s="726" t="n"/>
      <c r="BC94" s="726" t="n"/>
      <c r="BD94" s="726" t="n"/>
      <c r="BE94" s="726" t="n"/>
      <c r="BF94" s="726" t="n"/>
      <c r="BG94" s="726" t="n"/>
      <c r="BH94" s="726" t="n"/>
      <c r="BI94" s="726" t="n"/>
      <c r="BJ94" s="726" t="n"/>
      <c r="BK94" s="726" t="n"/>
      <c r="BL94" s="726" t="n"/>
      <c r="BM94" s="726" t="n"/>
      <c r="BN94" s="726" t="n"/>
      <c r="BO94" s="726" t="n"/>
      <c r="BP94" s="726" t="n"/>
      <c r="BQ94" s="726" t="n"/>
      <c r="BR94" s="726" t="n"/>
      <c r="BS94" s="726" t="n"/>
      <c r="BT94" s="726" t="n"/>
      <c r="BU94" s="726" t="n"/>
      <c r="BV94" s="726" t="n"/>
      <c r="BW94" s="726" t="n"/>
      <c r="BX94" s="726" t="n"/>
      <c r="BY94" s="726" t="n"/>
      <c r="BZ94" s="726" t="n"/>
      <c r="CA94" s="726" t="n"/>
      <c r="CB94" s="726" t="n"/>
      <c r="CC94" s="726" t="n"/>
      <c r="CD94" s="726" t="n"/>
      <c r="CE94" s="726" t="n"/>
      <c r="CF94" s="726" t="n"/>
      <c r="CG94" s="726" t="n"/>
      <c r="CH94" s="726" t="n"/>
      <c r="CI94" s="726" t="n"/>
      <c r="CJ94" s="726" t="n"/>
      <c r="CK94" s="726" t="n"/>
      <c r="CL94" s="726" t="n"/>
      <c r="CM94" s="726" t="n"/>
      <c r="CN94" s="726" t="n"/>
      <c r="CO94" s="726" t="n"/>
      <c r="CP94" s="726" t="n"/>
      <c r="CQ94" s="726" t="n"/>
      <c r="CR94" s="726" t="n"/>
      <c r="CS94" s="726" t="n"/>
      <c r="CT94" s="726" t="n"/>
      <c r="CU94" s="726" t="n"/>
      <c r="CV94" s="726" t="n"/>
      <c r="CW94" s="726" t="n"/>
      <c r="CX94" s="726" t="n"/>
      <c r="CY94" s="726" t="n"/>
      <c r="CZ94" s="726" t="n"/>
      <c r="DA94" s="726" t="n"/>
      <c r="DB94" s="726" t="n"/>
      <c r="DC94" s="726" t="n"/>
    </row>
    <row r="97" ht="1" customHeight="1" s="1883">
      <c r="B97" s="729" t="inlineStr">
        <is>
          <t>●</t>
        </is>
      </c>
      <c r="C97" s="733" t="inlineStr">
        <is>
          <t>CONUS</t>
        </is>
      </c>
      <c r="D97" s="726" t="n"/>
      <c r="E97" s="726" t="n"/>
      <c r="F97" s="726" t="n"/>
      <c r="G97" s="726" t="n"/>
      <c r="H97" s="726" t="n"/>
      <c r="I97" s="726" t="n"/>
      <c r="J97" s="726" t="n"/>
      <c r="K97" s="726" t="n"/>
      <c r="L97" s="726" t="n"/>
      <c r="M97" s="726" t="n"/>
      <c r="N97" s="726" t="n"/>
      <c r="O97" s="726" t="n"/>
      <c r="P97" s="726" t="n"/>
      <c r="Q97" s="726" t="n"/>
      <c r="R97" s="726" t="n"/>
      <c r="S97" s="726" t="n"/>
      <c r="T97" s="726" t="n"/>
      <c r="U97" s="726" t="n"/>
      <c r="V97" s="726" t="n"/>
      <c r="W97" s="726" t="n"/>
      <c r="X97" s="726" t="n"/>
      <c r="Y97" s="765">
        <f>((Y32)+(Y56)+(Y78))</f>
        <v/>
      </c>
      <c r="Z97" s="765">
        <f>((Z32)+(Z56)+(Z78))</f>
        <v/>
      </c>
      <c r="AA97" s="765">
        <f>((AA32)+(AA56)+(AA78))</f>
        <v/>
      </c>
      <c r="AB97" s="765">
        <f>((AB32)+(AB56)+(AB78))</f>
        <v/>
      </c>
      <c r="AC97" s="765">
        <f>((AC32)+(AC56)+(AC78))</f>
        <v/>
      </c>
      <c r="AD97" s="765">
        <f>((AD32)+(AD56)+(AD78))</f>
        <v/>
      </c>
      <c r="AE97" s="765">
        <f>((AE32)+(AE56)+(AE78))</f>
        <v/>
      </c>
      <c r="AF97" s="765">
        <f>((AF32)+(AF56)+(AF78))</f>
        <v/>
      </c>
      <c r="AG97" s="765">
        <f>((AG32)+(AG56)+(AG78))</f>
        <v/>
      </c>
      <c r="AH97" s="765">
        <f>((AH32)+(AH56)+(AH78))</f>
        <v/>
      </c>
      <c r="AI97" s="765">
        <f>((AI32)+(AI56)+(AI78))</f>
        <v/>
      </c>
      <c r="AJ97" s="765">
        <f>((AJ32)+(AJ56)+(AJ78))</f>
        <v/>
      </c>
      <c r="AK97" s="765">
        <f>((AK32)+(AK56)+(AK78))</f>
        <v/>
      </c>
      <c r="AL97" s="726" t="n"/>
      <c r="AM97" s="765">
        <f>((AM32)+(AM56)+(AM78))</f>
        <v/>
      </c>
      <c r="AN97" s="765">
        <f>((AN32)+(AN56)+(AN78))</f>
        <v/>
      </c>
      <c r="AO97" s="765">
        <f>((AO32)+(AO56)+(AO78))</f>
        <v/>
      </c>
      <c r="AP97" s="765">
        <f>((AP32)+(AP56)+(AP78))</f>
        <v/>
      </c>
      <c r="AQ97" s="765">
        <f>((AQ32)+(AQ56)+(AQ78))</f>
        <v/>
      </c>
      <c r="AR97" s="765">
        <f>((AR32)+(AR56)+(AR78))</f>
        <v/>
      </c>
      <c r="AS97" s="765">
        <f>((AS32)+(AS56)+(AS78))</f>
        <v/>
      </c>
      <c r="AT97" s="765">
        <f>((AT32)+(AT56)+(AT78))</f>
        <v/>
      </c>
      <c r="AU97" s="765">
        <f>((AU32)+(AU56)+(AU78))</f>
        <v/>
      </c>
      <c r="AV97" s="765">
        <f>((AV32)+(AV56)+(AV78))</f>
        <v/>
      </c>
      <c r="AW97" s="765">
        <f>((AW32)+(AW56)+(AW78))</f>
        <v/>
      </c>
      <c r="AX97" s="765">
        <f>((AX32)+(AX56)+(AX78))</f>
        <v/>
      </c>
      <c r="AY97" s="765">
        <f>((AY32)+(AY56)+(AY78))</f>
        <v/>
      </c>
      <c r="AZ97" s="726" t="n"/>
      <c r="BA97" s="765">
        <f>((BA32)+(BA56)+(BA78))</f>
        <v/>
      </c>
      <c r="BB97" s="765">
        <f>((BB32)+(BB56)+(BB78))</f>
        <v/>
      </c>
      <c r="BC97" s="765">
        <f>((BC32)+(BC56)+(BC78))</f>
        <v/>
      </c>
      <c r="BD97" s="765">
        <f>((BD32)+(BD56)+(BD78))</f>
        <v/>
      </c>
      <c r="BE97" s="765">
        <f>((BE32)+(BE56)+(BE78))</f>
        <v/>
      </c>
      <c r="BF97" s="765">
        <f>((BF32)+(BF56)+(BF78))</f>
        <v/>
      </c>
      <c r="BG97" s="765">
        <f>((BG32)+(BG56)+(BG78))</f>
        <v/>
      </c>
      <c r="BH97" s="765">
        <f>((BH32)+(BH56)+(BH78))</f>
        <v/>
      </c>
      <c r="BI97" s="765">
        <f>((BI32)+(BI56)+(BI78))</f>
        <v/>
      </c>
      <c r="BJ97" s="765">
        <f>((BJ32)+(BJ56)+(BJ78))</f>
        <v/>
      </c>
      <c r="BK97" s="765">
        <f>((BK32)+(BK56)+(BK78))</f>
        <v/>
      </c>
      <c r="BL97" s="765">
        <f>((BL32)+(BL56)+(BL78))</f>
        <v/>
      </c>
      <c r="BM97" s="765">
        <f>((BM32)+(BM56)+(BM78))</f>
        <v/>
      </c>
      <c r="BN97" s="726" t="n"/>
      <c r="BO97" s="765">
        <f>((BO32)+(BO56)+(BO78))</f>
        <v/>
      </c>
      <c r="BP97" s="765">
        <f>((BP32)+(BP56)+(BP78))</f>
        <v/>
      </c>
      <c r="BQ97" s="765">
        <f>((BQ32)+(BQ56)+(BQ78))</f>
        <v/>
      </c>
      <c r="BR97" s="765">
        <f>((BR32)+(BR56)+(BR78))</f>
        <v/>
      </c>
      <c r="BS97" s="765">
        <f>((BS32)+(BS56)+(BS78))</f>
        <v/>
      </c>
      <c r="BT97" s="765">
        <f>((BT32)+(BT56)+(BT78))</f>
        <v/>
      </c>
      <c r="BU97" s="765">
        <f>((BU32)+(BU56)+(BU78))</f>
        <v/>
      </c>
      <c r="BV97" s="765">
        <f>((BV32)+(BV56)+(BV78))</f>
        <v/>
      </c>
      <c r="BW97" s="765">
        <f>((BW32)+(BW56)+(BW78))</f>
        <v/>
      </c>
      <c r="BX97" s="765">
        <f>((BX32)+(BX56)+(BX78))</f>
        <v/>
      </c>
      <c r="BY97" s="765">
        <f>((BY32)+(BY56)+(BY78))</f>
        <v/>
      </c>
      <c r="BZ97" s="765">
        <f>((BZ32)+(BZ56)+(BZ78))</f>
        <v/>
      </c>
      <c r="CA97" s="765">
        <f>((CA32)+(CA56)+(CA78))</f>
        <v/>
      </c>
      <c r="CB97" s="726" t="n"/>
      <c r="CC97" s="765">
        <f>((CC32)+(CC56)+(CC78))</f>
        <v/>
      </c>
      <c r="CD97" s="765">
        <f>((CD32)+(CD56)+(CD78))</f>
        <v/>
      </c>
      <c r="CE97" s="765">
        <f>((CE32)+(CE56)+(CE78))</f>
        <v/>
      </c>
      <c r="CF97" s="765">
        <f>((CF32)+(CF56)+(CF78))</f>
        <v/>
      </c>
      <c r="CG97" s="765">
        <f>((CG32)+(CG56)+(CG78))</f>
        <v/>
      </c>
      <c r="CH97" s="765">
        <f>((CH32)+(CH56)+(CH78))</f>
        <v/>
      </c>
      <c r="CI97" s="765">
        <f>((CI32)+(CI56)+(CI78))</f>
        <v/>
      </c>
      <c r="CJ97" s="765">
        <f>((CJ32)+(CJ56)+(CJ78))</f>
        <v/>
      </c>
      <c r="CK97" s="765">
        <f>((CK32)+(CK56)+(CK78))</f>
        <v/>
      </c>
      <c r="CL97" s="765">
        <f>((CL32)+(CL56)+(CL78))</f>
        <v/>
      </c>
      <c r="CM97" s="765">
        <f>((CM32)+(CM56)+(CM78))</f>
        <v/>
      </c>
      <c r="CN97" s="765">
        <f>((CN32)+(CN56)+(CN78))</f>
        <v/>
      </c>
      <c r="CO97" s="765">
        <f>((CO32)+(CO56)+(CO78))</f>
        <v/>
      </c>
      <c r="CP97" s="726" t="n"/>
      <c r="CQ97" s="765">
        <f>((CQ32)+(CQ56)+(CQ78))</f>
        <v/>
      </c>
      <c r="CR97" s="765">
        <f>((CR32)+(CR56)+(CR78))</f>
        <v/>
      </c>
      <c r="CS97" s="765">
        <f>((CS32)+(CS56)+(CS78))</f>
        <v/>
      </c>
      <c r="CT97" s="765">
        <f>((CT32)+(CT56)+(CT78))</f>
        <v/>
      </c>
      <c r="CU97" s="765">
        <f>((CU32)+(CU56)+(CU78))</f>
        <v/>
      </c>
      <c r="CV97" s="765">
        <f>((CV32)+(CV56)+(CV78))</f>
        <v/>
      </c>
      <c r="CW97" s="765">
        <f>((CW32)+(CW56)+(CW78))</f>
        <v/>
      </c>
      <c r="CX97" s="765">
        <f>((CX32)+(CX56)+(CX78))</f>
        <v/>
      </c>
      <c r="CY97" s="765">
        <f>((CY32)+(CY56)+(CY78))</f>
        <v/>
      </c>
      <c r="CZ97" s="765">
        <f>((CZ32)+(CZ56)+(CZ78))</f>
        <v/>
      </c>
      <c r="DA97" s="765">
        <f>((DA32)+(DA56)+(DA78))</f>
        <v/>
      </c>
      <c r="DB97" s="765">
        <f>((DB32)+(DB56)+(DB78))</f>
        <v/>
      </c>
      <c r="DC97" s="765">
        <f>((DC32)+(DC56)+(DC78))</f>
        <v/>
      </c>
    </row>
    <row r="98" ht="1" customHeight="1" s="1883">
      <c r="B98" s="726" t="n"/>
      <c r="C98" s="726" t="n"/>
      <c r="D98" s="726" t="n"/>
      <c r="E98" s="726" t="n"/>
      <c r="F98" s="726" t="n"/>
      <c r="G98" s="726" t="n"/>
      <c r="H98" s="726" t="n"/>
      <c r="I98" s="726" t="n"/>
      <c r="J98" s="726" t="n"/>
      <c r="K98" s="726" t="n"/>
      <c r="L98" s="726" t="n"/>
      <c r="M98" s="726" t="n"/>
      <c r="N98" s="726" t="n"/>
      <c r="O98" s="726" t="n"/>
      <c r="P98" s="726" t="n"/>
      <c r="Q98" s="726" t="n"/>
      <c r="R98" s="726" t="n"/>
      <c r="S98" s="726" t="n"/>
      <c r="T98" s="726" t="n"/>
      <c r="U98" s="726" t="n"/>
      <c r="V98" s="726" t="n"/>
      <c r="W98" s="726" t="n"/>
      <c r="X98" s="726" t="n"/>
      <c r="Y98" s="726" t="n"/>
      <c r="Z98" s="726" t="n"/>
      <c r="AA98" s="726" t="n"/>
      <c r="AB98" s="726" t="n"/>
      <c r="AC98" s="726" t="n"/>
      <c r="AD98" s="726" t="n"/>
      <c r="AE98" s="726" t="n"/>
      <c r="AF98" s="726" t="n"/>
      <c r="AG98" s="726" t="n"/>
      <c r="AH98" s="726" t="n"/>
      <c r="AI98" s="726" t="n"/>
      <c r="AJ98" s="726" t="n"/>
      <c r="AK98" s="726" t="n"/>
      <c r="AL98" s="726" t="n"/>
      <c r="AM98" s="726" t="n"/>
      <c r="AN98" s="726" t="n"/>
      <c r="AO98" s="726" t="n"/>
      <c r="AP98" s="726" t="n"/>
      <c r="AQ98" s="726" t="n"/>
      <c r="AR98" s="726" t="n"/>
      <c r="AS98" s="726" t="n"/>
      <c r="AT98" s="726" t="n"/>
      <c r="AU98" s="726" t="n"/>
      <c r="AV98" s="726" t="n"/>
      <c r="AW98" s="726" t="n"/>
      <c r="AX98" s="726" t="n"/>
      <c r="AY98" s="726" t="n"/>
      <c r="AZ98" s="726" t="n"/>
      <c r="BA98" s="726" t="n"/>
      <c r="BB98" s="726" t="n"/>
      <c r="BC98" s="726" t="n"/>
      <c r="BD98" s="726" t="n"/>
      <c r="BE98" s="726" t="n"/>
      <c r="BF98" s="726" t="n"/>
      <c r="BG98" s="726" t="n"/>
      <c r="BH98" s="726" t="n"/>
      <c r="BI98" s="726" t="n"/>
      <c r="BJ98" s="726" t="n"/>
      <c r="BK98" s="726" t="n"/>
      <c r="BL98" s="726" t="n"/>
      <c r="BM98" s="726" t="n"/>
      <c r="BN98" s="726" t="n"/>
      <c r="BO98" s="726" t="n"/>
      <c r="BP98" s="726" t="n"/>
      <c r="BQ98" s="726" t="n"/>
      <c r="BR98" s="726" t="n"/>
      <c r="BS98" s="726" t="n"/>
      <c r="BT98" s="726" t="n"/>
      <c r="BU98" s="726" t="n"/>
      <c r="BV98" s="726" t="n"/>
      <c r="BW98" s="726" t="n"/>
      <c r="BX98" s="726" t="n"/>
      <c r="BY98" s="726" t="n"/>
      <c r="BZ98" s="726" t="n"/>
      <c r="CA98" s="726" t="n"/>
      <c r="CB98" s="726" t="n"/>
      <c r="CC98" s="726" t="n"/>
      <c r="CD98" s="726" t="n"/>
      <c r="CE98" s="726" t="n"/>
      <c r="CF98" s="726" t="n"/>
      <c r="CG98" s="726" t="n"/>
      <c r="CH98" s="726" t="n"/>
      <c r="CI98" s="726" t="n"/>
      <c r="CJ98" s="726" t="n"/>
      <c r="CK98" s="726" t="n"/>
      <c r="CL98" s="726" t="n"/>
      <c r="CM98" s="726" t="n"/>
      <c r="CN98" s="726" t="n"/>
      <c r="CO98" s="726" t="n"/>
      <c r="CP98" s="726" t="n"/>
      <c r="CQ98" s="726" t="n"/>
      <c r="CR98" s="726" t="n"/>
      <c r="CS98" s="726" t="n"/>
      <c r="CT98" s="726" t="n"/>
      <c r="CU98" s="726" t="n"/>
      <c r="CV98" s="726" t="n"/>
      <c r="CW98" s="726" t="n"/>
      <c r="CX98" s="726" t="n"/>
      <c r="CY98" s="726" t="n"/>
      <c r="CZ98" s="726" t="n"/>
      <c r="DA98" s="726" t="n"/>
      <c r="DB98" s="726" t="n"/>
      <c r="DC98" s="726" t="n"/>
    </row>
    <row r="99" ht="1" customHeight="1" s="1883">
      <c r="B99" s="796" t="inlineStr">
        <is>
          <t>●</t>
        </is>
      </c>
      <c r="C99" s="795" t="inlineStr">
        <is>
          <t>OCONUS</t>
        </is>
      </c>
      <c r="D99" s="726" t="n"/>
      <c r="E99" s="726" t="n"/>
      <c r="F99" s="726" t="n"/>
      <c r="G99" s="726" t="n"/>
      <c r="H99" s="726" t="n"/>
      <c r="I99" s="726" t="n"/>
      <c r="J99" s="726" t="n"/>
      <c r="K99" s="726" t="n"/>
      <c r="L99" s="726" t="n"/>
      <c r="M99" s="726" t="n"/>
      <c r="N99" s="726" t="n"/>
      <c r="O99" s="726" t="n"/>
      <c r="P99" s="726" t="n"/>
      <c r="Q99" s="726" t="n"/>
      <c r="R99" s="726" t="n"/>
      <c r="S99" s="726" t="n"/>
      <c r="T99" s="726" t="n"/>
      <c r="U99" s="726" t="n"/>
      <c r="V99" s="726" t="n"/>
      <c r="W99" s="726" t="n"/>
      <c r="X99" s="726" t="n"/>
      <c r="Y99" s="794">
        <f>((Y43)+(Y61)+(Y83))</f>
        <v/>
      </c>
      <c r="Z99" s="794">
        <f>((Z43)+(Z61)+(Z83))</f>
        <v/>
      </c>
      <c r="AA99" s="794">
        <f>((AA43)+(AA61)+(AA83))</f>
        <v/>
      </c>
      <c r="AB99" s="794">
        <f>((AB43)+(AB61)+(AB83))</f>
        <v/>
      </c>
      <c r="AC99" s="794">
        <f>((AC43)+(AC61)+(AC83))</f>
        <v/>
      </c>
      <c r="AD99" s="794">
        <f>((AD43)+(AD61)+(AD83))</f>
        <v/>
      </c>
      <c r="AE99" s="794">
        <f>((AE43)+(AE61)+(AE83))</f>
        <v/>
      </c>
      <c r="AF99" s="794">
        <f>((AF43)+(AF61)+(AF83))</f>
        <v/>
      </c>
      <c r="AG99" s="794">
        <f>((AG43)+(AG61)+(AG83))</f>
        <v/>
      </c>
      <c r="AH99" s="794">
        <f>((AH43)+(AH61)+(AH83))</f>
        <v/>
      </c>
      <c r="AI99" s="794">
        <f>((AI43)+(AI61)+(AI83))</f>
        <v/>
      </c>
      <c r="AJ99" s="794">
        <f>((AJ43)+(AJ61)+(AJ83))</f>
        <v/>
      </c>
      <c r="AK99" s="794">
        <f>((AK43)+(AK61)+(AK83))</f>
        <v/>
      </c>
      <c r="AL99" s="726" t="n"/>
      <c r="AM99" s="794">
        <f>((AM43)+(AM61)+(AM83))</f>
        <v/>
      </c>
      <c r="AN99" s="794">
        <f>((AN43)+(AN61)+(AN83))</f>
        <v/>
      </c>
      <c r="AO99" s="794">
        <f>((AO43)+(AO61)+(AO83))</f>
        <v/>
      </c>
      <c r="AP99" s="794">
        <f>((AP43)+(AP61)+(AP83))</f>
        <v/>
      </c>
      <c r="AQ99" s="794">
        <f>((AQ43)+(AQ61)+(AQ83))</f>
        <v/>
      </c>
      <c r="AR99" s="794">
        <f>((AR43)+(AR61)+(AR83))</f>
        <v/>
      </c>
      <c r="AS99" s="794">
        <f>((AS43)+(AS61)+(AS83))</f>
        <v/>
      </c>
      <c r="AT99" s="794">
        <f>((AT43)+(AT61)+(AT83))</f>
        <v/>
      </c>
      <c r="AU99" s="794">
        <f>((AU43)+(AU61)+(AU83))</f>
        <v/>
      </c>
      <c r="AV99" s="794">
        <f>((AV43)+(AV61)+(AV83))</f>
        <v/>
      </c>
      <c r="AW99" s="794">
        <f>((AW43)+(AW61)+(AW83))</f>
        <v/>
      </c>
      <c r="AX99" s="794">
        <f>((AX43)+(AX61)+(AX83))</f>
        <v/>
      </c>
      <c r="AY99" s="794">
        <f>((AY43)+(AY61)+(AY83))</f>
        <v/>
      </c>
      <c r="AZ99" s="726" t="n"/>
      <c r="BA99" s="794">
        <f>((BA43)+(BA61)+(BA83))</f>
        <v/>
      </c>
      <c r="BB99" s="794">
        <f>((BB43)+(BB61)+(BB83))</f>
        <v/>
      </c>
      <c r="BC99" s="794">
        <f>((BC43)+(BC61)+(BC83))</f>
        <v/>
      </c>
      <c r="BD99" s="794">
        <f>((BD43)+(BD61)+(BD83))</f>
        <v/>
      </c>
      <c r="BE99" s="794">
        <f>((BE43)+(BE61)+(BE83))</f>
        <v/>
      </c>
      <c r="BF99" s="794">
        <f>((BF43)+(BF61)+(BF83))</f>
        <v/>
      </c>
      <c r="BG99" s="794">
        <f>((BG43)+(BG61)+(BG83))</f>
        <v/>
      </c>
      <c r="BH99" s="794">
        <f>((BH43)+(BH61)+(BH83))</f>
        <v/>
      </c>
      <c r="BI99" s="794">
        <f>((BI43)+(BI61)+(BI83))</f>
        <v/>
      </c>
      <c r="BJ99" s="794">
        <f>((BJ43)+(BJ61)+(BJ83))</f>
        <v/>
      </c>
      <c r="BK99" s="794">
        <f>((BK43)+(BK61)+(BK83))</f>
        <v/>
      </c>
      <c r="BL99" s="794">
        <f>((BL43)+(BL61)+(BL83))</f>
        <v/>
      </c>
      <c r="BM99" s="794">
        <f>((BM43)+(BM61)+(BM83))</f>
        <v/>
      </c>
      <c r="BN99" s="726" t="n"/>
      <c r="BO99" s="794">
        <f>((BO43)+(BO61)+(BO83))</f>
        <v/>
      </c>
      <c r="BP99" s="794">
        <f>((BP43)+(BP61)+(BP83))</f>
        <v/>
      </c>
      <c r="BQ99" s="794">
        <f>((BQ43)+(BQ61)+(BQ83))</f>
        <v/>
      </c>
      <c r="BR99" s="794">
        <f>((BR43)+(BR61)+(BR83))</f>
        <v/>
      </c>
      <c r="BS99" s="794">
        <f>((BS43)+(BS61)+(BS83))</f>
        <v/>
      </c>
      <c r="BT99" s="794">
        <f>((BT43)+(BT61)+(BT83))</f>
        <v/>
      </c>
      <c r="BU99" s="794">
        <f>((BU43)+(BU61)+(BU83))</f>
        <v/>
      </c>
      <c r="BV99" s="794">
        <f>((BV43)+(BV61)+(BV83))</f>
        <v/>
      </c>
      <c r="BW99" s="794">
        <f>((BW43)+(BW61)+(BW83))</f>
        <v/>
      </c>
      <c r="BX99" s="794">
        <f>((BX43)+(BX61)+(BX83))</f>
        <v/>
      </c>
      <c r="BY99" s="794">
        <f>((BY43)+(BY61)+(BY83))</f>
        <v/>
      </c>
      <c r="BZ99" s="794">
        <f>((BZ43)+(BZ61)+(BZ83))</f>
        <v/>
      </c>
      <c r="CA99" s="794">
        <f>((CA43)+(CA61)+(CA83))</f>
        <v/>
      </c>
      <c r="CB99" s="726" t="n"/>
      <c r="CC99" s="794">
        <f>((CC43)+(CC61)+(CC83))</f>
        <v/>
      </c>
      <c r="CD99" s="794">
        <f>((CD43)+(CD61)+(CD83))</f>
        <v/>
      </c>
      <c r="CE99" s="794">
        <f>((CE43)+(CE61)+(CE83))</f>
        <v/>
      </c>
      <c r="CF99" s="794">
        <f>((CF43)+(CF61)+(CF83))</f>
        <v/>
      </c>
      <c r="CG99" s="794">
        <f>((CG43)+(CG61)+(CG83))</f>
        <v/>
      </c>
      <c r="CH99" s="794">
        <f>((CH43)+(CH61)+(CH83))</f>
        <v/>
      </c>
      <c r="CI99" s="794">
        <f>((CI43)+(CI61)+(CI83))</f>
        <v/>
      </c>
      <c r="CJ99" s="794">
        <f>((CJ43)+(CJ61)+(CJ83))</f>
        <v/>
      </c>
      <c r="CK99" s="794">
        <f>((CK43)+(CK61)+(CK83))</f>
        <v/>
      </c>
      <c r="CL99" s="794">
        <f>((CL43)+(CL61)+(CL83))</f>
        <v/>
      </c>
      <c r="CM99" s="794">
        <f>((CM43)+(CM61)+(CM83))</f>
        <v/>
      </c>
      <c r="CN99" s="794">
        <f>((CN43)+(CN61)+(CN83))</f>
        <v/>
      </c>
      <c r="CO99" s="794">
        <f>((CO43)+(CO61)+(CO83))</f>
        <v/>
      </c>
      <c r="CP99" s="726" t="n"/>
      <c r="CQ99" s="794">
        <f>((CQ43)+(CQ61)+(CQ83))</f>
        <v/>
      </c>
      <c r="CR99" s="794">
        <f>((CR43)+(CR61)+(CR83))</f>
        <v/>
      </c>
      <c r="CS99" s="794">
        <f>((CS43)+(CS61)+(CS83))</f>
        <v/>
      </c>
      <c r="CT99" s="794">
        <f>((CT43)+(CT61)+(CT83))</f>
        <v/>
      </c>
      <c r="CU99" s="794">
        <f>((CU43)+(CU61)+(CU83))</f>
        <v/>
      </c>
      <c r="CV99" s="794">
        <f>((CV43)+(CV61)+(CV83))</f>
        <v/>
      </c>
      <c r="CW99" s="794">
        <f>((CW43)+(CW61)+(CW83))</f>
        <v/>
      </c>
      <c r="CX99" s="794">
        <f>((CX43)+(CX61)+(CX83))</f>
        <v/>
      </c>
      <c r="CY99" s="794">
        <f>((CY43)+(CY61)+(CY83))</f>
        <v/>
      </c>
      <c r="CZ99" s="794">
        <f>((CZ43)+(CZ61)+(CZ83))</f>
        <v/>
      </c>
      <c r="DA99" s="794">
        <f>((DA43)+(DA61)+(DA83))</f>
        <v/>
      </c>
      <c r="DB99" s="794">
        <f>((DB43)+(DB61)+(DB83))</f>
        <v/>
      </c>
      <c r="DC99" s="794">
        <f>((DC43)+(DC61)+(DC83))</f>
        <v/>
      </c>
    </row>
    <row r="100" ht="1" customHeight="1" s="1883">
      <c r="B100" s="726" t="n"/>
      <c r="C100" s="726" t="n"/>
      <c r="D100" s="726" t="n"/>
      <c r="E100" s="726" t="n"/>
      <c r="F100" s="726" t="n"/>
      <c r="G100" s="726" t="n"/>
      <c r="H100" s="726" t="n"/>
      <c r="I100" s="726" t="n"/>
      <c r="J100" s="726" t="n"/>
      <c r="K100" s="726" t="n"/>
      <c r="L100" s="726" t="n"/>
      <c r="M100" s="726" t="n"/>
      <c r="N100" s="726" t="n"/>
      <c r="O100" s="726" t="n"/>
      <c r="P100" s="726" t="n"/>
      <c r="Q100" s="726" t="n"/>
      <c r="R100" s="726" t="n"/>
      <c r="S100" s="726" t="n"/>
      <c r="T100" s="726" t="n"/>
      <c r="U100" s="726" t="n"/>
      <c r="V100" s="726" t="n"/>
      <c r="W100" s="726" t="n"/>
      <c r="X100" s="726" t="n"/>
      <c r="Y100" s="734" t="n"/>
      <c r="Z100" s="734" t="n"/>
      <c r="AA100" s="734" t="n"/>
      <c r="AB100" s="734" t="n"/>
      <c r="AC100" s="734" t="n"/>
      <c r="AD100" s="734" t="n"/>
      <c r="AE100" s="734" t="n"/>
      <c r="AF100" s="734" t="n"/>
      <c r="AG100" s="734" t="n"/>
      <c r="AH100" s="734" t="n"/>
      <c r="AI100" s="734" t="n"/>
      <c r="AJ100" s="734" t="n"/>
      <c r="AK100" s="734" t="n"/>
      <c r="AL100" s="726" t="n"/>
      <c r="AM100" s="734" t="n"/>
      <c r="AN100" s="734" t="n"/>
      <c r="AO100" s="734" t="n"/>
      <c r="AP100" s="734" t="n"/>
      <c r="AQ100" s="734" t="n"/>
      <c r="AR100" s="734" t="n"/>
      <c r="AS100" s="734" t="n"/>
      <c r="AT100" s="734" t="n"/>
      <c r="AU100" s="734" t="n"/>
      <c r="AV100" s="734" t="n"/>
      <c r="AW100" s="734" t="n"/>
      <c r="AX100" s="734" t="n"/>
      <c r="AY100" s="734" t="n"/>
      <c r="AZ100" s="726" t="n"/>
      <c r="BA100" s="734" t="n"/>
      <c r="BB100" s="734" t="n"/>
      <c r="BC100" s="734" t="n"/>
      <c r="BD100" s="734" t="n"/>
      <c r="BE100" s="734" t="n"/>
      <c r="BF100" s="734" t="n"/>
      <c r="BG100" s="734" t="n"/>
      <c r="BH100" s="734" t="n"/>
      <c r="BI100" s="734" t="n"/>
      <c r="BJ100" s="734" t="n"/>
      <c r="BK100" s="734" t="n"/>
      <c r="BL100" s="734" t="n"/>
      <c r="BM100" s="734" t="n"/>
      <c r="BN100" s="726" t="n"/>
      <c r="BO100" s="734" t="n"/>
      <c r="BP100" s="734" t="n"/>
      <c r="BQ100" s="734" t="n"/>
      <c r="BR100" s="734" t="n"/>
      <c r="BS100" s="734" t="n"/>
      <c r="BT100" s="734" t="n"/>
      <c r="BU100" s="734" t="n"/>
      <c r="BV100" s="734" t="n"/>
      <c r="BW100" s="734" t="n"/>
      <c r="BX100" s="734" t="n"/>
      <c r="BY100" s="734" t="n"/>
      <c r="BZ100" s="734" t="n"/>
      <c r="CA100" s="734" t="n"/>
      <c r="CB100" s="726" t="n"/>
      <c r="CC100" s="734" t="n"/>
      <c r="CD100" s="734" t="n"/>
      <c r="CE100" s="734" t="n"/>
      <c r="CF100" s="734" t="n"/>
      <c r="CG100" s="734" t="n"/>
      <c r="CH100" s="734" t="n"/>
      <c r="CI100" s="734" t="n"/>
      <c r="CJ100" s="734" t="n"/>
      <c r="CK100" s="734" t="n"/>
      <c r="CL100" s="734" t="n"/>
      <c r="CM100" s="734" t="n"/>
      <c r="CN100" s="734" t="n"/>
      <c r="CO100" s="734" t="n"/>
      <c r="CP100" s="726" t="n"/>
      <c r="CQ100" s="734" t="n"/>
      <c r="CR100" s="734" t="n"/>
      <c r="CS100" s="734" t="n"/>
      <c r="CT100" s="734" t="n"/>
      <c r="CU100" s="734" t="n"/>
      <c r="CV100" s="734" t="n"/>
      <c r="CW100" s="734" t="n"/>
      <c r="CX100" s="734" t="n"/>
      <c r="CY100" s="734" t="n"/>
      <c r="CZ100" s="734" t="n"/>
      <c r="DA100" s="734" t="n"/>
      <c r="DB100" s="734" t="n"/>
      <c r="DC100" s="734" t="n"/>
    </row>
    <row r="101" ht="3" customHeight="1" s="1883">
      <c r="B101" s="726" t="n"/>
      <c r="C101" s="726" t="n"/>
      <c r="D101" s="726" t="n"/>
      <c r="E101" s="726" t="n"/>
      <c r="F101" s="726" t="n"/>
      <c r="G101" s="726" t="n"/>
      <c r="H101" s="726" t="n"/>
      <c r="I101" s="726" t="n"/>
      <c r="J101" s="726" t="n"/>
      <c r="K101" s="726" t="n"/>
      <c r="L101" s="726" t="n"/>
      <c r="M101" s="726" t="n"/>
      <c r="N101" s="726" t="n"/>
      <c r="O101" s="726" t="n"/>
      <c r="P101" s="726" t="n"/>
      <c r="Q101" s="726" t="n"/>
      <c r="R101" s="726" t="n"/>
      <c r="S101" s="726" t="n"/>
      <c r="T101" s="726" t="n"/>
      <c r="U101" s="726" t="n"/>
      <c r="V101" s="726" t="n"/>
      <c r="W101" s="726" t="n"/>
      <c r="X101" s="726" t="n"/>
      <c r="Y101" s="726" t="n"/>
      <c r="Z101" s="726" t="n"/>
      <c r="AA101" s="726" t="n"/>
      <c r="AB101" s="726" t="n"/>
      <c r="AC101" s="726" t="n"/>
      <c r="AD101" s="726" t="n"/>
      <c r="AE101" s="726" t="n"/>
      <c r="AF101" s="726" t="n"/>
      <c r="AG101" s="726" t="n"/>
      <c r="AH101" s="726" t="n"/>
      <c r="AI101" s="726" t="n"/>
      <c r="AJ101" s="726" t="n"/>
      <c r="AK101" s="726" t="n"/>
      <c r="AL101" s="726" t="n"/>
      <c r="AM101" s="726" t="n"/>
      <c r="AN101" s="726" t="n"/>
      <c r="AO101" s="726" t="n"/>
      <c r="AP101" s="726" t="n"/>
      <c r="AQ101" s="726" t="n"/>
      <c r="AR101" s="726" t="n"/>
      <c r="AS101" s="726" t="n"/>
      <c r="AT101" s="726" t="n"/>
      <c r="AU101" s="726" t="n"/>
      <c r="AV101" s="726" t="n"/>
      <c r="AW101" s="726" t="n"/>
      <c r="AX101" s="726" t="n"/>
      <c r="AY101" s="726" t="n"/>
      <c r="AZ101" s="726" t="n"/>
      <c r="BA101" s="726" t="n"/>
      <c r="BB101" s="726" t="n"/>
      <c r="BC101" s="726" t="n"/>
      <c r="BD101" s="726" t="n"/>
      <c r="BE101" s="726" t="n"/>
      <c r="BF101" s="726" t="n"/>
      <c r="BG101" s="726" t="n"/>
      <c r="BH101" s="726" t="n"/>
      <c r="BI101" s="726" t="n"/>
      <c r="BJ101" s="726" t="n"/>
      <c r="BK101" s="726" t="n"/>
      <c r="BL101" s="726" t="n"/>
      <c r="BM101" s="726" t="n"/>
      <c r="BN101" s="726" t="n"/>
      <c r="BO101" s="726" t="n"/>
      <c r="BP101" s="726" t="n"/>
      <c r="BQ101" s="726" t="n"/>
      <c r="BR101" s="726" t="n"/>
      <c r="BS101" s="726" t="n"/>
      <c r="BT101" s="726" t="n"/>
      <c r="BU101" s="726" t="n"/>
      <c r="BV101" s="726" t="n"/>
      <c r="BW101" s="726" t="n"/>
      <c r="BX101" s="726" t="n"/>
      <c r="BY101" s="726" t="n"/>
      <c r="BZ101" s="726" t="n"/>
      <c r="CA101" s="726" t="n"/>
      <c r="CB101" s="726" t="n"/>
      <c r="CC101" s="726" t="n"/>
      <c r="CD101" s="726" t="n"/>
      <c r="CE101" s="726" t="n"/>
      <c r="CF101" s="726" t="n"/>
      <c r="CG101" s="726" t="n"/>
      <c r="CH101" s="726" t="n"/>
      <c r="CI101" s="726" t="n"/>
      <c r="CJ101" s="726" t="n"/>
      <c r="CK101" s="726" t="n"/>
      <c r="CL101" s="726" t="n"/>
      <c r="CM101" s="726" t="n"/>
      <c r="CN101" s="726" t="n"/>
      <c r="CO101" s="726" t="n"/>
      <c r="CP101" s="726" t="n"/>
      <c r="CQ101" s="726" t="n"/>
      <c r="CR101" s="726" t="n"/>
      <c r="CS101" s="726" t="n"/>
      <c r="CT101" s="726" t="n"/>
      <c r="CU101" s="726" t="n"/>
      <c r="CV101" s="726" t="n"/>
      <c r="CW101" s="726" t="n"/>
      <c r="CX101" s="726" t="n"/>
      <c r="CY101" s="726" t="n"/>
      <c r="CZ101" s="726" t="n"/>
      <c r="DA101" s="726" t="n"/>
      <c r="DB101" s="726" t="n"/>
      <c r="DC101" s="726" t="n"/>
    </row>
    <row r="102" ht="15" customHeight="1" s="1883">
      <c r="B102" s="726" t="n"/>
      <c r="C102" s="726" t="n"/>
      <c r="D102" s="733" t="inlineStr">
        <is>
          <t>Total, CONUS + OCONUS</t>
        </is>
      </c>
      <c r="E102" s="726" t="n"/>
      <c r="F102" s="726" t="n"/>
      <c r="G102" s="726" t="n"/>
      <c r="H102" s="726" t="n"/>
      <c r="I102" s="726" t="n"/>
      <c r="J102" s="726" t="n"/>
      <c r="K102" s="726" t="n"/>
      <c r="L102" s="726" t="n"/>
      <c r="M102" s="726" t="n"/>
      <c r="N102" s="726" t="n"/>
      <c r="O102" s="726" t="n"/>
      <c r="P102" s="726" t="n"/>
      <c r="Q102" s="726" t="n"/>
      <c r="R102" s="726" t="n"/>
      <c r="S102" s="726" t="n"/>
      <c r="T102" s="726" t="n"/>
      <c r="U102" s="726" t="n"/>
      <c r="V102" s="726" t="n"/>
      <c r="W102" s="726" t="n"/>
      <c r="X102" s="726" t="n"/>
      <c r="Y102" s="765">
        <f>((Y97)+(Y99))</f>
        <v/>
      </c>
      <c r="Z102" s="765">
        <f>((Z97)+(Z99))</f>
        <v/>
      </c>
      <c r="AA102" s="765">
        <f>((AA97)+(AA99))</f>
        <v/>
      </c>
      <c r="AB102" s="765">
        <f>((AB97)+(AB99))</f>
        <v/>
      </c>
      <c r="AC102" s="765">
        <f>((AC97)+(AC99))</f>
        <v/>
      </c>
      <c r="AD102" s="765">
        <f>((AD97)+(AD99))</f>
        <v/>
      </c>
      <c r="AE102" s="765">
        <f>((AE97)+(AE99))</f>
        <v/>
      </c>
      <c r="AF102" s="765">
        <f>((AF97)+(AF99))</f>
        <v/>
      </c>
      <c r="AG102" s="765">
        <f>((AG97)+(AG99))</f>
        <v/>
      </c>
      <c r="AH102" s="765">
        <f>((AH97)+(AH99))</f>
        <v/>
      </c>
      <c r="AI102" s="765">
        <f>((AI97)+(AI99))</f>
        <v/>
      </c>
      <c r="AJ102" s="765">
        <f>((AJ97)+(AJ99))</f>
        <v/>
      </c>
      <c r="AK102" s="765">
        <f>((AK97)+(AK99))</f>
        <v/>
      </c>
      <c r="AL102" s="726" t="n"/>
      <c r="AM102" s="765">
        <f>((AM97)+(AM99))</f>
        <v/>
      </c>
      <c r="AN102" s="765">
        <f>((AN97)+(AN99))</f>
        <v/>
      </c>
      <c r="AO102" s="765">
        <f>((AO97)+(AO99))</f>
        <v/>
      </c>
      <c r="AP102" s="765">
        <f>((AP97)+(AP99))</f>
        <v/>
      </c>
      <c r="AQ102" s="765">
        <f>((AQ97)+(AQ99))</f>
        <v/>
      </c>
      <c r="AR102" s="765">
        <f>((AR97)+(AR99))</f>
        <v/>
      </c>
      <c r="AS102" s="765">
        <f>((AS97)+(AS99))</f>
        <v/>
      </c>
      <c r="AT102" s="765">
        <f>((AT97)+(AT99))</f>
        <v/>
      </c>
      <c r="AU102" s="765">
        <f>((AU97)+(AU99))</f>
        <v/>
      </c>
      <c r="AV102" s="765">
        <f>((AV97)+(AV99))</f>
        <v/>
      </c>
      <c r="AW102" s="765">
        <f>((AW97)+(AW99))</f>
        <v/>
      </c>
      <c r="AX102" s="765">
        <f>((AX97)+(AX99))</f>
        <v/>
      </c>
      <c r="AY102" s="765">
        <f>((AY97)+(AY99))</f>
        <v/>
      </c>
      <c r="AZ102" s="726" t="n"/>
      <c r="BA102" s="765">
        <f>((BA97)+(BA99))</f>
        <v/>
      </c>
      <c r="BB102" s="765">
        <f>((BB97)+(BB99))</f>
        <v/>
      </c>
      <c r="BC102" s="765">
        <f>((BC97)+(BC99))</f>
        <v/>
      </c>
      <c r="BD102" s="765">
        <f>((BD97)+(BD99))</f>
        <v/>
      </c>
      <c r="BE102" s="765">
        <f>((BE97)+(BE99))</f>
        <v/>
      </c>
      <c r="BF102" s="765">
        <f>((BF97)+(BF99))</f>
        <v/>
      </c>
      <c r="BG102" s="765">
        <f>((BG97)+(BG99))</f>
        <v/>
      </c>
      <c r="BH102" s="765">
        <f>((BH97)+(BH99))</f>
        <v/>
      </c>
      <c r="BI102" s="765">
        <f>((BI97)+(BI99))</f>
        <v/>
      </c>
      <c r="BJ102" s="765">
        <f>((BJ97)+(BJ99))</f>
        <v/>
      </c>
      <c r="BK102" s="765">
        <f>((BK97)+(BK99))</f>
        <v/>
      </c>
      <c r="BL102" s="765">
        <f>((BL97)+(BL99))</f>
        <v/>
      </c>
      <c r="BM102" s="765">
        <f>((BM97)+(BM99))</f>
        <v/>
      </c>
      <c r="BN102" s="726" t="n"/>
      <c r="BO102" s="765">
        <f>((BO97)+(BO99))</f>
        <v/>
      </c>
      <c r="BP102" s="765">
        <f>((BP97)+(BP99))</f>
        <v/>
      </c>
      <c r="BQ102" s="765">
        <f>((BQ97)+(BQ99))</f>
        <v/>
      </c>
      <c r="BR102" s="765">
        <f>((BR97)+(BR99))</f>
        <v/>
      </c>
      <c r="BS102" s="765">
        <f>((BS97)+(BS99))</f>
        <v/>
      </c>
      <c r="BT102" s="765">
        <f>((BT97)+(BT99))</f>
        <v/>
      </c>
      <c r="BU102" s="765">
        <f>((BU97)+(BU99))</f>
        <v/>
      </c>
      <c r="BV102" s="765">
        <f>((BV97)+(BV99))</f>
        <v/>
      </c>
      <c r="BW102" s="765">
        <f>((BW97)+(BW99))</f>
        <v/>
      </c>
      <c r="BX102" s="765">
        <f>((BX97)+(BX99))</f>
        <v/>
      </c>
      <c r="BY102" s="765">
        <f>((BY97)+(BY99))</f>
        <v/>
      </c>
      <c r="BZ102" s="765">
        <f>((BZ97)+(BZ99))</f>
        <v/>
      </c>
      <c r="CA102" s="765">
        <f>((CA97)+(CA99))</f>
        <v/>
      </c>
      <c r="CB102" s="726" t="n"/>
      <c r="CC102" s="765">
        <f>((CC97)+(CC99))</f>
        <v/>
      </c>
      <c r="CD102" s="765">
        <f>((CD97)+(CD99))</f>
        <v/>
      </c>
      <c r="CE102" s="765">
        <f>((CE97)+(CE99))</f>
        <v/>
      </c>
      <c r="CF102" s="765">
        <f>((CF97)+(CF99))</f>
        <v/>
      </c>
      <c r="CG102" s="765">
        <f>((CG97)+(CG99))</f>
        <v/>
      </c>
      <c r="CH102" s="765">
        <f>((CH97)+(CH99))</f>
        <v/>
      </c>
      <c r="CI102" s="765">
        <f>((CI97)+(CI99))</f>
        <v/>
      </c>
      <c r="CJ102" s="765">
        <f>((CJ97)+(CJ99))</f>
        <v/>
      </c>
      <c r="CK102" s="765">
        <f>((CK97)+(CK99))</f>
        <v/>
      </c>
      <c r="CL102" s="765">
        <f>((CL97)+(CL99))</f>
        <v/>
      </c>
      <c r="CM102" s="765">
        <f>((CM97)+(CM99))</f>
        <v/>
      </c>
      <c r="CN102" s="765">
        <f>((CN97)+(CN99))</f>
        <v/>
      </c>
      <c r="CO102" s="765">
        <f>((CO97)+(CO99))</f>
        <v/>
      </c>
      <c r="CP102" s="726" t="n"/>
      <c r="CQ102" s="765">
        <f>((CQ97)+(CQ99))</f>
        <v/>
      </c>
      <c r="CR102" s="765">
        <f>((CR97)+(CR99))</f>
        <v/>
      </c>
      <c r="CS102" s="765">
        <f>((CS97)+(CS99))</f>
        <v/>
      </c>
      <c r="CT102" s="765">
        <f>((CT97)+(CT99))</f>
        <v/>
      </c>
      <c r="CU102" s="765">
        <f>((CU97)+(CU99))</f>
        <v/>
      </c>
      <c r="CV102" s="765">
        <f>((CV97)+(CV99))</f>
        <v/>
      </c>
      <c r="CW102" s="765">
        <f>((CW97)+(CW99))</f>
        <v/>
      </c>
      <c r="CX102" s="765">
        <f>((CX97)+(CX99))</f>
        <v/>
      </c>
      <c r="CY102" s="765">
        <f>((CY97)+(CY99))</f>
        <v/>
      </c>
      <c r="CZ102" s="765">
        <f>((CZ97)+(CZ99))</f>
        <v/>
      </c>
      <c r="DA102" s="765">
        <f>((DA97)+(DA99))</f>
        <v/>
      </c>
      <c r="DB102" s="765">
        <f>((DB97)+(DB99))</f>
        <v/>
      </c>
      <c r="DC102" s="765">
        <f>((DC97)+(DC99))</f>
        <v/>
      </c>
    </row>
    <row r="103" ht="15" customHeight="1" s="1883">
      <c r="B103" s="726" t="n"/>
      <c r="C103" s="726" t="n"/>
      <c r="D103" s="726" t="n"/>
      <c r="E103" s="726" t="n"/>
      <c r="F103" s="726" t="n"/>
      <c r="G103" s="726" t="n"/>
      <c r="H103" s="726" t="n"/>
      <c r="I103" s="726" t="n"/>
      <c r="J103" s="726" t="n"/>
      <c r="K103" s="726" t="n"/>
      <c r="L103" s="726" t="n"/>
      <c r="M103" s="726" t="n"/>
      <c r="N103" s="726" t="n"/>
      <c r="O103" s="726" t="n"/>
      <c r="P103" s="726" t="n"/>
      <c r="Q103" s="726" t="n"/>
      <c r="R103" s="726" t="n"/>
      <c r="S103" s="726" t="n"/>
      <c r="T103" s="726" t="n"/>
      <c r="U103" s="726" t="n"/>
      <c r="V103" s="726" t="n"/>
      <c r="W103" s="726" t="n"/>
      <c r="X103" s="726" t="n"/>
      <c r="Y103" s="726" t="n"/>
      <c r="Z103" s="726" t="n"/>
      <c r="AA103" s="726" t="n"/>
      <c r="AB103" s="726" t="n"/>
      <c r="AC103" s="726" t="n"/>
      <c r="AD103" s="726" t="n"/>
      <c r="AE103" s="726" t="n"/>
      <c r="AF103" s="726" t="n"/>
      <c r="AG103" s="726" t="n"/>
      <c r="AH103" s="726" t="n"/>
      <c r="AI103" s="726" t="n"/>
      <c r="AJ103" s="726" t="n"/>
      <c r="AK103" s="726" t="n"/>
      <c r="AL103" s="726" t="n"/>
      <c r="AM103" s="726" t="n"/>
      <c r="AN103" s="726" t="n"/>
      <c r="AO103" s="726" t="n"/>
      <c r="AP103" s="726" t="n"/>
      <c r="AQ103" s="726" t="n"/>
      <c r="AR103" s="726" t="n"/>
      <c r="AS103" s="726" t="n"/>
      <c r="AT103" s="726" t="n"/>
      <c r="AU103" s="726" t="n"/>
      <c r="AV103" s="726" t="n"/>
      <c r="AW103" s="726" t="n"/>
      <c r="AX103" s="726" t="n"/>
      <c r="AY103" s="726" t="n"/>
      <c r="AZ103" s="726" t="n"/>
      <c r="BA103" s="726" t="n"/>
      <c r="BB103" s="726" t="n"/>
      <c r="BC103" s="726" t="n"/>
      <c r="BD103" s="726" t="n"/>
      <c r="BE103" s="726" t="n"/>
      <c r="BF103" s="726" t="n"/>
      <c r="BG103" s="726" t="n"/>
      <c r="BH103" s="726" t="n"/>
      <c r="BI103" s="726" t="n"/>
      <c r="BJ103" s="726" t="n"/>
      <c r="BK103" s="726" t="n"/>
      <c r="BL103" s="726" t="n"/>
      <c r="BM103" s="726" t="n"/>
      <c r="BN103" s="726" t="n"/>
      <c r="BO103" s="726" t="n"/>
      <c r="BP103" s="726" t="n"/>
      <c r="BQ103" s="726" t="n"/>
      <c r="BR103" s="726" t="n"/>
      <c r="BS103" s="726" t="n"/>
      <c r="BT103" s="726" t="n"/>
      <c r="BU103" s="726" t="n"/>
      <c r="BV103" s="726" t="n"/>
      <c r="BW103" s="726" t="n"/>
      <c r="BX103" s="726" t="n"/>
      <c r="BY103" s="726" t="n"/>
      <c r="BZ103" s="726" t="n"/>
      <c r="CA103" s="726" t="n"/>
      <c r="CB103" s="726" t="n"/>
      <c r="CC103" s="726" t="n"/>
      <c r="CD103" s="726" t="n"/>
      <c r="CE103" s="726" t="n"/>
      <c r="CF103" s="726" t="n"/>
      <c r="CG103" s="726" t="n"/>
      <c r="CH103" s="726" t="n"/>
      <c r="CI103" s="726" t="n"/>
      <c r="CJ103" s="726" t="n"/>
      <c r="CK103" s="726" t="n"/>
      <c r="CL103" s="726" t="n"/>
      <c r="CM103" s="726" t="n"/>
      <c r="CN103" s="726" t="n"/>
      <c r="CO103" s="726" t="n"/>
      <c r="CP103" s="726" t="n"/>
      <c r="CQ103" s="726" t="n"/>
      <c r="CR103" s="726" t="n"/>
      <c r="CS103" s="726" t="n"/>
      <c r="CT103" s="726" t="n"/>
      <c r="CU103" s="726" t="n"/>
      <c r="CV103" s="726" t="n"/>
      <c r="CW103" s="726" t="n"/>
      <c r="CX103" s="726" t="n"/>
      <c r="CY103" s="726" t="n"/>
      <c r="CZ103" s="726" t="n"/>
      <c r="DA103" s="726" t="n"/>
      <c r="DB103" s="726" t="n"/>
      <c r="DC103" s="726" t="n"/>
    </row>
    <row r="104" ht="15" customHeight="1" s="1883">
      <c r="B104" s="726" t="n"/>
      <c r="C104" s="726" t="n"/>
      <c r="D104" s="733" t="inlineStr">
        <is>
          <t>Check</t>
        </is>
      </c>
      <c r="E104" s="726" t="n"/>
      <c r="F104" s="726" t="n"/>
      <c r="G104" s="726" t="n"/>
      <c r="H104" s="726" t="n"/>
      <c r="I104" s="726" t="n"/>
      <c r="J104" s="726" t="n"/>
      <c r="K104" s="726" t="n"/>
      <c r="L104" s="726" t="n"/>
      <c r="M104" s="726" t="n"/>
      <c r="N104" s="726" t="n"/>
      <c r="O104" s="726" t="n"/>
      <c r="P104" s="726" t="n"/>
      <c r="Q104" s="726" t="n"/>
      <c r="R104" s="726" t="n"/>
      <c r="S104" s="726" t="n"/>
      <c r="T104" s="726" t="n"/>
      <c r="U104" s="726" t="n"/>
      <c r="V104" s="726" t="n"/>
      <c r="W104" s="726" t="n"/>
      <c r="X104" s="726" t="n"/>
      <c r="Y104" s="765">
        <f>((Y47)+(Y66)+(Y88))</f>
        <v/>
      </c>
      <c r="Z104" s="765">
        <f>((Z47)+(Z66)+(Z88))</f>
        <v/>
      </c>
      <c r="AA104" s="765">
        <f>((AA47)+(AA66)+(AA88))</f>
        <v/>
      </c>
      <c r="AB104" s="765">
        <f>((AB47)+(AB66)+(AB88))</f>
        <v/>
      </c>
      <c r="AC104" s="765">
        <f>((AC47)+(AC66)+(AC88))</f>
        <v/>
      </c>
      <c r="AD104" s="765">
        <f>((AD47)+(AD66)+(AD88))</f>
        <v/>
      </c>
      <c r="AE104" s="765">
        <f>((AE47)+(AE66)+(AE88))</f>
        <v/>
      </c>
      <c r="AF104" s="765">
        <f>((AF47)+(AF66)+(AF88))</f>
        <v/>
      </c>
      <c r="AG104" s="765">
        <f>((AG47)+(AG66)+(AG88))</f>
        <v/>
      </c>
      <c r="AH104" s="765">
        <f>((AH47)+(AH66)+(AH88))</f>
        <v/>
      </c>
      <c r="AI104" s="765">
        <f>((AI47)+(AI66)+(AI88))</f>
        <v/>
      </c>
      <c r="AJ104" s="765">
        <f>((AJ47)+(AJ66)+(AJ88))</f>
        <v/>
      </c>
      <c r="AK104" s="765">
        <f>((AK47)+(AK66)+(AK88))</f>
        <v/>
      </c>
      <c r="AL104" s="726" t="n"/>
      <c r="AM104" s="765">
        <f>((AM47)+(AM66)+(AM88))</f>
        <v/>
      </c>
      <c r="AN104" s="765">
        <f>((AN47)+(AN66)+(AN88))</f>
        <v/>
      </c>
      <c r="AO104" s="765">
        <f>((AO47)+(AO66)+(AO88))</f>
        <v/>
      </c>
      <c r="AP104" s="765">
        <f>((AP47)+(AP66)+(AP88))</f>
        <v/>
      </c>
      <c r="AQ104" s="765">
        <f>((AQ47)+(AQ66)+(AQ88))</f>
        <v/>
      </c>
      <c r="AR104" s="765">
        <f>((AR47)+(AR66)+(AR88))</f>
        <v/>
      </c>
      <c r="AS104" s="765">
        <f>((AS47)+(AS66)+(AS88))</f>
        <v/>
      </c>
      <c r="AT104" s="765">
        <f>((AT47)+(AT66)+(AT88))</f>
        <v/>
      </c>
      <c r="AU104" s="765">
        <f>((AU47)+(AU66)+(AU88))</f>
        <v/>
      </c>
      <c r="AV104" s="765">
        <f>((AV47)+(AV66)+(AV88))</f>
        <v/>
      </c>
      <c r="AW104" s="765">
        <f>((AW47)+(AW66)+(AW88))</f>
        <v/>
      </c>
      <c r="AX104" s="765">
        <f>((AX47)+(AX66)+(AX88))</f>
        <v/>
      </c>
      <c r="AY104" s="765">
        <f>((AY47)+(AY66)+(AY88))</f>
        <v/>
      </c>
      <c r="AZ104" s="726" t="n"/>
      <c r="BA104" s="765">
        <f>((BA47)+(BA66)+(BA88))</f>
        <v/>
      </c>
      <c r="BB104" s="765">
        <f>((BB47)+(BB66)+(BB88))</f>
        <v/>
      </c>
      <c r="BC104" s="765">
        <f>((BC47)+(BC66)+(BC88))</f>
        <v/>
      </c>
      <c r="BD104" s="765">
        <f>((BD47)+(BD66)+(BD88))</f>
        <v/>
      </c>
      <c r="BE104" s="765">
        <f>((BE47)+(BE66)+(BE88))</f>
        <v/>
      </c>
      <c r="BF104" s="765">
        <f>((BF47)+(BF66)+(BF88))</f>
        <v/>
      </c>
      <c r="BG104" s="765">
        <f>((BG47)+(BG66)+(BG88))</f>
        <v/>
      </c>
      <c r="BH104" s="765">
        <f>((BH47)+(BH66)+(BH88))</f>
        <v/>
      </c>
      <c r="BI104" s="765">
        <f>((BI47)+(BI66)+(BI88))</f>
        <v/>
      </c>
      <c r="BJ104" s="765">
        <f>((BJ47)+(BJ66)+(BJ88))</f>
        <v/>
      </c>
      <c r="BK104" s="765">
        <f>((BK47)+(BK66)+(BK88))</f>
        <v/>
      </c>
      <c r="BL104" s="765">
        <f>((BL47)+(BL66)+(BL88))</f>
        <v/>
      </c>
      <c r="BM104" s="765">
        <f>((BM47)+(BM66)+(BM88))</f>
        <v/>
      </c>
      <c r="BN104" s="726" t="n"/>
      <c r="BO104" s="765">
        <f>((BO47)+(BO66)+(BO88))</f>
        <v/>
      </c>
      <c r="BP104" s="765">
        <f>((BP47)+(BP66)+(BP88))</f>
        <v/>
      </c>
      <c r="BQ104" s="765">
        <f>((BQ47)+(BQ66)+(BQ88))</f>
        <v/>
      </c>
      <c r="BR104" s="765">
        <f>((BR47)+(BR66)+(BR88))</f>
        <v/>
      </c>
      <c r="BS104" s="765">
        <f>((BS47)+(BS66)+(BS88))</f>
        <v/>
      </c>
      <c r="BT104" s="765">
        <f>((BT47)+(BT66)+(BT88))</f>
        <v/>
      </c>
      <c r="BU104" s="765">
        <f>((BU47)+(BU66)+(BU88))</f>
        <v/>
      </c>
      <c r="BV104" s="765">
        <f>((BV47)+(BV66)+(BV88))</f>
        <v/>
      </c>
      <c r="BW104" s="765">
        <f>((BW47)+(BW66)+(BW88))</f>
        <v/>
      </c>
      <c r="BX104" s="765">
        <f>((BX47)+(BX66)+(BX88))</f>
        <v/>
      </c>
      <c r="BY104" s="765">
        <f>((BY47)+(BY66)+(BY88))</f>
        <v/>
      </c>
      <c r="BZ104" s="765">
        <f>((BZ47)+(BZ66)+(BZ88))</f>
        <v/>
      </c>
      <c r="CA104" s="765">
        <f>((CA47)+(CA66)+(CA88))</f>
        <v/>
      </c>
      <c r="CB104" s="726" t="n"/>
      <c r="CC104" s="765">
        <f>((CC47)+(CC66)+(CC88))</f>
        <v/>
      </c>
      <c r="CD104" s="765">
        <f>((CD47)+(CD66)+(CD88))</f>
        <v/>
      </c>
      <c r="CE104" s="765">
        <f>((CE47)+(CE66)+(CE88))</f>
        <v/>
      </c>
      <c r="CF104" s="765">
        <f>((CF47)+(CF66)+(CF88))</f>
        <v/>
      </c>
      <c r="CG104" s="765">
        <f>((CG47)+(CG66)+(CG88))</f>
        <v/>
      </c>
      <c r="CH104" s="765">
        <f>((CH47)+(CH66)+(CH88))</f>
        <v/>
      </c>
      <c r="CI104" s="765">
        <f>((CI47)+(CI66)+(CI88))</f>
        <v/>
      </c>
      <c r="CJ104" s="765">
        <f>((CJ47)+(CJ66)+(CJ88))</f>
        <v/>
      </c>
      <c r="CK104" s="765">
        <f>((CK47)+(CK66)+(CK88))</f>
        <v/>
      </c>
      <c r="CL104" s="765">
        <f>((CL47)+(CL66)+(CL88))</f>
        <v/>
      </c>
      <c r="CM104" s="765">
        <f>((CM47)+(CM66)+(CM88))</f>
        <v/>
      </c>
      <c r="CN104" s="765">
        <f>((CN47)+(CN66)+(CN88))</f>
        <v/>
      </c>
      <c r="CO104" s="765">
        <f>((CO47)+(CO66)+(CO88))</f>
        <v/>
      </c>
      <c r="CP104" s="726" t="n"/>
      <c r="CQ104" s="765">
        <f>((CQ47)+(CQ66)+(CQ88))</f>
        <v/>
      </c>
      <c r="CR104" s="765">
        <f>((CR47)+(CR66)+(CR88))</f>
        <v/>
      </c>
      <c r="CS104" s="765">
        <f>((CS47)+(CS66)+(CS88))</f>
        <v/>
      </c>
      <c r="CT104" s="765">
        <f>((CT47)+(CT66)+(CT88))</f>
        <v/>
      </c>
      <c r="CU104" s="765">
        <f>((CU47)+(CU66)+(CU88))</f>
        <v/>
      </c>
      <c r="CV104" s="765">
        <f>((CV47)+(CV66)+(CV88))</f>
        <v/>
      </c>
      <c r="CW104" s="765">
        <f>((CW47)+(CW66)+(CW88))</f>
        <v/>
      </c>
      <c r="CX104" s="765">
        <f>((CX47)+(CX66)+(CX88))</f>
        <v/>
      </c>
      <c r="CY104" s="765">
        <f>((CY47)+(CY66)+(CY88))</f>
        <v/>
      </c>
      <c r="CZ104" s="765">
        <f>((CZ47)+(CZ66)+(CZ88))</f>
        <v/>
      </c>
      <c r="DA104" s="765">
        <f>((DA47)+(DA66)+(DA88))</f>
        <v/>
      </c>
      <c r="DB104" s="765">
        <f>((DB47)+(DB66)+(DB88))</f>
        <v/>
      </c>
      <c r="DC104" s="765">
        <f>((DC47)+(DC66)+(DC88))</f>
        <v/>
      </c>
    </row>
  </sheetData>
  <mergeCells count="6">
    <mergeCell ref="BO11:CA11"/>
    <mergeCell ref="BA11:BM11"/>
    <mergeCell ref="CC11:CO11"/>
    <mergeCell ref="CQ11:DC11"/>
    <mergeCell ref="AB11:AK11"/>
    <mergeCell ref="AM11:AY11"/>
  </mergeCells>
  <pageMargins left="0.7" right="0.7" top="0.75" bottom="0.75" header="0.3" footer="0.3"/>
  <pageSetup orientation="portrait" horizontalDpi="0" verticalDpi="0"/>
  <drawing xmlns:r="http://schemas.openxmlformats.org/officeDocument/2006/relationships" r:id="rId1"/>
</worksheet>
</file>

<file path=xl/worksheets/sheet16.xml><?xml version="1.0" encoding="utf-8"?>
<worksheet xmlns="http://schemas.openxmlformats.org/spreadsheetml/2006/main">
  <sheetPr>
    <tabColor rgb="FFCCFFCC"/>
    <outlinePr summaryBelow="1" summaryRight="1"/>
    <pageSetUpPr/>
  </sheetPr>
  <dimension ref="A2:DG184"/>
  <sheetViews>
    <sheetView zoomScaleNormal="100" workbookViewId="0">
      <pane xSplit="8" ySplit="22" topLeftCell="I23" activePane="bottomRight" state="frozen"/>
      <selection pane="topRight" activeCell="I1" sqref="I1"/>
      <selection pane="bottomLeft" activeCell="A23" sqref="A23"/>
      <selection pane="bottomRight" activeCell="X4" sqref="X4"/>
    </sheetView>
  </sheetViews>
  <sheetFormatPr baseColWidth="10" defaultColWidth="8.6640625" defaultRowHeight="13"/>
  <cols>
    <col width="2.6640625" customWidth="1" style="1883" min="1" max="1"/>
    <col width="4.6640625" customWidth="1" style="1883" min="2" max="2"/>
    <col width="0.6640625" customWidth="1" style="1883" min="3" max="3"/>
    <col width="2.6640625" customWidth="1" style="1883" min="4" max="7"/>
    <col width="15.6640625" customWidth="1" style="1883" min="8" max="8"/>
    <col width="45.6640625" customWidth="1" style="1883" min="9" max="9"/>
    <col width="15.6640625" customWidth="1" style="1883" min="10" max="10"/>
    <col width="1.5" customWidth="1" style="1883" min="11" max="11"/>
    <col width="11.33203125" customWidth="1" style="1883" min="12" max="12"/>
    <col width="12.6640625" customWidth="1" style="1883" min="13" max="13"/>
    <col width="1.6640625" customWidth="1" style="1883" min="14" max="14"/>
    <col width="12.6640625" customWidth="1" style="1883" min="15" max="20"/>
    <col width="1.6640625" customWidth="1" style="1883" min="21" max="21"/>
    <col width="15.6640625" customWidth="1" style="1883" min="22" max="27"/>
    <col width="2.6640625" customWidth="1" style="1883" min="28" max="28"/>
    <col width="15.6640625" customWidth="1" style="1883" min="29" max="41"/>
    <col width="1.5" customWidth="1" style="1883" min="42" max="42"/>
    <col width="15.6640625" customWidth="1" style="1883" min="43" max="55"/>
    <col width="1.5" customWidth="1" style="1883" min="56" max="56"/>
    <col width="15.6640625" customWidth="1" style="1883" min="57" max="69"/>
    <col width="1.6640625" customWidth="1" style="1883" min="70" max="70"/>
    <col width="15.6640625" customWidth="1" style="1883" min="71" max="83"/>
    <col width="1.6640625" customWidth="1" style="1883" min="84" max="84"/>
    <col width="15.6640625" customWidth="1" style="1883" min="85" max="97"/>
    <col width="1.6640625" customWidth="1" style="1883" min="98" max="98"/>
    <col width="15.6640625" customWidth="1" style="1883" min="99" max="111"/>
    <col width="2.6640625" customWidth="1" style="1883" min="112" max="112"/>
    <col width="15.6640625" customWidth="1" style="1883" min="113" max="134"/>
  </cols>
  <sheetData>
    <row r="2" ht="15" customHeight="1" s="1883">
      <c r="B2" s="385" t="inlineStr">
        <is>
          <t>PURE TECHNOLOGY</t>
        </is>
      </c>
      <c r="C2" s="726" t="n"/>
    </row>
    <row r="3" ht="4.5" customHeight="1" s="1883">
      <c r="B3" s="383" t="n"/>
      <c r="C3" s="726" t="n"/>
    </row>
    <row r="4" ht="15" customHeight="1" s="1883">
      <c r="B4" s="423" t="inlineStr">
        <is>
          <t>MANAGEMENT HEADCOUNT AND SALARIES</t>
        </is>
      </c>
      <c r="C4" s="726" t="n"/>
    </row>
    <row r="5" ht="4.5" customHeight="1" s="1883">
      <c r="B5" s="422" t="n"/>
      <c r="C5" s="726" t="n"/>
    </row>
    <row r="6" ht="15" customHeight="1" s="1883">
      <c r="B6" s="423" t="inlineStr">
        <is>
          <t>BY MONTH, MONTHS 1 - 60</t>
        </is>
      </c>
      <c r="C6" s="726" t="n"/>
    </row>
    <row r="8" ht="3" customHeight="1" s="1883" thickBot="1">
      <c r="B8" s="1886" t="n"/>
      <c r="C8" s="1886" t="n"/>
      <c r="D8" s="1886" t="n"/>
      <c r="E8" s="1886" t="n"/>
      <c r="F8" s="1886" t="n"/>
      <c r="G8" s="1886" t="n"/>
      <c r="H8" s="1886" t="n"/>
      <c r="I8" s="1886" t="n"/>
    </row>
    <row r="9" ht="3" customHeight="1" s="1883" thickTop="1">
      <c r="B9" s="726" t="n"/>
      <c r="C9" s="726" t="n"/>
      <c r="D9" s="726" t="n"/>
      <c r="E9" s="726" t="n"/>
      <c r="F9" s="726" t="n"/>
      <c r="G9" s="726" t="n"/>
      <c r="H9" s="726" t="n"/>
      <c r="I9" s="726" t="n"/>
      <c r="J9" s="726" t="n"/>
      <c r="K9" s="726" t="n"/>
      <c r="L9" s="726" t="n"/>
      <c r="M9" s="726" t="n"/>
      <c r="N9" s="726" t="n"/>
      <c r="O9" s="726" t="n"/>
      <c r="P9" s="726" t="n"/>
      <c r="Q9" s="726" t="n"/>
      <c r="R9" s="726" t="n"/>
      <c r="S9" s="726" t="n"/>
      <c r="T9" s="726" t="n"/>
      <c r="U9" s="726" t="n"/>
      <c r="V9" s="726" t="n"/>
      <c r="W9" s="726" t="n"/>
      <c r="X9" s="726" t="n"/>
      <c r="Y9" s="726" t="n"/>
      <c r="Z9" s="726" t="n"/>
      <c r="AA9" s="726" t="n"/>
      <c r="AB9" s="726" t="n"/>
      <c r="AC9" s="726" t="n"/>
      <c r="AD9" s="726" t="n"/>
      <c r="AE9" s="726" t="n"/>
      <c r="AF9" s="726" t="n"/>
      <c r="AG9" s="726" t="n"/>
      <c r="AH9" s="726" t="n"/>
      <c r="AI9" s="383" t="n"/>
      <c r="AJ9" s="383" t="n"/>
      <c r="AK9" s="383" t="n"/>
      <c r="AL9" s="383" t="n"/>
      <c r="AM9" s="383" t="n"/>
      <c r="AN9" s="383" t="n"/>
      <c r="AO9" s="383" t="n"/>
      <c r="AP9" s="383" t="n"/>
      <c r="AQ9" s="383" t="n"/>
      <c r="AR9" s="383" t="n"/>
      <c r="AS9" s="383" t="n"/>
      <c r="AT9" s="383" t="n"/>
      <c r="AU9" s="383" t="n"/>
      <c r="AV9" s="383" t="n"/>
      <c r="AW9" s="383" t="n"/>
      <c r="AX9" s="383" t="n"/>
      <c r="AY9" s="383" t="n"/>
      <c r="AZ9" s="383" t="n"/>
      <c r="BA9" s="383" t="n"/>
      <c r="BB9" s="383" t="n"/>
      <c r="BC9" s="383" t="n"/>
      <c r="BD9" s="383" t="n"/>
      <c r="BE9" s="383" t="n"/>
      <c r="BF9" s="383" t="n"/>
      <c r="BG9" s="383" t="n"/>
      <c r="BH9" s="383" t="n"/>
      <c r="BI9" s="383" t="n"/>
      <c r="BJ9" s="383" t="n"/>
      <c r="BK9" s="383" t="n"/>
      <c r="BL9" s="383" t="n"/>
      <c r="BM9" s="383" t="n"/>
      <c r="BN9" s="383" t="n"/>
      <c r="BO9" s="383" t="n"/>
    </row>
    <row r="10" ht="15" customHeight="1" s="1883">
      <c r="B10" s="726" t="n"/>
      <c r="C10" s="726" t="n"/>
      <c r="D10" s="726" t="n"/>
      <c r="E10" s="726" t="n"/>
      <c r="F10" s="726" t="n"/>
      <c r="G10" s="726" t="n"/>
      <c r="H10" s="726" t="n"/>
      <c r="I10" s="726" t="n"/>
      <c r="J10" s="726" t="n"/>
      <c r="K10" s="726" t="n"/>
      <c r="L10" s="726" t="n"/>
      <c r="M10" s="726" t="n"/>
      <c r="N10" s="726" t="n"/>
      <c r="O10" s="726" t="n"/>
      <c r="P10" s="726" t="n"/>
      <c r="Q10" s="726" t="n"/>
      <c r="R10" s="726" t="n"/>
      <c r="S10" s="726" t="n"/>
      <c r="T10" s="726" t="n"/>
      <c r="U10" s="726" t="n"/>
      <c r="V10" s="726" t="n"/>
      <c r="W10" s="726" t="n"/>
      <c r="X10" s="726" t="n"/>
      <c r="Y10" s="726" t="n"/>
      <c r="Z10" s="726" t="n"/>
      <c r="AA10" s="726" t="n"/>
      <c r="AB10" s="726" t="n"/>
      <c r="AC10" s="726" t="n"/>
      <c r="AD10" s="726" t="n"/>
      <c r="AE10" s="726" t="n"/>
      <c r="AF10" s="726" t="n"/>
      <c r="AG10" s="726" t="n"/>
      <c r="AH10" s="726" t="n"/>
      <c r="AI10" s="383" t="n"/>
      <c r="AJ10" s="383" t="n"/>
      <c r="AK10" s="383" t="n"/>
      <c r="AL10" s="383" t="n"/>
      <c r="AM10" s="383" t="n"/>
      <c r="AN10" s="383" t="n"/>
      <c r="AO10" s="383" t="n"/>
      <c r="AP10" s="383" t="n"/>
      <c r="AQ10" s="383" t="n"/>
      <c r="AR10" s="383" t="n"/>
      <c r="AS10" s="383" t="n"/>
      <c r="AT10" s="383" t="n"/>
      <c r="AU10" s="383" t="n"/>
      <c r="AV10" s="383" t="n"/>
      <c r="AW10" s="383" t="n"/>
      <c r="AX10" s="383" t="n"/>
      <c r="AY10" s="383" t="n"/>
      <c r="AZ10" s="383" t="n"/>
      <c r="BA10" s="383" t="n"/>
      <c r="BB10" s="383" t="n"/>
      <c r="BC10" s="383" t="n"/>
      <c r="BD10" s="383" t="n"/>
      <c r="BE10" s="383" t="n"/>
      <c r="BF10" s="383" t="n"/>
      <c r="BG10" s="383" t="n"/>
      <c r="BH10" s="383" t="n"/>
      <c r="BI10" s="383" t="n"/>
      <c r="BJ10" s="383" t="n"/>
      <c r="BK10" s="383" t="n"/>
      <c r="BL10" s="383" t="n"/>
      <c r="BM10" s="383" t="n"/>
      <c r="BN10" s="383" t="n"/>
      <c r="BO10" s="383" t="n"/>
    </row>
    <row r="11" ht="15" customHeight="1" s="1883">
      <c r="B11" s="726" t="n"/>
      <c r="C11" s="726" t="n"/>
      <c r="D11" s="726" t="n"/>
      <c r="E11" s="726" t="n"/>
      <c r="F11" s="726" t="n"/>
      <c r="G11" s="726" t="n"/>
      <c r="H11" s="726" t="n"/>
      <c r="I11" s="726" t="n"/>
      <c r="J11" s="726" t="n"/>
      <c r="K11" s="726" t="n"/>
      <c r="L11" s="726" t="n"/>
      <c r="M11" s="726" t="n"/>
      <c r="N11" s="726" t="n"/>
      <c r="O11" s="726" t="n"/>
      <c r="P11" s="726" t="n"/>
      <c r="Q11" s="726" t="n"/>
      <c r="R11" s="726" t="n"/>
      <c r="S11" s="726" t="n"/>
      <c r="T11" s="726" t="n"/>
      <c r="U11" s="726" t="n"/>
      <c r="V11" s="726" t="n"/>
      <c r="W11" s="726" t="n"/>
      <c r="X11" s="726" t="n"/>
      <c r="Y11" s="726" t="n"/>
      <c r="Z11" s="726" t="n"/>
      <c r="AA11" s="726" t="n"/>
      <c r="AB11" s="726" t="n"/>
      <c r="AC11" s="726" t="n"/>
      <c r="AD11" s="726" t="n"/>
      <c r="AE11" s="726" t="n"/>
      <c r="AF11" s="726" t="n"/>
      <c r="AG11" s="726" t="n"/>
      <c r="AH11" s="726" t="n"/>
      <c r="AI11" s="383" t="n"/>
      <c r="AJ11" s="383" t="n"/>
      <c r="AK11" s="383" t="n"/>
      <c r="AL11" s="383" t="n"/>
      <c r="AM11" s="383" t="n"/>
      <c r="AN11" s="383" t="n"/>
      <c r="AO11" s="383" t="n"/>
      <c r="AP11" s="383" t="n"/>
      <c r="AQ11" s="383" t="n"/>
      <c r="AR11" s="383" t="n"/>
      <c r="AS11" s="383" t="n"/>
      <c r="AT11" s="383" t="n"/>
      <c r="AU11" s="383" t="n"/>
      <c r="AV11" s="383" t="n"/>
      <c r="AW11" s="383" t="n"/>
      <c r="AX11" s="383" t="n"/>
      <c r="AY11" s="383" t="n"/>
      <c r="AZ11" s="383" t="n"/>
      <c r="BA11" s="383" t="n"/>
      <c r="BB11" s="383" t="n"/>
      <c r="BC11" s="383" t="n"/>
      <c r="BD11" s="383" t="n"/>
      <c r="BE11" s="383" t="n"/>
      <c r="BF11" s="383" t="n"/>
      <c r="BG11" s="383" t="n"/>
      <c r="BH11" s="383" t="n"/>
      <c r="BI11" s="383" t="n"/>
      <c r="BJ11" s="383" t="n"/>
      <c r="BK11" s="383" t="n"/>
      <c r="BL11" s="383" t="n"/>
      <c r="BM11" s="383" t="n"/>
      <c r="BN11" s="383" t="n"/>
      <c r="BO11" s="383" t="n"/>
    </row>
    <row r="12" ht="15" customHeight="1" s="1883">
      <c r="B12" s="726" t="n"/>
      <c r="C12" s="726" t="n"/>
      <c r="D12" s="726" t="n"/>
      <c r="E12" s="726" t="n"/>
      <c r="F12" s="726" t="n"/>
      <c r="G12" s="726" t="n"/>
      <c r="H12" s="726" t="n"/>
      <c r="I12" s="726" t="n"/>
      <c r="J12" s="726" t="n"/>
      <c r="K12" s="726" t="n"/>
      <c r="L12" s="726" t="n"/>
      <c r="M12" s="726" t="n"/>
      <c r="N12" s="726" t="n"/>
      <c r="O12" s="726" t="n"/>
      <c r="P12" s="726" t="n"/>
      <c r="Q12" s="726" t="n"/>
      <c r="R12" s="726" t="n"/>
      <c r="S12" s="726" t="n"/>
      <c r="T12" s="726" t="n"/>
      <c r="U12" s="726" t="n"/>
      <c r="X12" s="1934" t="inlineStr">
        <is>
          <t>COLA, Years 2 - 5</t>
        </is>
      </c>
      <c r="AB12" s="726" t="n"/>
      <c r="AC12" s="726" t="n"/>
      <c r="AD12" s="726" t="n"/>
      <c r="AE12" s="726" t="n"/>
      <c r="AF12" s="726" t="n"/>
      <c r="AG12" s="726" t="n"/>
      <c r="AH12" s="726" t="n"/>
      <c r="AI12" s="383" t="n"/>
      <c r="AJ12" s="383" t="n"/>
      <c r="AK12" s="383" t="n"/>
      <c r="AL12" s="383" t="n"/>
      <c r="AM12" s="383" t="n"/>
      <c r="AN12" s="383" t="n"/>
      <c r="AO12" s="383" t="n"/>
      <c r="AP12" s="383" t="n"/>
      <c r="AQ12" s="383" t="n"/>
      <c r="AR12" s="383" t="n"/>
      <c r="AS12" s="383" t="n"/>
      <c r="AT12" s="383" t="n"/>
      <c r="AU12" s="383" t="n"/>
      <c r="AV12" s="383" t="n"/>
      <c r="AW12" s="383" t="n"/>
      <c r="AX12" s="383" t="n"/>
      <c r="AY12" s="383" t="n"/>
      <c r="AZ12" s="383" t="n"/>
      <c r="BA12" s="383" t="n"/>
      <c r="BB12" s="383" t="n"/>
      <c r="BC12" s="383" t="n"/>
      <c r="BD12" s="383" t="n"/>
      <c r="BE12" s="383" t="n"/>
      <c r="BF12" s="383" t="n"/>
      <c r="BG12" s="383" t="n"/>
      <c r="BH12" s="383" t="n"/>
      <c r="BI12" s="383" t="n"/>
      <c r="BJ12" s="383" t="n"/>
      <c r="BK12" s="383" t="n"/>
      <c r="BL12" s="383" t="n"/>
      <c r="BM12" s="383" t="n"/>
      <c r="BN12" s="383" t="n"/>
      <c r="BO12" s="383" t="n"/>
    </row>
    <row r="13" ht="3" customHeight="1" s="1883">
      <c r="B13" s="726" t="n"/>
      <c r="C13" s="726" t="n"/>
      <c r="D13" s="726" t="n"/>
      <c r="E13" s="726" t="n"/>
      <c r="F13" s="726" t="n"/>
      <c r="G13" s="726" t="n"/>
      <c r="H13" s="726" t="n"/>
      <c r="I13" s="726" t="n"/>
      <c r="J13" s="726" t="n"/>
      <c r="K13" s="726" t="n"/>
      <c r="L13" s="726" t="n"/>
      <c r="M13" s="726" t="n"/>
      <c r="N13" s="726" t="n"/>
      <c r="O13" s="726" t="n"/>
      <c r="P13" s="726" t="n"/>
      <c r="Q13" s="726" t="n"/>
      <c r="R13" s="726" t="n"/>
      <c r="S13" s="726" t="n"/>
      <c r="T13" s="726" t="n"/>
      <c r="U13" s="726" t="n"/>
      <c r="V13" s="726" t="n"/>
      <c r="W13" s="726" t="n"/>
      <c r="X13" s="769" t="n"/>
      <c r="Y13" s="769" t="n"/>
      <c r="Z13" s="769" t="n"/>
      <c r="AA13" s="769" t="n"/>
      <c r="AB13" s="726" t="n"/>
      <c r="AC13" s="726" t="n"/>
      <c r="AD13" s="726" t="n"/>
      <c r="AE13" s="726" t="n"/>
      <c r="AF13" s="726" t="n"/>
      <c r="AG13" s="726" t="n"/>
      <c r="AH13" s="726" t="n"/>
      <c r="AI13" s="383" t="n"/>
      <c r="AJ13" s="383" t="n"/>
      <c r="AK13" s="383" t="n"/>
      <c r="AL13" s="383" t="n"/>
      <c r="AM13" s="383" t="n"/>
      <c r="AN13" s="383" t="n"/>
      <c r="AO13" s="383" t="n"/>
      <c r="AP13" s="383" t="n"/>
      <c r="AQ13" s="383" t="n"/>
      <c r="AR13" s="383" t="n"/>
      <c r="AS13" s="383" t="n"/>
      <c r="AT13" s="383" t="n"/>
      <c r="AU13" s="383" t="n"/>
      <c r="AV13" s="383" t="n"/>
      <c r="AW13" s="383" t="n"/>
      <c r="AX13" s="383" t="n"/>
      <c r="AY13" s="383" t="n"/>
      <c r="AZ13" s="383" t="n"/>
      <c r="BA13" s="383" t="n"/>
      <c r="BB13" s="383" t="n"/>
      <c r="BC13" s="383" t="n"/>
      <c r="BD13" s="383" t="n"/>
      <c r="BE13" s="383" t="n"/>
      <c r="BF13" s="383" t="n"/>
      <c r="BG13" s="383" t="n"/>
      <c r="BH13" s="383" t="n"/>
      <c r="BI13" s="383" t="n"/>
      <c r="BJ13" s="383" t="n"/>
      <c r="BK13" s="383" t="n"/>
      <c r="BL13" s="383" t="n"/>
      <c r="BM13" s="383" t="n"/>
      <c r="BN13" s="383" t="n"/>
      <c r="BO13" s="383" t="n"/>
    </row>
    <row r="14" ht="3" customHeight="1" s="1883">
      <c r="B14" s="726" t="n"/>
      <c r="C14" s="726" t="n"/>
      <c r="D14" s="726" t="n"/>
      <c r="E14" s="726" t="n"/>
      <c r="F14" s="726" t="n"/>
      <c r="G14" s="726" t="n"/>
      <c r="H14" s="726" t="n"/>
      <c r="I14" s="726" t="n"/>
      <c r="J14" s="726" t="n"/>
      <c r="K14" s="726" t="n"/>
      <c r="L14" s="726" t="n"/>
      <c r="M14" s="726" t="n"/>
      <c r="N14" s="726" t="n"/>
      <c r="O14" s="726" t="n"/>
      <c r="P14" s="726" t="n"/>
      <c r="Q14" s="726" t="n"/>
      <c r="R14" s="726" t="n"/>
      <c r="S14" s="726" t="n"/>
      <c r="T14" s="726" t="n"/>
      <c r="U14" s="726" t="n"/>
      <c r="V14" s="726" t="n"/>
      <c r="W14" s="726" t="n"/>
      <c r="X14" s="770" t="n"/>
      <c r="Y14" s="770" t="n"/>
      <c r="Z14" s="770" t="n"/>
      <c r="AA14" s="770" t="n"/>
      <c r="AB14" s="726" t="n"/>
      <c r="AC14" s="726" t="n"/>
      <c r="AD14" s="726" t="n"/>
      <c r="AE14" s="726" t="n"/>
      <c r="AF14" s="726" t="n"/>
      <c r="AG14" s="726" t="n"/>
      <c r="AH14" s="726" t="n"/>
      <c r="AI14" s="383" t="n"/>
      <c r="AJ14" s="383" t="n"/>
      <c r="AK14" s="383" t="n"/>
      <c r="AL14" s="383" t="n"/>
      <c r="AM14" s="383" t="n"/>
      <c r="AN14" s="383" t="n"/>
      <c r="AO14" s="383" t="n"/>
      <c r="AP14" s="383" t="n"/>
      <c r="AQ14" s="383" t="n"/>
      <c r="AR14" s="383" t="n"/>
      <c r="AS14" s="383" t="n"/>
      <c r="AT14" s="383" t="n"/>
      <c r="AU14" s="383" t="n"/>
      <c r="AV14" s="383" t="n"/>
      <c r="AW14" s="383" t="n"/>
      <c r="AX14" s="383" t="n"/>
      <c r="AY14" s="383" t="n"/>
      <c r="AZ14" s="383" t="n"/>
      <c r="BA14" s="383" t="n"/>
      <c r="BB14" s="383" t="n"/>
      <c r="BC14" s="383" t="n"/>
      <c r="BD14" s="383" t="n"/>
      <c r="BE14" s="383" t="n"/>
      <c r="BF14" s="383" t="n"/>
      <c r="BG14" s="383" t="n"/>
      <c r="BH14" s="383" t="n"/>
      <c r="BI14" s="383" t="n"/>
      <c r="BJ14" s="383" t="n"/>
      <c r="BK14" s="383" t="n"/>
      <c r="BL14" s="383" t="n"/>
      <c r="BM14" s="383" t="n"/>
      <c r="BN14" s="383" t="n"/>
      <c r="BO14" s="383" t="n"/>
    </row>
    <row r="15" ht="15" customHeight="1" s="1883">
      <c r="B15" s="726" t="n"/>
      <c r="C15" s="726" t="n"/>
      <c r="D15" s="726" t="n"/>
      <c r="E15" s="726" t="n"/>
      <c r="F15" s="726" t="n"/>
      <c r="G15" s="726" t="n"/>
      <c r="H15" s="726" t="n"/>
      <c r="I15" s="726" t="n"/>
      <c r="J15" s="726" t="n"/>
      <c r="K15" s="726" t="n"/>
      <c r="L15" s="726" t="n"/>
      <c r="M15" s="726" t="n"/>
      <c r="N15" s="726" t="n"/>
      <c r="O15" s="726" t="n"/>
      <c r="P15" s="726" t="n"/>
      <c r="Q15" s="726" t="n"/>
      <c r="R15" s="726" t="n"/>
      <c r="S15" s="726" t="n"/>
      <c r="T15" s="726" t="n"/>
      <c r="U15" s="726" t="n"/>
      <c r="W15" s="733" t="n"/>
      <c r="X15" s="731" t="n">
        <v>0.03</v>
      </c>
      <c r="Y15" s="731" t="n">
        <v>0.03</v>
      </c>
      <c r="Z15" s="731" t="n">
        <v>0.03</v>
      </c>
      <c r="AA15" s="731" t="n">
        <v>0.03</v>
      </c>
      <c r="AB15" s="726" t="n"/>
      <c r="AC15" s="726" t="n"/>
      <c r="AD15" s="726" t="n"/>
      <c r="AE15" s="726" t="n"/>
      <c r="AF15" s="726" t="n"/>
      <c r="AG15" s="726" t="n"/>
      <c r="AH15" s="726" t="n"/>
      <c r="AI15" s="383" t="n"/>
      <c r="AJ15" s="383" t="n"/>
      <c r="AK15" s="383" t="n"/>
      <c r="AL15" s="383" t="n"/>
      <c r="AM15" s="383" t="n"/>
      <c r="AN15" s="383" t="n"/>
      <c r="AO15" s="726" t="n"/>
      <c r="AP15" s="726" t="n"/>
      <c r="AQ15" s="726" t="n"/>
      <c r="AR15" s="726" t="n"/>
      <c r="AS15" s="726" t="n"/>
      <c r="AT15" s="726" t="n"/>
      <c r="AU15" s="726" t="n"/>
      <c r="AV15" s="726" t="n"/>
      <c r="AW15" s="726" t="n"/>
      <c r="AX15" s="726" t="n"/>
      <c r="AY15" s="726" t="n"/>
      <c r="AZ15" s="726" t="n"/>
      <c r="BA15" s="726" t="n"/>
      <c r="BB15" s="726" t="n"/>
      <c r="BC15" s="726" t="n"/>
      <c r="BD15" s="726" t="n"/>
      <c r="BE15" s="726" t="n"/>
      <c r="BF15" s="726" t="n"/>
      <c r="BG15" s="726" t="n"/>
      <c r="BH15" s="726" t="n"/>
      <c r="BI15" s="726" t="n"/>
      <c r="BJ15" s="726" t="n"/>
      <c r="BK15" s="726" t="n"/>
      <c r="BL15" s="726" t="n"/>
      <c r="BM15" s="726" t="n"/>
      <c r="BN15" s="726" t="n"/>
      <c r="BO15" s="726" t="n"/>
      <c r="BP15" s="1917" t="n"/>
      <c r="BQ15" s="1917" t="n"/>
      <c r="BR15" s="1917" t="n"/>
      <c r="BS15" s="1917" t="n"/>
      <c r="BT15" s="1917" t="n"/>
      <c r="BU15" s="1917" t="n"/>
      <c r="BV15" s="1917" t="n"/>
      <c r="BW15" s="1917" t="n"/>
      <c r="BX15" s="1917" t="n"/>
      <c r="BY15" s="1917" t="n"/>
      <c r="BZ15" s="1917" t="n"/>
      <c r="CA15" s="1917" t="n"/>
      <c r="CB15" s="1917" t="n"/>
      <c r="CC15" s="1917" t="n"/>
      <c r="CD15" s="1917" t="n"/>
      <c r="CE15" s="1917" t="n"/>
      <c r="CF15" s="1917" t="n"/>
      <c r="CG15" s="1917" t="n"/>
      <c r="CH15" s="1917" t="n"/>
      <c r="CI15" s="1917" t="n"/>
    </row>
    <row r="16" ht="15" customHeight="1" s="1883">
      <c r="B16" s="732" t="inlineStr">
        <is>
          <t>I.</t>
        </is>
      </c>
      <c r="C16" s="726" t="n"/>
      <c r="D16" s="733" t="inlineStr">
        <is>
          <t>Senior Management</t>
        </is>
      </c>
      <c r="E16" s="726" t="n"/>
      <c r="F16" s="726" t="n"/>
      <c r="G16" s="726" t="n"/>
      <c r="H16" s="726" t="n"/>
      <c r="I16" s="726" t="n"/>
      <c r="J16" s="726" t="n"/>
      <c r="K16" s="726" t="n"/>
      <c r="L16" s="726" t="n"/>
      <c r="M16" s="726" t="n"/>
      <c r="N16" s="726" t="n"/>
      <c r="O16" s="1929" t="inlineStr">
        <is>
          <t>Number of Positions - Beginning of Period (Except for Pre-Launch)</t>
        </is>
      </c>
      <c r="U16" s="726" t="n"/>
      <c r="V16" s="1929" t="inlineStr">
        <is>
          <t>Annual Salary, By Position, By Year, Pre-Launch + Years 1 - 5, Post-Launch</t>
        </is>
      </c>
      <c r="AB16" s="726" t="n"/>
      <c r="AC16" s="726" t="n"/>
      <c r="AD16" s="726" t="n"/>
      <c r="AE16" s="726" t="n"/>
      <c r="AF16" s="1929" t="inlineStr">
        <is>
          <t>Pre-Launch: Months -12 through -1</t>
        </is>
      </c>
      <c r="AP16" s="726" t="n"/>
      <c r="AQ16" s="1929" t="inlineStr">
        <is>
          <t xml:space="preserve">Post-Launch, Year 1: Months 1 - 12 </t>
        </is>
      </c>
      <c r="BD16" s="726" t="n"/>
      <c r="BE16" s="1929" t="inlineStr">
        <is>
          <t>Post-Launch, Year 2: Months 13 - 24</t>
        </is>
      </c>
      <c r="BR16" s="1917" t="n"/>
      <c r="BS16" s="1929" t="inlineStr">
        <is>
          <t>Post-Launch, Year 3: Months 25 - 36</t>
        </is>
      </c>
      <c r="CF16" s="1917" t="n"/>
      <c r="CG16" s="1929" t="inlineStr">
        <is>
          <t>Post-Launch, Year 4: Months 37 - 48</t>
        </is>
      </c>
      <c r="CU16" s="1929" t="inlineStr">
        <is>
          <t>Post-Launch, Year 5: Months 49 - 60</t>
        </is>
      </c>
    </row>
    <row r="19" ht="15" customHeight="1" s="1883">
      <c r="B19" s="726" t="n"/>
      <c r="C19" s="726" t="n"/>
      <c r="D19" s="726" t="n"/>
      <c r="E19" s="726" t="n"/>
      <c r="F19" s="726" t="n"/>
      <c r="G19" s="726" t="n"/>
      <c r="H19" s="726" t="n"/>
      <c r="I19" s="726" t="n"/>
      <c r="J19" s="728" t="inlineStr">
        <is>
          <t>Position</t>
        </is>
      </c>
      <c r="K19" s="726" t="n"/>
      <c r="L19" s="726" t="n"/>
      <c r="M19" s="726" t="n"/>
      <c r="N19" s="726" t="n"/>
      <c r="O19" s="726" t="n"/>
      <c r="P19" s="726" t="n"/>
      <c r="Q19" s="726" t="n"/>
      <c r="R19" s="726" t="n"/>
      <c r="S19" s="726" t="n"/>
      <c r="T19" s="726" t="n"/>
      <c r="U19" s="726" t="n"/>
      <c r="V19" s="728" t="inlineStr">
        <is>
          <t>Pre-Launch</t>
        </is>
      </c>
      <c r="W19" s="728" t="inlineStr">
        <is>
          <t>Base Salary</t>
        </is>
      </c>
      <c r="X19" s="728" t="inlineStr">
        <is>
          <t>Base Salary</t>
        </is>
      </c>
      <c r="Y19" s="728" t="inlineStr">
        <is>
          <t>Base Salary</t>
        </is>
      </c>
      <c r="Z19" s="728" t="inlineStr">
        <is>
          <t>Base Salary</t>
        </is>
      </c>
      <c r="AA19" s="728" t="inlineStr">
        <is>
          <t>Base Salary</t>
        </is>
      </c>
      <c r="AB19" s="726" t="n"/>
      <c r="AC19" s="726">
        <f t="array" ref="AC19">SUMPRODUCT(IFERROR(($V$23:$V$47/12)/AC23:AC47,0))</f>
        <v/>
      </c>
      <c r="AD19" s="726">
        <f t="array" ref="AD19">SUMPRODUCT(IFERROR(($V$23:$V$47/12)/AD23:AD47,0))</f>
        <v/>
      </c>
      <c r="AE19" s="726">
        <f t="array" ref="AE19">SUMPRODUCT(IFERROR(($V$23:$V$47/12)/AE23:AE47,0))</f>
        <v/>
      </c>
      <c r="AF19" s="726">
        <f t="array" ref="AF19">SUMPRODUCT(IFERROR(($V$23:$V$47/12)/AF23:AF47,0))</f>
        <v/>
      </c>
      <c r="AG19" s="726">
        <f t="array" ref="AG19">SUMPRODUCT(IFERROR(($V$23:$V$47/12)/AG23:AG47,0))</f>
        <v/>
      </c>
      <c r="AH19" s="726">
        <f t="array" ref="AH19">SUMPRODUCT(IFERROR(($V$23:$V$47/12)/AH23:AH47,0))</f>
        <v/>
      </c>
      <c r="AI19" s="726">
        <f t="array" ref="AI19">SUMPRODUCT(IFERROR(($V$23:$V$47/12)/AI23:AI47,0))</f>
        <v/>
      </c>
      <c r="AJ19" s="726">
        <f t="array" ref="AJ19">SUMPRODUCT(IFERROR(($V$23:$V$47/12)/AJ23:AJ47,0))</f>
        <v/>
      </c>
      <c r="AK19" s="726">
        <f t="array" ref="AK19">SUMPRODUCT(IFERROR(($V$23:$V$47/12)/AK23:AK47,0))</f>
        <v/>
      </c>
      <c r="AL19" s="726">
        <f t="array" ref="AL19">SUMPRODUCT(IFERROR(($V$23:$V$47/12)/AL23:AL47,0))</f>
        <v/>
      </c>
      <c r="AM19" s="726">
        <f t="array" ref="AM19">SUMPRODUCT(IFERROR(($V$23:$V$47/12)/AM23:AM47,0))</f>
        <v/>
      </c>
      <c r="AN19" s="726">
        <f t="array" ref="AN19">SUMPRODUCT(IFERROR(($V$23:$V$47/12)/AN23:AN47,0))</f>
        <v/>
      </c>
      <c r="AO19" s="728" t="inlineStr">
        <is>
          <t>Total,</t>
        </is>
      </c>
      <c r="AP19" s="726" t="n"/>
      <c r="AQ19" s="726">
        <f t="array" ref="AQ19">SUMPRODUCT(IFERROR(($W$23:$W$47/12)/AQ23:AQ47,0))</f>
        <v/>
      </c>
      <c r="AR19" s="726">
        <f t="array" ref="AR19">SUMPRODUCT(IFERROR(($W$23:$W$47/12)/AR23:AR47,0))</f>
        <v/>
      </c>
      <c r="AS19" s="726">
        <f t="array" ref="AS19">SUMPRODUCT(IFERROR(($W$23:$W$47/12)/AS23:AS47,0))</f>
        <v/>
      </c>
      <c r="AT19" s="726">
        <f t="array" ref="AT19">SUMPRODUCT(IFERROR(($W$23:$W$47/12)/AT23:AT47,0))</f>
        <v/>
      </c>
      <c r="AU19" s="726">
        <f t="array" ref="AU19">SUMPRODUCT(IFERROR(($W$23:$W$47/12)/AU23:AU47,0))</f>
        <v/>
      </c>
      <c r="AV19" s="726">
        <f t="array" ref="AV19">SUMPRODUCT(IFERROR(($W$23:$W$47/12)/AV23:AV47,0))</f>
        <v/>
      </c>
      <c r="AW19" s="726">
        <f t="array" ref="AW19">SUMPRODUCT(IFERROR(($W$23:$W$47/12)/AW23:AW47,0))</f>
        <v/>
      </c>
      <c r="AX19" s="726">
        <f t="array" ref="AX19">SUMPRODUCT(IFERROR(($W$23:$W$47/12)/AX23:AX47,0))</f>
        <v/>
      </c>
      <c r="AY19" s="726">
        <f t="array" ref="AY19">SUMPRODUCT(IFERROR(($W$23:$W$47/12)/AY23:AY47,0))</f>
        <v/>
      </c>
      <c r="AZ19" s="726">
        <f t="array" ref="AZ19">SUMPRODUCT(IFERROR(($W$23:$W$47/12)/AZ23:AZ47,0))</f>
        <v/>
      </c>
      <c r="BA19" s="726">
        <f t="array" ref="BA19">SUMPRODUCT(IFERROR(($W$23:$W$47/12)/BA23:BA47,0))</f>
        <v/>
      </c>
      <c r="BB19" s="1644">
        <f t="array" ref="BB19">SUMPRODUCT(IFERROR(($W$23:$W$47/12)/BB23:BB47,0))</f>
        <v/>
      </c>
      <c r="BC19" s="728" t="inlineStr">
        <is>
          <t>Total,</t>
        </is>
      </c>
      <c r="BD19" s="726" t="n"/>
      <c r="BE19" s="1644">
        <f t="array" ref="BE19">SUMPRODUCT(IFERROR(($X$23:$X$47/12)/BE23:BE47,0))</f>
        <v/>
      </c>
      <c r="BF19" s="1644">
        <f t="array" ref="BF19">SUMPRODUCT(IFERROR(($X$23:$X$47/12)/BF23:BF47,0))</f>
        <v/>
      </c>
      <c r="BG19" s="1644">
        <f t="array" ref="BG19">SUMPRODUCT(IFERROR(($X$23:$X$47/12)/BG23:BG47,0))</f>
        <v/>
      </c>
      <c r="BH19" s="1644">
        <f t="array" ref="BH19">SUMPRODUCT(IFERROR(($X$23:$X$47/12)/BH23:BH47,0))</f>
        <v/>
      </c>
      <c r="BI19" s="1644">
        <f t="array" ref="BI19">SUMPRODUCT(IFERROR(($X$23:$X$47/12)/BI23:BI47,0))</f>
        <v/>
      </c>
      <c r="BJ19" s="1644">
        <f t="array" ref="BJ19">SUMPRODUCT(IFERROR(($X$23:$X$47/12)/BJ23:BJ47,0))</f>
        <v/>
      </c>
      <c r="BK19" s="1644">
        <f t="array" ref="BK19">SUMPRODUCT(IFERROR(($X$23:$X$47/12)/BK23:BK47,0))</f>
        <v/>
      </c>
      <c r="BL19" s="1644">
        <f t="array" ref="BL19">SUMPRODUCT(IFERROR(($X$23:$X$47/12)/BL23:BL47,0))</f>
        <v/>
      </c>
      <c r="BM19" s="1644">
        <f t="array" ref="BM19">SUMPRODUCT(IFERROR(($X$23:$X$47/12)/BM23:BM47,0))</f>
        <v/>
      </c>
      <c r="BN19" s="1644">
        <f t="array" ref="BN19">SUMPRODUCT(IFERROR(($X$23:$X$47/12)/BN23:BN47,0))</f>
        <v/>
      </c>
      <c r="BO19" s="1644">
        <f t="array" ref="BO19">SUMPRODUCT(IFERROR(($X$23:$X$47/12)/BO23:BO47,0))</f>
        <v/>
      </c>
      <c r="BP19" s="1644">
        <f t="array" ref="BP19">SUMPRODUCT(IFERROR(($X$23:$X$47/12)/BP23:BP47,0))</f>
        <v/>
      </c>
      <c r="BQ19" s="728" t="inlineStr">
        <is>
          <t>Total,</t>
        </is>
      </c>
      <c r="BR19" s="1917" t="n"/>
      <c r="BS19" s="1644">
        <f t="array" ref="BS19">SUMPRODUCT(IFERROR(($Y$23:$Y$47/12)/BS23:BS47,0))</f>
        <v/>
      </c>
      <c r="BT19" s="1644">
        <f t="array" ref="BT19">SUMPRODUCT(IFERROR(($Y$23:$Y$47/12)/BT23:BT47,0))</f>
        <v/>
      </c>
      <c r="BU19" s="1644">
        <f t="array" ref="BU19">SUMPRODUCT(IFERROR(($Y$23:$Y$47/12)/BU23:BU47,0))</f>
        <v/>
      </c>
      <c r="BV19" s="1644">
        <f t="array" ref="BV19">SUMPRODUCT(IFERROR(($Y$23:$Y$47/12)/BV23:BV47,0))</f>
        <v/>
      </c>
      <c r="BW19" s="1644">
        <f t="array" ref="BW19">SUMPRODUCT(IFERROR(($Y$23:$Y$47/12)/BW23:BW47,0))</f>
        <v/>
      </c>
      <c r="BX19" s="1644">
        <f t="array" ref="BX19">SUMPRODUCT(IFERROR(($Y$23:$Y$47/12)/BX23:BX47,0))</f>
        <v/>
      </c>
      <c r="BY19" s="1644">
        <f t="array" ref="BY19">SUMPRODUCT(IFERROR(($Y$23:$Y$47/12)/BY23:BY47,0))</f>
        <v/>
      </c>
      <c r="BZ19" s="1644">
        <f t="array" ref="BZ19">SUMPRODUCT(IFERROR(($Y$23:$Y$47/12)/BZ23:BZ47,0))</f>
        <v/>
      </c>
      <c r="CA19" s="1644">
        <f t="array" ref="CA19">SUMPRODUCT(IFERROR(($Y$23:$Y$47/12)/CA23:CA47,0))</f>
        <v/>
      </c>
      <c r="CB19" s="1644">
        <f t="array" ref="CB19">SUMPRODUCT(IFERROR(($Y$23:$Y$47/12)/CB23:CB47,0))</f>
        <v/>
      </c>
      <c r="CC19" s="1644">
        <f t="array" ref="CC19">SUMPRODUCT(IFERROR(($Y$23:$Y$47/12)/CC23:CC47,0))</f>
        <v/>
      </c>
      <c r="CD19" s="1644">
        <f t="array" ref="CD19">SUMPRODUCT(IFERROR(($Y$23:$Y$47/12)/CD23:CD47,0))</f>
        <v/>
      </c>
      <c r="CE19" s="728" t="inlineStr">
        <is>
          <t>Total,</t>
        </is>
      </c>
      <c r="CF19" s="1917" t="n"/>
      <c r="CG19" s="1644">
        <f t="array" ref="CG19">SUMPRODUCT(IFERROR(($Z$23:$Z$47/12)/CG23:CG47,0))</f>
        <v/>
      </c>
      <c r="CH19" s="1644">
        <f t="array" ref="CH19">SUMPRODUCT(IFERROR(($Z$23:$Z$47/12)/CH23:CH47,0))</f>
        <v/>
      </c>
      <c r="CI19" s="1644">
        <f t="array" ref="CI19">SUMPRODUCT(IFERROR(($Z$23:$Z$47/12)/CI23:CI47,0))</f>
        <v/>
      </c>
      <c r="CJ19" s="1644">
        <f t="array" ref="CJ19">SUMPRODUCT(IFERROR(($Z$23:$Z$47/12)/CJ23:CJ47,0))</f>
        <v/>
      </c>
      <c r="CK19" s="1644">
        <f t="array" ref="CK19">SUMPRODUCT(IFERROR(($Z$23:$Z$47/12)/CK23:CK47,0))</f>
        <v/>
      </c>
      <c r="CL19" s="1644">
        <f t="array" ref="CL19">SUMPRODUCT(IFERROR(($Z$23:$Z$47/12)/CL23:CL47,0))</f>
        <v/>
      </c>
      <c r="CM19" s="1644">
        <f t="array" ref="CM19">SUMPRODUCT(IFERROR(($Z$23:$Z$47/12)/CM23:CM47,0))</f>
        <v/>
      </c>
      <c r="CN19" s="1644">
        <f t="array" ref="CN19">SUMPRODUCT(IFERROR(($Z$23:$Z$47/12)/CN23:CN47,0))</f>
        <v/>
      </c>
      <c r="CO19" s="1644">
        <f t="array" ref="CO19">SUMPRODUCT(IFERROR(($Z$23:$Z$47/12)/CO23:CO47,0))</f>
        <v/>
      </c>
      <c r="CP19" s="1644">
        <f t="array" ref="CP19">SUMPRODUCT(IFERROR(($Z$23:$Z$47/12)/CP23:CP47,0))</f>
        <v/>
      </c>
      <c r="CQ19" s="1644">
        <f t="array" ref="CQ19">SUMPRODUCT(IFERROR(($Z$23:$Z$47/12)/CQ23:CQ47,0))</f>
        <v/>
      </c>
      <c r="CR19" s="1644">
        <f t="array" ref="CR19">SUMPRODUCT(IFERROR(($Z$23:$Z$47/12)/CR23:CR47,0))</f>
        <v/>
      </c>
      <c r="CS19" s="728" t="inlineStr">
        <is>
          <t>Total,</t>
        </is>
      </c>
      <c r="CU19" s="1644">
        <f t="array" ref="CU19">SUMPRODUCT(IFERROR(($AA$23:$AA$47/12)/CU23:CU47,0))</f>
        <v/>
      </c>
      <c r="CV19" s="1644">
        <f t="array" ref="CV19">SUMPRODUCT(IFERROR(($AA$23:$AA$47/12)/CV23:CV47,0))</f>
        <v/>
      </c>
      <c r="CW19" s="1644">
        <f t="array" ref="CW19">SUMPRODUCT(IFERROR(($AA$23:$AA$47/12)/CW23:CW47,0))</f>
        <v/>
      </c>
      <c r="CX19" s="1644">
        <f t="array" ref="CX19">SUMPRODUCT(IFERROR(($AA$23:$AA$47/12)/CX23:CX47,0))</f>
        <v/>
      </c>
      <c r="CY19" s="1644">
        <f t="array" ref="CY19">SUMPRODUCT(IFERROR(($AA$23:$AA$47/12)/CY23:CY47,0))</f>
        <v/>
      </c>
      <c r="CZ19" s="1644">
        <f t="array" ref="CZ19">SUMPRODUCT(IFERROR(($AA$23:$AA$47/12)/CZ23:CZ47,0))</f>
        <v/>
      </c>
      <c r="DA19" s="1644">
        <f t="array" ref="DA19">SUMPRODUCT(IFERROR(($AA$23:$AA$47/12)/DA23:DA47,0))</f>
        <v/>
      </c>
      <c r="DB19" s="1644">
        <f t="array" ref="DB19">SUMPRODUCT(IFERROR(($AA$23:$AA$47/12)/DB23:DB47,0))</f>
        <v/>
      </c>
      <c r="DC19" s="1644">
        <f t="array" ref="DC19">SUMPRODUCT(IFERROR(($AA$23:$AA$47/12)/DC23:DC47,0))</f>
        <v/>
      </c>
      <c r="DD19" s="1644">
        <f t="array" ref="DD19">SUMPRODUCT(IFERROR(($AA$23:$AA$47/12)/DD23:DD47,0))</f>
        <v/>
      </c>
      <c r="DE19" s="1644">
        <f t="array" ref="DE19">SUMPRODUCT(IFERROR(($AA$23:$AA$47/12)/DE23:DE47,0))</f>
        <v/>
      </c>
      <c r="DF19" s="1644">
        <f t="array" ref="DF19">SUMPRODUCT(IFERROR(($AA$23:$AA$47/12)/DF23:DF47,0))</f>
        <v/>
      </c>
      <c r="DG19" s="728" t="inlineStr">
        <is>
          <t>Total,</t>
        </is>
      </c>
    </row>
    <row r="20" ht="15" customHeight="1" s="1883">
      <c r="B20" s="728" t="inlineStr">
        <is>
          <t>No.</t>
        </is>
      </c>
      <c r="C20" s="726" t="n"/>
      <c r="D20" s="733" t="inlineStr">
        <is>
          <t xml:space="preserve">Employee Name </t>
        </is>
      </c>
      <c r="E20" s="726" t="n"/>
      <c r="F20" s="726" t="n"/>
      <c r="G20" s="726" t="n"/>
      <c r="H20" s="726" t="n"/>
      <c r="I20" s="733" t="inlineStr">
        <is>
          <t>Position</t>
        </is>
      </c>
      <c r="J20" s="728" t="inlineStr">
        <is>
          <t>Location</t>
        </is>
      </c>
      <c r="K20" s="726" t="n"/>
      <c r="L20" s="728" t="inlineStr">
        <is>
          <t>Start Month</t>
        </is>
      </c>
      <c r="M20" s="728" t="inlineStr">
        <is>
          <t>Month of Hire</t>
        </is>
      </c>
      <c r="N20" s="728" t="n"/>
      <c r="O20" s="811" t="inlineStr">
        <is>
          <t>Pre-Launch</t>
        </is>
      </c>
      <c r="P20" s="1929" t="inlineStr">
        <is>
          <t>Year 1</t>
        </is>
      </c>
      <c r="Q20" s="1929" t="inlineStr">
        <is>
          <t>Year 2</t>
        </is>
      </c>
      <c r="R20" s="1929" t="inlineStr">
        <is>
          <t>Year 3</t>
        </is>
      </c>
      <c r="S20" s="1929" t="inlineStr">
        <is>
          <t>Year 4</t>
        </is>
      </c>
      <c r="T20" s="1929" t="inlineStr">
        <is>
          <t>Year 5</t>
        </is>
      </c>
      <c r="U20" s="726" t="n"/>
      <c r="V20" s="728" t="inlineStr">
        <is>
          <t>Months -12 to -1</t>
        </is>
      </c>
      <c r="W20" s="728" t="inlineStr">
        <is>
          <t>Year 1</t>
        </is>
      </c>
      <c r="X20" s="728" t="inlineStr">
        <is>
          <t>Year 2</t>
        </is>
      </c>
      <c r="Y20" s="728" t="inlineStr">
        <is>
          <t>Year 3</t>
        </is>
      </c>
      <c r="Z20" s="728" t="inlineStr">
        <is>
          <t>Year 4</t>
        </is>
      </c>
      <c r="AA20" s="728" t="inlineStr">
        <is>
          <t>Year 5</t>
        </is>
      </c>
      <c r="AB20" s="726" t="n"/>
      <c r="AC20" s="728" t="n">
        <v>-12</v>
      </c>
      <c r="AD20" s="728" t="n">
        <v>-11</v>
      </c>
      <c r="AE20" s="728" t="n">
        <v>-10</v>
      </c>
      <c r="AF20" s="728" t="n">
        <v>-9</v>
      </c>
      <c r="AG20" s="728">
        <f>((AF20)+(1))</f>
        <v/>
      </c>
      <c r="AH20" s="728">
        <f>((AG20)+(1))</f>
        <v/>
      </c>
      <c r="AI20" s="728">
        <f>((AH20)+(1))</f>
        <v/>
      </c>
      <c r="AJ20" s="728">
        <f>((AI20)+(1))</f>
        <v/>
      </c>
      <c r="AK20" s="728">
        <f>((AJ20)+(1))</f>
        <v/>
      </c>
      <c r="AL20" s="728">
        <f>((AK20)+(1))</f>
        <v/>
      </c>
      <c r="AM20" s="728">
        <f>((AL20)+(1))</f>
        <v/>
      </c>
      <c r="AN20" s="728">
        <f>((AM20)+(1))</f>
        <v/>
      </c>
      <c r="AO20" s="728" t="inlineStr">
        <is>
          <t>Pre-Launch</t>
        </is>
      </c>
      <c r="AP20" s="728" t="n"/>
      <c r="AQ20" s="728" t="n">
        <v>1</v>
      </c>
      <c r="AR20" s="728">
        <f>((AQ20)+(1))</f>
        <v/>
      </c>
      <c r="AS20" s="728">
        <f>((AR20)+(1))</f>
        <v/>
      </c>
      <c r="AT20" s="728">
        <f>((AS20)+(1))</f>
        <v/>
      </c>
      <c r="AU20" s="728">
        <f>((AT20)+(1))</f>
        <v/>
      </c>
      <c r="AV20" s="728">
        <f>((AU20)+(1))</f>
        <v/>
      </c>
      <c r="AW20" s="728">
        <f>((AV20)+(1))</f>
        <v/>
      </c>
      <c r="AX20" s="728">
        <f>((AW20)+(1))</f>
        <v/>
      </c>
      <c r="AY20" s="728">
        <f>((AX20)+(1))</f>
        <v/>
      </c>
      <c r="AZ20" s="728">
        <f>((AY20)+(1))</f>
        <v/>
      </c>
      <c r="BA20" s="728">
        <f>((AZ20)+(1))</f>
        <v/>
      </c>
      <c r="BB20" s="728">
        <f>((BA20)+(1))</f>
        <v/>
      </c>
      <c r="BC20" s="728" t="inlineStr">
        <is>
          <t xml:space="preserve">Months 1 - 12 </t>
        </is>
      </c>
      <c r="BD20" s="726" t="n"/>
      <c r="BE20" s="728" t="n">
        <v>13</v>
      </c>
      <c r="BF20" s="728">
        <f>((BE20)+(1))</f>
        <v/>
      </c>
      <c r="BG20" s="728">
        <f>((BF20)+(1))</f>
        <v/>
      </c>
      <c r="BH20" s="728">
        <f>((BG20)+(1))</f>
        <v/>
      </c>
      <c r="BI20" s="728">
        <f>((BH20)+(1))</f>
        <v/>
      </c>
      <c r="BJ20" s="728">
        <f>((BI20)+(1))</f>
        <v/>
      </c>
      <c r="BK20" s="728">
        <f>((BJ20)+(1))</f>
        <v/>
      </c>
      <c r="BL20" s="728">
        <f>((BK20)+(1))</f>
        <v/>
      </c>
      <c r="BM20" s="728">
        <f>((BL20)+(1))</f>
        <v/>
      </c>
      <c r="BN20" s="728">
        <f>((BM20)+(1))</f>
        <v/>
      </c>
      <c r="BO20" s="728">
        <f>((BN20)+(1))</f>
        <v/>
      </c>
      <c r="BP20" s="728">
        <f>((BO20)+(1))</f>
        <v/>
      </c>
      <c r="BQ20" s="728" t="inlineStr">
        <is>
          <t xml:space="preserve">Months 13 - 24 </t>
        </is>
      </c>
      <c r="BR20" s="1917" t="n"/>
      <c r="BS20" s="728" t="n">
        <v>25</v>
      </c>
      <c r="BT20" s="728">
        <f>((BS20)+(1))</f>
        <v/>
      </c>
      <c r="BU20" s="728">
        <f>((BT20)+(1))</f>
        <v/>
      </c>
      <c r="BV20" s="728">
        <f>((BU20)+(1))</f>
        <v/>
      </c>
      <c r="BW20" s="728">
        <f>((BV20)+(1))</f>
        <v/>
      </c>
      <c r="BX20" s="728">
        <f>((BW20)+(1))</f>
        <v/>
      </c>
      <c r="BY20" s="728">
        <f>((BX20)+(1))</f>
        <v/>
      </c>
      <c r="BZ20" s="728">
        <f>((BY20)+(1))</f>
        <v/>
      </c>
      <c r="CA20" s="728">
        <f>((BZ20)+(1))</f>
        <v/>
      </c>
      <c r="CB20" s="728">
        <f>((CA20)+(1))</f>
        <v/>
      </c>
      <c r="CC20" s="728">
        <f>((CB20)+(1))</f>
        <v/>
      </c>
      <c r="CD20" s="728">
        <f>((CC20)+(1))</f>
        <v/>
      </c>
      <c r="CE20" s="728" t="inlineStr">
        <is>
          <t>Months 25 - 36</t>
        </is>
      </c>
      <c r="CF20" s="1917" t="n"/>
      <c r="CG20" s="728" t="n">
        <v>37</v>
      </c>
      <c r="CH20" s="728">
        <f>((CG20)+(1))</f>
        <v/>
      </c>
      <c r="CI20" s="728">
        <f>((CH20)+(1))</f>
        <v/>
      </c>
      <c r="CJ20" s="728">
        <f>((CI20)+(1))</f>
        <v/>
      </c>
      <c r="CK20" s="728">
        <f>((CJ20)+(1))</f>
        <v/>
      </c>
      <c r="CL20" s="728">
        <f>((CK20)+(1))</f>
        <v/>
      </c>
      <c r="CM20" s="728">
        <f>((CL20)+(1))</f>
        <v/>
      </c>
      <c r="CN20" s="728">
        <f>((CM20)+(1))</f>
        <v/>
      </c>
      <c r="CO20" s="728">
        <f>((CN20)+(1))</f>
        <v/>
      </c>
      <c r="CP20" s="728">
        <f>((CO20)+(1))</f>
        <v/>
      </c>
      <c r="CQ20" s="728">
        <f>((CP20)+(1))</f>
        <v/>
      </c>
      <c r="CR20" s="728">
        <f>((CQ20)+(1))</f>
        <v/>
      </c>
      <c r="CS20" s="728" t="inlineStr">
        <is>
          <t>Months 37 - 48</t>
        </is>
      </c>
      <c r="CU20" s="728" t="n">
        <v>49</v>
      </c>
      <c r="CV20" s="728">
        <f>((CU20)+(1))</f>
        <v/>
      </c>
      <c r="CW20" s="728">
        <f>((CV20)+(1))</f>
        <v/>
      </c>
      <c r="CX20" s="728">
        <f>((CW20)+(1))</f>
        <v/>
      </c>
      <c r="CY20" s="728">
        <f>((CX20)+(1))</f>
        <v/>
      </c>
      <c r="CZ20" s="728">
        <f>((CY20)+(1))</f>
        <v/>
      </c>
      <c r="DA20" s="728">
        <f>((CZ20)+(1))</f>
        <v/>
      </c>
      <c r="DB20" s="728">
        <f>((DA20)+(1))</f>
        <v/>
      </c>
      <c r="DC20" s="728">
        <f>((DB20)+(1))</f>
        <v/>
      </c>
      <c r="DD20" s="728">
        <f>((DC20)+(1))</f>
        <v/>
      </c>
      <c r="DE20" s="728">
        <f>((DD20)+(1))</f>
        <v/>
      </c>
      <c r="DF20" s="728">
        <f>((DE20)+(1))</f>
        <v/>
      </c>
      <c r="DG20" s="728" t="inlineStr">
        <is>
          <t>Months 49 - 60</t>
        </is>
      </c>
    </row>
    <row r="21" ht="3" customHeight="1" s="1883">
      <c r="B21" s="734" t="n"/>
      <c r="C21" s="726" t="n"/>
      <c r="D21" s="734" t="n"/>
      <c r="E21" s="734" t="n"/>
      <c r="F21" s="734" t="n"/>
      <c r="G21" s="734" t="n"/>
      <c r="H21" s="734" t="n"/>
      <c r="I21" s="734" t="n"/>
      <c r="J21" s="734" t="n"/>
      <c r="K21" s="726" t="n"/>
      <c r="L21" s="734" t="n"/>
      <c r="M21" s="734" t="n"/>
      <c r="N21" s="742" t="n"/>
      <c r="O21" s="734" t="n"/>
      <c r="P21" s="734" t="n"/>
      <c r="Q21" s="734" t="n"/>
      <c r="R21" s="734" t="n"/>
      <c r="S21" s="734" t="n"/>
      <c r="T21" s="734" t="n"/>
      <c r="U21" s="726" t="n"/>
      <c r="V21" s="734" t="n"/>
      <c r="W21" s="735" t="n"/>
      <c r="X21" s="734" t="n"/>
      <c r="Y21" s="734" t="n"/>
      <c r="Z21" s="734" t="n"/>
      <c r="AA21" s="734" t="n"/>
      <c r="AB21" s="726" t="n"/>
      <c r="AC21" s="734" t="n"/>
      <c r="AD21" s="734" t="n"/>
      <c r="AE21" s="734" t="n"/>
      <c r="AF21" s="734" t="n"/>
      <c r="AG21" s="734" t="n"/>
      <c r="AH21" s="734" t="n"/>
      <c r="AI21" s="387" t="n"/>
      <c r="AJ21" s="387" t="n"/>
      <c r="AK21" s="387" t="n"/>
      <c r="AL21" s="387" t="n"/>
      <c r="AM21" s="387" t="n"/>
      <c r="AN21" s="387" t="n"/>
      <c r="AO21" s="734" t="n"/>
      <c r="AP21" s="726" t="n"/>
      <c r="AQ21" s="734" t="n"/>
      <c r="AR21" s="734" t="n"/>
      <c r="AS21" s="734" t="n"/>
      <c r="AT21" s="734" t="n"/>
      <c r="AU21" s="734" t="n"/>
      <c r="AV21" s="734" t="n"/>
      <c r="AW21" s="734" t="n"/>
      <c r="AX21" s="734" t="n"/>
      <c r="AY21" s="734" t="n"/>
      <c r="AZ21" s="734" t="n"/>
      <c r="BA21" s="734" t="n"/>
      <c r="BB21" s="734" t="n"/>
      <c r="BC21" s="734" t="n"/>
      <c r="BD21" s="726" t="n"/>
      <c r="BE21" s="734" t="n"/>
      <c r="BF21" s="734" t="n"/>
      <c r="BG21" s="734" t="n"/>
      <c r="BH21" s="734" t="n"/>
      <c r="BI21" s="734" t="n"/>
      <c r="BJ21" s="734" t="n"/>
      <c r="BK21" s="734" t="n"/>
      <c r="BL21" s="734" t="n"/>
      <c r="BM21" s="734" t="n"/>
      <c r="BN21" s="734" t="n"/>
      <c r="BO21" s="734" t="n"/>
      <c r="BP21" s="734" t="n"/>
      <c r="BQ21" s="734" t="n"/>
      <c r="BR21" s="1917" t="n"/>
      <c r="BS21" s="734" t="n"/>
      <c r="BT21" s="734" t="n"/>
      <c r="BU21" s="734" t="n"/>
      <c r="BV21" s="734" t="n"/>
      <c r="BW21" s="734" t="n"/>
      <c r="BX21" s="734" t="n"/>
      <c r="BY21" s="734" t="n"/>
      <c r="BZ21" s="734" t="n"/>
      <c r="CA21" s="734" t="n"/>
      <c r="CB21" s="734" t="n"/>
      <c r="CC21" s="734" t="n"/>
      <c r="CD21" s="734" t="n"/>
      <c r="CE21" s="734" t="n"/>
      <c r="CF21" s="1917" t="n"/>
      <c r="CG21" s="734" t="n"/>
      <c r="CH21" s="734" t="n"/>
      <c r="CI21" s="734" t="n"/>
      <c r="CJ21" s="734" t="n"/>
      <c r="CK21" s="734" t="n"/>
      <c r="CL21" s="734" t="n"/>
      <c r="CM21" s="734" t="n"/>
      <c r="CN21" s="734" t="n"/>
      <c r="CO21" s="734" t="n"/>
      <c r="CP21" s="734" t="n"/>
      <c r="CQ21" s="734" t="n"/>
      <c r="CR21" s="734" t="n"/>
      <c r="CS21" s="734" t="n"/>
      <c r="CU21" s="734" t="n"/>
      <c r="CV21" s="734" t="n"/>
      <c r="CW21" s="734" t="n"/>
      <c r="CX21" s="734" t="n"/>
      <c r="CY21" s="734" t="n"/>
      <c r="CZ21" s="734" t="n"/>
      <c r="DA21" s="734" t="n"/>
      <c r="DB21" s="734" t="n"/>
      <c r="DC21" s="734" t="n"/>
      <c r="DD21" s="734" t="n"/>
      <c r="DE21" s="734" t="n"/>
      <c r="DF21" s="734" t="n"/>
      <c r="DG21" s="734" t="n"/>
    </row>
    <row r="22" ht="3" customHeight="1" s="1883">
      <c r="B22" s="726" t="n"/>
      <c r="C22" s="726" t="n"/>
      <c r="D22" s="726" t="n"/>
      <c r="E22" s="726" t="n"/>
      <c r="F22" s="726" t="n"/>
      <c r="G22" s="726" t="n"/>
      <c r="H22" s="726" t="n"/>
      <c r="I22" s="726" t="n"/>
      <c r="J22" s="726" t="n"/>
      <c r="K22" s="726" t="n"/>
      <c r="L22" s="726" t="n"/>
      <c r="M22" s="726" t="n"/>
      <c r="N22" s="726" t="n"/>
      <c r="O22" s="726" t="n"/>
      <c r="P22" s="726" t="n"/>
      <c r="Q22" s="726" t="n"/>
      <c r="R22" s="726" t="n"/>
      <c r="S22" s="726" t="n"/>
      <c r="T22" s="726" t="n"/>
      <c r="U22" s="726" t="n"/>
      <c r="V22" s="726" t="n"/>
      <c r="W22" s="702" t="n"/>
      <c r="X22" s="726" t="n"/>
      <c r="Y22" s="726" t="n"/>
      <c r="Z22" s="726" t="n"/>
      <c r="AA22" s="726" t="n"/>
      <c r="AB22" s="726" t="n"/>
      <c r="AC22" s="726" t="n"/>
      <c r="AD22" s="726" t="n"/>
      <c r="AE22" s="726" t="n"/>
      <c r="AF22" s="726" t="n"/>
      <c r="AG22" s="726" t="n"/>
      <c r="AH22" s="726" t="n"/>
      <c r="AI22" s="383" t="n"/>
      <c r="AJ22" s="383" t="n"/>
      <c r="AK22" s="383" t="n"/>
      <c r="AL22" s="383" t="n"/>
      <c r="AM22" s="383" t="n"/>
      <c r="AN22" s="383" t="n"/>
      <c r="AO22" s="726" t="n"/>
      <c r="AP22" s="726" t="n"/>
      <c r="AQ22" s="726" t="n"/>
      <c r="AR22" s="726" t="n"/>
      <c r="AS22" s="726" t="n"/>
      <c r="AT22" s="726" t="n"/>
      <c r="AU22" s="726" t="n"/>
      <c r="AV22" s="726" t="n"/>
      <c r="AW22" s="726" t="n"/>
      <c r="AX22" s="726" t="n"/>
      <c r="AY22" s="726" t="n"/>
      <c r="AZ22" s="726" t="n"/>
      <c r="BA22" s="726" t="n"/>
      <c r="BB22" s="726" t="n"/>
      <c r="BC22" s="726" t="n"/>
      <c r="BD22" s="726" t="n"/>
      <c r="BE22" s="726" t="n"/>
      <c r="BF22" s="726" t="n"/>
      <c r="BG22" s="726" t="n"/>
      <c r="BH22" s="726" t="n"/>
      <c r="BI22" s="726" t="n"/>
      <c r="BJ22" s="726" t="n"/>
      <c r="BK22" s="726" t="n"/>
      <c r="BL22" s="726" t="n"/>
      <c r="BM22" s="726" t="n"/>
      <c r="BN22" s="726" t="n"/>
      <c r="BO22" s="726" t="n"/>
      <c r="BP22" s="726" t="n"/>
      <c r="BQ22" s="726" t="n"/>
      <c r="BR22" s="1917" t="n"/>
      <c r="BS22" s="726" t="n"/>
      <c r="BT22" s="726" t="n"/>
      <c r="BU22" s="726" t="n"/>
      <c r="BV22" s="726" t="n"/>
      <c r="BW22" s="726" t="n"/>
      <c r="BX22" s="726" t="n"/>
      <c r="BY22" s="726" t="n"/>
      <c r="BZ22" s="726" t="n"/>
      <c r="CA22" s="726" t="n"/>
      <c r="CB22" s="726" t="n"/>
      <c r="CC22" s="726" t="n"/>
      <c r="CD22" s="726" t="n"/>
      <c r="CE22" s="726" t="n"/>
      <c r="CF22" s="1917" t="n"/>
      <c r="CG22" s="726" t="n"/>
      <c r="CH22" s="726" t="n"/>
      <c r="CI22" s="726" t="n"/>
      <c r="CJ22" s="726" t="n"/>
      <c r="CK22" s="726" t="n"/>
      <c r="CL22" s="726" t="n"/>
      <c r="CM22" s="726" t="n"/>
      <c r="CN22" s="726" t="n"/>
      <c r="CO22" s="726" t="n"/>
      <c r="CP22" s="726" t="n"/>
      <c r="CQ22" s="726" t="n"/>
      <c r="CR22" s="726" t="n"/>
      <c r="CS22" s="726" t="n"/>
      <c r="CU22" s="726" t="n"/>
      <c r="CV22" s="726" t="n"/>
      <c r="CW22" s="726" t="n"/>
      <c r="CX22" s="726" t="n"/>
      <c r="CY22" s="726" t="n"/>
      <c r="CZ22" s="726" t="n"/>
      <c r="DA22" s="726" t="n"/>
      <c r="DB22" s="726" t="n"/>
      <c r="DC22" s="726" t="n"/>
      <c r="DD22" s="726" t="n"/>
      <c r="DE22" s="726" t="n"/>
      <c r="DF22" s="726" t="n"/>
      <c r="DG22" s="726" t="n"/>
    </row>
    <row r="23" ht="15" customHeight="1" s="1883">
      <c r="B23" s="752" t="n">
        <v>1</v>
      </c>
      <c r="C23" s="726" t="n"/>
      <c r="D23" s="730" t="inlineStr">
        <is>
          <t>●</t>
        </is>
      </c>
      <c r="E23" s="1446" t="inlineStr">
        <is>
          <t xml:space="preserve">Jared Sanborn </t>
        </is>
      </c>
      <c r="F23" s="66" t="n"/>
      <c r="G23" s="66" t="n"/>
      <c r="H23" s="66" t="n"/>
      <c r="I23" s="1446" t="inlineStr">
        <is>
          <t>Chairman &amp; Chief Executive Officer</t>
        </is>
      </c>
      <c r="J23" s="745" t="inlineStr">
        <is>
          <t>CONUS</t>
        </is>
      </c>
      <c r="K23" s="737" t="n"/>
      <c r="L23" s="738" t="inlineStr">
        <is>
          <t>-12</t>
        </is>
      </c>
      <c r="M23" s="738" t="n">
        <v>-11</v>
      </c>
      <c r="N23" s="738" t="n"/>
      <c r="O23" s="749" t="n">
        <v>1</v>
      </c>
      <c r="P23" s="748" t="n">
        <v>1</v>
      </c>
      <c r="Q23" s="748" t="n">
        <v>1</v>
      </c>
      <c r="R23" s="748" t="n">
        <v>1</v>
      </c>
      <c r="S23" s="748" t="n">
        <v>1</v>
      </c>
      <c r="T23" s="748" t="n">
        <v>1</v>
      </c>
      <c r="U23" s="737" t="n"/>
      <c r="V23" s="702" t="n">
        <v>223000</v>
      </c>
      <c r="W23" s="702">
        <f>(V23)</f>
        <v/>
      </c>
      <c r="X23" s="702">
        <f>((W23)*((1)+($X$15)))</f>
        <v/>
      </c>
      <c r="Y23" s="702">
        <f>((X23)*((1)+($Y$15)))</f>
        <v/>
      </c>
      <c r="Z23" s="702">
        <f>((Y23)*((1)+($Z$15)))</f>
        <v/>
      </c>
      <c r="AA23" s="702">
        <f>((Z23)*((1)+($AA$15)))</f>
        <v/>
      </c>
      <c r="AB23" s="702" t="n"/>
      <c r="AC23" s="702" t="n">
        <v>0</v>
      </c>
      <c r="AD23" s="702">
        <f>(($V23)/(12))</f>
        <v/>
      </c>
      <c r="AE23" s="702">
        <f>(($V23)/(12))</f>
        <v/>
      </c>
      <c r="AF23" s="702">
        <f>(($V23)/(12))</f>
        <v/>
      </c>
      <c r="AG23" s="702">
        <f>(($V23)/(12))</f>
        <v/>
      </c>
      <c r="AH23" s="702">
        <f>(($V23)/(12))</f>
        <v/>
      </c>
      <c r="AI23" s="702">
        <f>(($V23)/(12))</f>
        <v/>
      </c>
      <c r="AJ23" s="702">
        <f>(($V23)/(12))</f>
        <v/>
      </c>
      <c r="AK23" s="702">
        <f>(($V23)/(12))</f>
        <v/>
      </c>
      <c r="AL23" s="702">
        <f>(($V23)/(12))</f>
        <v/>
      </c>
      <c r="AM23" s="702">
        <f>(($V23)/(12))</f>
        <v/>
      </c>
      <c r="AN23" s="702">
        <f>(($V23)/(12))</f>
        <v/>
      </c>
      <c r="AO23" s="765">
        <f>SUM(AC23:AN23)</f>
        <v/>
      </c>
      <c r="AP23" s="702" t="n"/>
      <c r="AQ23" s="702">
        <f>IF($P23&gt;0,(($W23)/(12)),0)</f>
        <v/>
      </c>
      <c r="AR23" s="702">
        <f>IF($P23&gt;0,(($W23)/(12)),0)</f>
        <v/>
      </c>
      <c r="AS23" s="702">
        <f>IF($P23&gt;0,(($W23)/(12)),0)</f>
        <v/>
      </c>
      <c r="AT23" s="702">
        <f>IF($P23&gt;0,(($W23)/(12)),0)</f>
        <v/>
      </c>
      <c r="AU23" s="702">
        <f>IF($P23&gt;0,(($W23)/(12)),0)</f>
        <v/>
      </c>
      <c r="AV23" s="702">
        <f>IF($P23&gt;0,(($W23)/(12)),0)</f>
        <v/>
      </c>
      <c r="AW23" s="702">
        <f>IF($P23&gt;0,(($W23)/(12)),0)</f>
        <v/>
      </c>
      <c r="AX23" s="702">
        <f>IF($P23&gt;0,(($W23)/(12)),0)</f>
        <v/>
      </c>
      <c r="AY23" s="702">
        <f>IF($P23&gt;0,(($W23)/(12)),0)</f>
        <v/>
      </c>
      <c r="AZ23" s="702">
        <f>IF($P23&gt;0,(($W23)/(12)),0)</f>
        <v/>
      </c>
      <c r="BA23" s="702">
        <f>IF($P23&gt;0,(($W23)/(12)),0)</f>
        <v/>
      </c>
      <c r="BB23" s="702">
        <f>IF($P23&gt;0,(($W23)/(12)),0)</f>
        <v/>
      </c>
      <c r="BC23" s="765">
        <f>SUM(AQ23:BB23)</f>
        <v/>
      </c>
      <c r="BD23" s="702" t="n"/>
      <c r="BE23" s="702">
        <f>IF($Q23&gt;0,(($X23)/(12)),0)</f>
        <v/>
      </c>
      <c r="BF23" s="702">
        <f>IF($Q23&gt;0,(($X23)/(12)),0)</f>
        <v/>
      </c>
      <c r="BG23" s="702">
        <f>IF($Q23&gt;0,(($X23)/(12)),0)</f>
        <v/>
      </c>
      <c r="BH23" s="702">
        <f>IF($Q23&gt;0,(($X23)/(12)),0)</f>
        <v/>
      </c>
      <c r="BI23" s="702">
        <f>IF($Q23&gt;0,(($X23)/(12)),0)</f>
        <v/>
      </c>
      <c r="BJ23" s="702">
        <f>IF($Q23&gt;0,(($X23)/(12)),0)</f>
        <v/>
      </c>
      <c r="BK23" s="702">
        <f>IF($Q23&gt;0,(($X23)/(12)),0)</f>
        <v/>
      </c>
      <c r="BL23" s="702">
        <f>IF($Q23&gt;0,(($X23)/(12)),0)</f>
        <v/>
      </c>
      <c r="BM23" s="702">
        <f>IF($Q23&gt;0,(($X23)/(12)),0)</f>
        <v/>
      </c>
      <c r="BN23" s="702">
        <f>IF($Q23&gt;0,(($X23)/(12)),0)</f>
        <v/>
      </c>
      <c r="BO23" s="702">
        <f>IF($Q23&gt;0,(($X23)/(12)),0)</f>
        <v/>
      </c>
      <c r="BP23" s="702">
        <f>IF($Q23&gt;0,(($X23)/(12)),0)</f>
        <v/>
      </c>
      <c r="BQ23" s="765">
        <f>SUM(BE23:BP23)</f>
        <v/>
      </c>
      <c r="BR23" s="713" t="n"/>
      <c r="BS23" s="702">
        <f>IF($R23&gt;0,(($Y23)/(12)),0)</f>
        <v/>
      </c>
      <c r="BT23" s="702">
        <f>IF($R23&gt;0,(($Y23)/(12)),0)</f>
        <v/>
      </c>
      <c r="BU23" s="702">
        <f>IF($R23&gt;0,(($Y23)/(12)),0)</f>
        <v/>
      </c>
      <c r="BV23" s="702">
        <f>IF($R23&gt;0,(($Y23)/(12)),0)</f>
        <v/>
      </c>
      <c r="BW23" s="702">
        <f>IF($R23&gt;0,(($Y23)/(12)),0)</f>
        <v/>
      </c>
      <c r="BX23" s="702">
        <f>IF($R23&gt;0,(($Y23)/(12)),0)</f>
        <v/>
      </c>
      <c r="BY23" s="702">
        <f>IF($R23&gt;0,(($Y23)/(12)),0)</f>
        <v/>
      </c>
      <c r="BZ23" s="702">
        <f>IF($R23&gt;0,(($Y23)/(12)),0)</f>
        <v/>
      </c>
      <c r="CA23" s="702">
        <f>IF($R23&gt;0,(($Y23)/(12)),0)</f>
        <v/>
      </c>
      <c r="CB23" s="702">
        <f>IF($R23&gt;0,(($Y23)/(12)),0)</f>
        <v/>
      </c>
      <c r="CC23" s="702">
        <f>IF($R23&gt;0,(($Y23)/(12)),0)</f>
        <v/>
      </c>
      <c r="CD23" s="702">
        <f>IF($R23&gt;0,(($Y23)/(12)),0)</f>
        <v/>
      </c>
      <c r="CE23" s="765">
        <f>SUM(BS23:CD23)</f>
        <v/>
      </c>
      <c r="CF23" s="713" t="n"/>
      <c r="CG23" s="702">
        <f>IF($S23&gt;0,(($Z23)/(12)),0)</f>
        <v/>
      </c>
      <c r="CH23" s="702">
        <f>IF($S23&gt;0,(($Z23)/(12)),0)</f>
        <v/>
      </c>
      <c r="CI23" s="702">
        <f>IF($S23&gt;0,(($Z23)/(12)),0)</f>
        <v/>
      </c>
      <c r="CJ23" s="702">
        <f>IF($S23&gt;0,(($Z23)/(12)),0)</f>
        <v/>
      </c>
      <c r="CK23" s="702">
        <f>IF($S23&gt;0,(($Z23)/(12)),0)</f>
        <v/>
      </c>
      <c r="CL23" s="702">
        <f>IF($S23&gt;0,(($Z23)/(12)),0)</f>
        <v/>
      </c>
      <c r="CM23" s="702">
        <f>IF($S23&gt;0,(($Z23)/(12)),0)</f>
        <v/>
      </c>
      <c r="CN23" s="702">
        <f>IF($S23&gt;0,(($Z23)/(12)),0)</f>
        <v/>
      </c>
      <c r="CO23" s="702">
        <f>IF($S23&gt;0,(($Z23)/(12)),0)</f>
        <v/>
      </c>
      <c r="CP23" s="702">
        <f>IF($S23&gt;0,(($Z23)/(12)),0)</f>
        <v/>
      </c>
      <c r="CQ23" s="702">
        <f>IF($S23&gt;0,(($Z23)/(12)),0)</f>
        <v/>
      </c>
      <c r="CR23" s="702">
        <f>IF($S23&gt;0,(($Z23)/(12)),0)</f>
        <v/>
      </c>
      <c r="CS23" s="765">
        <f>SUM(CG23:CR23)</f>
        <v/>
      </c>
      <c r="CU23" s="702">
        <f>IF($T23&gt;0,(($AA23)/(12)),0)</f>
        <v/>
      </c>
      <c r="CV23" s="702">
        <f>IF($T23&gt;0,(($AA23)/(12)),0)</f>
        <v/>
      </c>
      <c r="CW23" s="702">
        <f>IF($T23&gt;0,(($AA23)/(12)),0)</f>
        <v/>
      </c>
      <c r="CX23" s="702">
        <f>IF($T23&gt;0,(($AA23)/(12)),0)</f>
        <v/>
      </c>
      <c r="CY23" s="702">
        <f>IF($T23&gt;0,(($AA23)/(12)),0)</f>
        <v/>
      </c>
      <c r="CZ23" s="702">
        <f>IF($T23&gt;0,(($AA23)/(12)),0)</f>
        <v/>
      </c>
      <c r="DA23" s="702">
        <f>IF($T23&gt;0,(($AA23)/(12)),0)</f>
        <v/>
      </c>
      <c r="DB23" s="702">
        <f>IF($T23&gt;0,(($AA23)/(12)),0)</f>
        <v/>
      </c>
      <c r="DC23" s="702">
        <f>IF($T23&gt;0,(($AA23)/(12)),0)</f>
        <v/>
      </c>
      <c r="DD23" s="702">
        <f>IF($T23&gt;0,(($AA23)/(12)),0)</f>
        <v/>
      </c>
      <c r="DE23" s="702">
        <f>IF($T23&gt;0,(($AA23)/(12)),0)</f>
        <v/>
      </c>
      <c r="DF23" s="702">
        <f>IF($T23&gt;0,(($AA23)/(12)),0)</f>
        <v/>
      </c>
      <c r="DG23" s="765">
        <f>SUM(CU23:DF23)</f>
        <v/>
      </c>
    </row>
    <row r="24" ht="15" customHeight="1" s="1883">
      <c r="B24" s="752">
        <f>((B23)+(1))</f>
        <v/>
      </c>
      <c r="C24" s="726" t="n"/>
      <c r="D24" s="730" t="inlineStr">
        <is>
          <t>●</t>
        </is>
      </c>
      <c r="E24" s="1446" t="inlineStr">
        <is>
          <t xml:space="preserve">Melanie Salvador </t>
        </is>
      </c>
      <c r="F24" s="66" t="n"/>
      <c r="G24" s="66" t="n"/>
      <c r="H24" s="66" t="n"/>
      <c r="I24" s="1446" t="inlineStr">
        <is>
          <t>Vice Chairman &amp; Deputy CEO</t>
        </is>
      </c>
      <c r="J24" s="745" t="inlineStr">
        <is>
          <t>CONUS</t>
        </is>
      </c>
      <c r="K24" s="737" t="n"/>
      <c r="L24" s="738" t="inlineStr">
        <is>
          <t>-12</t>
        </is>
      </c>
      <c r="M24" s="738" t="n">
        <v>-11</v>
      </c>
      <c r="N24" s="738" t="n"/>
      <c r="O24" s="749" t="n">
        <v>1</v>
      </c>
      <c r="P24" s="748" t="n">
        <v>1</v>
      </c>
      <c r="Q24" s="748" t="n">
        <v>1</v>
      </c>
      <c r="R24" s="748" t="n">
        <v>1</v>
      </c>
      <c r="S24" s="748" t="n">
        <v>1</v>
      </c>
      <c r="T24" s="748" t="n">
        <v>1</v>
      </c>
      <c r="U24" s="737" t="n"/>
      <c r="V24" s="702" t="n">
        <v>200000</v>
      </c>
      <c r="W24" s="702">
        <f>(V24)</f>
        <v/>
      </c>
      <c r="X24" s="702">
        <f>((W24)*((1)+($X$15)))</f>
        <v/>
      </c>
      <c r="Y24" s="702">
        <f>((X24)*((1)+($Y$15)))</f>
        <v/>
      </c>
      <c r="Z24" s="702">
        <f>((Y24)*((1)+($Z$15)))</f>
        <v/>
      </c>
      <c r="AA24" s="702">
        <f>((Z24)*((1)+($AA$15)))</f>
        <v/>
      </c>
      <c r="AB24" s="702" t="n"/>
      <c r="AC24" s="702" t="n">
        <v>0</v>
      </c>
      <c r="AD24" s="702">
        <f>(($V24)/(12))</f>
        <v/>
      </c>
      <c r="AE24" s="702">
        <f>(($V24)/(12))</f>
        <v/>
      </c>
      <c r="AF24" s="702">
        <f>(($V24)/(12))</f>
        <v/>
      </c>
      <c r="AG24" s="702">
        <f>(($V24)/(12))</f>
        <v/>
      </c>
      <c r="AH24" s="702">
        <f>(($V24)/(12))</f>
        <v/>
      </c>
      <c r="AI24" s="702">
        <f>(($V24)/(12))</f>
        <v/>
      </c>
      <c r="AJ24" s="702">
        <f>(($V24)/(12))</f>
        <v/>
      </c>
      <c r="AK24" s="702">
        <f>(($V24)/(12))</f>
        <v/>
      </c>
      <c r="AL24" s="702">
        <f>(($V24)/(12))</f>
        <v/>
      </c>
      <c r="AM24" s="702">
        <f>(($V24)/(12))</f>
        <v/>
      </c>
      <c r="AN24" s="702">
        <f>(($V24)/(12))</f>
        <v/>
      </c>
      <c r="AO24" s="765">
        <f>SUM(AC24:AN24)</f>
        <v/>
      </c>
      <c r="AP24" s="702" t="n"/>
      <c r="AQ24" s="702">
        <f>IF($P24&gt;0,(($W24)/(12)),0)</f>
        <v/>
      </c>
      <c r="AR24" s="702">
        <f>IF($P24&gt;0,(($W24)/(12)),0)</f>
        <v/>
      </c>
      <c r="AS24" s="702">
        <f>IF($P24&gt;0,(($W24)/(12)),0)</f>
        <v/>
      </c>
      <c r="AT24" s="702">
        <f>IF($P24&gt;0,(($W24)/(12)),0)</f>
        <v/>
      </c>
      <c r="AU24" s="702">
        <f>IF($P24&gt;0,(($W24)/(12)),0)</f>
        <v/>
      </c>
      <c r="AV24" s="702">
        <f>IF($P24&gt;0,(($W24)/(12)),0)</f>
        <v/>
      </c>
      <c r="AW24" s="702">
        <f>IF($P24&gt;0,(($W24)/(12)),0)</f>
        <v/>
      </c>
      <c r="AX24" s="702">
        <f>IF($P24&gt;0,(($W24)/(12)),0)</f>
        <v/>
      </c>
      <c r="AY24" s="702">
        <f>IF($P24&gt;0,(($W24)/(12)),0)</f>
        <v/>
      </c>
      <c r="AZ24" s="702">
        <f>IF($P24&gt;0,(($W24)/(12)),0)</f>
        <v/>
      </c>
      <c r="BA24" s="702">
        <f>IF($P24&gt;0,(($W24)/(12)),0)</f>
        <v/>
      </c>
      <c r="BB24" s="702">
        <f>IF($P24&gt;0,(($W24)/(12)),0)</f>
        <v/>
      </c>
      <c r="BC24" s="765">
        <f>SUM(AQ24:BB24)</f>
        <v/>
      </c>
      <c r="BD24" s="702" t="n"/>
      <c r="BE24" s="702">
        <f>IF($Q24&gt;0,(($X24)/(12)),0)</f>
        <v/>
      </c>
      <c r="BF24" s="702">
        <f>IF($Q24&gt;0,(($X24)/(12)),0)</f>
        <v/>
      </c>
      <c r="BG24" s="702">
        <f>IF($Q24&gt;0,(($X24)/(12)),0)</f>
        <v/>
      </c>
      <c r="BH24" s="702">
        <f>IF($Q24&gt;0,(($X24)/(12)),0)</f>
        <v/>
      </c>
      <c r="BI24" s="702">
        <f>IF($Q24&gt;0,(($X24)/(12)),0)</f>
        <v/>
      </c>
      <c r="BJ24" s="702">
        <f>IF($Q24&gt;0,(($X24)/(12)),0)</f>
        <v/>
      </c>
      <c r="BK24" s="702">
        <f>IF($Q24&gt;0,(($X24)/(12)),0)</f>
        <v/>
      </c>
      <c r="BL24" s="702">
        <f>IF($Q24&gt;0,(($X24)/(12)),0)</f>
        <v/>
      </c>
      <c r="BM24" s="702">
        <f>IF($Q24&gt;0,(($X24)/(12)),0)</f>
        <v/>
      </c>
      <c r="BN24" s="702">
        <f>IF($Q24&gt;0,(($X24)/(12)),0)</f>
        <v/>
      </c>
      <c r="BO24" s="702">
        <f>IF($Q24&gt;0,(($X24)/(12)),0)</f>
        <v/>
      </c>
      <c r="BP24" s="702">
        <f>IF($Q24&gt;0,(($X24)/(12)),0)</f>
        <v/>
      </c>
      <c r="BQ24" s="765">
        <f>SUM(BE24:BP24)</f>
        <v/>
      </c>
      <c r="BR24" s="713" t="n"/>
      <c r="BS24" s="702">
        <f>IF($R24&gt;0,(($Y24)/(12)),0)</f>
        <v/>
      </c>
      <c r="BT24" s="702">
        <f>IF($R24&gt;0,(($Y24)/(12)),0)</f>
        <v/>
      </c>
      <c r="BU24" s="702">
        <f>IF($R24&gt;0,(($Y24)/(12)),0)</f>
        <v/>
      </c>
      <c r="BV24" s="702">
        <f>IF($R24&gt;0,(($Y24)/(12)),0)</f>
        <v/>
      </c>
      <c r="BW24" s="702">
        <f>IF($R24&gt;0,(($Y24)/(12)),0)</f>
        <v/>
      </c>
      <c r="BX24" s="702">
        <f>IF($R24&gt;0,(($Y24)/(12)),0)</f>
        <v/>
      </c>
      <c r="BY24" s="702">
        <f>IF($R24&gt;0,(($Y24)/(12)),0)</f>
        <v/>
      </c>
      <c r="BZ24" s="702">
        <f>IF($R24&gt;0,(($Y24)/(12)),0)</f>
        <v/>
      </c>
      <c r="CA24" s="702">
        <f>IF($R24&gt;0,(($Y24)/(12)),0)</f>
        <v/>
      </c>
      <c r="CB24" s="702">
        <f>IF($R24&gt;0,(($Y24)/(12)),0)</f>
        <v/>
      </c>
      <c r="CC24" s="702">
        <f>IF($R24&gt;0,(($Y24)/(12)),0)</f>
        <v/>
      </c>
      <c r="CD24" s="702">
        <f>IF($R24&gt;0,(($Y24)/(12)),0)</f>
        <v/>
      </c>
      <c r="CE24" s="765">
        <f>SUM(BS24:CD24)</f>
        <v/>
      </c>
      <c r="CF24" s="713" t="n"/>
      <c r="CG24" s="702">
        <f>IF($S24&gt;0,(($Z24)/(12)),0)</f>
        <v/>
      </c>
      <c r="CH24" s="702">
        <f>IF($S24&gt;0,(($Z24)/(12)),0)</f>
        <v/>
      </c>
      <c r="CI24" s="702">
        <f>IF($S24&gt;0,(($Z24)/(12)),0)</f>
        <v/>
      </c>
      <c r="CJ24" s="702">
        <f>IF($S24&gt;0,(($Z24)/(12)),0)</f>
        <v/>
      </c>
      <c r="CK24" s="702">
        <f>IF($S24&gt;0,(($Z24)/(12)),0)</f>
        <v/>
      </c>
      <c r="CL24" s="702">
        <f>IF($S24&gt;0,(($Z24)/(12)),0)</f>
        <v/>
      </c>
      <c r="CM24" s="702">
        <f>IF($S24&gt;0,(($Z24)/(12)),0)</f>
        <v/>
      </c>
      <c r="CN24" s="702">
        <f>IF($S24&gt;0,(($Z24)/(12)),0)</f>
        <v/>
      </c>
      <c r="CO24" s="702">
        <f>IF($S24&gt;0,(($Z24)/(12)),0)</f>
        <v/>
      </c>
      <c r="CP24" s="702">
        <f>IF($S24&gt;0,(($Z24)/(12)),0)</f>
        <v/>
      </c>
      <c r="CQ24" s="702">
        <f>IF($S24&gt;0,(($Z24)/(12)),0)</f>
        <v/>
      </c>
      <c r="CR24" s="702">
        <f>IF($S24&gt;0,(($Z24)/(12)),0)</f>
        <v/>
      </c>
      <c r="CS24" s="765">
        <f>SUM(CG24:CR24)</f>
        <v/>
      </c>
      <c r="CU24" s="702">
        <f>IF($T24&gt;0,(($AA24)/(12)),0)</f>
        <v/>
      </c>
      <c r="CV24" s="702">
        <f>IF($T24&gt;0,(($AA24)/(12)),0)</f>
        <v/>
      </c>
      <c r="CW24" s="702">
        <f>IF($T24&gt;0,(($AA24)/(12)),0)</f>
        <v/>
      </c>
      <c r="CX24" s="702">
        <f>IF($T24&gt;0,(($AA24)/(12)),0)</f>
        <v/>
      </c>
      <c r="CY24" s="702">
        <f>IF($T24&gt;0,(($AA24)/(12)),0)</f>
        <v/>
      </c>
      <c r="CZ24" s="702">
        <f>IF($T24&gt;0,(($AA24)/(12)),0)</f>
        <v/>
      </c>
      <c r="DA24" s="702">
        <f>IF($T24&gt;0,(($AA24)/(12)),0)</f>
        <v/>
      </c>
      <c r="DB24" s="702">
        <f>IF($T24&gt;0,(($AA24)/(12)),0)</f>
        <v/>
      </c>
      <c r="DC24" s="702">
        <f>IF($T24&gt;0,(($AA24)/(12)),0)</f>
        <v/>
      </c>
      <c r="DD24" s="702">
        <f>IF($T24&gt;0,(($AA24)/(12)),0)</f>
        <v/>
      </c>
      <c r="DE24" s="702">
        <f>IF($T24&gt;0,(($AA24)/(12)),0)</f>
        <v/>
      </c>
      <c r="DF24" s="702">
        <f>IF($T24&gt;0,(($AA24)/(12)),0)</f>
        <v/>
      </c>
      <c r="DG24" s="765">
        <f>SUM(CU24:DF24)</f>
        <v/>
      </c>
    </row>
    <row r="25" ht="15" customHeight="1" s="1883">
      <c r="B25" s="752">
        <f>((B24)+(1))</f>
        <v/>
      </c>
      <c r="C25" s="726" t="n"/>
      <c r="D25" s="730" t="inlineStr">
        <is>
          <t>●</t>
        </is>
      </c>
      <c r="E25" s="1446" t="inlineStr">
        <is>
          <t xml:space="preserve">Mike Schuman </t>
        </is>
      </c>
      <c r="F25" s="66" t="n"/>
      <c r="G25" s="66" t="n"/>
      <c r="H25" s="66" t="n"/>
      <c r="I25" s="1446" t="inlineStr">
        <is>
          <t>Chief Commercial Officer</t>
        </is>
      </c>
      <c r="J25" s="745" t="inlineStr">
        <is>
          <t>CONUS</t>
        </is>
      </c>
      <c r="K25" s="737" t="n"/>
      <c r="L25" s="738" t="inlineStr">
        <is>
          <t>-12</t>
        </is>
      </c>
      <c r="M25" s="738" t="n">
        <v>-11</v>
      </c>
      <c r="N25" s="738" t="n"/>
      <c r="O25" s="749" t="n">
        <v>1</v>
      </c>
      <c r="P25" s="748" t="n">
        <v>1</v>
      </c>
      <c r="Q25" s="748" t="n">
        <v>1</v>
      </c>
      <c r="R25" s="748" t="n">
        <v>1</v>
      </c>
      <c r="S25" s="748" t="n">
        <v>1</v>
      </c>
      <c r="T25" s="748" t="n">
        <v>1</v>
      </c>
      <c r="U25" s="737" t="n"/>
      <c r="V25" s="702" t="n">
        <v>200000</v>
      </c>
      <c r="W25" s="702">
        <f>(V25)</f>
        <v/>
      </c>
      <c r="X25" s="702">
        <f>((W25)*((1)+($X$15)))</f>
        <v/>
      </c>
      <c r="Y25" s="702">
        <f>((X25)*((1)+($Y$15)))</f>
        <v/>
      </c>
      <c r="Z25" s="702">
        <f>((Y25)*((1)+($Z$15)))</f>
        <v/>
      </c>
      <c r="AA25" s="702">
        <f>((Z25)*((1)+($AA$15)))</f>
        <v/>
      </c>
      <c r="AB25" s="702" t="n"/>
      <c r="AC25" s="702" t="n">
        <v>0</v>
      </c>
      <c r="AD25" s="702">
        <f>(($V25)/(12))</f>
        <v/>
      </c>
      <c r="AE25" s="702">
        <f>(($V25)/(12))</f>
        <v/>
      </c>
      <c r="AF25" s="702">
        <f>(($V25)/(12))</f>
        <v/>
      </c>
      <c r="AG25" s="702">
        <f>(($V25)/(12))</f>
        <v/>
      </c>
      <c r="AH25" s="702">
        <f>(($V25)/(12))</f>
        <v/>
      </c>
      <c r="AI25" s="702">
        <f>(($V25)/(12))</f>
        <v/>
      </c>
      <c r="AJ25" s="702">
        <f>(($V25)/(12))</f>
        <v/>
      </c>
      <c r="AK25" s="702">
        <f>(($V25)/(12))</f>
        <v/>
      </c>
      <c r="AL25" s="702">
        <f>(($V25)/(12))</f>
        <v/>
      </c>
      <c r="AM25" s="702">
        <f>(($V25)/(12))</f>
        <v/>
      </c>
      <c r="AN25" s="702">
        <f>(($V25)/(12))</f>
        <v/>
      </c>
      <c r="AO25" s="765">
        <f>SUM(AC25:AN25)</f>
        <v/>
      </c>
      <c r="AP25" s="702" t="n"/>
      <c r="AQ25" s="702">
        <f>IF($P25&gt;0,(($W25)/(12)),0)</f>
        <v/>
      </c>
      <c r="AR25" s="702">
        <f>IF($P25&gt;0,(($W25)/(12)),0)</f>
        <v/>
      </c>
      <c r="AS25" s="702">
        <f>IF($P25&gt;0,(($W25)/(12)),0)</f>
        <v/>
      </c>
      <c r="AT25" s="702">
        <f>IF($P25&gt;0,(($W25)/(12)),0)</f>
        <v/>
      </c>
      <c r="AU25" s="702">
        <f>IF($P25&gt;0,(($W25)/(12)),0)</f>
        <v/>
      </c>
      <c r="AV25" s="702">
        <f>IF($P25&gt;0,(($W25)/(12)),0)</f>
        <v/>
      </c>
      <c r="AW25" s="702">
        <f>IF($P25&gt;0,(($W25)/(12)),0)</f>
        <v/>
      </c>
      <c r="AX25" s="702">
        <f>IF($P25&gt;0,(($W25)/(12)),0)</f>
        <v/>
      </c>
      <c r="AY25" s="702">
        <f>IF($P25&gt;0,(($W25)/(12)),0)</f>
        <v/>
      </c>
      <c r="AZ25" s="702">
        <f>IF($P25&gt;0,(($W25)/(12)),0)</f>
        <v/>
      </c>
      <c r="BA25" s="702">
        <f>IF($P25&gt;0,(($W25)/(12)),0)</f>
        <v/>
      </c>
      <c r="BB25" s="702">
        <f>IF($P25&gt;0,(($W25)/(12)),0)</f>
        <v/>
      </c>
      <c r="BC25" s="765">
        <f>SUM(AQ25:BB25)</f>
        <v/>
      </c>
      <c r="BD25" s="702" t="n"/>
      <c r="BE25" s="702">
        <f>IF($Q25&gt;0,(($X25)/(12)),0)</f>
        <v/>
      </c>
      <c r="BF25" s="702">
        <f>IF($Q25&gt;0,(($X25)/(12)),0)</f>
        <v/>
      </c>
      <c r="BG25" s="702">
        <f>IF($Q25&gt;0,(($X25)/(12)),0)</f>
        <v/>
      </c>
      <c r="BH25" s="702">
        <f>IF($Q25&gt;0,(($X25)/(12)),0)</f>
        <v/>
      </c>
      <c r="BI25" s="702">
        <f>IF($Q25&gt;0,(($X25)/(12)),0)</f>
        <v/>
      </c>
      <c r="BJ25" s="702">
        <f>IF($Q25&gt;0,(($X25)/(12)),0)</f>
        <v/>
      </c>
      <c r="BK25" s="702">
        <f>IF($Q25&gt;0,(($X25)/(12)),0)</f>
        <v/>
      </c>
      <c r="BL25" s="702">
        <f>IF($Q25&gt;0,(($X25)/(12)),0)</f>
        <v/>
      </c>
      <c r="BM25" s="702">
        <f>IF($Q25&gt;0,(($X25)/(12)),0)</f>
        <v/>
      </c>
      <c r="BN25" s="702">
        <f>IF($Q25&gt;0,(($X25)/(12)),0)</f>
        <v/>
      </c>
      <c r="BO25" s="702">
        <f>IF($Q25&gt;0,(($X25)/(12)),0)</f>
        <v/>
      </c>
      <c r="BP25" s="702">
        <f>IF($Q25&gt;0,(($X25)/(12)),0)</f>
        <v/>
      </c>
      <c r="BQ25" s="765">
        <f>SUM(BE25:BP25)</f>
        <v/>
      </c>
      <c r="BR25" s="713" t="n"/>
      <c r="BS25" s="702">
        <f>IF($R25&gt;0,(($Y25)/(12)),0)</f>
        <v/>
      </c>
      <c r="BT25" s="702">
        <f>IF($R25&gt;0,(($Y25)/(12)),0)</f>
        <v/>
      </c>
      <c r="BU25" s="702">
        <f>IF($R25&gt;0,(($Y25)/(12)),0)</f>
        <v/>
      </c>
      <c r="BV25" s="702">
        <f>IF($R25&gt;0,(($Y25)/(12)),0)</f>
        <v/>
      </c>
      <c r="BW25" s="702">
        <f>IF($R25&gt;0,(($Y25)/(12)),0)</f>
        <v/>
      </c>
      <c r="BX25" s="702">
        <f>IF($R25&gt;0,(($Y25)/(12)),0)</f>
        <v/>
      </c>
      <c r="BY25" s="702">
        <f>IF($R25&gt;0,(($Y25)/(12)),0)</f>
        <v/>
      </c>
      <c r="BZ25" s="702">
        <f>IF($R25&gt;0,(($Y25)/(12)),0)</f>
        <v/>
      </c>
      <c r="CA25" s="702">
        <f>IF($R25&gt;0,(($Y25)/(12)),0)</f>
        <v/>
      </c>
      <c r="CB25" s="702">
        <f>IF($R25&gt;0,(($Y25)/(12)),0)</f>
        <v/>
      </c>
      <c r="CC25" s="702">
        <f>IF($R25&gt;0,(($Y25)/(12)),0)</f>
        <v/>
      </c>
      <c r="CD25" s="702">
        <f>IF($R25&gt;0,(($Y25)/(12)),0)</f>
        <v/>
      </c>
      <c r="CE25" s="765">
        <f>SUM(BS25:CD25)</f>
        <v/>
      </c>
      <c r="CF25" s="713" t="n"/>
      <c r="CG25" s="702">
        <f>IF($S25&gt;0,(($Z25)/(12)),0)</f>
        <v/>
      </c>
      <c r="CH25" s="702">
        <f>IF($S25&gt;0,(($Z25)/(12)),0)</f>
        <v/>
      </c>
      <c r="CI25" s="702">
        <f>IF($S25&gt;0,(($Z25)/(12)),0)</f>
        <v/>
      </c>
      <c r="CJ25" s="702">
        <f>IF($S25&gt;0,(($Z25)/(12)),0)</f>
        <v/>
      </c>
      <c r="CK25" s="702">
        <f>IF($S25&gt;0,(($Z25)/(12)),0)</f>
        <v/>
      </c>
      <c r="CL25" s="702">
        <f>IF($S25&gt;0,(($Z25)/(12)),0)</f>
        <v/>
      </c>
      <c r="CM25" s="702">
        <f>IF($S25&gt;0,(($Z25)/(12)),0)</f>
        <v/>
      </c>
      <c r="CN25" s="702">
        <f>IF($S25&gt;0,(($Z25)/(12)),0)</f>
        <v/>
      </c>
      <c r="CO25" s="702">
        <f>IF($S25&gt;0,(($Z25)/(12)),0)</f>
        <v/>
      </c>
      <c r="CP25" s="702">
        <f>IF($S25&gt;0,(($Z25)/(12)),0)</f>
        <v/>
      </c>
      <c r="CQ25" s="702">
        <f>IF($S25&gt;0,(($Z25)/(12)),0)</f>
        <v/>
      </c>
      <c r="CR25" s="702">
        <f>IF($S25&gt;0,(($Z25)/(12)),0)</f>
        <v/>
      </c>
      <c r="CS25" s="765">
        <f>SUM(CG25:CR25)</f>
        <v/>
      </c>
      <c r="CU25" s="702">
        <f>IF($T25&gt;0,(($AA25)/(12)),0)</f>
        <v/>
      </c>
      <c r="CV25" s="702">
        <f>IF($T25&gt;0,(($AA25)/(12)),0)</f>
        <v/>
      </c>
      <c r="CW25" s="702">
        <f>IF($T25&gt;0,(($AA25)/(12)),0)</f>
        <v/>
      </c>
      <c r="CX25" s="702">
        <f>IF($T25&gt;0,(($AA25)/(12)),0)</f>
        <v/>
      </c>
      <c r="CY25" s="702">
        <f>IF($T25&gt;0,(($AA25)/(12)),0)</f>
        <v/>
      </c>
      <c r="CZ25" s="702">
        <f>IF($T25&gt;0,(($AA25)/(12)),0)</f>
        <v/>
      </c>
      <c r="DA25" s="702">
        <f>IF($T25&gt;0,(($AA25)/(12)),0)</f>
        <v/>
      </c>
      <c r="DB25" s="702">
        <f>IF($T25&gt;0,(($AA25)/(12)),0)</f>
        <v/>
      </c>
      <c r="DC25" s="702">
        <f>IF($T25&gt;0,(($AA25)/(12)),0)</f>
        <v/>
      </c>
      <c r="DD25" s="702">
        <f>IF($T25&gt;0,(($AA25)/(12)),0)</f>
        <v/>
      </c>
      <c r="DE25" s="702">
        <f>IF($T25&gt;0,(($AA25)/(12)),0)</f>
        <v/>
      </c>
      <c r="DF25" s="702">
        <f>IF($T25&gt;0,(($AA25)/(12)),0)</f>
        <v/>
      </c>
      <c r="DG25" s="765">
        <f>SUM(CU25:DF25)</f>
        <v/>
      </c>
    </row>
    <row r="26" ht="15" customHeight="1" s="1883">
      <c r="B26" s="752">
        <f>((B25)+(1))</f>
        <v/>
      </c>
      <c r="C26" s="726" t="n"/>
      <c r="D26" s="730" t="inlineStr">
        <is>
          <t>●</t>
        </is>
      </c>
      <c r="E26" s="1446" t="inlineStr">
        <is>
          <t xml:space="preserve">Nathan Olson </t>
        </is>
      </c>
      <c r="F26" s="66" t="n"/>
      <c r="G26" s="66" t="n"/>
      <c r="H26" s="66" t="n"/>
      <c r="I26" s="1446" t="inlineStr">
        <is>
          <t>President, Pure Marketing</t>
        </is>
      </c>
      <c r="J26" s="745" t="inlineStr">
        <is>
          <t>CONUS</t>
        </is>
      </c>
      <c r="K26" s="745" t="n"/>
      <c r="L26" s="738" t="inlineStr">
        <is>
          <t>-12</t>
        </is>
      </c>
      <c r="M26" s="738" t="n">
        <v>-11</v>
      </c>
      <c r="N26" s="738" t="n"/>
      <c r="O26" s="749" t="n">
        <v>1</v>
      </c>
      <c r="P26" s="748" t="n">
        <v>1</v>
      </c>
      <c r="Q26" s="748" t="n">
        <v>1</v>
      </c>
      <c r="R26" s="748" t="n">
        <v>1</v>
      </c>
      <c r="S26" s="748" t="n">
        <v>1</v>
      </c>
      <c r="T26" s="748" t="n">
        <v>1</v>
      </c>
      <c r="U26" s="1637" t="n"/>
      <c r="V26" s="1637" t="n">
        <v>165000</v>
      </c>
      <c r="W26" s="702">
        <f>(V26)</f>
        <v/>
      </c>
      <c r="X26" s="702">
        <f>((W26)*((1)+($X$15)))</f>
        <v/>
      </c>
      <c r="Y26" s="702">
        <f>((X26)*((1)+($Y$15)))</f>
        <v/>
      </c>
      <c r="Z26" s="702">
        <f>((Y26)*((1)+($Z$15)))</f>
        <v/>
      </c>
      <c r="AA26" s="702">
        <f>((Z26)*((1)+($AA$15)))</f>
        <v/>
      </c>
      <c r="AB26" s="702" t="n"/>
      <c r="AC26" s="702" t="n">
        <v>0</v>
      </c>
      <c r="AD26" s="702">
        <f>(($V26)/(12))</f>
        <v/>
      </c>
      <c r="AE26" s="702">
        <f>(($V26)/(12))</f>
        <v/>
      </c>
      <c r="AF26" s="702">
        <f>(($V26)/(12))</f>
        <v/>
      </c>
      <c r="AG26" s="702">
        <f>(($V26)/(12))</f>
        <v/>
      </c>
      <c r="AH26" s="702">
        <f>(($V26)/(12))</f>
        <v/>
      </c>
      <c r="AI26" s="702">
        <f>(($V26)/(12))</f>
        <v/>
      </c>
      <c r="AJ26" s="702">
        <f>(($V26)/(12))</f>
        <v/>
      </c>
      <c r="AK26" s="702">
        <f>(($V26)/(12))</f>
        <v/>
      </c>
      <c r="AL26" s="702">
        <f>(($V26)/(12))</f>
        <v/>
      </c>
      <c r="AM26" s="702">
        <f>(($V26)/(12))</f>
        <v/>
      </c>
      <c r="AN26" s="702">
        <f>(($V26)/(12))</f>
        <v/>
      </c>
      <c r="AO26" s="765">
        <f>SUM(AC26:AN26)</f>
        <v/>
      </c>
      <c r="AP26" s="462" t="n"/>
      <c r="AQ26" s="702">
        <f>IF($P26&gt;0,(($W26)/(12)),0)</f>
        <v/>
      </c>
      <c r="AR26" s="702">
        <f>IF($P26&gt;0,(($W26)/(12)),0)</f>
        <v/>
      </c>
      <c r="AS26" s="702">
        <f>IF($P26&gt;0,(($W26)/(12)),0)</f>
        <v/>
      </c>
      <c r="AT26" s="702">
        <f>IF($P26&gt;0,(($W26)/(12)),0)</f>
        <v/>
      </c>
      <c r="AU26" s="702">
        <f>IF($P26&gt;0,(($W26)/(12)),0)</f>
        <v/>
      </c>
      <c r="AV26" s="702">
        <f>IF($P26&gt;0,(($W26)/(12)),0)</f>
        <v/>
      </c>
      <c r="AW26" s="702">
        <f>IF($P26&gt;0,(($W26)/(12)),0)</f>
        <v/>
      </c>
      <c r="AX26" s="702">
        <f>IF($P26&gt;0,(($W26)/(12)),0)</f>
        <v/>
      </c>
      <c r="AY26" s="702">
        <f>IF($P26&gt;0,(($W26)/(12)),0)</f>
        <v/>
      </c>
      <c r="AZ26" s="702">
        <f>IF($P26&gt;0,(($W26)/(12)),0)</f>
        <v/>
      </c>
      <c r="BA26" s="702">
        <f>IF($P26&gt;0,(($W26)/(12)),0)</f>
        <v/>
      </c>
      <c r="BB26" s="702">
        <f>IF($P26&gt;0,(($W26)/(12)),0)</f>
        <v/>
      </c>
      <c r="BC26" s="765">
        <f>SUM(AQ26:BB26)</f>
        <v/>
      </c>
      <c r="BD26" s="462" t="n"/>
      <c r="BE26" s="702">
        <f>IF($Q26&gt;0,(($X26)/(12)),0)</f>
        <v/>
      </c>
      <c r="BF26" s="702">
        <f>IF($Q26&gt;0,(($X26)/(12)),0)</f>
        <v/>
      </c>
      <c r="BG26" s="702">
        <f>IF($Q26&gt;0,(($X26)/(12)),0)</f>
        <v/>
      </c>
      <c r="BH26" s="702">
        <f>IF($Q26&gt;0,(($X26)/(12)),0)</f>
        <v/>
      </c>
      <c r="BI26" s="702">
        <f>IF($Q26&gt;0,(($X26)/(12)),0)</f>
        <v/>
      </c>
      <c r="BJ26" s="702">
        <f>IF($Q26&gt;0,(($X26)/(12)),0)</f>
        <v/>
      </c>
      <c r="BK26" s="702">
        <f>IF($Q26&gt;0,(($X26)/(12)),0)</f>
        <v/>
      </c>
      <c r="BL26" s="702">
        <f>IF($Q26&gt;0,(($X26)/(12)),0)</f>
        <v/>
      </c>
      <c r="BM26" s="702">
        <f>IF($Q26&gt;0,(($X26)/(12)),0)</f>
        <v/>
      </c>
      <c r="BN26" s="702">
        <f>IF($Q26&gt;0,(($X26)/(12)),0)</f>
        <v/>
      </c>
      <c r="BO26" s="702">
        <f>IF($Q26&gt;0,(($X26)/(12)),0)</f>
        <v/>
      </c>
      <c r="BP26" s="702">
        <f>IF($Q26&gt;0,(($X26)/(12)),0)</f>
        <v/>
      </c>
      <c r="BQ26" s="765">
        <f>SUM(BE26:BP26)</f>
        <v/>
      </c>
      <c r="BR26" s="507" t="n"/>
      <c r="BS26" s="702">
        <f>IF($R26&gt;0,(($Y26)/(12)),0)</f>
        <v/>
      </c>
      <c r="BT26" s="702">
        <f>IF($R26&gt;0,(($Y26)/(12)),0)</f>
        <v/>
      </c>
      <c r="BU26" s="702">
        <f>IF($R26&gt;0,(($Y26)/(12)),0)</f>
        <v/>
      </c>
      <c r="BV26" s="702">
        <f>IF($R26&gt;0,(($Y26)/(12)),0)</f>
        <v/>
      </c>
      <c r="BW26" s="702">
        <f>IF($R26&gt;0,(($Y26)/(12)),0)</f>
        <v/>
      </c>
      <c r="BX26" s="702">
        <f>IF($R26&gt;0,(($Y26)/(12)),0)</f>
        <v/>
      </c>
      <c r="BY26" s="702">
        <f>IF($R26&gt;0,(($Y26)/(12)),0)</f>
        <v/>
      </c>
      <c r="BZ26" s="702">
        <f>IF($R26&gt;0,(($Y26)/(12)),0)</f>
        <v/>
      </c>
      <c r="CA26" s="702">
        <f>IF($R26&gt;0,(($Y26)/(12)),0)</f>
        <v/>
      </c>
      <c r="CB26" s="702">
        <f>IF($R26&gt;0,(($Y26)/(12)),0)</f>
        <v/>
      </c>
      <c r="CC26" s="702">
        <f>IF($R26&gt;0,(($Y26)/(12)),0)</f>
        <v/>
      </c>
      <c r="CD26" s="702">
        <f>IF($R26&gt;0,(($Y26)/(12)),0)</f>
        <v/>
      </c>
      <c r="CE26" s="765">
        <f>SUM(BS26:CD26)</f>
        <v/>
      </c>
      <c r="CF26" s="507" t="n"/>
      <c r="CG26" s="702">
        <f>IF($S26&gt;0,(($Z26)/(12)),0)</f>
        <v/>
      </c>
      <c r="CH26" s="702">
        <f>IF($S26&gt;0,(($Z26)/(12)),0)</f>
        <v/>
      </c>
      <c r="CI26" s="702">
        <f>IF($S26&gt;0,(($Z26)/(12)),0)</f>
        <v/>
      </c>
      <c r="CJ26" s="702">
        <f>IF($S26&gt;0,(($Z26)/(12)),0)</f>
        <v/>
      </c>
      <c r="CK26" s="702">
        <f>IF($S26&gt;0,(($Z26)/(12)),0)</f>
        <v/>
      </c>
      <c r="CL26" s="702">
        <f>IF($S26&gt;0,(($Z26)/(12)),0)</f>
        <v/>
      </c>
      <c r="CM26" s="702">
        <f>IF($S26&gt;0,(($Z26)/(12)),0)</f>
        <v/>
      </c>
      <c r="CN26" s="702">
        <f>IF($S26&gt;0,(($Z26)/(12)),0)</f>
        <v/>
      </c>
      <c r="CO26" s="702">
        <f>IF($S26&gt;0,(($Z26)/(12)),0)</f>
        <v/>
      </c>
      <c r="CP26" s="702">
        <f>IF($S26&gt;0,(($Z26)/(12)),0)</f>
        <v/>
      </c>
      <c r="CQ26" s="702">
        <f>IF($S26&gt;0,(($Z26)/(12)),0)</f>
        <v/>
      </c>
      <c r="CR26" s="702">
        <f>IF($S26&gt;0,(($Z26)/(12)),0)</f>
        <v/>
      </c>
      <c r="CS26" s="765">
        <f>SUM(CG26:CR26)</f>
        <v/>
      </c>
      <c r="CU26" s="702">
        <f>IF($T26&gt;0,(($AA26)/(12)),0)</f>
        <v/>
      </c>
      <c r="CV26" s="702">
        <f>IF($T26&gt;0,(($AA26)/(12)),0)</f>
        <v/>
      </c>
      <c r="CW26" s="702">
        <f>IF($T26&gt;0,(($AA26)/(12)),0)</f>
        <v/>
      </c>
      <c r="CX26" s="702">
        <f>IF($T26&gt;0,(($AA26)/(12)),0)</f>
        <v/>
      </c>
      <c r="CY26" s="702">
        <f>IF($T26&gt;0,(($AA26)/(12)),0)</f>
        <v/>
      </c>
      <c r="CZ26" s="702">
        <f>IF($T26&gt;0,(($AA26)/(12)),0)</f>
        <v/>
      </c>
      <c r="DA26" s="702">
        <f>IF($T26&gt;0,(($AA26)/(12)),0)</f>
        <v/>
      </c>
      <c r="DB26" s="702">
        <f>IF($T26&gt;0,(($AA26)/(12)),0)</f>
        <v/>
      </c>
      <c r="DC26" s="702">
        <f>IF($T26&gt;0,(($AA26)/(12)),0)</f>
        <v/>
      </c>
      <c r="DD26" s="702">
        <f>IF($T26&gt;0,(($AA26)/(12)),0)</f>
        <v/>
      </c>
      <c r="DE26" s="702">
        <f>IF($T26&gt;0,(($AA26)/(12)),0)</f>
        <v/>
      </c>
      <c r="DF26" s="702">
        <f>IF($T26&gt;0,(($AA26)/(12)),0)</f>
        <v/>
      </c>
      <c r="DG26" s="765">
        <f>SUM(CU26:DF26)</f>
        <v/>
      </c>
    </row>
    <row r="27" ht="15" customHeight="1" s="1883">
      <c r="B27" s="752">
        <f>((B26)+(1))</f>
        <v/>
      </c>
      <c r="C27" s="726" t="n"/>
      <c r="D27" s="730" t="inlineStr">
        <is>
          <t>●</t>
        </is>
      </c>
      <c r="E27" s="1446" t="inlineStr">
        <is>
          <t>James Weinberg</t>
        </is>
      </c>
      <c r="F27" s="66" t="n"/>
      <c r="G27" s="66" t="n"/>
      <c r="H27" s="66" t="n"/>
      <c r="I27" s="1446" t="inlineStr">
        <is>
          <t>Chief Financial Officer</t>
        </is>
      </c>
      <c r="J27" s="745" t="inlineStr">
        <is>
          <t>CONUS</t>
        </is>
      </c>
      <c r="K27" s="745" t="n"/>
      <c r="L27" s="738" t="n">
        <v>-11</v>
      </c>
      <c r="M27" s="738" t="n">
        <v>-11</v>
      </c>
      <c r="N27" s="738" t="n"/>
      <c r="O27" s="749" t="n">
        <v>1</v>
      </c>
      <c r="P27" s="748" t="n">
        <v>1</v>
      </c>
      <c r="Q27" s="748" t="n">
        <v>1</v>
      </c>
      <c r="R27" s="748" t="n">
        <v>1</v>
      </c>
      <c r="S27" s="748" t="n">
        <v>1</v>
      </c>
      <c r="T27" s="748" t="n">
        <v>1</v>
      </c>
      <c r="U27" s="737" t="n"/>
      <c r="V27" s="702" t="n">
        <v>200000</v>
      </c>
      <c r="W27" s="702">
        <f>(V27)</f>
        <v/>
      </c>
      <c r="X27" s="702">
        <f>((W27)*((1)+($X$15)))</f>
        <v/>
      </c>
      <c r="Y27" s="702">
        <f>((X27)*((1)+($Y$15)))</f>
        <v/>
      </c>
      <c r="Z27" s="702">
        <f>((Y27)*((1)+($Z$15)))</f>
        <v/>
      </c>
      <c r="AA27" s="702">
        <f>((Z27)*((1)+($AA$15)))</f>
        <v/>
      </c>
      <c r="AB27" s="702" t="n"/>
      <c r="AC27" s="702" t="n">
        <v>0</v>
      </c>
      <c r="AD27" s="702">
        <f>(($V27)/(12))</f>
        <v/>
      </c>
      <c r="AE27" s="702">
        <f>(($V27)/(12))</f>
        <v/>
      </c>
      <c r="AF27" s="702">
        <f>(($V27)/(12))</f>
        <v/>
      </c>
      <c r="AG27" s="702">
        <f>(($V27)/(12))</f>
        <v/>
      </c>
      <c r="AH27" s="702">
        <f>(($V27)/(12))</f>
        <v/>
      </c>
      <c r="AI27" s="702">
        <f>(($V27)/(12))</f>
        <v/>
      </c>
      <c r="AJ27" s="702">
        <f>(($V27)/(12))</f>
        <v/>
      </c>
      <c r="AK27" s="702">
        <f>(($V27)/(12))</f>
        <v/>
      </c>
      <c r="AL27" s="702">
        <f>(($V27)/(12))</f>
        <v/>
      </c>
      <c r="AM27" s="702">
        <f>(($V27)/(12))</f>
        <v/>
      </c>
      <c r="AN27" s="702">
        <f>(($V27)/(12))</f>
        <v/>
      </c>
      <c r="AO27" s="765">
        <f>SUM(AC27:AN27)</f>
        <v/>
      </c>
      <c r="AP27" s="702" t="n"/>
      <c r="AQ27" s="702">
        <f>IF($P27&gt;0,(($W27)/(12)),0)</f>
        <v/>
      </c>
      <c r="AR27" s="702">
        <f>IF($P27&gt;0,(($W27)/(12)),0)</f>
        <v/>
      </c>
      <c r="AS27" s="702">
        <f>IF($P27&gt;0,(($W27)/(12)),0)</f>
        <v/>
      </c>
      <c r="AT27" s="702">
        <f>IF($P27&gt;0,(($W27)/(12)),0)</f>
        <v/>
      </c>
      <c r="AU27" s="702">
        <f>IF($P27&gt;0,(($W27)/(12)),0)</f>
        <v/>
      </c>
      <c r="AV27" s="702">
        <f>IF($P27&gt;0,(($W27)/(12)),0)</f>
        <v/>
      </c>
      <c r="AW27" s="702">
        <f>IF($P27&gt;0,(($W27)/(12)),0)</f>
        <v/>
      </c>
      <c r="AX27" s="702">
        <f>IF($P27&gt;0,(($W27)/(12)),0)</f>
        <v/>
      </c>
      <c r="AY27" s="702">
        <f>IF($P27&gt;0,(($W27)/(12)),0)</f>
        <v/>
      </c>
      <c r="AZ27" s="702">
        <f>IF($P27&gt;0,(($W27)/(12)),0)</f>
        <v/>
      </c>
      <c r="BA27" s="702">
        <f>IF($P27&gt;0,(($W27)/(12)),0)</f>
        <v/>
      </c>
      <c r="BB27" s="702">
        <f>IF($P27&gt;0,(($W27)/(12)),0)</f>
        <v/>
      </c>
      <c r="BC27" s="765">
        <f>SUM(AQ27:BB27)</f>
        <v/>
      </c>
      <c r="BD27" s="702" t="n"/>
      <c r="BE27" s="702">
        <f>IF($Q27&gt;0,(($X27)/(12)),0)</f>
        <v/>
      </c>
      <c r="BF27" s="702">
        <f>IF($Q27&gt;0,(($X27)/(12)),0)</f>
        <v/>
      </c>
      <c r="BG27" s="702">
        <f>IF($Q27&gt;0,(($X27)/(12)),0)</f>
        <v/>
      </c>
      <c r="BH27" s="702">
        <f>IF($Q27&gt;0,(($X27)/(12)),0)</f>
        <v/>
      </c>
      <c r="BI27" s="702">
        <f>IF($Q27&gt;0,(($X27)/(12)),0)</f>
        <v/>
      </c>
      <c r="BJ27" s="702">
        <f>IF($Q27&gt;0,(($X27)/(12)),0)</f>
        <v/>
      </c>
      <c r="BK27" s="702">
        <f>IF($Q27&gt;0,(($X27)/(12)),0)</f>
        <v/>
      </c>
      <c r="BL27" s="702">
        <f>IF($Q27&gt;0,(($X27)/(12)),0)</f>
        <v/>
      </c>
      <c r="BM27" s="702">
        <f>IF($Q27&gt;0,(($X27)/(12)),0)</f>
        <v/>
      </c>
      <c r="BN27" s="702">
        <f>IF($Q27&gt;0,(($X27)/(12)),0)</f>
        <v/>
      </c>
      <c r="BO27" s="702">
        <f>IF($Q27&gt;0,(($X27)/(12)),0)</f>
        <v/>
      </c>
      <c r="BP27" s="702">
        <f>IF($Q27&gt;0,(($X27)/(12)),0)</f>
        <v/>
      </c>
      <c r="BQ27" s="765">
        <f>SUM(BE27:BP27)</f>
        <v/>
      </c>
      <c r="BR27" s="713" t="n"/>
      <c r="BS27" s="702">
        <f>IF($R27&gt;0,(($Y27)/(12)),0)</f>
        <v/>
      </c>
      <c r="BT27" s="702">
        <f>IF($R27&gt;0,(($Y27)/(12)),0)</f>
        <v/>
      </c>
      <c r="BU27" s="702">
        <f>IF($R27&gt;0,(($Y27)/(12)),0)</f>
        <v/>
      </c>
      <c r="BV27" s="702">
        <f>IF($R27&gt;0,(($Y27)/(12)),0)</f>
        <v/>
      </c>
      <c r="BW27" s="702">
        <f>IF($R27&gt;0,(($Y27)/(12)),0)</f>
        <v/>
      </c>
      <c r="BX27" s="702">
        <f>IF($R27&gt;0,(($Y27)/(12)),0)</f>
        <v/>
      </c>
      <c r="BY27" s="702">
        <f>IF($R27&gt;0,(($Y27)/(12)),0)</f>
        <v/>
      </c>
      <c r="BZ27" s="702">
        <f>IF($R27&gt;0,(($Y27)/(12)),0)</f>
        <v/>
      </c>
      <c r="CA27" s="702">
        <f>IF($R27&gt;0,(($Y27)/(12)),0)</f>
        <v/>
      </c>
      <c r="CB27" s="702">
        <f>IF($R27&gt;0,(($Y27)/(12)),0)</f>
        <v/>
      </c>
      <c r="CC27" s="702">
        <f>IF($R27&gt;0,(($Y27)/(12)),0)</f>
        <v/>
      </c>
      <c r="CD27" s="702">
        <f>IF($R27&gt;0,(($Y27)/(12)),0)</f>
        <v/>
      </c>
      <c r="CE27" s="765">
        <f>SUM(BS27:CD27)</f>
        <v/>
      </c>
      <c r="CF27" s="713" t="n"/>
      <c r="CG27" s="702">
        <f>IF($S27&gt;0,(($Z27)/(12)),0)</f>
        <v/>
      </c>
      <c r="CH27" s="702">
        <f>IF($S27&gt;0,(($Z27)/(12)),0)</f>
        <v/>
      </c>
      <c r="CI27" s="702">
        <f>IF($S27&gt;0,(($Z27)/(12)),0)</f>
        <v/>
      </c>
      <c r="CJ27" s="702">
        <f>IF($S27&gt;0,(($Z27)/(12)),0)</f>
        <v/>
      </c>
      <c r="CK27" s="702">
        <f>IF($S27&gt;0,(($Z27)/(12)),0)</f>
        <v/>
      </c>
      <c r="CL27" s="702">
        <f>IF($S27&gt;0,(($Z27)/(12)),0)</f>
        <v/>
      </c>
      <c r="CM27" s="702">
        <f>IF($S27&gt;0,(($Z27)/(12)),0)</f>
        <v/>
      </c>
      <c r="CN27" s="702">
        <f>IF($S27&gt;0,(($Z27)/(12)),0)</f>
        <v/>
      </c>
      <c r="CO27" s="702">
        <f>IF($S27&gt;0,(($Z27)/(12)),0)</f>
        <v/>
      </c>
      <c r="CP27" s="702">
        <f>IF($S27&gt;0,(($Z27)/(12)),0)</f>
        <v/>
      </c>
      <c r="CQ27" s="702">
        <f>IF($S27&gt;0,(($Z27)/(12)),0)</f>
        <v/>
      </c>
      <c r="CR27" s="702">
        <f>IF($S27&gt;0,(($Z27)/(12)),0)</f>
        <v/>
      </c>
      <c r="CS27" s="765">
        <f>SUM(CG27:CR27)</f>
        <v/>
      </c>
      <c r="CU27" s="702">
        <f>IF($T27&gt;0,(($AA27)/(12)),0)</f>
        <v/>
      </c>
      <c r="CV27" s="702">
        <f>IF($T27&gt;0,(($AA27)/(12)),0)</f>
        <v/>
      </c>
      <c r="CW27" s="702">
        <f>IF($T27&gt;0,(($AA27)/(12)),0)</f>
        <v/>
      </c>
      <c r="CX27" s="702">
        <f>IF($T27&gt;0,(($AA27)/(12)),0)</f>
        <v/>
      </c>
      <c r="CY27" s="702">
        <f>IF($T27&gt;0,(($AA27)/(12)),0)</f>
        <v/>
      </c>
      <c r="CZ27" s="702">
        <f>IF($T27&gt;0,(($AA27)/(12)),0)</f>
        <v/>
      </c>
      <c r="DA27" s="702">
        <f>IF($T27&gt;0,(($AA27)/(12)),0)</f>
        <v/>
      </c>
      <c r="DB27" s="702">
        <f>IF($T27&gt;0,(($AA27)/(12)),0)</f>
        <v/>
      </c>
      <c r="DC27" s="702">
        <f>IF($T27&gt;0,(($AA27)/(12)),0)</f>
        <v/>
      </c>
      <c r="DD27" s="702">
        <f>IF($T27&gt;0,(($AA27)/(12)),0)</f>
        <v/>
      </c>
      <c r="DE27" s="702">
        <f>IF($T27&gt;0,(($AA27)/(12)),0)</f>
        <v/>
      </c>
      <c r="DF27" s="702">
        <f>IF($T27&gt;0,(($AA27)/(12)),0)</f>
        <v/>
      </c>
      <c r="DG27" s="765">
        <f>SUM(CU27:DF27)</f>
        <v/>
      </c>
    </row>
    <row r="28" ht="15" customHeight="1" s="1883">
      <c r="B28" s="752">
        <f>((B27)+(1))</f>
        <v/>
      </c>
      <c r="C28" s="726" t="n"/>
      <c r="D28" s="730" t="inlineStr">
        <is>
          <t>●</t>
        </is>
      </c>
      <c r="E28" s="1446" t="inlineStr">
        <is>
          <t>Nils Waschkau</t>
        </is>
      </c>
      <c r="F28" s="66" t="n"/>
      <c r="G28" s="1446" t="n"/>
      <c r="H28" s="1446" t="n"/>
      <c r="I28" s="1446" t="inlineStr">
        <is>
          <t>Chief Operating Officer</t>
        </is>
      </c>
      <c r="J28" s="745" t="inlineStr">
        <is>
          <t>CONUS</t>
        </is>
      </c>
      <c r="K28" s="745" t="n"/>
      <c r="L28" s="738" t="inlineStr">
        <is>
          <t>-12</t>
        </is>
      </c>
      <c r="M28" s="738" t="inlineStr">
        <is>
          <t>-12</t>
        </is>
      </c>
      <c r="N28" s="738" t="n"/>
      <c r="O28" s="749" t="n">
        <v>1</v>
      </c>
      <c r="P28" s="748" t="n">
        <v>1</v>
      </c>
      <c r="Q28" s="748" t="n">
        <v>1</v>
      </c>
      <c r="R28" s="748" t="n">
        <v>1</v>
      </c>
      <c r="S28" s="748" t="n">
        <v>1</v>
      </c>
      <c r="T28" s="748" t="n">
        <v>1</v>
      </c>
      <c r="U28" s="1637" t="n"/>
      <c r="V28" s="1637" t="n">
        <v>200000</v>
      </c>
      <c r="W28" s="702">
        <f>V28</f>
        <v/>
      </c>
      <c r="X28" s="702">
        <f>((W28)*((1)+($X$15)))</f>
        <v/>
      </c>
      <c r="Y28" s="702">
        <f>((X28)*((1)+($Y$15)))</f>
        <v/>
      </c>
      <c r="Z28" s="702">
        <f>((Y28)*((1)+($Z$15)))</f>
        <v/>
      </c>
      <c r="AA28" s="702">
        <f>((Z28)*((1)+($AA$15)))</f>
        <v/>
      </c>
      <c r="AB28" s="702" t="n"/>
      <c r="AC28" s="702">
        <f>(($V28)/(12))/2</f>
        <v/>
      </c>
      <c r="AD28" s="702">
        <f>(($V28)/(12))</f>
        <v/>
      </c>
      <c r="AE28" s="702">
        <f>(($V28)/(12))</f>
        <v/>
      </c>
      <c r="AF28" s="702">
        <f>(($V28)/(12))</f>
        <v/>
      </c>
      <c r="AG28" s="702">
        <f>(($V28)/(12))</f>
        <v/>
      </c>
      <c r="AH28" s="702">
        <f>(($V28)/(12))</f>
        <v/>
      </c>
      <c r="AI28" s="702">
        <f>(($V28)/(12))</f>
        <v/>
      </c>
      <c r="AJ28" s="702">
        <f>(($V28)/(12))</f>
        <v/>
      </c>
      <c r="AK28" s="702">
        <f>(($V28)/(12))</f>
        <v/>
      </c>
      <c r="AL28" s="702">
        <f>(($V28)/(12))</f>
        <v/>
      </c>
      <c r="AM28" s="702">
        <f>(($V28)/(12))</f>
        <v/>
      </c>
      <c r="AN28" s="702">
        <f>(($V28)/(12))</f>
        <v/>
      </c>
      <c r="AO28" s="765">
        <f>SUM(AC28:AN28)</f>
        <v/>
      </c>
      <c r="AP28" s="462" t="n"/>
      <c r="AQ28" s="702">
        <f>IF($P28&gt;0,(($W28)/(12)),0)</f>
        <v/>
      </c>
      <c r="AR28" s="702">
        <f>IF($P28&gt;0,(($W28)/(12)),0)</f>
        <v/>
      </c>
      <c r="AS28" s="702">
        <f>IF($P28&gt;0,(($W28)/(12)),0)</f>
        <v/>
      </c>
      <c r="AT28" s="702">
        <f>IF($P28&gt;0,(($W28)/(12)),0)</f>
        <v/>
      </c>
      <c r="AU28" s="702">
        <f>IF($P28&gt;0,(($W28)/(12)),0)</f>
        <v/>
      </c>
      <c r="AV28" s="702">
        <f>IF($P28&gt;0,(($W28)/(12)),0)</f>
        <v/>
      </c>
      <c r="AW28" s="702">
        <f>IF($P28&gt;0,(($W28)/(12)),0)</f>
        <v/>
      </c>
      <c r="AX28" s="702">
        <f>IF($P28&gt;0,(($W28)/(12)),0)</f>
        <v/>
      </c>
      <c r="AY28" s="702">
        <f>IF($P28&gt;0,(($W28)/(12)),0)</f>
        <v/>
      </c>
      <c r="AZ28" s="702">
        <f>IF($P28&gt;0,(($W28)/(12)),0)</f>
        <v/>
      </c>
      <c r="BA28" s="702">
        <f>IF($P28&gt;0,(($W28)/(12)),0)</f>
        <v/>
      </c>
      <c r="BB28" s="702">
        <f>IF($P28&gt;0,(($W28)/(12)),0)</f>
        <v/>
      </c>
      <c r="BC28" s="765">
        <f>SUM(AQ28:BB28)</f>
        <v/>
      </c>
      <c r="BD28" s="462" t="n"/>
      <c r="BE28" s="702">
        <f>IF($Q28&gt;0,(($X28)/(12)),0)</f>
        <v/>
      </c>
      <c r="BF28" s="702">
        <f>IF($Q28&gt;0,(($X28)/(12)),0)</f>
        <v/>
      </c>
      <c r="BG28" s="702">
        <f>IF($Q28&gt;0,(($X28)/(12)),0)</f>
        <v/>
      </c>
      <c r="BH28" s="702">
        <f>IF($Q28&gt;0,(($X28)/(12)),0)</f>
        <v/>
      </c>
      <c r="BI28" s="702">
        <f>IF($Q28&gt;0,(($X28)/(12)),0)</f>
        <v/>
      </c>
      <c r="BJ28" s="702">
        <f>IF($Q28&gt;0,(($X28)/(12)),0)</f>
        <v/>
      </c>
      <c r="BK28" s="702">
        <f>IF($Q28&gt;0,(($X28)/(12)),0)</f>
        <v/>
      </c>
      <c r="BL28" s="702">
        <f>IF($Q28&gt;0,(($X28)/(12)),0)</f>
        <v/>
      </c>
      <c r="BM28" s="702">
        <f>IF($Q28&gt;0,(($X28)/(12)),0)</f>
        <v/>
      </c>
      <c r="BN28" s="702">
        <f>IF($Q28&gt;0,(($X28)/(12)),0)</f>
        <v/>
      </c>
      <c r="BO28" s="702">
        <f>IF($Q28&gt;0,(($X28)/(12)),0)</f>
        <v/>
      </c>
      <c r="BP28" s="702">
        <f>IF($Q28&gt;0,(($X28)/(12)),0)</f>
        <v/>
      </c>
      <c r="BQ28" s="765">
        <f>SUM(BE28:BP28)</f>
        <v/>
      </c>
      <c r="BR28" s="507" t="n"/>
      <c r="BS28" s="702">
        <f>IF($R28&gt;0,(($Y28)/(12)),0)</f>
        <v/>
      </c>
      <c r="BT28" s="702">
        <f>IF($R28&gt;0,(($Y28)/(12)),0)</f>
        <v/>
      </c>
      <c r="BU28" s="702">
        <f>IF($R28&gt;0,(($Y28)/(12)),0)</f>
        <v/>
      </c>
      <c r="BV28" s="702">
        <f>IF($R28&gt;0,(($Y28)/(12)),0)</f>
        <v/>
      </c>
      <c r="BW28" s="702">
        <f>IF($R28&gt;0,(($Y28)/(12)),0)</f>
        <v/>
      </c>
      <c r="BX28" s="702">
        <f>IF($R28&gt;0,(($Y28)/(12)),0)</f>
        <v/>
      </c>
      <c r="BY28" s="702">
        <f>IF($R28&gt;0,(($Y28)/(12)),0)</f>
        <v/>
      </c>
      <c r="BZ28" s="702">
        <f>IF($R28&gt;0,(($Y28)/(12)),0)</f>
        <v/>
      </c>
      <c r="CA28" s="702">
        <f>IF($R28&gt;0,(($Y28)/(12)),0)</f>
        <v/>
      </c>
      <c r="CB28" s="702">
        <f>IF($R28&gt;0,(($Y28)/(12)),0)</f>
        <v/>
      </c>
      <c r="CC28" s="702">
        <f>IF($R28&gt;0,(($Y28)/(12)),0)</f>
        <v/>
      </c>
      <c r="CD28" s="702">
        <f>IF($R28&gt;0,(($Y28)/(12)),0)</f>
        <v/>
      </c>
      <c r="CE28" s="765">
        <f>SUM(BS28:CD28)</f>
        <v/>
      </c>
      <c r="CF28" s="507" t="n"/>
      <c r="CG28" s="702">
        <f>IF($S28&gt;0,(($Z28)/(12)),0)</f>
        <v/>
      </c>
      <c r="CH28" s="702">
        <f>IF($S28&gt;0,(($Z28)/(12)),0)</f>
        <v/>
      </c>
      <c r="CI28" s="702">
        <f>IF($S28&gt;0,(($Z28)/(12)),0)</f>
        <v/>
      </c>
      <c r="CJ28" s="702">
        <f>IF($S28&gt;0,(($Z28)/(12)),0)</f>
        <v/>
      </c>
      <c r="CK28" s="702">
        <f>IF($S28&gt;0,(($Z28)/(12)),0)</f>
        <v/>
      </c>
      <c r="CL28" s="702">
        <f>IF($S28&gt;0,(($Z28)/(12)),0)</f>
        <v/>
      </c>
      <c r="CM28" s="702">
        <f>IF($S28&gt;0,(($Z28)/(12)),0)</f>
        <v/>
      </c>
      <c r="CN28" s="702">
        <f>IF($S28&gt;0,(($Z28)/(12)),0)</f>
        <v/>
      </c>
      <c r="CO28" s="702">
        <f>IF($S28&gt;0,(($Z28)/(12)),0)</f>
        <v/>
      </c>
      <c r="CP28" s="702">
        <f>IF($S28&gt;0,(($Z28)/(12)),0)</f>
        <v/>
      </c>
      <c r="CQ28" s="702">
        <f>IF($S28&gt;0,(($Z28)/(12)),0)</f>
        <v/>
      </c>
      <c r="CR28" s="702">
        <f>IF($S28&gt;0,(($Z28)/(12)),0)</f>
        <v/>
      </c>
      <c r="CS28" s="765">
        <f>SUM(CG28:CR28)</f>
        <v/>
      </c>
      <c r="CU28" s="702">
        <f>IF($T28&gt;0,(($AA28)/(12)),0)</f>
        <v/>
      </c>
      <c r="CV28" s="702">
        <f>IF($T28&gt;0,(($AA28)/(12)),0)</f>
        <v/>
      </c>
      <c r="CW28" s="702">
        <f>IF($T28&gt;0,(($AA28)/(12)),0)</f>
        <v/>
      </c>
      <c r="CX28" s="702">
        <f>IF($T28&gt;0,(($AA28)/(12)),0)</f>
        <v/>
      </c>
      <c r="CY28" s="702">
        <f>IF($T28&gt;0,(($AA28)/(12)),0)</f>
        <v/>
      </c>
      <c r="CZ28" s="702">
        <f>IF($T28&gt;0,(($AA28)/(12)),0)</f>
        <v/>
      </c>
      <c r="DA28" s="702">
        <f>IF($T28&gt;0,(($AA28)/(12)),0)</f>
        <v/>
      </c>
      <c r="DB28" s="702">
        <f>IF($T28&gt;0,(($AA28)/(12)),0)</f>
        <v/>
      </c>
      <c r="DC28" s="702">
        <f>IF($T28&gt;0,(($AA28)/(12)),0)</f>
        <v/>
      </c>
      <c r="DD28" s="702">
        <f>IF($T28&gt;0,(($AA28)/(12)),0)</f>
        <v/>
      </c>
      <c r="DE28" s="702">
        <f>IF($T28&gt;0,(($AA28)/(12)),0)</f>
        <v/>
      </c>
      <c r="DF28" s="702">
        <f>IF($T28&gt;0,(($AA28)/(12)),0)</f>
        <v/>
      </c>
      <c r="DG28" s="765">
        <f>SUM(CU28:DF28)</f>
        <v/>
      </c>
    </row>
    <row r="29" ht="15" customHeight="1" s="1883">
      <c r="A29" s="1631" t="n"/>
      <c r="B29" s="752">
        <f>((B28)+(1))</f>
        <v/>
      </c>
      <c r="C29" s="1629" t="n"/>
      <c r="D29" s="1627" t="inlineStr">
        <is>
          <t>●</t>
        </is>
      </c>
      <c r="E29" s="1446" t="inlineStr">
        <is>
          <t xml:space="preserve">Michael Hancock </t>
        </is>
      </c>
      <c r="F29" s="66" t="n"/>
      <c r="G29" s="66" t="n"/>
      <c r="H29" s="66" t="n"/>
      <c r="I29" s="1446" t="inlineStr">
        <is>
          <t>General Counsel</t>
        </is>
      </c>
      <c r="J29" s="746" t="inlineStr">
        <is>
          <t>OCONUS</t>
        </is>
      </c>
      <c r="K29" s="746" t="n"/>
      <c r="L29" s="738" t="inlineStr">
        <is>
          <t>-12</t>
        </is>
      </c>
      <c r="M29" s="738" t="n">
        <v>-11</v>
      </c>
      <c r="N29" s="738" t="n"/>
      <c r="O29" s="749" t="n">
        <v>1</v>
      </c>
      <c r="P29" s="748" t="n">
        <v>1</v>
      </c>
      <c r="Q29" s="748" t="n">
        <v>1</v>
      </c>
      <c r="R29" s="748" t="n">
        <v>1</v>
      </c>
      <c r="S29" s="748" t="n">
        <v>1</v>
      </c>
      <c r="T29" s="748" t="n">
        <v>1</v>
      </c>
      <c r="U29" s="1637" t="n"/>
      <c r="V29" s="1637" t="n">
        <v>165000</v>
      </c>
      <c r="W29" s="702">
        <f>(V29)</f>
        <v/>
      </c>
      <c r="X29" s="702">
        <f>((W29)*((1)+($X$15)))</f>
        <v/>
      </c>
      <c r="Y29" s="702">
        <f>((X29)*((1)+($Y$15)))</f>
        <v/>
      </c>
      <c r="Z29" s="702">
        <f>((Y29)*((1)+($Z$15)))</f>
        <v/>
      </c>
      <c r="AA29" s="702">
        <f>((Z29)*((1)+($AA$15)))</f>
        <v/>
      </c>
      <c r="AB29" s="702" t="n"/>
      <c r="AC29" s="702" t="n">
        <v>0</v>
      </c>
      <c r="AD29" s="702">
        <f>(($V29)/(12))</f>
        <v/>
      </c>
      <c r="AE29" s="702">
        <f>(($V29)/(12))</f>
        <v/>
      </c>
      <c r="AF29" s="702">
        <f>(($V29)/(12))</f>
        <v/>
      </c>
      <c r="AG29" s="702">
        <f>(($V29)/(12))</f>
        <v/>
      </c>
      <c r="AH29" s="702">
        <f>(($V29)/(12))</f>
        <v/>
      </c>
      <c r="AI29" s="702">
        <f>(($V29)/(12))</f>
        <v/>
      </c>
      <c r="AJ29" s="702">
        <f>(($V29)/(12))</f>
        <v/>
      </c>
      <c r="AK29" s="702">
        <f>(($V29)/(12))</f>
        <v/>
      </c>
      <c r="AL29" s="702">
        <f>(($V29)/(12))</f>
        <v/>
      </c>
      <c r="AM29" s="702">
        <f>(($V29)/(12))</f>
        <v/>
      </c>
      <c r="AN29" s="702">
        <f>(($V29)/(12))</f>
        <v/>
      </c>
      <c r="AO29" s="765">
        <f>SUM(AC29:AN29)</f>
        <v/>
      </c>
      <c r="AP29" s="462" t="n"/>
      <c r="AQ29" s="702">
        <f>IF($P29&gt;0,(($W29)/(12)),0)</f>
        <v/>
      </c>
      <c r="AR29" s="702">
        <f>IF($P29&gt;0,(($W29)/(12)),0)</f>
        <v/>
      </c>
      <c r="AS29" s="702">
        <f>IF($P29&gt;0,(($W29)/(12)),0)</f>
        <v/>
      </c>
      <c r="AT29" s="702">
        <f>IF($P29&gt;0,(($W29)/(12)),0)</f>
        <v/>
      </c>
      <c r="AU29" s="702">
        <f>IF($P29&gt;0,(($W29)/(12)),0)</f>
        <v/>
      </c>
      <c r="AV29" s="702">
        <f>IF($P29&gt;0,(($W29)/(12)),0)</f>
        <v/>
      </c>
      <c r="AW29" s="702">
        <f>IF($P29&gt;0,(($W29)/(12)),0)</f>
        <v/>
      </c>
      <c r="AX29" s="702">
        <f>IF($P29&gt;0,(($W29)/(12)),0)</f>
        <v/>
      </c>
      <c r="AY29" s="702">
        <f>IF($P29&gt;0,(($W29)/(12)),0)</f>
        <v/>
      </c>
      <c r="AZ29" s="702">
        <f>IF($P29&gt;0,(($W29)/(12)),0)</f>
        <v/>
      </c>
      <c r="BA29" s="702">
        <f>IF($P29&gt;0,(($W29)/(12)),0)</f>
        <v/>
      </c>
      <c r="BB29" s="702">
        <f>IF($P29&gt;0,(($W29)/(12)),0)</f>
        <v/>
      </c>
      <c r="BC29" s="765">
        <f>SUM(AQ29:BB29)</f>
        <v/>
      </c>
      <c r="BD29" s="702" t="n"/>
      <c r="BE29" s="702">
        <f>IF($Q29&gt;0,(($X29)/(12)),0)</f>
        <v/>
      </c>
      <c r="BF29" s="702">
        <f>IF($Q29&gt;0,(($X29)/(12)),0)</f>
        <v/>
      </c>
      <c r="BG29" s="702">
        <f>IF($Q29&gt;0,(($X29)/(12)),0)</f>
        <v/>
      </c>
      <c r="BH29" s="702">
        <f>IF($Q29&gt;0,(($X29)/(12)),0)</f>
        <v/>
      </c>
      <c r="BI29" s="702">
        <f>IF($Q29&gt;0,(($X29)/(12)),0)</f>
        <v/>
      </c>
      <c r="BJ29" s="702">
        <f>IF($Q29&gt;0,(($X29)/(12)),0)</f>
        <v/>
      </c>
      <c r="BK29" s="702">
        <f>IF($Q29&gt;0,(($X29)/(12)),0)</f>
        <v/>
      </c>
      <c r="BL29" s="702">
        <f>IF($Q29&gt;0,(($X29)/(12)),0)</f>
        <v/>
      </c>
      <c r="BM29" s="702">
        <f>IF($Q29&gt;0,(($X29)/(12)),0)</f>
        <v/>
      </c>
      <c r="BN29" s="702">
        <f>IF($Q29&gt;0,(($X29)/(12)),0)</f>
        <v/>
      </c>
      <c r="BO29" s="702">
        <f>IF($Q29&gt;0,(($X29)/(12)),0)</f>
        <v/>
      </c>
      <c r="BP29" s="702">
        <f>IF($Q29&gt;0,(($X29)/(12)),0)</f>
        <v/>
      </c>
      <c r="BQ29" s="765">
        <f>SUM(BE29:BP29)</f>
        <v/>
      </c>
      <c r="BR29" s="702" t="n"/>
      <c r="BS29" s="702">
        <f>IF($R29&gt;0,(($Y29)/(12)),0)</f>
        <v/>
      </c>
      <c r="BT29" s="702">
        <f>IF($R29&gt;0,(($Y29)/(12)),0)</f>
        <v/>
      </c>
      <c r="BU29" s="702">
        <f>IF($R29&gt;0,(($Y29)/(12)),0)</f>
        <v/>
      </c>
      <c r="BV29" s="702">
        <f>IF($R29&gt;0,(($Y29)/(12)),0)</f>
        <v/>
      </c>
      <c r="BW29" s="702">
        <f>IF($R29&gt;0,(($Y29)/(12)),0)</f>
        <v/>
      </c>
      <c r="BX29" s="702">
        <f>IF($R29&gt;0,(($Y29)/(12)),0)</f>
        <v/>
      </c>
      <c r="BY29" s="702">
        <f>IF($R29&gt;0,(($Y29)/(12)),0)</f>
        <v/>
      </c>
      <c r="BZ29" s="702">
        <f>IF($R29&gt;0,(($Y29)/(12)),0)</f>
        <v/>
      </c>
      <c r="CA29" s="702">
        <f>IF($R29&gt;0,(($Y29)/(12)),0)</f>
        <v/>
      </c>
      <c r="CB29" s="702">
        <f>IF($R29&gt;0,(($Y29)/(12)),0)</f>
        <v/>
      </c>
      <c r="CC29" s="702">
        <f>IF($R29&gt;0,(($Y29)/(12)),0)</f>
        <v/>
      </c>
      <c r="CD29" s="702">
        <f>IF($R29&gt;0,(($Y29)/(12)),0)</f>
        <v/>
      </c>
      <c r="CE29" s="765">
        <f>SUM(BS29:CD29)</f>
        <v/>
      </c>
      <c r="CF29" s="702" t="n"/>
      <c r="CG29" s="702">
        <f>IF($S29&gt;0,(($Z29)/(12)),0)</f>
        <v/>
      </c>
      <c r="CH29" s="702">
        <f>IF($S29&gt;0,(($Z29)/(12)),0)</f>
        <v/>
      </c>
      <c r="CI29" s="702">
        <f>IF($S29&gt;0,(($Z29)/(12)),0)</f>
        <v/>
      </c>
      <c r="CJ29" s="702">
        <f>IF($S29&gt;0,(($Z29)/(12)),0)</f>
        <v/>
      </c>
      <c r="CK29" s="702">
        <f>IF($S29&gt;0,(($Z29)/(12)),0)</f>
        <v/>
      </c>
      <c r="CL29" s="702">
        <f>IF($S29&gt;0,(($Z29)/(12)),0)</f>
        <v/>
      </c>
      <c r="CM29" s="702">
        <f>IF($S29&gt;0,(($Z29)/(12)),0)</f>
        <v/>
      </c>
      <c r="CN29" s="702">
        <f>IF($S29&gt;0,(($Z29)/(12)),0)</f>
        <v/>
      </c>
      <c r="CO29" s="702">
        <f>IF($S29&gt;0,(($Z29)/(12)),0)</f>
        <v/>
      </c>
      <c r="CP29" s="702">
        <f>IF($S29&gt;0,(($Z29)/(12)),0)</f>
        <v/>
      </c>
      <c r="CQ29" s="702">
        <f>IF($S29&gt;0,(($Z29)/(12)),0)</f>
        <v/>
      </c>
      <c r="CR29" s="702">
        <f>IF($S29&gt;0,(($Z29)/(12)),0)</f>
        <v/>
      </c>
      <c r="CS29" s="765">
        <f>SUM(CG29:CR29)</f>
        <v/>
      </c>
      <c r="CU29" s="702">
        <f>IF($T29&gt;0,(($AA29)/(12)),0)</f>
        <v/>
      </c>
      <c r="CV29" s="702">
        <f>IF($T29&gt;0,(($AA29)/(12)),0)</f>
        <v/>
      </c>
      <c r="CW29" s="702">
        <f>IF($T29&gt;0,(($AA29)/(12)),0)</f>
        <v/>
      </c>
      <c r="CX29" s="702">
        <f>IF($T29&gt;0,(($AA29)/(12)),0)</f>
        <v/>
      </c>
      <c r="CY29" s="702">
        <f>IF($T29&gt;0,(($AA29)/(12)),0)</f>
        <v/>
      </c>
      <c r="CZ29" s="702">
        <f>IF($T29&gt;0,(($AA29)/(12)),0)</f>
        <v/>
      </c>
      <c r="DA29" s="702">
        <f>IF($T29&gt;0,(($AA29)/(12)),0)</f>
        <v/>
      </c>
      <c r="DB29" s="702">
        <f>IF($T29&gt;0,(($AA29)/(12)),0)</f>
        <v/>
      </c>
      <c r="DC29" s="702">
        <f>IF($T29&gt;0,(($AA29)/(12)),0)</f>
        <v/>
      </c>
      <c r="DD29" s="702">
        <f>IF($T29&gt;0,(($AA29)/(12)),0)</f>
        <v/>
      </c>
      <c r="DE29" s="702">
        <f>IF($T29&gt;0,(($AA29)/(12)),0)</f>
        <v/>
      </c>
      <c r="DF29" s="702">
        <f>IF($T29&gt;0,(($AA29)/(12)),0)</f>
        <v/>
      </c>
      <c r="DG29" s="765">
        <f>SUM(CU29:DF29)</f>
        <v/>
      </c>
    </row>
    <row r="30" ht="15" customFormat="1" customHeight="1" s="1510">
      <c r="A30" s="1632" t="n"/>
      <c r="B30" s="752">
        <f>((B29)+(1))</f>
        <v/>
      </c>
      <c r="C30" s="1630" t="n"/>
      <c r="D30" s="1628" t="inlineStr">
        <is>
          <t>●</t>
        </is>
      </c>
      <c r="E30" s="1446" t="inlineStr">
        <is>
          <t>Tim DeVore</t>
        </is>
      </c>
      <c r="F30" s="66" t="n"/>
      <c r="G30" s="66" t="n"/>
      <c r="H30" s="66" t="n"/>
      <c r="I30" s="1446" t="inlineStr">
        <is>
          <t>Chief Technology Officer</t>
        </is>
      </c>
      <c r="J30" s="745" t="inlineStr">
        <is>
          <t>CONUS</t>
        </is>
      </c>
      <c r="K30" s="745" t="n"/>
      <c r="L30" s="738" t="inlineStr">
        <is>
          <t>-12</t>
        </is>
      </c>
      <c r="M30" s="738" t="n">
        <v>-11</v>
      </c>
      <c r="N30" s="738" t="n"/>
      <c r="O30" s="749" t="n">
        <v>1</v>
      </c>
      <c r="P30" s="748" t="n">
        <v>1</v>
      </c>
      <c r="Q30" s="748" t="n">
        <v>1</v>
      </c>
      <c r="R30" s="748" t="n">
        <v>1</v>
      </c>
      <c r="S30" s="748" t="n">
        <v>1</v>
      </c>
      <c r="T30" s="748" t="n">
        <v>1</v>
      </c>
      <c r="U30" s="1637" t="n"/>
      <c r="V30" s="1637" t="n">
        <v>200000</v>
      </c>
      <c r="W30" s="702">
        <f>(V30)</f>
        <v/>
      </c>
      <c r="X30" s="702">
        <f>((W30)*((1)+($X$15)))</f>
        <v/>
      </c>
      <c r="Y30" s="702">
        <f>((X30)*((1)+($Y$15)))</f>
        <v/>
      </c>
      <c r="Z30" s="702">
        <f>((Y30)*((1)+($Z$15)))</f>
        <v/>
      </c>
      <c r="AA30" s="702">
        <f>((Z30)*((1)+($AA$15)))</f>
        <v/>
      </c>
      <c r="AB30" s="702" t="n"/>
      <c r="AC30" s="702" t="n">
        <v>0</v>
      </c>
      <c r="AD30" s="702">
        <f>(($V30)/(12))</f>
        <v/>
      </c>
      <c r="AE30" s="702">
        <f>(($V30)/(12))</f>
        <v/>
      </c>
      <c r="AF30" s="702">
        <f>(($V30)/(12))</f>
        <v/>
      </c>
      <c r="AG30" s="702">
        <f>(($V30)/(12))</f>
        <v/>
      </c>
      <c r="AH30" s="702">
        <f>(($V30)/(12))</f>
        <v/>
      </c>
      <c r="AI30" s="702">
        <f>(($V30)/(12))</f>
        <v/>
      </c>
      <c r="AJ30" s="702">
        <f>(($V30)/(12))</f>
        <v/>
      </c>
      <c r="AK30" s="702">
        <f>(($V30)/(12))</f>
        <v/>
      </c>
      <c r="AL30" s="702">
        <f>(($V30)/(12))</f>
        <v/>
      </c>
      <c r="AM30" s="702">
        <f>(($V30)/(12))</f>
        <v/>
      </c>
      <c r="AN30" s="702">
        <f>(($V30)/(12))</f>
        <v/>
      </c>
      <c r="AO30" s="765">
        <f>SUM(AC30:AN30)</f>
        <v/>
      </c>
      <c r="AP30" s="462" t="n"/>
      <c r="AQ30" s="702">
        <f>IF($P30&gt;0,(($W30)/(12)),0)</f>
        <v/>
      </c>
      <c r="AR30" s="702">
        <f>IF($P30&gt;0,(($W30)/(12)),0)</f>
        <v/>
      </c>
      <c r="AS30" s="702">
        <f>IF($P30&gt;0,(($W30)/(12)),0)</f>
        <v/>
      </c>
      <c r="AT30" s="702">
        <f>IF($P30&gt;0,(($W30)/(12)),0)</f>
        <v/>
      </c>
      <c r="AU30" s="702">
        <f>IF($P30&gt;0,(($W30)/(12)),0)</f>
        <v/>
      </c>
      <c r="AV30" s="702">
        <f>IF($P30&gt;0,(($W30)/(12)),0)</f>
        <v/>
      </c>
      <c r="AW30" s="702">
        <f>IF($P30&gt;0,(($W30)/(12)),0)</f>
        <v/>
      </c>
      <c r="AX30" s="702">
        <f>IF($P30&gt;0,(($W30)/(12)),0)</f>
        <v/>
      </c>
      <c r="AY30" s="702">
        <f>IF($P30&gt;0,(($W30)/(12)),0)</f>
        <v/>
      </c>
      <c r="AZ30" s="702">
        <f>IF($P30&gt;0,(($W30)/(12)),0)</f>
        <v/>
      </c>
      <c r="BA30" s="702">
        <f>IF($P30&gt;0,(($W30)/(12)),0)</f>
        <v/>
      </c>
      <c r="BB30" s="702">
        <f>IF($P30&gt;0,(($W30)/(12)),0)</f>
        <v/>
      </c>
      <c r="BC30" s="765">
        <f>SUM(AQ30:BB30)</f>
        <v/>
      </c>
      <c r="BD30" s="702" t="n"/>
      <c r="BE30" s="702">
        <f>IF($Q30&gt;0,(($X30)/(12)),0)</f>
        <v/>
      </c>
      <c r="BF30" s="702">
        <f>IF($Q30&gt;0,(($X30)/(12)),0)</f>
        <v/>
      </c>
      <c r="BG30" s="702">
        <f>IF($Q30&gt;0,(($X30)/(12)),0)</f>
        <v/>
      </c>
      <c r="BH30" s="702">
        <f>IF($Q30&gt;0,(($X30)/(12)),0)</f>
        <v/>
      </c>
      <c r="BI30" s="702">
        <f>IF($Q30&gt;0,(($X30)/(12)),0)</f>
        <v/>
      </c>
      <c r="BJ30" s="702">
        <f>IF($Q30&gt;0,(($X30)/(12)),0)</f>
        <v/>
      </c>
      <c r="BK30" s="702">
        <f>IF($Q30&gt;0,(($X30)/(12)),0)</f>
        <v/>
      </c>
      <c r="BL30" s="702">
        <f>IF($Q30&gt;0,(($X30)/(12)),0)</f>
        <v/>
      </c>
      <c r="BM30" s="702">
        <f>IF($Q30&gt;0,(($X30)/(12)),0)</f>
        <v/>
      </c>
      <c r="BN30" s="702">
        <f>IF($Q30&gt;0,(($X30)/(12)),0)</f>
        <v/>
      </c>
      <c r="BO30" s="702">
        <f>IF($Q30&gt;0,(($X30)/(12)),0)</f>
        <v/>
      </c>
      <c r="BP30" s="702">
        <f>IF($Q30&gt;0,(($X30)/(12)),0)</f>
        <v/>
      </c>
      <c r="BQ30" s="765">
        <f>SUM(BE30:BP30)</f>
        <v/>
      </c>
      <c r="BR30" s="702" t="n"/>
      <c r="BS30" s="702">
        <f>IF($R30&gt;0,(($Y30)/(12)),0)</f>
        <v/>
      </c>
      <c r="BT30" s="702">
        <f>IF($R30&gt;0,(($Y30)/(12)),0)</f>
        <v/>
      </c>
      <c r="BU30" s="702">
        <f>IF($R30&gt;0,(($Y30)/(12)),0)</f>
        <v/>
      </c>
      <c r="BV30" s="702">
        <f>IF($R30&gt;0,(($Y30)/(12)),0)</f>
        <v/>
      </c>
      <c r="BW30" s="702">
        <f>IF($R30&gt;0,(($Y30)/(12)),0)</f>
        <v/>
      </c>
      <c r="BX30" s="702">
        <f>IF($R30&gt;0,(($Y30)/(12)),0)</f>
        <v/>
      </c>
      <c r="BY30" s="702">
        <f>IF($R30&gt;0,(($Y30)/(12)),0)</f>
        <v/>
      </c>
      <c r="BZ30" s="702">
        <f>IF($R30&gt;0,(($Y30)/(12)),0)</f>
        <v/>
      </c>
      <c r="CA30" s="702">
        <f>IF($R30&gt;0,(($Y30)/(12)),0)</f>
        <v/>
      </c>
      <c r="CB30" s="702">
        <f>IF($R30&gt;0,(($Y30)/(12)),0)</f>
        <v/>
      </c>
      <c r="CC30" s="702">
        <f>IF($R30&gt;0,(($Y30)/(12)),0)</f>
        <v/>
      </c>
      <c r="CD30" s="702">
        <f>IF($R30&gt;0,(($Y30)/(12)),0)</f>
        <v/>
      </c>
      <c r="CE30" s="765">
        <f>SUM(BS30:CD30)</f>
        <v/>
      </c>
      <c r="CF30" s="702" t="n"/>
      <c r="CG30" s="702">
        <f>IF($S30&gt;0,(($Z30)/(12)),0)</f>
        <v/>
      </c>
      <c r="CH30" s="702">
        <f>IF($S30&gt;0,(($Z30)/(12)),0)</f>
        <v/>
      </c>
      <c r="CI30" s="702">
        <f>IF($S30&gt;0,(($Z30)/(12)),0)</f>
        <v/>
      </c>
      <c r="CJ30" s="702">
        <f>IF($S30&gt;0,(($Z30)/(12)),0)</f>
        <v/>
      </c>
      <c r="CK30" s="702">
        <f>IF($S30&gt;0,(($Z30)/(12)),0)</f>
        <v/>
      </c>
      <c r="CL30" s="702">
        <f>IF($S30&gt;0,(($Z30)/(12)),0)</f>
        <v/>
      </c>
      <c r="CM30" s="702">
        <f>IF($S30&gt;0,(($Z30)/(12)),0)</f>
        <v/>
      </c>
      <c r="CN30" s="702">
        <f>IF($S30&gt;0,(($Z30)/(12)),0)</f>
        <v/>
      </c>
      <c r="CO30" s="702">
        <f>IF($S30&gt;0,(($Z30)/(12)),0)</f>
        <v/>
      </c>
      <c r="CP30" s="702">
        <f>IF($S30&gt;0,(($Z30)/(12)),0)</f>
        <v/>
      </c>
      <c r="CQ30" s="702">
        <f>IF($S30&gt;0,(($Z30)/(12)),0)</f>
        <v/>
      </c>
      <c r="CR30" s="702">
        <f>IF($S30&gt;0,(($Z30)/(12)),0)</f>
        <v/>
      </c>
      <c r="CS30" s="765">
        <f>SUM(CG30:CR30)</f>
        <v/>
      </c>
      <c r="CU30" s="702">
        <f>IF($T30&gt;0,(($AA30)/(12)),0)</f>
        <v/>
      </c>
      <c r="CV30" s="702">
        <f>IF($T30&gt;0,(($AA30)/(12)),0)</f>
        <v/>
      </c>
      <c r="CW30" s="702">
        <f>IF($T30&gt;0,(($AA30)/(12)),0)</f>
        <v/>
      </c>
      <c r="CX30" s="702">
        <f>IF($T30&gt;0,(($AA30)/(12)),0)</f>
        <v/>
      </c>
      <c r="CY30" s="702">
        <f>IF($T30&gt;0,(($AA30)/(12)),0)</f>
        <v/>
      </c>
      <c r="CZ30" s="702">
        <f>IF($T30&gt;0,(($AA30)/(12)),0)</f>
        <v/>
      </c>
      <c r="DA30" s="702">
        <f>IF($T30&gt;0,(($AA30)/(12)),0)</f>
        <v/>
      </c>
      <c r="DB30" s="702">
        <f>IF($T30&gt;0,(($AA30)/(12)),0)</f>
        <v/>
      </c>
      <c r="DC30" s="702">
        <f>IF($T30&gt;0,(($AA30)/(12)),0)</f>
        <v/>
      </c>
      <c r="DD30" s="702">
        <f>IF($T30&gt;0,(($AA30)/(12)),0)</f>
        <v/>
      </c>
      <c r="DE30" s="702">
        <f>IF($T30&gt;0,(($AA30)/(12)),0)</f>
        <v/>
      </c>
      <c r="DF30" s="702">
        <f>IF($T30&gt;0,(($AA30)/(12)),0)</f>
        <v/>
      </c>
      <c r="DG30" s="765">
        <f>SUM(CU30:DF30)</f>
        <v/>
      </c>
    </row>
    <row r="31" ht="15" customHeight="1" s="1883">
      <c r="A31" s="1631" t="n"/>
      <c r="B31" s="752">
        <f>((B30)+(1))</f>
        <v/>
      </c>
      <c r="C31" s="1636" t="n"/>
      <c r="D31" s="1628" t="inlineStr">
        <is>
          <t>●</t>
        </is>
      </c>
      <c r="E31" s="1446" t="inlineStr">
        <is>
          <t>Eric Solomon</t>
        </is>
      </c>
      <c r="F31" s="66" t="n"/>
      <c r="G31" s="66" t="n"/>
      <c r="H31" s="66" t="n"/>
      <c r="I31" s="1446" t="inlineStr">
        <is>
          <t>Chief Brilliance Actualizer</t>
        </is>
      </c>
      <c r="J31" s="745" t="inlineStr">
        <is>
          <t>CONUS</t>
        </is>
      </c>
      <c r="K31" s="745" t="n"/>
      <c r="L31" s="738" t="inlineStr">
        <is>
          <t>-12</t>
        </is>
      </c>
      <c r="M31" s="738" t="n">
        <v>-11</v>
      </c>
      <c r="N31" s="738" t="n"/>
      <c r="O31" s="749" t="n">
        <v>1</v>
      </c>
      <c r="P31" s="748" t="n">
        <v>1</v>
      </c>
      <c r="Q31" s="748" t="n">
        <v>1</v>
      </c>
      <c r="R31" s="748" t="n">
        <v>1</v>
      </c>
      <c r="S31" s="748" t="n">
        <v>1</v>
      </c>
      <c r="T31" s="748" t="n">
        <v>1</v>
      </c>
      <c r="U31" s="1637" t="n"/>
      <c r="V31" s="1637" t="n">
        <v>125000</v>
      </c>
      <c r="W31" s="702">
        <f>(V31)</f>
        <v/>
      </c>
      <c r="X31" s="702">
        <f>((W31)*((1)+($X$15)))</f>
        <v/>
      </c>
      <c r="Y31" s="702">
        <f>((X31)*((1)+($Y$15)))</f>
        <v/>
      </c>
      <c r="Z31" s="702">
        <f>((Y31)*((1)+($Z$15)))</f>
        <v/>
      </c>
      <c r="AA31" s="702">
        <f>((Z31)*((1)+($AA$15)))</f>
        <v/>
      </c>
      <c r="AB31" s="702" t="n"/>
      <c r="AC31" s="702" t="n">
        <v>0</v>
      </c>
      <c r="AD31" s="702">
        <f>(($V31)/(12))</f>
        <v/>
      </c>
      <c r="AE31" s="702">
        <f>(($V31)/(12))</f>
        <v/>
      </c>
      <c r="AF31" s="702">
        <f>(($V31)/(12))</f>
        <v/>
      </c>
      <c r="AG31" s="702">
        <f>(($V31)/(12))</f>
        <v/>
      </c>
      <c r="AH31" s="702">
        <f>(($V31)/(12))</f>
        <v/>
      </c>
      <c r="AI31" s="702">
        <f>(($V31)/(12))</f>
        <v/>
      </c>
      <c r="AJ31" s="702">
        <f>(($V31)/(12))</f>
        <v/>
      </c>
      <c r="AK31" s="702">
        <f>(($V31)/(12))</f>
        <v/>
      </c>
      <c r="AL31" s="702">
        <f>(($V31)/(12))</f>
        <v/>
      </c>
      <c r="AM31" s="702">
        <f>(($V31)/(12))</f>
        <v/>
      </c>
      <c r="AN31" s="702">
        <f>(($V31)/(12))</f>
        <v/>
      </c>
      <c r="AO31" s="765">
        <f>SUM(AC31:AN31)</f>
        <v/>
      </c>
      <c r="AP31" s="462" t="n"/>
      <c r="AQ31" s="702">
        <f>IF($P31&gt;0,(($W31)/(12)),0)</f>
        <v/>
      </c>
      <c r="AR31" s="702">
        <f>IF($P31&gt;0,(($W31)/(12)),0)</f>
        <v/>
      </c>
      <c r="AS31" s="702">
        <f>IF($P31&gt;0,(($W31)/(12)),0)</f>
        <v/>
      </c>
      <c r="AT31" s="702">
        <f>IF($P31&gt;0,(($W31)/(12)),0)</f>
        <v/>
      </c>
      <c r="AU31" s="702">
        <f>IF($P31&gt;0,(($W31)/(12)),0)</f>
        <v/>
      </c>
      <c r="AV31" s="702">
        <f>IF($P31&gt;0,(($W31)/(12)),0)</f>
        <v/>
      </c>
      <c r="AW31" s="702">
        <f>IF($P31&gt;0,(($W31)/(12)),0)</f>
        <v/>
      </c>
      <c r="AX31" s="702">
        <f>IF($P31&gt;0,(($W31)/(12)),0)</f>
        <v/>
      </c>
      <c r="AY31" s="702">
        <f>IF($P31&gt;0,(($W31)/(12)),0)</f>
        <v/>
      </c>
      <c r="AZ31" s="702">
        <f>IF($P31&gt;0,(($W31)/(12)),0)</f>
        <v/>
      </c>
      <c r="BA31" s="702">
        <f>IF($P31&gt;0,(($W31)/(12)),0)</f>
        <v/>
      </c>
      <c r="BB31" s="702">
        <f>IF($P31&gt;0,(($W31)/(12)),0)</f>
        <v/>
      </c>
      <c r="BC31" s="765">
        <f>SUM(AQ31:BB31)</f>
        <v/>
      </c>
      <c r="BD31" s="702" t="n"/>
      <c r="BE31" s="702">
        <f>IF($P31&gt;0,(($W31)/(12)),0)</f>
        <v/>
      </c>
      <c r="BF31" s="702">
        <f>IF($P31&gt;0,(($W31)/(12)),0)</f>
        <v/>
      </c>
      <c r="BG31" s="702">
        <f>IF($P31&gt;0,(($W31)/(12)),0)</f>
        <v/>
      </c>
      <c r="BH31" s="702">
        <f>IF($P31&gt;0,(($W31)/(12)),0)</f>
        <v/>
      </c>
      <c r="BI31" s="702">
        <f>IF($P31&gt;0,(($W31)/(12)),0)</f>
        <v/>
      </c>
      <c r="BJ31" s="702">
        <f>IF($P31&gt;0,(($W31)/(12)),0)</f>
        <v/>
      </c>
      <c r="BK31" s="702">
        <f>IF($P31&gt;0,(($W31)/(12)),0)</f>
        <v/>
      </c>
      <c r="BL31" s="702">
        <f>IF($P31&gt;0,(($W31)/(12)),0)</f>
        <v/>
      </c>
      <c r="BM31" s="702">
        <f>IF($P31&gt;0,(($W31)/(12)),0)</f>
        <v/>
      </c>
      <c r="BN31" s="702">
        <f>IF($P31&gt;0,(($W31)/(12)),0)</f>
        <v/>
      </c>
      <c r="BO31" s="702">
        <f>IF($P31&gt;0,(($W31)/(12)),0)</f>
        <v/>
      </c>
      <c r="BP31" s="702">
        <f>IF($P31&gt;0,(($W31)/(12)),0)</f>
        <v/>
      </c>
      <c r="BQ31" s="765">
        <f>SUM(BE31:BP31)</f>
        <v/>
      </c>
      <c r="BR31" s="702" t="n"/>
      <c r="BS31" s="702">
        <f>IF($P31&gt;0,(($W31)/(12)),0)</f>
        <v/>
      </c>
      <c r="BT31" s="702">
        <f>IF($P31&gt;0,(($W31)/(12)),0)</f>
        <v/>
      </c>
      <c r="BU31" s="702">
        <f>IF($P31&gt;0,(($W31)/(12)),0)</f>
        <v/>
      </c>
      <c r="BV31" s="702">
        <f>IF($P31&gt;0,(($W31)/(12)),0)</f>
        <v/>
      </c>
      <c r="BW31" s="702">
        <f>IF($P31&gt;0,(($W31)/(12)),0)</f>
        <v/>
      </c>
      <c r="BX31" s="702">
        <f>IF($P31&gt;0,(($W31)/(12)),0)</f>
        <v/>
      </c>
      <c r="BY31" s="702">
        <f>IF($P31&gt;0,(($W31)/(12)),0)</f>
        <v/>
      </c>
      <c r="BZ31" s="702">
        <f>IF($P31&gt;0,(($W31)/(12)),0)</f>
        <v/>
      </c>
      <c r="CA31" s="702">
        <f>IF($P31&gt;0,(($W31)/(12)),0)</f>
        <v/>
      </c>
      <c r="CB31" s="702">
        <f>IF($P31&gt;0,(($W31)/(12)),0)</f>
        <v/>
      </c>
      <c r="CC31" s="702">
        <f>IF($P31&gt;0,(($W31)/(12)),0)</f>
        <v/>
      </c>
      <c r="CD31" s="702">
        <f>IF($P31&gt;0,(($W31)/(12)),0)</f>
        <v/>
      </c>
      <c r="CE31" s="765">
        <f>SUM(BS31:CD31)</f>
        <v/>
      </c>
      <c r="CF31" s="702" t="n"/>
      <c r="CG31" s="702">
        <f>IF($P31&gt;0,(($W31)/(12)),0)</f>
        <v/>
      </c>
      <c r="CH31" s="702">
        <f>IF($P31&gt;0,(($W31)/(12)),0)</f>
        <v/>
      </c>
      <c r="CI31" s="702">
        <f>IF($P31&gt;0,(($W31)/(12)),0)</f>
        <v/>
      </c>
      <c r="CJ31" s="702">
        <f>IF($P31&gt;0,(($W31)/(12)),0)</f>
        <v/>
      </c>
      <c r="CK31" s="702">
        <f>IF($P31&gt;0,(($W31)/(12)),0)</f>
        <v/>
      </c>
      <c r="CL31" s="702">
        <f>IF($P31&gt;0,(($W31)/(12)),0)</f>
        <v/>
      </c>
      <c r="CM31" s="702">
        <f>IF($P31&gt;0,(($W31)/(12)),0)</f>
        <v/>
      </c>
      <c r="CN31" s="702">
        <f>IF($P31&gt;0,(($W31)/(12)),0)</f>
        <v/>
      </c>
      <c r="CO31" s="702">
        <f>IF($P31&gt;0,(($W31)/(12)),0)</f>
        <v/>
      </c>
      <c r="CP31" s="702">
        <f>IF($P31&gt;0,(($W31)/(12)),0)</f>
        <v/>
      </c>
      <c r="CQ31" s="702">
        <f>IF($P31&gt;0,(($W31)/(12)),0)</f>
        <v/>
      </c>
      <c r="CR31" s="702">
        <f>IF($P31&gt;0,(($W31)/(12)),0)</f>
        <v/>
      </c>
      <c r="CS31" s="765">
        <f>SUM(CG31:CR31)</f>
        <v/>
      </c>
      <c r="CU31" s="702" t="n">
        <v>18212</v>
      </c>
      <c r="CV31" s="702" t="n">
        <v>18212</v>
      </c>
      <c r="CW31" s="702" t="n">
        <v>18212</v>
      </c>
      <c r="CX31" s="702" t="n">
        <v>18212</v>
      </c>
      <c r="CY31" s="702" t="n">
        <v>18212</v>
      </c>
      <c r="CZ31" s="702" t="n">
        <v>18212</v>
      </c>
      <c r="DA31" s="702" t="n">
        <v>18212</v>
      </c>
      <c r="DB31" s="702" t="n">
        <v>18212</v>
      </c>
      <c r="DC31" s="702" t="n">
        <v>18212</v>
      </c>
      <c r="DD31" s="702" t="n">
        <v>18212</v>
      </c>
      <c r="DE31" s="702" t="n">
        <v>18212</v>
      </c>
      <c r="DF31" s="702" t="n">
        <v>18212</v>
      </c>
      <c r="DG31" s="765" t="n">
        <v>218545</v>
      </c>
    </row>
    <row r="32" ht="15" customFormat="1" customHeight="1" s="1510">
      <c r="A32" s="1633" t="n"/>
      <c r="B32" s="752">
        <f>((B31)+(1))</f>
        <v/>
      </c>
      <c r="C32" s="1634" t="n"/>
      <c r="D32" s="1635" t="inlineStr">
        <is>
          <t>●</t>
        </is>
      </c>
      <c r="E32" s="1446" t="inlineStr">
        <is>
          <t xml:space="preserve">Philip Bliss </t>
        </is>
      </c>
      <c r="F32" s="66" t="n"/>
      <c r="G32" s="66" t="n"/>
      <c r="H32" s="66" t="n"/>
      <c r="I32" s="1446" t="inlineStr">
        <is>
          <t>Chief Marketing Officer</t>
        </is>
      </c>
      <c r="J32" s="746" t="inlineStr">
        <is>
          <t>OCONUS</t>
        </is>
      </c>
      <c r="K32" s="746" t="n"/>
      <c r="L32" s="738" t="inlineStr">
        <is>
          <t>-12</t>
        </is>
      </c>
      <c r="M32" s="738" t="inlineStr">
        <is>
          <t>-12</t>
        </is>
      </c>
      <c r="N32" s="738" t="n"/>
      <c r="O32" s="749" t="n">
        <v>1</v>
      </c>
      <c r="P32" s="748" t="n">
        <v>1</v>
      </c>
      <c r="Q32" s="748" t="n">
        <v>1</v>
      </c>
      <c r="R32" s="748" t="n">
        <v>1</v>
      </c>
      <c r="S32" s="748" t="n">
        <v>1</v>
      </c>
      <c r="T32" s="748" t="n">
        <v>1</v>
      </c>
      <c r="U32" s="1637" t="n"/>
      <c r="V32" s="1637" t="n">
        <v>200000</v>
      </c>
      <c r="W32" s="702">
        <f>(V32)</f>
        <v/>
      </c>
      <c r="X32" s="702">
        <f>((W32)*((1)+($X$15)))</f>
        <v/>
      </c>
      <c r="Y32" s="702">
        <f>((X32)*((1)+($Y$15)))</f>
        <v/>
      </c>
      <c r="Z32" s="702">
        <f>((Y32)*((1)+($Z$15)))</f>
        <v/>
      </c>
      <c r="AA32" s="702">
        <f>((Z32)*((1)+($AA$15)))</f>
        <v/>
      </c>
      <c r="AB32" s="702" t="n"/>
      <c r="AC32" s="702" t="n">
        <v>0</v>
      </c>
      <c r="AD32" s="702">
        <f>(($V32)/(12))</f>
        <v/>
      </c>
      <c r="AE32" s="702">
        <f>(($V32)/(12))</f>
        <v/>
      </c>
      <c r="AF32" s="702">
        <f>(($V32)/(12))</f>
        <v/>
      </c>
      <c r="AG32" s="702">
        <f>(($V32)/(12))</f>
        <v/>
      </c>
      <c r="AH32" s="702">
        <f>(($V32)/(12))</f>
        <v/>
      </c>
      <c r="AI32" s="702">
        <f>(($V32)/(12))</f>
        <v/>
      </c>
      <c r="AJ32" s="702">
        <f>(($V32)/(12))</f>
        <v/>
      </c>
      <c r="AK32" s="702">
        <f>(($V32)/(12))</f>
        <v/>
      </c>
      <c r="AL32" s="702">
        <f>(($V32)/(12))</f>
        <v/>
      </c>
      <c r="AM32" s="702">
        <f>(($V32)/(12))</f>
        <v/>
      </c>
      <c r="AN32" s="702">
        <f>(($V32)/(12))</f>
        <v/>
      </c>
      <c r="AO32" s="765">
        <f>SUM(AC32:AN32)</f>
        <v/>
      </c>
      <c r="AP32" s="462" t="n"/>
      <c r="AQ32" s="702">
        <f>IF($P32&gt;0,(($W32)/(12)),0)</f>
        <v/>
      </c>
      <c r="AR32" s="702">
        <f>IF($P32&gt;0,(($W32)/(12)),0)</f>
        <v/>
      </c>
      <c r="AS32" s="702">
        <f>IF($P32&gt;0,(($W32)/(12)),0)</f>
        <v/>
      </c>
      <c r="AT32" s="702">
        <f>IF($P32&gt;0,(($W32)/(12)),0)</f>
        <v/>
      </c>
      <c r="AU32" s="702">
        <f>IF($P32&gt;0,(($W32)/(12)),0)</f>
        <v/>
      </c>
      <c r="AV32" s="702">
        <f>IF($P32&gt;0,(($W32)/(12)),0)</f>
        <v/>
      </c>
      <c r="AW32" s="702">
        <f>IF($P32&gt;0,(($W32)/(12)),0)</f>
        <v/>
      </c>
      <c r="AX32" s="702">
        <f>IF($P32&gt;0,(($W32)/(12)),0)</f>
        <v/>
      </c>
      <c r="AY32" s="702">
        <f>IF($P32&gt;0,(($W32)/(12)),0)</f>
        <v/>
      </c>
      <c r="AZ32" s="702">
        <f>IF($P32&gt;0,(($W32)/(12)),0)</f>
        <v/>
      </c>
      <c r="BA32" s="702">
        <f>IF($P32&gt;0,(($W32)/(12)),0)</f>
        <v/>
      </c>
      <c r="BB32" s="702">
        <f>IF($P32&gt;0,(($W32)/(12)),0)</f>
        <v/>
      </c>
      <c r="BC32" s="765">
        <f>SUM(AQ32:BB32)</f>
        <v/>
      </c>
      <c r="BD32" s="702" t="n"/>
      <c r="BE32" s="702">
        <f>IF($Q32&gt;0,(($X32)/(12)),0)</f>
        <v/>
      </c>
      <c r="BF32" s="702">
        <f>IF($Q32&gt;0,(($X32)/(12)),0)</f>
        <v/>
      </c>
      <c r="BG32" s="702">
        <f>IF($Q32&gt;0,(($X32)/(12)),0)</f>
        <v/>
      </c>
      <c r="BH32" s="702">
        <f>IF($Q32&gt;0,(($X32)/(12)),0)</f>
        <v/>
      </c>
      <c r="BI32" s="702">
        <f>IF($Q32&gt;0,(($X32)/(12)),0)</f>
        <v/>
      </c>
      <c r="BJ32" s="702">
        <f>IF($Q32&gt;0,(($X32)/(12)),0)</f>
        <v/>
      </c>
      <c r="BK32" s="702">
        <f>IF($Q32&gt;0,(($X32)/(12)),0)</f>
        <v/>
      </c>
      <c r="BL32" s="702">
        <f>IF($Q32&gt;0,(($X32)/(12)),0)</f>
        <v/>
      </c>
      <c r="BM32" s="702">
        <f>IF($Q32&gt;0,(($X32)/(12)),0)</f>
        <v/>
      </c>
      <c r="BN32" s="702">
        <f>IF($Q32&gt;0,(($X32)/(12)),0)</f>
        <v/>
      </c>
      <c r="BO32" s="702">
        <f>IF($Q32&gt;0,(($X32)/(12)),0)</f>
        <v/>
      </c>
      <c r="BP32" s="702">
        <f>IF($Q32&gt;0,(($X32)/(12)),0)</f>
        <v/>
      </c>
      <c r="BQ32" s="765">
        <f>SUM(BE32:BP32)</f>
        <v/>
      </c>
      <c r="BR32" s="702" t="n"/>
      <c r="BS32" s="702">
        <f>IF($R32&gt;0,(($Y32)/(12)),0)</f>
        <v/>
      </c>
      <c r="BT32" s="702">
        <f>IF($R32&gt;0,(($Y32)/(12)),0)</f>
        <v/>
      </c>
      <c r="BU32" s="702">
        <f>IF($R32&gt;0,(($Y32)/(12)),0)</f>
        <v/>
      </c>
      <c r="BV32" s="702">
        <f>IF($R32&gt;0,(($Y32)/(12)),0)</f>
        <v/>
      </c>
      <c r="BW32" s="702">
        <f>IF($R32&gt;0,(($Y32)/(12)),0)</f>
        <v/>
      </c>
      <c r="BX32" s="702">
        <f>IF($R32&gt;0,(($Y32)/(12)),0)</f>
        <v/>
      </c>
      <c r="BY32" s="702">
        <f>IF($R32&gt;0,(($Y32)/(12)),0)</f>
        <v/>
      </c>
      <c r="BZ32" s="702">
        <f>IF($R32&gt;0,(($Y32)/(12)),0)</f>
        <v/>
      </c>
      <c r="CA32" s="702">
        <f>IF($R32&gt;0,(($Y32)/(12)),0)</f>
        <v/>
      </c>
      <c r="CB32" s="702">
        <f>IF($R32&gt;0,(($Y32)/(12)),0)</f>
        <v/>
      </c>
      <c r="CC32" s="702">
        <f>IF($R32&gt;0,(($Y32)/(12)),0)</f>
        <v/>
      </c>
      <c r="CD32" s="702">
        <f>IF($R32&gt;0,(($Y32)/(12)),0)</f>
        <v/>
      </c>
      <c r="CE32" s="765">
        <f>SUM(BS32:CD32)</f>
        <v/>
      </c>
      <c r="CF32" s="702" t="n"/>
      <c r="CG32" s="702">
        <f>IF($S32&gt;0,(($Z32)/(12)),0)</f>
        <v/>
      </c>
      <c r="CH32" s="702">
        <f>IF($S32&gt;0,(($Z32)/(12)),0)</f>
        <v/>
      </c>
      <c r="CI32" s="702">
        <f>IF($S32&gt;0,(($Z32)/(12)),0)</f>
        <v/>
      </c>
      <c r="CJ32" s="702">
        <f>IF($S32&gt;0,(($Z32)/(12)),0)</f>
        <v/>
      </c>
      <c r="CK32" s="702">
        <f>IF($S32&gt;0,(($Z32)/(12)),0)</f>
        <v/>
      </c>
      <c r="CL32" s="702">
        <f>IF($S32&gt;0,(($Z32)/(12)),0)</f>
        <v/>
      </c>
      <c r="CM32" s="702">
        <f>IF($S32&gt;0,(($Z32)/(12)),0)</f>
        <v/>
      </c>
      <c r="CN32" s="702">
        <f>IF($S32&gt;0,(($Z32)/(12)),0)</f>
        <v/>
      </c>
      <c r="CO32" s="702">
        <f>IF($S32&gt;0,(($Z32)/(12)),0)</f>
        <v/>
      </c>
      <c r="CP32" s="702">
        <f>IF($S32&gt;0,(($Z32)/(12)),0)</f>
        <v/>
      </c>
      <c r="CQ32" s="702">
        <f>IF($S32&gt;0,(($Z32)/(12)),0)</f>
        <v/>
      </c>
      <c r="CR32" s="702">
        <f>IF($S32&gt;0,(($Z32)/(12)),0)</f>
        <v/>
      </c>
      <c r="CS32" s="765">
        <f>SUM(CG32:CR32)</f>
        <v/>
      </c>
      <c r="CU32" s="702">
        <f>IF($T32&gt;0,(($AA32)/(12)),0)</f>
        <v/>
      </c>
      <c r="CV32" s="702">
        <f>IF($T32&gt;0,(($AA32)/(12)),0)</f>
        <v/>
      </c>
      <c r="CW32" s="702">
        <f>IF($T32&gt;0,(($AA32)/(12)),0)</f>
        <v/>
      </c>
      <c r="CX32" s="702">
        <f>IF($T32&gt;0,(($AA32)/(12)),0)</f>
        <v/>
      </c>
      <c r="CY32" s="702">
        <f>IF($T32&gt;0,(($AA32)/(12)),0)</f>
        <v/>
      </c>
      <c r="CZ32" s="702">
        <f>IF($T32&gt;0,(($AA32)/(12)),0)</f>
        <v/>
      </c>
      <c r="DA32" s="702">
        <f>IF($T32&gt;0,(($AA32)/(12)),0)</f>
        <v/>
      </c>
      <c r="DB32" s="702">
        <f>IF($T32&gt;0,(($AA32)/(12)),0)</f>
        <v/>
      </c>
      <c r="DC32" s="702">
        <f>IF($T32&gt;0,(($AA32)/(12)),0)</f>
        <v/>
      </c>
      <c r="DD32" s="702">
        <f>IF($T32&gt;0,(($AA32)/(12)),0)</f>
        <v/>
      </c>
      <c r="DE32" s="702">
        <f>IF($T32&gt;0,(($AA32)/(12)),0)</f>
        <v/>
      </c>
      <c r="DF32" s="702">
        <f>IF($T32&gt;0,(($AA32)/(12)),0)</f>
        <v/>
      </c>
      <c r="DG32" s="765">
        <f>SUM(CU32:DF32)</f>
        <v/>
      </c>
    </row>
    <row r="33" ht="15" customHeight="1" s="1883">
      <c r="A33" s="1625" t="n"/>
      <c r="B33" s="752">
        <f>((B32)+(1))</f>
        <v/>
      </c>
      <c r="C33" s="1626" t="n"/>
      <c r="D33" s="1624" t="inlineStr">
        <is>
          <t>●</t>
        </is>
      </c>
      <c r="E33" s="1446" t="inlineStr">
        <is>
          <t>Mike Daser</t>
        </is>
      </c>
      <c r="F33" s="66" t="n"/>
      <c r="G33" s="66" t="n"/>
      <c r="H33" s="66" t="n"/>
      <c r="I33" s="1446" t="inlineStr">
        <is>
          <t>SVP, Human Resources</t>
        </is>
      </c>
      <c r="J33" s="746" t="inlineStr">
        <is>
          <t>OCONUS</t>
        </is>
      </c>
      <c r="K33" s="746" t="n"/>
      <c r="L33" s="738" t="inlineStr">
        <is>
          <t>-12</t>
        </is>
      </c>
      <c r="M33" s="738" t="inlineStr">
        <is>
          <t>-12</t>
        </is>
      </c>
      <c r="N33" s="738" t="n"/>
      <c r="O33" s="749" t="n">
        <v>1</v>
      </c>
      <c r="P33" s="748" t="n">
        <v>1</v>
      </c>
      <c r="Q33" s="748" t="n">
        <v>1</v>
      </c>
      <c r="R33" s="748" t="n">
        <v>1</v>
      </c>
      <c r="S33" s="748" t="n">
        <v>1</v>
      </c>
      <c r="T33" s="748" t="n">
        <v>1</v>
      </c>
      <c r="U33" s="1637" t="n"/>
      <c r="V33" s="1637" t="n">
        <v>165000</v>
      </c>
      <c r="W33" s="702">
        <f>(V33)</f>
        <v/>
      </c>
      <c r="X33" s="702">
        <f>((W33)*((1)+($X$15)))</f>
        <v/>
      </c>
      <c r="Y33" s="702">
        <f>((X33)*((1)+($Y$15)))</f>
        <v/>
      </c>
      <c r="Z33" s="702">
        <f>((Y33)*((1)+($Z$15)))</f>
        <v/>
      </c>
      <c r="AA33" s="702">
        <f>((Z33)*((1)+($AA$15)))</f>
        <v/>
      </c>
      <c r="AB33" s="702" t="n"/>
      <c r="AC33" s="702">
        <f>(($V33)/(12))/2</f>
        <v/>
      </c>
      <c r="AD33" s="702">
        <f>(($V33)/(12))</f>
        <v/>
      </c>
      <c r="AE33" s="702">
        <f>(($V33)/(12))</f>
        <v/>
      </c>
      <c r="AF33" s="702">
        <f>(($V33)/(12))</f>
        <v/>
      </c>
      <c r="AG33" s="702">
        <f>(($V33)/(12))</f>
        <v/>
      </c>
      <c r="AH33" s="702">
        <f>(($V33)/(12))</f>
        <v/>
      </c>
      <c r="AI33" s="702">
        <f>(($V33)/(12))</f>
        <v/>
      </c>
      <c r="AJ33" s="702">
        <f>(($V33)/(12))</f>
        <v/>
      </c>
      <c r="AK33" s="702">
        <f>(($V33)/(12))</f>
        <v/>
      </c>
      <c r="AL33" s="702">
        <f>(($V33)/(12))</f>
        <v/>
      </c>
      <c r="AM33" s="702">
        <f>(($V33)/(12))</f>
        <v/>
      </c>
      <c r="AN33" s="702">
        <f>(($V33)/(12))</f>
        <v/>
      </c>
      <c r="AO33" s="765">
        <f>SUM(AC33:AN33)</f>
        <v/>
      </c>
      <c r="AP33" s="462" t="n"/>
      <c r="AQ33" s="702">
        <f>IF($P33&gt;0,(($W33)/(12)),0)</f>
        <v/>
      </c>
      <c r="AR33" s="702">
        <f>IF($P33&gt;0,(($W33)/(12)),0)</f>
        <v/>
      </c>
      <c r="AS33" s="702">
        <f>IF($P33&gt;0,(($W33)/(12)),0)</f>
        <v/>
      </c>
      <c r="AT33" s="702">
        <f>IF($P33&gt;0,(($W33)/(12)),0)</f>
        <v/>
      </c>
      <c r="AU33" s="702">
        <f>IF($P33&gt;0,(($W33)/(12)),0)</f>
        <v/>
      </c>
      <c r="AV33" s="702">
        <f>IF($P33&gt;0,(($W33)/(12)),0)</f>
        <v/>
      </c>
      <c r="AW33" s="702">
        <f>IF($P33&gt;0,(($W33)/(12)),0)</f>
        <v/>
      </c>
      <c r="AX33" s="702">
        <f>IF($P33&gt;0,(($W33)/(12)),0)</f>
        <v/>
      </c>
      <c r="AY33" s="702">
        <f>IF($P33&gt;0,(($W33)/(12)),0)</f>
        <v/>
      </c>
      <c r="AZ33" s="702">
        <f>IF($P33&gt;0,(($W33)/(12)),0)</f>
        <v/>
      </c>
      <c r="BA33" s="702">
        <f>IF($P33&gt;0,(($W33)/(12)),0)</f>
        <v/>
      </c>
      <c r="BB33" s="702">
        <f>IF($P33&gt;0,(($W33)/(12)),0)</f>
        <v/>
      </c>
      <c r="BC33" s="765">
        <f>SUM(AQ33:BB33)</f>
        <v/>
      </c>
      <c r="BD33" s="462" t="n"/>
      <c r="BE33" s="702">
        <f>IF($Q33&gt;0,(($X33)/(12)),0)</f>
        <v/>
      </c>
      <c r="BF33" s="702">
        <f>IF($Q33&gt;0,(($X33)/(12)),0)</f>
        <v/>
      </c>
      <c r="BG33" s="702">
        <f>IF($Q33&gt;0,(($X33)/(12)),0)</f>
        <v/>
      </c>
      <c r="BH33" s="702">
        <f>IF($Q33&gt;0,(($X33)/(12)),0)</f>
        <v/>
      </c>
      <c r="BI33" s="702">
        <f>IF($Q33&gt;0,(($X33)/(12)),0)</f>
        <v/>
      </c>
      <c r="BJ33" s="702">
        <f>IF($Q33&gt;0,(($X33)/(12)),0)</f>
        <v/>
      </c>
      <c r="BK33" s="702">
        <f>IF($Q33&gt;0,(($X33)/(12)),0)</f>
        <v/>
      </c>
      <c r="BL33" s="702">
        <f>IF($Q33&gt;0,(($X33)/(12)),0)</f>
        <v/>
      </c>
      <c r="BM33" s="702">
        <f>IF($Q33&gt;0,(($X33)/(12)),0)</f>
        <v/>
      </c>
      <c r="BN33" s="702">
        <f>IF($Q33&gt;0,(($X33)/(12)),0)</f>
        <v/>
      </c>
      <c r="BO33" s="702">
        <f>IF($Q33&gt;0,(($X33)/(12)),0)</f>
        <v/>
      </c>
      <c r="BP33" s="702">
        <f>IF($Q33&gt;0,(($X33)/(12)),0)</f>
        <v/>
      </c>
      <c r="BQ33" s="765">
        <f>SUM(BE33:BP33)</f>
        <v/>
      </c>
      <c r="BR33" s="507" t="n"/>
      <c r="BS33" s="702">
        <f>IF($R33&gt;0,(($Y33)/(12)),0)</f>
        <v/>
      </c>
      <c r="BT33" s="702">
        <f>IF($R33&gt;0,(($Y33)/(12)),0)</f>
        <v/>
      </c>
      <c r="BU33" s="702">
        <f>IF($R33&gt;0,(($Y33)/(12)),0)</f>
        <v/>
      </c>
      <c r="BV33" s="702">
        <f>IF($R33&gt;0,(($Y33)/(12)),0)</f>
        <v/>
      </c>
      <c r="BW33" s="702">
        <f>IF($R33&gt;0,(($Y33)/(12)),0)</f>
        <v/>
      </c>
      <c r="BX33" s="702">
        <f>IF($R33&gt;0,(($Y33)/(12)),0)</f>
        <v/>
      </c>
      <c r="BY33" s="702">
        <f>IF($R33&gt;0,(($Y33)/(12)),0)</f>
        <v/>
      </c>
      <c r="BZ33" s="702">
        <f>IF($R33&gt;0,(($Y33)/(12)),0)</f>
        <v/>
      </c>
      <c r="CA33" s="702">
        <f>IF($R33&gt;0,(($Y33)/(12)),0)</f>
        <v/>
      </c>
      <c r="CB33" s="702">
        <f>IF($R33&gt;0,(($Y33)/(12)),0)</f>
        <v/>
      </c>
      <c r="CC33" s="702">
        <f>IF($R33&gt;0,(($Y33)/(12)),0)</f>
        <v/>
      </c>
      <c r="CD33" s="702">
        <f>IF($R33&gt;0,(($Y33)/(12)),0)</f>
        <v/>
      </c>
      <c r="CE33" s="765">
        <f>SUM(BS33:CD33)</f>
        <v/>
      </c>
      <c r="CF33" s="507" t="n"/>
      <c r="CG33" s="702">
        <f>IF($S33&gt;0,(($Z33)/(12)),0)</f>
        <v/>
      </c>
      <c r="CH33" s="702">
        <f>IF($S33&gt;0,(($Z33)/(12)),0)</f>
        <v/>
      </c>
      <c r="CI33" s="702">
        <f>IF($S33&gt;0,(($Z33)/(12)),0)</f>
        <v/>
      </c>
      <c r="CJ33" s="702">
        <f>IF($S33&gt;0,(($Z33)/(12)),0)</f>
        <v/>
      </c>
      <c r="CK33" s="702">
        <f>IF($S33&gt;0,(($Z33)/(12)),0)</f>
        <v/>
      </c>
      <c r="CL33" s="702">
        <f>IF($S33&gt;0,(($Z33)/(12)),0)</f>
        <v/>
      </c>
      <c r="CM33" s="702">
        <f>IF($S33&gt;0,(($Z33)/(12)),0)</f>
        <v/>
      </c>
      <c r="CN33" s="702">
        <f>IF($S33&gt;0,(($Z33)/(12)),0)</f>
        <v/>
      </c>
      <c r="CO33" s="702">
        <f>IF($S33&gt;0,(($Z33)/(12)),0)</f>
        <v/>
      </c>
      <c r="CP33" s="702">
        <f>IF($S33&gt;0,(($Z33)/(12)),0)</f>
        <v/>
      </c>
      <c r="CQ33" s="702">
        <f>IF($S33&gt;0,(($Z33)/(12)),0)</f>
        <v/>
      </c>
      <c r="CR33" s="702">
        <f>IF($S33&gt;0,(($Z33)/(12)),0)</f>
        <v/>
      </c>
      <c r="CS33" s="765">
        <f>SUM(CG33:CR33)</f>
        <v/>
      </c>
      <c r="CU33" s="702">
        <f>IF($T33&gt;0,(($AA33)/(12)),0)</f>
        <v/>
      </c>
      <c r="CV33" s="702">
        <f>IF($T33&gt;0,(($AA33)/(12)),0)</f>
        <v/>
      </c>
      <c r="CW33" s="702">
        <f>IF($T33&gt;0,(($AA33)/(12)),0)</f>
        <v/>
      </c>
      <c r="CX33" s="702">
        <f>IF($T33&gt;0,(($AA33)/(12)),0)</f>
        <v/>
      </c>
      <c r="CY33" s="702">
        <f>IF($T33&gt;0,(($AA33)/(12)),0)</f>
        <v/>
      </c>
      <c r="CZ33" s="702">
        <f>IF($T33&gt;0,(($AA33)/(12)),0)</f>
        <v/>
      </c>
      <c r="DA33" s="702">
        <f>IF($T33&gt;0,(($AA33)/(12)),0)</f>
        <v/>
      </c>
      <c r="DB33" s="702">
        <f>IF($T33&gt;0,(($AA33)/(12)),0)</f>
        <v/>
      </c>
      <c r="DC33" s="702">
        <f>IF($T33&gt;0,(($AA33)/(12)),0)</f>
        <v/>
      </c>
      <c r="DD33" s="702">
        <f>IF($T33&gt;0,(($AA33)/(12)),0)</f>
        <v/>
      </c>
      <c r="DE33" s="702">
        <f>IF($T33&gt;0,(($AA33)/(12)),0)</f>
        <v/>
      </c>
      <c r="DF33" s="702">
        <f>IF($T33&gt;0,(($AA33)/(12)),0)</f>
        <v/>
      </c>
      <c r="DG33" s="765">
        <f>SUM(CU33:DF33)</f>
        <v/>
      </c>
    </row>
    <row r="34" ht="15" customHeight="1" s="1883">
      <c r="B34" s="752">
        <f>((B33)+(1))</f>
        <v/>
      </c>
      <c r="C34" s="726" t="n"/>
      <c r="D34" s="730" t="inlineStr">
        <is>
          <t>●</t>
        </is>
      </c>
      <c r="E34" s="1446" t="inlineStr">
        <is>
          <t>John Paris</t>
        </is>
      </c>
      <c r="F34" s="66" t="n"/>
      <c r="G34" s="66" t="n"/>
      <c r="H34" s="1446" t="n"/>
      <c r="I34" s="1446" t="inlineStr">
        <is>
          <t>SVP, Digital Strategy</t>
        </is>
      </c>
      <c r="J34" s="745" t="inlineStr">
        <is>
          <t>CONUS</t>
        </is>
      </c>
      <c r="K34" s="745" t="n"/>
      <c r="L34" s="738" t="inlineStr">
        <is>
          <t>-12</t>
        </is>
      </c>
      <c r="M34" s="738" t="inlineStr">
        <is>
          <t>-11</t>
        </is>
      </c>
      <c r="N34" s="738" t="n"/>
      <c r="O34" s="749" t="n">
        <v>1</v>
      </c>
      <c r="P34" s="748" t="n">
        <v>1</v>
      </c>
      <c r="Q34" s="748" t="n">
        <v>1</v>
      </c>
      <c r="R34" s="748" t="n">
        <v>1</v>
      </c>
      <c r="S34" s="748" t="n">
        <v>1</v>
      </c>
      <c r="T34" s="748" t="n">
        <v>1</v>
      </c>
      <c r="U34" s="1637" t="n"/>
      <c r="V34" s="1637" t="n">
        <v>150000</v>
      </c>
      <c r="W34" s="702">
        <f>(V34)</f>
        <v/>
      </c>
      <c r="X34" s="702">
        <f>((W34)*((1)+($X$15)))</f>
        <v/>
      </c>
      <c r="Y34" s="702">
        <f>((X34)*((1)+($Y$15)))</f>
        <v/>
      </c>
      <c r="Z34" s="702">
        <f>((Y34)*((1)+($Z$15)))</f>
        <v/>
      </c>
      <c r="AA34" s="702">
        <f>((Z34)*((1)+($AA$15)))</f>
        <v/>
      </c>
      <c r="AB34" s="702" t="n"/>
      <c r="AC34" s="702" t="n">
        <v>0</v>
      </c>
      <c r="AD34" s="702">
        <f>(($V34)/(12))</f>
        <v/>
      </c>
      <c r="AE34" s="702">
        <f>(($V34)/(12))</f>
        <v/>
      </c>
      <c r="AF34" s="702">
        <f>(($V34)/(12))</f>
        <v/>
      </c>
      <c r="AG34" s="702">
        <f>(($V34)/(12))</f>
        <v/>
      </c>
      <c r="AH34" s="702">
        <f>(($V34)/(12))</f>
        <v/>
      </c>
      <c r="AI34" s="702">
        <f>(($V34)/(12))</f>
        <v/>
      </c>
      <c r="AJ34" s="702">
        <f>(($V34)/(12))</f>
        <v/>
      </c>
      <c r="AK34" s="702">
        <f>(($V34)/(12))</f>
        <v/>
      </c>
      <c r="AL34" s="702">
        <f>(($V34)/(12))</f>
        <v/>
      </c>
      <c r="AM34" s="702">
        <f>(($V34)/(12))</f>
        <v/>
      </c>
      <c r="AN34" s="702">
        <f>(($V34)/(12))</f>
        <v/>
      </c>
      <c r="AO34" s="765">
        <f>SUM(AC34:AN34)</f>
        <v/>
      </c>
      <c r="AP34" s="462" t="n"/>
      <c r="AQ34" s="702">
        <f>IF($P34&gt;0,(($W34)/(12)),0)</f>
        <v/>
      </c>
      <c r="AR34" s="702">
        <f>IF($P34&gt;0,(($W34)/(12)),0)</f>
        <v/>
      </c>
      <c r="AS34" s="702">
        <f>IF($P34&gt;0,(($W34)/(12)),0)</f>
        <v/>
      </c>
      <c r="AT34" s="702">
        <f>IF($P34&gt;0,(($W34)/(12)),0)</f>
        <v/>
      </c>
      <c r="AU34" s="702">
        <f>IF($P34&gt;0,(($W34)/(12)),0)</f>
        <v/>
      </c>
      <c r="AV34" s="702">
        <f>IF($P34&gt;0,(($W34)/(12)),0)</f>
        <v/>
      </c>
      <c r="AW34" s="702">
        <f>IF($P34&gt;0,(($W34)/(12)),0)</f>
        <v/>
      </c>
      <c r="AX34" s="702">
        <f>IF($P34&gt;0,(($W34)/(12)),0)</f>
        <v/>
      </c>
      <c r="AY34" s="702">
        <f>IF($P34&gt;0,(($W34)/(12)),0)</f>
        <v/>
      </c>
      <c r="AZ34" s="702">
        <f>IF($P34&gt;0,(($W34)/(12)),0)</f>
        <v/>
      </c>
      <c r="BA34" s="702">
        <f>IF($P34&gt;0,(($W34)/(12)),0)</f>
        <v/>
      </c>
      <c r="BB34" s="702">
        <f>IF($P34&gt;0,(($W34)/(12)),0)</f>
        <v/>
      </c>
      <c r="BC34" s="765">
        <f>SUM(AQ34:BB34)</f>
        <v/>
      </c>
      <c r="BD34" s="462" t="n"/>
      <c r="BE34" s="702">
        <f>IF($Q34&gt;0,(($X34)/(12)),0)</f>
        <v/>
      </c>
      <c r="BF34" s="702">
        <f>IF($Q34&gt;0,(($X34)/(12)),0)</f>
        <v/>
      </c>
      <c r="BG34" s="702">
        <f>IF($Q34&gt;0,(($X34)/(12)),0)</f>
        <v/>
      </c>
      <c r="BH34" s="702">
        <f>IF($Q34&gt;0,(($X34)/(12)),0)</f>
        <v/>
      </c>
      <c r="BI34" s="702">
        <f>IF($Q34&gt;0,(($X34)/(12)),0)</f>
        <v/>
      </c>
      <c r="BJ34" s="702">
        <f>IF($Q34&gt;0,(($X34)/(12)),0)</f>
        <v/>
      </c>
      <c r="BK34" s="702">
        <f>IF($Q34&gt;0,(($X34)/(12)),0)</f>
        <v/>
      </c>
      <c r="BL34" s="702">
        <f>IF($Q34&gt;0,(($X34)/(12)),0)</f>
        <v/>
      </c>
      <c r="BM34" s="702">
        <f>IF($Q34&gt;0,(($X34)/(12)),0)</f>
        <v/>
      </c>
      <c r="BN34" s="702">
        <f>IF($Q34&gt;0,(($X34)/(12)),0)</f>
        <v/>
      </c>
      <c r="BO34" s="702">
        <f>IF($Q34&gt;0,(($X34)/(12)),0)</f>
        <v/>
      </c>
      <c r="BP34" s="702">
        <f>IF($Q34&gt;0,(($X34)/(12)),0)</f>
        <v/>
      </c>
      <c r="BQ34" s="765">
        <f>SUM(BE34:BP34)</f>
        <v/>
      </c>
      <c r="BR34" s="507" t="n"/>
      <c r="BS34" s="702">
        <f>IF($R34&gt;0,(($Y34)/(12)),0)</f>
        <v/>
      </c>
      <c r="BT34" s="702">
        <f>IF($R34&gt;0,(($Y34)/(12)),0)</f>
        <v/>
      </c>
      <c r="BU34" s="702">
        <f>IF($R34&gt;0,(($Y34)/(12)),0)</f>
        <v/>
      </c>
      <c r="BV34" s="702">
        <f>IF($R34&gt;0,(($Y34)/(12)),0)</f>
        <v/>
      </c>
      <c r="BW34" s="702">
        <f>IF($R34&gt;0,(($Y34)/(12)),0)</f>
        <v/>
      </c>
      <c r="BX34" s="702">
        <f>IF($R34&gt;0,(($Y34)/(12)),0)</f>
        <v/>
      </c>
      <c r="BY34" s="702">
        <f>IF($R34&gt;0,(($Y34)/(12)),0)</f>
        <v/>
      </c>
      <c r="BZ34" s="702">
        <f>IF($R34&gt;0,(($Y34)/(12)),0)</f>
        <v/>
      </c>
      <c r="CA34" s="702">
        <f>IF($R34&gt;0,(($Y34)/(12)),0)</f>
        <v/>
      </c>
      <c r="CB34" s="702">
        <f>IF($R34&gt;0,(($Y34)/(12)),0)</f>
        <v/>
      </c>
      <c r="CC34" s="702">
        <f>IF($R34&gt;0,(($Y34)/(12)),0)</f>
        <v/>
      </c>
      <c r="CD34" s="702">
        <f>IF($R34&gt;0,(($Y34)/(12)),0)</f>
        <v/>
      </c>
      <c r="CE34" s="765">
        <f>SUM(BS34:CD34)</f>
        <v/>
      </c>
      <c r="CF34" s="507" t="n"/>
      <c r="CG34" s="702">
        <f>IF($S34&gt;0,(($Z34)/(12)),0)</f>
        <v/>
      </c>
      <c r="CH34" s="702">
        <f>IF($S34&gt;0,(($Z34)/(12)),0)</f>
        <v/>
      </c>
      <c r="CI34" s="702">
        <f>IF($S34&gt;0,(($Z34)/(12)),0)</f>
        <v/>
      </c>
      <c r="CJ34" s="702">
        <f>IF($S34&gt;0,(($Z34)/(12)),0)</f>
        <v/>
      </c>
      <c r="CK34" s="702">
        <f>IF($S34&gt;0,(($Z34)/(12)),0)</f>
        <v/>
      </c>
      <c r="CL34" s="702">
        <f>IF($S34&gt;0,(($Z34)/(12)),0)</f>
        <v/>
      </c>
      <c r="CM34" s="702">
        <f>IF($S34&gt;0,(($Z34)/(12)),0)</f>
        <v/>
      </c>
      <c r="CN34" s="702">
        <f>IF($S34&gt;0,(($Z34)/(12)),0)</f>
        <v/>
      </c>
      <c r="CO34" s="702">
        <f>IF($S34&gt;0,(($Z34)/(12)),0)</f>
        <v/>
      </c>
      <c r="CP34" s="702">
        <f>IF($S34&gt;0,(($Z34)/(12)),0)</f>
        <v/>
      </c>
      <c r="CQ34" s="702">
        <f>IF($S34&gt;0,(($Z34)/(12)),0)</f>
        <v/>
      </c>
      <c r="CR34" s="702">
        <f>IF($S34&gt;0,(($Z34)/(12)),0)</f>
        <v/>
      </c>
      <c r="CS34" s="765">
        <f>SUM(CG34:CR34)</f>
        <v/>
      </c>
      <c r="CU34" s="702">
        <f>IF($T34&gt;0,(($AA34)/(12)),0)</f>
        <v/>
      </c>
      <c r="CV34" s="702">
        <f>IF($T34&gt;0,(($AA34)/(12)),0)</f>
        <v/>
      </c>
      <c r="CW34" s="702">
        <f>IF($T34&gt;0,(($AA34)/(12)),0)</f>
        <v/>
      </c>
      <c r="CX34" s="702">
        <f>IF($T34&gt;0,(($AA34)/(12)),0)</f>
        <v/>
      </c>
      <c r="CY34" s="702">
        <f>IF($T34&gt;0,(($AA34)/(12)),0)</f>
        <v/>
      </c>
      <c r="CZ34" s="702">
        <f>IF($T34&gt;0,(($AA34)/(12)),0)</f>
        <v/>
      </c>
      <c r="DA34" s="702">
        <f>IF($T34&gt;0,(($AA34)/(12)),0)</f>
        <v/>
      </c>
      <c r="DB34" s="702">
        <f>IF($T34&gt;0,(($AA34)/(12)),0)</f>
        <v/>
      </c>
      <c r="DC34" s="702">
        <f>IF($T34&gt;0,(($AA34)/(12)),0)</f>
        <v/>
      </c>
      <c r="DD34" s="702">
        <f>IF($T34&gt;0,(($AA34)/(12)),0)</f>
        <v/>
      </c>
      <c r="DE34" s="702">
        <f>IF($T34&gt;0,(($AA34)/(12)),0)</f>
        <v/>
      </c>
      <c r="DF34" s="702">
        <f>IF($T34&gt;0,(($AA34)/(12)),0)</f>
        <v/>
      </c>
      <c r="DG34" s="765">
        <f>SUM(CU34:DF34)</f>
        <v/>
      </c>
    </row>
    <row r="35" ht="15" customHeight="1" s="1883">
      <c r="B35" s="752">
        <f>((B34)+(1))</f>
        <v/>
      </c>
      <c r="C35" s="726" t="n"/>
      <c r="D35" s="730" t="inlineStr">
        <is>
          <t>●</t>
        </is>
      </c>
      <c r="E35" s="1446" t="inlineStr">
        <is>
          <t>Robert Orlowski</t>
        </is>
      </c>
      <c r="F35" s="66" t="n"/>
      <c r="G35" s="1446" t="n"/>
      <c r="H35" s="1446" t="n"/>
      <c r="I35" s="1446" t="inlineStr">
        <is>
          <t>SVP, Marketing</t>
        </is>
      </c>
      <c r="J35" s="745" t="inlineStr">
        <is>
          <t>CONUS</t>
        </is>
      </c>
      <c r="K35" s="745" t="n"/>
      <c r="L35" s="738" t="inlineStr">
        <is>
          <t>-12</t>
        </is>
      </c>
      <c r="M35" s="738" t="inlineStr">
        <is>
          <t>-11</t>
        </is>
      </c>
      <c r="N35" s="738" t="n"/>
      <c r="O35" s="749" t="n">
        <v>1</v>
      </c>
      <c r="P35" s="748" t="n">
        <v>1</v>
      </c>
      <c r="Q35" s="748" t="n">
        <v>1</v>
      </c>
      <c r="R35" s="748" t="n">
        <v>1</v>
      </c>
      <c r="S35" s="748" t="n">
        <v>1</v>
      </c>
      <c r="T35" s="748" t="n">
        <v>1</v>
      </c>
      <c r="U35" s="1637" t="n"/>
      <c r="V35" s="1637" t="n">
        <v>130000</v>
      </c>
      <c r="W35" s="702" t="n">
        <v>130000</v>
      </c>
      <c r="X35" s="702">
        <f>((W35)*((1)+($X$15)))</f>
        <v/>
      </c>
      <c r="Y35" s="702">
        <f>((X35)*((1)+($Y$15)))</f>
        <v/>
      </c>
      <c r="Z35" s="702">
        <f>((Y35)*((1)+($Z$15)))</f>
        <v/>
      </c>
      <c r="AA35" s="702">
        <f>((Z35)*((1)+($AA$15)))</f>
        <v/>
      </c>
      <c r="AB35" s="702" t="n"/>
      <c r="AC35" s="702" t="n">
        <v>0</v>
      </c>
      <c r="AD35" s="702">
        <f>(($V35)/(12))</f>
        <v/>
      </c>
      <c r="AE35" s="702">
        <f>(($V35)/(12))</f>
        <v/>
      </c>
      <c r="AF35" s="702">
        <f>(($V35)/(12))</f>
        <v/>
      </c>
      <c r="AG35" s="702">
        <f>(($V35)/(12))</f>
        <v/>
      </c>
      <c r="AH35" s="702">
        <f>(($V35)/(12))</f>
        <v/>
      </c>
      <c r="AI35" s="702">
        <f>(($V35)/(12))</f>
        <v/>
      </c>
      <c r="AJ35" s="702">
        <f>(($V35)/(12))</f>
        <v/>
      </c>
      <c r="AK35" s="702">
        <f>(($V35)/(12))</f>
        <v/>
      </c>
      <c r="AL35" s="702">
        <f>(($V35)/(12))</f>
        <v/>
      </c>
      <c r="AM35" s="702">
        <f>(($V35)/(12))</f>
        <v/>
      </c>
      <c r="AN35" s="702">
        <f>(($V35)/(12))</f>
        <v/>
      </c>
      <c r="AO35" s="765">
        <f>SUM(AC35:AN35)</f>
        <v/>
      </c>
      <c r="AP35" s="702" t="n"/>
      <c r="AQ35" s="702">
        <f>IF($P35&gt;0,(($W35)/(12)),0)</f>
        <v/>
      </c>
      <c r="AR35" s="702">
        <f>IF($P35&gt;0,(($W35)/(12)),0)</f>
        <v/>
      </c>
      <c r="AS35" s="702">
        <f>IF($P35&gt;0,(($W35)/(12)),0)</f>
        <v/>
      </c>
      <c r="AT35" s="702">
        <f>IF($P35&gt;0,(($W35)/(12)),0)</f>
        <v/>
      </c>
      <c r="AU35" s="702">
        <f>IF($P35&gt;0,(($W35)/(12)),0)</f>
        <v/>
      </c>
      <c r="AV35" s="702">
        <f>IF($P35&gt;0,(($W35)/(12)),0)</f>
        <v/>
      </c>
      <c r="AW35" s="702">
        <f>IF($P35&gt;0,(($W35)/(12)),0)</f>
        <v/>
      </c>
      <c r="AX35" s="702">
        <f>IF($P35&gt;0,(($W35)/(12)),0)</f>
        <v/>
      </c>
      <c r="AY35" s="702">
        <f>IF($P35&gt;0,(($W35)/(12)),0)</f>
        <v/>
      </c>
      <c r="AZ35" s="702">
        <f>IF($P35&gt;0,(($W35)/(12)),0)</f>
        <v/>
      </c>
      <c r="BA35" s="702">
        <f>IF($P35&gt;0,(($W35)/(12)),0)</f>
        <v/>
      </c>
      <c r="BB35" s="702">
        <f>IF($P35&gt;0,(($W35)/(12)),0)</f>
        <v/>
      </c>
      <c r="BC35" s="765">
        <f>SUM(AQ35:BB35)</f>
        <v/>
      </c>
      <c r="BD35" s="702" t="n"/>
      <c r="BE35" s="702">
        <f>IF($Q35&gt;0,(($X35)/(12)),0)</f>
        <v/>
      </c>
      <c r="BF35" s="702">
        <f>IF($Q35&gt;0,(($X35)/(12)),0)</f>
        <v/>
      </c>
      <c r="BG35" s="702">
        <f>IF($Q35&gt;0,(($X35)/(12)),0)</f>
        <v/>
      </c>
      <c r="BH35" s="702">
        <f>IF($Q35&gt;0,(($X35)/(12)),0)</f>
        <v/>
      </c>
      <c r="BI35" s="702">
        <f>IF($Q35&gt;0,(($X35)/(12)),0)</f>
        <v/>
      </c>
      <c r="BJ35" s="702">
        <f>IF($Q35&gt;0,(($X35)/(12)),0)</f>
        <v/>
      </c>
      <c r="BK35" s="702">
        <f>IF($Q35&gt;0,(($X35)/(12)),0)</f>
        <v/>
      </c>
      <c r="BL35" s="702">
        <f>IF($Q35&gt;0,(($X35)/(12)),0)</f>
        <v/>
      </c>
      <c r="BM35" s="702">
        <f>IF($Q35&gt;0,(($X35)/(12)),0)</f>
        <v/>
      </c>
      <c r="BN35" s="702">
        <f>IF($Q35&gt;0,(($X35)/(12)),0)</f>
        <v/>
      </c>
      <c r="BO35" s="702">
        <f>IF($Q35&gt;0,(($X35)/(12)),0)</f>
        <v/>
      </c>
      <c r="BP35" s="702">
        <f>IF($Q35&gt;0,(($X35)/(12)),0)</f>
        <v/>
      </c>
      <c r="BQ35" s="765">
        <f>SUM(BE35:BP35)</f>
        <v/>
      </c>
      <c r="BR35" s="713" t="n"/>
      <c r="BS35" s="702">
        <f>IF($R35&gt;0,(($Y35)/(12)),0)</f>
        <v/>
      </c>
      <c r="BT35" s="702">
        <f>IF($R35&gt;0,(($Y35)/(12)),0)</f>
        <v/>
      </c>
      <c r="BU35" s="702">
        <f>IF($R35&gt;0,(($Y35)/(12)),0)</f>
        <v/>
      </c>
      <c r="BV35" s="702">
        <f>IF($R35&gt;0,(($Y35)/(12)),0)</f>
        <v/>
      </c>
      <c r="BW35" s="702">
        <f>IF($R35&gt;0,(($Y35)/(12)),0)</f>
        <v/>
      </c>
      <c r="BX35" s="702">
        <f>IF($R35&gt;0,(($Y35)/(12)),0)</f>
        <v/>
      </c>
      <c r="BY35" s="702">
        <f>IF($R35&gt;0,(($Y35)/(12)),0)</f>
        <v/>
      </c>
      <c r="BZ35" s="702">
        <f>IF($R35&gt;0,(($Y35)/(12)),0)</f>
        <v/>
      </c>
      <c r="CA35" s="702">
        <f>IF($R35&gt;0,(($Y35)/(12)),0)</f>
        <v/>
      </c>
      <c r="CB35" s="702">
        <f>IF($R35&gt;0,(($Y35)/(12)),0)</f>
        <v/>
      </c>
      <c r="CC35" s="702">
        <f>IF($R35&gt;0,(($Y35)/(12)),0)</f>
        <v/>
      </c>
      <c r="CD35" s="702">
        <f>IF($R35&gt;0,(($Y35)/(12)),0)</f>
        <v/>
      </c>
      <c r="CE35" s="765">
        <f>SUM(BS35:CD35)</f>
        <v/>
      </c>
      <c r="CF35" s="713" t="n"/>
      <c r="CG35" s="702">
        <f>IF($S35&gt;0,(($Z35)/(12)),0)</f>
        <v/>
      </c>
      <c r="CH35" s="702">
        <f>IF($S35&gt;0,(($Z35)/(12)),0)</f>
        <v/>
      </c>
      <c r="CI35" s="702">
        <f>IF($S35&gt;0,(($Z35)/(12)),0)</f>
        <v/>
      </c>
      <c r="CJ35" s="702">
        <f>IF($S35&gt;0,(($Z35)/(12)),0)</f>
        <v/>
      </c>
      <c r="CK35" s="702">
        <f>IF($S35&gt;0,(($Z35)/(12)),0)</f>
        <v/>
      </c>
      <c r="CL35" s="702">
        <f>IF($S35&gt;0,(($Z35)/(12)),0)</f>
        <v/>
      </c>
      <c r="CM35" s="702">
        <f>IF($S35&gt;0,(($Z35)/(12)),0)</f>
        <v/>
      </c>
      <c r="CN35" s="702">
        <f>IF($S35&gt;0,(($Z35)/(12)),0)</f>
        <v/>
      </c>
      <c r="CO35" s="702">
        <f>IF($S35&gt;0,(($Z35)/(12)),0)</f>
        <v/>
      </c>
      <c r="CP35" s="702">
        <f>IF($S35&gt;0,(($Z35)/(12)),0)</f>
        <v/>
      </c>
      <c r="CQ35" s="702">
        <f>IF($S35&gt;0,(($Z35)/(12)),0)</f>
        <v/>
      </c>
      <c r="CR35" s="702">
        <f>IF($S35&gt;0,(($Z35)/(12)),0)</f>
        <v/>
      </c>
      <c r="CS35" s="765">
        <f>SUM(CG35:CR35)</f>
        <v/>
      </c>
      <c r="CU35" s="702">
        <f>IF($T35&gt;0,(($AA35)/(12)),0)</f>
        <v/>
      </c>
      <c r="CV35" s="702">
        <f>IF($T35&gt;0,(($AA35)/(12)),0)</f>
        <v/>
      </c>
      <c r="CW35" s="702">
        <f>IF($T35&gt;0,(($AA35)/(12)),0)</f>
        <v/>
      </c>
      <c r="CX35" s="702">
        <f>IF($T35&gt;0,(($AA35)/(12)),0)</f>
        <v/>
      </c>
      <c r="CY35" s="702">
        <f>IF($T35&gt;0,(($AA35)/(12)),0)</f>
        <v/>
      </c>
      <c r="CZ35" s="702">
        <f>IF($T35&gt;0,(($AA35)/(12)),0)</f>
        <v/>
      </c>
      <c r="DA35" s="702">
        <f>IF($T35&gt;0,(($AA35)/(12)),0)</f>
        <v/>
      </c>
      <c r="DB35" s="702">
        <f>IF($T35&gt;0,(($AA35)/(12)),0)</f>
        <v/>
      </c>
      <c r="DC35" s="702">
        <f>IF($T35&gt;0,(($AA35)/(12)),0)</f>
        <v/>
      </c>
      <c r="DD35" s="702">
        <f>IF($T35&gt;0,(($AA35)/(12)),0)</f>
        <v/>
      </c>
      <c r="DE35" s="702">
        <f>IF($T35&gt;0,(($AA35)/(12)),0)</f>
        <v/>
      </c>
      <c r="DF35" s="702">
        <f>IF($T35&gt;0,(($AA35)/(12)),0)</f>
        <v/>
      </c>
      <c r="DG35" s="765">
        <f>SUM(CU35:DF35)</f>
        <v/>
      </c>
    </row>
    <row r="36" ht="15" customHeight="1" s="1883">
      <c r="B36" s="752">
        <f>((B35)+(1))</f>
        <v/>
      </c>
      <c r="C36" s="726" t="n"/>
      <c r="D36" s="730" t="inlineStr">
        <is>
          <t>●</t>
        </is>
      </c>
      <c r="E36" s="1446" t="inlineStr">
        <is>
          <t xml:space="preserve">Edward Brennan </t>
        </is>
      </c>
      <c r="F36" s="66" t="n"/>
      <c r="G36" s="66" t="n"/>
      <c r="H36" s="66" t="n"/>
      <c r="I36" s="1446" t="inlineStr">
        <is>
          <t>SVP, Operations (Fractional)</t>
        </is>
      </c>
      <c r="J36" s="745" t="inlineStr">
        <is>
          <t>CONUS</t>
        </is>
      </c>
      <c r="K36" s="745" t="n"/>
      <c r="L36" s="738" t="inlineStr">
        <is>
          <t>-12</t>
        </is>
      </c>
      <c r="M36" s="738" t="inlineStr">
        <is>
          <t>-11</t>
        </is>
      </c>
      <c r="N36" s="738" t="n"/>
      <c r="O36" s="749" t="n">
        <v>1</v>
      </c>
      <c r="P36" s="748" t="n">
        <v>1</v>
      </c>
      <c r="Q36" s="748" t="n">
        <v>1</v>
      </c>
      <c r="R36" s="748" t="n">
        <v>1</v>
      </c>
      <c r="S36" s="748" t="n">
        <v>1</v>
      </c>
      <c r="T36" s="748" t="n">
        <v>1</v>
      </c>
      <c r="U36" s="737" t="n"/>
      <c r="V36" s="702">
        <f>13750*12/2</f>
        <v/>
      </c>
      <c r="W36" s="702">
        <f>(V36)</f>
        <v/>
      </c>
      <c r="X36" s="702">
        <f>((W36)*((1)+($X$15)))</f>
        <v/>
      </c>
      <c r="Y36" s="702">
        <f>((X36)*((1)+($Y$15)))</f>
        <v/>
      </c>
      <c r="Z36" s="702">
        <f>((Y36)*((1)+($Z$15)))</f>
        <v/>
      </c>
      <c r="AA36" s="702">
        <f>((Z36)*((1)+($AA$15)))</f>
        <v/>
      </c>
      <c r="AB36" s="702" t="n"/>
      <c r="AC36" s="702" t="n">
        <v>0</v>
      </c>
      <c r="AD36" s="702">
        <f>(($V36)/(12))</f>
        <v/>
      </c>
      <c r="AE36" s="702">
        <f>(($V36)/(12))</f>
        <v/>
      </c>
      <c r="AF36" s="702">
        <f>(($V36)/(12))</f>
        <v/>
      </c>
      <c r="AG36" s="702">
        <f>(($V36)/(12))</f>
        <v/>
      </c>
      <c r="AH36" s="702">
        <f>(($V36)/(12))</f>
        <v/>
      </c>
      <c r="AI36" s="702">
        <f>(($V36)/(12))</f>
        <v/>
      </c>
      <c r="AJ36" s="702">
        <f>(($V36)/(12))</f>
        <v/>
      </c>
      <c r="AK36" s="702">
        <f>(($V36)/(12))</f>
        <v/>
      </c>
      <c r="AL36" s="702">
        <f>(($V36)/(12))</f>
        <v/>
      </c>
      <c r="AM36" s="702">
        <f>(($V36)/(12))</f>
        <v/>
      </c>
      <c r="AN36" s="702">
        <f>(($V36)/(12))</f>
        <v/>
      </c>
      <c r="AO36" s="765">
        <f>SUM(AC36:AN36)</f>
        <v/>
      </c>
      <c r="AP36" s="462" t="n"/>
      <c r="AQ36" s="702">
        <f>IF($P36&gt;0,(($W36)/(12)),0)</f>
        <v/>
      </c>
      <c r="AR36" s="702">
        <f>IF($P36&gt;0,(($W36)/(12)),0)</f>
        <v/>
      </c>
      <c r="AS36" s="702">
        <f>IF($P36&gt;0,(($W36)/(12)),0)</f>
        <v/>
      </c>
      <c r="AT36" s="702">
        <f>IF($P36&gt;0,(($W36)/(12)),0)</f>
        <v/>
      </c>
      <c r="AU36" s="702">
        <f>IF($P36&gt;0,(($W36)/(12)),0)</f>
        <v/>
      </c>
      <c r="AV36" s="702">
        <f>IF($P36&gt;0,(($W36)/(12)),0)</f>
        <v/>
      </c>
      <c r="AW36" s="702">
        <f>IF($P36&gt;0,(($W36)/(12)),0)</f>
        <v/>
      </c>
      <c r="AX36" s="702">
        <f>IF($P36&gt;0,(($W36)/(12)),0)</f>
        <v/>
      </c>
      <c r="AY36" s="702">
        <f>IF($P36&gt;0,(($W36)/(12)),0)</f>
        <v/>
      </c>
      <c r="AZ36" s="702">
        <f>IF($P36&gt;0,(($W36)/(12)),0)</f>
        <v/>
      </c>
      <c r="BA36" s="702">
        <f>IF($P36&gt;0,(($W36)/(12)),0)</f>
        <v/>
      </c>
      <c r="BB36" s="702">
        <f>IF($P36&gt;0,(($W36)/(12)),0)</f>
        <v/>
      </c>
      <c r="BC36" s="765">
        <f>SUM(AQ36:BB36)</f>
        <v/>
      </c>
      <c r="BD36" s="462" t="n"/>
      <c r="BE36" s="702">
        <f>IF($Q36&gt;0,(($X36)/(12)),0)</f>
        <v/>
      </c>
      <c r="BF36" s="702">
        <f>IF($Q36&gt;0,(($X36)/(12)),0)</f>
        <v/>
      </c>
      <c r="BG36" s="702">
        <f>IF($Q36&gt;0,(($X36)/(12)),0)</f>
        <v/>
      </c>
      <c r="BH36" s="702">
        <f>IF($Q36&gt;0,(($X36)/(12)),0)</f>
        <v/>
      </c>
      <c r="BI36" s="702">
        <f>IF($Q36&gt;0,(($X36)/(12)),0)</f>
        <v/>
      </c>
      <c r="BJ36" s="702">
        <f>IF($Q36&gt;0,(($X36)/(12)),0)</f>
        <v/>
      </c>
      <c r="BK36" s="702">
        <f>IF($Q36&gt;0,(($X36)/(12)),0)</f>
        <v/>
      </c>
      <c r="BL36" s="702">
        <f>IF($Q36&gt;0,(($X36)/(12)),0)</f>
        <v/>
      </c>
      <c r="BM36" s="702">
        <f>IF($Q36&gt;0,(($X36)/(12)),0)</f>
        <v/>
      </c>
      <c r="BN36" s="702">
        <f>IF($Q36&gt;0,(($X36)/(12)),0)</f>
        <v/>
      </c>
      <c r="BO36" s="702">
        <f>IF($Q36&gt;0,(($X36)/(12)),0)</f>
        <v/>
      </c>
      <c r="BP36" s="702">
        <f>IF($Q36&gt;0,(($X36)/(12)),0)</f>
        <v/>
      </c>
      <c r="BQ36" s="765">
        <f>SUM(BE36:BP36)</f>
        <v/>
      </c>
      <c r="BR36" s="507" t="n"/>
      <c r="BS36" s="702">
        <f>IF($R36&gt;0,(($Y36)/(12)),0)</f>
        <v/>
      </c>
      <c r="BT36" s="702">
        <f>IF($R36&gt;0,(($Y36)/(12)),0)</f>
        <v/>
      </c>
      <c r="BU36" s="702">
        <f>IF($R36&gt;0,(($Y36)/(12)),0)</f>
        <v/>
      </c>
      <c r="BV36" s="702">
        <f>IF($R36&gt;0,(($Y36)/(12)),0)</f>
        <v/>
      </c>
      <c r="BW36" s="702">
        <f>IF($R36&gt;0,(($Y36)/(12)),0)</f>
        <v/>
      </c>
      <c r="BX36" s="702">
        <f>IF($R36&gt;0,(($Y36)/(12)),0)</f>
        <v/>
      </c>
      <c r="BY36" s="702">
        <f>IF($R36&gt;0,(($Y36)/(12)),0)</f>
        <v/>
      </c>
      <c r="BZ36" s="702">
        <f>IF($R36&gt;0,(($Y36)/(12)),0)</f>
        <v/>
      </c>
      <c r="CA36" s="702">
        <f>IF($R36&gt;0,(($Y36)/(12)),0)</f>
        <v/>
      </c>
      <c r="CB36" s="702">
        <f>IF($R36&gt;0,(($Y36)/(12)),0)</f>
        <v/>
      </c>
      <c r="CC36" s="702">
        <f>IF($R36&gt;0,(($Y36)/(12)),0)</f>
        <v/>
      </c>
      <c r="CD36" s="702">
        <f>IF($R36&gt;0,(($Y36)/(12)),0)</f>
        <v/>
      </c>
      <c r="CE36" s="765">
        <f>SUM(BS36:CD36)</f>
        <v/>
      </c>
      <c r="CF36" s="507" t="n"/>
      <c r="CG36" s="702">
        <f>IF($S36&gt;0,(($Z36)/(12)),0)</f>
        <v/>
      </c>
      <c r="CH36" s="702">
        <f>IF($S36&gt;0,(($Z36)/(12)),0)</f>
        <v/>
      </c>
      <c r="CI36" s="702">
        <f>IF($S36&gt;0,(($Z36)/(12)),0)</f>
        <v/>
      </c>
      <c r="CJ36" s="702">
        <f>IF($S36&gt;0,(($Z36)/(12)),0)</f>
        <v/>
      </c>
      <c r="CK36" s="702">
        <f>IF($S36&gt;0,(($Z36)/(12)),0)</f>
        <v/>
      </c>
      <c r="CL36" s="702">
        <f>IF($S36&gt;0,(($Z36)/(12)),0)</f>
        <v/>
      </c>
      <c r="CM36" s="702">
        <f>IF($S36&gt;0,(($Z36)/(12)),0)</f>
        <v/>
      </c>
      <c r="CN36" s="702">
        <f>IF($S36&gt;0,(($Z36)/(12)),0)</f>
        <v/>
      </c>
      <c r="CO36" s="702">
        <f>IF($S36&gt;0,(($Z36)/(12)),0)</f>
        <v/>
      </c>
      <c r="CP36" s="702">
        <f>IF($S36&gt;0,(($Z36)/(12)),0)</f>
        <v/>
      </c>
      <c r="CQ36" s="702">
        <f>IF($S36&gt;0,(($Z36)/(12)),0)</f>
        <v/>
      </c>
      <c r="CR36" s="702">
        <f>IF($S36&gt;0,(($Z36)/(12)),0)</f>
        <v/>
      </c>
      <c r="CS36" s="765">
        <f>SUM(CG36:CR36)</f>
        <v/>
      </c>
      <c r="CU36" s="702">
        <f>IF($T36&gt;0,(($AA36)/(12)),0)</f>
        <v/>
      </c>
      <c r="CV36" s="702">
        <f>IF($T36&gt;0,(($AA36)/(12)),0)</f>
        <v/>
      </c>
      <c r="CW36" s="702">
        <f>IF($T36&gt;0,(($AA36)/(12)),0)</f>
        <v/>
      </c>
      <c r="CX36" s="702">
        <f>IF($T36&gt;0,(($AA36)/(12)),0)</f>
        <v/>
      </c>
      <c r="CY36" s="702">
        <f>IF($T36&gt;0,(($AA36)/(12)),0)</f>
        <v/>
      </c>
      <c r="CZ36" s="702">
        <f>IF($T36&gt;0,(($AA36)/(12)),0)</f>
        <v/>
      </c>
      <c r="DA36" s="702">
        <f>IF($T36&gt;0,(($AA36)/(12)),0)</f>
        <v/>
      </c>
      <c r="DB36" s="702">
        <f>IF($T36&gt;0,(($AA36)/(12)),0)</f>
        <v/>
      </c>
      <c r="DC36" s="702">
        <f>IF($T36&gt;0,(($AA36)/(12)),0)</f>
        <v/>
      </c>
      <c r="DD36" s="702">
        <f>IF($T36&gt;0,(($AA36)/(12)),0)</f>
        <v/>
      </c>
      <c r="DE36" s="702">
        <f>IF($T36&gt;0,(($AA36)/(12)),0)</f>
        <v/>
      </c>
      <c r="DF36" s="702">
        <f>IF($T36&gt;0,(($AA36)/(12)),0)</f>
        <v/>
      </c>
      <c r="DG36" s="765">
        <f>SUM(CU36:DF36)</f>
        <v/>
      </c>
    </row>
    <row r="37" ht="15" customHeight="1" s="1883">
      <c r="B37" s="752">
        <f>((B36)+(1))</f>
        <v/>
      </c>
      <c r="C37" s="726" t="n"/>
      <c r="D37" s="730" t="inlineStr">
        <is>
          <t>●</t>
        </is>
      </c>
      <c r="E37" s="1446" t="inlineStr">
        <is>
          <t xml:space="preserve">Rimah Harb </t>
        </is>
      </c>
      <c r="F37" s="66" t="n"/>
      <c r="G37" s="66" t="n"/>
      <c r="H37" s="66" t="n"/>
      <c r="I37" s="1446" t="inlineStr">
        <is>
          <t>Chief Strategy Officer</t>
        </is>
      </c>
      <c r="J37" s="746" t="inlineStr">
        <is>
          <t>OCONUS</t>
        </is>
      </c>
      <c r="K37" s="746" t="n"/>
      <c r="L37" s="738" t="inlineStr">
        <is>
          <t>-12</t>
        </is>
      </c>
      <c r="M37" s="738" t="inlineStr">
        <is>
          <t>-11</t>
        </is>
      </c>
      <c r="N37" s="738" t="n"/>
      <c r="O37" s="749" t="n">
        <v>1</v>
      </c>
      <c r="P37" s="748" t="n">
        <v>1</v>
      </c>
      <c r="Q37" s="748" t="n">
        <v>1</v>
      </c>
      <c r="R37" s="748" t="n">
        <v>1</v>
      </c>
      <c r="S37" s="748" t="n">
        <v>1</v>
      </c>
      <c r="T37" s="748" t="n">
        <v>1</v>
      </c>
      <c r="U37" s="737" t="n"/>
      <c r="V37" s="702" t="n">
        <v>165000</v>
      </c>
      <c r="W37" s="702">
        <f>(V37)</f>
        <v/>
      </c>
      <c r="X37" s="702">
        <f>((W37)*((1)+($X$15)))</f>
        <v/>
      </c>
      <c r="Y37" s="702">
        <f>((X37)*((1)+($Y$15)))</f>
        <v/>
      </c>
      <c r="Z37" s="702">
        <f>((Y37)*((1)+($Z$15)))</f>
        <v/>
      </c>
      <c r="AA37" s="702">
        <f>((Z37)*((1)+($AA$15)))</f>
        <v/>
      </c>
      <c r="AB37" s="702" t="n"/>
      <c r="AC37" s="702" t="n">
        <v>0</v>
      </c>
      <c r="AD37" s="702">
        <f>(($V37)/(12))</f>
        <v/>
      </c>
      <c r="AE37" s="702">
        <f>(($V37)/(12))</f>
        <v/>
      </c>
      <c r="AF37" s="702">
        <f>(($V37)/(12))</f>
        <v/>
      </c>
      <c r="AG37" s="702">
        <f>(($V37)/(12))</f>
        <v/>
      </c>
      <c r="AH37" s="702">
        <f>(($V37)/(12))</f>
        <v/>
      </c>
      <c r="AI37" s="702">
        <f>(($V37)/(12))</f>
        <v/>
      </c>
      <c r="AJ37" s="702">
        <f>(($V37)/(12))</f>
        <v/>
      </c>
      <c r="AK37" s="702">
        <f>(($V37)/(12))</f>
        <v/>
      </c>
      <c r="AL37" s="702">
        <f>(($V37)/(12))</f>
        <v/>
      </c>
      <c r="AM37" s="702">
        <f>(($V37)/(12))</f>
        <v/>
      </c>
      <c r="AN37" s="702">
        <f>(($V37)/(12))</f>
        <v/>
      </c>
      <c r="AO37" s="765">
        <f>SUM(AC37:AN37)</f>
        <v/>
      </c>
      <c r="AP37" s="702" t="n"/>
      <c r="AQ37" s="702">
        <f>IF($P37&gt;0,(($W37)/(12)),0)</f>
        <v/>
      </c>
      <c r="AR37" s="702">
        <f>IF($P37&gt;0,(($W37)/(12)),0)</f>
        <v/>
      </c>
      <c r="AS37" s="702">
        <f>IF($P37&gt;0,(($W37)/(12)),0)</f>
        <v/>
      </c>
      <c r="AT37" s="702">
        <f>IF($P37&gt;0,(($W37)/(12)),0)</f>
        <v/>
      </c>
      <c r="AU37" s="702">
        <f>IF($P37&gt;0,(($W37)/(12)),0)</f>
        <v/>
      </c>
      <c r="AV37" s="702">
        <f>IF($P37&gt;0,(($W37)/(12)),0)</f>
        <v/>
      </c>
      <c r="AW37" s="702">
        <f>IF($P37&gt;0,(($W37)/(12)),0)</f>
        <v/>
      </c>
      <c r="AX37" s="702">
        <f>IF($P37&gt;0,(($W37)/(12)),0)</f>
        <v/>
      </c>
      <c r="AY37" s="702">
        <f>IF($P37&gt;0,(($W37)/(12)),0)</f>
        <v/>
      </c>
      <c r="AZ37" s="702">
        <f>IF($P37&gt;0,(($W37)/(12)),0)</f>
        <v/>
      </c>
      <c r="BA37" s="702">
        <f>IF($P37&gt;0,(($W37)/(12)),0)</f>
        <v/>
      </c>
      <c r="BB37" s="702">
        <f>IF($P37&gt;0,(($W37)/(12)),0)</f>
        <v/>
      </c>
      <c r="BC37" s="765">
        <f>SUM(AQ37:BB37)</f>
        <v/>
      </c>
      <c r="BD37" s="702" t="n"/>
      <c r="BE37" s="702">
        <f>IF($Q37&gt;0,(($X37)/(12)),0)</f>
        <v/>
      </c>
      <c r="BF37" s="702">
        <f>IF($Q37&gt;0,(($X37)/(12)),0)</f>
        <v/>
      </c>
      <c r="BG37" s="702">
        <f>IF($Q37&gt;0,(($X37)/(12)),0)</f>
        <v/>
      </c>
      <c r="BH37" s="702">
        <f>IF($Q37&gt;0,(($X37)/(12)),0)</f>
        <v/>
      </c>
      <c r="BI37" s="702">
        <f>IF($Q37&gt;0,(($X37)/(12)),0)</f>
        <v/>
      </c>
      <c r="BJ37" s="702">
        <f>IF($Q37&gt;0,(($X37)/(12)),0)</f>
        <v/>
      </c>
      <c r="BK37" s="702">
        <f>IF($Q37&gt;0,(($X37)/(12)),0)</f>
        <v/>
      </c>
      <c r="BL37" s="702">
        <f>IF($Q37&gt;0,(($X37)/(12)),0)</f>
        <v/>
      </c>
      <c r="BM37" s="702">
        <f>IF($Q37&gt;0,(($X37)/(12)),0)</f>
        <v/>
      </c>
      <c r="BN37" s="702">
        <f>IF($Q37&gt;0,(($X37)/(12)),0)</f>
        <v/>
      </c>
      <c r="BO37" s="702">
        <f>IF($Q37&gt;0,(($X37)/(12)),0)</f>
        <v/>
      </c>
      <c r="BP37" s="702">
        <f>IF($Q37&gt;0,(($X37)/(12)),0)</f>
        <v/>
      </c>
      <c r="BQ37" s="765">
        <f>SUM(BE37:BP37)</f>
        <v/>
      </c>
      <c r="BR37" s="713" t="n"/>
      <c r="BS37" s="702">
        <f>IF($R37&gt;0,(($Y37)/(12)),0)</f>
        <v/>
      </c>
      <c r="BT37" s="702">
        <f>IF($R37&gt;0,(($Y37)/(12)),0)</f>
        <v/>
      </c>
      <c r="BU37" s="702">
        <f>IF($R37&gt;0,(($Y37)/(12)),0)</f>
        <v/>
      </c>
      <c r="BV37" s="702">
        <f>IF($R37&gt;0,(($Y37)/(12)),0)</f>
        <v/>
      </c>
      <c r="BW37" s="702">
        <f>IF($R37&gt;0,(($Y37)/(12)),0)</f>
        <v/>
      </c>
      <c r="BX37" s="702">
        <f>IF($R37&gt;0,(($Y37)/(12)),0)</f>
        <v/>
      </c>
      <c r="BY37" s="702">
        <f>IF($R37&gt;0,(($Y37)/(12)),0)</f>
        <v/>
      </c>
      <c r="BZ37" s="702">
        <f>IF($R37&gt;0,(($Y37)/(12)),0)</f>
        <v/>
      </c>
      <c r="CA37" s="702">
        <f>IF($R37&gt;0,(($Y37)/(12)),0)</f>
        <v/>
      </c>
      <c r="CB37" s="702">
        <f>IF($R37&gt;0,(($Y37)/(12)),0)</f>
        <v/>
      </c>
      <c r="CC37" s="702">
        <f>IF($R37&gt;0,(($Y37)/(12)),0)</f>
        <v/>
      </c>
      <c r="CD37" s="702">
        <f>IF($R37&gt;0,(($Y37)/(12)),0)</f>
        <v/>
      </c>
      <c r="CE37" s="765">
        <f>SUM(BS37:CD37)</f>
        <v/>
      </c>
      <c r="CF37" s="713" t="n"/>
      <c r="CG37" s="702">
        <f>IF($S37&gt;0,(($Z37)/(12)),0)</f>
        <v/>
      </c>
      <c r="CH37" s="702">
        <f>IF($S37&gt;0,(($Z37)/(12)),0)</f>
        <v/>
      </c>
      <c r="CI37" s="702">
        <f>IF($S37&gt;0,(($Z37)/(12)),0)</f>
        <v/>
      </c>
      <c r="CJ37" s="702">
        <f>IF($S37&gt;0,(($Z37)/(12)),0)</f>
        <v/>
      </c>
      <c r="CK37" s="702">
        <f>IF($S37&gt;0,(($Z37)/(12)),0)</f>
        <v/>
      </c>
      <c r="CL37" s="702">
        <f>IF($S37&gt;0,(($Z37)/(12)),0)</f>
        <v/>
      </c>
      <c r="CM37" s="702">
        <f>IF($S37&gt;0,(($Z37)/(12)),0)</f>
        <v/>
      </c>
      <c r="CN37" s="702">
        <f>IF($S37&gt;0,(($Z37)/(12)),0)</f>
        <v/>
      </c>
      <c r="CO37" s="702">
        <f>IF($S37&gt;0,(($Z37)/(12)),0)</f>
        <v/>
      </c>
      <c r="CP37" s="702">
        <f>IF($S37&gt;0,(($Z37)/(12)),0)</f>
        <v/>
      </c>
      <c r="CQ37" s="702">
        <f>IF($S37&gt;0,(($Z37)/(12)),0)</f>
        <v/>
      </c>
      <c r="CR37" s="702">
        <f>IF($S37&gt;0,(($Z37)/(12)),0)</f>
        <v/>
      </c>
      <c r="CS37" s="765">
        <f>SUM(CG37:CR37)</f>
        <v/>
      </c>
      <c r="CU37" s="702">
        <f>IF($T37&gt;0,(($AA37)/(12)),0)</f>
        <v/>
      </c>
      <c r="CV37" s="702">
        <f>IF($T37&gt;0,(($AA37)/(12)),0)</f>
        <v/>
      </c>
      <c r="CW37" s="702">
        <f>IF($T37&gt;0,(($AA37)/(12)),0)</f>
        <v/>
      </c>
      <c r="CX37" s="702">
        <f>IF($T37&gt;0,(($AA37)/(12)),0)</f>
        <v/>
      </c>
      <c r="CY37" s="702">
        <f>IF($T37&gt;0,(($AA37)/(12)),0)</f>
        <v/>
      </c>
      <c r="CZ37" s="702">
        <f>IF($T37&gt;0,(($AA37)/(12)),0)</f>
        <v/>
      </c>
      <c r="DA37" s="702">
        <f>IF($T37&gt;0,(($AA37)/(12)),0)</f>
        <v/>
      </c>
      <c r="DB37" s="702">
        <f>IF($T37&gt;0,(($AA37)/(12)),0)</f>
        <v/>
      </c>
      <c r="DC37" s="702">
        <f>IF($T37&gt;0,(($AA37)/(12)),0)</f>
        <v/>
      </c>
      <c r="DD37" s="702">
        <f>IF($T37&gt;0,(($AA37)/(12)),0)</f>
        <v/>
      </c>
      <c r="DE37" s="702">
        <f>IF($T37&gt;0,(($AA37)/(12)),0)</f>
        <v/>
      </c>
      <c r="DF37" s="702">
        <f>IF($T37&gt;0,(($AA37)/(12)),0)</f>
        <v/>
      </c>
      <c r="DG37" s="765">
        <f>SUM(CU37:DF37)</f>
        <v/>
      </c>
    </row>
    <row r="38" ht="15" customHeight="1" s="1883">
      <c r="B38" s="752">
        <f>((B37)+(1))</f>
        <v/>
      </c>
      <c r="C38" s="726" t="n"/>
      <c r="D38" s="730" t="inlineStr">
        <is>
          <t>●</t>
        </is>
      </c>
      <c r="E38" s="1446" t="inlineStr">
        <is>
          <t>Frank Thomas</t>
        </is>
      </c>
      <c r="F38" s="66" t="n"/>
      <c r="G38" s="66" t="n"/>
      <c r="H38" s="66" t="n"/>
      <c r="I38" s="1446" t="inlineStr">
        <is>
          <t>SVP, Technology (Fractional)</t>
        </is>
      </c>
      <c r="J38" s="746" t="inlineStr">
        <is>
          <t>OCONUS</t>
        </is>
      </c>
      <c r="K38" s="746" t="n"/>
      <c r="L38" s="738" t="inlineStr">
        <is>
          <t>-12</t>
        </is>
      </c>
      <c r="M38" s="738" t="inlineStr">
        <is>
          <t>-12</t>
        </is>
      </c>
      <c r="N38" s="738" t="n"/>
      <c r="O38" s="749" t="n">
        <v>1</v>
      </c>
      <c r="P38" s="748" t="n">
        <v>1</v>
      </c>
      <c r="Q38" s="748" t="n">
        <v>1</v>
      </c>
      <c r="R38" s="748" t="n">
        <v>1</v>
      </c>
      <c r="S38" s="748" t="n">
        <v>1</v>
      </c>
      <c r="T38" s="748" t="n">
        <v>1</v>
      </c>
      <c r="U38" s="737" t="n"/>
      <c r="V38" s="702" t="n">
        <v>200000</v>
      </c>
      <c r="W38" s="702">
        <f>(V38)</f>
        <v/>
      </c>
      <c r="X38" s="702">
        <f>((W38)*((1)+($X$15)))</f>
        <v/>
      </c>
      <c r="Y38" s="702">
        <f>((X38)*((1)+($Y$15)))</f>
        <v/>
      </c>
      <c r="Z38" s="702">
        <f>((Y38)*((1)+($Z$15)))</f>
        <v/>
      </c>
      <c r="AA38" s="702">
        <f>((Z38)*((1)+($AA$15)))</f>
        <v/>
      </c>
      <c r="AB38" s="702" t="n"/>
      <c r="AC38" s="702">
        <f>(($V38)/(12))/2</f>
        <v/>
      </c>
      <c r="AD38" s="702">
        <f>(($V38)/(12))</f>
        <v/>
      </c>
      <c r="AE38" s="702">
        <f>(($V38)/(12))</f>
        <v/>
      </c>
      <c r="AF38" s="702">
        <f>(($V38)/(12))</f>
        <v/>
      </c>
      <c r="AG38" s="702">
        <f>(($V38)/(12))</f>
        <v/>
      </c>
      <c r="AH38" s="702">
        <f>(($V38)/(12))</f>
        <v/>
      </c>
      <c r="AI38" s="702">
        <f>(($V38)/(12))</f>
        <v/>
      </c>
      <c r="AJ38" s="702">
        <f>(($V38)/(12))</f>
        <v/>
      </c>
      <c r="AK38" s="702">
        <f>(($V38)/(12))</f>
        <v/>
      </c>
      <c r="AL38" s="702">
        <f>(($V38)/(12))</f>
        <v/>
      </c>
      <c r="AM38" s="702">
        <f>(($V38)/(12))</f>
        <v/>
      </c>
      <c r="AN38" s="702">
        <f>(($V38)/(12))</f>
        <v/>
      </c>
      <c r="AO38" s="765">
        <f>SUM(AC38:AN38)</f>
        <v/>
      </c>
      <c r="AP38" s="462" t="n"/>
      <c r="AQ38" s="702">
        <f>IF($P38&gt;0,(($W38)/(12)),0)</f>
        <v/>
      </c>
      <c r="AR38" s="702">
        <f>IF($P38&gt;0,(($W38)/(12)),0)</f>
        <v/>
      </c>
      <c r="AS38" s="702">
        <f>IF($P38&gt;0,(($W38)/(12)),0)</f>
        <v/>
      </c>
      <c r="AT38" s="702">
        <f>IF($P38&gt;0,(($W38)/(12)),0)</f>
        <v/>
      </c>
      <c r="AU38" s="702">
        <f>IF($P38&gt;0,(($W38)/(12)),0)</f>
        <v/>
      </c>
      <c r="AV38" s="702">
        <f>IF($P38&gt;0,(($W38)/(12)),0)</f>
        <v/>
      </c>
      <c r="AW38" s="702">
        <f>IF($P38&gt;0,(($W38)/(12)),0)</f>
        <v/>
      </c>
      <c r="AX38" s="702">
        <f>IF($P38&gt;0,(($W38)/(12)),0)</f>
        <v/>
      </c>
      <c r="AY38" s="702">
        <f>IF($P38&gt;0,(($W38)/(12)),0)</f>
        <v/>
      </c>
      <c r="AZ38" s="702">
        <f>IF($P38&gt;0,(($W38)/(12)),0)</f>
        <v/>
      </c>
      <c r="BA38" s="702">
        <f>IF($P38&gt;0,(($W38)/(12)),0)</f>
        <v/>
      </c>
      <c r="BB38" s="702">
        <f>IF($P38&gt;0,(($W38)/(12)),0)</f>
        <v/>
      </c>
      <c r="BC38" s="765">
        <f>SUM(AQ38:BB38)</f>
        <v/>
      </c>
      <c r="BD38" s="462" t="n"/>
      <c r="BE38" s="702">
        <f>IF($Q38&gt;0,(($X38)/(12)),0)</f>
        <v/>
      </c>
      <c r="BF38" s="702">
        <f>IF($Q38&gt;0,(($X38)/(12)),0)</f>
        <v/>
      </c>
      <c r="BG38" s="702">
        <f>IF($Q38&gt;0,(($X38)/(12)),0)</f>
        <v/>
      </c>
      <c r="BH38" s="702">
        <f>IF($Q38&gt;0,(($X38)/(12)),0)</f>
        <v/>
      </c>
      <c r="BI38" s="702">
        <f>IF($Q38&gt;0,(($X38)/(12)),0)</f>
        <v/>
      </c>
      <c r="BJ38" s="702">
        <f>IF($Q38&gt;0,(($X38)/(12)),0)</f>
        <v/>
      </c>
      <c r="BK38" s="702">
        <f>IF($Q38&gt;0,(($X38)/(12)),0)</f>
        <v/>
      </c>
      <c r="BL38" s="702">
        <f>IF($Q38&gt;0,(($X38)/(12)),0)</f>
        <v/>
      </c>
      <c r="BM38" s="702">
        <f>IF($Q38&gt;0,(($X38)/(12)),0)</f>
        <v/>
      </c>
      <c r="BN38" s="702">
        <f>IF($Q38&gt;0,(($X38)/(12)),0)</f>
        <v/>
      </c>
      <c r="BO38" s="702">
        <f>IF($Q38&gt;0,(($X38)/(12)),0)</f>
        <v/>
      </c>
      <c r="BP38" s="702">
        <f>IF($Q38&gt;0,(($X38)/(12)),0)</f>
        <v/>
      </c>
      <c r="BQ38" s="765">
        <f>SUM(BE38:BP38)</f>
        <v/>
      </c>
      <c r="BR38" s="507" t="n"/>
      <c r="BS38" s="702">
        <f>IF($R38&gt;0,(($Y38)/(12)),0)</f>
        <v/>
      </c>
      <c r="BT38" s="702">
        <f>IF($R38&gt;0,(($Y38)/(12)),0)</f>
        <v/>
      </c>
      <c r="BU38" s="702">
        <f>IF($R38&gt;0,(($Y38)/(12)),0)</f>
        <v/>
      </c>
      <c r="BV38" s="702">
        <f>IF($R38&gt;0,(($Y38)/(12)),0)</f>
        <v/>
      </c>
      <c r="BW38" s="702">
        <f>IF($R38&gt;0,(($Y38)/(12)),0)</f>
        <v/>
      </c>
      <c r="BX38" s="702">
        <f>IF($R38&gt;0,(($Y38)/(12)),0)</f>
        <v/>
      </c>
      <c r="BY38" s="702">
        <f>IF($R38&gt;0,(($Y38)/(12)),0)</f>
        <v/>
      </c>
      <c r="BZ38" s="702">
        <f>IF($R38&gt;0,(($Y38)/(12)),0)</f>
        <v/>
      </c>
      <c r="CA38" s="702">
        <f>IF($R38&gt;0,(($Y38)/(12)),0)</f>
        <v/>
      </c>
      <c r="CB38" s="702">
        <f>IF($R38&gt;0,(($Y38)/(12)),0)</f>
        <v/>
      </c>
      <c r="CC38" s="702">
        <f>IF($R38&gt;0,(($Y38)/(12)),0)</f>
        <v/>
      </c>
      <c r="CD38" s="702">
        <f>IF($R38&gt;0,(($Y38)/(12)),0)</f>
        <v/>
      </c>
      <c r="CE38" s="765">
        <f>SUM(BS38:CD38)</f>
        <v/>
      </c>
      <c r="CF38" s="507" t="n"/>
      <c r="CG38" s="702">
        <f>IF($S38&gt;0,(($Z38)/(12)),0)</f>
        <v/>
      </c>
      <c r="CH38" s="702">
        <f>IF($S38&gt;0,(($Z38)/(12)),0)</f>
        <v/>
      </c>
      <c r="CI38" s="702">
        <f>IF($S38&gt;0,(($Z38)/(12)),0)</f>
        <v/>
      </c>
      <c r="CJ38" s="702">
        <f>IF($S38&gt;0,(($Z38)/(12)),0)</f>
        <v/>
      </c>
      <c r="CK38" s="702">
        <f>IF($S38&gt;0,(($Z38)/(12)),0)</f>
        <v/>
      </c>
      <c r="CL38" s="702">
        <f>IF($S38&gt;0,(($Z38)/(12)),0)</f>
        <v/>
      </c>
      <c r="CM38" s="702">
        <f>IF($S38&gt;0,(($Z38)/(12)),0)</f>
        <v/>
      </c>
      <c r="CN38" s="702">
        <f>IF($S38&gt;0,(($Z38)/(12)),0)</f>
        <v/>
      </c>
      <c r="CO38" s="702">
        <f>IF($S38&gt;0,(($Z38)/(12)),0)</f>
        <v/>
      </c>
      <c r="CP38" s="702">
        <f>IF($S38&gt;0,(($Z38)/(12)),0)</f>
        <v/>
      </c>
      <c r="CQ38" s="702">
        <f>IF($S38&gt;0,(($Z38)/(12)),0)</f>
        <v/>
      </c>
      <c r="CR38" s="702">
        <f>IF($S38&gt;0,(($Z38)/(12)),0)</f>
        <v/>
      </c>
      <c r="CS38" s="765">
        <f>SUM(CG38:CR38)</f>
        <v/>
      </c>
      <c r="CU38" s="702">
        <f>IF($T38&gt;0,(($AA38)/(12)),0)</f>
        <v/>
      </c>
      <c r="CV38" s="702">
        <f>IF($T38&gt;0,(($AA38)/(12)),0)</f>
        <v/>
      </c>
      <c r="CW38" s="702">
        <f>IF($T38&gt;0,(($AA38)/(12)),0)</f>
        <v/>
      </c>
      <c r="CX38" s="702">
        <f>IF($T38&gt;0,(($AA38)/(12)),0)</f>
        <v/>
      </c>
      <c r="CY38" s="702">
        <f>IF($T38&gt;0,(($AA38)/(12)),0)</f>
        <v/>
      </c>
      <c r="CZ38" s="702">
        <f>IF($T38&gt;0,(($AA38)/(12)),0)</f>
        <v/>
      </c>
      <c r="DA38" s="702">
        <f>IF($T38&gt;0,(($AA38)/(12)),0)</f>
        <v/>
      </c>
      <c r="DB38" s="702">
        <f>IF($T38&gt;0,(($AA38)/(12)),0)</f>
        <v/>
      </c>
      <c r="DC38" s="702">
        <f>IF($T38&gt;0,(($AA38)/(12)),0)</f>
        <v/>
      </c>
      <c r="DD38" s="702">
        <f>IF($T38&gt;0,(($AA38)/(12)),0)</f>
        <v/>
      </c>
      <c r="DE38" s="702">
        <f>IF($T38&gt;0,(($AA38)/(12)),0)</f>
        <v/>
      </c>
      <c r="DF38" s="702">
        <f>IF($T38&gt;0,(($AA38)/(12)),0)</f>
        <v/>
      </c>
      <c r="DG38" s="765">
        <f>SUM(CU38:DF38)</f>
        <v/>
      </c>
    </row>
    <row r="39" ht="15" customHeight="1" s="1883">
      <c r="B39" s="752">
        <f>((B38)+(1))</f>
        <v/>
      </c>
      <c r="C39" s="726" t="n"/>
      <c r="D39" s="730" t="inlineStr">
        <is>
          <t>●</t>
        </is>
      </c>
      <c r="E39" s="1446" t="inlineStr">
        <is>
          <t>Thomas Tang (or alternate)</t>
        </is>
      </c>
      <c r="F39" s="66" t="n"/>
      <c r="G39" s="66" t="n"/>
      <c r="H39" s="66" t="n"/>
      <c r="I39" s="1446" t="inlineStr">
        <is>
          <t>Hardware Advisor / President of Hardware</t>
        </is>
      </c>
      <c r="J39" s="746" t="inlineStr">
        <is>
          <t>OCONUS</t>
        </is>
      </c>
      <c r="K39" s="746" t="n"/>
      <c r="L39" s="738" t="inlineStr">
        <is>
          <t>-12</t>
        </is>
      </c>
      <c r="M39" s="738" t="inlineStr">
        <is>
          <t>-11</t>
        </is>
      </c>
      <c r="N39" s="738" t="n"/>
      <c r="O39" s="749" t="n">
        <v>1</v>
      </c>
      <c r="P39" s="748" t="n">
        <v>1</v>
      </c>
      <c r="Q39" s="748" t="n">
        <v>1</v>
      </c>
      <c r="R39" s="748" t="n">
        <v>1</v>
      </c>
      <c r="S39" s="748" t="n">
        <v>1</v>
      </c>
      <c r="T39" s="748" t="n">
        <v>1</v>
      </c>
      <c r="U39" s="737" t="n"/>
      <c r="V39" s="702">
        <f>3000*12</f>
        <v/>
      </c>
      <c r="W39" s="702" t="n">
        <v>165000</v>
      </c>
      <c r="X39" s="702">
        <f>((W39)*((1)+($X$15)))</f>
        <v/>
      </c>
      <c r="Y39" s="702">
        <f>((X39)*((1)+($Y$15)))</f>
        <v/>
      </c>
      <c r="Z39" s="702">
        <f>((Y39)*((1)+($Z$15)))</f>
        <v/>
      </c>
      <c r="AA39" s="702">
        <f>((Z39)*((1)+($AA$15)))</f>
        <v/>
      </c>
      <c r="AB39" s="702" t="n"/>
      <c r="AC39" s="702" t="n">
        <v>0</v>
      </c>
      <c r="AD39" s="702">
        <f>(($V39)/(12))</f>
        <v/>
      </c>
      <c r="AE39" s="702">
        <f>(($V39)/(12))</f>
        <v/>
      </c>
      <c r="AF39" s="702">
        <f>(($V39)/(12))</f>
        <v/>
      </c>
      <c r="AG39" s="702">
        <f>(($V39)/(12))</f>
        <v/>
      </c>
      <c r="AH39" s="702">
        <f>(($V39)/(12))</f>
        <v/>
      </c>
      <c r="AI39" s="702">
        <f>(($V39)/(12))</f>
        <v/>
      </c>
      <c r="AJ39" s="702">
        <f>(($V39)/(12))</f>
        <v/>
      </c>
      <c r="AK39" s="702">
        <f>(($V39)/(12))</f>
        <v/>
      </c>
      <c r="AL39" s="702">
        <f>(($V39)/(12))</f>
        <v/>
      </c>
      <c r="AM39" s="702">
        <f>(($V39)/(12))</f>
        <v/>
      </c>
      <c r="AN39" s="702">
        <f>(($V39)/(12))</f>
        <v/>
      </c>
      <c r="AO39" s="765">
        <f>SUM(AC39:AN39)</f>
        <v/>
      </c>
      <c r="AP39" s="462" t="n"/>
      <c r="AQ39" s="702">
        <f>IF($P39&gt;0,(($W39)/(12)),0)</f>
        <v/>
      </c>
      <c r="AR39" s="702">
        <f>IF($P39&gt;0,(($W39)/(12)),0)</f>
        <v/>
      </c>
      <c r="AS39" s="702">
        <f>IF($P39&gt;0,(($W39)/(12)),0)</f>
        <v/>
      </c>
      <c r="AT39" s="702">
        <f>IF($P39&gt;0,(($W39)/(12)),0)</f>
        <v/>
      </c>
      <c r="AU39" s="702">
        <f>IF($P39&gt;0,(($W39)/(12)),0)</f>
        <v/>
      </c>
      <c r="AV39" s="702">
        <f>IF($P39&gt;0,(($W39)/(12)),0)</f>
        <v/>
      </c>
      <c r="AW39" s="702">
        <f>IF($P39&gt;0,(($W39)/(12)),0)</f>
        <v/>
      </c>
      <c r="AX39" s="702">
        <f>IF($P39&gt;0,(($W39)/(12)),0)</f>
        <v/>
      </c>
      <c r="AY39" s="702">
        <f>IF($P39&gt;0,(($W39)/(12)),0)</f>
        <v/>
      </c>
      <c r="AZ39" s="702">
        <f>IF($P39&gt;0,(($W39)/(12)),0)</f>
        <v/>
      </c>
      <c r="BA39" s="702">
        <f>IF($P39&gt;0,(($W39)/(12)),0)</f>
        <v/>
      </c>
      <c r="BB39" s="702">
        <f>IF($P39&gt;0,(($W39)/(12)),0)</f>
        <v/>
      </c>
      <c r="BC39" s="765">
        <f>SUM(AQ39:BB39)</f>
        <v/>
      </c>
      <c r="BD39" s="462" t="n"/>
      <c r="BE39" s="702">
        <f>IF($Q39&gt;0,(($X39)/(12)),0)</f>
        <v/>
      </c>
      <c r="BF39" s="702">
        <f>IF($Q39&gt;0,(($X39)/(12)),0)</f>
        <v/>
      </c>
      <c r="BG39" s="702">
        <f>IF($Q39&gt;0,(($X39)/(12)),0)</f>
        <v/>
      </c>
      <c r="BH39" s="702">
        <f>IF($Q39&gt;0,(($X39)/(12)),0)</f>
        <v/>
      </c>
      <c r="BI39" s="702">
        <f>IF($Q39&gt;0,(($X39)/(12)),0)</f>
        <v/>
      </c>
      <c r="BJ39" s="702">
        <f>IF($Q39&gt;0,(($X39)/(12)),0)</f>
        <v/>
      </c>
      <c r="BK39" s="702">
        <f>IF($Q39&gt;0,(($X39)/(12)),0)</f>
        <v/>
      </c>
      <c r="BL39" s="702">
        <f>IF($Q39&gt;0,(($X39)/(12)),0)</f>
        <v/>
      </c>
      <c r="BM39" s="702">
        <f>IF($Q39&gt;0,(($X39)/(12)),0)</f>
        <v/>
      </c>
      <c r="BN39" s="702">
        <f>IF($Q39&gt;0,(($X39)/(12)),0)</f>
        <v/>
      </c>
      <c r="BO39" s="702">
        <f>IF($Q39&gt;0,(($X39)/(12)),0)</f>
        <v/>
      </c>
      <c r="BP39" s="702">
        <f>IF($Q39&gt;0,(($X39)/(12)),0)</f>
        <v/>
      </c>
      <c r="BQ39" s="765">
        <f>SUM(BE39:BP39)</f>
        <v/>
      </c>
      <c r="BR39" s="507" t="n"/>
      <c r="BS39" s="702">
        <f>IF($R39&gt;0,(($Y39)/(12)),0)</f>
        <v/>
      </c>
      <c r="BT39" s="702">
        <f>IF($R39&gt;0,(($Y39)/(12)),0)</f>
        <v/>
      </c>
      <c r="BU39" s="702">
        <f>IF($R39&gt;0,(($Y39)/(12)),0)</f>
        <v/>
      </c>
      <c r="BV39" s="702">
        <f>IF($R39&gt;0,(($Y39)/(12)),0)</f>
        <v/>
      </c>
      <c r="BW39" s="702">
        <f>IF($R39&gt;0,(($Y39)/(12)),0)</f>
        <v/>
      </c>
      <c r="BX39" s="702">
        <f>IF($R39&gt;0,(($Y39)/(12)),0)</f>
        <v/>
      </c>
      <c r="BY39" s="702">
        <f>IF($R39&gt;0,(($Y39)/(12)),0)</f>
        <v/>
      </c>
      <c r="BZ39" s="702">
        <f>IF($R39&gt;0,(($Y39)/(12)),0)</f>
        <v/>
      </c>
      <c r="CA39" s="702">
        <f>IF($R39&gt;0,(($Y39)/(12)),0)</f>
        <v/>
      </c>
      <c r="CB39" s="702">
        <f>IF($R39&gt;0,(($Y39)/(12)),0)</f>
        <v/>
      </c>
      <c r="CC39" s="702">
        <f>IF($R39&gt;0,(($Y39)/(12)),0)</f>
        <v/>
      </c>
      <c r="CD39" s="702">
        <f>IF($R39&gt;0,(($Y39)/(12)),0)</f>
        <v/>
      </c>
      <c r="CE39" s="765">
        <f>SUM(BS39:CD39)</f>
        <v/>
      </c>
      <c r="CF39" s="507" t="n"/>
      <c r="CG39" s="702">
        <f>IF($S39&gt;0,(($Z39)/(12)),0)</f>
        <v/>
      </c>
      <c r="CH39" s="702">
        <f>IF($S39&gt;0,(($Z39)/(12)),0)</f>
        <v/>
      </c>
      <c r="CI39" s="702">
        <f>IF($S39&gt;0,(($Z39)/(12)),0)</f>
        <v/>
      </c>
      <c r="CJ39" s="702">
        <f>IF($S39&gt;0,(($Z39)/(12)),0)</f>
        <v/>
      </c>
      <c r="CK39" s="702">
        <f>IF($S39&gt;0,(($Z39)/(12)),0)</f>
        <v/>
      </c>
      <c r="CL39" s="702">
        <f>IF($S39&gt;0,(($Z39)/(12)),0)</f>
        <v/>
      </c>
      <c r="CM39" s="702">
        <f>IF($S39&gt;0,(($Z39)/(12)),0)</f>
        <v/>
      </c>
      <c r="CN39" s="702">
        <f>IF($S39&gt;0,(($Z39)/(12)),0)</f>
        <v/>
      </c>
      <c r="CO39" s="702">
        <f>IF($S39&gt;0,(($Z39)/(12)),0)</f>
        <v/>
      </c>
      <c r="CP39" s="702">
        <f>IF($S39&gt;0,(($Z39)/(12)),0)</f>
        <v/>
      </c>
      <c r="CQ39" s="702">
        <f>IF($S39&gt;0,(($Z39)/(12)),0)</f>
        <v/>
      </c>
      <c r="CR39" s="702">
        <f>IF($S39&gt;0,(($Z39)/(12)),0)</f>
        <v/>
      </c>
      <c r="CS39" s="765">
        <f>SUM(CG39:CR39)</f>
        <v/>
      </c>
      <c r="CU39" s="702">
        <f>IF($T39&gt;0,(($AA39)/(12)),0)</f>
        <v/>
      </c>
      <c r="CV39" s="702">
        <f>IF($T39&gt;0,(($AA39)/(12)),0)</f>
        <v/>
      </c>
      <c r="CW39" s="702">
        <f>IF($T39&gt;0,(($AA39)/(12)),0)</f>
        <v/>
      </c>
      <c r="CX39" s="702">
        <f>IF($T39&gt;0,(($AA39)/(12)),0)</f>
        <v/>
      </c>
      <c r="CY39" s="702">
        <f>IF($T39&gt;0,(($AA39)/(12)),0)</f>
        <v/>
      </c>
      <c r="CZ39" s="702">
        <f>IF($T39&gt;0,(($AA39)/(12)),0)</f>
        <v/>
      </c>
      <c r="DA39" s="702">
        <f>IF($T39&gt;0,(($AA39)/(12)),0)</f>
        <v/>
      </c>
      <c r="DB39" s="702">
        <f>IF($T39&gt;0,(($AA39)/(12)),0)</f>
        <v/>
      </c>
      <c r="DC39" s="702">
        <f>IF($T39&gt;0,(($AA39)/(12)),0)</f>
        <v/>
      </c>
      <c r="DD39" s="702">
        <f>IF($T39&gt;0,(($AA39)/(12)),0)</f>
        <v/>
      </c>
      <c r="DE39" s="702">
        <f>IF($T39&gt;0,(($AA39)/(12)),0)</f>
        <v/>
      </c>
      <c r="DF39" s="702">
        <f>IF($T39&gt;0,(($AA39)/(12)),0)</f>
        <v/>
      </c>
      <c r="DG39" s="765">
        <f>SUM(CU39:DF39)</f>
        <v/>
      </c>
    </row>
    <row r="40" ht="15" customHeight="1" s="1883">
      <c r="B40" s="752">
        <f>((B39)+(1))</f>
        <v/>
      </c>
      <c r="C40" s="726" t="n"/>
      <c r="D40" s="730" t="inlineStr">
        <is>
          <t>●</t>
        </is>
      </c>
      <c r="E40" s="1446" t="inlineStr">
        <is>
          <t xml:space="preserve">Russell Korus </t>
        </is>
      </c>
      <c r="F40" s="66" t="n"/>
      <c r="G40" s="66" t="n"/>
      <c r="H40" s="66" t="n"/>
      <c r="I40" s="1446" t="inlineStr">
        <is>
          <t>Chief Digital Assets Officer</t>
        </is>
      </c>
      <c r="J40" s="746" t="inlineStr">
        <is>
          <t>OCONUS</t>
        </is>
      </c>
      <c r="K40" s="737" t="n"/>
      <c r="L40" s="738" t="inlineStr">
        <is>
          <t>-12</t>
        </is>
      </c>
      <c r="M40" s="738" t="inlineStr">
        <is>
          <t>-8</t>
        </is>
      </c>
      <c r="N40" s="738" t="n"/>
      <c r="O40" s="749" t="n">
        <v>1</v>
      </c>
      <c r="P40" s="748" t="n">
        <v>1</v>
      </c>
      <c r="Q40" s="748" t="n">
        <v>1</v>
      </c>
      <c r="R40" s="748" t="n">
        <v>1</v>
      </c>
      <c r="S40" s="748" t="n">
        <v>1</v>
      </c>
      <c r="T40" s="748" t="n">
        <v>1</v>
      </c>
      <c r="U40" s="737" t="n"/>
      <c r="V40" s="702" t="n">
        <v>165000</v>
      </c>
      <c r="W40" s="702">
        <f>(V40)</f>
        <v/>
      </c>
      <c r="X40" s="702">
        <f>((W40)*((1)+($X$15)))</f>
        <v/>
      </c>
      <c r="Y40" s="702">
        <f>((X40)*((1)+($Y$15)))</f>
        <v/>
      </c>
      <c r="Z40" s="702">
        <f>((Y40)*((1)+($Z$15)))</f>
        <v/>
      </c>
      <c r="AA40" s="702">
        <f>((Z40)*((1)+($AA$15)))</f>
        <v/>
      </c>
      <c r="AB40" s="702" t="n"/>
      <c r="AC40" s="702" t="n">
        <v>0</v>
      </c>
      <c r="AD40" s="702" t="n">
        <v>0</v>
      </c>
      <c r="AE40" s="702" t="n">
        <v>0</v>
      </c>
      <c r="AF40" s="702" t="n">
        <v>0</v>
      </c>
      <c r="AG40" s="702">
        <f>(($V40)/(12))</f>
        <v/>
      </c>
      <c r="AH40" s="702">
        <f>(($V40)/(12))</f>
        <v/>
      </c>
      <c r="AI40" s="702">
        <f>(($V40)/(12))</f>
        <v/>
      </c>
      <c r="AJ40" s="702">
        <f>(($V40)/(12))</f>
        <v/>
      </c>
      <c r="AK40" s="702">
        <f>(($V40)/(12))</f>
        <v/>
      </c>
      <c r="AL40" s="702">
        <f>(($V40)/(12))</f>
        <v/>
      </c>
      <c r="AM40" s="702">
        <f>(($V40)/(12))</f>
        <v/>
      </c>
      <c r="AN40" s="702">
        <f>(($V40)/(12))</f>
        <v/>
      </c>
      <c r="AO40" s="765">
        <f>SUM(AC40:AN40)</f>
        <v/>
      </c>
      <c r="AP40" s="462" t="n"/>
      <c r="AQ40" s="702">
        <f>IF($P40&gt;0,(($W40)/(12)),0)</f>
        <v/>
      </c>
      <c r="AR40" s="702">
        <f>IF($P40&gt;0,(($W40)/(12)),0)</f>
        <v/>
      </c>
      <c r="AS40" s="702">
        <f>IF($P40&gt;0,(($W40)/(12)),0)</f>
        <v/>
      </c>
      <c r="AT40" s="702">
        <f>IF($P40&gt;0,(($W40)/(12)),0)</f>
        <v/>
      </c>
      <c r="AU40" s="702">
        <f>IF($P40&gt;0,(($W40)/(12)),0)</f>
        <v/>
      </c>
      <c r="AV40" s="702">
        <f>IF($P40&gt;0,(($W40)/(12)),0)</f>
        <v/>
      </c>
      <c r="AW40" s="702">
        <f>IF($P40&gt;0,(($W40)/(12)),0)</f>
        <v/>
      </c>
      <c r="AX40" s="702">
        <f>IF($P40&gt;0,(($W40)/(12)),0)</f>
        <v/>
      </c>
      <c r="AY40" s="702">
        <f>IF($P40&gt;0,(($W40)/(12)),0)</f>
        <v/>
      </c>
      <c r="AZ40" s="702">
        <f>IF($P40&gt;0,(($W40)/(12)),0)</f>
        <v/>
      </c>
      <c r="BA40" s="702">
        <f>IF($P40&gt;0,(($W40)/(12)),0)</f>
        <v/>
      </c>
      <c r="BB40" s="702">
        <f>IF($P40&gt;0,(($W40)/(12)),0)</f>
        <v/>
      </c>
      <c r="BC40" s="765">
        <f>SUM(AQ40:BB40)</f>
        <v/>
      </c>
      <c r="BD40" s="462" t="n"/>
      <c r="BE40" s="702">
        <f>IF($Q40&gt;0,(($X40)/(12)),0)</f>
        <v/>
      </c>
      <c r="BF40" s="702">
        <f>IF($Q40&gt;0,(($X40)/(12)),0)</f>
        <v/>
      </c>
      <c r="BG40" s="702">
        <f>IF($Q40&gt;0,(($X40)/(12)),0)</f>
        <v/>
      </c>
      <c r="BH40" s="702">
        <f>IF($Q40&gt;0,(($X40)/(12)),0)</f>
        <v/>
      </c>
      <c r="BI40" s="702">
        <f>IF($Q40&gt;0,(($X40)/(12)),0)</f>
        <v/>
      </c>
      <c r="BJ40" s="702">
        <f>IF($Q40&gt;0,(($X40)/(12)),0)</f>
        <v/>
      </c>
      <c r="BK40" s="702">
        <f>IF($Q40&gt;0,(($X40)/(12)),0)</f>
        <v/>
      </c>
      <c r="BL40" s="702">
        <f>IF($Q40&gt;0,(($X40)/(12)),0)</f>
        <v/>
      </c>
      <c r="BM40" s="702">
        <f>IF($Q40&gt;0,(($X40)/(12)),0)</f>
        <v/>
      </c>
      <c r="BN40" s="702">
        <f>IF($Q40&gt;0,(($X40)/(12)),0)</f>
        <v/>
      </c>
      <c r="BO40" s="702">
        <f>IF($Q40&gt;0,(($X40)/(12)),0)</f>
        <v/>
      </c>
      <c r="BP40" s="702">
        <f>IF($Q40&gt;0,(($X40)/(12)),0)</f>
        <v/>
      </c>
      <c r="BQ40" s="765">
        <f>SUM(BE40:BP40)</f>
        <v/>
      </c>
      <c r="BR40" s="507" t="n"/>
      <c r="BS40" s="702">
        <f>IF($R40&gt;0,(($Y40)/(12)),0)</f>
        <v/>
      </c>
      <c r="BT40" s="702">
        <f>IF($R40&gt;0,(($Y40)/(12)),0)</f>
        <v/>
      </c>
      <c r="BU40" s="702">
        <f>IF($R40&gt;0,(($Y40)/(12)),0)</f>
        <v/>
      </c>
      <c r="BV40" s="702">
        <f>IF($R40&gt;0,(($Y40)/(12)),0)</f>
        <v/>
      </c>
      <c r="BW40" s="702">
        <f>IF($R40&gt;0,(($Y40)/(12)),0)</f>
        <v/>
      </c>
      <c r="BX40" s="702">
        <f>IF($R40&gt;0,(($Y40)/(12)),0)</f>
        <v/>
      </c>
      <c r="BY40" s="702">
        <f>IF($R40&gt;0,(($Y40)/(12)),0)</f>
        <v/>
      </c>
      <c r="BZ40" s="702">
        <f>IF($R40&gt;0,(($Y40)/(12)),0)</f>
        <v/>
      </c>
      <c r="CA40" s="702">
        <f>IF($R40&gt;0,(($Y40)/(12)),0)</f>
        <v/>
      </c>
      <c r="CB40" s="702">
        <f>IF($R40&gt;0,(($Y40)/(12)),0)</f>
        <v/>
      </c>
      <c r="CC40" s="702">
        <f>IF($R40&gt;0,(($Y40)/(12)),0)</f>
        <v/>
      </c>
      <c r="CD40" s="702">
        <f>IF($R40&gt;0,(($Y40)/(12)),0)</f>
        <v/>
      </c>
      <c r="CE40" s="765">
        <f>SUM(BS40:CD40)</f>
        <v/>
      </c>
      <c r="CF40" s="507" t="n"/>
      <c r="CG40" s="702">
        <f>IF($S40&gt;0,(($Z40)/(12)),0)</f>
        <v/>
      </c>
      <c r="CH40" s="702">
        <f>IF($S40&gt;0,(($Z40)/(12)),0)</f>
        <v/>
      </c>
      <c r="CI40" s="702">
        <f>IF($S40&gt;0,(($Z40)/(12)),0)</f>
        <v/>
      </c>
      <c r="CJ40" s="702">
        <f>IF($S40&gt;0,(($Z40)/(12)),0)</f>
        <v/>
      </c>
      <c r="CK40" s="702">
        <f>IF($S40&gt;0,(($Z40)/(12)),0)</f>
        <v/>
      </c>
      <c r="CL40" s="702">
        <f>IF($S40&gt;0,(($Z40)/(12)),0)</f>
        <v/>
      </c>
      <c r="CM40" s="702">
        <f>IF($S40&gt;0,(($Z40)/(12)),0)</f>
        <v/>
      </c>
      <c r="CN40" s="702">
        <f>IF($S40&gt;0,(($Z40)/(12)),0)</f>
        <v/>
      </c>
      <c r="CO40" s="702">
        <f>IF($S40&gt;0,(($Z40)/(12)),0)</f>
        <v/>
      </c>
      <c r="CP40" s="702">
        <f>IF($S40&gt;0,(($Z40)/(12)),0)</f>
        <v/>
      </c>
      <c r="CQ40" s="702">
        <f>IF($S40&gt;0,(($Z40)/(12)),0)</f>
        <v/>
      </c>
      <c r="CR40" s="702">
        <f>IF($S40&gt;0,(($Z40)/(12)),0)</f>
        <v/>
      </c>
      <c r="CS40" s="765">
        <f>SUM(CG40:CR40)</f>
        <v/>
      </c>
      <c r="CU40" s="702">
        <f>IF($T40&gt;0,(($AA40)/(12)),0)</f>
        <v/>
      </c>
      <c r="CV40" s="702">
        <f>IF($T40&gt;0,(($AA40)/(12)),0)</f>
        <v/>
      </c>
      <c r="CW40" s="702">
        <f>IF($T40&gt;0,(($AA40)/(12)),0)</f>
        <v/>
      </c>
      <c r="CX40" s="702">
        <f>IF($T40&gt;0,(($AA40)/(12)),0)</f>
        <v/>
      </c>
      <c r="CY40" s="702">
        <f>IF($T40&gt;0,(($AA40)/(12)),0)</f>
        <v/>
      </c>
      <c r="CZ40" s="702">
        <f>IF($T40&gt;0,(($AA40)/(12)),0)</f>
        <v/>
      </c>
      <c r="DA40" s="702">
        <f>IF($T40&gt;0,(($AA40)/(12)),0)</f>
        <v/>
      </c>
      <c r="DB40" s="702">
        <f>IF($T40&gt;0,(($AA40)/(12)),0)</f>
        <v/>
      </c>
      <c r="DC40" s="702">
        <f>IF($T40&gt;0,(($AA40)/(12)),0)</f>
        <v/>
      </c>
      <c r="DD40" s="702">
        <f>IF($T40&gt;0,(($AA40)/(12)),0)</f>
        <v/>
      </c>
      <c r="DE40" s="702">
        <f>IF($T40&gt;0,(($AA40)/(12)),0)</f>
        <v/>
      </c>
      <c r="DF40" s="702">
        <f>IF($T40&gt;0,(($AA40)/(12)),0)</f>
        <v/>
      </c>
      <c r="DG40" s="765">
        <f>SUM(CU40:DF40)</f>
        <v/>
      </c>
    </row>
    <row r="41" ht="15" customHeight="1" s="1883">
      <c r="B41" s="752">
        <f>((B40)+(1))</f>
        <v/>
      </c>
      <c r="C41" s="726" t="n"/>
      <c r="D41" s="730" t="inlineStr">
        <is>
          <t>●</t>
        </is>
      </c>
      <c r="E41" s="1446" t="inlineStr">
        <is>
          <t>Zenia Tata</t>
        </is>
      </c>
      <c r="F41" s="66" t="n"/>
      <c r="G41" s="1446" t="n"/>
      <c r="H41" s="1446" t="n"/>
      <c r="I41" s="1509" t="inlineStr">
        <is>
          <t>Chief Impact Officer (Fractional)</t>
        </is>
      </c>
      <c r="J41" s="745" t="inlineStr">
        <is>
          <t>CONUS</t>
        </is>
      </c>
      <c r="K41" s="737" t="n"/>
      <c r="L41" s="738" t="inlineStr">
        <is>
          <t>-8</t>
        </is>
      </c>
      <c r="M41" s="738" t="inlineStr">
        <is>
          <t>-8</t>
        </is>
      </c>
      <c r="N41" s="738" t="n"/>
      <c r="O41" s="749" t="n">
        <v>1</v>
      </c>
      <c r="P41" s="748" t="n">
        <v>1</v>
      </c>
      <c r="Q41" s="748" t="n">
        <v>1</v>
      </c>
      <c r="R41" s="748" t="n">
        <v>1</v>
      </c>
      <c r="S41" s="748" t="n">
        <v>1</v>
      </c>
      <c r="T41" s="748" t="n">
        <v>1</v>
      </c>
      <c r="U41" s="737" t="n"/>
      <c r="V41" s="702" t="n">
        <v>96000</v>
      </c>
      <c r="W41" s="702">
        <f>V41</f>
        <v/>
      </c>
      <c r="X41" s="702">
        <f>((W41)*((1)+($X$15)))</f>
        <v/>
      </c>
      <c r="Y41" s="702">
        <f>((X41)*((1)+($Y$15)))</f>
        <v/>
      </c>
      <c r="Z41" s="702">
        <f>((Y41)*((1)+($Z$15)))</f>
        <v/>
      </c>
      <c r="AA41" s="702">
        <f>((Z41)*((1)+($AA$15)))</f>
        <v/>
      </c>
      <c r="AB41" s="702" t="n"/>
      <c r="AC41" s="702" t="n">
        <v>0</v>
      </c>
      <c r="AD41" s="702" t="n">
        <v>0</v>
      </c>
      <c r="AE41" s="702" t="n">
        <v>0</v>
      </c>
      <c r="AF41" s="702" t="n">
        <v>0</v>
      </c>
      <c r="AG41" s="702">
        <f>(($V41)/(12))</f>
        <v/>
      </c>
      <c r="AH41" s="702">
        <f>(($V41)/(12))</f>
        <v/>
      </c>
      <c r="AI41" s="702">
        <f>(($V41)/(12))</f>
        <v/>
      </c>
      <c r="AJ41" s="702">
        <f>(($V41)/(12))</f>
        <v/>
      </c>
      <c r="AK41" s="702">
        <f>(($V41)/(12))</f>
        <v/>
      </c>
      <c r="AL41" s="702">
        <f>(($V41)/(12))</f>
        <v/>
      </c>
      <c r="AM41" s="702">
        <f>(($V41)/(12))</f>
        <v/>
      </c>
      <c r="AN41" s="702">
        <f>(($V41)/(12))</f>
        <v/>
      </c>
      <c r="AO41" s="765">
        <f>SUM(AC41:AN41)</f>
        <v/>
      </c>
      <c r="AP41" s="702" t="n"/>
      <c r="AQ41" s="702">
        <f>IF($P41&gt;0,(($W41)/(12)),0)</f>
        <v/>
      </c>
      <c r="AR41" s="702">
        <f>IF($P41&gt;0,(($W41)/(12)),0)</f>
        <v/>
      </c>
      <c r="AS41" s="702">
        <f>IF($P41&gt;0,(($W41)/(12)),0)</f>
        <v/>
      </c>
      <c r="AT41" s="702">
        <f>IF($P41&gt;0,(($W41)/(12)),0)</f>
        <v/>
      </c>
      <c r="AU41" s="702">
        <f>IF($P41&gt;0,(($W41)/(12)),0)</f>
        <v/>
      </c>
      <c r="AV41" s="702">
        <f>IF($P41&gt;0,(($W41)/(12)),0)</f>
        <v/>
      </c>
      <c r="AW41" s="702">
        <f>IF($P41&gt;0,(($W41)/(12)),0)</f>
        <v/>
      </c>
      <c r="AX41" s="702">
        <f>IF($P41&gt;0,(($W41)/(12)),0)</f>
        <v/>
      </c>
      <c r="AY41" s="702">
        <f>IF($P41&gt;0,(($W41)/(12)),0)</f>
        <v/>
      </c>
      <c r="AZ41" s="702">
        <f>IF($P41&gt;0,(($W41)/(12)),0)</f>
        <v/>
      </c>
      <c r="BA41" s="702">
        <f>IF($P41&gt;0,(($W41)/(12)),0)</f>
        <v/>
      </c>
      <c r="BB41" s="702">
        <f>IF($P41&gt;0,(($W41)/(12)),0)</f>
        <v/>
      </c>
      <c r="BC41" s="765">
        <f>SUM(AQ41:BB41)</f>
        <v/>
      </c>
      <c r="BD41" s="702" t="n"/>
      <c r="BE41" s="702">
        <f>IF($Q41&gt;0,(($X41)/(12)),0)</f>
        <v/>
      </c>
      <c r="BF41" s="702">
        <f>IF($Q41&gt;0,(($X41)/(12)),0)</f>
        <v/>
      </c>
      <c r="BG41" s="702">
        <f>IF($Q41&gt;0,(($X41)/(12)),0)</f>
        <v/>
      </c>
      <c r="BH41" s="702">
        <f>IF($Q41&gt;0,(($X41)/(12)),0)</f>
        <v/>
      </c>
      <c r="BI41" s="702">
        <f>IF($Q41&gt;0,(($X41)/(12)),0)</f>
        <v/>
      </c>
      <c r="BJ41" s="702">
        <f>IF($Q41&gt;0,(($X41)/(12)),0)</f>
        <v/>
      </c>
      <c r="BK41" s="702">
        <f>IF($Q41&gt;0,(($X41)/(12)),0)</f>
        <v/>
      </c>
      <c r="BL41" s="702">
        <f>IF($Q41&gt;0,(($X41)/(12)),0)</f>
        <v/>
      </c>
      <c r="BM41" s="702">
        <f>IF($Q41&gt;0,(($X41)/(12)),0)</f>
        <v/>
      </c>
      <c r="BN41" s="702">
        <f>IF($Q41&gt;0,(($X41)/(12)),0)</f>
        <v/>
      </c>
      <c r="BO41" s="702">
        <f>IF($Q41&gt;0,(($X41)/(12)),0)</f>
        <v/>
      </c>
      <c r="BP41" s="702">
        <f>IF($Q41&gt;0,(($X41)/(12)),0)</f>
        <v/>
      </c>
      <c r="BQ41" s="765">
        <f>SUM(BE41:BP41)</f>
        <v/>
      </c>
      <c r="BR41" s="713" t="n"/>
      <c r="BS41" s="702">
        <f>IF($R41&gt;0,(($Y41)/(12)),0)</f>
        <v/>
      </c>
      <c r="BT41" s="702">
        <f>IF($R41&gt;0,(($Y41)/(12)),0)</f>
        <v/>
      </c>
      <c r="BU41" s="702">
        <f>IF($R41&gt;0,(($Y41)/(12)),0)</f>
        <v/>
      </c>
      <c r="BV41" s="702">
        <f>IF($R41&gt;0,(($Y41)/(12)),0)</f>
        <v/>
      </c>
      <c r="BW41" s="702">
        <f>IF($R41&gt;0,(($Y41)/(12)),0)</f>
        <v/>
      </c>
      <c r="BX41" s="702">
        <f>IF($R41&gt;0,(($Y41)/(12)),0)</f>
        <v/>
      </c>
      <c r="BY41" s="702">
        <f>IF($R41&gt;0,(($Y41)/(12)),0)</f>
        <v/>
      </c>
      <c r="BZ41" s="702">
        <f>IF($R41&gt;0,(($Y41)/(12)),0)</f>
        <v/>
      </c>
      <c r="CA41" s="702">
        <f>IF($R41&gt;0,(($Y41)/(12)),0)</f>
        <v/>
      </c>
      <c r="CB41" s="702">
        <f>IF($R41&gt;0,(($Y41)/(12)),0)</f>
        <v/>
      </c>
      <c r="CC41" s="702">
        <f>IF($R41&gt;0,(($Y41)/(12)),0)</f>
        <v/>
      </c>
      <c r="CD41" s="702">
        <f>IF($R41&gt;0,(($Y41)/(12)),0)</f>
        <v/>
      </c>
      <c r="CE41" s="765">
        <f>SUM(BS41:CD41)</f>
        <v/>
      </c>
      <c r="CF41" s="713" t="n"/>
      <c r="CG41" s="702">
        <f>IF($S41&gt;0,(($Z41)/(12)),0)</f>
        <v/>
      </c>
      <c r="CH41" s="702">
        <f>IF($S41&gt;0,(($Z41)/(12)),0)</f>
        <v/>
      </c>
      <c r="CI41" s="702">
        <f>IF($S41&gt;0,(($Z41)/(12)),0)</f>
        <v/>
      </c>
      <c r="CJ41" s="702">
        <f>IF($S41&gt;0,(($Z41)/(12)),0)</f>
        <v/>
      </c>
      <c r="CK41" s="702">
        <f>IF($S41&gt;0,(($Z41)/(12)),0)</f>
        <v/>
      </c>
      <c r="CL41" s="702">
        <f>IF($S41&gt;0,(($Z41)/(12)),0)</f>
        <v/>
      </c>
      <c r="CM41" s="702">
        <f>IF($S41&gt;0,(($Z41)/(12)),0)</f>
        <v/>
      </c>
      <c r="CN41" s="702">
        <f>IF($S41&gt;0,(($Z41)/(12)),0)</f>
        <v/>
      </c>
      <c r="CO41" s="702">
        <f>IF($S41&gt;0,(($Z41)/(12)),0)</f>
        <v/>
      </c>
      <c r="CP41" s="702">
        <f>IF($S41&gt;0,(($Z41)/(12)),0)</f>
        <v/>
      </c>
      <c r="CQ41" s="702">
        <f>IF($S41&gt;0,(($Z41)/(12)),0)</f>
        <v/>
      </c>
      <c r="CR41" s="702">
        <f>IF($S41&gt;0,(($Z41)/(12)),0)</f>
        <v/>
      </c>
      <c r="CS41" s="765">
        <f>SUM(CG41:CR41)</f>
        <v/>
      </c>
      <c r="CU41" s="702">
        <f>IF($T41&gt;0,(($AA41)/(12)),0)</f>
        <v/>
      </c>
      <c r="CV41" s="702">
        <f>IF($T41&gt;0,(($AA41)/(12)),0)</f>
        <v/>
      </c>
      <c r="CW41" s="702">
        <f>IF($T41&gt;0,(($AA41)/(12)),0)</f>
        <v/>
      </c>
      <c r="CX41" s="702">
        <f>IF($T41&gt;0,(($AA41)/(12)),0)</f>
        <v/>
      </c>
      <c r="CY41" s="702">
        <f>IF($T41&gt;0,(($AA41)/(12)),0)</f>
        <v/>
      </c>
      <c r="CZ41" s="702">
        <f>IF($T41&gt;0,(($AA41)/(12)),0)</f>
        <v/>
      </c>
      <c r="DA41" s="702">
        <f>IF($T41&gt;0,(($AA41)/(12)),0)</f>
        <v/>
      </c>
      <c r="DB41" s="702">
        <f>IF($T41&gt;0,(($AA41)/(12)),0)</f>
        <v/>
      </c>
      <c r="DC41" s="702">
        <f>IF($T41&gt;0,(($AA41)/(12)),0)</f>
        <v/>
      </c>
      <c r="DD41" s="702">
        <f>IF($T41&gt;0,(($AA41)/(12)),0)</f>
        <v/>
      </c>
      <c r="DE41" s="702">
        <f>IF($T41&gt;0,(($AA41)/(12)),0)</f>
        <v/>
      </c>
      <c r="DF41" s="702">
        <f>IF($T41&gt;0,(($AA41)/(12)),0)</f>
        <v/>
      </c>
      <c r="DG41" s="765">
        <f>SUM(CU41:DF41)</f>
        <v/>
      </c>
    </row>
    <row r="42" ht="15" customHeight="1" s="1883">
      <c r="B42" s="752">
        <f>((B41)+(1))</f>
        <v/>
      </c>
      <c r="C42" s="726" t="n"/>
      <c r="D42" s="730" t="inlineStr">
        <is>
          <t>●</t>
        </is>
      </c>
      <c r="E42" s="1446" t="inlineStr">
        <is>
          <t>Alex Logie</t>
        </is>
      </c>
      <c r="F42" s="66" t="n"/>
      <c r="G42" s="66" t="n"/>
      <c r="H42" s="1446" t="n"/>
      <c r="I42" s="1446" t="inlineStr">
        <is>
          <t>EVP, Corporate Development</t>
        </is>
      </c>
      <c r="J42" s="746" t="inlineStr">
        <is>
          <t>OCONUS</t>
        </is>
      </c>
      <c r="K42" s="737" t="n"/>
      <c r="L42" s="738" t="inlineStr">
        <is>
          <t>-12</t>
        </is>
      </c>
      <c r="M42" s="738" t="inlineStr">
        <is>
          <t>-8</t>
        </is>
      </c>
      <c r="N42" s="738" t="n"/>
      <c r="O42" s="749" t="n">
        <v>1</v>
      </c>
      <c r="P42" s="748" t="n">
        <v>1</v>
      </c>
      <c r="Q42" s="748" t="n">
        <v>1</v>
      </c>
      <c r="R42" s="748" t="n">
        <v>1</v>
      </c>
      <c r="S42" s="748" t="n">
        <v>1</v>
      </c>
      <c r="T42" s="748" t="n">
        <v>1</v>
      </c>
      <c r="U42" s="737" t="n"/>
      <c r="V42" s="702" t="n">
        <v>200000</v>
      </c>
      <c r="W42" s="702">
        <f>(V42)</f>
        <v/>
      </c>
      <c r="X42" s="702">
        <f>((W42)*((1)+($X$15)))</f>
        <v/>
      </c>
      <c r="Y42" s="702">
        <f>((X42)*((1)+($Y$15)))</f>
        <v/>
      </c>
      <c r="Z42" s="702">
        <f>((Y42)*((1)+($Z$15)))</f>
        <v/>
      </c>
      <c r="AA42" s="702">
        <f>((Z42)*((1)+($AA$15)))</f>
        <v/>
      </c>
      <c r="AB42" s="702" t="n"/>
      <c r="AC42" s="702" t="n">
        <v>0</v>
      </c>
      <c r="AD42" s="702" t="n">
        <v>0</v>
      </c>
      <c r="AE42" s="702" t="n">
        <v>0</v>
      </c>
      <c r="AF42" s="702" t="n">
        <v>0</v>
      </c>
      <c r="AG42" s="702">
        <f>(($V42)/(12))</f>
        <v/>
      </c>
      <c r="AH42" s="702">
        <f>(($V42)/(12))</f>
        <v/>
      </c>
      <c r="AI42" s="702">
        <f>(($V42)/(12))</f>
        <v/>
      </c>
      <c r="AJ42" s="702">
        <f>(($V42)/(12))</f>
        <v/>
      </c>
      <c r="AK42" s="702">
        <f>(($V42)/(12))</f>
        <v/>
      </c>
      <c r="AL42" s="702">
        <f>(($V42)/(12))</f>
        <v/>
      </c>
      <c r="AM42" s="702">
        <f>(($V42)/(12))</f>
        <v/>
      </c>
      <c r="AN42" s="702">
        <f>(($V42)/(12))</f>
        <v/>
      </c>
      <c r="AO42" s="765">
        <f>SUM(AC42:AN42)</f>
        <v/>
      </c>
      <c r="AP42" s="462" t="n"/>
      <c r="AQ42" s="702">
        <f>IF($P42&gt;0,(($W42)/(12)),0)</f>
        <v/>
      </c>
      <c r="AR42" s="702">
        <f>IF($P42&gt;0,(($W42)/(12)),0)</f>
        <v/>
      </c>
      <c r="AS42" s="702">
        <f>IF($P42&gt;0,(($W42)/(12)),0)</f>
        <v/>
      </c>
      <c r="AT42" s="702">
        <f>IF($P42&gt;0,(($W42)/(12)),0)</f>
        <v/>
      </c>
      <c r="AU42" s="702">
        <f>IF($P42&gt;0,(($W42)/(12)),0)</f>
        <v/>
      </c>
      <c r="AV42" s="702">
        <f>IF($P42&gt;0,(($W42)/(12)),0)</f>
        <v/>
      </c>
      <c r="AW42" s="702">
        <f>IF($P42&gt;0,(($W42)/(12)),0)</f>
        <v/>
      </c>
      <c r="AX42" s="702">
        <f>IF($P42&gt;0,(($W42)/(12)),0)</f>
        <v/>
      </c>
      <c r="AY42" s="702">
        <f>IF($P42&gt;0,(($W42)/(12)),0)</f>
        <v/>
      </c>
      <c r="AZ42" s="702">
        <f>IF($P42&gt;0,(($W42)/(12)),0)</f>
        <v/>
      </c>
      <c r="BA42" s="702">
        <f>IF($P42&gt;0,(($W42)/(12)),0)</f>
        <v/>
      </c>
      <c r="BB42" s="702">
        <f>IF($P42&gt;0,(($W42)/(12)),0)</f>
        <v/>
      </c>
      <c r="BC42" s="765">
        <f>SUM(AQ42:BB42)</f>
        <v/>
      </c>
      <c r="BD42" s="462" t="n"/>
      <c r="BE42" s="702">
        <f>IF($Q42&gt;0,(($X42)/(12)),0)</f>
        <v/>
      </c>
      <c r="BF42" s="702">
        <f>IF($Q42&gt;0,(($X42)/(12)),0)</f>
        <v/>
      </c>
      <c r="BG42" s="702">
        <f>IF($Q42&gt;0,(($X42)/(12)),0)</f>
        <v/>
      </c>
      <c r="BH42" s="702">
        <f>IF($Q42&gt;0,(($X42)/(12)),0)</f>
        <v/>
      </c>
      <c r="BI42" s="702">
        <f>IF($Q42&gt;0,(($X42)/(12)),0)</f>
        <v/>
      </c>
      <c r="BJ42" s="702">
        <f>IF($Q42&gt;0,(($X42)/(12)),0)</f>
        <v/>
      </c>
      <c r="BK42" s="702">
        <f>IF($Q42&gt;0,(($X42)/(12)),0)</f>
        <v/>
      </c>
      <c r="BL42" s="702">
        <f>IF($Q42&gt;0,(($X42)/(12)),0)</f>
        <v/>
      </c>
      <c r="BM42" s="702">
        <f>IF($Q42&gt;0,(($X42)/(12)),0)</f>
        <v/>
      </c>
      <c r="BN42" s="702">
        <f>IF($Q42&gt;0,(($X42)/(12)),0)</f>
        <v/>
      </c>
      <c r="BO42" s="702">
        <f>IF($Q42&gt;0,(($X42)/(12)),0)</f>
        <v/>
      </c>
      <c r="BP42" s="702">
        <f>IF($Q42&gt;0,(($X42)/(12)),0)</f>
        <v/>
      </c>
      <c r="BQ42" s="765">
        <f>SUM(BE42:BP42)</f>
        <v/>
      </c>
      <c r="BR42" s="507" t="n"/>
      <c r="BS42" s="702">
        <f>IF($R42&gt;0,(($Y42)/(12)),0)</f>
        <v/>
      </c>
      <c r="BT42" s="702">
        <f>IF($R42&gt;0,(($Y42)/(12)),0)</f>
        <v/>
      </c>
      <c r="BU42" s="702">
        <f>IF($R42&gt;0,(($Y42)/(12)),0)</f>
        <v/>
      </c>
      <c r="BV42" s="702">
        <f>IF($R42&gt;0,(($Y42)/(12)),0)</f>
        <v/>
      </c>
      <c r="BW42" s="702">
        <f>IF($R42&gt;0,(($Y42)/(12)),0)</f>
        <v/>
      </c>
      <c r="BX42" s="702">
        <f>IF($R42&gt;0,(($Y42)/(12)),0)</f>
        <v/>
      </c>
      <c r="BY42" s="702">
        <f>IF($R42&gt;0,(($Y42)/(12)),0)</f>
        <v/>
      </c>
      <c r="BZ42" s="702">
        <f>IF($R42&gt;0,(($Y42)/(12)),0)</f>
        <v/>
      </c>
      <c r="CA42" s="702">
        <f>IF($R42&gt;0,(($Y42)/(12)),0)</f>
        <v/>
      </c>
      <c r="CB42" s="702">
        <f>IF($R42&gt;0,(($Y42)/(12)),0)</f>
        <v/>
      </c>
      <c r="CC42" s="702">
        <f>IF($R42&gt;0,(($Y42)/(12)),0)</f>
        <v/>
      </c>
      <c r="CD42" s="702">
        <f>IF($R42&gt;0,(($Y42)/(12)),0)</f>
        <v/>
      </c>
      <c r="CE42" s="765">
        <f>SUM(BS42:CD42)</f>
        <v/>
      </c>
      <c r="CF42" s="507" t="n"/>
      <c r="CG42" s="702">
        <f>IF($S42&gt;0,(($Z42)/(12)),0)</f>
        <v/>
      </c>
      <c r="CH42" s="702">
        <f>IF($S42&gt;0,(($Z42)/(12)),0)</f>
        <v/>
      </c>
      <c r="CI42" s="702">
        <f>IF($S42&gt;0,(($Z42)/(12)),0)</f>
        <v/>
      </c>
      <c r="CJ42" s="702">
        <f>IF($S42&gt;0,(($Z42)/(12)),0)</f>
        <v/>
      </c>
      <c r="CK42" s="702">
        <f>IF($S42&gt;0,(($Z42)/(12)),0)</f>
        <v/>
      </c>
      <c r="CL42" s="702">
        <f>IF($S42&gt;0,(($Z42)/(12)),0)</f>
        <v/>
      </c>
      <c r="CM42" s="702">
        <f>IF($S42&gt;0,(($Z42)/(12)),0)</f>
        <v/>
      </c>
      <c r="CN42" s="702">
        <f>IF($S42&gt;0,(($Z42)/(12)),0)</f>
        <v/>
      </c>
      <c r="CO42" s="702">
        <f>IF($S42&gt;0,(($Z42)/(12)),0)</f>
        <v/>
      </c>
      <c r="CP42" s="702">
        <f>IF($S42&gt;0,(($Z42)/(12)),0)</f>
        <v/>
      </c>
      <c r="CQ42" s="702">
        <f>IF($S42&gt;0,(($Z42)/(12)),0)</f>
        <v/>
      </c>
      <c r="CR42" s="702">
        <f>IF($S42&gt;0,(($Z42)/(12)),0)</f>
        <v/>
      </c>
      <c r="CS42" s="765">
        <f>SUM(CG42:CR42)</f>
        <v/>
      </c>
      <c r="CU42" s="702">
        <f>IF($T42&gt;0,(($AA42)/(12)),0)</f>
        <v/>
      </c>
      <c r="CV42" s="702">
        <f>IF($T42&gt;0,(($AA42)/(12)),0)</f>
        <v/>
      </c>
      <c r="CW42" s="702">
        <f>IF($T42&gt;0,(($AA42)/(12)),0)</f>
        <v/>
      </c>
      <c r="CX42" s="702">
        <f>IF($T42&gt;0,(($AA42)/(12)),0)</f>
        <v/>
      </c>
      <c r="CY42" s="702">
        <f>IF($T42&gt;0,(($AA42)/(12)),0)</f>
        <v/>
      </c>
      <c r="CZ42" s="702">
        <f>IF($T42&gt;0,(($AA42)/(12)),0)</f>
        <v/>
      </c>
      <c r="DA42" s="702">
        <f>IF($T42&gt;0,(($AA42)/(12)),0)</f>
        <v/>
      </c>
      <c r="DB42" s="702">
        <f>IF($T42&gt;0,(($AA42)/(12)),0)</f>
        <v/>
      </c>
      <c r="DC42" s="702">
        <f>IF($T42&gt;0,(($AA42)/(12)),0)</f>
        <v/>
      </c>
      <c r="DD42" s="702">
        <f>IF($T42&gt;0,(($AA42)/(12)),0)</f>
        <v/>
      </c>
      <c r="DE42" s="702">
        <f>IF($T42&gt;0,(($AA42)/(12)),0)</f>
        <v/>
      </c>
      <c r="DF42" s="702">
        <f>IF($T42&gt;0,(($AA42)/(12)),0)</f>
        <v/>
      </c>
      <c r="DG42" s="765">
        <f>SUM(CU42:DF42)</f>
        <v/>
      </c>
    </row>
    <row r="43" ht="15" customHeight="1" s="1883">
      <c r="B43" s="752">
        <f>((B42)+(1))</f>
        <v/>
      </c>
      <c r="C43" s="726" t="n"/>
      <c r="D43" s="730" t="inlineStr">
        <is>
          <t>●</t>
        </is>
      </c>
      <c r="E43" s="1446" t="inlineStr">
        <is>
          <t>Chris Ishii</t>
        </is>
      </c>
      <c r="F43" s="66" t="n"/>
      <c r="G43" s="1446" t="n"/>
      <c r="H43" s="1446" t="n"/>
      <c r="I43" s="1446" t="inlineStr">
        <is>
          <t>Chief X Officer</t>
        </is>
      </c>
      <c r="J43" s="745" t="inlineStr">
        <is>
          <t>CONUS</t>
        </is>
      </c>
      <c r="K43" s="737" t="n"/>
      <c r="L43" s="738" t="inlineStr">
        <is>
          <t>-6</t>
        </is>
      </c>
      <c r="M43" s="738" t="inlineStr">
        <is>
          <t>-6</t>
        </is>
      </c>
      <c r="N43" s="738" t="n"/>
      <c r="O43" s="749" t="n">
        <v>1</v>
      </c>
      <c r="P43" s="748" t="n">
        <v>1</v>
      </c>
      <c r="Q43" s="748" t="n">
        <v>1</v>
      </c>
      <c r="R43" s="748" t="n">
        <v>1</v>
      </c>
      <c r="S43" s="748" t="n">
        <v>1</v>
      </c>
      <c r="T43" s="748" t="n">
        <v>1</v>
      </c>
      <c r="U43" s="737" t="n"/>
      <c r="V43" s="702" t="n">
        <v>84000</v>
      </c>
      <c r="W43" s="702">
        <f>(V43)</f>
        <v/>
      </c>
      <c r="X43" s="702">
        <f>((W43)*((1)+($X$15)))</f>
        <v/>
      </c>
      <c r="Y43" s="702">
        <f>((X43)*((1)+($Y$15)))</f>
        <v/>
      </c>
      <c r="Z43" s="702">
        <f>((Y43)*((1)+($Z$15)))</f>
        <v/>
      </c>
      <c r="AA43" s="702">
        <f>((Z43)*((1)+($AA$15)))</f>
        <v/>
      </c>
      <c r="AB43" s="702" t="n"/>
      <c r="AC43" s="702" t="n">
        <v>0</v>
      </c>
      <c r="AD43" s="702" t="n">
        <v>0</v>
      </c>
      <c r="AE43" s="702" t="n">
        <v>0</v>
      </c>
      <c r="AF43" s="702" t="n">
        <v>0</v>
      </c>
      <c r="AG43" s="702" t="n">
        <v>0</v>
      </c>
      <c r="AH43" s="702" t="n">
        <v>0</v>
      </c>
      <c r="AI43" s="702">
        <f>(($V43)/(12))</f>
        <v/>
      </c>
      <c r="AJ43" s="702">
        <f>(($V43)/(12))</f>
        <v/>
      </c>
      <c r="AK43" s="702">
        <f>(($V43)/(12))</f>
        <v/>
      </c>
      <c r="AL43" s="702">
        <f>(($V43)/(12))</f>
        <v/>
      </c>
      <c r="AM43" s="702">
        <f>(($V43)/(12))</f>
        <v/>
      </c>
      <c r="AN43" s="702">
        <f>(($V43)/(12))</f>
        <v/>
      </c>
      <c r="AO43" s="765">
        <f>SUM(AC43:AN43)</f>
        <v/>
      </c>
      <c r="AP43" s="702" t="n"/>
      <c r="AQ43" s="702">
        <f>IF($P43&gt;0,(($W43)/(12)),0)</f>
        <v/>
      </c>
      <c r="AR43" s="702">
        <f>IF($P43&gt;0,(($W43)/(12)),0)</f>
        <v/>
      </c>
      <c r="AS43" s="702">
        <f>IF($P43&gt;0,(($W43)/(12)),0)</f>
        <v/>
      </c>
      <c r="AT43" s="702">
        <f>IF($P43&gt;0,(($W43)/(12)),0)</f>
        <v/>
      </c>
      <c r="AU43" s="702">
        <f>IF($P43&gt;0,(($W43)/(12)),0)</f>
        <v/>
      </c>
      <c r="AV43" s="702">
        <f>IF($P43&gt;0,(($W43)/(12)),0)</f>
        <v/>
      </c>
      <c r="AW43" s="702">
        <f>IF($P43&gt;0,(($W43)/(12)),0)</f>
        <v/>
      </c>
      <c r="AX43" s="702">
        <f>IF($P43&gt;0,(($W43)/(12)),0)</f>
        <v/>
      </c>
      <c r="AY43" s="702">
        <f>IF($P43&gt;0,(($W43)/(12)),0)</f>
        <v/>
      </c>
      <c r="AZ43" s="702">
        <f>IF($P43&gt;0,(($W43)/(12)),0)</f>
        <v/>
      </c>
      <c r="BA43" s="702">
        <f>IF($P43&gt;0,(($W43)/(12)),0)</f>
        <v/>
      </c>
      <c r="BB43" s="702">
        <f>IF($P43&gt;0,(($W43)/(12)),0)</f>
        <v/>
      </c>
      <c r="BC43" s="765">
        <f>SUM(AQ43:BB43)</f>
        <v/>
      </c>
      <c r="BD43" s="702" t="n"/>
      <c r="BE43" s="702">
        <f>IF($Q43&gt;0,(($X43)/(12)),0)</f>
        <v/>
      </c>
      <c r="BF43" s="702">
        <f>IF($Q43&gt;0,(($X43)/(12)),0)</f>
        <v/>
      </c>
      <c r="BG43" s="702">
        <f>IF($Q43&gt;0,(($X43)/(12)),0)</f>
        <v/>
      </c>
      <c r="BH43" s="702">
        <f>IF($Q43&gt;0,(($X43)/(12)),0)</f>
        <v/>
      </c>
      <c r="BI43" s="702">
        <f>IF($Q43&gt;0,(($X43)/(12)),0)</f>
        <v/>
      </c>
      <c r="BJ43" s="702">
        <f>IF($Q43&gt;0,(($X43)/(12)),0)</f>
        <v/>
      </c>
      <c r="BK43" s="702">
        <f>IF($Q43&gt;0,(($X43)/(12)),0)</f>
        <v/>
      </c>
      <c r="BL43" s="702">
        <f>IF($Q43&gt;0,(($X43)/(12)),0)</f>
        <v/>
      </c>
      <c r="BM43" s="702">
        <f>IF($Q43&gt;0,(($X43)/(12)),0)</f>
        <v/>
      </c>
      <c r="BN43" s="702">
        <f>IF($Q43&gt;0,(($X43)/(12)),0)</f>
        <v/>
      </c>
      <c r="BO43" s="702">
        <f>IF($Q43&gt;0,(($X43)/(12)),0)</f>
        <v/>
      </c>
      <c r="BP43" s="702">
        <f>IF($Q43&gt;0,(($X43)/(12)),0)</f>
        <v/>
      </c>
      <c r="BQ43" s="765">
        <f>SUM(BE43:BP43)</f>
        <v/>
      </c>
      <c r="BR43" s="713" t="n"/>
      <c r="BS43" s="702">
        <f>IF($R43&gt;0,(($Y43)/(12)),0)</f>
        <v/>
      </c>
      <c r="BT43" s="702">
        <f>IF($R43&gt;0,(($Y43)/(12)),0)</f>
        <v/>
      </c>
      <c r="BU43" s="702">
        <f>IF($R43&gt;0,(($Y43)/(12)),0)</f>
        <v/>
      </c>
      <c r="BV43" s="702">
        <f>IF($R43&gt;0,(($Y43)/(12)),0)</f>
        <v/>
      </c>
      <c r="BW43" s="702">
        <f>IF($R43&gt;0,(($Y43)/(12)),0)</f>
        <v/>
      </c>
      <c r="BX43" s="702">
        <f>IF($R43&gt;0,(($Y43)/(12)),0)</f>
        <v/>
      </c>
      <c r="BY43" s="702">
        <f>IF($R43&gt;0,(($Y43)/(12)),0)</f>
        <v/>
      </c>
      <c r="BZ43" s="702">
        <f>IF($R43&gt;0,(($Y43)/(12)),0)</f>
        <v/>
      </c>
      <c r="CA43" s="702">
        <f>IF($R43&gt;0,(($Y43)/(12)),0)</f>
        <v/>
      </c>
      <c r="CB43" s="702">
        <f>IF($R43&gt;0,(($Y43)/(12)),0)</f>
        <v/>
      </c>
      <c r="CC43" s="702">
        <f>IF($R43&gt;0,(($Y43)/(12)),0)</f>
        <v/>
      </c>
      <c r="CD43" s="702">
        <f>IF($R43&gt;0,(($Y43)/(12)),0)</f>
        <v/>
      </c>
      <c r="CE43" s="765">
        <f>SUM(BS43:CD43)</f>
        <v/>
      </c>
      <c r="CF43" s="713" t="n"/>
      <c r="CG43" s="702">
        <f>IF($S43&gt;0,(($Z43)/(12)),0)</f>
        <v/>
      </c>
      <c r="CH43" s="702">
        <f>IF($S43&gt;0,(($Z43)/(12)),0)</f>
        <v/>
      </c>
      <c r="CI43" s="702">
        <f>IF($S43&gt;0,(($Z43)/(12)),0)</f>
        <v/>
      </c>
      <c r="CJ43" s="702">
        <f>IF($S43&gt;0,(($Z43)/(12)),0)</f>
        <v/>
      </c>
      <c r="CK43" s="702">
        <f>IF($S43&gt;0,(($Z43)/(12)),0)</f>
        <v/>
      </c>
      <c r="CL43" s="702">
        <f>IF($S43&gt;0,(($Z43)/(12)),0)</f>
        <v/>
      </c>
      <c r="CM43" s="702">
        <f>IF($S43&gt;0,(($Z43)/(12)),0)</f>
        <v/>
      </c>
      <c r="CN43" s="702">
        <f>IF($S43&gt;0,(($Z43)/(12)),0)</f>
        <v/>
      </c>
      <c r="CO43" s="702">
        <f>IF($S43&gt;0,(($Z43)/(12)),0)</f>
        <v/>
      </c>
      <c r="CP43" s="702">
        <f>IF($S43&gt;0,(($Z43)/(12)),0)</f>
        <v/>
      </c>
      <c r="CQ43" s="702">
        <f>IF($S43&gt;0,(($Z43)/(12)),0)</f>
        <v/>
      </c>
      <c r="CR43" s="702">
        <f>IF($S43&gt;0,(($Z43)/(12)),0)</f>
        <v/>
      </c>
      <c r="CS43" s="765">
        <f>SUM(CG43:CR43)</f>
        <v/>
      </c>
      <c r="CU43" s="702">
        <f>IF($T43&gt;0,(($AA43)/(12)),0)</f>
        <v/>
      </c>
      <c r="CV43" s="702">
        <f>IF($T43&gt;0,(($AA43)/(12)),0)</f>
        <v/>
      </c>
      <c r="CW43" s="702">
        <f>IF($T43&gt;0,(($AA43)/(12)),0)</f>
        <v/>
      </c>
      <c r="CX43" s="702">
        <f>IF($T43&gt;0,(($AA43)/(12)),0)</f>
        <v/>
      </c>
      <c r="CY43" s="702">
        <f>IF($T43&gt;0,(($AA43)/(12)),0)</f>
        <v/>
      </c>
      <c r="CZ43" s="702">
        <f>IF($T43&gt;0,(($AA43)/(12)),0)</f>
        <v/>
      </c>
      <c r="DA43" s="702">
        <f>IF($T43&gt;0,(($AA43)/(12)),0)</f>
        <v/>
      </c>
      <c r="DB43" s="702">
        <f>IF($T43&gt;0,(($AA43)/(12)),0)</f>
        <v/>
      </c>
      <c r="DC43" s="702">
        <f>IF($T43&gt;0,(($AA43)/(12)),0)</f>
        <v/>
      </c>
      <c r="DD43" s="702">
        <f>IF($T43&gt;0,(($AA43)/(12)),0)</f>
        <v/>
      </c>
      <c r="DE43" s="702">
        <f>IF($T43&gt;0,(($AA43)/(12)),0)</f>
        <v/>
      </c>
      <c r="DF43" s="702">
        <f>IF($T43&gt;0,(($AA43)/(12)),0)</f>
        <v/>
      </c>
      <c r="DG43" s="765">
        <f>SUM(CU43:DF43)</f>
        <v/>
      </c>
    </row>
    <row r="44" ht="15" customHeight="1" s="1883">
      <c r="B44" s="752">
        <f>((B43)+(1))</f>
        <v/>
      </c>
      <c r="C44" s="726" t="n"/>
      <c r="D44" s="730" t="inlineStr">
        <is>
          <t>●</t>
        </is>
      </c>
      <c r="E44" s="1446" t="inlineStr">
        <is>
          <t>Charles Finkelstein</t>
        </is>
      </c>
      <c r="F44" s="66" t="n"/>
      <c r="G44" s="1446" t="n"/>
      <c r="H44" s="1446" t="n"/>
      <c r="I44" s="1446" t="inlineStr">
        <is>
          <t>Chief Product Officer</t>
        </is>
      </c>
      <c r="J44" s="745" t="inlineStr">
        <is>
          <t>CONUS</t>
        </is>
      </c>
      <c r="K44" s="737" t="n"/>
      <c r="L44" s="738" t="inlineStr">
        <is>
          <t>-6</t>
        </is>
      </c>
      <c r="M44" s="738" t="inlineStr">
        <is>
          <t>-6</t>
        </is>
      </c>
      <c r="N44" s="738" t="n"/>
      <c r="O44" s="749" t="n">
        <v>1</v>
      </c>
      <c r="P44" s="748" t="n">
        <v>1</v>
      </c>
      <c r="Q44" s="748" t="n">
        <v>1</v>
      </c>
      <c r="R44" s="748" t="n">
        <v>1</v>
      </c>
      <c r="S44" s="748" t="n">
        <v>1</v>
      </c>
      <c r="T44" s="748" t="n">
        <v>1</v>
      </c>
      <c r="U44" s="737" t="n"/>
      <c r="V44" s="702" t="n">
        <v>200000</v>
      </c>
      <c r="W44" s="702" t="n">
        <v>200000</v>
      </c>
      <c r="X44" s="702">
        <f>((W44)*((1)+($X$15)))</f>
        <v/>
      </c>
      <c r="Y44" s="702">
        <f>((X44)*((1)+($Y$15)))</f>
        <v/>
      </c>
      <c r="Z44" s="702">
        <f>((Y44)*((1)+($Z$15)))</f>
        <v/>
      </c>
      <c r="AA44" s="702">
        <f>((Z44)*((1)+($AA$15)))</f>
        <v/>
      </c>
      <c r="AB44" s="702" t="n"/>
      <c r="AC44" s="702" t="n">
        <v>0</v>
      </c>
      <c r="AD44" s="702" t="n">
        <v>0</v>
      </c>
      <c r="AE44" s="702" t="n">
        <v>0</v>
      </c>
      <c r="AF44" s="702" t="n">
        <v>0</v>
      </c>
      <c r="AG44" s="702" t="n">
        <v>0</v>
      </c>
      <c r="AH44" s="702" t="n">
        <v>0</v>
      </c>
      <c r="AI44" s="702">
        <f>(($V44)/(12))</f>
        <v/>
      </c>
      <c r="AJ44" s="702">
        <f>(($V44)/(12))</f>
        <v/>
      </c>
      <c r="AK44" s="702">
        <f>(($V44)/(12))</f>
        <v/>
      </c>
      <c r="AL44" s="702">
        <f>(($V44)/(12))</f>
        <v/>
      </c>
      <c r="AM44" s="702">
        <f>(($V44)/(12))</f>
        <v/>
      </c>
      <c r="AN44" s="702">
        <f>(($V44)/(12))</f>
        <v/>
      </c>
      <c r="AO44" s="765">
        <f>SUM(AC44:AN44)</f>
        <v/>
      </c>
      <c r="AP44" s="702" t="n"/>
      <c r="AQ44" s="702">
        <f>IF($P44&gt;0,(($W44)/(12)),0)</f>
        <v/>
      </c>
      <c r="AR44" s="702">
        <f>IF($P44&gt;0,(($W44)/(12)),0)</f>
        <v/>
      </c>
      <c r="AS44" s="702">
        <f>IF($P44&gt;0,(($W44)/(12)),0)</f>
        <v/>
      </c>
      <c r="AT44" s="702">
        <f>IF($P44&gt;0,(($W44)/(12)),0)</f>
        <v/>
      </c>
      <c r="AU44" s="702">
        <f>IF($P44&gt;0,(($W44)/(12)),0)</f>
        <v/>
      </c>
      <c r="AV44" s="702">
        <f>IF($P44&gt;0,(($W44)/(12)),0)</f>
        <v/>
      </c>
      <c r="AW44" s="702">
        <f>IF($P44&gt;0,(($W44)/(12)),0)</f>
        <v/>
      </c>
      <c r="AX44" s="702">
        <f>IF($P44&gt;0,(($W44)/(12)),0)</f>
        <v/>
      </c>
      <c r="AY44" s="702">
        <f>IF($P44&gt;0,(($W44)/(12)),0)</f>
        <v/>
      </c>
      <c r="AZ44" s="702">
        <f>IF($P44&gt;0,(($W44)/(12)),0)</f>
        <v/>
      </c>
      <c r="BA44" s="702">
        <f>IF($P44&gt;0,(($W44)/(12)),0)</f>
        <v/>
      </c>
      <c r="BB44" s="702">
        <f>IF($P44&gt;0,(($W44)/(12)),0)</f>
        <v/>
      </c>
      <c r="BC44" s="765">
        <f>SUM(AQ44:BB44)</f>
        <v/>
      </c>
      <c r="BD44" s="702" t="n"/>
      <c r="BE44" s="702">
        <f>IF($Q44&gt;0,(($X44)/(12)),0)</f>
        <v/>
      </c>
      <c r="BF44" s="702">
        <f>IF($Q44&gt;0,(($X44)/(12)),0)</f>
        <v/>
      </c>
      <c r="BG44" s="702">
        <f>IF($Q44&gt;0,(($X44)/(12)),0)</f>
        <v/>
      </c>
      <c r="BH44" s="702">
        <f>IF($Q44&gt;0,(($X44)/(12)),0)</f>
        <v/>
      </c>
      <c r="BI44" s="702">
        <f>IF($Q44&gt;0,(($X44)/(12)),0)</f>
        <v/>
      </c>
      <c r="BJ44" s="702">
        <f>IF($Q44&gt;0,(($X44)/(12)),0)</f>
        <v/>
      </c>
      <c r="BK44" s="702">
        <f>IF($Q44&gt;0,(($X44)/(12)),0)</f>
        <v/>
      </c>
      <c r="BL44" s="702">
        <f>IF($Q44&gt;0,(($X44)/(12)),0)</f>
        <v/>
      </c>
      <c r="BM44" s="702">
        <f>IF($Q44&gt;0,(($X44)/(12)),0)</f>
        <v/>
      </c>
      <c r="BN44" s="702">
        <f>IF($Q44&gt;0,(($X44)/(12)),0)</f>
        <v/>
      </c>
      <c r="BO44" s="702">
        <f>IF($Q44&gt;0,(($X44)/(12)),0)</f>
        <v/>
      </c>
      <c r="BP44" s="702">
        <f>IF($Q44&gt;0,(($X44)/(12)),0)</f>
        <v/>
      </c>
      <c r="BQ44" s="765">
        <f>SUM(BE44:BP44)</f>
        <v/>
      </c>
      <c r="BR44" s="713" t="n"/>
      <c r="BS44" s="702">
        <f>IF($R44&gt;0,(($Y44)/(12)),0)</f>
        <v/>
      </c>
      <c r="BT44" s="702">
        <f>IF($R44&gt;0,(($Y44)/(12)),0)</f>
        <v/>
      </c>
      <c r="BU44" s="702">
        <f>IF($R44&gt;0,(($Y44)/(12)),0)</f>
        <v/>
      </c>
      <c r="BV44" s="702">
        <f>IF($R44&gt;0,(($Y44)/(12)),0)</f>
        <v/>
      </c>
      <c r="BW44" s="702">
        <f>IF($R44&gt;0,(($Y44)/(12)),0)</f>
        <v/>
      </c>
      <c r="BX44" s="702">
        <f>IF($R44&gt;0,(($Y44)/(12)),0)</f>
        <v/>
      </c>
      <c r="BY44" s="702">
        <f>IF($R44&gt;0,(($Y44)/(12)),0)</f>
        <v/>
      </c>
      <c r="BZ44" s="702">
        <f>IF($R44&gt;0,(($Y44)/(12)),0)</f>
        <v/>
      </c>
      <c r="CA44" s="702">
        <f>IF($R44&gt;0,(($Y44)/(12)),0)</f>
        <v/>
      </c>
      <c r="CB44" s="702">
        <f>IF($R44&gt;0,(($Y44)/(12)),0)</f>
        <v/>
      </c>
      <c r="CC44" s="702">
        <f>IF($R44&gt;0,(($Y44)/(12)),0)</f>
        <v/>
      </c>
      <c r="CD44" s="702">
        <f>IF($R44&gt;0,(($Y44)/(12)),0)</f>
        <v/>
      </c>
      <c r="CE44" s="765">
        <f>SUM(BS44:CD44)</f>
        <v/>
      </c>
      <c r="CF44" s="713" t="n"/>
      <c r="CG44" s="702">
        <f>IF($S44&gt;0,(($Z44)/(12)),0)</f>
        <v/>
      </c>
      <c r="CH44" s="702">
        <f>IF($S44&gt;0,(($Z44)/(12)),0)</f>
        <v/>
      </c>
      <c r="CI44" s="702">
        <f>IF($S44&gt;0,(($Z44)/(12)),0)</f>
        <v/>
      </c>
      <c r="CJ44" s="702">
        <f>IF($S44&gt;0,(($Z44)/(12)),0)</f>
        <v/>
      </c>
      <c r="CK44" s="702">
        <f>IF($S44&gt;0,(($Z44)/(12)),0)</f>
        <v/>
      </c>
      <c r="CL44" s="702">
        <f>IF($S44&gt;0,(($Z44)/(12)),0)</f>
        <v/>
      </c>
      <c r="CM44" s="702">
        <f>IF($S44&gt;0,(($Z44)/(12)),0)</f>
        <v/>
      </c>
      <c r="CN44" s="702">
        <f>IF($S44&gt;0,(($Z44)/(12)),0)</f>
        <v/>
      </c>
      <c r="CO44" s="702">
        <f>IF($S44&gt;0,(($Z44)/(12)),0)</f>
        <v/>
      </c>
      <c r="CP44" s="702">
        <f>IF($S44&gt;0,(($Z44)/(12)),0)</f>
        <v/>
      </c>
      <c r="CQ44" s="702">
        <f>IF($S44&gt;0,(($Z44)/(12)),0)</f>
        <v/>
      </c>
      <c r="CR44" s="702">
        <f>IF($S44&gt;0,(($Z44)/(12)),0)</f>
        <v/>
      </c>
      <c r="CS44" s="765">
        <f>SUM(CG44:CR44)</f>
        <v/>
      </c>
      <c r="CU44" s="702">
        <f>IF($T44&gt;0,(($AA44)/(12)),0)</f>
        <v/>
      </c>
      <c r="CV44" s="702">
        <f>IF($T44&gt;0,(($AA44)/(12)),0)</f>
        <v/>
      </c>
      <c r="CW44" s="702">
        <f>IF($T44&gt;0,(($AA44)/(12)),0)</f>
        <v/>
      </c>
      <c r="CX44" s="702">
        <f>IF($T44&gt;0,(($AA44)/(12)),0)</f>
        <v/>
      </c>
      <c r="CY44" s="702">
        <f>IF($T44&gt;0,(($AA44)/(12)),0)</f>
        <v/>
      </c>
      <c r="CZ44" s="702">
        <f>IF($T44&gt;0,(($AA44)/(12)),0)</f>
        <v/>
      </c>
      <c r="DA44" s="702">
        <f>IF($T44&gt;0,(($AA44)/(12)),0)</f>
        <v/>
      </c>
      <c r="DB44" s="702">
        <f>IF($T44&gt;0,(($AA44)/(12)),0)</f>
        <v/>
      </c>
      <c r="DC44" s="702">
        <f>IF($T44&gt;0,(($AA44)/(12)),0)</f>
        <v/>
      </c>
      <c r="DD44" s="702">
        <f>IF($T44&gt;0,(($AA44)/(12)),0)</f>
        <v/>
      </c>
      <c r="DE44" s="702">
        <f>IF($T44&gt;0,(($AA44)/(12)),0)</f>
        <v/>
      </c>
      <c r="DF44" s="702">
        <f>IF($T44&gt;0,(($AA44)/(12)),0)</f>
        <v/>
      </c>
      <c r="DG44" s="765">
        <f>SUM(CU44:DF44)</f>
        <v/>
      </c>
    </row>
    <row r="45" ht="15" customHeight="1" s="1883">
      <c r="B45" s="752">
        <f>((B44)+(1))</f>
        <v/>
      </c>
      <c r="C45" s="726" t="n"/>
      <c r="D45" s="730" t="inlineStr">
        <is>
          <t>●</t>
        </is>
      </c>
      <c r="E45" s="1446" t="inlineStr">
        <is>
          <t xml:space="preserve">David Harding </t>
        </is>
      </c>
      <c r="F45" s="66" t="n"/>
      <c r="G45" s="66" t="n"/>
      <c r="H45" s="66" t="n"/>
      <c r="I45" s="1446" t="inlineStr">
        <is>
          <t>Chief Identity Officer (Fractional)</t>
        </is>
      </c>
      <c r="J45" s="745" t="inlineStr">
        <is>
          <t>CONUS</t>
        </is>
      </c>
      <c r="K45" s="737" t="n"/>
      <c r="L45" s="738" t="n">
        <v>7</v>
      </c>
      <c r="M45" s="738" t="n">
        <v>7</v>
      </c>
      <c r="N45" s="738" t="n"/>
      <c r="O45" s="749" t="n">
        <v>0</v>
      </c>
      <c r="P45" s="748" t="n">
        <v>1</v>
      </c>
      <c r="Q45" s="748" t="n">
        <v>1</v>
      </c>
      <c r="R45" s="748" t="n">
        <v>1</v>
      </c>
      <c r="S45" s="748" t="n">
        <v>1</v>
      </c>
      <c r="T45" s="748" t="n">
        <v>1</v>
      </c>
      <c r="U45" s="737" t="n"/>
      <c r="V45" s="702" t="n">
        <v>0</v>
      </c>
      <c r="W45" s="702" t="n">
        <v>200000</v>
      </c>
      <c r="X45" s="702">
        <f>((W45)*((1)+($X$15)))</f>
        <v/>
      </c>
      <c r="Y45" s="702">
        <f>((X45)*((1)+($Y$15)))</f>
        <v/>
      </c>
      <c r="Z45" s="702">
        <f>((Y45)*((1)+($Z$15)))</f>
        <v/>
      </c>
      <c r="AA45" s="702">
        <f>((Z45)*((1)+($AA$15)))</f>
        <v/>
      </c>
      <c r="AB45" s="702" t="n"/>
      <c r="AC45" s="702" t="n">
        <v>0</v>
      </c>
      <c r="AD45" s="702" t="n">
        <v>0</v>
      </c>
      <c r="AE45" s="702" t="n">
        <v>0</v>
      </c>
      <c r="AF45" s="702" t="n">
        <v>0</v>
      </c>
      <c r="AG45" s="702" t="n">
        <v>0</v>
      </c>
      <c r="AH45" s="702">
        <f>(($V45)/(12))</f>
        <v/>
      </c>
      <c r="AI45" s="702">
        <f>(($V45)/(12))</f>
        <v/>
      </c>
      <c r="AJ45" s="702">
        <f>(($V45)/(12))</f>
        <v/>
      </c>
      <c r="AK45" s="702">
        <f>(($V45)/(12))</f>
        <v/>
      </c>
      <c r="AL45" s="702">
        <f>(($V45)/(12))</f>
        <v/>
      </c>
      <c r="AM45" s="702">
        <f>(($V45)/(12))</f>
        <v/>
      </c>
      <c r="AN45" s="702">
        <f>(($V45)/(12))</f>
        <v/>
      </c>
      <c r="AO45" s="765">
        <f>SUM(AC45:AN45)</f>
        <v/>
      </c>
      <c r="AP45" s="702" t="n"/>
      <c r="AQ45" s="702" t="n">
        <v>0</v>
      </c>
      <c r="AR45" s="702" t="n">
        <v>0</v>
      </c>
      <c r="AS45" s="702" t="n">
        <v>0</v>
      </c>
      <c r="AT45" s="702" t="n">
        <v>0</v>
      </c>
      <c r="AU45" s="702" t="n">
        <v>0</v>
      </c>
      <c r="AV45" s="702" t="n">
        <v>0</v>
      </c>
      <c r="AW45" s="702">
        <f>IF($P45&gt;0,(($W45)/(12)),0)</f>
        <v/>
      </c>
      <c r="AX45" s="702">
        <f>IF($P45&gt;0,(($W45)/(12)),0)</f>
        <v/>
      </c>
      <c r="AY45" s="702">
        <f>IF($P45&gt;0,(($W45)/(12)),0)</f>
        <v/>
      </c>
      <c r="AZ45" s="702">
        <f>IF($P45&gt;0,(($W45)/(12)),0)</f>
        <v/>
      </c>
      <c r="BA45" s="702">
        <f>IF($P45&gt;0,(($W45)/(12)),0)</f>
        <v/>
      </c>
      <c r="BB45" s="702">
        <f>IF($P45&gt;0,(($W45)/(12)),0)</f>
        <v/>
      </c>
      <c r="BC45" s="765">
        <f>SUM(AQ45:BB45)</f>
        <v/>
      </c>
      <c r="BD45" s="702" t="n"/>
      <c r="BE45" s="702">
        <f>IF($Q45&gt;0,(($X45)/(12)),0)</f>
        <v/>
      </c>
      <c r="BF45" s="702">
        <f>IF($Q45&gt;0,(($X45)/(12)),0)</f>
        <v/>
      </c>
      <c r="BG45" s="702">
        <f>IF($Q45&gt;0,(($X45)/(12)),0)</f>
        <v/>
      </c>
      <c r="BH45" s="702">
        <f>IF($Q45&gt;0,(($X45)/(12)),0)</f>
        <v/>
      </c>
      <c r="BI45" s="702">
        <f>IF($Q45&gt;0,(($X45)/(12)),0)</f>
        <v/>
      </c>
      <c r="BJ45" s="702">
        <f>IF($Q45&gt;0,(($X45)/(12)),0)</f>
        <v/>
      </c>
      <c r="BK45" s="702">
        <f>IF($Q45&gt;0,(($X45)/(12)),0)</f>
        <v/>
      </c>
      <c r="BL45" s="702">
        <f>IF($Q45&gt;0,(($X45)/(12)),0)</f>
        <v/>
      </c>
      <c r="BM45" s="702">
        <f>IF($Q45&gt;0,(($X45)/(12)),0)</f>
        <v/>
      </c>
      <c r="BN45" s="702">
        <f>IF($Q45&gt;0,(($X45)/(12)),0)</f>
        <v/>
      </c>
      <c r="BO45" s="702">
        <f>IF($Q45&gt;0,(($X45)/(12)),0)</f>
        <v/>
      </c>
      <c r="BP45" s="702">
        <f>IF($Q45&gt;0,(($X45)/(12)),0)</f>
        <v/>
      </c>
      <c r="BQ45" s="765">
        <f>SUM(BE45:BP45)</f>
        <v/>
      </c>
      <c r="BR45" s="713" t="n"/>
      <c r="BS45" s="702">
        <f>IF($R45&gt;0,(($Y45)/(12)),0)</f>
        <v/>
      </c>
      <c r="BT45" s="702">
        <f>IF($R45&gt;0,(($Y45)/(12)),0)</f>
        <v/>
      </c>
      <c r="BU45" s="702">
        <f>IF($R45&gt;0,(($Y45)/(12)),0)</f>
        <v/>
      </c>
      <c r="BV45" s="702">
        <f>IF($R45&gt;0,(($Y45)/(12)),0)</f>
        <v/>
      </c>
      <c r="BW45" s="702">
        <f>IF($R45&gt;0,(($Y45)/(12)),0)</f>
        <v/>
      </c>
      <c r="BX45" s="702">
        <f>IF($R45&gt;0,(($Y45)/(12)),0)</f>
        <v/>
      </c>
      <c r="BY45" s="702">
        <f>IF($R45&gt;0,(($Y45)/(12)),0)</f>
        <v/>
      </c>
      <c r="BZ45" s="702">
        <f>IF($R45&gt;0,(($Y45)/(12)),0)</f>
        <v/>
      </c>
      <c r="CA45" s="702">
        <f>IF($R45&gt;0,(($Y45)/(12)),0)</f>
        <v/>
      </c>
      <c r="CB45" s="702">
        <f>IF($R45&gt;0,(($Y45)/(12)),0)</f>
        <v/>
      </c>
      <c r="CC45" s="702">
        <f>IF($R45&gt;0,(($Y45)/(12)),0)</f>
        <v/>
      </c>
      <c r="CD45" s="702">
        <f>IF($R45&gt;0,(($Y45)/(12)),0)</f>
        <v/>
      </c>
      <c r="CE45" s="765">
        <f>SUM(BS45:CD45)</f>
        <v/>
      </c>
      <c r="CF45" s="713" t="n"/>
      <c r="CG45" s="702">
        <f>IF($S45&gt;0,(($Z45)/(12)),0)</f>
        <v/>
      </c>
      <c r="CH45" s="702">
        <f>IF($S45&gt;0,(($Z45)/(12)),0)</f>
        <v/>
      </c>
      <c r="CI45" s="702">
        <f>IF($S45&gt;0,(($Z45)/(12)),0)</f>
        <v/>
      </c>
      <c r="CJ45" s="702">
        <f>IF($S45&gt;0,(($Z45)/(12)),0)</f>
        <v/>
      </c>
      <c r="CK45" s="702">
        <f>IF($S45&gt;0,(($Z45)/(12)),0)</f>
        <v/>
      </c>
      <c r="CL45" s="702">
        <f>IF($S45&gt;0,(($Z45)/(12)),0)</f>
        <v/>
      </c>
      <c r="CM45" s="702">
        <f>IF($S45&gt;0,(($Z45)/(12)),0)</f>
        <v/>
      </c>
      <c r="CN45" s="702">
        <f>IF($S45&gt;0,(($Z45)/(12)),0)</f>
        <v/>
      </c>
      <c r="CO45" s="702">
        <f>IF($S45&gt;0,(($Z45)/(12)),0)</f>
        <v/>
      </c>
      <c r="CP45" s="702">
        <f>IF($S45&gt;0,(($Z45)/(12)),0)</f>
        <v/>
      </c>
      <c r="CQ45" s="702">
        <f>IF($S45&gt;0,(($Z45)/(12)),0)</f>
        <v/>
      </c>
      <c r="CR45" s="702">
        <f>IF($S45&gt;0,(($Z45)/(12)),0)</f>
        <v/>
      </c>
      <c r="CS45" s="765">
        <f>SUM(CG45:CR45)</f>
        <v/>
      </c>
      <c r="CU45" s="702">
        <f>IF($T45&gt;0,(($AA45)/(12)),0)</f>
        <v/>
      </c>
      <c r="CV45" s="702">
        <f>IF($T45&gt;0,(($AA45)/(12)),0)</f>
        <v/>
      </c>
      <c r="CW45" s="702">
        <f>IF($T45&gt;0,(($AA45)/(12)),0)</f>
        <v/>
      </c>
      <c r="CX45" s="702">
        <f>IF($T45&gt;0,(($AA45)/(12)),0)</f>
        <v/>
      </c>
      <c r="CY45" s="702">
        <f>IF($T45&gt;0,(($AA45)/(12)),0)</f>
        <v/>
      </c>
      <c r="CZ45" s="702">
        <f>IF($T45&gt;0,(($AA45)/(12)),0)</f>
        <v/>
      </c>
      <c r="DA45" s="702">
        <f>IF($T45&gt;0,(($AA45)/(12)),0)</f>
        <v/>
      </c>
      <c r="DB45" s="702">
        <f>IF($T45&gt;0,(($AA45)/(12)),0)</f>
        <v/>
      </c>
      <c r="DC45" s="702">
        <f>IF($T45&gt;0,(($AA45)/(12)),0)</f>
        <v/>
      </c>
      <c r="DD45" s="702">
        <f>IF($T45&gt;0,(($AA45)/(12)),0)</f>
        <v/>
      </c>
      <c r="DE45" s="702">
        <f>IF($T45&gt;0,(($AA45)/(12)),0)</f>
        <v/>
      </c>
      <c r="DF45" s="702">
        <f>IF($T45&gt;0,(($AA45)/(12)),0)</f>
        <v/>
      </c>
      <c r="DG45" s="765">
        <f>SUM(CU45:DF45)</f>
        <v/>
      </c>
    </row>
    <row r="46" ht="15" customHeight="1" s="1883">
      <c r="B46" s="752">
        <f>((B45)+(1))</f>
        <v/>
      </c>
      <c r="C46" s="726" t="n"/>
      <c r="D46" s="730" t="inlineStr">
        <is>
          <t>●</t>
        </is>
      </c>
      <c r="E46" s="1446" t="inlineStr">
        <is>
          <t>Roger Singh</t>
        </is>
      </c>
      <c r="F46" s="66" t="n"/>
      <c r="G46" s="66" t="n"/>
      <c r="H46" s="66" t="n"/>
      <c r="I46" s="1446" t="inlineStr">
        <is>
          <t>Chief of Staff, Technology</t>
        </is>
      </c>
      <c r="J46" s="746" t="inlineStr">
        <is>
          <t>OCONUS</t>
        </is>
      </c>
      <c r="K46" s="737" t="n"/>
      <c r="L46" s="738" t="inlineStr">
        <is>
          <t>-12</t>
        </is>
      </c>
      <c r="M46" s="738" t="n">
        <v>7</v>
      </c>
      <c r="N46" s="738" t="n"/>
      <c r="O46" s="749" t="n">
        <v>0</v>
      </c>
      <c r="P46" s="748" t="n">
        <v>1</v>
      </c>
      <c r="Q46" s="748" t="n">
        <v>1</v>
      </c>
      <c r="R46" s="748" t="n">
        <v>1</v>
      </c>
      <c r="S46" s="748" t="n">
        <v>1</v>
      </c>
      <c r="T46" s="748" t="n">
        <v>1</v>
      </c>
      <c r="U46" s="737" t="n"/>
      <c r="V46" s="702" t="n">
        <v>0</v>
      </c>
      <c r="W46" s="702" t="n">
        <v>200000</v>
      </c>
      <c r="X46" s="702">
        <f>((W46)*((1)+($X$15)))</f>
        <v/>
      </c>
      <c r="Y46" s="702">
        <f>((X46)*((1)+($Y$15)))</f>
        <v/>
      </c>
      <c r="Z46" s="702">
        <f>((Y46)*((1)+($Z$15)))</f>
        <v/>
      </c>
      <c r="AA46" s="702">
        <f>((Z46)*((1)+($AA$15)))</f>
        <v/>
      </c>
      <c r="AB46" s="702" t="n"/>
      <c r="AC46" s="702" t="n">
        <v>0</v>
      </c>
      <c r="AD46" s="702" t="n">
        <v>0</v>
      </c>
      <c r="AE46" s="702" t="n">
        <v>0</v>
      </c>
      <c r="AF46" s="702" t="n">
        <v>0</v>
      </c>
      <c r="AG46" s="702" t="n">
        <v>0</v>
      </c>
      <c r="AH46" s="702">
        <f>(($V46)/(12))</f>
        <v/>
      </c>
      <c r="AI46" s="702">
        <f>(($V46)/(12))</f>
        <v/>
      </c>
      <c r="AJ46" s="702">
        <f>(($V46)/(12))</f>
        <v/>
      </c>
      <c r="AK46" s="702">
        <f>(($V46)/(12))</f>
        <v/>
      </c>
      <c r="AL46" s="702">
        <f>(($V46)/(12))</f>
        <v/>
      </c>
      <c r="AM46" s="702">
        <f>(($V46)/(12))</f>
        <v/>
      </c>
      <c r="AN46" s="702">
        <f>(($V46)/(12))</f>
        <v/>
      </c>
      <c r="AO46" s="765">
        <f>SUM(AC46:AN46)</f>
        <v/>
      </c>
      <c r="AP46" s="462" t="n"/>
      <c r="AQ46" s="702" t="n">
        <v>0</v>
      </c>
      <c r="AR46" s="702" t="n">
        <v>0</v>
      </c>
      <c r="AS46" s="702" t="n">
        <v>0</v>
      </c>
      <c r="AT46" s="702" t="n">
        <v>0</v>
      </c>
      <c r="AU46" s="702" t="n">
        <v>0</v>
      </c>
      <c r="AV46" s="702" t="n">
        <v>0</v>
      </c>
      <c r="AW46" s="702">
        <f>IF($P46&gt;0,(($W46)/(12)),0)</f>
        <v/>
      </c>
      <c r="AX46" s="702">
        <f>IF($P46&gt;0,(($W46)/(12)),0)</f>
        <v/>
      </c>
      <c r="AY46" s="702">
        <f>IF($P46&gt;0,(($W46)/(12)),0)</f>
        <v/>
      </c>
      <c r="AZ46" s="702">
        <f>IF($P46&gt;0,(($W46)/(12)),0)</f>
        <v/>
      </c>
      <c r="BA46" s="702">
        <f>IF($P46&gt;0,(($W46)/(12)),0)</f>
        <v/>
      </c>
      <c r="BB46" s="702">
        <f>IF($P46&gt;0,(($W46)/(12)),0)</f>
        <v/>
      </c>
      <c r="BC46" s="765">
        <f>SUM(AQ46:BB46)</f>
        <v/>
      </c>
      <c r="BD46" s="462" t="n"/>
      <c r="BE46" s="702">
        <f>IF($Q46&gt;0,(($X46)/(12)),0)</f>
        <v/>
      </c>
      <c r="BF46" s="702">
        <f>IF($Q46&gt;0,(($X46)/(12)),0)</f>
        <v/>
      </c>
      <c r="BG46" s="702">
        <f>IF($Q46&gt;0,(($X46)/(12)),0)</f>
        <v/>
      </c>
      <c r="BH46" s="702">
        <f>IF($Q46&gt;0,(($X46)/(12)),0)</f>
        <v/>
      </c>
      <c r="BI46" s="702">
        <f>IF($Q46&gt;0,(($X46)/(12)),0)</f>
        <v/>
      </c>
      <c r="BJ46" s="702">
        <f>IF($Q46&gt;0,(($X46)/(12)),0)</f>
        <v/>
      </c>
      <c r="BK46" s="702">
        <f>IF($Q46&gt;0,(($X46)/(12)),0)</f>
        <v/>
      </c>
      <c r="BL46" s="702">
        <f>IF($Q46&gt;0,(($X46)/(12)),0)</f>
        <v/>
      </c>
      <c r="BM46" s="702">
        <f>IF($Q46&gt;0,(($X46)/(12)),0)</f>
        <v/>
      </c>
      <c r="BN46" s="702">
        <f>IF($Q46&gt;0,(($X46)/(12)),0)</f>
        <v/>
      </c>
      <c r="BO46" s="702">
        <f>IF($Q46&gt;0,(($X46)/(12)),0)</f>
        <v/>
      </c>
      <c r="BP46" s="702">
        <f>IF($Q46&gt;0,(($X46)/(12)),0)</f>
        <v/>
      </c>
      <c r="BQ46" s="765">
        <f>SUM(BE46:BP46)</f>
        <v/>
      </c>
      <c r="BR46" s="507" t="n"/>
      <c r="BS46" s="702">
        <f>IF($R46&gt;0,(($Y46)/(12)),0)</f>
        <v/>
      </c>
      <c r="BT46" s="702">
        <f>IF($R46&gt;0,(($Y46)/(12)),0)</f>
        <v/>
      </c>
      <c r="BU46" s="702">
        <f>IF($R46&gt;0,(($Y46)/(12)),0)</f>
        <v/>
      </c>
      <c r="BV46" s="702">
        <f>IF($R46&gt;0,(($Y46)/(12)),0)</f>
        <v/>
      </c>
      <c r="BW46" s="702">
        <f>IF($R46&gt;0,(($Y46)/(12)),0)</f>
        <v/>
      </c>
      <c r="BX46" s="702">
        <f>IF($R46&gt;0,(($Y46)/(12)),0)</f>
        <v/>
      </c>
      <c r="BY46" s="702">
        <f>IF($R46&gt;0,(($Y46)/(12)),0)</f>
        <v/>
      </c>
      <c r="BZ46" s="702">
        <f>IF($R46&gt;0,(($Y46)/(12)),0)</f>
        <v/>
      </c>
      <c r="CA46" s="702">
        <f>IF($R46&gt;0,(($Y46)/(12)),0)</f>
        <v/>
      </c>
      <c r="CB46" s="702">
        <f>IF($R46&gt;0,(($Y46)/(12)),0)</f>
        <v/>
      </c>
      <c r="CC46" s="702">
        <f>IF($R46&gt;0,(($Y46)/(12)),0)</f>
        <v/>
      </c>
      <c r="CD46" s="702">
        <f>IF($R46&gt;0,(($Y46)/(12)),0)</f>
        <v/>
      </c>
      <c r="CE46" s="765">
        <f>SUM(BS46:CD46)</f>
        <v/>
      </c>
      <c r="CF46" s="507" t="n"/>
      <c r="CG46" s="702">
        <f>IF($S46&gt;0,(($Z46)/(12)),0)</f>
        <v/>
      </c>
      <c r="CH46" s="702">
        <f>IF($S46&gt;0,(($Z46)/(12)),0)</f>
        <v/>
      </c>
      <c r="CI46" s="702">
        <f>IF($S46&gt;0,(($Z46)/(12)),0)</f>
        <v/>
      </c>
      <c r="CJ46" s="702">
        <f>IF($S46&gt;0,(($Z46)/(12)),0)</f>
        <v/>
      </c>
      <c r="CK46" s="702">
        <f>IF($S46&gt;0,(($Z46)/(12)),0)</f>
        <v/>
      </c>
      <c r="CL46" s="702">
        <f>IF($S46&gt;0,(($Z46)/(12)),0)</f>
        <v/>
      </c>
      <c r="CM46" s="702">
        <f>IF($S46&gt;0,(($Z46)/(12)),0)</f>
        <v/>
      </c>
      <c r="CN46" s="702">
        <f>IF($S46&gt;0,(($Z46)/(12)),0)</f>
        <v/>
      </c>
      <c r="CO46" s="702">
        <f>IF($S46&gt;0,(($Z46)/(12)),0)</f>
        <v/>
      </c>
      <c r="CP46" s="702">
        <f>IF($S46&gt;0,(($Z46)/(12)),0)</f>
        <v/>
      </c>
      <c r="CQ46" s="702">
        <f>IF($S46&gt;0,(($Z46)/(12)),0)</f>
        <v/>
      </c>
      <c r="CR46" s="702">
        <f>IF($S46&gt;0,(($Z46)/(12)),0)</f>
        <v/>
      </c>
      <c r="CS46" s="765">
        <f>SUM(CG46:CR46)</f>
        <v/>
      </c>
      <c r="CU46" s="702">
        <f>IF($T46&gt;0,(($AA46)/(12)),0)</f>
        <v/>
      </c>
      <c r="CV46" s="702">
        <f>IF($T46&gt;0,(($AA46)/(12)),0)</f>
        <v/>
      </c>
      <c r="CW46" s="702">
        <f>IF($T46&gt;0,(($AA46)/(12)),0)</f>
        <v/>
      </c>
      <c r="CX46" s="702">
        <f>IF($T46&gt;0,(($AA46)/(12)),0)</f>
        <v/>
      </c>
      <c r="CY46" s="702">
        <f>IF($T46&gt;0,(($AA46)/(12)),0)</f>
        <v/>
      </c>
      <c r="CZ46" s="702">
        <f>IF($T46&gt;0,(($AA46)/(12)),0)</f>
        <v/>
      </c>
      <c r="DA46" s="702">
        <f>IF($T46&gt;0,(($AA46)/(12)),0)</f>
        <v/>
      </c>
      <c r="DB46" s="702">
        <f>IF($T46&gt;0,(($AA46)/(12)),0)</f>
        <v/>
      </c>
      <c r="DC46" s="702">
        <f>IF($T46&gt;0,(($AA46)/(12)),0)</f>
        <v/>
      </c>
      <c r="DD46" s="702">
        <f>IF($T46&gt;0,(($AA46)/(12)),0)</f>
        <v/>
      </c>
      <c r="DE46" s="702">
        <f>IF($T46&gt;0,(($AA46)/(12)),0)</f>
        <v/>
      </c>
      <c r="DF46" s="702">
        <f>IF($T46&gt;0,(($AA46)/(12)),0)</f>
        <v/>
      </c>
      <c r="DG46" s="765">
        <f>SUM(CU46:DF46)</f>
        <v/>
      </c>
    </row>
    <row r="47" ht="15" customHeight="1" s="1883">
      <c r="B47" s="752">
        <f>((B46)+(1))</f>
        <v/>
      </c>
      <c r="C47" s="726" t="n"/>
      <c r="D47" s="730" t="inlineStr">
        <is>
          <t>●</t>
        </is>
      </c>
      <c r="E47" s="1446" t="inlineStr">
        <is>
          <t xml:space="preserve">TBD </t>
        </is>
      </c>
      <c r="F47" s="66" t="n"/>
      <c r="G47" s="66" t="n"/>
      <c r="H47" s="66" t="n"/>
      <c r="I47" s="1446" t="inlineStr">
        <is>
          <t>Chief Innovation Officer</t>
        </is>
      </c>
      <c r="J47" s="745" t="inlineStr">
        <is>
          <t>CONUS</t>
        </is>
      </c>
      <c r="K47" s="737" t="n"/>
      <c r="L47" s="738" t="n">
        <v>13</v>
      </c>
      <c r="M47" s="738" t="n">
        <v>13</v>
      </c>
      <c r="N47" s="738" t="n"/>
      <c r="O47" s="749" t="n">
        <v>0</v>
      </c>
      <c r="P47" s="748" t="n">
        <v>0</v>
      </c>
      <c r="Q47" s="748" t="n">
        <v>0</v>
      </c>
      <c r="R47" s="748" t="n">
        <v>0</v>
      </c>
      <c r="S47" s="748" t="n">
        <v>0</v>
      </c>
      <c r="T47" s="748" t="n">
        <v>0</v>
      </c>
      <c r="U47" s="737" t="n"/>
      <c r="V47" s="702" t="n"/>
      <c r="W47" s="702" t="n">
        <v>0</v>
      </c>
      <c r="X47" s="702" t="n">
        <v>0</v>
      </c>
      <c r="Y47" s="702">
        <f>((X47)*((1)+($Y$15)))</f>
        <v/>
      </c>
      <c r="Z47" s="702">
        <f>((Y47)*((1)+($Z$15)))</f>
        <v/>
      </c>
      <c r="AA47" s="702">
        <f>((Z47)*((1)+($AA$15)))</f>
        <v/>
      </c>
      <c r="AB47" s="702" t="n"/>
      <c r="AC47" s="702" t="n">
        <v>0</v>
      </c>
      <c r="AD47" s="702" t="n">
        <v>0</v>
      </c>
      <c r="AE47" s="702" t="n">
        <v>0</v>
      </c>
      <c r="AF47" s="702" t="n">
        <v>0</v>
      </c>
      <c r="AG47" s="702" t="n">
        <v>0</v>
      </c>
      <c r="AH47" s="702">
        <f>(($V47)/(12))</f>
        <v/>
      </c>
      <c r="AI47" s="702">
        <f>(($V47)/(12))</f>
        <v/>
      </c>
      <c r="AJ47" s="702">
        <f>(($V47)/(12))</f>
        <v/>
      </c>
      <c r="AK47" s="702">
        <f>(($V47)/(12))</f>
        <v/>
      </c>
      <c r="AL47" s="702">
        <f>(($V47)/(12))</f>
        <v/>
      </c>
      <c r="AM47" s="702">
        <f>(($V47)/(12))</f>
        <v/>
      </c>
      <c r="AN47" s="702">
        <f>(($V47)/(12))</f>
        <v/>
      </c>
      <c r="AO47" s="765">
        <f>SUM(AC47:AN47)</f>
        <v/>
      </c>
      <c r="AP47" s="702" t="n"/>
      <c r="AQ47" s="702">
        <f>IF($P47&gt;0,(($W47)/(12)),0)</f>
        <v/>
      </c>
      <c r="AR47" s="702">
        <f>IF($P47&gt;0,(($W47)/(12)),0)</f>
        <v/>
      </c>
      <c r="AS47" s="702">
        <f>IF($P47&gt;0,(($W47)/(12)),0)</f>
        <v/>
      </c>
      <c r="AT47" s="702">
        <f>IF($P47&gt;0,(($W47)/(12)),0)</f>
        <v/>
      </c>
      <c r="AU47" s="702">
        <f>IF($P47&gt;0,(($W47)/(12)),0)</f>
        <v/>
      </c>
      <c r="AV47" s="702">
        <f>IF($P47&gt;0,(($W47)/(12)),0)</f>
        <v/>
      </c>
      <c r="AW47" s="702">
        <f>IF($P47&gt;0,(($W47)/(12)),0)</f>
        <v/>
      </c>
      <c r="AX47" s="702">
        <f>IF($P47&gt;0,(($W47)/(12)),0)</f>
        <v/>
      </c>
      <c r="AY47" s="702">
        <f>IF($P47&gt;0,(($W47)/(12)),0)</f>
        <v/>
      </c>
      <c r="AZ47" s="702">
        <f>IF($P47&gt;0,(($W47)/(12)),0)</f>
        <v/>
      </c>
      <c r="BA47" s="702">
        <f>IF($P47&gt;0,(($W47)/(12)),0)</f>
        <v/>
      </c>
      <c r="BB47" s="702">
        <f>IF($P47&gt;0,(($W47)/(12)),0)</f>
        <v/>
      </c>
      <c r="BC47" s="765">
        <f>SUM(AQ47:BB47)</f>
        <v/>
      </c>
      <c r="BD47" s="702" t="n"/>
      <c r="BE47" s="702">
        <f>IF($Q47&gt;0,(($X47)/(12)),0)</f>
        <v/>
      </c>
      <c r="BF47" s="702">
        <f>IF($Q47&gt;0,(($X47)/(12)),0)</f>
        <v/>
      </c>
      <c r="BG47" s="702">
        <f>IF($Q47&gt;0,(($X47)/(12)),0)</f>
        <v/>
      </c>
      <c r="BH47" s="702">
        <f>IF($Q47&gt;0,(($X47)/(12)),0)</f>
        <v/>
      </c>
      <c r="BI47" s="702">
        <f>IF($Q47&gt;0,(($X47)/(12)),0)</f>
        <v/>
      </c>
      <c r="BJ47" s="702">
        <f>IF($Q47&gt;0,(($X47)/(12)),0)</f>
        <v/>
      </c>
      <c r="BK47" s="702">
        <f>IF($Q47&gt;0,(($X47)/(12)),0)</f>
        <v/>
      </c>
      <c r="BL47" s="702">
        <f>IF($Q47&gt;0,(($X47)/(12)),0)</f>
        <v/>
      </c>
      <c r="BM47" s="702">
        <f>IF($Q47&gt;0,(($X47)/(12)),0)</f>
        <v/>
      </c>
      <c r="BN47" s="702">
        <f>IF($Q47&gt;0,(($X47)/(12)),0)</f>
        <v/>
      </c>
      <c r="BO47" s="702">
        <f>IF($Q47&gt;0,(($X47)/(12)),0)</f>
        <v/>
      </c>
      <c r="BP47" s="702">
        <f>IF($Q47&gt;0,(($X47)/(12)),0)</f>
        <v/>
      </c>
      <c r="BQ47" s="765">
        <f>SUM(BE47:BP47)</f>
        <v/>
      </c>
      <c r="BR47" s="713" t="n"/>
      <c r="BS47" s="702">
        <f>IF($R47&gt;0,(($Y47)/(12)),0)</f>
        <v/>
      </c>
      <c r="BT47" s="702">
        <f>IF($R47&gt;0,(($Y47)/(12)),0)</f>
        <v/>
      </c>
      <c r="BU47" s="702">
        <f>IF($R47&gt;0,(($Y47)/(12)),0)</f>
        <v/>
      </c>
      <c r="BV47" s="702">
        <f>IF($R47&gt;0,(($Y47)/(12)),0)</f>
        <v/>
      </c>
      <c r="BW47" s="702">
        <f>IF($R47&gt;0,(($Y47)/(12)),0)</f>
        <v/>
      </c>
      <c r="BX47" s="702">
        <f>IF($R47&gt;0,(($Y47)/(12)),0)</f>
        <v/>
      </c>
      <c r="BY47" s="702">
        <f>IF($R47&gt;0,(($Y47)/(12)),0)</f>
        <v/>
      </c>
      <c r="BZ47" s="702">
        <f>IF($R47&gt;0,(($Y47)/(12)),0)</f>
        <v/>
      </c>
      <c r="CA47" s="702">
        <f>IF($R47&gt;0,(($Y47)/(12)),0)</f>
        <v/>
      </c>
      <c r="CB47" s="702">
        <f>IF($R47&gt;0,(($Y47)/(12)),0)</f>
        <v/>
      </c>
      <c r="CC47" s="702">
        <f>IF($R47&gt;0,(($Y47)/(12)),0)</f>
        <v/>
      </c>
      <c r="CD47" s="702">
        <f>IF($R47&gt;0,(($Y47)/(12)),0)</f>
        <v/>
      </c>
      <c r="CE47" s="765">
        <f>SUM(BS47:CD47)</f>
        <v/>
      </c>
      <c r="CF47" s="713" t="n"/>
      <c r="CG47" s="702">
        <f>IF($S47&gt;0,(($Z47)/(12)),0)</f>
        <v/>
      </c>
      <c r="CH47" s="702">
        <f>IF($S47&gt;0,(($Z47)/(12)),0)</f>
        <v/>
      </c>
      <c r="CI47" s="702">
        <f>IF($S47&gt;0,(($Z47)/(12)),0)</f>
        <v/>
      </c>
      <c r="CJ47" s="702">
        <f>IF($S47&gt;0,(($Z47)/(12)),0)</f>
        <v/>
      </c>
      <c r="CK47" s="702">
        <f>IF($S47&gt;0,(($Z47)/(12)),0)</f>
        <v/>
      </c>
      <c r="CL47" s="702">
        <f>IF($S47&gt;0,(($Z47)/(12)),0)</f>
        <v/>
      </c>
      <c r="CM47" s="702">
        <f>IF($S47&gt;0,(($Z47)/(12)),0)</f>
        <v/>
      </c>
      <c r="CN47" s="702">
        <f>IF($S47&gt;0,(($Z47)/(12)),0)</f>
        <v/>
      </c>
      <c r="CO47" s="702">
        <f>IF($S47&gt;0,(($Z47)/(12)),0)</f>
        <v/>
      </c>
      <c r="CP47" s="702">
        <f>IF($S47&gt;0,(($Z47)/(12)),0)</f>
        <v/>
      </c>
      <c r="CQ47" s="702">
        <f>IF($S47&gt;0,(($Z47)/(12)),0)</f>
        <v/>
      </c>
      <c r="CR47" s="702">
        <f>IF($S47&gt;0,(($Z47)/(12)),0)</f>
        <v/>
      </c>
      <c r="CS47" s="765">
        <f>SUM(CG47:CR47)</f>
        <v/>
      </c>
      <c r="CU47" s="702">
        <f>IF($T47&gt;0,(($AA47)/(12)),0)</f>
        <v/>
      </c>
      <c r="CV47" s="702">
        <f>IF($T47&gt;0,(($AA47)/(12)),0)</f>
        <v/>
      </c>
      <c r="CW47" s="702">
        <f>IF($T47&gt;0,(($AA47)/(12)),0)</f>
        <v/>
      </c>
      <c r="CX47" s="702">
        <f>IF($T47&gt;0,(($AA47)/(12)),0)</f>
        <v/>
      </c>
      <c r="CY47" s="702">
        <f>IF($T47&gt;0,(($AA47)/(12)),0)</f>
        <v/>
      </c>
      <c r="CZ47" s="702">
        <f>IF($T47&gt;0,(($AA47)/(12)),0)</f>
        <v/>
      </c>
      <c r="DA47" s="702">
        <f>IF($T47&gt;0,(($AA47)/(12)),0)</f>
        <v/>
      </c>
      <c r="DB47" s="702">
        <f>IF($T47&gt;0,(($AA47)/(12)),0)</f>
        <v/>
      </c>
      <c r="DC47" s="702">
        <f>IF($T47&gt;0,(($AA47)/(12)),0)</f>
        <v/>
      </c>
      <c r="DD47" s="702">
        <f>IF($T47&gt;0,(($AA47)/(12)),0)</f>
        <v/>
      </c>
      <c r="DE47" s="702">
        <f>IF($T47&gt;0,(($AA47)/(12)),0)</f>
        <v/>
      </c>
      <c r="DF47" s="702">
        <f>IF($T47&gt;0,(($AA47)/(12)),0)</f>
        <v/>
      </c>
      <c r="DG47" s="765">
        <f>SUM(CU47:DF47)</f>
        <v/>
      </c>
    </row>
    <row r="48" ht="14" customHeight="1" s="1883">
      <c r="AO48" s="765">
        <f>SUM(AC48:AN48)</f>
        <v/>
      </c>
    </row>
    <row r="49" ht="14" customHeight="1" s="1883">
      <c r="AO49" s="765">
        <f>SUM(AC49:AN49)</f>
        <v/>
      </c>
    </row>
    <row r="50" ht="15" customHeight="1" s="1883">
      <c r="B50" s="726" t="n"/>
      <c r="C50" s="726" t="n"/>
      <c r="D50" s="726" t="n"/>
      <c r="E50" s="726" t="n"/>
      <c r="F50" s="726" t="n"/>
      <c r="G50" s="726" t="n"/>
      <c r="H50" s="726" t="n"/>
      <c r="J50" s="732" t="inlineStr">
        <is>
          <t>Sub-Total, Senior Management</t>
        </is>
      </c>
      <c r="K50" s="726" t="n"/>
      <c r="L50" s="726" t="n"/>
      <c r="N50" s="726" t="n"/>
      <c r="O50" s="814">
        <f>SUM(O23:O47)</f>
        <v/>
      </c>
      <c r="P50" s="762">
        <f>SUM(P23:P47)</f>
        <v/>
      </c>
      <c r="Q50" s="762">
        <f>SUM(Q23:Q47)</f>
        <v/>
      </c>
      <c r="R50" s="762">
        <f>SUM(R23:R47)</f>
        <v/>
      </c>
      <c r="S50" s="762">
        <f>SUM(S23:S47)</f>
        <v/>
      </c>
      <c r="T50" s="762">
        <f>SUM(T23:T47)</f>
        <v/>
      </c>
      <c r="U50" s="726" t="n"/>
      <c r="V50" s="767" t="n"/>
      <c r="W50" s="767" t="n"/>
      <c r="X50" s="767" t="n"/>
      <c r="Y50" s="767" t="n"/>
      <c r="Z50" s="767" t="n"/>
      <c r="AA50" s="767" t="n"/>
      <c r="AB50" s="726" t="n"/>
      <c r="AC50" s="765">
        <f>SUM(AC23:AC47)</f>
        <v/>
      </c>
      <c r="AD50" s="765">
        <f>SUM(AD23:AD47)</f>
        <v/>
      </c>
      <c r="AE50" s="765">
        <f>SUM(AE23:AE47)</f>
        <v/>
      </c>
      <c r="AF50" s="765">
        <f>SUM(AF23:AF47)</f>
        <v/>
      </c>
      <c r="AG50" s="765">
        <f>SUM(AG23:AG47)</f>
        <v/>
      </c>
      <c r="AH50" s="765">
        <f>SUM(AH23:AH47)</f>
        <v/>
      </c>
      <c r="AI50" s="765">
        <f>SUM(AI23:AI47)</f>
        <v/>
      </c>
      <c r="AJ50" s="765">
        <f>SUM(AJ23:AJ47)</f>
        <v/>
      </c>
      <c r="AK50" s="765">
        <f>SUM(AK23:AK47)</f>
        <v/>
      </c>
      <c r="AL50" s="765">
        <f>SUM(AL23:AL47)</f>
        <v/>
      </c>
      <c r="AM50" s="765">
        <f>SUM(AM23:AM47)</f>
        <v/>
      </c>
      <c r="AN50" s="765">
        <f>SUM(AN23:AN47)</f>
        <v/>
      </c>
      <c r="AO50" s="765">
        <f>SUM(AO23:AO47)</f>
        <v/>
      </c>
      <c r="AP50" s="462" t="n"/>
      <c r="AQ50" s="765">
        <f>SUM(AQ23:AQ47)</f>
        <v/>
      </c>
      <c r="AR50" s="765">
        <f>SUM(AR23:AR47)</f>
        <v/>
      </c>
      <c r="AS50" s="765">
        <f>SUM(AS23:AS47)</f>
        <v/>
      </c>
      <c r="AT50" s="765">
        <f>SUM(AT23:AT47)</f>
        <v/>
      </c>
      <c r="AU50" s="765">
        <f>SUM(AU23:AU47)</f>
        <v/>
      </c>
      <c r="AV50" s="765">
        <f>SUM(AV23:AV47)</f>
        <v/>
      </c>
      <c r="AW50" s="765">
        <f>SUM(AW23:AW47)</f>
        <v/>
      </c>
      <c r="AX50" s="765">
        <f>SUM(AX23:AX47)</f>
        <v/>
      </c>
      <c r="AY50" s="765">
        <f>SUM(AY23:AY47)</f>
        <v/>
      </c>
      <c r="AZ50" s="765">
        <f>SUM(AZ23:AZ47)</f>
        <v/>
      </c>
      <c r="BA50" s="765">
        <f>SUM(BA23:BA47)</f>
        <v/>
      </c>
      <c r="BB50" s="765">
        <f>SUM(BB23:BB47)</f>
        <v/>
      </c>
      <c r="BC50" s="765">
        <f>SUM(BC23:BC47)</f>
        <v/>
      </c>
      <c r="BD50" s="462" t="n"/>
      <c r="BE50" s="765">
        <f>SUM(BE23:BE47)</f>
        <v/>
      </c>
      <c r="BF50" s="765">
        <f>SUM(BF23:BF47)</f>
        <v/>
      </c>
      <c r="BG50" s="765">
        <f>SUM(BG23:BG47)</f>
        <v/>
      </c>
      <c r="BH50" s="765">
        <f>SUM(BH23:BH47)</f>
        <v/>
      </c>
      <c r="BI50" s="765">
        <f>SUM(BI23:BI47)</f>
        <v/>
      </c>
      <c r="BJ50" s="765">
        <f>SUM(BJ23:BJ47)</f>
        <v/>
      </c>
      <c r="BK50" s="765">
        <f>SUM(BK23:BK47)</f>
        <v/>
      </c>
      <c r="BL50" s="765">
        <f>SUM(BL23:BL47)</f>
        <v/>
      </c>
      <c r="BM50" s="765">
        <f>SUM(BM23:BM47)</f>
        <v/>
      </c>
      <c r="BN50" s="765">
        <f>SUM(BN23:BN47)</f>
        <v/>
      </c>
      <c r="BO50" s="765">
        <f>SUM(BO23:BO47)</f>
        <v/>
      </c>
      <c r="BP50" s="765">
        <f>SUM(BP23:BP47)</f>
        <v/>
      </c>
      <c r="BQ50" s="765">
        <f>SUM(BQ23:BQ47)</f>
        <v/>
      </c>
      <c r="BR50" s="507" t="n"/>
      <c r="BS50" s="765">
        <f>SUM(BS23:BS47)</f>
        <v/>
      </c>
      <c r="BT50" s="765">
        <f>SUM(BT23:BT47)</f>
        <v/>
      </c>
      <c r="BU50" s="765">
        <f>SUM(BU23:BU47)</f>
        <v/>
      </c>
      <c r="BV50" s="765">
        <f>SUM(BV23:BV47)</f>
        <v/>
      </c>
      <c r="BW50" s="765">
        <f>SUM(BW23:BW47)</f>
        <v/>
      </c>
      <c r="BX50" s="765">
        <f>SUM(BX23:BX47)</f>
        <v/>
      </c>
      <c r="BY50" s="765">
        <f>SUM(BY23:BY47)</f>
        <v/>
      </c>
      <c r="BZ50" s="765">
        <f>SUM(BZ23:BZ47)</f>
        <v/>
      </c>
      <c r="CA50" s="765">
        <f>SUM(CA23:CA47)</f>
        <v/>
      </c>
      <c r="CB50" s="765">
        <f>SUM(CB23:CB47)</f>
        <v/>
      </c>
      <c r="CC50" s="765">
        <f>SUM(CC23:CC47)</f>
        <v/>
      </c>
      <c r="CD50" s="765">
        <f>SUM(CD23:CD47)</f>
        <v/>
      </c>
      <c r="CE50" s="765">
        <f>SUM(CE23:CE47)</f>
        <v/>
      </c>
      <c r="CF50" s="507" t="n"/>
      <c r="CG50" s="765">
        <f>SUM(CG23:CG47)</f>
        <v/>
      </c>
      <c r="CH50" s="765">
        <f>SUM(CH23:CH47)</f>
        <v/>
      </c>
      <c r="CI50" s="765">
        <f>SUM(CI23:CI47)</f>
        <v/>
      </c>
      <c r="CJ50" s="765">
        <f>SUM(CJ23:CJ47)</f>
        <v/>
      </c>
      <c r="CK50" s="765">
        <f>SUM(CK23:CK47)</f>
        <v/>
      </c>
      <c r="CL50" s="765">
        <f>SUM(CL23:CL47)</f>
        <v/>
      </c>
      <c r="CM50" s="765">
        <f>SUM(CM23:CM47)</f>
        <v/>
      </c>
      <c r="CN50" s="765">
        <f>SUM(CN23:CN47)</f>
        <v/>
      </c>
      <c r="CO50" s="765">
        <f>SUM(CO23:CO47)</f>
        <v/>
      </c>
      <c r="CP50" s="765">
        <f>SUM(CP23:CP47)</f>
        <v/>
      </c>
      <c r="CQ50" s="765">
        <f>SUM(CQ23:CQ47)</f>
        <v/>
      </c>
      <c r="CR50" s="765">
        <f>SUM(CR23:CR47)</f>
        <v/>
      </c>
      <c r="CS50" s="765">
        <f>SUM(CS23:CS47)</f>
        <v/>
      </c>
      <c r="CT50" s="767">
        <f>SUM(CT23:CT47)</f>
        <v/>
      </c>
      <c r="CU50" s="765">
        <f>SUM(CU23:CU47)</f>
        <v/>
      </c>
      <c r="CV50" s="765">
        <f>SUM(CV23:CV47)</f>
        <v/>
      </c>
      <c r="CW50" s="765">
        <f>SUM(CW23:CW47)</f>
        <v/>
      </c>
      <c r="CX50" s="765">
        <f>SUM(CX23:CX47)</f>
        <v/>
      </c>
      <c r="CY50" s="765">
        <f>SUM(CY23:CY47)</f>
        <v/>
      </c>
      <c r="CZ50" s="765">
        <f>SUM(CZ23:CZ47)</f>
        <v/>
      </c>
      <c r="DA50" s="765">
        <f>SUM(DA23:DA47)</f>
        <v/>
      </c>
      <c r="DB50" s="765">
        <f>SUM(DB23:DB47)</f>
        <v/>
      </c>
      <c r="DC50" s="765">
        <f>SUM(DC23:DC47)</f>
        <v/>
      </c>
      <c r="DD50" s="765">
        <f>SUM(DD23:DD47)</f>
        <v/>
      </c>
      <c r="DE50" s="765">
        <f>SUM(DE23:DE47)</f>
        <v/>
      </c>
      <c r="DF50" s="765">
        <f>SUM(DF23:DF47)</f>
        <v/>
      </c>
      <c r="DG50" s="765">
        <f>SUM(DG23:DG47)</f>
        <v/>
      </c>
    </row>
    <row r="51" ht="3" customHeight="1" s="1883">
      <c r="B51" s="726" t="n"/>
      <c r="C51" s="726" t="n"/>
      <c r="D51" s="726" t="n"/>
      <c r="E51" s="726" t="n"/>
      <c r="F51" s="726" t="n"/>
      <c r="G51" s="726" t="n"/>
      <c r="H51" s="726" t="n"/>
      <c r="I51" s="726" t="n"/>
      <c r="J51" s="726" t="n"/>
      <c r="K51" s="726" t="n"/>
      <c r="L51" s="726" t="n"/>
      <c r="M51" s="726" t="n"/>
      <c r="N51" s="726" t="n"/>
      <c r="O51" s="734" t="n"/>
      <c r="P51" s="734" t="n"/>
      <c r="Q51" s="734" t="n"/>
      <c r="R51" s="734" t="n"/>
      <c r="S51" s="734" t="n"/>
      <c r="T51" s="734" t="n"/>
      <c r="U51" s="726" t="n"/>
      <c r="V51" s="742" t="n"/>
      <c r="W51" s="742" t="n"/>
      <c r="X51" s="742" t="n"/>
      <c r="Y51" s="742" t="n"/>
      <c r="Z51" s="742" t="n"/>
      <c r="AA51" s="742" t="n"/>
      <c r="AB51" s="726" t="n"/>
      <c r="AC51" s="735" t="n"/>
      <c r="AD51" s="735" t="n"/>
      <c r="AE51" s="735" t="n"/>
      <c r="AF51" s="735" t="n"/>
      <c r="AG51" s="735" t="n"/>
      <c r="AH51" s="735" t="n"/>
      <c r="AI51" s="735" t="n"/>
      <c r="AJ51" s="735" t="n"/>
      <c r="AK51" s="735" t="n"/>
      <c r="AL51" s="735" t="n"/>
      <c r="AM51" s="735" t="n"/>
      <c r="AN51" s="735" t="n"/>
      <c r="AO51" s="735" t="n"/>
      <c r="AP51" s="462" t="n"/>
      <c r="AQ51" s="735" t="n"/>
      <c r="AR51" s="735" t="n"/>
      <c r="AS51" s="735" t="n"/>
      <c r="AT51" s="735" t="n"/>
      <c r="AU51" s="735" t="n"/>
      <c r="AV51" s="735" t="n"/>
      <c r="AW51" s="735" t="n"/>
      <c r="AX51" s="735" t="n"/>
      <c r="AY51" s="735" t="n"/>
      <c r="AZ51" s="735" t="n"/>
      <c r="BA51" s="735" t="n"/>
      <c r="BB51" s="735" t="n"/>
      <c r="BC51" s="735" t="n"/>
      <c r="BD51" s="462" t="n"/>
      <c r="BE51" s="735" t="n"/>
      <c r="BF51" s="735" t="n"/>
      <c r="BG51" s="735" t="n"/>
      <c r="BH51" s="735" t="n"/>
      <c r="BI51" s="735" t="n"/>
      <c r="BJ51" s="735" t="n"/>
      <c r="BK51" s="735" t="n"/>
      <c r="BL51" s="735" t="n"/>
      <c r="BM51" s="735" t="n"/>
      <c r="BN51" s="735" t="n"/>
      <c r="BO51" s="735" t="n"/>
      <c r="BP51" s="735" t="n"/>
      <c r="BQ51" s="735" t="n"/>
      <c r="BR51" s="507" t="n"/>
      <c r="BS51" s="735" t="n"/>
      <c r="BT51" s="735" t="n"/>
      <c r="BU51" s="735" t="n"/>
      <c r="BV51" s="735" t="n"/>
      <c r="BW51" s="735" t="n"/>
      <c r="BX51" s="735" t="n"/>
      <c r="BY51" s="735" t="n"/>
      <c r="BZ51" s="735" t="n"/>
      <c r="CA51" s="735" t="n"/>
      <c r="CB51" s="735" t="n"/>
      <c r="CC51" s="735" t="n"/>
      <c r="CD51" s="735" t="n"/>
      <c r="CE51" s="735" t="n"/>
      <c r="CF51" s="507" t="n"/>
      <c r="CG51" s="735" t="n"/>
      <c r="CH51" s="735" t="n"/>
      <c r="CI51" s="735" t="n"/>
      <c r="CJ51" s="735" t="n"/>
      <c r="CK51" s="735" t="n"/>
      <c r="CL51" s="735" t="n"/>
      <c r="CM51" s="735" t="n"/>
      <c r="CN51" s="735" t="n"/>
      <c r="CO51" s="735" t="n"/>
      <c r="CP51" s="735" t="n"/>
      <c r="CQ51" s="735" t="n"/>
      <c r="CR51" s="735" t="n"/>
      <c r="CS51" s="735" t="n"/>
      <c r="CT51" s="766" t="n"/>
      <c r="CU51" s="735" t="n"/>
      <c r="CV51" s="735" t="n"/>
      <c r="CW51" s="735" t="n"/>
      <c r="CX51" s="735" t="n"/>
      <c r="CY51" s="735" t="n"/>
      <c r="CZ51" s="735" t="n"/>
      <c r="DA51" s="735" t="n"/>
      <c r="DB51" s="735" t="n"/>
      <c r="DC51" s="735" t="n"/>
      <c r="DD51" s="735" t="n"/>
      <c r="DE51" s="735" t="n"/>
      <c r="DF51" s="735" t="n"/>
      <c r="DG51" s="735" t="n"/>
    </row>
    <row r="52" ht="3" customHeight="1" s="1883">
      <c r="B52" s="726" t="n"/>
      <c r="C52" s="726" t="n"/>
      <c r="D52" s="726" t="n"/>
      <c r="E52" s="726" t="n"/>
      <c r="F52" s="726" t="n"/>
      <c r="G52" s="726" t="n"/>
      <c r="H52" s="726" t="n"/>
      <c r="I52" s="726" t="n"/>
      <c r="J52" s="726" t="n"/>
      <c r="K52" s="726" t="n"/>
      <c r="L52" s="726" t="n"/>
      <c r="M52" s="726" t="n"/>
      <c r="N52" s="726" t="n"/>
      <c r="O52" s="726" t="n"/>
      <c r="P52" s="726" t="n"/>
      <c r="Q52" s="726" t="n"/>
      <c r="R52" s="726" t="n"/>
      <c r="S52" s="726" t="n"/>
      <c r="T52" s="726" t="n"/>
      <c r="U52" s="726" t="n"/>
      <c r="V52" s="742" t="n"/>
      <c r="W52" s="742" t="n"/>
      <c r="X52" s="742" t="n"/>
      <c r="Y52" s="742" t="n"/>
      <c r="Z52" s="742" t="n"/>
      <c r="AA52" s="742" t="n"/>
      <c r="AB52" s="726" t="n"/>
      <c r="AC52" s="702" t="n"/>
      <c r="AD52" s="702" t="n"/>
      <c r="AE52" s="702" t="n"/>
      <c r="AF52" s="702" t="n"/>
      <c r="AG52" s="702" t="n"/>
      <c r="AH52" s="702" t="n"/>
      <c r="AI52" s="702" t="n"/>
      <c r="AJ52" s="702" t="n"/>
      <c r="AK52" s="702" t="n"/>
      <c r="AL52" s="702" t="n"/>
      <c r="AM52" s="702" t="n"/>
      <c r="AN52" s="702" t="n"/>
      <c r="AO52" s="702" t="n"/>
      <c r="AP52" s="462" t="n"/>
      <c r="AQ52" s="702" t="n"/>
      <c r="AR52" s="702" t="n"/>
      <c r="AS52" s="702" t="n"/>
      <c r="AT52" s="702" t="n"/>
      <c r="AU52" s="702" t="n"/>
      <c r="AV52" s="702" t="n"/>
      <c r="AW52" s="702" t="n"/>
      <c r="AX52" s="702" t="n"/>
      <c r="AY52" s="702" t="n"/>
      <c r="AZ52" s="702" t="n"/>
      <c r="BA52" s="702" t="n"/>
      <c r="BB52" s="702" t="n"/>
      <c r="BC52" s="702" t="n"/>
      <c r="BD52" s="462" t="n"/>
      <c r="BE52" s="702" t="n"/>
      <c r="BF52" s="702" t="n"/>
      <c r="BG52" s="702" t="n"/>
      <c r="BH52" s="702" t="n"/>
      <c r="BI52" s="702" t="n"/>
      <c r="BJ52" s="702" t="n"/>
      <c r="BK52" s="702" t="n"/>
      <c r="BL52" s="702" t="n"/>
      <c r="BM52" s="702" t="n"/>
      <c r="BN52" s="702" t="n"/>
      <c r="BO52" s="702" t="n"/>
      <c r="BP52" s="702" t="n"/>
      <c r="BQ52" s="702" t="n"/>
      <c r="BR52" s="507" t="n"/>
      <c r="BS52" s="702" t="n"/>
      <c r="BT52" s="702" t="n"/>
      <c r="BU52" s="702" t="n"/>
      <c r="BV52" s="702" t="n"/>
      <c r="BW52" s="702" t="n"/>
      <c r="BX52" s="702" t="n"/>
      <c r="BY52" s="702" t="n"/>
      <c r="BZ52" s="702" t="n"/>
      <c r="CA52" s="702" t="n"/>
      <c r="CB52" s="702" t="n"/>
      <c r="CC52" s="702" t="n"/>
      <c r="CD52" s="702" t="n"/>
      <c r="CE52" s="702" t="n"/>
      <c r="CF52" s="507" t="n"/>
      <c r="CG52" s="702" t="n"/>
      <c r="CH52" s="702" t="n"/>
      <c r="CI52" s="702" t="n"/>
      <c r="CJ52" s="702" t="n"/>
      <c r="CK52" s="702" t="n"/>
      <c r="CL52" s="702" t="n"/>
      <c r="CM52" s="702" t="n"/>
      <c r="CN52" s="702" t="n"/>
      <c r="CO52" s="702" t="n"/>
      <c r="CP52" s="702" t="n"/>
      <c r="CQ52" s="702" t="n"/>
      <c r="CR52" s="702" t="n"/>
      <c r="CS52" s="702" t="n"/>
      <c r="CT52" s="766" t="n"/>
      <c r="CU52" s="702" t="n"/>
      <c r="CV52" s="702" t="n"/>
      <c r="CW52" s="702" t="n"/>
      <c r="CX52" s="702" t="n"/>
      <c r="CY52" s="702" t="n"/>
      <c r="CZ52" s="702" t="n"/>
      <c r="DA52" s="702" t="n"/>
      <c r="DB52" s="702" t="n"/>
      <c r="DC52" s="702" t="n"/>
      <c r="DD52" s="702" t="n"/>
      <c r="DE52" s="702" t="n"/>
      <c r="DF52" s="702" t="n"/>
      <c r="DG52" s="702" t="n"/>
    </row>
    <row r="53" ht="15" customHeight="1" s="1883">
      <c r="B53" s="726" t="n"/>
      <c r="C53" s="726" t="n"/>
      <c r="D53" s="741" t="n"/>
      <c r="E53" s="736" t="n"/>
      <c r="F53" s="737" t="n"/>
      <c r="G53" s="737" t="n"/>
      <c r="H53" s="737" t="n"/>
      <c r="I53" s="736" t="n"/>
      <c r="J53" s="736" t="n"/>
      <c r="K53" s="737" t="n"/>
      <c r="L53" s="737" t="n"/>
      <c r="M53" s="737" t="n"/>
      <c r="N53" s="737" t="n"/>
      <c r="O53" s="737" t="n"/>
      <c r="P53" s="737" t="n"/>
      <c r="Q53" s="737" t="n"/>
      <c r="R53" s="737" t="n"/>
      <c r="S53" s="737" t="n"/>
      <c r="T53" s="737" t="n"/>
      <c r="U53" s="737" t="n"/>
      <c r="V53" s="736" t="n"/>
      <c r="W53" s="736" t="n"/>
      <c r="X53" s="736" t="n"/>
      <c r="Y53" s="736" t="n"/>
      <c r="Z53" s="736" t="n"/>
      <c r="AA53" s="736" t="n"/>
      <c r="AB53" s="726" t="n"/>
      <c r="AC53" s="702" t="n"/>
      <c r="AD53" s="702" t="n"/>
      <c r="AE53" s="702" t="n"/>
      <c r="AF53" s="702" t="n"/>
      <c r="AG53" s="702" t="n"/>
      <c r="AH53" s="702" t="n"/>
      <c r="AI53" s="702" t="n"/>
      <c r="AJ53" s="702" t="n"/>
      <c r="AK53" s="702" t="n"/>
      <c r="AL53" s="702" t="n"/>
      <c r="AM53" s="702" t="n"/>
      <c r="AN53" s="462" t="n"/>
      <c r="AO53" s="462" t="n"/>
      <c r="AP53" s="462" t="n"/>
      <c r="AQ53" s="462" t="n"/>
      <c r="AR53" s="462" t="n"/>
      <c r="AS53" s="462" t="n"/>
      <c r="AT53" s="462" t="n"/>
      <c r="AU53" s="462" t="n"/>
      <c r="AV53" s="462" t="n"/>
      <c r="AW53" s="462" t="n"/>
      <c r="AX53" s="462" t="n"/>
      <c r="AY53" s="462" t="n"/>
      <c r="AZ53" s="462" t="n"/>
      <c r="BA53" s="462" t="n"/>
      <c r="BB53" s="462" t="n"/>
      <c r="BC53" s="462" t="n"/>
      <c r="BD53" s="462" t="n"/>
      <c r="BE53" s="462" t="n"/>
      <c r="BF53" s="462" t="n"/>
      <c r="BG53" s="462" t="n"/>
      <c r="BH53" s="462" t="n"/>
      <c r="BI53" s="462" t="n"/>
      <c r="BJ53" s="462" t="n"/>
      <c r="BK53" s="462" t="n"/>
      <c r="BL53" s="462" t="n"/>
      <c r="BM53" s="462" t="n"/>
      <c r="BN53" s="462" t="n"/>
      <c r="BO53" s="462" t="n"/>
      <c r="BP53" s="462" t="n"/>
      <c r="BQ53" s="462" t="n"/>
      <c r="BR53" s="507" t="n"/>
      <c r="BS53" s="462" t="n"/>
      <c r="BT53" s="462" t="n"/>
      <c r="BU53" s="462" t="n"/>
      <c r="BV53" s="462" t="n"/>
      <c r="BW53" s="462" t="n"/>
      <c r="BX53" s="462" t="n"/>
      <c r="BY53" s="462" t="n"/>
      <c r="BZ53" s="462" t="n"/>
      <c r="CA53" s="462" t="n"/>
      <c r="CB53" s="462" t="n"/>
      <c r="CC53" s="462" t="n"/>
      <c r="CD53" s="462" t="n"/>
      <c r="CE53" s="462" t="n"/>
      <c r="CF53" s="507" t="n"/>
      <c r="CG53" s="462" t="n"/>
      <c r="CH53" s="462" t="n"/>
      <c r="CI53" s="462" t="n"/>
      <c r="CJ53" s="462" t="n"/>
      <c r="CK53" s="462" t="n"/>
      <c r="CL53" s="462" t="n"/>
      <c r="CM53" s="462" t="n"/>
      <c r="CN53" s="462" t="n"/>
      <c r="CO53" s="462" t="n"/>
      <c r="CP53" s="462" t="n"/>
      <c r="CQ53" s="462" t="n"/>
      <c r="CR53" s="462" t="n"/>
      <c r="CS53" s="462" t="n"/>
      <c r="CT53" s="589" t="n"/>
      <c r="CU53" s="462" t="n"/>
      <c r="CV53" s="462" t="n"/>
      <c r="CW53" s="462" t="n"/>
      <c r="CX53" s="462" t="n"/>
      <c r="CY53" s="462" t="n"/>
      <c r="CZ53" s="462" t="n"/>
      <c r="DA53" s="462" t="n"/>
      <c r="DB53" s="462" t="n"/>
      <c r="DC53" s="462" t="n"/>
      <c r="DD53" s="462" t="n"/>
      <c r="DE53" s="462" t="n"/>
      <c r="DF53" s="462" t="n"/>
      <c r="DG53" s="462" t="n"/>
    </row>
    <row r="54" ht="15" customHeight="1" s="1883">
      <c r="B54" s="726" t="n"/>
      <c r="C54" s="726" t="n"/>
      <c r="D54" s="741" t="n"/>
      <c r="E54" s="736" t="n"/>
      <c r="F54" s="737" t="n"/>
      <c r="G54" s="737" t="n"/>
      <c r="H54" s="737" t="n"/>
      <c r="I54" s="736" t="n"/>
      <c r="J54" s="1932" t="inlineStr">
        <is>
          <t>∑, CONUS</t>
        </is>
      </c>
      <c r="N54" s="737" t="n"/>
      <c r="O54" s="760">
        <f>SUMIF($J23:$J47,"CONUS",O23:O47)</f>
        <v/>
      </c>
      <c r="P54" s="760">
        <f>SUMIF($J23:$J47,"CONUS",P23:P47)</f>
        <v/>
      </c>
      <c r="Q54" s="760">
        <f>SUMIF($J23:$J47,"CONUS",Q23:Q47)</f>
        <v/>
      </c>
      <c r="R54" s="760">
        <f>SUMIF($J23:$J47,"CONUS",R23:R47)</f>
        <v/>
      </c>
      <c r="S54" s="760">
        <f>SUMIF($J23:$J47,"CONUS",S23:S47)</f>
        <v/>
      </c>
      <c r="T54" s="760">
        <f>SUMIF($J23:$J47,"CONUS",T23:T47)</f>
        <v/>
      </c>
      <c r="U54" s="737" t="n"/>
      <c r="V54" s="736" t="n"/>
      <c r="W54" s="736" t="n"/>
      <c r="X54" s="736" t="n"/>
      <c r="Y54" s="736" t="n"/>
      <c r="Z54" s="1932" t="inlineStr">
        <is>
          <t>∑, CONUS</t>
        </is>
      </c>
      <c r="AB54" s="790" t="n"/>
      <c r="AC54" s="833">
        <f>SUMIF($J23:$J47,"CONUS",AC23:AC47)</f>
        <v/>
      </c>
      <c r="AD54" s="833">
        <f>SUMIF($J23:$J47,"CONUS",AD23:AD47)</f>
        <v/>
      </c>
      <c r="AE54" s="833">
        <f>SUMIF($J23:$J47,"CONUS",AE23:AE47)</f>
        <v/>
      </c>
      <c r="AF54" s="833">
        <f>SUMIF($J23:$J47,"CONUS",AF23:AF47)</f>
        <v/>
      </c>
      <c r="AG54" s="833">
        <f>SUMIF($J23:$J47,"CONUS",AG23:AG47)</f>
        <v/>
      </c>
      <c r="AH54" s="833">
        <f>SUMIF($J23:$J47,"CONUS",AH23:AH47)</f>
        <v/>
      </c>
      <c r="AI54" s="833">
        <f>SUMIF($J23:$J47,"CONUS",AI23:AI47)</f>
        <v/>
      </c>
      <c r="AJ54" s="833">
        <f>SUMIF($J23:$J47,"CONUS",AJ23:AJ47)</f>
        <v/>
      </c>
      <c r="AK54" s="833">
        <f>SUMIF($J23:$J47,"CONUS",AK23:AK47)</f>
        <v/>
      </c>
      <c r="AL54" s="833">
        <f>SUMIF($J23:$J47,"CONUS",AL23:AL47)</f>
        <v/>
      </c>
      <c r="AM54" s="833">
        <f>SUMIF($J23:$J47,"CONUS",AM23:AM47)</f>
        <v/>
      </c>
      <c r="AN54" s="833">
        <f>SUMIF($J23:$J47,"CONUS",AN23:AN47)</f>
        <v/>
      </c>
      <c r="AO54" s="833">
        <f>SUMIF($J23:$J47,"CONUS",AO23:AO47)</f>
        <v/>
      </c>
      <c r="AP54" s="462" t="n"/>
      <c r="AQ54" s="833">
        <f>SUMIF($J23:$J47,"CONUS",AQ23:AQ47)</f>
        <v/>
      </c>
      <c r="AR54" s="833">
        <f>SUMIF($J23:$J47,"CONUS",AR23:AR47)</f>
        <v/>
      </c>
      <c r="AS54" s="833">
        <f>SUMIF($J23:$J47,"CONUS",AS23:AS47)</f>
        <v/>
      </c>
      <c r="AT54" s="833">
        <f>SUMIF($J23:$J47,"CONUS",AT23:AT47)</f>
        <v/>
      </c>
      <c r="AU54" s="833">
        <f>SUMIF($J23:$J47,"CONUS",AU23:AU47)</f>
        <v/>
      </c>
      <c r="AV54" s="833">
        <f>SUMIF($J23:$J47,"CONUS",AV23:AV47)</f>
        <v/>
      </c>
      <c r="AW54" s="833">
        <f>SUMIF($J23:$J47,"CONUS",AW23:AW47)</f>
        <v/>
      </c>
      <c r="AX54" s="833">
        <f>SUMIF($J23:$J47,"CONUS",AX23:AX47)</f>
        <v/>
      </c>
      <c r="AY54" s="833">
        <f>SUMIF($J23:$J47,"CONUS",AY23:AY47)</f>
        <v/>
      </c>
      <c r="AZ54" s="833">
        <f>SUMIF($J23:$J47,"CONUS",AZ23:AZ47)</f>
        <v/>
      </c>
      <c r="BA54" s="833">
        <f>SUMIF($J23:$J47,"CONUS",BA23:BA47)</f>
        <v/>
      </c>
      <c r="BB54" s="833">
        <f>SUMIF($J23:$J47,"CONUS",BB23:BB47)</f>
        <v/>
      </c>
      <c r="BC54" s="833">
        <f>SUMIF($J23:$J47,"CONUS",BC23:BC47)</f>
        <v/>
      </c>
      <c r="BD54" s="462" t="n"/>
      <c r="BE54" s="833">
        <f>SUMIF($J23:$J47,"CONUS",BE23:BE47)</f>
        <v/>
      </c>
      <c r="BF54" s="833">
        <f>SUMIF($J23:$J47,"CONUS",BF23:BF47)</f>
        <v/>
      </c>
      <c r="BG54" s="833">
        <f>SUMIF($J23:$J47,"CONUS",BG23:BG47)</f>
        <v/>
      </c>
      <c r="BH54" s="833">
        <f>SUMIF($J23:$J47,"CONUS",BH23:BH47)</f>
        <v/>
      </c>
      <c r="BI54" s="833">
        <f>SUMIF($J23:$J47,"CONUS",BI23:BI47)</f>
        <v/>
      </c>
      <c r="BJ54" s="833">
        <f>SUMIF($J23:$J47,"CONUS",BJ23:BJ47)</f>
        <v/>
      </c>
      <c r="BK54" s="833">
        <f>SUMIF($J23:$J47,"CONUS",BK23:BK47)</f>
        <v/>
      </c>
      <c r="BL54" s="833">
        <f>SUMIF($J23:$J47,"CONUS",BL23:BL47)</f>
        <v/>
      </c>
      <c r="BM54" s="833">
        <f>SUMIF($J23:$J47,"CONUS",BM23:BM47)</f>
        <v/>
      </c>
      <c r="BN54" s="833">
        <f>SUMIF($J23:$J47,"CONUS",BN23:BN47)</f>
        <v/>
      </c>
      <c r="BO54" s="833">
        <f>SUMIF($J23:$J47,"CONUS",BO23:BO47)</f>
        <v/>
      </c>
      <c r="BP54" s="833">
        <f>SUMIF($J23:$J47,"CONUS",BP23:BP47)</f>
        <v/>
      </c>
      <c r="BQ54" s="833">
        <f>SUMIF($J23:$J47,"CONUS",BQ23:BQ47)</f>
        <v/>
      </c>
      <c r="BR54" s="507" t="n"/>
      <c r="BS54" s="833">
        <f>SUMIF($J23:$J47,"CONUS",BS23:BS47)</f>
        <v/>
      </c>
      <c r="BT54" s="833">
        <f>SUMIF($J23:$J47,"CONUS",BT23:BT47)</f>
        <v/>
      </c>
      <c r="BU54" s="833">
        <f>SUMIF($J23:$J47,"CONUS",BU23:BU47)</f>
        <v/>
      </c>
      <c r="BV54" s="833">
        <f>SUMIF($J23:$J47,"CONUS",BV23:BV47)</f>
        <v/>
      </c>
      <c r="BW54" s="833">
        <f>SUMIF($J23:$J47,"CONUS",BW23:BW47)</f>
        <v/>
      </c>
      <c r="BX54" s="833">
        <f>SUMIF($J23:$J47,"CONUS",BX23:BX47)</f>
        <v/>
      </c>
      <c r="BY54" s="833">
        <f>SUMIF($J23:$J47,"CONUS",BY23:BY47)</f>
        <v/>
      </c>
      <c r="BZ54" s="833">
        <f>SUMIF($J23:$J47,"CONUS",BZ23:BZ47)</f>
        <v/>
      </c>
      <c r="CA54" s="833">
        <f>SUMIF($J23:$J47,"CONUS",CA23:CA47)</f>
        <v/>
      </c>
      <c r="CB54" s="833">
        <f>SUMIF($J23:$J47,"CONUS",CB23:CB47)</f>
        <v/>
      </c>
      <c r="CC54" s="833">
        <f>SUMIF($J23:$J47,"CONUS",CC23:CC47)</f>
        <v/>
      </c>
      <c r="CD54" s="833">
        <f>SUMIF($J23:$J47,"CONUS",CD23:CD47)</f>
        <v/>
      </c>
      <c r="CE54" s="833">
        <f>SUMIF($J23:$J47,"CONUS",CE23:CE47)</f>
        <v/>
      </c>
      <c r="CF54" s="507" t="n"/>
      <c r="CG54" s="833">
        <f>SUMIF($J23:$J47,"CONUS",CG23:CG47)</f>
        <v/>
      </c>
      <c r="CH54" s="833">
        <f>SUMIF($J23:$J47,"CONUS",CH23:CH47)</f>
        <v/>
      </c>
      <c r="CI54" s="833">
        <f>SUMIF($J23:$J47,"CONUS",CI23:CI47)</f>
        <v/>
      </c>
      <c r="CJ54" s="833">
        <f>SUMIF($J23:$J47,"CONUS",CJ23:CJ47)</f>
        <v/>
      </c>
      <c r="CK54" s="833">
        <f>SUMIF($J23:$J47,"CONUS",CK23:CK47)</f>
        <v/>
      </c>
      <c r="CL54" s="833">
        <f>SUMIF($J23:$J47,"CONUS",CL23:CL47)</f>
        <v/>
      </c>
      <c r="CM54" s="833">
        <f>SUMIF($J23:$J47,"CONUS",CM23:CM47)</f>
        <v/>
      </c>
      <c r="CN54" s="833">
        <f>SUMIF($J23:$J47,"CONUS",CN23:CN47)</f>
        <v/>
      </c>
      <c r="CO54" s="833">
        <f>SUMIF($J23:$J47,"CONUS",CO23:CO47)</f>
        <v/>
      </c>
      <c r="CP54" s="833">
        <f>SUMIF($J23:$J47,"CONUS",CP23:CP47)</f>
        <v/>
      </c>
      <c r="CQ54" s="833">
        <f>SUMIF($J23:$J47,"CONUS",CQ23:CQ47)</f>
        <v/>
      </c>
      <c r="CR54" s="833">
        <f>SUMIF($J23:$J47,"CONUS",CR23:CR47)</f>
        <v/>
      </c>
      <c r="CS54" s="833">
        <f>SUMIF($J23:$J47,"CONUS",CS23:CS47)</f>
        <v/>
      </c>
      <c r="CT54" s="589" t="n"/>
      <c r="CU54" s="833">
        <f>SUMIF($J23:$J47,"CONUS",CU23:CU47)</f>
        <v/>
      </c>
      <c r="CV54" s="833">
        <f>SUMIF($J23:$J47,"CONUS",CV23:CV47)</f>
        <v/>
      </c>
      <c r="CW54" s="833">
        <f>SUMIF($J23:$J47,"CONUS",CW23:CW47)</f>
        <v/>
      </c>
      <c r="CX54" s="833">
        <f>SUMIF($J23:$J47,"CONUS",CX23:CX47)</f>
        <v/>
      </c>
      <c r="CY54" s="833">
        <f>SUMIF($J23:$J47,"CONUS",CY23:CY47)</f>
        <v/>
      </c>
      <c r="CZ54" s="833">
        <f>SUMIF($J23:$J47,"CONUS",CZ23:CZ47)</f>
        <v/>
      </c>
      <c r="DA54" s="833">
        <f>SUMIF($J23:$J47,"CONUS",DA23:DA47)</f>
        <v/>
      </c>
      <c r="DB54" s="833">
        <f>SUMIF($J23:$J47,"CONUS",DB23:DB47)</f>
        <v/>
      </c>
      <c r="DC54" s="833">
        <f>SUMIF($J23:$J47,"CONUS",DC23:DC47)</f>
        <v/>
      </c>
      <c r="DD54" s="833">
        <f>SUMIF($J23:$J47,"CONUS",DD23:DD47)</f>
        <v/>
      </c>
      <c r="DE54" s="833">
        <f>SUMIF($J23:$J47,"CONUS",DE23:DE47)</f>
        <v/>
      </c>
      <c r="DF54" s="833">
        <f>SUMIF($J23:$J47,"CONUS",DF23:DF47)</f>
        <v/>
      </c>
      <c r="DG54" s="833">
        <f>SUMIF($J23:$J47,"CONUS",DG23:DG47)</f>
        <v/>
      </c>
    </row>
    <row r="55" ht="15" customHeight="1" s="1883">
      <c r="B55" s="726" t="n"/>
      <c r="C55" s="726" t="n"/>
      <c r="D55" s="741" t="n"/>
      <c r="E55" s="736" t="n"/>
      <c r="F55" s="737" t="n"/>
      <c r="G55" s="737" t="n"/>
      <c r="H55" s="737" t="n"/>
      <c r="I55" s="736" t="n"/>
      <c r="J55" s="1931" t="inlineStr">
        <is>
          <t>∑, OCONUS</t>
        </is>
      </c>
      <c r="N55" s="737" t="n"/>
      <c r="O55" s="788">
        <f>SUMIF($J23:$J47,"OCONUS",O23:O47)</f>
        <v/>
      </c>
      <c r="P55" s="788">
        <f>SUMIF($J23:$J47,"OCONUS",P23:P47)</f>
        <v/>
      </c>
      <c r="Q55" s="788">
        <f>SUMIF($J23:$J47,"OCONUS",Q23:Q47)</f>
        <v/>
      </c>
      <c r="R55" s="788">
        <f>SUMIF($J23:$J47,"OCONUS",R23:R47)</f>
        <v/>
      </c>
      <c r="S55" s="788">
        <f>SUMIF($J23:$J47,"OCONUS",S23:S47)</f>
        <v/>
      </c>
      <c r="T55" s="788">
        <f>SUMIF($J23:$J47,"OCONUS",T23:T47)</f>
        <v/>
      </c>
      <c r="U55" s="737" t="n"/>
      <c r="V55" s="736" t="n"/>
      <c r="W55" s="736" t="n"/>
      <c r="X55" s="736" t="n"/>
      <c r="Y55" s="736" t="n"/>
      <c r="Z55" s="1931" t="inlineStr">
        <is>
          <t>∑, OCONUS</t>
        </is>
      </c>
      <c r="AB55" s="791" t="n"/>
      <c r="AC55" s="834">
        <f>SUMIF($J23:$J47,"OCONUS",AC23:AC47)</f>
        <v/>
      </c>
      <c r="AD55" s="834">
        <f>SUMIF($J23:$J47,"OCONUS",AD23:AD47)</f>
        <v/>
      </c>
      <c r="AE55" s="834">
        <f>SUMIF($J23:$J47,"OCONUS",AE23:AE47)</f>
        <v/>
      </c>
      <c r="AF55" s="834">
        <f>SUMIF($J23:$J47,"OCONUS",AF23:AF47)</f>
        <v/>
      </c>
      <c r="AG55" s="834">
        <f>SUMIF($J23:$J47,"OCONUS",AG23:AG47)</f>
        <v/>
      </c>
      <c r="AH55" s="834">
        <f>SUMIF($J23:$J47,"OCONUS",AH23:AH47)</f>
        <v/>
      </c>
      <c r="AI55" s="834">
        <f>SUMIF($J23:$J47,"OCONUS",AI23:AI47)</f>
        <v/>
      </c>
      <c r="AJ55" s="834">
        <f>SUMIF($J23:$J47,"OCONUS",AJ23:AJ47)</f>
        <v/>
      </c>
      <c r="AK55" s="834">
        <f>SUMIF($J23:$J47,"OCONUS",AK23:AK47)</f>
        <v/>
      </c>
      <c r="AL55" s="834">
        <f>SUMIF($J23:$J47,"OCONUS",AL23:AL47)</f>
        <v/>
      </c>
      <c r="AM55" s="834">
        <f>SUMIF($J23:$J47,"OCONUS",AM23:AM47)</f>
        <v/>
      </c>
      <c r="AN55" s="834">
        <f>SUMIF($J23:$J47,"OCONUS",AN23:AN47)</f>
        <v/>
      </c>
      <c r="AO55" s="834">
        <f>SUMIF($J23:$J47,"OCONUS",AO23:AO47)</f>
        <v/>
      </c>
      <c r="AP55" s="462" t="n"/>
      <c r="AQ55" s="834">
        <f>SUMIF($J23:$J47,"OCONUS",AQ23:AQ47)</f>
        <v/>
      </c>
      <c r="AR55" s="834">
        <f>SUMIF($J23:$J47,"OCONUS",AR23:AR47)</f>
        <v/>
      </c>
      <c r="AS55" s="834">
        <f>SUMIF($J23:$J47,"OCONUS",AS23:AS47)</f>
        <v/>
      </c>
      <c r="AT55" s="834">
        <f>SUMIF($J23:$J47,"OCONUS",AT23:AT47)</f>
        <v/>
      </c>
      <c r="AU55" s="834">
        <f>SUMIF($J23:$J47,"OCONUS",AU23:AU47)</f>
        <v/>
      </c>
      <c r="AV55" s="834">
        <f>SUMIF($J23:$J47,"OCONUS",AV23:AV47)</f>
        <v/>
      </c>
      <c r="AW55" s="834">
        <f>SUMIF($J23:$J47,"OCONUS",AW23:AW47)</f>
        <v/>
      </c>
      <c r="AX55" s="834">
        <f>SUMIF($J23:$J47,"OCONUS",AX23:AX47)</f>
        <v/>
      </c>
      <c r="AY55" s="834">
        <f>SUMIF($J23:$J47,"OCONUS",AY23:AY47)</f>
        <v/>
      </c>
      <c r="AZ55" s="834">
        <f>SUMIF($J23:$J47,"OCONUS",AZ23:AZ47)</f>
        <v/>
      </c>
      <c r="BA55" s="834">
        <f>SUMIF($J23:$J47,"OCONUS",BA23:BA47)</f>
        <v/>
      </c>
      <c r="BB55" s="834">
        <f>SUMIF($J23:$J47,"OCONUS",BB23:BB47)</f>
        <v/>
      </c>
      <c r="BC55" s="834">
        <f>SUMIF($J23:$J47,"OCONUS",BC23:BC47)</f>
        <v/>
      </c>
      <c r="BD55" s="462" t="n"/>
      <c r="BE55" s="834">
        <f>SUMIF($J23:$J47,"OCONUS",BE23:BE47)</f>
        <v/>
      </c>
      <c r="BF55" s="834">
        <f>SUMIF($J23:$J47,"OCONUS",BF23:BF47)</f>
        <v/>
      </c>
      <c r="BG55" s="834">
        <f>SUMIF($J23:$J47,"OCONUS",BG23:BG47)</f>
        <v/>
      </c>
      <c r="BH55" s="834">
        <f>SUMIF($J23:$J47,"OCONUS",BH23:BH47)</f>
        <v/>
      </c>
      <c r="BI55" s="834">
        <f>SUMIF($J23:$J47,"OCONUS",BI23:BI47)</f>
        <v/>
      </c>
      <c r="BJ55" s="834">
        <f>SUMIF($J23:$J47,"OCONUS",BJ23:BJ47)</f>
        <v/>
      </c>
      <c r="BK55" s="834">
        <f>SUMIF($J23:$J47,"OCONUS",BK23:BK47)</f>
        <v/>
      </c>
      <c r="BL55" s="834">
        <f>SUMIF($J23:$J47,"OCONUS",BL23:BL47)</f>
        <v/>
      </c>
      <c r="BM55" s="834">
        <f>SUMIF($J23:$J47,"OCONUS",BM23:BM47)</f>
        <v/>
      </c>
      <c r="BN55" s="834">
        <f>SUMIF($J23:$J47,"OCONUS",BN23:BN47)</f>
        <v/>
      </c>
      <c r="BO55" s="834">
        <f>SUMIF($J23:$J47,"OCONUS",BO23:BO47)</f>
        <v/>
      </c>
      <c r="BP55" s="834">
        <f>SUMIF($J23:$J47,"OCONUS",BP23:BP47)</f>
        <v/>
      </c>
      <c r="BQ55" s="834">
        <f>SUMIF($J23:$J47,"OCONUS",BQ23:BQ47)</f>
        <v/>
      </c>
      <c r="BR55" s="507" t="n"/>
      <c r="BS55" s="834">
        <f>SUMIF($J23:$J47,"OCONUS",BS23:BS47)</f>
        <v/>
      </c>
      <c r="BT55" s="834">
        <f>SUMIF($J23:$J47,"OCONUS",BT23:BT47)</f>
        <v/>
      </c>
      <c r="BU55" s="834">
        <f>SUMIF($J23:$J47,"OCONUS",BU23:BU47)</f>
        <v/>
      </c>
      <c r="BV55" s="834">
        <f>SUMIF($J23:$J47,"OCONUS",BV23:BV47)</f>
        <v/>
      </c>
      <c r="BW55" s="834">
        <f>SUMIF($J23:$J47,"OCONUS",BW23:BW47)</f>
        <v/>
      </c>
      <c r="BX55" s="834">
        <f>SUMIF($J23:$J47,"OCONUS",BX23:BX47)</f>
        <v/>
      </c>
      <c r="BY55" s="834">
        <f>SUMIF($J23:$J47,"OCONUS",BY23:BY47)</f>
        <v/>
      </c>
      <c r="BZ55" s="834">
        <f>SUMIF($J23:$J47,"OCONUS",BZ23:BZ47)</f>
        <v/>
      </c>
      <c r="CA55" s="834">
        <f>SUMIF($J23:$J47,"OCONUS",CA23:CA47)</f>
        <v/>
      </c>
      <c r="CB55" s="834">
        <f>SUMIF($J23:$J47,"OCONUS",CB23:CB47)</f>
        <v/>
      </c>
      <c r="CC55" s="834">
        <f>SUMIF($J23:$J47,"OCONUS",CC23:CC47)</f>
        <v/>
      </c>
      <c r="CD55" s="834">
        <f>SUMIF($J23:$J47,"OCONUS",CD23:CD47)</f>
        <v/>
      </c>
      <c r="CE55" s="834">
        <f>SUMIF($J23:$J47,"OCONUS",CE23:CE47)</f>
        <v/>
      </c>
      <c r="CF55" s="507" t="n"/>
      <c r="CG55" s="834">
        <f>SUMIF($J23:$J47,"OCONUS",CG23:CG47)</f>
        <v/>
      </c>
      <c r="CH55" s="834">
        <f>SUMIF($J23:$J47,"OCONUS",CH23:CH47)</f>
        <v/>
      </c>
      <c r="CI55" s="834">
        <f>SUMIF($J23:$J47,"OCONUS",CI23:CI47)</f>
        <v/>
      </c>
      <c r="CJ55" s="834">
        <f>SUMIF($J23:$J47,"OCONUS",CJ23:CJ47)</f>
        <v/>
      </c>
      <c r="CK55" s="834">
        <f>SUMIF($J23:$J47,"OCONUS",CK23:CK47)</f>
        <v/>
      </c>
      <c r="CL55" s="834">
        <f>SUMIF($J23:$J47,"OCONUS",CL23:CL47)</f>
        <v/>
      </c>
      <c r="CM55" s="834">
        <f>SUMIF($J23:$J47,"OCONUS",CM23:CM47)</f>
        <v/>
      </c>
      <c r="CN55" s="834">
        <f>SUMIF($J23:$J47,"OCONUS",CN23:CN47)</f>
        <v/>
      </c>
      <c r="CO55" s="834">
        <f>SUMIF($J23:$J47,"OCONUS",CO23:CO47)</f>
        <v/>
      </c>
      <c r="CP55" s="834">
        <f>SUMIF($J23:$J47,"OCONUS",CP23:CP47)</f>
        <v/>
      </c>
      <c r="CQ55" s="834">
        <f>SUMIF($J23:$J47,"OCONUS",CQ23:CQ47)</f>
        <v/>
      </c>
      <c r="CR55" s="834">
        <f>SUMIF($J23:$J47,"OCONUS",CR23:CR47)</f>
        <v/>
      </c>
      <c r="CS55" s="834">
        <f>SUMIF($J23:$J47,"OCONUS",CS23:CS47)</f>
        <v/>
      </c>
      <c r="CT55" s="589" t="n"/>
      <c r="CU55" s="834">
        <f>SUMIF($J23:$J47,"OCONUS",CU23:CU47)</f>
        <v/>
      </c>
      <c r="CV55" s="834">
        <f>SUMIF($J23:$J47,"OCONUS",CV23:CV47)</f>
        <v/>
      </c>
      <c r="CW55" s="834">
        <f>SUMIF($J23:$J47,"OCONUS",CW23:CW47)</f>
        <v/>
      </c>
      <c r="CX55" s="834">
        <f>SUMIF($J23:$J47,"OCONUS",CX23:CX47)</f>
        <v/>
      </c>
      <c r="CY55" s="834">
        <f>SUMIF($J23:$J47,"OCONUS",CY23:CY47)</f>
        <v/>
      </c>
      <c r="CZ55" s="834">
        <f>SUMIF($J23:$J47,"OCONUS",CZ23:CZ47)</f>
        <v/>
      </c>
      <c r="DA55" s="834">
        <f>SUMIF($J23:$J47,"OCONUS",DA23:DA47)</f>
        <v/>
      </c>
      <c r="DB55" s="834">
        <f>SUMIF($J23:$J47,"OCONUS",DB23:DB47)</f>
        <v/>
      </c>
      <c r="DC55" s="834">
        <f>SUMIF($J23:$J47,"OCONUS",DC23:DC47)</f>
        <v/>
      </c>
      <c r="DD55" s="834">
        <f>SUMIF($J23:$J47,"OCONUS",DD23:DD47)</f>
        <v/>
      </c>
      <c r="DE55" s="834">
        <f>SUMIF($J23:$J47,"OCONUS",DE23:DE47)</f>
        <v/>
      </c>
      <c r="DF55" s="834">
        <f>SUMIF($J23:$J47,"OCONUS",DF23:DF47)</f>
        <v/>
      </c>
      <c r="DG55" s="834">
        <f>SUMIF($J23:$J47,"OCONUS",DG23:DG47)</f>
        <v/>
      </c>
    </row>
    <row r="56" ht="3" customHeight="1" s="1883">
      <c r="B56" s="726" t="n"/>
      <c r="C56" s="726" t="n"/>
      <c r="D56" s="741" t="n"/>
      <c r="E56" s="736" t="n"/>
      <c r="F56" s="737" t="n"/>
      <c r="G56" s="737" t="n"/>
      <c r="H56" s="737" t="n"/>
      <c r="I56" s="736" t="n"/>
      <c r="J56" s="736" t="n"/>
      <c r="K56" s="1931" t="n"/>
      <c r="L56" s="1931" t="n"/>
      <c r="N56" s="737" t="n"/>
      <c r="O56" s="757" t="n"/>
      <c r="P56" s="757" t="n"/>
      <c r="Q56" s="757" t="n"/>
      <c r="R56" s="757" t="n"/>
      <c r="S56" s="757" t="n"/>
      <c r="T56" s="757" t="n"/>
      <c r="U56" s="737" t="n"/>
      <c r="V56" s="736" t="n"/>
      <c r="W56" s="736" t="n"/>
      <c r="X56" s="736" t="n"/>
      <c r="Y56" s="736" t="n"/>
      <c r="Z56" s="1931" t="n"/>
      <c r="AB56" s="1931" t="n"/>
      <c r="AC56" s="792" t="n"/>
      <c r="AD56" s="792" t="n"/>
      <c r="AE56" s="792" t="n"/>
      <c r="AF56" s="792" t="n"/>
      <c r="AG56" s="792" t="n"/>
      <c r="AH56" s="792" t="n"/>
      <c r="AI56" s="792" t="n"/>
      <c r="AJ56" s="792" t="n"/>
      <c r="AK56" s="792" t="n"/>
      <c r="AL56" s="792" t="n"/>
      <c r="AM56" s="792" t="n"/>
      <c r="AN56" s="792" t="n"/>
      <c r="AO56" s="792" t="n"/>
      <c r="AP56" s="462" t="n"/>
      <c r="AQ56" s="792" t="n"/>
      <c r="AR56" s="792" t="n"/>
      <c r="AS56" s="792" t="n"/>
      <c r="AT56" s="792" t="n"/>
      <c r="AU56" s="792" t="n"/>
      <c r="AV56" s="792" t="n"/>
      <c r="AW56" s="792" t="n"/>
      <c r="AX56" s="792" t="n"/>
      <c r="AY56" s="792" t="n"/>
      <c r="AZ56" s="792" t="n"/>
      <c r="BA56" s="792" t="n"/>
      <c r="BB56" s="792" t="n"/>
      <c r="BC56" s="792" t="n"/>
      <c r="BD56" s="462" t="n"/>
      <c r="BE56" s="792" t="n"/>
      <c r="BF56" s="792" t="n"/>
      <c r="BG56" s="792" t="n"/>
      <c r="BH56" s="792" t="n"/>
      <c r="BI56" s="792" t="n"/>
      <c r="BJ56" s="792" t="n"/>
      <c r="BK56" s="792" t="n"/>
      <c r="BL56" s="792" t="n"/>
      <c r="BM56" s="792" t="n"/>
      <c r="BN56" s="792" t="n"/>
      <c r="BO56" s="792" t="n"/>
      <c r="BP56" s="792" t="n"/>
      <c r="BQ56" s="792" t="n"/>
      <c r="BR56" s="507" t="n"/>
      <c r="BS56" s="792" t="n"/>
      <c r="BT56" s="792" t="n"/>
      <c r="BU56" s="792" t="n"/>
      <c r="BV56" s="792" t="n"/>
      <c r="BW56" s="792" t="n"/>
      <c r="BX56" s="792" t="n"/>
      <c r="BY56" s="792" t="n"/>
      <c r="BZ56" s="792" t="n"/>
      <c r="CA56" s="792" t="n"/>
      <c r="CB56" s="792" t="n"/>
      <c r="CC56" s="792" t="n"/>
      <c r="CD56" s="792" t="n"/>
      <c r="CE56" s="792" t="n"/>
      <c r="CF56" s="507" t="n"/>
      <c r="CG56" s="792" t="n"/>
      <c r="CH56" s="792" t="n"/>
      <c r="CI56" s="792" t="n"/>
      <c r="CJ56" s="792" t="n"/>
      <c r="CK56" s="792" t="n"/>
      <c r="CL56" s="792" t="n"/>
      <c r="CM56" s="792" t="n"/>
      <c r="CN56" s="792" t="n"/>
      <c r="CO56" s="792" t="n"/>
      <c r="CP56" s="792" t="n"/>
      <c r="CQ56" s="792" t="n"/>
      <c r="CR56" s="792" t="n"/>
      <c r="CS56" s="792" t="n"/>
      <c r="CT56" s="589" t="n"/>
      <c r="CU56" s="792" t="n"/>
      <c r="CV56" s="792" t="n"/>
      <c r="CW56" s="792" t="n"/>
      <c r="CX56" s="792" t="n"/>
      <c r="CY56" s="792" t="n"/>
      <c r="CZ56" s="792" t="n"/>
      <c r="DA56" s="792" t="n"/>
      <c r="DB56" s="792" t="n"/>
      <c r="DC56" s="792" t="n"/>
      <c r="DD56" s="792" t="n"/>
      <c r="DE56" s="792" t="n"/>
      <c r="DF56" s="792" t="n"/>
      <c r="DG56" s="792" t="n"/>
    </row>
    <row r="57" ht="3" customHeight="1" s="1883">
      <c r="B57" s="726" t="n"/>
      <c r="C57" s="726" t="n"/>
      <c r="D57" s="741" t="n"/>
      <c r="E57" s="736" t="n"/>
      <c r="F57" s="737" t="n"/>
      <c r="G57" s="737" t="n"/>
      <c r="H57" s="737" t="n"/>
      <c r="I57" s="736" t="n"/>
      <c r="J57" s="736" t="n"/>
      <c r="K57" s="1931" t="n"/>
      <c r="L57" s="1931" t="n"/>
      <c r="N57" s="737" t="n"/>
      <c r="O57" s="737" t="n"/>
      <c r="P57" s="737" t="n"/>
      <c r="Q57" s="737" t="n"/>
      <c r="R57" s="737" t="n"/>
      <c r="S57" s="737" t="n"/>
      <c r="T57" s="737" t="n"/>
      <c r="U57" s="737" t="n"/>
      <c r="V57" s="736" t="n"/>
      <c r="W57" s="736" t="n"/>
      <c r="X57" s="736" t="n"/>
      <c r="Y57" s="736" t="n"/>
      <c r="Z57" s="1931" t="n"/>
      <c r="AB57" s="1931" t="n"/>
      <c r="AC57" s="1931" t="n"/>
      <c r="AD57" s="1931" t="n"/>
      <c r="AE57" s="1931" t="n"/>
      <c r="AF57" s="1931" t="n"/>
      <c r="AG57" s="1931" t="n"/>
      <c r="AH57" s="1931" t="n"/>
      <c r="AI57" s="1931" t="n"/>
      <c r="AJ57" s="1931" t="n"/>
      <c r="AK57" s="1931" t="n"/>
      <c r="AL57" s="1931" t="n"/>
      <c r="AM57" s="1931" t="n"/>
      <c r="AN57" s="1931" t="n"/>
      <c r="AO57" s="1931" t="n"/>
      <c r="AP57" s="462" t="n"/>
      <c r="AQ57" s="1931" t="n"/>
      <c r="AR57" s="1931" t="n"/>
      <c r="AS57" s="1931" t="n"/>
      <c r="AT57" s="1931" t="n"/>
      <c r="AU57" s="1931" t="n"/>
      <c r="AV57" s="1931" t="n"/>
      <c r="AW57" s="1931" t="n"/>
      <c r="AX57" s="1931" t="n"/>
      <c r="AY57" s="1931" t="n"/>
      <c r="AZ57" s="1931" t="n"/>
      <c r="BA57" s="1931" t="n"/>
      <c r="BB57" s="1931" t="n"/>
      <c r="BC57" s="1931" t="n"/>
      <c r="BD57" s="462" t="n"/>
      <c r="BE57" s="1931" t="n"/>
      <c r="BF57" s="1931" t="n"/>
      <c r="BG57" s="1931" t="n"/>
      <c r="BH57" s="1931" t="n"/>
      <c r="BI57" s="1931" t="n"/>
      <c r="BJ57" s="1931" t="n"/>
      <c r="BK57" s="1931" t="n"/>
      <c r="BL57" s="1931" t="n"/>
      <c r="BM57" s="1931" t="n"/>
      <c r="BN57" s="1931" t="n"/>
      <c r="BO57" s="1931" t="n"/>
      <c r="BP57" s="1931" t="n"/>
      <c r="BQ57" s="1931" t="n"/>
      <c r="BR57" s="507" t="n"/>
      <c r="BS57" s="1931" t="n"/>
      <c r="BT57" s="1931" t="n"/>
      <c r="BU57" s="1931" t="n"/>
      <c r="BV57" s="1931" t="n"/>
      <c r="BW57" s="1931" t="n"/>
      <c r="BX57" s="1931" t="n"/>
      <c r="BY57" s="1931" t="n"/>
      <c r="BZ57" s="1931" t="n"/>
      <c r="CA57" s="1931" t="n"/>
      <c r="CB57" s="1931" t="n"/>
      <c r="CC57" s="1931" t="n"/>
      <c r="CD57" s="1931" t="n"/>
      <c r="CE57" s="1931" t="n"/>
      <c r="CF57" s="507" t="n"/>
      <c r="CG57" s="1931" t="n"/>
      <c r="CH57" s="1931" t="n"/>
      <c r="CI57" s="1931" t="n"/>
      <c r="CJ57" s="1931" t="n"/>
      <c r="CK57" s="1931" t="n"/>
      <c r="CL57" s="1931" t="n"/>
      <c r="CM57" s="1931" t="n"/>
      <c r="CN57" s="1931" t="n"/>
      <c r="CO57" s="1931" t="n"/>
      <c r="CP57" s="1931" t="n"/>
      <c r="CQ57" s="1931" t="n"/>
      <c r="CR57" s="1931" t="n"/>
      <c r="CS57" s="1931" t="n"/>
      <c r="CT57" s="589" t="n"/>
      <c r="CU57" s="1931" t="n"/>
      <c r="CV57" s="1931" t="n"/>
      <c r="CW57" s="1931" t="n"/>
      <c r="CX57" s="1931" t="n"/>
      <c r="CY57" s="1931" t="n"/>
      <c r="CZ57" s="1931" t="n"/>
      <c r="DA57" s="1931" t="n"/>
      <c r="DB57" s="1931" t="n"/>
      <c r="DC57" s="1931" t="n"/>
      <c r="DD57" s="1931" t="n"/>
      <c r="DE57" s="1931" t="n"/>
      <c r="DF57" s="1931" t="n"/>
      <c r="DG57" s="1931" t="n"/>
    </row>
    <row r="58" ht="15" customHeight="1" s="1883">
      <c r="B58" s="726" t="n"/>
      <c r="C58" s="726" t="n"/>
      <c r="D58" s="741" t="n"/>
      <c r="E58" s="736" t="n"/>
      <c r="F58" s="737" t="n"/>
      <c r="G58" s="737" t="n"/>
      <c r="H58" s="737" t="n"/>
      <c r="I58" s="736" t="n"/>
      <c r="J58" s="1932" t="inlineStr">
        <is>
          <t>∑, CONUS + ∑, OCONUS</t>
        </is>
      </c>
      <c r="N58" s="737" t="n"/>
      <c r="O58" s="760">
        <f>SUM(O54:O55)</f>
        <v/>
      </c>
      <c r="P58" s="760">
        <f>SUM(P54:P55)</f>
        <v/>
      </c>
      <c r="Q58" s="760">
        <f>SUM(Q54:Q55)</f>
        <v/>
      </c>
      <c r="R58" s="760">
        <f>SUM(R54:R55)</f>
        <v/>
      </c>
      <c r="S58" s="760">
        <f>SUM(S54:S55)</f>
        <v/>
      </c>
      <c r="T58" s="760">
        <f>SUM(T54:T55)</f>
        <v/>
      </c>
      <c r="U58" s="737" t="n"/>
      <c r="V58" s="736" t="n"/>
      <c r="W58" s="736" t="n"/>
      <c r="X58" s="736" t="n"/>
      <c r="Y58" s="736" t="n"/>
      <c r="Z58" s="1932" t="inlineStr">
        <is>
          <t>∑, CONUS + ∑, OCONUS</t>
        </is>
      </c>
      <c r="AB58" s="790" t="n"/>
      <c r="AC58" s="767">
        <f>SUM(AC54:AC55)</f>
        <v/>
      </c>
      <c r="AD58" s="767">
        <f>SUM(AD54:AD55)</f>
        <v/>
      </c>
      <c r="AE58" s="767">
        <f>SUM(AE54:AE55)</f>
        <v/>
      </c>
      <c r="AF58" s="767">
        <f>SUM(AF54:AF55)</f>
        <v/>
      </c>
      <c r="AG58" s="767">
        <f>SUM(AG54:AG55)</f>
        <v/>
      </c>
      <c r="AH58" s="767">
        <f>SUM(AH54:AH55)</f>
        <v/>
      </c>
      <c r="AI58" s="767">
        <f>SUM(AI54:AI55)</f>
        <v/>
      </c>
      <c r="AJ58" s="767">
        <f>SUM(AJ54:AJ55)</f>
        <v/>
      </c>
      <c r="AK58" s="767">
        <f>SUM(AK54:AK55)</f>
        <v/>
      </c>
      <c r="AL58" s="767">
        <f>SUM(AL54:AL55)</f>
        <v/>
      </c>
      <c r="AM58" s="767">
        <f>SUM(AM54:AM55)</f>
        <v/>
      </c>
      <c r="AN58" s="767">
        <f>SUM(AN54:AN55)</f>
        <v/>
      </c>
      <c r="AO58" s="767">
        <f>SUM(AO54:AO55)</f>
        <v/>
      </c>
      <c r="AP58" s="462" t="n"/>
      <c r="AQ58" s="767">
        <f>SUM(AQ54:AQ55)</f>
        <v/>
      </c>
      <c r="AR58" s="767">
        <f>SUM(AR54:AR55)</f>
        <v/>
      </c>
      <c r="AS58" s="767">
        <f>SUM(AS54:AS55)</f>
        <v/>
      </c>
      <c r="AT58" s="767">
        <f>SUM(AT54:AT55)</f>
        <v/>
      </c>
      <c r="AU58" s="767">
        <f>SUM(AU54:AU55)</f>
        <v/>
      </c>
      <c r="AV58" s="767">
        <f>SUM(AV54:AV55)</f>
        <v/>
      </c>
      <c r="AW58" s="767">
        <f>SUM(AW54:AW55)</f>
        <v/>
      </c>
      <c r="AX58" s="767">
        <f>SUM(AX54:AX55)</f>
        <v/>
      </c>
      <c r="AY58" s="767">
        <f>SUM(AY54:AY55)</f>
        <v/>
      </c>
      <c r="AZ58" s="767">
        <f>SUM(AZ54:AZ55)</f>
        <v/>
      </c>
      <c r="BA58" s="767">
        <f>SUM(BA54:BA55)</f>
        <v/>
      </c>
      <c r="BB58" s="767">
        <f>SUM(BB54:BB55)</f>
        <v/>
      </c>
      <c r="BC58" s="767">
        <f>SUM(BC54:BC55)</f>
        <v/>
      </c>
      <c r="BD58" s="462" t="n"/>
      <c r="BE58" s="767">
        <f>SUM(BE54:BE55)</f>
        <v/>
      </c>
      <c r="BF58" s="767">
        <f>SUM(BF54:BF55)</f>
        <v/>
      </c>
      <c r="BG58" s="767">
        <f>SUM(BG54:BG55)</f>
        <v/>
      </c>
      <c r="BH58" s="767">
        <f>SUM(BH54:BH55)</f>
        <v/>
      </c>
      <c r="BI58" s="767">
        <f>SUM(BI54:BI55)</f>
        <v/>
      </c>
      <c r="BJ58" s="767">
        <f>SUM(BJ54:BJ55)</f>
        <v/>
      </c>
      <c r="BK58" s="767">
        <f>SUM(BK54:BK55)</f>
        <v/>
      </c>
      <c r="BL58" s="767">
        <f>SUM(BL54:BL55)</f>
        <v/>
      </c>
      <c r="BM58" s="767">
        <f>SUM(BM54:BM55)</f>
        <v/>
      </c>
      <c r="BN58" s="767">
        <f>SUM(BN54:BN55)</f>
        <v/>
      </c>
      <c r="BO58" s="767">
        <f>SUM(BO54:BO55)</f>
        <v/>
      </c>
      <c r="BP58" s="767">
        <f>SUM(BP54:BP55)</f>
        <v/>
      </c>
      <c r="BQ58" s="767">
        <f>SUM(BQ54:BQ55)</f>
        <v/>
      </c>
      <c r="BR58" s="507" t="n"/>
      <c r="BS58" s="767">
        <f>SUM(BS54:BS55)</f>
        <v/>
      </c>
      <c r="BT58" s="767">
        <f>SUM(BT54:BT55)</f>
        <v/>
      </c>
      <c r="BU58" s="767">
        <f>SUM(BU54:BU55)</f>
        <v/>
      </c>
      <c r="BV58" s="767">
        <f>SUM(BV54:BV55)</f>
        <v/>
      </c>
      <c r="BW58" s="767">
        <f>SUM(BW54:BW55)</f>
        <v/>
      </c>
      <c r="BX58" s="767">
        <f>SUM(BX54:BX55)</f>
        <v/>
      </c>
      <c r="BY58" s="767">
        <f>SUM(BY54:BY55)</f>
        <v/>
      </c>
      <c r="BZ58" s="767">
        <f>SUM(BZ54:BZ55)</f>
        <v/>
      </c>
      <c r="CA58" s="767">
        <f>SUM(CA54:CA55)</f>
        <v/>
      </c>
      <c r="CB58" s="767">
        <f>SUM(CB54:CB55)</f>
        <v/>
      </c>
      <c r="CC58" s="767">
        <f>SUM(CC54:CC55)</f>
        <v/>
      </c>
      <c r="CD58" s="767">
        <f>SUM(CD54:CD55)</f>
        <v/>
      </c>
      <c r="CE58" s="767">
        <f>SUM(CE54:CE55)</f>
        <v/>
      </c>
      <c r="CF58" s="507" t="n"/>
      <c r="CG58" s="767">
        <f>SUM(CG54:CG55)</f>
        <v/>
      </c>
      <c r="CH58" s="767">
        <f>SUM(CH54:CH55)</f>
        <v/>
      </c>
      <c r="CI58" s="767">
        <f>SUM(CI54:CI55)</f>
        <v/>
      </c>
      <c r="CJ58" s="767">
        <f>SUM(CJ54:CJ55)</f>
        <v/>
      </c>
      <c r="CK58" s="767">
        <f>SUM(CK54:CK55)</f>
        <v/>
      </c>
      <c r="CL58" s="767">
        <f>SUM(CL54:CL55)</f>
        <v/>
      </c>
      <c r="CM58" s="767">
        <f>SUM(CM54:CM55)</f>
        <v/>
      </c>
      <c r="CN58" s="767">
        <f>SUM(CN54:CN55)</f>
        <v/>
      </c>
      <c r="CO58" s="767">
        <f>SUM(CO54:CO55)</f>
        <v/>
      </c>
      <c r="CP58" s="767">
        <f>SUM(CP54:CP55)</f>
        <v/>
      </c>
      <c r="CQ58" s="767">
        <f>SUM(CQ54:CQ55)</f>
        <v/>
      </c>
      <c r="CR58" s="767">
        <f>SUM(CR54:CR55)</f>
        <v/>
      </c>
      <c r="CS58" s="767">
        <f>SUM(CS54:CS55)</f>
        <v/>
      </c>
      <c r="CT58" s="589" t="n"/>
      <c r="CU58" s="767">
        <f>SUM(CU54:CU55)</f>
        <v/>
      </c>
      <c r="CV58" s="767">
        <f>SUM(CV54:CV55)</f>
        <v/>
      </c>
      <c r="CW58" s="767">
        <f>SUM(CW54:CW55)</f>
        <v/>
      </c>
      <c r="CX58" s="767">
        <f>SUM(CX54:CX55)</f>
        <v/>
      </c>
      <c r="CY58" s="767">
        <f>SUM(CY54:CY55)</f>
        <v/>
      </c>
      <c r="CZ58" s="767">
        <f>SUM(CZ54:CZ55)</f>
        <v/>
      </c>
      <c r="DA58" s="767">
        <f>SUM(DA54:DA55)</f>
        <v/>
      </c>
      <c r="DB58" s="767">
        <f>SUM(DB54:DB55)</f>
        <v/>
      </c>
      <c r="DC58" s="767">
        <f>SUM(DC54:DC55)</f>
        <v/>
      </c>
      <c r="DD58" s="767">
        <f>SUM(DD54:DD55)</f>
        <v/>
      </c>
      <c r="DE58" s="767">
        <f>SUM(DE54:DE55)</f>
        <v/>
      </c>
      <c r="DF58" s="767">
        <f>SUM(DF54:DF55)</f>
        <v/>
      </c>
      <c r="DG58" s="767">
        <f>SUM(DG54:DG55)</f>
        <v/>
      </c>
    </row>
    <row r="59" ht="3" customHeight="1" s="1883">
      <c r="B59" s="726" t="n"/>
      <c r="C59" s="726" t="n"/>
      <c r="D59" s="741" t="n"/>
      <c r="E59" s="736" t="n"/>
      <c r="F59" s="737" t="n"/>
      <c r="G59" s="737" t="n"/>
      <c r="H59" s="737" t="n"/>
      <c r="I59" s="736" t="n"/>
      <c r="J59" s="736" t="n"/>
      <c r="K59" s="737" t="n"/>
      <c r="L59" s="737" t="n"/>
      <c r="M59" s="737" t="n"/>
      <c r="N59" s="737" t="n"/>
      <c r="O59" s="757" t="n"/>
      <c r="P59" s="757" t="n"/>
      <c r="Q59" s="757" t="n"/>
      <c r="R59" s="757" t="n"/>
      <c r="S59" s="757" t="n"/>
      <c r="T59" s="757" t="n"/>
      <c r="U59" s="737" t="n"/>
      <c r="V59" s="736" t="n"/>
      <c r="W59" s="736" t="n"/>
      <c r="X59" s="736" t="n"/>
      <c r="Y59" s="736" t="n"/>
      <c r="Z59" s="736" t="n"/>
      <c r="AA59" s="746" t="n"/>
      <c r="AB59" s="726" t="n"/>
      <c r="AC59" s="735" t="n"/>
      <c r="AD59" s="735" t="n"/>
      <c r="AE59" s="735" t="n"/>
      <c r="AF59" s="735" t="n"/>
      <c r="AG59" s="735" t="n"/>
      <c r="AH59" s="735" t="n"/>
      <c r="AI59" s="735" t="n"/>
      <c r="AJ59" s="735" t="n"/>
      <c r="AK59" s="735" t="n"/>
      <c r="AL59" s="735" t="n"/>
      <c r="AM59" s="735" t="n"/>
      <c r="AN59" s="735" t="n"/>
      <c r="AO59" s="735" t="n"/>
      <c r="AP59" s="462" t="n"/>
      <c r="AQ59" s="735" t="n"/>
      <c r="AR59" s="735" t="n"/>
      <c r="AS59" s="735" t="n"/>
      <c r="AT59" s="735" t="n"/>
      <c r="AU59" s="735" t="n"/>
      <c r="AV59" s="735" t="n"/>
      <c r="AW59" s="735" t="n"/>
      <c r="AX59" s="735" t="n"/>
      <c r="AY59" s="735" t="n"/>
      <c r="AZ59" s="735" t="n"/>
      <c r="BA59" s="735" t="n"/>
      <c r="BB59" s="735" t="n"/>
      <c r="BC59" s="735" t="n"/>
      <c r="BD59" s="462" t="n"/>
      <c r="BE59" s="735" t="n"/>
      <c r="BF59" s="735" t="n"/>
      <c r="BG59" s="735" t="n"/>
      <c r="BH59" s="735" t="n"/>
      <c r="BI59" s="735" t="n"/>
      <c r="BJ59" s="735" t="n"/>
      <c r="BK59" s="735" t="n"/>
      <c r="BL59" s="735" t="n"/>
      <c r="BM59" s="735" t="n"/>
      <c r="BN59" s="735" t="n"/>
      <c r="BO59" s="735" t="n"/>
      <c r="BP59" s="735" t="n"/>
      <c r="BQ59" s="735" t="n"/>
      <c r="BR59" s="507" t="n"/>
      <c r="BS59" s="735" t="n"/>
      <c r="BT59" s="735" t="n"/>
      <c r="BU59" s="735" t="n"/>
      <c r="BV59" s="735" t="n"/>
      <c r="BW59" s="735" t="n"/>
      <c r="BX59" s="735" t="n"/>
      <c r="BY59" s="735" t="n"/>
      <c r="BZ59" s="735" t="n"/>
      <c r="CA59" s="735" t="n"/>
      <c r="CB59" s="735" t="n"/>
      <c r="CC59" s="735" t="n"/>
      <c r="CD59" s="735" t="n"/>
      <c r="CE59" s="735" t="n"/>
      <c r="CF59" s="507" t="n"/>
      <c r="CG59" s="735" t="n"/>
      <c r="CH59" s="735" t="n"/>
      <c r="CI59" s="735" t="n"/>
      <c r="CJ59" s="735" t="n"/>
      <c r="CK59" s="735" t="n"/>
      <c r="CL59" s="735" t="n"/>
      <c r="CM59" s="735" t="n"/>
      <c r="CN59" s="735" t="n"/>
      <c r="CO59" s="735" t="n"/>
      <c r="CP59" s="735" t="n"/>
      <c r="CQ59" s="735" t="n"/>
      <c r="CR59" s="735" t="n"/>
      <c r="CS59" s="735" t="n"/>
      <c r="CT59" s="589" t="n"/>
      <c r="CU59" s="735" t="n"/>
      <c r="CV59" s="735" t="n"/>
      <c r="CW59" s="735" t="n"/>
      <c r="CX59" s="735" t="n"/>
      <c r="CY59" s="735" t="n"/>
      <c r="CZ59" s="735" t="n"/>
      <c r="DA59" s="735" t="n"/>
      <c r="DB59" s="735" t="n"/>
      <c r="DC59" s="735" t="n"/>
      <c r="DD59" s="735" t="n"/>
      <c r="DE59" s="735" t="n"/>
      <c r="DF59" s="735" t="n"/>
      <c r="DG59" s="735" t="n"/>
    </row>
    <row r="60" ht="3" customHeight="1" s="1883">
      <c r="B60" s="726" t="n"/>
      <c r="C60" s="726" t="n"/>
      <c r="D60" s="741" t="n"/>
      <c r="E60" s="736" t="n"/>
      <c r="F60" s="737" t="n"/>
      <c r="G60" s="737" t="n"/>
      <c r="H60" s="737" t="n"/>
      <c r="I60" s="736" t="n"/>
      <c r="J60" s="736" t="n"/>
      <c r="K60" s="737" t="n"/>
      <c r="L60" s="737" t="n"/>
      <c r="M60" s="737" t="n"/>
      <c r="N60" s="737" t="n"/>
      <c r="O60" s="737" t="n"/>
      <c r="P60" s="737" t="n"/>
      <c r="Q60" s="737" t="n"/>
      <c r="R60" s="737" t="n"/>
      <c r="S60" s="737" t="n"/>
      <c r="T60" s="737" t="n"/>
      <c r="U60" s="737" t="n"/>
      <c r="V60" s="736" t="n"/>
      <c r="W60" s="736" t="n"/>
      <c r="X60" s="736" t="n"/>
      <c r="Y60" s="736" t="n"/>
      <c r="Z60" s="736" t="n"/>
      <c r="AA60" s="746" t="n"/>
      <c r="AB60" s="726" t="n"/>
      <c r="AC60" s="702" t="n"/>
      <c r="AD60" s="702" t="n"/>
      <c r="AE60" s="702" t="n"/>
      <c r="AF60" s="702" t="n"/>
      <c r="AG60" s="702" t="n"/>
      <c r="AH60" s="702" t="n"/>
      <c r="AI60" s="702" t="n"/>
      <c r="AJ60" s="702" t="n"/>
      <c r="AK60" s="702" t="n"/>
      <c r="AL60" s="702" t="n"/>
      <c r="AM60" s="702" t="n"/>
      <c r="AN60" s="702" t="n"/>
      <c r="AO60" s="702" t="n"/>
      <c r="AP60" s="462" t="n"/>
      <c r="AQ60" s="702" t="n"/>
      <c r="AR60" s="702" t="n"/>
      <c r="AS60" s="702" t="n"/>
      <c r="AT60" s="702" t="n"/>
      <c r="AU60" s="702" t="n"/>
      <c r="AV60" s="702" t="n"/>
      <c r="AW60" s="702" t="n"/>
      <c r="AX60" s="702" t="n"/>
      <c r="AY60" s="702" t="n"/>
      <c r="AZ60" s="702" t="n"/>
      <c r="BA60" s="702" t="n"/>
      <c r="BB60" s="702" t="n"/>
      <c r="BC60" s="702" t="n"/>
      <c r="BD60" s="462" t="n"/>
      <c r="BE60" s="702" t="n"/>
      <c r="BF60" s="702" t="n"/>
      <c r="BG60" s="702" t="n"/>
      <c r="BH60" s="702" t="n"/>
      <c r="BI60" s="702" t="n"/>
      <c r="BJ60" s="702" t="n"/>
      <c r="BK60" s="702" t="n"/>
      <c r="BL60" s="702" t="n"/>
      <c r="BM60" s="702" t="n"/>
      <c r="BN60" s="702" t="n"/>
      <c r="BO60" s="702" t="n"/>
      <c r="BP60" s="702" t="n"/>
      <c r="BQ60" s="702" t="n"/>
      <c r="BR60" s="507" t="n"/>
      <c r="BS60" s="702" t="n"/>
      <c r="BT60" s="702" t="n"/>
      <c r="BU60" s="702" t="n"/>
      <c r="BV60" s="702" t="n"/>
      <c r="BW60" s="702" t="n"/>
      <c r="BX60" s="702" t="n"/>
      <c r="BY60" s="702" t="n"/>
      <c r="BZ60" s="702" t="n"/>
      <c r="CA60" s="702" t="n"/>
      <c r="CB60" s="702" t="n"/>
      <c r="CC60" s="702" t="n"/>
      <c r="CD60" s="702" t="n"/>
      <c r="CE60" s="702" t="n"/>
      <c r="CF60" s="507" t="n"/>
      <c r="CG60" s="702" t="n"/>
      <c r="CH60" s="702" t="n"/>
      <c r="CI60" s="702" t="n"/>
      <c r="CJ60" s="702" t="n"/>
      <c r="CK60" s="702" t="n"/>
      <c r="CL60" s="702" t="n"/>
      <c r="CM60" s="702" t="n"/>
      <c r="CN60" s="702" t="n"/>
      <c r="CO60" s="702" t="n"/>
      <c r="CP60" s="702" t="n"/>
      <c r="CQ60" s="702" t="n"/>
      <c r="CR60" s="702" t="n"/>
      <c r="CS60" s="702" t="n"/>
      <c r="CT60" s="589" t="n"/>
      <c r="CU60" s="702" t="n"/>
      <c r="CV60" s="702" t="n"/>
      <c r="CW60" s="702" t="n"/>
      <c r="CX60" s="702" t="n"/>
      <c r="CY60" s="702" t="n"/>
      <c r="CZ60" s="702" t="n"/>
      <c r="DA60" s="702" t="n"/>
      <c r="DB60" s="702" t="n"/>
      <c r="DC60" s="702" t="n"/>
      <c r="DD60" s="702" t="n"/>
      <c r="DE60" s="702" t="n"/>
      <c r="DF60" s="702" t="n"/>
      <c r="DG60" s="702" t="n"/>
    </row>
    <row r="61" ht="15" customHeight="1" s="1883">
      <c r="B61" s="726" t="n"/>
      <c r="C61" s="726" t="n"/>
      <c r="D61" s="741" t="n"/>
      <c r="E61" s="736" t="n"/>
      <c r="F61" s="737" t="n"/>
      <c r="G61" s="737" t="n"/>
      <c r="H61" s="737" t="n"/>
      <c r="I61" s="736" t="n"/>
      <c r="J61" s="736" t="n"/>
      <c r="K61" s="737" t="n"/>
      <c r="L61" s="737" t="n"/>
      <c r="M61" s="737" t="n"/>
      <c r="N61" s="737" t="n"/>
      <c r="O61" s="737" t="n"/>
      <c r="P61" s="737" t="n"/>
      <c r="Q61" s="737" t="n"/>
      <c r="R61" s="737" t="n"/>
      <c r="S61" s="737" t="n"/>
      <c r="T61" s="737" t="n"/>
      <c r="U61" s="737" t="n"/>
      <c r="V61" s="736" t="n"/>
      <c r="W61" s="736" t="n"/>
      <c r="X61" s="736" t="n"/>
      <c r="Y61" s="736" t="n"/>
      <c r="Z61" s="736" t="n"/>
      <c r="AA61" s="746" t="n"/>
      <c r="AB61" s="726" t="n"/>
      <c r="AC61" s="702" t="n"/>
      <c r="AD61" s="702" t="n"/>
      <c r="AE61" s="702" t="n"/>
      <c r="AF61" s="702" t="n"/>
      <c r="AG61" s="702" t="n"/>
      <c r="AH61" s="702" t="n"/>
      <c r="AI61" s="702" t="n"/>
      <c r="AJ61" s="702" t="n"/>
      <c r="AK61" s="702" t="n"/>
      <c r="AL61" s="702" t="n"/>
      <c r="AM61" s="702" t="n"/>
      <c r="AN61" s="702" t="n"/>
      <c r="AO61" s="702" t="n"/>
      <c r="AP61" s="462" t="n"/>
      <c r="AQ61" s="702" t="n"/>
      <c r="AR61" s="702" t="n"/>
      <c r="AS61" s="702" t="n"/>
      <c r="AT61" s="702" t="n"/>
      <c r="AU61" s="702" t="n"/>
      <c r="AV61" s="702" t="n"/>
      <c r="AW61" s="702" t="n"/>
      <c r="AX61" s="702" t="n"/>
      <c r="AY61" s="702" t="n"/>
      <c r="AZ61" s="702" t="n"/>
      <c r="BA61" s="702" t="n"/>
      <c r="BB61" s="702" t="n"/>
      <c r="BC61" s="702" t="n"/>
      <c r="BD61" s="462" t="n"/>
      <c r="BE61" s="702" t="n"/>
      <c r="BF61" s="702" t="n"/>
      <c r="BG61" s="702" t="n"/>
      <c r="BH61" s="702" t="n"/>
      <c r="BI61" s="702" t="n"/>
      <c r="BJ61" s="702" t="n"/>
      <c r="BK61" s="702" t="n"/>
      <c r="BL61" s="702" t="n"/>
      <c r="BM61" s="702" t="n"/>
      <c r="BN61" s="702" t="n"/>
      <c r="BO61" s="702" t="n"/>
      <c r="BP61" s="702" t="n"/>
      <c r="BQ61" s="702" t="n"/>
      <c r="BR61" s="507" t="n"/>
      <c r="BS61" s="702" t="n"/>
      <c r="BT61" s="702" t="n"/>
      <c r="BU61" s="702" t="n"/>
      <c r="BV61" s="702" t="n"/>
      <c r="BW61" s="702" t="n"/>
      <c r="BX61" s="702" t="n"/>
      <c r="BY61" s="702" t="n"/>
      <c r="BZ61" s="702" t="n"/>
      <c r="CA61" s="702" t="n"/>
      <c r="CB61" s="702" t="n"/>
      <c r="CC61" s="702" t="n"/>
      <c r="CD61" s="702" t="n"/>
      <c r="CE61" s="702" t="n"/>
      <c r="CF61" s="507" t="n"/>
      <c r="CG61" s="702" t="n"/>
      <c r="CH61" s="702" t="n"/>
      <c r="CI61" s="702" t="n"/>
      <c r="CJ61" s="702" t="n"/>
      <c r="CK61" s="702" t="n"/>
      <c r="CL61" s="702" t="n"/>
      <c r="CM61" s="702" t="n"/>
      <c r="CN61" s="702" t="n"/>
      <c r="CO61" s="702" t="n"/>
      <c r="CP61" s="702" t="n"/>
      <c r="CQ61" s="702" t="n"/>
      <c r="CR61" s="702" t="n"/>
      <c r="CS61" s="702" t="n"/>
      <c r="CT61" s="589" t="n"/>
      <c r="CU61" s="702" t="n"/>
      <c r="CV61" s="702" t="n"/>
      <c r="CW61" s="702" t="n"/>
      <c r="CX61" s="702" t="n"/>
      <c r="CY61" s="702" t="n"/>
      <c r="CZ61" s="702" t="n"/>
      <c r="DA61" s="702" t="n"/>
      <c r="DB61" s="702" t="n"/>
      <c r="DC61" s="702" t="n"/>
      <c r="DD61" s="702" t="n"/>
      <c r="DE61" s="702" t="n"/>
      <c r="DF61" s="702" t="n"/>
      <c r="DG61" s="702" t="n"/>
    </row>
    <row r="62" ht="15" customHeight="1" s="1883">
      <c r="B62" s="726" t="n"/>
      <c r="C62" s="726" t="n"/>
      <c r="D62" s="741" t="n"/>
      <c r="E62" s="736" t="n"/>
      <c r="F62" s="737" t="n"/>
      <c r="G62" s="737" t="n"/>
      <c r="H62" s="737" t="n"/>
      <c r="I62" s="736" t="n"/>
      <c r="J62" s="736" t="n"/>
      <c r="K62" s="737" t="n"/>
      <c r="L62" s="737" t="n"/>
      <c r="M62" s="737" t="n"/>
      <c r="N62" s="737" t="n"/>
      <c r="O62" s="737" t="n"/>
      <c r="P62" s="737" t="n"/>
      <c r="Q62" s="737" t="n"/>
      <c r="R62" s="737" t="n"/>
      <c r="S62" s="737" t="n"/>
      <c r="T62" s="737" t="n"/>
      <c r="U62" s="737" t="n"/>
      <c r="V62" s="736" t="n"/>
      <c r="W62" s="736" t="n"/>
      <c r="X62" s="736" t="n"/>
      <c r="Y62" s="736" t="n"/>
      <c r="Z62" s="736" t="n"/>
      <c r="AA62" s="736" t="n"/>
      <c r="AB62" s="726" t="n"/>
      <c r="AC62" s="702" t="n"/>
      <c r="AD62" s="702" t="n"/>
      <c r="AE62" s="702" t="n"/>
      <c r="AF62" s="702" t="n"/>
      <c r="AG62" s="702" t="n"/>
      <c r="AH62" s="702" t="n"/>
      <c r="AI62" s="702" t="n"/>
      <c r="AJ62" s="702" t="n"/>
      <c r="AK62" s="702" t="n"/>
      <c r="AL62" s="702" t="n"/>
      <c r="AM62" s="702" t="n"/>
      <c r="AN62" s="462" t="n"/>
      <c r="AO62" s="462" t="n"/>
      <c r="AP62" s="462" t="n"/>
      <c r="AQ62" s="462" t="n"/>
      <c r="AR62" s="462" t="n"/>
      <c r="AS62" s="462" t="n"/>
      <c r="AT62" s="462" t="n"/>
      <c r="AU62" s="462" t="n"/>
      <c r="AV62" s="462" t="n"/>
      <c r="AW62" s="462" t="n"/>
      <c r="AX62" s="462" t="n"/>
      <c r="AY62" s="462" t="n"/>
      <c r="AZ62" s="462" t="n"/>
      <c r="BA62" s="462" t="n"/>
      <c r="BB62" s="462" t="n"/>
      <c r="BC62" s="462" t="n"/>
      <c r="BD62" s="462" t="n"/>
      <c r="BE62" s="462" t="n"/>
      <c r="BF62" s="462" t="n"/>
      <c r="BG62" s="462" t="n"/>
      <c r="BH62" s="462" t="n"/>
      <c r="BI62" s="462" t="n"/>
      <c r="BJ62" s="462" t="n"/>
      <c r="BK62" s="462" t="n"/>
      <c r="BL62" s="462" t="n"/>
      <c r="BM62" s="462" t="n"/>
      <c r="BN62" s="462" t="n"/>
      <c r="BO62" s="462" t="n"/>
      <c r="BP62" s="462" t="n"/>
      <c r="BQ62" s="462" t="n"/>
      <c r="BR62" s="507" t="n"/>
      <c r="BS62" s="462" t="n"/>
      <c r="BT62" s="462" t="n"/>
      <c r="BU62" s="462" t="n"/>
      <c r="BV62" s="462" t="n"/>
      <c r="BW62" s="462" t="n"/>
      <c r="BX62" s="462" t="n"/>
      <c r="BY62" s="462" t="n"/>
      <c r="BZ62" s="462" t="n"/>
      <c r="CA62" s="462" t="n"/>
      <c r="CB62" s="462" t="n"/>
      <c r="CC62" s="462" t="n"/>
      <c r="CD62" s="462" t="n"/>
      <c r="CE62" s="462" t="n"/>
      <c r="CF62" s="507" t="n"/>
      <c r="CG62" s="462" t="n"/>
      <c r="CH62" s="462" t="n"/>
      <c r="CI62" s="462" t="n"/>
      <c r="CJ62" s="462" t="n"/>
      <c r="CK62" s="462" t="n"/>
      <c r="CL62" s="462" t="n"/>
      <c r="CM62" s="462" t="n"/>
      <c r="CN62" s="462" t="n"/>
      <c r="CO62" s="462" t="n"/>
      <c r="CP62" s="462" t="n"/>
      <c r="CQ62" s="462" t="n"/>
      <c r="CR62" s="462" t="n"/>
      <c r="CS62" s="462" t="n"/>
      <c r="CT62" s="589" t="n"/>
      <c r="CU62" s="462" t="n"/>
      <c r="CV62" s="462" t="n"/>
      <c r="CW62" s="462" t="n"/>
      <c r="CX62" s="462" t="n"/>
      <c r="CY62" s="462" t="n"/>
      <c r="CZ62" s="462" t="n"/>
      <c r="DA62" s="462" t="n"/>
      <c r="DB62" s="462" t="n"/>
      <c r="DC62" s="462" t="n"/>
      <c r="DD62" s="462" t="n"/>
      <c r="DE62" s="462" t="n"/>
      <c r="DF62" s="462" t="n"/>
      <c r="DG62" s="462" t="n"/>
    </row>
    <row r="63" ht="15" customHeight="1" s="1883">
      <c r="B63" s="726" t="n"/>
      <c r="C63" s="726" t="n"/>
      <c r="D63" s="741" t="n"/>
      <c r="E63" s="736" t="n"/>
      <c r="F63" s="737" t="n"/>
      <c r="G63" s="737" t="n"/>
      <c r="H63" s="737" t="n"/>
      <c r="I63" s="736" t="n"/>
      <c r="J63" s="736" t="n"/>
      <c r="K63" s="737" t="n"/>
      <c r="L63" s="737" t="n"/>
      <c r="M63" s="737" t="n"/>
      <c r="N63" s="737" t="n"/>
      <c r="O63" s="737" t="n"/>
      <c r="P63" s="737" t="n"/>
      <c r="Q63" s="737" t="n"/>
      <c r="R63" s="737" t="n"/>
      <c r="S63" s="737" t="n"/>
      <c r="T63" s="737" t="n"/>
      <c r="U63" s="737" t="n"/>
      <c r="V63" s="1933" t="inlineStr">
        <is>
          <t>COLA, Years 2 - 5</t>
        </is>
      </c>
      <c r="X63" s="731" t="n">
        <v>0.03</v>
      </c>
      <c r="Y63" s="731" t="n">
        <v>0.03</v>
      </c>
      <c r="Z63" s="731" t="n">
        <v>0.03</v>
      </c>
      <c r="AA63" s="731" t="n">
        <v>0.03</v>
      </c>
      <c r="AB63" s="726" t="n"/>
      <c r="AC63" s="702" t="n"/>
      <c r="AD63" s="702" t="n"/>
      <c r="AE63" s="702" t="n"/>
      <c r="AF63" s="702" t="n"/>
      <c r="AG63" s="702" t="n"/>
      <c r="AH63" s="702" t="n"/>
      <c r="AI63" s="462" t="n"/>
      <c r="AJ63" s="462" t="n"/>
      <c r="AK63" s="462" t="n"/>
      <c r="AL63" s="462" t="n"/>
      <c r="AM63" s="462" t="n"/>
      <c r="AN63" s="462" t="n"/>
      <c r="AO63" s="462" t="n"/>
      <c r="AP63" s="462" t="n"/>
      <c r="AQ63" s="702" t="n"/>
      <c r="AR63" s="462" t="n"/>
      <c r="AS63" s="462" t="n"/>
      <c r="AT63" s="462" t="n"/>
      <c r="AU63" s="462" t="n"/>
      <c r="AV63" s="462" t="n"/>
      <c r="AW63" s="462" t="n"/>
      <c r="AX63" s="462" t="n"/>
      <c r="AY63" s="462" t="n"/>
      <c r="AZ63" s="462" t="n"/>
      <c r="BA63" s="462" t="n"/>
      <c r="BB63" s="462" t="n"/>
      <c r="BC63" s="462" t="n"/>
      <c r="BD63" s="462" t="n"/>
      <c r="BE63" s="462" t="n"/>
      <c r="BF63" s="462" t="n"/>
      <c r="BG63" s="462" t="n"/>
      <c r="BH63" s="462" t="n"/>
      <c r="BI63" s="462" t="n"/>
      <c r="BJ63" s="462" t="n"/>
      <c r="BK63" s="462" t="n"/>
      <c r="BL63" s="462" t="n"/>
      <c r="BM63" s="462" t="n"/>
      <c r="BN63" s="462" t="n"/>
      <c r="BO63" s="462" t="n"/>
      <c r="BP63" s="507" t="n"/>
      <c r="BQ63" s="507" t="n"/>
      <c r="BR63" s="507" t="n"/>
      <c r="BS63" s="507" t="n"/>
      <c r="BT63" s="507" t="n"/>
      <c r="BU63" s="507" t="n"/>
      <c r="BV63" s="507" t="n"/>
      <c r="BW63" s="507" t="n"/>
      <c r="BX63" s="507" t="n"/>
      <c r="BY63" s="507" t="n"/>
      <c r="BZ63" s="507" t="n"/>
      <c r="CA63" s="507" t="n"/>
      <c r="CB63" s="507" t="n"/>
      <c r="CC63" s="507" t="n"/>
      <c r="CD63" s="507" t="n"/>
      <c r="CE63" s="507" t="n"/>
      <c r="CF63" s="507" t="n"/>
      <c r="CG63" s="507" t="n"/>
      <c r="CH63" s="507" t="n"/>
      <c r="CI63" s="507" t="n"/>
      <c r="CJ63" s="507" t="n"/>
      <c r="CK63" s="507" t="n"/>
      <c r="CL63" s="507" t="n"/>
    </row>
    <row r="64" ht="15" customHeight="1" s="1883">
      <c r="B64" s="732" t="inlineStr">
        <is>
          <t>II.</t>
        </is>
      </c>
      <c r="C64" s="726" t="n"/>
      <c r="D64" s="733" t="inlineStr">
        <is>
          <t>Middle Management</t>
        </is>
      </c>
      <c r="E64" s="726" t="n"/>
      <c r="F64" s="726" t="n"/>
      <c r="G64" s="726" t="n"/>
      <c r="H64" s="726" t="n"/>
      <c r="I64" s="726" t="n"/>
      <c r="J64" s="726" t="n"/>
      <c r="K64" s="726" t="n"/>
      <c r="L64" s="726" t="n"/>
      <c r="M64" s="726" t="n"/>
      <c r="N64" s="726" t="n"/>
      <c r="O64" s="1929" t="inlineStr">
        <is>
          <t>Number of Positions - Beginning of Period (Except for Pre-Launch)</t>
        </is>
      </c>
      <c r="U64" s="726" t="n"/>
      <c r="V64" s="1929" t="inlineStr">
        <is>
          <t>Annual Salary, By Position, By Year, Pre-Launch + Years 1 - 5, Post-Launch</t>
        </is>
      </c>
      <c r="AB64" s="726" t="n"/>
      <c r="AC64" s="726" t="n"/>
      <c r="AD64" s="726" t="n"/>
      <c r="AE64" s="726" t="n"/>
      <c r="AF64" s="1929" t="inlineStr">
        <is>
          <t>Pre-Launch: Months -12 through -1</t>
        </is>
      </c>
      <c r="AP64" s="726" t="n"/>
      <c r="AQ64" s="1929" t="inlineStr">
        <is>
          <t xml:space="preserve">Post-Launch, Year 1: Months 1 - 12 </t>
        </is>
      </c>
      <c r="BD64" s="726" t="n"/>
      <c r="BE64" s="1929" t="inlineStr">
        <is>
          <t>Post-Launch, Year 2: Months 13 - 24</t>
        </is>
      </c>
      <c r="BR64" s="1917" t="n"/>
      <c r="BS64" s="1929" t="inlineStr">
        <is>
          <t>Post-Launch, Year 3: Months 25 - 36</t>
        </is>
      </c>
      <c r="CF64" s="1917" t="n"/>
      <c r="CG64" s="1929" t="inlineStr">
        <is>
          <t>Post-Launch, Year 4: Months 37 - 48</t>
        </is>
      </c>
      <c r="CU64" s="1929" t="inlineStr">
        <is>
          <t>Post-Launch, Year 5: Months 49 - 60</t>
        </is>
      </c>
    </row>
    <row r="67" ht="15" customHeight="1" s="1883">
      <c r="B67" s="726" t="n"/>
      <c r="C67" s="726" t="n"/>
      <c r="D67" s="726" t="n"/>
      <c r="E67" s="726" t="n"/>
      <c r="F67" s="726" t="n"/>
      <c r="G67" s="726" t="n"/>
      <c r="H67" s="726" t="n"/>
      <c r="I67" s="726" t="n"/>
      <c r="J67" s="728" t="inlineStr">
        <is>
          <t>Position</t>
        </is>
      </c>
      <c r="K67" s="726" t="n"/>
      <c r="L67" s="726" t="n"/>
      <c r="M67" s="726" t="n"/>
      <c r="N67" s="726" t="n"/>
      <c r="O67" s="726" t="n"/>
      <c r="P67" s="726" t="n"/>
      <c r="Q67" s="726" t="n"/>
      <c r="R67" s="726" t="n"/>
      <c r="S67" s="726" t="n"/>
      <c r="T67" s="726" t="n"/>
      <c r="U67" s="726" t="n"/>
      <c r="V67" s="728" t="inlineStr">
        <is>
          <t>Pre-Launch</t>
        </is>
      </c>
      <c r="W67" s="728" t="inlineStr">
        <is>
          <t>Base Salary</t>
        </is>
      </c>
      <c r="X67" s="728" t="inlineStr">
        <is>
          <t>Base Salary</t>
        </is>
      </c>
      <c r="Y67" s="728" t="inlineStr">
        <is>
          <t>Base Salary</t>
        </is>
      </c>
      <c r="Z67" s="728" t="inlineStr">
        <is>
          <t>Base Salary</t>
        </is>
      </c>
      <c r="AA67" s="728" t="inlineStr">
        <is>
          <t>Base Salary</t>
        </is>
      </c>
      <c r="AB67" s="726" t="n"/>
      <c r="AC67" s="1644">
        <f t="array" ref="AC67">SUMPRODUCT(IFERROR(($V$71:$V$150/12)/AC71:AC150,0))</f>
        <v/>
      </c>
      <c r="AD67" s="1644">
        <f t="array" ref="AD67">SUMPRODUCT(IFERROR(($V$71:$V$150/12)/AD71:AD150,0))</f>
        <v/>
      </c>
      <c r="AE67" s="1644">
        <f t="array" ref="AE67">SUMPRODUCT(IFERROR(($V$71:$V$150/12)/AE71:AE150,0))</f>
        <v/>
      </c>
      <c r="AF67" s="1644">
        <f t="array" ref="AF67">SUMPRODUCT(IFERROR(($V$71:$V$150/12)/AF71:AF150,0))</f>
        <v/>
      </c>
      <c r="AG67" s="1644">
        <f t="array" ref="AG67">SUMPRODUCT(IFERROR(($V$71:$V$150/12)/AG71:AG150,0))</f>
        <v/>
      </c>
      <c r="AH67" s="1644">
        <f t="array" ref="AH67">SUMPRODUCT(IFERROR(($V$71:$V$150/12)/AH71:AH150,0))</f>
        <v/>
      </c>
      <c r="AI67" s="1644">
        <f t="array" ref="AI67">SUMPRODUCT(IFERROR(($V$71:$V$150/12)/AI71:AI150,0))</f>
        <v/>
      </c>
      <c r="AJ67" s="1644">
        <f t="array" ref="AJ67">SUMPRODUCT(IFERROR(($V$71:$V$150/12)/AJ71:AJ150,0))</f>
        <v/>
      </c>
      <c r="AK67" s="1644">
        <f t="array" ref="AK67">SUMPRODUCT(IFERROR(($V$71:$V$150/12)/AK71:AK150,0))</f>
        <v/>
      </c>
      <c r="AL67" s="1644">
        <f t="array" ref="AL67">SUMPRODUCT(IFERROR(($V$71:$V$150/12)/AL71:AL150,0))</f>
        <v/>
      </c>
      <c r="AM67" s="1644">
        <f t="array" ref="AM67">SUMPRODUCT(IFERROR(($V$71:$V$150/12)/AM71:AM150,0))</f>
        <v/>
      </c>
      <c r="AN67" s="1644">
        <f t="array" ref="AN67">SUMPRODUCT(IFERROR(($V$71:$V$150/12)/AN71:AN150,0))</f>
        <v/>
      </c>
      <c r="AO67" s="728" t="inlineStr">
        <is>
          <t>Total,</t>
        </is>
      </c>
      <c r="AP67" s="726" t="n"/>
      <c r="AQ67" s="1644">
        <f t="array" ref="AQ67">SUMPRODUCT(IFERROR(($W$71:$W$150/12)/AQ71:AQ150,0))</f>
        <v/>
      </c>
      <c r="AR67" s="1644">
        <f t="array" ref="AR67">SUMPRODUCT(IFERROR(($W$71:$W$150/12)/AR71:AR150,0))</f>
        <v/>
      </c>
      <c r="AS67" s="1644">
        <f t="array" ref="AS67">SUMPRODUCT(IFERROR(($W$71:$W$150/12)/AS71:AS150,0))</f>
        <v/>
      </c>
      <c r="AT67" s="1644">
        <f t="array" ref="AT67">SUMPRODUCT(IFERROR(($W$71:$W$150/12)/AT71:AT150,0))</f>
        <v/>
      </c>
      <c r="AU67" s="1644">
        <f t="array" ref="AU67">SUMPRODUCT(IFERROR(($W$71:$W$150/12)/AU71:AU150,0))</f>
        <v/>
      </c>
      <c r="AV67" s="1644">
        <f t="array" ref="AV67">SUMPRODUCT(IFERROR(($W$71:$W$150/12)/AV71:AV150,0))</f>
        <v/>
      </c>
      <c r="AW67" s="1644">
        <f t="array" ref="AW67">SUMPRODUCT(IFERROR(($W$71:$W$150/12)/AW71:AW150,0))</f>
        <v/>
      </c>
      <c r="AX67" s="1644">
        <f t="array" ref="AX67">SUMPRODUCT(IFERROR(($W$71:$W$150/12)/AX71:AX150,0))</f>
        <v/>
      </c>
      <c r="AY67" s="1644">
        <f t="array" ref="AY67">SUMPRODUCT(IFERROR(($W$71:$W$150/12)/AY71:AY150,0))</f>
        <v/>
      </c>
      <c r="AZ67" s="1644">
        <f t="array" ref="AZ67">SUMPRODUCT(IFERROR(($W$71:$W$150/12)/AZ71:AZ150,0))</f>
        <v/>
      </c>
      <c r="BA67" s="1644">
        <f t="array" ref="BA67">SUMPRODUCT(IFERROR(($W$71:$W$150/12)/BA71:BA150,0))</f>
        <v/>
      </c>
      <c r="BB67" s="1644">
        <f t="array" ref="BB67">SUMPRODUCT(IFERROR(($W$71:$W$150/12)/BB71:BB150,0))</f>
        <v/>
      </c>
      <c r="BC67" s="728" t="inlineStr">
        <is>
          <t>Total,</t>
        </is>
      </c>
      <c r="BD67" s="726" t="n"/>
      <c r="BE67" s="1644">
        <f t="array" ref="BE67">SUMPRODUCT(IFERROR(($X$71:$X$150/12)/BE71:BE150,0))</f>
        <v/>
      </c>
      <c r="BF67" s="1644">
        <f t="array" ref="BF67">SUMPRODUCT(IFERROR(($X$71:$X$150/12)/BF71:BF150,0))</f>
        <v/>
      </c>
      <c r="BG67" s="1644">
        <f t="array" ref="BG67">SUMPRODUCT(IFERROR(($X$71:$X$150/12)/BG71:BG150,0))</f>
        <v/>
      </c>
      <c r="BH67" s="1644">
        <f t="array" ref="BH67">SUMPRODUCT(IFERROR(($X$71:$X$150/12)/BH71:BH150,0))</f>
        <v/>
      </c>
      <c r="BI67" s="1644">
        <f t="array" ref="BI67">SUMPRODUCT(IFERROR(($X$71:$X$150/12)/BI71:BI150,0))</f>
        <v/>
      </c>
      <c r="BJ67" s="1644">
        <f t="array" ref="BJ67">SUMPRODUCT(IFERROR(($X$71:$X$150/12)/BJ71:BJ150,0))</f>
        <v/>
      </c>
      <c r="BK67" s="1644">
        <f t="array" ref="BK67">SUMPRODUCT(IFERROR(($X$71:$X$150/12)/BK71:BK150,0))</f>
        <v/>
      </c>
      <c r="BL67" s="1644">
        <f t="array" ref="BL67">SUMPRODUCT(IFERROR(($X$71:$X$150/12)/BL71:BL150,0))</f>
        <v/>
      </c>
      <c r="BM67" s="1644">
        <f t="array" ref="BM67">SUMPRODUCT(IFERROR(($X$71:$X$150/12)/BM71:BM150,0))</f>
        <v/>
      </c>
      <c r="BN67" s="1644">
        <f t="array" ref="BN67">SUMPRODUCT(IFERROR(($X$71:$X$150/12)/BN71:BN150,0))</f>
        <v/>
      </c>
      <c r="BO67" s="1644">
        <f t="array" ref="BO67">SUMPRODUCT(IFERROR(($X$71:$X$150/12)/BO71:BO150,0))</f>
        <v/>
      </c>
      <c r="BP67" s="1644">
        <f t="array" ref="BP67">SUMPRODUCT(IFERROR(($X$71:$X$150/12)/BP71:BP150,0))</f>
        <v/>
      </c>
      <c r="BQ67" s="728" t="inlineStr">
        <is>
          <t>Total,</t>
        </is>
      </c>
      <c r="BR67" s="1917" t="n"/>
      <c r="BS67" s="1644">
        <f t="array" ref="BS67">SUMPRODUCT(IFERROR(($Y$71:$Y$150/12)/BS71:BS150,0))</f>
        <v/>
      </c>
      <c r="BT67" s="1644">
        <f t="array" ref="BT67">SUMPRODUCT(IFERROR(($Y$71:$Y$150/12)/BT71:BT150,0))</f>
        <v/>
      </c>
      <c r="BU67" s="1644">
        <f t="array" ref="BU67">SUMPRODUCT(IFERROR(($Y$71:$Y$150/12)/BU71:BU150,0))</f>
        <v/>
      </c>
      <c r="BV67" s="1644">
        <f t="array" ref="BV67">SUMPRODUCT(IFERROR(($Y$71:$Y$150/12)/BV71:BV150,0))</f>
        <v/>
      </c>
      <c r="BW67" s="1644">
        <f t="array" ref="BW67">SUMPRODUCT(IFERROR(($Y$71:$Y$150/12)/BW71:BW150,0))</f>
        <v/>
      </c>
      <c r="BX67" s="1644">
        <f t="array" ref="BX67">SUMPRODUCT(IFERROR(($Y$71:$Y$150/12)/BX71:BX150,0))</f>
        <v/>
      </c>
      <c r="BY67" s="1644">
        <f t="array" ref="BY67">SUMPRODUCT(IFERROR(($Y$71:$Y$150/12)/BY71:BY150,0))</f>
        <v/>
      </c>
      <c r="BZ67" s="1644">
        <f t="array" ref="BZ67">SUMPRODUCT(IFERROR(($Y$71:$Y$150/12)/BZ71:BZ150,0))</f>
        <v/>
      </c>
      <c r="CA67" s="1644">
        <f t="array" ref="CA67">SUMPRODUCT(IFERROR(($Y$71:$Y$150/12)/CA71:CA150,0))</f>
        <v/>
      </c>
      <c r="CB67" s="1644">
        <f t="array" ref="CB67">SUMPRODUCT(IFERROR(($Y$71:$Y$150/12)/CB71:CB150,0))</f>
        <v/>
      </c>
      <c r="CC67" s="1644">
        <f t="array" ref="CC67">SUMPRODUCT(IFERROR(($Y$71:$Y$150/12)/CC71:CC150,0))</f>
        <v/>
      </c>
      <c r="CD67" s="1644">
        <f t="array" ref="CD67">SUMPRODUCT(IFERROR(($Y$71:$Y$150/12)/CD71:CD150,0))</f>
        <v/>
      </c>
      <c r="CE67" s="728" t="inlineStr">
        <is>
          <t>Total,</t>
        </is>
      </c>
      <c r="CF67" s="1917" t="n"/>
      <c r="CG67" s="1644">
        <f t="array" ref="CG67">SUMPRODUCT(IFERROR(($Z$71:$Z$150/12)/CG71:CG150,0))</f>
        <v/>
      </c>
      <c r="CH67" s="1644">
        <f t="array" ref="CH67">SUMPRODUCT(IFERROR(($Z$71:$Z$150/12)/CH71:CH150,0))</f>
        <v/>
      </c>
      <c r="CI67" s="1644">
        <f t="array" ref="CI67">SUMPRODUCT(IFERROR(($Z$71:$Z$150/12)/CI71:CI150,0))</f>
        <v/>
      </c>
      <c r="CJ67" s="1644">
        <f t="array" ref="CJ67">SUMPRODUCT(IFERROR(($Z$71:$Z$150/12)/CJ71:CJ150,0))</f>
        <v/>
      </c>
      <c r="CK67" s="1644">
        <f t="array" ref="CK67">SUMPRODUCT(IFERROR(($Z$71:$Z$150/12)/CK71:CK150,0))</f>
        <v/>
      </c>
      <c r="CL67" s="1644">
        <f t="array" ref="CL67">SUMPRODUCT(IFERROR(($Z$71:$Z$150/12)/CL71:CL150,0))</f>
        <v/>
      </c>
      <c r="CM67" s="1644">
        <f t="array" ref="CM67">SUMPRODUCT(IFERROR(($Z$71:$Z$150/12)/CM71:CM150,0))</f>
        <v/>
      </c>
      <c r="CN67" s="1644">
        <f t="array" ref="CN67">SUMPRODUCT(IFERROR(($Z$71:$Z$150/12)/CN71:CN150,0))</f>
        <v/>
      </c>
      <c r="CO67" s="1644">
        <f t="array" ref="CO67">SUMPRODUCT(IFERROR(($Z$71:$Z$150/12)/CO71:CO150,0))</f>
        <v/>
      </c>
      <c r="CP67" s="1644">
        <f t="array" ref="CP67">SUMPRODUCT(IFERROR(($Z$71:$Z$150/12)/CP71:CP150,0))</f>
        <v/>
      </c>
      <c r="CQ67" s="1644">
        <f t="array" ref="CQ67">SUMPRODUCT(IFERROR(($Z$71:$Z$150/12)/CQ71:CQ150,0))</f>
        <v/>
      </c>
      <c r="CR67" s="1644">
        <f t="array" ref="CR67">SUMPRODUCT(IFERROR(($Z$71:$Z$150/12)/CR71:CR150,0))</f>
        <v/>
      </c>
      <c r="CS67" s="728" t="inlineStr">
        <is>
          <t>Total,</t>
        </is>
      </c>
      <c r="CU67" s="1644">
        <f t="array" ref="CU67">SUMPRODUCT(IFERROR(($AA$71:$AA$150/12)/CU71:CU150,0))</f>
        <v/>
      </c>
      <c r="CV67" s="1644">
        <f t="array" ref="CV67">SUMPRODUCT(IFERROR(($AA$71:$AA$150/12)/CV71:CV150,0))</f>
        <v/>
      </c>
      <c r="CW67" s="1644">
        <f t="array" ref="CW67">SUMPRODUCT(IFERROR(($AA$71:$AA$150/12)/CW71:CW150,0))</f>
        <v/>
      </c>
      <c r="CX67" s="1644">
        <f t="array" ref="CX67">SUMPRODUCT(IFERROR(($AA$71:$AA$150/12)/CX71:CX150,0))</f>
        <v/>
      </c>
      <c r="CY67" s="1644">
        <f t="array" ref="CY67">SUMPRODUCT(IFERROR(($AA$71:$AA$150/12)/CY71:CY150,0))</f>
        <v/>
      </c>
      <c r="CZ67" s="1644">
        <f t="array" ref="CZ67">SUMPRODUCT(IFERROR(($AA$71:$AA$150/12)/CZ71:CZ150,0))</f>
        <v/>
      </c>
      <c r="DA67" s="1644">
        <f t="array" ref="DA67">SUMPRODUCT(IFERROR(($AA$71:$AA$150/12)/DA71:DA150,0))</f>
        <v/>
      </c>
      <c r="DB67" s="1644">
        <f t="array" ref="DB67">SUMPRODUCT(IFERROR(($AA$71:$AA$150/12)/DB71:DB150,0))</f>
        <v/>
      </c>
      <c r="DC67" s="1644">
        <f t="array" ref="DC67">SUMPRODUCT(IFERROR(($AA$71:$AA$150/12)/DC71:DC150,0))</f>
        <v/>
      </c>
      <c r="DD67" s="1644">
        <f t="array" ref="DD67">SUMPRODUCT(IFERROR(($AA$71:$AA$150/12)/DD71:DD150,0))</f>
        <v/>
      </c>
      <c r="DE67" s="1644">
        <f t="array" ref="DE67">SUMPRODUCT(IFERROR(($AA$71:$AA$150/12)/DE71:DE150,0))</f>
        <v/>
      </c>
      <c r="DF67" s="1644">
        <f t="array" ref="DF67">SUMPRODUCT(IFERROR(($AA$71:$AA$150/12)/DF71:DF150,0))</f>
        <v/>
      </c>
      <c r="DG67" s="728" t="inlineStr">
        <is>
          <t>Total,</t>
        </is>
      </c>
    </row>
    <row r="68" ht="15" customHeight="1" s="1883">
      <c r="B68" s="728" t="inlineStr">
        <is>
          <t>No.</t>
        </is>
      </c>
      <c r="C68" s="726" t="n"/>
      <c r="D68" s="733" t="inlineStr">
        <is>
          <t xml:space="preserve">Employee Name </t>
        </is>
      </c>
      <c r="E68" s="726" t="n"/>
      <c r="F68" s="726" t="n"/>
      <c r="G68" s="726" t="n"/>
      <c r="H68" s="726" t="n"/>
      <c r="I68" s="733" t="inlineStr">
        <is>
          <t>Position</t>
        </is>
      </c>
      <c r="J68" s="728" t="inlineStr">
        <is>
          <t>Location</t>
        </is>
      </c>
      <c r="K68" s="726" t="n"/>
      <c r="L68" s="728" t="inlineStr">
        <is>
          <t>Start Month</t>
        </is>
      </c>
      <c r="M68" s="728" t="inlineStr">
        <is>
          <t>Month of Hire</t>
        </is>
      </c>
      <c r="N68" s="728" t="n"/>
      <c r="O68" s="811" t="inlineStr">
        <is>
          <t>Pre-Launch</t>
        </is>
      </c>
      <c r="P68" s="1929" t="inlineStr">
        <is>
          <t>Year 1</t>
        </is>
      </c>
      <c r="Q68" s="1929" t="inlineStr">
        <is>
          <t>Year 2</t>
        </is>
      </c>
      <c r="R68" s="1929" t="inlineStr">
        <is>
          <t>Year 3</t>
        </is>
      </c>
      <c r="S68" s="1929" t="inlineStr">
        <is>
          <t>Year 4</t>
        </is>
      </c>
      <c r="T68" s="1929" t="inlineStr">
        <is>
          <t>Year 5</t>
        </is>
      </c>
      <c r="U68" s="726" t="n"/>
      <c r="V68" s="728" t="inlineStr">
        <is>
          <t>Months -12 to -1</t>
        </is>
      </c>
      <c r="W68" s="728" t="inlineStr">
        <is>
          <t>Year 1</t>
        </is>
      </c>
      <c r="X68" s="728" t="inlineStr">
        <is>
          <t>Year 2</t>
        </is>
      </c>
      <c r="Y68" s="728" t="inlineStr">
        <is>
          <t>Year 3</t>
        </is>
      </c>
      <c r="Z68" s="728" t="inlineStr">
        <is>
          <t>Year 4</t>
        </is>
      </c>
      <c r="AA68" s="728" t="inlineStr">
        <is>
          <t>Year 5</t>
        </is>
      </c>
      <c r="AB68" s="726" t="n"/>
      <c r="AC68" s="728" t="n">
        <v>-12</v>
      </c>
      <c r="AD68" s="728" t="n">
        <v>-11</v>
      </c>
      <c r="AE68" s="728" t="n">
        <v>-10</v>
      </c>
      <c r="AF68" s="728" t="n">
        <v>-9</v>
      </c>
      <c r="AG68" s="728">
        <f>((AF68)+(1))</f>
        <v/>
      </c>
      <c r="AH68" s="728">
        <f>((AG68)+(1))</f>
        <v/>
      </c>
      <c r="AI68" s="728">
        <f>((AH68)+(1))</f>
        <v/>
      </c>
      <c r="AJ68" s="728">
        <f>((AI68)+(1))</f>
        <v/>
      </c>
      <c r="AK68" s="728">
        <f>((AJ68)+(1))</f>
        <v/>
      </c>
      <c r="AL68" s="728">
        <f>((AK68)+(1))</f>
        <v/>
      </c>
      <c r="AM68" s="728">
        <f>((AL68)+(1))</f>
        <v/>
      </c>
      <c r="AN68" s="728">
        <f>((AM68)+(1))</f>
        <v/>
      </c>
      <c r="AO68" s="728" t="inlineStr">
        <is>
          <t>Pre-Launch</t>
        </is>
      </c>
      <c r="AP68" s="728" t="n"/>
      <c r="AQ68" s="728" t="n">
        <v>1</v>
      </c>
      <c r="AR68" s="728">
        <f>((AQ68)+(1))</f>
        <v/>
      </c>
      <c r="AS68" s="728">
        <f>((AR68)+(1))</f>
        <v/>
      </c>
      <c r="AT68" s="728">
        <f>((AS68)+(1))</f>
        <v/>
      </c>
      <c r="AU68" s="728">
        <f>((AT68)+(1))</f>
        <v/>
      </c>
      <c r="AV68" s="728">
        <f>((AU68)+(1))</f>
        <v/>
      </c>
      <c r="AW68" s="728">
        <f>((AV68)+(1))</f>
        <v/>
      </c>
      <c r="AX68" s="728">
        <f>((AW68)+(1))</f>
        <v/>
      </c>
      <c r="AY68" s="728">
        <f>((AX68)+(1))</f>
        <v/>
      </c>
      <c r="AZ68" s="728">
        <f>((AY68)+(1))</f>
        <v/>
      </c>
      <c r="BA68" s="728">
        <f>((AZ68)+(1))</f>
        <v/>
      </c>
      <c r="BB68" s="728">
        <f>((BA68)+(1))</f>
        <v/>
      </c>
      <c r="BC68" s="728" t="inlineStr">
        <is>
          <t xml:space="preserve">Months 1 - 12 </t>
        </is>
      </c>
      <c r="BD68" s="726" t="n"/>
      <c r="BE68" s="728" t="n">
        <v>13</v>
      </c>
      <c r="BF68" s="728">
        <f>((BE68)+(1))</f>
        <v/>
      </c>
      <c r="BG68" s="728">
        <f>((BF68)+(1))</f>
        <v/>
      </c>
      <c r="BH68" s="728">
        <f>((BG68)+(1))</f>
        <v/>
      </c>
      <c r="BI68" s="728">
        <f>((BH68)+(1))</f>
        <v/>
      </c>
      <c r="BJ68" s="728">
        <f>((BI68)+(1))</f>
        <v/>
      </c>
      <c r="BK68" s="728">
        <f>((BJ68)+(1))</f>
        <v/>
      </c>
      <c r="BL68" s="728">
        <f>((BK68)+(1))</f>
        <v/>
      </c>
      <c r="BM68" s="728">
        <f>((BL68)+(1))</f>
        <v/>
      </c>
      <c r="BN68" s="728">
        <f>((BM68)+(1))</f>
        <v/>
      </c>
      <c r="BO68" s="728">
        <f>((BN68)+(1))</f>
        <v/>
      </c>
      <c r="BP68" s="728">
        <f>((BO68)+(1))</f>
        <v/>
      </c>
      <c r="BQ68" s="728" t="inlineStr">
        <is>
          <t xml:space="preserve">Months 13 - 24 </t>
        </is>
      </c>
      <c r="BR68" s="1917" t="n"/>
      <c r="BS68" s="728" t="n">
        <v>25</v>
      </c>
      <c r="BT68" s="728">
        <f>((BS68)+(1))</f>
        <v/>
      </c>
      <c r="BU68" s="728">
        <f>((BT68)+(1))</f>
        <v/>
      </c>
      <c r="BV68" s="728">
        <f>((BU68)+(1))</f>
        <v/>
      </c>
      <c r="BW68" s="728">
        <f>((BV68)+(1))</f>
        <v/>
      </c>
      <c r="BX68" s="728">
        <f>((BW68)+(1))</f>
        <v/>
      </c>
      <c r="BY68" s="728">
        <f>((BX68)+(1))</f>
        <v/>
      </c>
      <c r="BZ68" s="728">
        <f>((BY68)+(1))</f>
        <v/>
      </c>
      <c r="CA68" s="728">
        <f>((BZ68)+(1))</f>
        <v/>
      </c>
      <c r="CB68" s="728">
        <f>((CA68)+(1))</f>
        <v/>
      </c>
      <c r="CC68" s="728">
        <f>((CB68)+(1))</f>
        <v/>
      </c>
      <c r="CD68" s="728">
        <f>((CC68)+(1))</f>
        <v/>
      </c>
      <c r="CE68" s="728" t="inlineStr">
        <is>
          <t>Months 25 - 36</t>
        </is>
      </c>
      <c r="CF68" s="1917" t="n"/>
      <c r="CG68" s="728" t="n">
        <v>37</v>
      </c>
      <c r="CH68" s="728">
        <f>((CG68)+(1))</f>
        <v/>
      </c>
      <c r="CI68" s="728">
        <f>((CH68)+(1))</f>
        <v/>
      </c>
      <c r="CJ68" s="728">
        <f>((CI68)+(1))</f>
        <v/>
      </c>
      <c r="CK68" s="728">
        <f>((CJ68)+(1))</f>
        <v/>
      </c>
      <c r="CL68" s="728">
        <f>((CK68)+(1))</f>
        <v/>
      </c>
      <c r="CM68" s="728">
        <f>((CL68)+(1))</f>
        <v/>
      </c>
      <c r="CN68" s="728">
        <f>((CM68)+(1))</f>
        <v/>
      </c>
      <c r="CO68" s="728">
        <f>((CN68)+(1))</f>
        <v/>
      </c>
      <c r="CP68" s="728">
        <f>((CO68)+(1))</f>
        <v/>
      </c>
      <c r="CQ68" s="728">
        <f>((CP68)+(1))</f>
        <v/>
      </c>
      <c r="CR68" s="728">
        <f>((CQ68)+(1))</f>
        <v/>
      </c>
      <c r="CS68" s="728" t="inlineStr">
        <is>
          <t>Months 37 - 48</t>
        </is>
      </c>
      <c r="CU68" s="728" t="n">
        <v>49</v>
      </c>
      <c r="CV68" s="728">
        <f>((CU68)+(1))</f>
        <v/>
      </c>
      <c r="CW68" s="728">
        <f>((CV68)+(1))</f>
        <v/>
      </c>
      <c r="CX68" s="728">
        <f>((CW68)+(1))</f>
        <v/>
      </c>
      <c r="CY68" s="728">
        <f>((CX68)+(1))</f>
        <v/>
      </c>
      <c r="CZ68" s="728">
        <f>((CY68)+(1))</f>
        <v/>
      </c>
      <c r="DA68" s="728">
        <f>((CZ68)+(1))</f>
        <v/>
      </c>
      <c r="DB68" s="728">
        <f>((DA68)+(1))</f>
        <v/>
      </c>
      <c r="DC68" s="728">
        <f>((DB68)+(1))</f>
        <v/>
      </c>
      <c r="DD68" s="728">
        <f>((DC68)+(1))</f>
        <v/>
      </c>
      <c r="DE68" s="728">
        <f>((DD68)+(1))</f>
        <v/>
      </c>
      <c r="DF68" s="728">
        <f>((DE68)+(1))</f>
        <v/>
      </c>
      <c r="DG68" s="728" t="inlineStr">
        <is>
          <t>Months 49 - 60</t>
        </is>
      </c>
    </row>
    <row r="69" ht="3" customHeight="1" s="1883">
      <c r="B69" s="734" t="n"/>
      <c r="C69" s="726" t="n"/>
      <c r="D69" s="734" t="n"/>
      <c r="E69" s="734" t="n"/>
      <c r="F69" s="734" t="n"/>
      <c r="G69" s="734" t="n"/>
      <c r="H69" s="734" t="n"/>
      <c r="I69" s="734" t="n"/>
      <c r="J69" s="734" t="n"/>
      <c r="K69" s="726" t="n"/>
      <c r="L69" s="734" t="n"/>
      <c r="M69" s="734" t="n"/>
      <c r="N69" s="742" t="n"/>
      <c r="O69" s="734" t="n"/>
      <c r="P69" s="734" t="n"/>
      <c r="Q69" s="734" t="n"/>
      <c r="R69" s="734" t="n"/>
      <c r="S69" s="734" t="n"/>
      <c r="T69" s="734" t="n"/>
      <c r="U69" s="726" t="n"/>
      <c r="V69" s="734" t="n"/>
      <c r="W69" s="735" t="n"/>
      <c r="X69" s="734" t="n"/>
      <c r="Y69" s="734" t="n"/>
      <c r="Z69" s="734" t="n"/>
      <c r="AA69" s="734" t="n"/>
      <c r="AB69" s="726" t="n"/>
      <c r="AC69" s="734" t="n"/>
      <c r="AD69" s="734" t="n"/>
      <c r="AE69" s="734" t="n"/>
      <c r="AF69" s="734" t="n"/>
      <c r="AG69" s="734" t="n"/>
      <c r="AH69" s="734" t="n"/>
      <c r="AI69" s="387" t="n"/>
      <c r="AJ69" s="387" t="n"/>
      <c r="AK69" s="387" t="n"/>
      <c r="AL69" s="387" t="n"/>
      <c r="AM69" s="387" t="n"/>
      <c r="AN69" s="387" t="n"/>
      <c r="AO69" s="734" t="n"/>
      <c r="AP69" s="726" t="n"/>
      <c r="AQ69" s="734" t="n"/>
      <c r="AR69" s="734" t="n"/>
      <c r="AS69" s="734" t="n"/>
      <c r="AT69" s="734" t="n"/>
      <c r="AU69" s="734" t="n"/>
      <c r="AV69" s="734" t="n"/>
      <c r="AW69" s="734" t="n"/>
      <c r="AX69" s="734" t="n"/>
      <c r="AY69" s="734" t="n"/>
      <c r="AZ69" s="734" t="n"/>
      <c r="BA69" s="734" t="n"/>
      <c r="BB69" s="734" t="n"/>
      <c r="BC69" s="734" t="n"/>
      <c r="BD69" s="726" t="n"/>
      <c r="BE69" s="734" t="n"/>
      <c r="BF69" s="734" t="n"/>
      <c r="BG69" s="734" t="n"/>
      <c r="BH69" s="734" t="n"/>
      <c r="BI69" s="734" t="n"/>
      <c r="BJ69" s="734" t="n"/>
      <c r="BK69" s="734" t="n"/>
      <c r="BL69" s="734" t="n"/>
      <c r="BM69" s="734" t="n"/>
      <c r="BN69" s="734" t="n"/>
      <c r="BO69" s="734" t="n"/>
      <c r="BP69" s="734" t="n"/>
      <c r="BQ69" s="734" t="n"/>
      <c r="BR69" s="1917" t="n"/>
      <c r="BS69" s="734" t="n"/>
      <c r="BT69" s="734" t="n"/>
      <c r="BU69" s="734" t="n"/>
      <c r="BV69" s="734" t="n"/>
      <c r="BW69" s="734" t="n"/>
      <c r="BX69" s="734" t="n"/>
      <c r="BY69" s="734" t="n"/>
      <c r="BZ69" s="734" t="n"/>
      <c r="CA69" s="734" t="n"/>
      <c r="CB69" s="734" t="n"/>
      <c r="CC69" s="734" t="n"/>
      <c r="CD69" s="734" t="n"/>
      <c r="CE69" s="734" t="n"/>
      <c r="CF69" s="1917" t="n"/>
      <c r="CG69" s="734" t="n"/>
      <c r="CH69" s="734" t="n"/>
      <c r="CI69" s="734" t="n"/>
      <c r="CJ69" s="734" t="n"/>
      <c r="CK69" s="734" t="n"/>
      <c r="CL69" s="734" t="n"/>
      <c r="CM69" s="734" t="n"/>
      <c r="CN69" s="734" t="n"/>
      <c r="CO69" s="734" t="n"/>
      <c r="CP69" s="734" t="n"/>
      <c r="CQ69" s="734" t="n"/>
      <c r="CR69" s="734" t="n"/>
      <c r="CS69" s="734" t="n"/>
      <c r="CU69" s="734" t="n"/>
      <c r="CV69" s="734" t="n"/>
      <c r="CW69" s="734" t="n"/>
      <c r="CX69" s="734" t="n"/>
      <c r="CY69" s="734" t="n"/>
      <c r="CZ69" s="734" t="n"/>
      <c r="DA69" s="734" t="n"/>
      <c r="DB69" s="734" t="n"/>
      <c r="DC69" s="734" t="n"/>
      <c r="DD69" s="734" t="n"/>
      <c r="DE69" s="734" t="n"/>
      <c r="DF69" s="734" t="n"/>
      <c r="DG69" s="734" t="n"/>
    </row>
    <row r="70" ht="3" customHeight="1" s="1883">
      <c r="B70" s="726" t="n"/>
      <c r="C70" s="726" t="n"/>
      <c r="D70" s="726" t="n"/>
      <c r="E70" s="726" t="n"/>
      <c r="F70" s="726" t="n"/>
      <c r="G70" s="726" t="n"/>
      <c r="H70" s="726" t="n"/>
      <c r="I70" s="726" t="n"/>
      <c r="J70" s="726" t="n"/>
      <c r="K70" s="726" t="n"/>
      <c r="L70" s="726" t="n"/>
      <c r="M70" s="726" t="n"/>
      <c r="N70" s="726" t="n"/>
      <c r="O70" s="726" t="n"/>
      <c r="P70" s="726" t="n"/>
      <c r="Q70" s="726" t="n"/>
      <c r="R70" s="726" t="n"/>
      <c r="S70" s="726" t="n"/>
      <c r="T70" s="726" t="n"/>
      <c r="U70" s="726" t="n"/>
      <c r="V70" s="726" t="n"/>
      <c r="W70" s="702" t="n"/>
      <c r="X70" s="726" t="n"/>
      <c r="Y70" s="726" t="n"/>
      <c r="Z70" s="726" t="n"/>
      <c r="AA70" s="726" t="n"/>
      <c r="AB70" s="726" t="n"/>
      <c r="AC70" s="726" t="n"/>
      <c r="AD70" s="726" t="n"/>
      <c r="AE70" s="726" t="n"/>
      <c r="AF70" s="726" t="n"/>
      <c r="AG70" s="726" t="n"/>
      <c r="AH70" s="726" t="n"/>
      <c r="AI70" s="383" t="n"/>
      <c r="AJ70" s="383" t="n"/>
      <c r="AK70" s="383" t="n"/>
      <c r="AL70" s="383" t="n"/>
      <c r="AM70" s="383" t="n"/>
      <c r="AN70" s="383" t="n"/>
      <c r="AO70" s="726" t="n"/>
      <c r="AP70" s="726" t="n"/>
      <c r="AQ70" s="726" t="n"/>
      <c r="AR70" s="726" t="n"/>
      <c r="AS70" s="726" t="n"/>
      <c r="AT70" s="726" t="n"/>
      <c r="AU70" s="726" t="n"/>
      <c r="AV70" s="726" t="n"/>
      <c r="AW70" s="726" t="n"/>
      <c r="AX70" s="726" t="n"/>
      <c r="AY70" s="726" t="n"/>
      <c r="AZ70" s="726" t="n"/>
      <c r="BA70" s="726" t="n"/>
      <c r="BB70" s="726" t="n"/>
      <c r="BC70" s="726" t="n"/>
      <c r="BD70" s="726" t="n"/>
      <c r="BE70" s="726" t="n"/>
      <c r="BF70" s="726" t="n"/>
      <c r="BG70" s="726" t="n"/>
      <c r="BH70" s="726" t="n"/>
      <c r="BI70" s="726" t="n"/>
      <c r="BJ70" s="726" t="n"/>
      <c r="BK70" s="726" t="n"/>
      <c r="BL70" s="726" t="n"/>
      <c r="BM70" s="726" t="n"/>
      <c r="BN70" s="726" t="n"/>
      <c r="BO70" s="726" t="n"/>
      <c r="BP70" s="726" t="n"/>
      <c r="BQ70" s="726" t="n"/>
      <c r="BR70" s="1917" t="n"/>
      <c r="BS70" s="726" t="n"/>
      <c r="BT70" s="726" t="n"/>
      <c r="BU70" s="726" t="n"/>
      <c r="BV70" s="726" t="n"/>
      <c r="BW70" s="726" t="n"/>
      <c r="BX70" s="726" t="n"/>
      <c r="BY70" s="726" t="n"/>
      <c r="BZ70" s="726" t="n"/>
      <c r="CA70" s="726" t="n"/>
      <c r="CB70" s="726" t="n"/>
      <c r="CC70" s="726" t="n"/>
      <c r="CD70" s="726" t="n"/>
      <c r="CE70" s="726" t="n"/>
      <c r="CF70" s="1917" t="n"/>
      <c r="CG70" s="726" t="n"/>
      <c r="CH70" s="726" t="n"/>
      <c r="CI70" s="726" t="n"/>
      <c r="CJ70" s="726" t="n"/>
      <c r="CK70" s="726" t="n"/>
      <c r="CL70" s="726" t="n"/>
      <c r="CM70" s="726" t="n"/>
      <c r="CN70" s="726" t="n"/>
      <c r="CO70" s="726" t="n"/>
      <c r="CP70" s="726" t="n"/>
      <c r="CQ70" s="726" t="n"/>
      <c r="CR70" s="726" t="n"/>
      <c r="CS70" s="726" t="n"/>
      <c r="CU70" s="726" t="n"/>
      <c r="CV70" s="726" t="n"/>
      <c r="CW70" s="726" t="n"/>
      <c r="CX70" s="726" t="n"/>
      <c r="CY70" s="726" t="n"/>
      <c r="CZ70" s="726" t="n"/>
      <c r="DA70" s="726" t="n"/>
      <c r="DB70" s="726" t="n"/>
      <c r="DC70" s="726" t="n"/>
      <c r="DD70" s="726" t="n"/>
      <c r="DE70" s="726" t="n"/>
      <c r="DF70" s="726" t="n"/>
      <c r="DG70" s="726" t="n"/>
    </row>
    <row r="71" ht="15" customHeight="1" s="1883">
      <c r="B71" s="752" t="n">
        <v>1</v>
      </c>
      <c r="C71" s="726" t="n"/>
      <c r="D71" s="730" t="inlineStr">
        <is>
          <t>●</t>
        </is>
      </c>
      <c r="E71" s="736" t="inlineStr">
        <is>
          <t>TBD</t>
        </is>
      </c>
      <c r="F71" s="737" t="n"/>
      <c r="G71" s="737" t="n"/>
      <c r="H71" s="737" t="n"/>
      <c r="I71" s="736" t="inlineStr">
        <is>
          <t>VP, Compliance</t>
        </is>
      </c>
      <c r="J71" s="745" t="inlineStr">
        <is>
          <t>CONUS</t>
        </is>
      </c>
      <c r="K71" s="737" t="n"/>
      <c r="L71" s="738" t="inlineStr">
        <is>
          <t>-12</t>
        </is>
      </c>
      <c r="M71" s="738" t="inlineStr">
        <is>
          <t>-9</t>
        </is>
      </c>
      <c r="N71" s="738" t="n"/>
      <c r="O71" s="754" t="n">
        <v>0</v>
      </c>
      <c r="P71" s="755" t="n">
        <v>0</v>
      </c>
      <c r="Q71" s="755" t="n">
        <v>0</v>
      </c>
      <c r="R71" s="755" t="n">
        <v>0</v>
      </c>
      <c r="S71" s="755" t="n">
        <v>0</v>
      </c>
      <c r="T71" s="755" t="n">
        <v>0</v>
      </c>
      <c r="U71" s="737" t="n"/>
      <c r="V71" s="702" t="n">
        <v>0</v>
      </c>
      <c r="W71" s="700">
        <f>(V71)</f>
        <v/>
      </c>
      <c r="X71" s="700">
        <f>((W71)*((1)+($X$63)))</f>
        <v/>
      </c>
      <c r="Y71" s="700">
        <f>((X71)*((1)+($Y$63)))</f>
        <v/>
      </c>
      <c r="Z71" s="700">
        <f>((Y71)*((1)+($Z$63)))</f>
        <v/>
      </c>
      <c r="AA71" s="700">
        <f>((Z71)*((1)+($AA$63)))</f>
        <v/>
      </c>
      <c r="AB71" s="700" t="n"/>
      <c r="AC71" s="702">
        <f>(($V71)/(12))</f>
        <v/>
      </c>
      <c r="AD71" s="702">
        <f>(($V71)/(12))</f>
        <v/>
      </c>
      <c r="AE71" s="702">
        <f>(($V71)/(12))</f>
        <v/>
      </c>
      <c r="AF71" s="702">
        <f>(($V71)/(12))</f>
        <v/>
      </c>
      <c r="AG71" s="702">
        <f>(($V71)/(12))</f>
        <v/>
      </c>
      <c r="AH71" s="702">
        <f>(($V71)/(12))</f>
        <v/>
      </c>
      <c r="AI71" s="702">
        <f>(($V71)/(12))</f>
        <v/>
      </c>
      <c r="AJ71" s="702">
        <f>(($V71)/(12))</f>
        <v/>
      </c>
      <c r="AK71" s="702">
        <f>(($V71)/(12))</f>
        <v/>
      </c>
      <c r="AL71" s="702">
        <f>(($V71)/(12))</f>
        <v/>
      </c>
      <c r="AM71" s="702">
        <f>(($V71)/(12))</f>
        <v/>
      </c>
      <c r="AN71" s="702">
        <f>(($V71)/(12))</f>
        <v/>
      </c>
      <c r="AO71" s="765">
        <f>SUM(AC71:AN71)</f>
        <v/>
      </c>
      <c r="AP71" s="462" t="n"/>
      <c r="AQ71" s="702">
        <f>IF($P71&gt;0,(($W71)/(12)),0)</f>
        <v/>
      </c>
      <c r="AR71" s="702">
        <f>IF($P71&gt;0,(($W71)/(12)),0)</f>
        <v/>
      </c>
      <c r="AS71" s="702">
        <f>IF($P71&gt;0,(($W71)/(12)),0)</f>
        <v/>
      </c>
      <c r="AT71" s="702">
        <f>IF($P71&gt;0,(($W71)/(12)),0)</f>
        <v/>
      </c>
      <c r="AU71" s="702">
        <f>IF($P71&gt;0,(($W71)/(12)),0)</f>
        <v/>
      </c>
      <c r="AV71" s="702">
        <f>IF($P71&gt;0,(($W71)/(12)),0)</f>
        <v/>
      </c>
      <c r="AW71" s="702">
        <f>IF($P71&gt;0,(($W71)/(12)),0)</f>
        <v/>
      </c>
      <c r="AX71" s="702">
        <f>IF($P71&gt;0,(($W71)/(12)),0)</f>
        <v/>
      </c>
      <c r="AY71" s="702">
        <f>IF($P71&gt;0,(($W71)/(12)),0)</f>
        <v/>
      </c>
      <c r="AZ71" s="702">
        <f>IF($P71&gt;0,(($W71)/(12)),0)</f>
        <v/>
      </c>
      <c r="BA71" s="702">
        <f>IF($P71&gt;0,(($W71)/(12)),0)</f>
        <v/>
      </c>
      <c r="BB71" s="702">
        <f>IF($P71&gt;0,(($W71)/(12)),0)</f>
        <v/>
      </c>
      <c r="BC71" s="765">
        <f>SUM(AQ71:BB71)</f>
        <v/>
      </c>
      <c r="BD71" s="462" t="n"/>
      <c r="BE71" s="702">
        <f>IF($Q71&gt;0,(($X71)/(12)),0)</f>
        <v/>
      </c>
      <c r="BF71" s="702">
        <f>IF($Q71&gt;0,(($X71)/(12)),0)</f>
        <v/>
      </c>
      <c r="BG71" s="702">
        <f>IF($Q71&gt;0,(($X71)/(12)),0)</f>
        <v/>
      </c>
      <c r="BH71" s="702">
        <f>IF($Q71&gt;0,(($X71)/(12)),0)</f>
        <v/>
      </c>
      <c r="BI71" s="702">
        <f>IF($Q71&gt;0,(($X71)/(12)),0)</f>
        <v/>
      </c>
      <c r="BJ71" s="702">
        <f>IF($Q71&gt;0,(($X71)/(12)),0)</f>
        <v/>
      </c>
      <c r="BK71" s="702">
        <f>IF($Q71&gt;0,(($X71)/(12)),0)</f>
        <v/>
      </c>
      <c r="BL71" s="702">
        <f>IF($Q71&gt;0,(($X71)/(12)),0)</f>
        <v/>
      </c>
      <c r="BM71" s="702">
        <f>IF($Q71&gt;0,(($X71)/(12)),0)</f>
        <v/>
      </c>
      <c r="BN71" s="702">
        <f>IF($Q71&gt;0,(($X71)/(12)),0)</f>
        <v/>
      </c>
      <c r="BO71" s="702">
        <f>IF($Q71&gt;0,(($X71)/(12)),0)</f>
        <v/>
      </c>
      <c r="BP71" s="702">
        <f>IF($Q71&gt;0,(($X71)/(12)),0)</f>
        <v/>
      </c>
      <c r="BQ71" s="765">
        <f>SUM(BE71:BP71)</f>
        <v/>
      </c>
      <c r="BR71" s="507" t="n"/>
      <c r="BS71" s="702">
        <f>IF($R71&gt;0,(($Y71)/(12)),0)</f>
        <v/>
      </c>
      <c r="BT71" s="702">
        <f>IF($R71&gt;0,(($Y71)/(12)),0)</f>
        <v/>
      </c>
      <c r="BU71" s="702">
        <f>IF($R71&gt;0,(($Y71)/(12)),0)</f>
        <v/>
      </c>
      <c r="BV71" s="702">
        <f>IF($R71&gt;0,(($Y71)/(12)),0)</f>
        <v/>
      </c>
      <c r="BW71" s="702">
        <f>IF($R71&gt;0,(($Y71)/(12)),0)</f>
        <v/>
      </c>
      <c r="BX71" s="702">
        <f>IF($R71&gt;0,(($Y71)/(12)),0)</f>
        <v/>
      </c>
      <c r="BY71" s="702">
        <f>IF($R71&gt;0,(($Y71)/(12)),0)</f>
        <v/>
      </c>
      <c r="BZ71" s="702">
        <f>IF($R71&gt;0,(($Y71)/(12)),0)</f>
        <v/>
      </c>
      <c r="CA71" s="702">
        <f>IF($R71&gt;0,(($Y71)/(12)),0)</f>
        <v/>
      </c>
      <c r="CB71" s="702">
        <f>IF($R71&gt;0,(($Y71)/(12)),0)</f>
        <v/>
      </c>
      <c r="CC71" s="702">
        <f>IF($R71&gt;0,(($Y71)/(12)),0)</f>
        <v/>
      </c>
      <c r="CD71" s="702">
        <f>IF($R71&gt;0,(($Y71)/(12)),0)</f>
        <v/>
      </c>
      <c r="CE71" s="765">
        <f>SUM(BS71:CD71)</f>
        <v/>
      </c>
      <c r="CF71" s="507" t="n"/>
      <c r="CG71" s="702">
        <f>IF($S71&gt;0,(($Z71)/(12)),0)</f>
        <v/>
      </c>
      <c r="CH71" s="702">
        <f>IF($S71&gt;0,(($Z71)/(12)),0)</f>
        <v/>
      </c>
      <c r="CI71" s="702">
        <f>IF($S71&gt;0,(($Z71)/(12)),0)</f>
        <v/>
      </c>
      <c r="CJ71" s="702">
        <f>IF($S71&gt;0,(($Z71)/(12)),0)</f>
        <v/>
      </c>
      <c r="CK71" s="702">
        <f>IF($S71&gt;0,(($Z71)/(12)),0)</f>
        <v/>
      </c>
      <c r="CL71" s="702">
        <f>IF($S71&gt;0,(($Z71)/(12)),0)</f>
        <v/>
      </c>
      <c r="CM71" s="702">
        <f>IF($S71&gt;0,(($Z71)/(12)),0)</f>
        <v/>
      </c>
      <c r="CN71" s="702">
        <f>IF($S71&gt;0,(($Z71)/(12)),0)</f>
        <v/>
      </c>
      <c r="CO71" s="702">
        <f>IF($S71&gt;0,(($Z71)/(12)),0)</f>
        <v/>
      </c>
      <c r="CP71" s="702">
        <f>IF($S71&gt;0,(($Z71)/(12)),0)</f>
        <v/>
      </c>
      <c r="CQ71" s="702">
        <f>IF($S71&gt;0,(($Z71)/(12)),0)</f>
        <v/>
      </c>
      <c r="CR71" s="702">
        <f>IF($S71&gt;0,(($Z71)/(12)),0)</f>
        <v/>
      </c>
      <c r="CS71" s="765">
        <f>SUM(CG71:CR71)</f>
        <v/>
      </c>
      <c r="CU71" s="702">
        <f>IF($T71&gt;0,(($AA71)/(12)),0)</f>
        <v/>
      </c>
      <c r="CV71" s="702">
        <f>IF($T71&gt;0,(($AA71)/(12)),0)</f>
        <v/>
      </c>
      <c r="CW71" s="702">
        <f>IF($T71&gt;0,(($AA71)/(12)),0)</f>
        <v/>
      </c>
      <c r="CX71" s="702">
        <f>IF($T71&gt;0,(($AA71)/(12)),0)</f>
        <v/>
      </c>
      <c r="CY71" s="702">
        <f>IF($T71&gt;0,(($AA71)/(12)),0)</f>
        <v/>
      </c>
      <c r="CZ71" s="702">
        <f>IF($T71&gt;0,(($AA71)/(12)),0)</f>
        <v/>
      </c>
      <c r="DA71" s="702">
        <f>IF($T71&gt;0,(($AA71)/(12)),0)</f>
        <v/>
      </c>
      <c r="DB71" s="702">
        <f>IF($T71&gt;0,(($AA71)/(12)),0)</f>
        <v/>
      </c>
      <c r="DC71" s="702">
        <f>IF($T71&gt;0,(($AA71)/(12)),0)</f>
        <v/>
      </c>
      <c r="DD71" s="702">
        <f>IF($T71&gt;0,(($AA71)/(12)),0)</f>
        <v/>
      </c>
      <c r="DE71" s="702">
        <f>IF($T71&gt;0,(($AA71)/(12)),0)</f>
        <v/>
      </c>
      <c r="DF71" s="702">
        <f>IF($T71&gt;0,(($AA71)/(12)),0)</f>
        <v/>
      </c>
      <c r="DG71" s="765">
        <f>SUM(CU71:DF71)</f>
        <v/>
      </c>
    </row>
    <row r="72" ht="15" customHeight="1" s="1883">
      <c r="B72" s="752">
        <f>((B71)+(1))</f>
        <v/>
      </c>
      <c r="C72" s="726" t="n"/>
      <c r="D72" s="730" t="inlineStr">
        <is>
          <t>●</t>
        </is>
      </c>
      <c r="E72" s="736" t="inlineStr">
        <is>
          <t>Marcie McGovern</t>
        </is>
      </c>
      <c r="F72" s="737" t="n"/>
      <c r="G72" s="737" t="n"/>
      <c r="H72" s="737" t="n"/>
      <c r="I72" s="736" t="inlineStr">
        <is>
          <t>VP, Strategic Relations</t>
        </is>
      </c>
      <c r="J72" s="745" t="inlineStr">
        <is>
          <t>CONUS</t>
        </is>
      </c>
      <c r="K72" s="737" t="n"/>
      <c r="L72" s="738" t="n">
        <v>-2</v>
      </c>
      <c r="M72" s="738" t="n">
        <v>-2</v>
      </c>
      <c r="N72" s="738" t="n"/>
      <c r="O72" s="754" t="n">
        <v>1</v>
      </c>
      <c r="P72" s="755" t="n">
        <v>1</v>
      </c>
      <c r="Q72" s="755" t="n">
        <v>1</v>
      </c>
      <c r="R72" s="755" t="n">
        <v>1</v>
      </c>
      <c r="S72" s="755" t="n">
        <v>1</v>
      </c>
      <c r="T72" s="755" t="n">
        <v>1</v>
      </c>
      <c r="U72" s="737" t="n"/>
      <c r="V72" s="702">
        <f>8000*12</f>
        <v/>
      </c>
      <c r="W72" s="700">
        <f>(V72)</f>
        <v/>
      </c>
      <c r="X72" s="700">
        <f>((W72)*((1)+($X$63)))</f>
        <v/>
      </c>
      <c r="Y72" s="700">
        <f>((X72)*((1)+($Y$63)))</f>
        <v/>
      </c>
      <c r="Z72" s="700">
        <f>((Y72)*((1)+($Z$63)))</f>
        <v/>
      </c>
      <c r="AA72" s="700">
        <f>((Z72)*((1)+($AA$63)))</f>
        <v/>
      </c>
      <c r="AB72" s="700" t="n"/>
      <c r="AC72" s="702" t="n">
        <v>0</v>
      </c>
      <c r="AD72" s="702" t="n">
        <v>0</v>
      </c>
      <c r="AE72" s="702" t="n">
        <v>0</v>
      </c>
      <c r="AF72" s="702" t="n">
        <v>0</v>
      </c>
      <c r="AG72" s="702" t="n">
        <v>0</v>
      </c>
      <c r="AH72" s="702" t="n">
        <v>0</v>
      </c>
      <c r="AI72" s="702" t="n">
        <v>0</v>
      </c>
      <c r="AJ72" s="702" t="n">
        <v>0</v>
      </c>
      <c r="AK72" s="702" t="n">
        <v>0</v>
      </c>
      <c r="AL72" s="702" t="n">
        <v>0</v>
      </c>
      <c r="AM72" s="702">
        <f>(($V72)/(12))</f>
        <v/>
      </c>
      <c r="AN72" s="702">
        <f>(($V72)/(12))</f>
        <v/>
      </c>
      <c r="AO72" s="765">
        <f>SUM(AC72:AN72)</f>
        <v/>
      </c>
      <c r="AP72" s="462" t="n"/>
      <c r="AQ72" s="702">
        <f>IF($P72&gt;0,(($W72)/(12)),0)</f>
        <v/>
      </c>
      <c r="AR72" s="702">
        <f>IF($P72&gt;0,(($W72)/(12)),0)</f>
        <v/>
      </c>
      <c r="AS72" s="702">
        <f>IF($P72&gt;0,(($W72)/(12)),0)</f>
        <v/>
      </c>
      <c r="AT72" s="702">
        <f>IF($P72&gt;0,(($W72)/(12)),0)</f>
        <v/>
      </c>
      <c r="AU72" s="702">
        <f>IF($P72&gt;0,(($W72)/(12)),0)</f>
        <v/>
      </c>
      <c r="AV72" s="702">
        <f>IF($P72&gt;0,(($W72)/(12)),0)</f>
        <v/>
      </c>
      <c r="AW72" s="702">
        <f>IF($P72&gt;0,(($W72)/(12)),0)</f>
        <v/>
      </c>
      <c r="AX72" s="702">
        <f>IF($P72&gt;0,(($W72)/(12)),0)</f>
        <v/>
      </c>
      <c r="AY72" s="702">
        <f>IF($P72&gt;0,(($W72)/(12)),0)</f>
        <v/>
      </c>
      <c r="AZ72" s="702">
        <f>IF($P72&gt;0,(($W72)/(12)),0)</f>
        <v/>
      </c>
      <c r="BA72" s="702">
        <f>IF($P72&gt;0,(($W72)/(12)),0)</f>
        <v/>
      </c>
      <c r="BB72" s="702">
        <f>IF($P72&gt;0,(($W72)/(12)),0)</f>
        <v/>
      </c>
      <c r="BC72" s="765">
        <f>SUM(AQ72:BB72)</f>
        <v/>
      </c>
      <c r="BD72" s="462" t="n"/>
      <c r="BE72" s="702">
        <f>IF($Q72&gt;0,(($X72)/(12)),0)</f>
        <v/>
      </c>
      <c r="BF72" s="702">
        <f>IF($Q72&gt;0,(($X72)/(12)),0)</f>
        <v/>
      </c>
      <c r="BG72" s="702">
        <f>IF($Q72&gt;0,(($X72)/(12)),0)</f>
        <v/>
      </c>
      <c r="BH72" s="702">
        <f>IF($Q72&gt;0,(($X72)/(12)),0)</f>
        <v/>
      </c>
      <c r="BI72" s="702">
        <f>IF($Q72&gt;0,(($X72)/(12)),0)</f>
        <v/>
      </c>
      <c r="BJ72" s="702">
        <f>IF($Q72&gt;0,(($X72)/(12)),0)</f>
        <v/>
      </c>
      <c r="BK72" s="702">
        <f>IF($Q72&gt;0,(($X72)/(12)),0)</f>
        <v/>
      </c>
      <c r="BL72" s="702">
        <f>IF($Q72&gt;0,(($X72)/(12)),0)</f>
        <v/>
      </c>
      <c r="BM72" s="702">
        <f>IF($Q72&gt;0,(($X72)/(12)),0)</f>
        <v/>
      </c>
      <c r="BN72" s="702">
        <f>IF($Q72&gt;0,(($X72)/(12)),0)</f>
        <v/>
      </c>
      <c r="BO72" s="702">
        <f>IF($Q72&gt;0,(($X72)/(12)),0)</f>
        <v/>
      </c>
      <c r="BP72" s="702">
        <f>IF($Q72&gt;0,(($X72)/(12)),0)</f>
        <v/>
      </c>
      <c r="BQ72" s="765">
        <f>SUM(BE72:BP72)</f>
        <v/>
      </c>
      <c r="BR72" s="507" t="n"/>
      <c r="BS72" s="702">
        <f>IF($R72&gt;0,(($Y72)/(12)),0)</f>
        <v/>
      </c>
      <c r="BT72" s="702">
        <f>IF($R72&gt;0,(($Y72)/(12)),0)</f>
        <v/>
      </c>
      <c r="BU72" s="702">
        <f>IF($R72&gt;0,(($Y72)/(12)),0)</f>
        <v/>
      </c>
      <c r="BV72" s="702">
        <f>IF($R72&gt;0,(($Y72)/(12)),0)</f>
        <v/>
      </c>
      <c r="BW72" s="702">
        <f>IF($R72&gt;0,(($Y72)/(12)),0)</f>
        <v/>
      </c>
      <c r="BX72" s="702">
        <f>IF($R72&gt;0,(($Y72)/(12)),0)</f>
        <v/>
      </c>
      <c r="BY72" s="702">
        <f>IF($R72&gt;0,(($Y72)/(12)),0)</f>
        <v/>
      </c>
      <c r="BZ72" s="702">
        <f>IF($R72&gt;0,(($Y72)/(12)),0)</f>
        <v/>
      </c>
      <c r="CA72" s="702">
        <f>IF($R72&gt;0,(($Y72)/(12)),0)</f>
        <v/>
      </c>
      <c r="CB72" s="702">
        <f>IF($R72&gt;0,(($Y72)/(12)),0)</f>
        <v/>
      </c>
      <c r="CC72" s="702">
        <f>IF($R72&gt;0,(($Y72)/(12)),0)</f>
        <v/>
      </c>
      <c r="CD72" s="702">
        <f>IF($R72&gt;0,(($Y72)/(12)),0)</f>
        <v/>
      </c>
      <c r="CE72" s="765">
        <f>SUM(BS72:CD72)</f>
        <v/>
      </c>
      <c r="CF72" s="507" t="n"/>
      <c r="CG72" s="702">
        <f>IF($S72&gt;0,(($Z72)/(12)),0)</f>
        <v/>
      </c>
      <c r="CH72" s="702">
        <f>IF($S72&gt;0,(($Z72)/(12)),0)</f>
        <v/>
      </c>
      <c r="CI72" s="702">
        <f>IF($S72&gt;0,(($Z72)/(12)),0)</f>
        <v/>
      </c>
      <c r="CJ72" s="702">
        <f>IF($S72&gt;0,(($Z72)/(12)),0)</f>
        <v/>
      </c>
      <c r="CK72" s="702">
        <f>IF($S72&gt;0,(($Z72)/(12)),0)</f>
        <v/>
      </c>
      <c r="CL72" s="702">
        <f>IF($S72&gt;0,(($Z72)/(12)),0)</f>
        <v/>
      </c>
      <c r="CM72" s="702">
        <f>IF($S72&gt;0,(($Z72)/(12)),0)</f>
        <v/>
      </c>
      <c r="CN72" s="702">
        <f>IF($S72&gt;0,(($Z72)/(12)),0)</f>
        <v/>
      </c>
      <c r="CO72" s="702">
        <f>IF($S72&gt;0,(($Z72)/(12)),0)</f>
        <v/>
      </c>
      <c r="CP72" s="702">
        <f>IF($S72&gt;0,(($Z72)/(12)),0)</f>
        <v/>
      </c>
      <c r="CQ72" s="702">
        <f>IF($S72&gt;0,(($Z72)/(12)),0)</f>
        <v/>
      </c>
      <c r="CR72" s="702">
        <f>IF($S72&gt;0,(($Z72)/(12)),0)</f>
        <v/>
      </c>
      <c r="CS72" s="765">
        <f>SUM(CG72:CR72)</f>
        <v/>
      </c>
      <c r="CU72" s="702">
        <f>IF($T72&gt;0,(($AA72)/(12)),0)</f>
        <v/>
      </c>
      <c r="CV72" s="702">
        <f>IF($T72&gt;0,(($AA72)/(12)),0)</f>
        <v/>
      </c>
      <c r="CW72" s="702">
        <f>IF($T72&gt;0,(($AA72)/(12)),0)</f>
        <v/>
      </c>
      <c r="CX72" s="702">
        <f>IF($T72&gt;0,(($AA72)/(12)),0)</f>
        <v/>
      </c>
      <c r="CY72" s="702">
        <f>IF($T72&gt;0,(($AA72)/(12)),0)</f>
        <v/>
      </c>
      <c r="CZ72" s="702">
        <f>IF($T72&gt;0,(($AA72)/(12)),0)</f>
        <v/>
      </c>
      <c r="DA72" s="702">
        <f>IF($T72&gt;0,(($AA72)/(12)),0)</f>
        <v/>
      </c>
      <c r="DB72" s="702">
        <f>IF($T72&gt;0,(($AA72)/(12)),0)</f>
        <v/>
      </c>
      <c r="DC72" s="702">
        <f>IF($T72&gt;0,(($AA72)/(12)),0)</f>
        <v/>
      </c>
      <c r="DD72" s="702">
        <f>IF($T72&gt;0,(($AA72)/(12)),0)</f>
        <v/>
      </c>
      <c r="DE72" s="702">
        <f>IF($T72&gt;0,(($AA72)/(12)),0)</f>
        <v/>
      </c>
      <c r="DF72" s="702">
        <f>IF($T72&gt;0,(($AA72)/(12)),0)</f>
        <v/>
      </c>
      <c r="DG72" s="765">
        <f>SUM(CU72:DF72)</f>
        <v/>
      </c>
    </row>
    <row r="73" ht="15" customHeight="1" s="1883">
      <c r="B73" s="752">
        <f>((B72)+(1))</f>
        <v/>
      </c>
      <c r="C73" s="726" t="n"/>
      <c r="D73" s="730" t="inlineStr">
        <is>
          <t>●</t>
        </is>
      </c>
      <c r="E73" s="736" t="inlineStr">
        <is>
          <t>TBD</t>
        </is>
      </c>
      <c r="F73" s="737" t="n"/>
      <c r="G73" s="737" t="n"/>
      <c r="H73" s="737" t="n"/>
      <c r="I73" s="736" t="inlineStr">
        <is>
          <t>VP, Human Resources</t>
        </is>
      </c>
      <c r="J73" s="745" t="inlineStr">
        <is>
          <t>CONUS</t>
        </is>
      </c>
      <c r="K73" s="737" t="n"/>
      <c r="L73" s="738" t="inlineStr">
        <is>
          <t>-12</t>
        </is>
      </c>
      <c r="M73" s="738" t="inlineStr">
        <is>
          <t>-9</t>
        </is>
      </c>
      <c r="N73" s="738" t="n"/>
      <c r="O73" s="754" t="n">
        <v>0</v>
      </c>
      <c r="P73" s="755" t="n">
        <v>0</v>
      </c>
      <c r="Q73" s="755" t="n">
        <v>0</v>
      </c>
      <c r="R73" s="755" t="n">
        <v>0</v>
      </c>
      <c r="S73" s="755" t="n">
        <v>0</v>
      </c>
      <c r="T73" s="755" t="n">
        <v>0</v>
      </c>
      <c r="U73" s="737" t="n"/>
      <c r="V73" s="702" t="n">
        <v>0</v>
      </c>
      <c r="W73" s="700">
        <f>(V73)</f>
        <v/>
      </c>
      <c r="X73" s="700">
        <f>((W73)*((1)+($X$63)))</f>
        <v/>
      </c>
      <c r="Y73" s="700">
        <f>((X73)*((1)+($Y$63)))</f>
        <v/>
      </c>
      <c r="Z73" s="700">
        <f>((Y73)*((1)+($Z$63)))</f>
        <v/>
      </c>
      <c r="AA73" s="700">
        <f>((Z73)*((1)+($AA$63)))</f>
        <v/>
      </c>
      <c r="AB73" s="700" t="n"/>
      <c r="AC73" s="702">
        <f>(($V73)/(12))</f>
        <v/>
      </c>
      <c r="AD73" s="702">
        <f>(($V73)/(12))</f>
        <v/>
      </c>
      <c r="AE73" s="702">
        <f>(($V73)/(12))</f>
        <v/>
      </c>
      <c r="AF73" s="702">
        <f>(($V73)/(12))</f>
        <v/>
      </c>
      <c r="AG73" s="702">
        <f>(($V73)/(12))</f>
        <v/>
      </c>
      <c r="AH73" s="702">
        <f>(($V73)/(12))</f>
        <v/>
      </c>
      <c r="AI73" s="702">
        <f>(($V73)/(12))</f>
        <v/>
      </c>
      <c r="AJ73" s="702">
        <f>(($V73)/(12))</f>
        <v/>
      </c>
      <c r="AK73" s="702">
        <f>(($V73)/(12))</f>
        <v/>
      </c>
      <c r="AL73" s="702">
        <f>(($V73)/(12))</f>
        <v/>
      </c>
      <c r="AM73" s="702">
        <f>(($V73)/(12))</f>
        <v/>
      </c>
      <c r="AN73" s="702">
        <f>(($V73)/(12))</f>
        <v/>
      </c>
      <c r="AO73" s="765">
        <f>SUM(AC73:AN73)</f>
        <v/>
      </c>
      <c r="AP73" s="462" t="n"/>
      <c r="AQ73" s="702">
        <f>IF($P73&gt;0,(($W73)/(12)),0)</f>
        <v/>
      </c>
      <c r="AR73" s="702">
        <f>IF($P73&gt;0,(($W73)/(12)),0)</f>
        <v/>
      </c>
      <c r="AS73" s="702">
        <f>IF($P73&gt;0,(($W73)/(12)),0)</f>
        <v/>
      </c>
      <c r="AT73" s="702">
        <f>IF($P73&gt;0,(($W73)/(12)),0)</f>
        <v/>
      </c>
      <c r="AU73" s="702">
        <f>IF($P73&gt;0,(($W73)/(12)),0)</f>
        <v/>
      </c>
      <c r="AV73" s="702">
        <f>IF($P73&gt;0,(($W73)/(12)),0)</f>
        <v/>
      </c>
      <c r="AW73" s="702">
        <f>IF($P73&gt;0,(($W73)/(12)),0)</f>
        <v/>
      </c>
      <c r="AX73" s="702">
        <f>IF($P73&gt;0,(($W73)/(12)),0)</f>
        <v/>
      </c>
      <c r="AY73" s="702">
        <f>IF($P73&gt;0,(($W73)/(12)),0)</f>
        <v/>
      </c>
      <c r="AZ73" s="702">
        <f>IF($P73&gt;0,(($W73)/(12)),0)</f>
        <v/>
      </c>
      <c r="BA73" s="702">
        <f>IF($P73&gt;0,(($W73)/(12)),0)</f>
        <v/>
      </c>
      <c r="BB73" s="702">
        <f>IF($P73&gt;0,(($W73)/(12)),0)</f>
        <v/>
      </c>
      <c r="BC73" s="765">
        <f>SUM(AQ73:BB73)</f>
        <v/>
      </c>
      <c r="BD73" s="462" t="n"/>
      <c r="BE73" s="702">
        <f>IF($Q73&gt;0,(($X73)/(12)),0)</f>
        <v/>
      </c>
      <c r="BF73" s="702">
        <f>IF($Q73&gt;0,(($X73)/(12)),0)</f>
        <v/>
      </c>
      <c r="BG73" s="702">
        <f>IF($Q73&gt;0,(($X73)/(12)),0)</f>
        <v/>
      </c>
      <c r="BH73" s="702">
        <f>IF($Q73&gt;0,(($X73)/(12)),0)</f>
        <v/>
      </c>
      <c r="BI73" s="702">
        <f>IF($Q73&gt;0,(($X73)/(12)),0)</f>
        <v/>
      </c>
      <c r="BJ73" s="702">
        <f>IF($Q73&gt;0,(($X73)/(12)),0)</f>
        <v/>
      </c>
      <c r="BK73" s="702">
        <f>IF($Q73&gt;0,(($X73)/(12)),0)</f>
        <v/>
      </c>
      <c r="BL73" s="702">
        <f>IF($Q73&gt;0,(($X73)/(12)),0)</f>
        <v/>
      </c>
      <c r="BM73" s="702">
        <f>IF($Q73&gt;0,(($X73)/(12)),0)</f>
        <v/>
      </c>
      <c r="BN73" s="702">
        <f>IF($Q73&gt;0,(($X73)/(12)),0)</f>
        <v/>
      </c>
      <c r="BO73" s="702">
        <f>IF($Q73&gt;0,(($X73)/(12)),0)</f>
        <v/>
      </c>
      <c r="BP73" s="702">
        <f>IF($Q73&gt;0,(($X73)/(12)),0)</f>
        <v/>
      </c>
      <c r="BQ73" s="765">
        <f>SUM(BE73:BP73)</f>
        <v/>
      </c>
      <c r="BR73" s="507" t="n"/>
      <c r="BS73" s="702">
        <f>IF($R73&gt;0,(($Y73)/(12)),0)</f>
        <v/>
      </c>
      <c r="BT73" s="702">
        <f>IF($R73&gt;0,(($Y73)/(12)),0)</f>
        <v/>
      </c>
      <c r="BU73" s="702">
        <f>IF($R73&gt;0,(($Y73)/(12)),0)</f>
        <v/>
      </c>
      <c r="BV73" s="702">
        <f>IF($R73&gt;0,(($Y73)/(12)),0)</f>
        <v/>
      </c>
      <c r="BW73" s="702">
        <f>IF($R73&gt;0,(($Y73)/(12)),0)</f>
        <v/>
      </c>
      <c r="BX73" s="702">
        <f>IF($R73&gt;0,(($Y73)/(12)),0)</f>
        <v/>
      </c>
      <c r="BY73" s="702">
        <f>IF($R73&gt;0,(($Y73)/(12)),0)</f>
        <v/>
      </c>
      <c r="BZ73" s="702">
        <f>IF($R73&gt;0,(($Y73)/(12)),0)</f>
        <v/>
      </c>
      <c r="CA73" s="702">
        <f>IF($R73&gt;0,(($Y73)/(12)),0)</f>
        <v/>
      </c>
      <c r="CB73" s="702">
        <f>IF($R73&gt;0,(($Y73)/(12)),0)</f>
        <v/>
      </c>
      <c r="CC73" s="702">
        <f>IF($R73&gt;0,(($Y73)/(12)),0)</f>
        <v/>
      </c>
      <c r="CD73" s="702">
        <f>IF($R73&gt;0,(($Y73)/(12)),0)</f>
        <v/>
      </c>
      <c r="CE73" s="765">
        <f>SUM(BS73:CD73)</f>
        <v/>
      </c>
      <c r="CF73" s="507" t="n"/>
      <c r="CG73" s="702">
        <f>IF($S73&gt;0,(($Z73)/(12)),0)</f>
        <v/>
      </c>
      <c r="CH73" s="702">
        <f>IF($S73&gt;0,(($Z73)/(12)),0)</f>
        <v/>
      </c>
      <c r="CI73" s="702">
        <f>IF($S73&gt;0,(($Z73)/(12)),0)</f>
        <v/>
      </c>
      <c r="CJ73" s="702">
        <f>IF($S73&gt;0,(($Z73)/(12)),0)</f>
        <v/>
      </c>
      <c r="CK73" s="702">
        <f>IF($S73&gt;0,(($Z73)/(12)),0)</f>
        <v/>
      </c>
      <c r="CL73" s="702">
        <f>IF($S73&gt;0,(($Z73)/(12)),0)</f>
        <v/>
      </c>
      <c r="CM73" s="702">
        <f>IF($S73&gt;0,(($Z73)/(12)),0)</f>
        <v/>
      </c>
      <c r="CN73" s="702">
        <f>IF($S73&gt;0,(($Z73)/(12)),0)</f>
        <v/>
      </c>
      <c r="CO73" s="702">
        <f>IF($S73&gt;0,(($Z73)/(12)),0)</f>
        <v/>
      </c>
      <c r="CP73" s="702">
        <f>IF($S73&gt;0,(($Z73)/(12)),0)</f>
        <v/>
      </c>
      <c r="CQ73" s="702">
        <f>IF($S73&gt;0,(($Z73)/(12)),0)</f>
        <v/>
      </c>
      <c r="CR73" s="702">
        <f>IF($S73&gt;0,(($Z73)/(12)),0)</f>
        <v/>
      </c>
      <c r="CS73" s="765">
        <f>SUM(CG73:CR73)</f>
        <v/>
      </c>
      <c r="CU73" s="702">
        <f>IF($T73&gt;0,(($AA73)/(12)),0)</f>
        <v/>
      </c>
      <c r="CV73" s="702">
        <f>IF($T73&gt;0,(($AA73)/(12)),0)</f>
        <v/>
      </c>
      <c r="CW73" s="702">
        <f>IF($T73&gt;0,(($AA73)/(12)),0)</f>
        <v/>
      </c>
      <c r="CX73" s="702">
        <f>IF($T73&gt;0,(($AA73)/(12)),0)</f>
        <v/>
      </c>
      <c r="CY73" s="702">
        <f>IF($T73&gt;0,(($AA73)/(12)),0)</f>
        <v/>
      </c>
      <c r="CZ73" s="702">
        <f>IF($T73&gt;0,(($AA73)/(12)),0)</f>
        <v/>
      </c>
      <c r="DA73" s="702">
        <f>IF($T73&gt;0,(($AA73)/(12)),0)</f>
        <v/>
      </c>
      <c r="DB73" s="702">
        <f>IF($T73&gt;0,(($AA73)/(12)),0)</f>
        <v/>
      </c>
      <c r="DC73" s="702">
        <f>IF($T73&gt;0,(($AA73)/(12)),0)</f>
        <v/>
      </c>
      <c r="DD73" s="702">
        <f>IF($T73&gt;0,(($AA73)/(12)),0)</f>
        <v/>
      </c>
      <c r="DE73" s="702">
        <f>IF($T73&gt;0,(($AA73)/(12)),0)</f>
        <v/>
      </c>
      <c r="DF73" s="702">
        <f>IF($T73&gt;0,(($AA73)/(12)),0)</f>
        <v/>
      </c>
      <c r="DG73" s="765">
        <f>SUM(CU73:DF73)</f>
        <v/>
      </c>
    </row>
    <row r="74" ht="15" customHeight="1" s="1883">
      <c r="B74" s="752">
        <f>((B73)+(1))</f>
        <v/>
      </c>
      <c r="C74" s="726" t="n"/>
      <c r="D74" s="730" t="inlineStr">
        <is>
          <t>●</t>
        </is>
      </c>
      <c r="E74" s="740" t="inlineStr">
        <is>
          <t>Roger Beaini</t>
        </is>
      </c>
      <c r="F74" s="737" t="n"/>
      <c r="G74" s="737" t="n"/>
      <c r="H74" s="737" t="n"/>
      <c r="I74" s="736" t="inlineStr">
        <is>
          <t>VP, Operations</t>
        </is>
      </c>
      <c r="J74" s="745" t="inlineStr">
        <is>
          <t>CONUS</t>
        </is>
      </c>
      <c r="K74" s="737" t="n"/>
      <c r="L74" s="738" t="inlineStr">
        <is>
          <t>-12</t>
        </is>
      </c>
      <c r="M74" s="738" t="inlineStr">
        <is>
          <t>-12</t>
        </is>
      </c>
      <c r="N74" s="739" t="n"/>
      <c r="O74" s="754" t="n">
        <v>1</v>
      </c>
      <c r="P74" s="755" t="n">
        <v>1</v>
      </c>
      <c r="Q74" s="755" t="n">
        <v>1</v>
      </c>
      <c r="R74" s="755" t="n">
        <v>1</v>
      </c>
      <c r="S74" s="755" t="n">
        <v>1</v>
      </c>
      <c r="T74" s="755" t="n">
        <v>1</v>
      </c>
      <c r="U74" s="737" t="n"/>
      <c r="V74" s="703" t="n">
        <v>100000</v>
      </c>
      <c r="W74" s="700">
        <f>(V74)</f>
        <v/>
      </c>
      <c r="X74" s="700">
        <f>((W74)*((1)+($X$63)))</f>
        <v/>
      </c>
      <c r="Y74" s="700">
        <f>((X74)*((1)+($Y$63)))</f>
        <v/>
      </c>
      <c r="Z74" s="700">
        <f>((Y74)*((1)+($Z$63)))</f>
        <v/>
      </c>
      <c r="AA74" s="700">
        <f>((Z74)*((1)+($AA$63)))</f>
        <v/>
      </c>
      <c r="AB74" s="726" t="n"/>
      <c r="AC74" s="702" t="n">
        <v>0</v>
      </c>
      <c r="AD74" s="702">
        <f>(($V74)/(12))</f>
        <v/>
      </c>
      <c r="AE74" s="702">
        <f>(($V74)/(12))</f>
        <v/>
      </c>
      <c r="AF74" s="702">
        <f>(($V74)/(12))</f>
        <v/>
      </c>
      <c r="AG74" s="702">
        <f>(($V74)/(12))</f>
        <v/>
      </c>
      <c r="AH74" s="702">
        <f>(($V74)/(12))</f>
        <v/>
      </c>
      <c r="AI74" s="702">
        <f>(($V74)/(12))</f>
        <v/>
      </c>
      <c r="AJ74" s="702">
        <f>(($V74)/(12))</f>
        <v/>
      </c>
      <c r="AK74" s="702">
        <f>(($V74)/(12))</f>
        <v/>
      </c>
      <c r="AL74" s="702">
        <f>(($V74)/(12))</f>
        <v/>
      </c>
      <c r="AM74" s="702">
        <f>(($V74)/(12))</f>
        <v/>
      </c>
      <c r="AN74" s="702">
        <f>(($V74)/(12))</f>
        <v/>
      </c>
      <c r="AO74" s="765">
        <f>SUM(AC74:AN74)</f>
        <v/>
      </c>
      <c r="AP74" s="462" t="n"/>
      <c r="AQ74" s="702">
        <f>IF($P74&gt;0,(($W74)/(12)),0)</f>
        <v/>
      </c>
      <c r="AR74" s="702">
        <f>IF($P74&gt;0,(($W74)/(12)),0)</f>
        <v/>
      </c>
      <c r="AS74" s="702">
        <f>IF($P74&gt;0,(($W74)/(12)),0)</f>
        <v/>
      </c>
      <c r="AT74" s="702">
        <f>IF($P74&gt;0,(($W74)/(12)),0)</f>
        <v/>
      </c>
      <c r="AU74" s="702">
        <f>IF($P74&gt;0,(($W74)/(12)),0)</f>
        <v/>
      </c>
      <c r="AV74" s="702">
        <f>IF($P74&gt;0,(($W74)/(12)),0)</f>
        <v/>
      </c>
      <c r="AW74" s="702">
        <f>IF($P74&gt;0,(($W74)/(12)),0)</f>
        <v/>
      </c>
      <c r="AX74" s="702">
        <f>IF($P74&gt;0,(($W74)/(12)),0)</f>
        <v/>
      </c>
      <c r="AY74" s="702">
        <f>IF($P74&gt;0,(($W74)/(12)),0)</f>
        <v/>
      </c>
      <c r="AZ74" s="702">
        <f>IF($P74&gt;0,(($W74)/(12)),0)</f>
        <v/>
      </c>
      <c r="BA74" s="702">
        <f>IF($P74&gt;0,(($W74)/(12)),0)</f>
        <v/>
      </c>
      <c r="BB74" s="702">
        <f>IF($P74&gt;0,(($W74)/(12)),0)</f>
        <v/>
      </c>
      <c r="BC74" s="765">
        <f>SUM(AQ74:BB74)</f>
        <v/>
      </c>
      <c r="BD74" s="462" t="n"/>
      <c r="BE74" s="702">
        <f>IF($Q74&gt;0,(($X74)/(12)),0)</f>
        <v/>
      </c>
      <c r="BF74" s="702">
        <f>IF($Q74&gt;0,(($X74)/(12)),0)</f>
        <v/>
      </c>
      <c r="BG74" s="702">
        <f>IF($Q74&gt;0,(($X74)/(12)),0)</f>
        <v/>
      </c>
      <c r="BH74" s="702">
        <f>IF($Q74&gt;0,(($X74)/(12)),0)</f>
        <v/>
      </c>
      <c r="BI74" s="702">
        <f>IF($Q74&gt;0,(($X74)/(12)),0)</f>
        <v/>
      </c>
      <c r="BJ74" s="702">
        <f>IF($Q74&gt;0,(($X74)/(12)),0)</f>
        <v/>
      </c>
      <c r="BK74" s="702">
        <f>IF($Q74&gt;0,(($X74)/(12)),0)</f>
        <v/>
      </c>
      <c r="BL74" s="702">
        <f>IF($Q74&gt;0,(($X74)/(12)),0)</f>
        <v/>
      </c>
      <c r="BM74" s="702">
        <f>IF($Q74&gt;0,(($X74)/(12)),0)</f>
        <v/>
      </c>
      <c r="BN74" s="702">
        <f>IF($Q74&gt;0,(($X74)/(12)),0)</f>
        <v/>
      </c>
      <c r="BO74" s="702">
        <f>IF($Q74&gt;0,(($X74)/(12)),0)</f>
        <v/>
      </c>
      <c r="BP74" s="702">
        <f>IF($Q74&gt;0,(($X74)/(12)),0)</f>
        <v/>
      </c>
      <c r="BQ74" s="765">
        <f>SUM(BE74:BP74)</f>
        <v/>
      </c>
      <c r="BR74" s="507" t="n"/>
      <c r="BS74" s="702">
        <f>IF($R74&gt;0,(($Y74)/(12)),0)</f>
        <v/>
      </c>
      <c r="BT74" s="702">
        <f>IF($R74&gt;0,(($Y74)/(12)),0)</f>
        <v/>
      </c>
      <c r="BU74" s="702">
        <f>IF($R74&gt;0,(($Y74)/(12)),0)</f>
        <v/>
      </c>
      <c r="BV74" s="702">
        <f>IF($R74&gt;0,(($Y74)/(12)),0)</f>
        <v/>
      </c>
      <c r="BW74" s="702">
        <f>IF($R74&gt;0,(($Y74)/(12)),0)</f>
        <v/>
      </c>
      <c r="BX74" s="702">
        <f>IF($R74&gt;0,(($Y74)/(12)),0)</f>
        <v/>
      </c>
      <c r="BY74" s="702">
        <f>IF($R74&gt;0,(($Y74)/(12)),0)</f>
        <v/>
      </c>
      <c r="BZ74" s="702">
        <f>IF($R74&gt;0,(($Y74)/(12)),0)</f>
        <v/>
      </c>
      <c r="CA74" s="702">
        <f>IF($R74&gt;0,(($Y74)/(12)),0)</f>
        <v/>
      </c>
      <c r="CB74" s="702">
        <f>IF($R74&gt;0,(($Y74)/(12)),0)</f>
        <v/>
      </c>
      <c r="CC74" s="702">
        <f>IF($R74&gt;0,(($Y74)/(12)),0)</f>
        <v/>
      </c>
      <c r="CD74" s="702">
        <f>IF($R74&gt;0,(($Y74)/(12)),0)</f>
        <v/>
      </c>
      <c r="CE74" s="765">
        <f>SUM(BS74:CD74)</f>
        <v/>
      </c>
      <c r="CF74" s="507" t="n"/>
      <c r="CG74" s="702">
        <f>IF($S74&gt;0,(($Z74)/(12)),0)</f>
        <v/>
      </c>
      <c r="CH74" s="702">
        <f>IF($S74&gt;0,(($Z74)/(12)),0)</f>
        <v/>
      </c>
      <c r="CI74" s="702">
        <f>IF($S74&gt;0,(($Z74)/(12)),0)</f>
        <v/>
      </c>
      <c r="CJ74" s="702">
        <f>IF($S74&gt;0,(($Z74)/(12)),0)</f>
        <v/>
      </c>
      <c r="CK74" s="702">
        <f>IF($S74&gt;0,(($Z74)/(12)),0)</f>
        <v/>
      </c>
      <c r="CL74" s="702">
        <f>IF($S74&gt;0,(($Z74)/(12)),0)</f>
        <v/>
      </c>
      <c r="CM74" s="702">
        <f>IF($S74&gt;0,(($Z74)/(12)),0)</f>
        <v/>
      </c>
      <c r="CN74" s="702">
        <f>IF($S74&gt;0,(($Z74)/(12)),0)</f>
        <v/>
      </c>
      <c r="CO74" s="702">
        <f>IF($S74&gt;0,(($Z74)/(12)),0)</f>
        <v/>
      </c>
      <c r="CP74" s="702">
        <f>IF($S74&gt;0,(($Z74)/(12)),0)</f>
        <v/>
      </c>
      <c r="CQ74" s="702">
        <f>IF($S74&gt;0,(($Z74)/(12)),0)</f>
        <v/>
      </c>
      <c r="CR74" s="702">
        <f>IF($S74&gt;0,(($Z74)/(12)),0)</f>
        <v/>
      </c>
      <c r="CS74" s="765">
        <f>SUM(CG74:CR74)</f>
        <v/>
      </c>
      <c r="CU74" s="702">
        <f>IF($T74&gt;0,(($AA74)/(12)),0)</f>
        <v/>
      </c>
      <c r="CV74" s="702">
        <f>IF($T74&gt;0,(($AA74)/(12)),0)</f>
        <v/>
      </c>
      <c r="CW74" s="702">
        <f>IF($T74&gt;0,(($AA74)/(12)),0)</f>
        <v/>
      </c>
      <c r="CX74" s="702">
        <f>IF($T74&gt;0,(($AA74)/(12)),0)</f>
        <v/>
      </c>
      <c r="CY74" s="702">
        <f>IF($T74&gt;0,(($AA74)/(12)),0)</f>
        <v/>
      </c>
      <c r="CZ74" s="702">
        <f>IF($T74&gt;0,(($AA74)/(12)),0)</f>
        <v/>
      </c>
      <c r="DA74" s="702">
        <f>IF($T74&gt;0,(($AA74)/(12)),0)</f>
        <v/>
      </c>
      <c r="DB74" s="702">
        <f>IF($T74&gt;0,(($AA74)/(12)),0)</f>
        <v/>
      </c>
      <c r="DC74" s="702">
        <f>IF($T74&gt;0,(($AA74)/(12)),0)</f>
        <v/>
      </c>
      <c r="DD74" s="702">
        <f>IF($T74&gt;0,(($AA74)/(12)),0)</f>
        <v/>
      </c>
      <c r="DE74" s="702">
        <f>IF($T74&gt;0,(($AA74)/(12)),0)</f>
        <v/>
      </c>
      <c r="DF74" s="702">
        <f>IF($T74&gt;0,(($AA74)/(12)),0)</f>
        <v/>
      </c>
      <c r="DG74" s="765">
        <f>SUM(CU74:DF74)</f>
        <v/>
      </c>
    </row>
    <row r="75" ht="15" customHeight="1" s="1883">
      <c r="B75" s="752">
        <f>((B74)+(1))</f>
        <v/>
      </c>
      <c r="C75" s="726" t="n"/>
      <c r="D75" s="730" t="inlineStr">
        <is>
          <t>●</t>
        </is>
      </c>
      <c r="E75" s="740" t="inlineStr">
        <is>
          <t>TBD</t>
        </is>
      </c>
      <c r="F75" s="737" t="n"/>
      <c r="G75" s="737" t="n"/>
      <c r="H75" s="737" t="n"/>
      <c r="I75" s="736" t="inlineStr">
        <is>
          <t>VP. Pure Marketing</t>
        </is>
      </c>
      <c r="J75" s="745" t="inlineStr">
        <is>
          <t>CONUS</t>
        </is>
      </c>
      <c r="K75" s="737" t="n"/>
      <c r="L75" s="753" t="n">
        <v>1</v>
      </c>
      <c r="M75" s="753" t="n">
        <v>1</v>
      </c>
      <c r="N75" s="744" t="n"/>
      <c r="O75" s="815" t="n"/>
      <c r="P75" s="755" t="n">
        <v>0</v>
      </c>
      <c r="Q75" s="755" t="n">
        <v>0</v>
      </c>
      <c r="R75" s="755" t="n">
        <v>0</v>
      </c>
      <c r="S75" s="755" t="n">
        <v>0</v>
      </c>
      <c r="T75" s="755" t="n">
        <v>0</v>
      </c>
      <c r="U75" s="737" t="n"/>
      <c r="V75" s="703" t="n">
        <v>0</v>
      </c>
      <c r="W75" s="701" t="n">
        <v>0</v>
      </c>
      <c r="X75" s="700">
        <f>((W75)*((1)+($X$63)))</f>
        <v/>
      </c>
      <c r="Y75" s="700">
        <f>((X75)*((1)+($Y$63)))</f>
        <v/>
      </c>
      <c r="Z75" s="700">
        <f>((Y75)*((1)+($Z$63)))</f>
        <v/>
      </c>
      <c r="AA75" s="700">
        <f>((Z75)*((1)+($AA$63)))</f>
        <v/>
      </c>
      <c r="AB75" s="726" t="n"/>
      <c r="AC75" s="702">
        <f>(($V75)/(12))</f>
        <v/>
      </c>
      <c r="AD75" s="702">
        <f>(($V75)/(12))</f>
        <v/>
      </c>
      <c r="AE75" s="702">
        <f>(($V75)/(12))</f>
        <v/>
      </c>
      <c r="AF75" s="702">
        <f>(($V75)/(12))</f>
        <v/>
      </c>
      <c r="AG75" s="702">
        <f>(($V75)/(12))</f>
        <v/>
      </c>
      <c r="AH75" s="702">
        <f>(($V75)/(12))</f>
        <v/>
      </c>
      <c r="AI75" s="702">
        <f>(($V75)/(12))</f>
        <v/>
      </c>
      <c r="AJ75" s="702">
        <f>(($V75)/(12))</f>
        <v/>
      </c>
      <c r="AK75" s="702">
        <f>(($V75)/(12))</f>
        <v/>
      </c>
      <c r="AL75" s="702">
        <f>(($V75)/(12))</f>
        <v/>
      </c>
      <c r="AM75" s="702">
        <f>(($V75)/(12))</f>
        <v/>
      </c>
      <c r="AN75" s="702">
        <f>(($V75)/(12))</f>
        <v/>
      </c>
      <c r="AO75" s="765">
        <f>SUM(AC75:AN75)</f>
        <v/>
      </c>
      <c r="AP75" s="462" t="n"/>
      <c r="AQ75" s="702">
        <f>IF($P75&gt;0,(($W75)/(12)),0)</f>
        <v/>
      </c>
      <c r="AR75" s="702">
        <f>IF($P75&gt;0,(($W75)/(12)),0)</f>
        <v/>
      </c>
      <c r="AS75" s="702">
        <f>IF($P75&gt;0,(($W75)/(12)),0)</f>
        <v/>
      </c>
      <c r="AT75" s="702">
        <f>IF($P75&gt;0,(($W75)/(12)),0)</f>
        <v/>
      </c>
      <c r="AU75" s="702">
        <f>IF($P75&gt;0,(($W75)/(12)),0)</f>
        <v/>
      </c>
      <c r="AV75" s="702">
        <f>IF($P75&gt;0,(($W75)/(12)),0)</f>
        <v/>
      </c>
      <c r="AW75" s="702">
        <f>IF($P75&gt;0,(($W75)/(12)),0)</f>
        <v/>
      </c>
      <c r="AX75" s="702">
        <f>IF($P75&gt;0,(($W75)/(12)),0)</f>
        <v/>
      </c>
      <c r="AY75" s="702">
        <f>IF($P75&gt;0,(($W75)/(12)),0)</f>
        <v/>
      </c>
      <c r="AZ75" s="702">
        <f>IF($P75&gt;0,(($W75)/(12)),0)</f>
        <v/>
      </c>
      <c r="BA75" s="702">
        <f>IF($P75&gt;0,(($W75)/(12)),0)</f>
        <v/>
      </c>
      <c r="BB75" s="702">
        <f>IF($P75&gt;0,(($W75)/(12)),0)</f>
        <v/>
      </c>
      <c r="BC75" s="765">
        <f>SUM(AQ75:BB75)</f>
        <v/>
      </c>
      <c r="BD75" s="462" t="n"/>
      <c r="BE75" s="702">
        <f>IF($Q75&gt;0,(($X75)/(12)),0)</f>
        <v/>
      </c>
      <c r="BF75" s="702">
        <f>IF($Q75&gt;0,(($X75)/(12)),0)</f>
        <v/>
      </c>
      <c r="BG75" s="702">
        <f>IF($Q75&gt;0,(($X75)/(12)),0)</f>
        <v/>
      </c>
      <c r="BH75" s="702">
        <f>IF($Q75&gt;0,(($X75)/(12)),0)</f>
        <v/>
      </c>
      <c r="BI75" s="702">
        <f>IF($Q75&gt;0,(($X75)/(12)),0)</f>
        <v/>
      </c>
      <c r="BJ75" s="702">
        <f>IF($Q75&gt;0,(($X75)/(12)),0)</f>
        <v/>
      </c>
      <c r="BK75" s="702">
        <f>IF($Q75&gt;0,(($X75)/(12)),0)</f>
        <v/>
      </c>
      <c r="BL75" s="702">
        <f>IF($Q75&gt;0,(($X75)/(12)),0)</f>
        <v/>
      </c>
      <c r="BM75" s="702">
        <f>IF($Q75&gt;0,(($X75)/(12)),0)</f>
        <v/>
      </c>
      <c r="BN75" s="702">
        <f>IF($Q75&gt;0,(($X75)/(12)),0)</f>
        <v/>
      </c>
      <c r="BO75" s="702">
        <f>IF($Q75&gt;0,(($X75)/(12)),0)</f>
        <v/>
      </c>
      <c r="BP75" s="702">
        <f>IF($Q75&gt;0,(($X75)/(12)),0)</f>
        <v/>
      </c>
      <c r="BQ75" s="765">
        <f>SUM(BE75:BP75)</f>
        <v/>
      </c>
      <c r="BR75" s="507" t="n"/>
      <c r="BS75" s="702">
        <f>IF($R75&gt;0,(($Y75)/(12)),0)</f>
        <v/>
      </c>
      <c r="BT75" s="702">
        <f>IF($R75&gt;0,(($Y75)/(12)),0)</f>
        <v/>
      </c>
      <c r="BU75" s="702">
        <f>IF($R75&gt;0,(($Y75)/(12)),0)</f>
        <v/>
      </c>
      <c r="BV75" s="702">
        <f>IF($R75&gt;0,(($Y75)/(12)),0)</f>
        <v/>
      </c>
      <c r="BW75" s="702">
        <f>IF($R75&gt;0,(($Y75)/(12)),0)</f>
        <v/>
      </c>
      <c r="BX75" s="702">
        <f>IF($R75&gt;0,(($Y75)/(12)),0)</f>
        <v/>
      </c>
      <c r="BY75" s="702">
        <f>IF($R75&gt;0,(($Y75)/(12)),0)</f>
        <v/>
      </c>
      <c r="BZ75" s="702">
        <f>IF($R75&gt;0,(($Y75)/(12)),0)</f>
        <v/>
      </c>
      <c r="CA75" s="702">
        <f>IF($R75&gt;0,(($Y75)/(12)),0)</f>
        <v/>
      </c>
      <c r="CB75" s="702">
        <f>IF($R75&gt;0,(($Y75)/(12)),0)</f>
        <v/>
      </c>
      <c r="CC75" s="702">
        <f>IF($R75&gt;0,(($Y75)/(12)),0)</f>
        <v/>
      </c>
      <c r="CD75" s="702">
        <f>IF($R75&gt;0,(($Y75)/(12)),0)</f>
        <v/>
      </c>
      <c r="CE75" s="765">
        <f>SUM(BS75:CD75)</f>
        <v/>
      </c>
      <c r="CF75" s="507" t="n"/>
      <c r="CG75" s="702">
        <f>IF($S75&gt;0,(($Z75)/(12)),0)</f>
        <v/>
      </c>
      <c r="CH75" s="702">
        <f>IF($S75&gt;0,(($Z75)/(12)),0)</f>
        <v/>
      </c>
      <c r="CI75" s="702">
        <f>IF($S75&gt;0,(($Z75)/(12)),0)</f>
        <v/>
      </c>
      <c r="CJ75" s="702">
        <f>IF($S75&gt;0,(($Z75)/(12)),0)</f>
        <v/>
      </c>
      <c r="CK75" s="702">
        <f>IF($S75&gt;0,(($Z75)/(12)),0)</f>
        <v/>
      </c>
      <c r="CL75" s="702">
        <f>IF($S75&gt;0,(($Z75)/(12)),0)</f>
        <v/>
      </c>
      <c r="CM75" s="702">
        <f>IF($S75&gt;0,(($Z75)/(12)),0)</f>
        <v/>
      </c>
      <c r="CN75" s="702">
        <f>IF($S75&gt;0,(($Z75)/(12)),0)</f>
        <v/>
      </c>
      <c r="CO75" s="702">
        <f>IF($S75&gt;0,(($Z75)/(12)),0)</f>
        <v/>
      </c>
      <c r="CP75" s="702">
        <f>IF($S75&gt;0,(($Z75)/(12)),0)</f>
        <v/>
      </c>
      <c r="CQ75" s="702">
        <f>IF($S75&gt;0,(($Z75)/(12)),0)</f>
        <v/>
      </c>
      <c r="CR75" s="702">
        <f>IF($S75&gt;0,(($Z75)/(12)),0)</f>
        <v/>
      </c>
      <c r="CS75" s="765">
        <f>SUM(CG75:CR75)</f>
        <v/>
      </c>
      <c r="CU75" s="702">
        <f>IF($T75&gt;0,(($AA75)/(12)),0)</f>
        <v/>
      </c>
      <c r="CV75" s="702">
        <f>IF($T75&gt;0,(($AA75)/(12)),0)</f>
        <v/>
      </c>
      <c r="CW75" s="702">
        <f>IF($T75&gt;0,(($AA75)/(12)),0)</f>
        <v/>
      </c>
      <c r="CX75" s="702">
        <f>IF($T75&gt;0,(($AA75)/(12)),0)</f>
        <v/>
      </c>
      <c r="CY75" s="702">
        <f>IF($T75&gt;0,(($AA75)/(12)),0)</f>
        <v/>
      </c>
      <c r="CZ75" s="702">
        <f>IF($T75&gt;0,(($AA75)/(12)),0)</f>
        <v/>
      </c>
      <c r="DA75" s="702">
        <f>IF($T75&gt;0,(($AA75)/(12)),0)</f>
        <v/>
      </c>
      <c r="DB75" s="702">
        <f>IF($T75&gt;0,(($AA75)/(12)),0)</f>
        <v/>
      </c>
      <c r="DC75" s="702">
        <f>IF($T75&gt;0,(($AA75)/(12)),0)</f>
        <v/>
      </c>
      <c r="DD75" s="702">
        <f>IF($T75&gt;0,(($AA75)/(12)),0)</f>
        <v/>
      </c>
      <c r="DE75" s="702">
        <f>IF($T75&gt;0,(($AA75)/(12)),0)</f>
        <v/>
      </c>
      <c r="DF75" s="702">
        <f>IF($T75&gt;0,(($AA75)/(12)),0)</f>
        <v/>
      </c>
      <c r="DG75" s="765">
        <f>SUM(CU75:DF75)</f>
        <v/>
      </c>
    </row>
    <row r="76" ht="15" customHeight="1" s="1883">
      <c r="B76" s="752">
        <f>((B75)+(1))</f>
        <v/>
      </c>
      <c r="C76" s="726" t="n"/>
      <c r="D76" s="730" t="inlineStr">
        <is>
          <t>●</t>
        </is>
      </c>
      <c r="E76" s="736" t="inlineStr">
        <is>
          <t>TBD</t>
        </is>
      </c>
      <c r="F76" s="737" t="n"/>
      <c r="G76" s="737" t="n"/>
      <c r="H76" s="737" t="n"/>
      <c r="I76" s="736" t="inlineStr">
        <is>
          <t>VP, Artificial Intelligence &amp; Data Science</t>
        </is>
      </c>
      <c r="J76" s="745" t="inlineStr">
        <is>
          <t>CONUS</t>
        </is>
      </c>
      <c r="K76" s="737" t="n"/>
      <c r="L76" s="753" t="n">
        <v>1</v>
      </c>
      <c r="M76" s="753" t="n">
        <v>1</v>
      </c>
      <c r="N76" s="739" t="n"/>
      <c r="O76" s="754" t="n">
        <v>0</v>
      </c>
      <c r="P76" s="755" t="n">
        <v>0</v>
      </c>
      <c r="Q76" s="755" t="n">
        <v>0</v>
      </c>
      <c r="R76" s="755" t="n">
        <v>0</v>
      </c>
      <c r="S76" s="755" t="n">
        <v>0</v>
      </c>
      <c r="T76" s="755" t="n">
        <v>0</v>
      </c>
      <c r="U76" s="737" t="n"/>
      <c r="V76" s="703" t="n">
        <v>0</v>
      </c>
      <c r="W76" s="700" t="n">
        <v>0</v>
      </c>
      <c r="X76" s="700">
        <f>((W76)*((1)+($X$63)))</f>
        <v/>
      </c>
      <c r="Y76" s="700">
        <f>((X76)*((1)+($Y$63)))</f>
        <v/>
      </c>
      <c r="Z76" s="700">
        <f>((Y76)*((1)+($Z$63)))</f>
        <v/>
      </c>
      <c r="AA76" s="700">
        <f>((Z76)*((1)+($AA$63)))</f>
        <v/>
      </c>
      <c r="AB76" s="726" t="n"/>
      <c r="AC76" s="702">
        <f>(($V76)/(12))</f>
        <v/>
      </c>
      <c r="AD76" s="702">
        <f>(($V76)/(12))</f>
        <v/>
      </c>
      <c r="AE76" s="702">
        <f>(($V76)/(12))</f>
        <v/>
      </c>
      <c r="AF76" s="702">
        <f>(($V76)/(12))</f>
        <v/>
      </c>
      <c r="AG76" s="702">
        <f>(($V76)/(12))</f>
        <v/>
      </c>
      <c r="AH76" s="702">
        <f>(($V76)/(12))</f>
        <v/>
      </c>
      <c r="AI76" s="702">
        <f>(($V76)/(12))</f>
        <v/>
      </c>
      <c r="AJ76" s="702">
        <f>(($V76)/(12))</f>
        <v/>
      </c>
      <c r="AK76" s="702">
        <f>(($V76)/(12))</f>
        <v/>
      </c>
      <c r="AL76" s="702">
        <f>(($V76)/(12))</f>
        <v/>
      </c>
      <c r="AM76" s="702">
        <f>(($V76)/(12))</f>
        <v/>
      </c>
      <c r="AN76" s="702">
        <f>(($V76)/(12))</f>
        <v/>
      </c>
      <c r="AO76" s="765">
        <f>SUM(AC76:AN76)</f>
        <v/>
      </c>
      <c r="AP76" s="462" t="n"/>
      <c r="AQ76" s="702">
        <f>IF($P76&gt;0,(($W76)/(12)),0)</f>
        <v/>
      </c>
      <c r="AR76" s="702">
        <f>IF($P76&gt;0,(($W76)/(12)),0)</f>
        <v/>
      </c>
      <c r="AS76" s="702">
        <f>IF($P76&gt;0,(($W76)/(12)),0)</f>
        <v/>
      </c>
      <c r="AT76" s="702">
        <f>IF($P76&gt;0,(($W76)/(12)),0)</f>
        <v/>
      </c>
      <c r="AU76" s="702">
        <f>IF($P76&gt;0,(($W76)/(12)),0)</f>
        <v/>
      </c>
      <c r="AV76" s="702">
        <f>IF($P76&gt;0,(($W76)/(12)),0)</f>
        <v/>
      </c>
      <c r="AW76" s="702">
        <f>IF($P76&gt;0,(($W76)/(12)),0)</f>
        <v/>
      </c>
      <c r="AX76" s="702">
        <f>IF($P76&gt;0,(($W76)/(12)),0)</f>
        <v/>
      </c>
      <c r="AY76" s="702">
        <f>IF($P76&gt;0,(($W76)/(12)),0)</f>
        <v/>
      </c>
      <c r="AZ76" s="702">
        <f>IF($P76&gt;0,(($W76)/(12)),0)</f>
        <v/>
      </c>
      <c r="BA76" s="702">
        <f>IF($P76&gt;0,(($W76)/(12)),0)</f>
        <v/>
      </c>
      <c r="BB76" s="702">
        <f>IF($P76&gt;0,(($W76)/(12)),0)</f>
        <v/>
      </c>
      <c r="BC76" s="765">
        <f>SUM(AQ76:BB76)</f>
        <v/>
      </c>
      <c r="BD76" s="462" t="n"/>
      <c r="BE76" s="702">
        <f>IF($Q76&gt;0,(($X76)/(12)),0)</f>
        <v/>
      </c>
      <c r="BF76" s="702">
        <f>IF($Q76&gt;0,(($X76)/(12)),0)</f>
        <v/>
      </c>
      <c r="BG76" s="702">
        <f>IF($Q76&gt;0,(($X76)/(12)),0)</f>
        <v/>
      </c>
      <c r="BH76" s="702">
        <f>IF($Q76&gt;0,(($X76)/(12)),0)</f>
        <v/>
      </c>
      <c r="BI76" s="702">
        <f>IF($Q76&gt;0,(($X76)/(12)),0)</f>
        <v/>
      </c>
      <c r="BJ76" s="702">
        <f>IF($Q76&gt;0,(($X76)/(12)),0)</f>
        <v/>
      </c>
      <c r="BK76" s="702">
        <f>IF($Q76&gt;0,(($X76)/(12)),0)</f>
        <v/>
      </c>
      <c r="BL76" s="702">
        <f>IF($Q76&gt;0,(($X76)/(12)),0)</f>
        <v/>
      </c>
      <c r="BM76" s="702">
        <f>IF($Q76&gt;0,(($X76)/(12)),0)</f>
        <v/>
      </c>
      <c r="BN76" s="702">
        <f>IF($Q76&gt;0,(($X76)/(12)),0)</f>
        <v/>
      </c>
      <c r="BO76" s="702">
        <f>IF($Q76&gt;0,(($X76)/(12)),0)</f>
        <v/>
      </c>
      <c r="BP76" s="702">
        <f>IF($Q76&gt;0,(($X76)/(12)),0)</f>
        <v/>
      </c>
      <c r="BQ76" s="765">
        <f>SUM(BE76:BP76)</f>
        <v/>
      </c>
      <c r="BR76" s="507" t="n"/>
      <c r="BS76" s="702">
        <f>IF($R76&gt;0,(($Y76)/(12)),0)</f>
        <v/>
      </c>
      <c r="BT76" s="702">
        <f>IF($R76&gt;0,(($Y76)/(12)),0)</f>
        <v/>
      </c>
      <c r="BU76" s="702">
        <f>IF($R76&gt;0,(($Y76)/(12)),0)</f>
        <v/>
      </c>
      <c r="BV76" s="702">
        <f>IF($R76&gt;0,(($Y76)/(12)),0)</f>
        <v/>
      </c>
      <c r="BW76" s="702">
        <f>IF($R76&gt;0,(($Y76)/(12)),0)</f>
        <v/>
      </c>
      <c r="BX76" s="702">
        <f>IF($R76&gt;0,(($Y76)/(12)),0)</f>
        <v/>
      </c>
      <c r="BY76" s="702">
        <f>IF($R76&gt;0,(($Y76)/(12)),0)</f>
        <v/>
      </c>
      <c r="BZ76" s="702">
        <f>IF($R76&gt;0,(($Y76)/(12)),0)</f>
        <v/>
      </c>
      <c r="CA76" s="702">
        <f>IF($R76&gt;0,(($Y76)/(12)),0)</f>
        <v/>
      </c>
      <c r="CB76" s="702">
        <f>IF($R76&gt;0,(($Y76)/(12)),0)</f>
        <v/>
      </c>
      <c r="CC76" s="702">
        <f>IF($R76&gt;0,(($Y76)/(12)),0)</f>
        <v/>
      </c>
      <c r="CD76" s="702">
        <f>IF($R76&gt;0,(($Y76)/(12)),0)</f>
        <v/>
      </c>
      <c r="CE76" s="765">
        <f>SUM(BS76:CD76)</f>
        <v/>
      </c>
      <c r="CF76" s="507" t="n"/>
      <c r="CG76" s="702">
        <f>IF($S76&gt;0,(($Z76)/(12)),0)</f>
        <v/>
      </c>
      <c r="CH76" s="702">
        <f>IF($S76&gt;0,(($Z76)/(12)),0)</f>
        <v/>
      </c>
      <c r="CI76" s="702">
        <f>IF($S76&gt;0,(($Z76)/(12)),0)</f>
        <v/>
      </c>
      <c r="CJ76" s="702">
        <f>IF($S76&gt;0,(($Z76)/(12)),0)</f>
        <v/>
      </c>
      <c r="CK76" s="702">
        <f>IF($S76&gt;0,(($Z76)/(12)),0)</f>
        <v/>
      </c>
      <c r="CL76" s="702">
        <f>IF($S76&gt;0,(($Z76)/(12)),0)</f>
        <v/>
      </c>
      <c r="CM76" s="702">
        <f>IF($S76&gt;0,(($Z76)/(12)),0)</f>
        <v/>
      </c>
      <c r="CN76" s="702">
        <f>IF($S76&gt;0,(($Z76)/(12)),0)</f>
        <v/>
      </c>
      <c r="CO76" s="702">
        <f>IF($S76&gt;0,(($Z76)/(12)),0)</f>
        <v/>
      </c>
      <c r="CP76" s="702">
        <f>IF($S76&gt;0,(($Z76)/(12)),0)</f>
        <v/>
      </c>
      <c r="CQ76" s="702">
        <f>IF($S76&gt;0,(($Z76)/(12)),0)</f>
        <v/>
      </c>
      <c r="CR76" s="702">
        <f>IF($S76&gt;0,(($Z76)/(12)),0)</f>
        <v/>
      </c>
      <c r="CS76" s="765">
        <f>SUM(CG76:CR76)</f>
        <v/>
      </c>
      <c r="CU76" s="702">
        <f>IF($T76&gt;0,(($AA76)/(12)),0)</f>
        <v/>
      </c>
      <c r="CV76" s="702">
        <f>IF($T76&gt;0,(($AA76)/(12)),0)</f>
        <v/>
      </c>
      <c r="CW76" s="702">
        <f>IF($T76&gt;0,(($AA76)/(12)),0)</f>
        <v/>
      </c>
      <c r="CX76" s="702">
        <f>IF($T76&gt;0,(($AA76)/(12)),0)</f>
        <v/>
      </c>
      <c r="CY76" s="702">
        <f>IF($T76&gt;0,(($AA76)/(12)),0)</f>
        <v/>
      </c>
      <c r="CZ76" s="702">
        <f>IF($T76&gt;0,(($AA76)/(12)),0)</f>
        <v/>
      </c>
      <c r="DA76" s="702">
        <f>IF($T76&gt;0,(($AA76)/(12)),0)</f>
        <v/>
      </c>
      <c r="DB76" s="702">
        <f>IF($T76&gt;0,(($AA76)/(12)),0)</f>
        <v/>
      </c>
      <c r="DC76" s="702">
        <f>IF($T76&gt;0,(($AA76)/(12)),0)</f>
        <v/>
      </c>
      <c r="DD76" s="702">
        <f>IF($T76&gt;0,(($AA76)/(12)),0)</f>
        <v/>
      </c>
      <c r="DE76" s="702">
        <f>IF($T76&gt;0,(($AA76)/(12)),0)</f>
        <v/>
      </c>
      <c r="DF76" s="702">
        <f>IF($T76&gt;0,(($AA76)/(12)),0)</f>
        <v/>
      </c>
      <c r="DG76" s="765">
        <f>SUM(CU76:DF76)</f>
        <v/>
      </c>
    </row>
    <row r="77" ht="15" customHeight="1" s="1883">
      <c r="B77" s="752">
        <f>((B76)+(1))</f>
        <v/>
      </c>
      <c r="C77" s="726" t="n"/>
      <c r="D77" s="730" t="inlineStr">
        <is>
          <t>●</t>
        </is>
      </c>
      <c r="E77" s="736" t="inlineStr">
        <is>
          <t>Paula Bou Chaaya</t>
        </is>
      </c>
      <c r="F77" s="737" t="n"/>
      <c r="G77" s="737" t="n"/>
      <c r="H77" s="737" t="n"/>
      <c r="I77" s="736" t="inlineStr">
        <is>
          <t>VP, Finance</t>
        </is>
      </c>
      <c r="J77" s="746" t="inlineStr">
        <is>
          <t>OCONUS</t>
        </is>
      </c>
      <c r="K77" s="737" t="n"/>
      <c r="L77" s="738" t="inlineStr">
        <is>
          <t>-12</t>
        </is>
      </c>
      <c r="M77" s="738" t="inlineStr">
        <is>
          <t>-11</t>
        </is>
      </c>
      <c r="N77" s="744" t="n"/>
      <c r="O77" s="754" t="n">
        <v>1</v>
      </c>
      <c r="P77" s="755" t="n">
        <v>1</v>
      </c>
      <c r="Q77" s="755" t="n">
        <v>1</v>
      </c>
      <c r="R77" s="755" t="n">
        <v>1</v>
      </c>
      <c r="S77" s="755" t="n">
        <v>1</v>
      </c>
      <c r="T77" s="755" t="n">
        <v>1</v>
      </c>
      <c r="U77" s="737" t="n"/>
      <c r="V77" s="703" t="n">
        <v>120000</v>
      </c>
      <c r="W77" s="700">
        <f>(V77)</f>
        <v/>
      </c>
      <c r="X77" s="700">
        <f>((W77)*((1)+($X$63)))</f>
        <v/>
      </c>
      <c r="Y77" s="700">
        <f>((X77)*((1)+($Y$63)))</f>
        <v/>
      </c>
      <c r="Z77" s="700">
        <f>((Y77)*((1)+($Z$63)))</f>
        <v/>
      </c>
      <c r="AA77" s="700">
        <f>((Z77)*((1)+($AA$63)))</f>
        <v/>
      </c>
      <c r="AB77" s="726" t="n"/>
      <c r="AC77" s="702" t="n">
        <v>0</v>
      </c>
      <c r="AD77" s="702">
        <f>(($V77)/(12))/2</f>
        <v/>
      </c>
      <c r="AE77" s="702">
        <f>(($V77)/(12))</f>
        <v/>
      </c>
      <c r="AF77" s="702">
        <f>(($V77)/(12))</f>
        <v/>
      </c>
      <c r="AG77" s="702">
        <f>(($V77)/(12))</f>
        <v/>
      </c>
      <c r="AH77" s="702">
        <f>(($V77)/(12))</f>
        <v/>
      </c>
      <c r="AI77" s="702">
        <f>(($V77)/(12))</f>
        <v/>
      </c>
      <c r="AJ77" s="702">
        <f>(($V77)/(12))</f>
        <v/>
      </c>
      <c r="AK77" s="702">
        <f>(($V77)/(12))</f>
        <v/>
      </c>
      <c r="AL77" s="702">
        <f>(($V77)/(12))</f>
        <v/>
      </c>
      <c r="AM77" s="702">
        <f>(($V77)/(12))</f>
        <v/>
      </c>
      <c r="AN77" s="702">
        <f>(($V77)/(12))</f>
        <v/>
      </c>
      <c r="AO77" s="765">
        <f>SUM(AC77:AN77)</f>
        <v/>
      </c>
      <c r="AP77" s="462" t="n"/>
      <c r="AQ77" s="702">
        <f>IF($P77&gt;0,(($W77)/(12)),0)</f>
        <v/>
      </c>
      <c r="AR77" s="702">
        <f>IF($P77&gt;0,(($W77)/(12)),0)</f>
        <v/>
      </c>
      <c r="AS77" s="702">
        <f>IF($P77&gt;0,(($W77)/(12)),0)</f>
        <v/>
      </c>
      <c r="AT77" s="702">
        <f>IF($P77&gt;0,(($W77)/(12)),0)</f>
        <v/>
      </c>
      <c r="AU77" s="702">
        <f>IF($P77&gt;0,(($W77)/(12)),0)</f>
        <v/>
      </c>
      <c r="AV77" s="702">
        <f>IF($P77&gt;0,(($W77)/(12)),0)</f>
        <v/>
      </c>
      <c r="AW77" s="702">
        <f>IF($P77&gt;0,(($W77)/(12)),0)</f>
        <v/>
      </c>
      <c r="AX77" s="702">
        <f>IF($P77&gt;0,(($W77)/(12)),0)</f>
        <v/>
      </c>
      <c r="AY77" s="702">
        <f>IF($P77&gt;0,(($W77)/(12)),0)</f>
        <v/>
      </c>
      <c r="AZ77" s="702">
        <f>IF($P77&gt;0,(($W77)/(12)),0)</f>
        <v/>
      </c>
      <c r="BA77" s="702">
        <f>IF($P77&gt;0,(($W77)/(12)),0)</f>
        <v/>
      </c>
      <c r="BB77" s="702">
        <f>IF($P77&gt;0,(($W77)/(12)),0)</f>
        <v/>
      </c>
      <c r="BC77" s="765">
        <f>SUM(AQ77:BB77)</f>
        <v/>
      </c>
      <c r="BD77" s="462" t="n"/>
      <c r="BE77" s="702">
        <f>IF($Q77&gt;0,(($X77)/(12)),0)</f>
        <v/>
      </c>
      <c r="BF77" s="702">
        <f>IF($Q77&gt;0,(($X77)/(12)),0)</f>
        <v/>
      </c>
      <c r="BG77" s="702">
        <f>IF($Q77&gt;0,(($X77)/(12)),0)</f>
        <v/>
      </c>
      <c r="BH77" s="702">
        <f>IF($Q77&gt;0,(($X77)/(12)),0)</f>
        <v/>
      </c>
      <c r="BI77" s="702">
        <f>IF($Q77&gt;0,(($X77)/(12)),0)</f>
        <v/>
      </c>
      <c r="BJ77" s="702">
        <f>IF($Q77&gt;0,(($X77)/(12)),0)</f>
        <v/>
      </c>
      <c r="BK77" s="702">
        <f>IF($Q77&gt;0,(($X77)/(12)),0)</f>
        <v/>
      </c>
      <c r="BL77" s="702">
        <f>IF($Q77&gt;0,(($X77)/(12)),0)</f>
        <v/>
      </c>
      <c r="BM77" s="702">
        <f>IF($Q77&gt;0,(($X77)/(12)),0)</f>
        <v/>
      </c>
      <c r="BN77" s="702">
        <f>IF($Q77&gt;0,(($X77)/(12)),0)</f>
        <v/>
      </c>
      <c r="BO77" s="702">
        <f>IF($Q77&gt;0,(($X77)/(12)),0)</f>
        <v/>
      </c>
      <c r="BP77" s="702">
        <f>IF($Q77&gt;0,(($X77)/(12)),0)</f>
        <v/>
      </c>
      <c r="BQ77" s="765">
        <f>SUM(BE77:BP77)</f>
        <v/>
      </c>
      <c r="BR77" s="507" t="n"/>
      <c r="BS77" s="702">
        <f>IF($R77&gt;0,(($Y77)/(12)),0)</f>
        <v/>
      </c>
      <c r="BT77" s="702">
        <f>IF($R77&gt;0,(($Y77)/(12)),0)</f>
        <v/>
      </c>
      <c r="BU77" s="702">
        <f>IF($R77&gt;0,(($Y77)/(12)),0)</f>
        <v/>
      </c>
      <c r="BV77" s="702">
        <f>IF($R77&gt;0,(($Y77)/(12)),0)</f>
        <v/>
      </c>
      <c r="BW77" s="702">
        <f>IF($R77&gt;0,(($Y77)/(12)),0)</f>
        <v/>
      </c>
      <c r="BX77" s="702">
        <f>IF($R77&gt;0,(($Y77)/(12)),0)</f>
        <v/>
      </c>
      <c r="BY77" s="702">
        <f>IF($R77&gt;0,(($Y77)/(12)),0)</f>
        <v/>
      </c>
      <c r="BZ77" s="702">
        <f>IF($R77&gt;0,(($Y77)/(12)),0)</f>
        <v/>
      </c>
      <c r="CA77" s="702">
        <f>IF($R77&gt;0,(($Y77)/(12)),0)</f>
        <v/>
      </c>
      <c r="CB77" s="702">
        <f>IF($R77&gt;0,(($Y77)/(12)),0)</f>
        <v/>
      </c>
      <c r="CC77" s="702">
        <f>IF($R77&gt;0,(($Y77)/(12)),0)</f>
        <v/>
      </c>
      <c r="CD77" s="702">
        <f>IF($R77&gt;0,(($Y77)/(12)),0)</f>
        <v/>
      </c>
      <c r="CE77" s="765">
        <f>SUM(BS77:CD77)</f>
        <v/>
      </c>
      <c r="CF77" s="507" t="n"/>
      <c r="CG77" s="702">
        <f>IF($S77&gt;0,(($Z77)/(12)),0)</f>
        <v/>
      </c>
      <c r="CH77" s="702">
        <f>IF($S77&gt;0,(($Z77)/(12)),0)</f>
        <v/>
      </c>
      <c r="CI77" s="702">
        <f>IF($S77&gt;0,(($Z77)/(12)),0)</f>
        <v/>
      </c>
      <c r="CJ77" s="702">
        <f>IF($S77&gt;0,(($Z77)/(12)),0)</f>
        <v/>
      </c>
      <c r="CK77" s="702">
        <f>IF($S77&gt;0,(($Z77)/(12)),0)</f>
        <v/>
      </c>
      <c r="CL77" s="702">
        <f>IF($S77&gt;0,(($Z77)/(12)),0)</f>
        <v/>
      </c>
      <c r="CM77" s="702">
        <f>IF($S77&gt;0,(($Z77)/(12)),0)</f>
        <v/>
      </c>
      <c r="CN77" s="702">
        <f>IF($S77&gt;0,(($Z77)/(12)),0)</f>
        <v/>
      </c>
      <c r="CO77" s="702">
        <f>IF($S77&gt;0,(($Z77)/(12)),0)</f>
        <v/>
      </c>
      <c r="CP77" s="702">
        <f>IF($S77&gt;0,(($Z77)/(12)),0)</f>
        <v/>
      </c>
      <c r="CQ77" s="702">
        <f>IF($S77&gt;0,(($Z77)/(12)),0)</f>
        <v/>
      </c>
      <c r="CR77" s="702">
        <f>IF($S77&gt;0,(($Z77)/(12)),0)</f>
        <v/>
      </c>
      <c r="CS77" s="765">
        <f>SUM(CG77:CR77)</f>
        <v/>
      </c>
      <c r="CU77" s="702">
        <f>IF($T77&gt;0,(($AA77)/(12)),0)</f>
        <v/>
      </c>
      <c r="CV77" s="702">
        <f>IF($T77&gt;0,(($AA77)/(12)),0)</f>
        <v/>
      </c>
      <c r="CW77" s="702">
        <f>IF($T77&gt;0,(($AA77)/(12)),0)</f>
        <v/>
      </c>
      <c r="CX77" s="702">
        <f>IF($T77&gt;0,(($AA77)/(12)),0)</f>
        <v/>
      </c>
      <c r="CY77" s="702">
        <f>IF($T77&gt;0,(($AA77)/(12)),0)</f>
        <v/>
      </c>
      <c r="CZ77" s="702">
        <f>IF($T77&gt;0,(($AA77)/(12)),0)</f>
        <v/>
      </c>
      <c r="DA77" s="702">
        <f>IF($T77&gt;0,(($AA77)/(12)),0)</f>
        <v/>
      </c>
      <c r="DB77" s="702">
        <f>IF($T77&gt;0,(($AA77)/(12)),0)</f>
        <v/>
      </c>
      <c r="DC77" s="702">
        <f>IF($T77&gt;0,(($AA77)/(12)),0)</f>
        <v/>
      </c>
      <c r="DD77" s="702">
        <f>IF($T77&gt;0,(($AA77)/(12)),0)</f>
        <v/>
      </c>
      <c r="DE77" s="702">
        <f>IF($T77&gt;0,(($AA77)/(12)),0)</f>
        <v/>
      </c>
      <c r="DF77" s="702">
        <f>IF($T77&gt;0,(($AA77)/(12)),0)</f>
        <v/>
      </c>
      <c r="DG77" s="765">
        <f>SUM(CU77:DF77)</f>
        <v/>
      </c>
    </row>
    <row r="78" ht="15" customHeight="1" s="1883">
      <c r="B78" s="752">
        <f>((B77)+(1))</f>
        <v/>
      </c>
      <c r="C78" s="726" t="n"/>
      <c r="D78" s="730" t="inlineStr">
        <is>
          <t>●</t>
        </is>
      </c>
      <c r="E78" s="736" t="inlineStr">
        <is>
          <t>John Smith</t>
        </is>
      </c>
      <c r="F78" s="737" t="n"/>
      <c r="G78" s="737" t="n"/>
      <c r="H78" s="737" t="n"/>
      <c r="I78" s="736" t="inlineStr">
        <is>
          <t>VP, Sales</t>
        </is>
      </c>
      <c r="J78" s="746" t="inlineStr">
        <is>
          <t>OCONUS</t>
        </is>
      </c>
      <c r="K78" s="737" t="n"/>
      <c r="L78" s="738" t="inlineStr">
        <is>
          <t>-12</t>
        </is>
      </c>
      <c r="M78" s="738" t="inlineStr">
        <is>
          <t>-11</t>
        </is>
      </c>
      <c r="N78" s="744" t="n"/>
      <c r="O78" s="754" t="n">
        <v>1</v>
      </c>
      <c r="P78" s="755" t="n">
        <v>1</v>
      </c>
      <c r="Q78" s="755" t="n">
        <v>1</v>
      </c>
      <c r="R78" s="755" t="n">
        <v>1</v>
      </c>
      <c r="S78" s="755" t="n">
        <v>1</v>
      </c>
      <c r="T78" s="755" t="n">
        <v>1</v>
      </c>
      <c r="U78" s="737" t="n"/>
      <c r="V78" s="703" t="n">
        <v>165000</v>
      </c>
      <c r="W78" s="701">
        <f>V78</f>
        <v/>
      </c>
      <c r="X78" s="700">
        <f>((W78)*((1)+($X$63)))</f>
        <v/>
      </c>
      <c r="Y78" s="700">
        <f>((X78)*((1)+($Y$63)))</f>
        <v/>
      </c>
      <c r="Z78" s="700">
        <f>((Y78)*((1)+($Z$63)))</f>
        <v/>
      </c>
      <c r="AA78" s="700">
        <f>((Z78)*((1)+($AA$63)))</f>
        <v/>
      </c>
      <c r="AB78" s="726" t="n"/>
      <c r="AC78" s="702" t="n">
        <v>0</v>
      </c>
      <c r="AD78" s="702">
        <f>(($V78)/(12))</f>
        <v/>
      </c>
      <c r="AE78" s="702">
        <f>(($V78)/(12))</f>
        <v/>
      </c>
      <c r="AF78" s="702">
        <f>(($V78)/(12))</f>
        <v/>
      </c>
      <c r="AG78" s="702">
        <f>(($V78)/(12))</f>
        <v/>
      </c>
      <c r="AH78" s="702">
        <f>(($V78)/(12))</f>
        <v/>
      </c>
      <c r="AI78" s="702">
        <f>(($V78)/(12))</f>
        <v/>
      </c>
      <c r="AJ78" s="702">
        <f>(($V78)/(12))</f>
        <v/>
      </c>
      <c r="AK78" s="702">
        <f>(($V78)/(12))</f>
        <v/>
      </c>
      <c r="AL78" s="702">
        <f>(($V78)/(12))</f>
        <v/>
      </c>
      <c r="AM78" s="702">
        <f>(($V78)/(12))</f>
        <v/>
      </c>
      <c r="AN78" s="702">
        <f>(($V78)/(12))</f>
        <v/>
      </c>
      <c r="AO78" s="765">
        <f>SUM(AC78:AN78)</f>
        <v/>
      </c>
      <c r="AP78" s="462" t="n"/>
      <c r="AQ78" s="702">
        <f>IF($P78&gt;0,(($W78)/(12)),0)</f>
        <v/>
      </c>
      <c r="AR78" s="702">
        <f>IF($P78&gt;0,(($W78)/(12)),0)</f>
        <v/>
      </c>
      <c r="AS78" s="702">
        <f>IF($P78&gt;0,(($W78)/(12)),0)</f>
        <v/>
      </c>
      <c r="AT78" s="702">
        <f>IF($P78&gt;0,(($W78)/(12)),0)</f>
        <v/>
      </c>
      <c r="AU78" s="702">
        <f>IF($P78&gt;0,(($W78)/(12)),0)</f>
        <v/>
      </c>
      <c r="AV78" s="702">
        <f>IF($P78&gt;0,(($W78)/(12)),0)</f>
        <v/>
      </c>
      <c r="AW78" s="702">
        <f>IF($P78&gt;0,(($W78)/(12)),0)</f>
        <v/>
      </c>
      <c r="AX78" s="702">
        <f>IF($P78&gt;0,(($W78)/(12)),0)</f>
        <v/>
      </c>
      <c r="AY78" s="702">
        <f>IF($P78&gt;0,(($W78)/(12)),0)</f>
        <v/>
      </c>
      <c r="AZ78" s="702">
        <f>IF($P78&gt;0,(($W78)/(12)),0)</f>
        <v/>
      </c>
      <c r="BA78" s="702">
        <f>IF($P78&gt;0,(($W78)/(12)),0)</f>
        <v/>
      </c>
      <c r="BB78" s="702">
        <f>IF($P78&gt;0,(($W78)/(12)),0)</f>
        <v/>
      </c>
      <c r="BC78" s="765">
        <f>SUM(AQ78:BB78)</f>
        <v/>
      </c>
      <c r="BD78" s="462" t="n"/>
      <c r="BE78" s="702">
        <f>IF($Q78&gt;0,(($X78)/(12)),0)</f>
        <v/>
      </c>
      <c r="BF78" s="702">
        <f>IF($Q78&gt;0,(($X78)/(12)),0)</f>
        <v/>
      </c>
      <c r="BG78" s="702">
        <f>IF($Q78&gt;0,(($X78)/(12)),0)</f>
        <v/>
      </c>
      <c r="BH78" s="702">
        <f>IF($Q78&gt;0,(($X78)/(12)),0)</f>
        <v/>
      </c>
      <c r="BI78" s="702">
        <f>IF($Q78&gt;0,(($X78)/(12)),0)</f>
        <v/>
      </c>
      <c r="BJ78" s="702">
        <f>IF($Q78&gt;0,(($X78)/(12)),0)</f>
        <v/>
      </c>
      <c r="BK78" s="702">
        <f>IF($Q78&gt;0,(($X78)/(12)),0)</f>
        <v/>
      </c>
      <c r="BL78" s="702">
        <f>IF($Q78&gt;0,(($X78)/(12)),0)</f>
        <v/>
      </c>
      <c r="BM78" s="702">
        <f>IF($Q78&gt;0,(($X78)/(12)),0)</f>
        <v/>
      </c>
      <c r="BN78" s="702">
        <f>IF($Q78&gt;0,(($X78)/(12)),0)</f>
        <v/>
      </c>
      <c r="BO78" s="702">
        <f>IF($Q78&gt;0,(($X78)/(12)),0)</f>
        <v/>
      </c>
      <c r="BP78" s="702">
        <f>IF($Q78&gt;0,(($X78)/(12)),0)</f>
        <v/>
      </c>
      <c r="BQ78" s="765">
        <f>SUM(BE78:BP78)</f>
        <v/>
      </c>
      <c r="BR78" s="507" t="n"/>
      <c r="BS78" s="702">
        <f>IF($R78&gt;0,(($Y78)/(12)),0)</f>
        <v/>
      </c>
      <c r="BT78" s="702">
        <f>IF($R78&gt;0,(($Y78)/(12)),0)</f>
        <v/>
      </c>
      <c r="BU78" s="702">
        <f>IF($R78&gt;0,(($Y78)/(12)),0)</f>
        <v/>
      </c>
      <c r="BV78" s="702">
        <f>IF($R78&gt;0,(($Y78)/(12)),0)</f>
        <v/>
      </c>
      <c r="BW78" s="702">
        <f>IF($R78&gt;0,(($Y78)/(12)),0)</f>
        <v/>
      </c>
      <c r="BX78" s="702">
        <f>IF($R78&gt;0,(($Y78)/(12)),0)</f>
        <v/>
      </c>
      <c r="BY78" s="702">
        <f>IF($R78&gt;0,(($Y78)/(12)),0)</f>
        <v/>
      </c>
      <c r="BZ78" s="702">
        <f>IF($R78&gt;0,(($Y78)/(12)),0)</f>
        <v/>
      </c>
      <c r="CA78" s="702">
        <f>IF($R78&gt;0,(($Y78)/(12)),0)</f>
        <v/>
      </c>
      <c r="CB78" s="702">
        <f>IF($R78&gt;0,(($Y78)/(12)),0)</f>
        <v/>
      </c>
      <c r="CC78" s="702">
        <f>IF($R78&gt;0,(($Y78)/(12)),0)</f>
        <v/>
      </c>
      <c r="CD78" s="702">
        <f>IF($R78&gt;0,(($Y78)/(12)),0)</f>
        <v/>
      </c>
      <c r="CE78" s="765">
        <f>SUM(BS78:CD78)</f>
        <v/>
      </c>
      <c r="CF78" s="507" t="n"/>
      <c r="CG78" s="702">
        <f>IF($S78&gt;0,(($Z78)/(12)),0)</f>
        <v/>
      </c>
      <c r="CH78" s="702">
        <f>IF($S78&gt;0,(($Z78)/(12)),0)</f>
        <v/>
      </c>
      <c r="CI78" s="702">
        <f>IF($S78&gt;0,(($Z78)/(12)),0)</f>
        <v/>
      </c>
      <c r="CJ78" s="702">
        <f>IF($S78&gt;0,(($Z78)/(12)),0)</f>
        <v/>
      </c>
      <c r="CK78" s="702">
        <f>IF($S78&gt;0,(($Z78)/(12)),0)</f>
        <v/>
      </c>
      <c r="CL78" s="702">
        <f>IF($S78&gt;0,(($Z78)/(12)),0)</f>
        <v/>
      </c>
      <c r="CM78" s="702">
        <f>IF($S78&gt;0,(($Z78)/(12)),0)</f>
        <v/>
      </c>
      <c r="CN78" s="702">
        <f>IF($S78&gt;0,(($Z78)/(12)),0)</f>
        <v/>
      </c>
      <c r="CO78" s="702">
        <f>IF($S78&gt;0,(($Z78)/(12)),0)</f>
        <v/>
      </c>
      <c r="CP78" s="702">
        <f>IF($S78&gt;0,(($Z78)/(12)),0)</f>
        <v/>
      </c>
      <c r="CQ78" s="702">
        <f>IF($S78&gt;0,(($Z78)/(12)),0)</f>
        <v/>
      </c>
      <c r="CR78" s="702">
        <f>IF($S78&gt;0,(($Z78)/(12)),0)</f>
        <v/>
      </c>
      <c r="CS78" s="765">
        <f>SUM(CG78:CR78)</f>
        <v/>
      </c>
      <c r="CU78" s="702">
        <f>IF($T78&gt;0,(($AA78)/(12)),0)</f>
        <v/>
      </c>
      <c r="CV78" s="702">
        <f>IF($T78&gt;0,(($AA78)/(12)),0)</f>
        <v/>
      </c>
      <c r="CW78" s="702">
        <f>IF($T78&gt;0,(($AA78)/(12)),0)</f>
        <v/>
      </c>
      <c r="CX78" s="702">
        <f>IF($T78&gt;0,(($AA78)/(12)),0)</f>
        <v/>
      </c>
      <c r="CY78" s="702">
        <f>IF($T78&gt;0,(($AA78)/(12)),0)</f>
        <v/>
      </c>
      <c r="CZ78" s="702">
        <f>IF($T78&gt;0,(($AA78)/(12)),0)</f>
        <v/>
      </c>
      <c r="DA78" s="702">
        <f>IF($T78&gt;0,(($AA78)/(12)),0)</f>
        <v/>
      </c>
      <c r="DB78" s="702">
        <f>IF($T78&gt;0,(($AA78)/(12)),0)</f>
        <v/>
      </c>
      <c r="DC78" s="702">
        <f>IF($T78&gt;0,(($AA78)/(12)),0)</f>
        <v/>
      </c>
      <c r="DD78" s="702">
        <f>IF($T78&gt;0,(($AA78)/(12)),0)</f>
        <v/>
      </c>
      <c r="DE78" s="702">
        <f>IF($T78&gt;0,(($AA78)/(12)),0)</f>
        <v/>
      </c>
      <c r="DF78" s="702">
        <f>IF($T78&gt;0,(($AA78)/(12)),0)</f>
        <v/>
      </c>
      <c r="DG78" s="765">
        <f>SUM(CU78:DF78)</f>
        <v/>
      </c>
    </row>
    <row r="79" ht="15" customHeight="1" s="1883">
      <c r="B79" s="752">
        <f>((B78)+(1))</f>
        <v/>
      </c>
      <c r="C79" s="726" t="n"/>
      <c r="D79" s="730" t="inlineStr">
        <is>
          <t>●</t>
        </is>
      </c>
      <c r="E79" s="1446" t="inlineStr">
        <is>
          <t>Yesenia Troy-Cruz</t>
        </is>
      </c>
      <c r="F79" s="66" t="n"/>
      <c r="G79" s="66" t="n"/>
      <c r="H79" s="66" t="n"/>
      <c r="I79" s="1446" t="inlineStr">
        <is>
          <t>VP, Revenue (Fractional)</t>
        </is>
      </c>
      <c r="J79" s="745" t="inlineStr">
        <is>
          <t>CONUS</t>
        </is>
      </c>
      <c r="K79" s="737" t="n"/>
      <c r="L79" s="738" t="inlineStr">
        <is>
          <t>-12</t>
        </is>
      </c>
      <c r="M79" s="738" t="inlineStr">
        <is>
          <t>-11</t>
        </is>
      </c>
      <c r="N79" s="744" t="n"/>
      <c r="O79" s="754" t="n">
        <v>1</v>
      </c>
      <c r="P79" s="755" t="n">
        <v>1</v>
      </c>
      <c r="Q79" s="755" t="n">
        <v>1</v>
      </c>
      <c r="R79" s="755" t="n">
        <v>1</v>
      </c>
      <c r="S79" s="755" t="n">
        <v>1</v>
      </c>
      <c r="T79" s="755" t="n">
        <v>1</v>
      </c>
      <c r="U79" s="737" t="n"/>
      <c r="V79" s="703">
        <f>5000*12</f>
        <v/>
      </c>
      <c r="W79" s="701">
        <f>V79*1.25</f>
        <v/>
      </c>
      <c r="X79" s="700">
        <f>((W79)*((1)+($X$63)))</f>
        <v/>
      </c>
      <c r="Y79" s="700">
        <f>((X79)*((1)+($Y$63)))</f>
        <v/>
      </c>
      <c r="Z79" s="700">
        <f>((Y79)*((1)+($Z$63)))</f>
        <v/>
      </c>
      <c r="AA79" s="700">
        <f>((Z79)*((1)+($AA$63)))</f>
        <v/>
      </c>
      <c r="AB79" s="726" t="n"/>
      <c r="AC79" s="702" t="n">
        <v>0</v>
      </c>
      <c r="AD79" s="702" t="n">
        <v>0</v>
      </c>
      <c r="AE79" s="702">
        <f>(($V79)/(12))</f>
        <v/>
      </c>
      <c r="AF79" s="702">
        <f>(($V79)/(12))</f>
        <v/>
      </c>
      <c r="AG79" s="702">
        <f>(($V79)/(12))</f>
        <v/>
      </c>
      <c r="AH79" s="702">
        <f>(($V79)/(12))</f>
        <v/>
      </c>
      <c r="AI79" s="702">
        <f>(($V79)/(12))</f>
        <v/>
      </c>
      <c r="AJ79" s="702">
        <f>(($V79)/(12))</f>
        <v/>
      </c>
      <c r="AK79" s="702">
        <f>(($V79)/(12))</f>
        <v/>
      </c>
      <c r="AL79" s="702">
        <f>(($V79)/(12))</f>
        <v/>
      </c>
      <c r="AM79" s="702">
        <f>(($V79)/(12))</f>
        <v/>
      </c>
      <c r="AN79" s="702">
        <f>(($V79)/(12))</f>
        <v/>
      </c>
      <c r="AO79" s="765">
        <f>SUM(AC79:AN79)</f>
        <v/>
      </c>
      <c r="AP79" s="462" t="n"/>
      <c r="AQ79" s="702">
        <f>IF($P79&gt;0,(($W79)/(12)),0)</f>
        <v/>
      </c>
      <c r="AR79" s="702">
        <f>IF($P79&gt;0,(($W79)/(12)),0)</f>
        <v/>
      </c>
      <c r="AS79" s="702">
        <f>IF($P79&gt;0,(($W79)/(12)),0)</f>
        <v/>
      </c>
      <c r="AT79" s="702">
        <f>IF($P79&gt;0,(($W79)/(12)),0)</f>
        <v/>
      </c>
      <c r="AU79" s="702">
        <f>IF($P79&gt;0,(($W79)/(12)),0)</f>
        <v/>
      </c>
      <c r="AV79" s="702">
        <f>IF($P79&gt;0,(($W79)/(12)),0)</f>
        <v/>
      </c>
      <c r="AW79" s="702">
        <f>IF($P79&gt;0,(($W79)/(12)),0)</f>
        <v/>
      </c>
      <c r="AX79" s="702">
        <f>IF($P79&gt;0,(($W79)/(12)),0)</f>
        <v/>
      </c>
      <c r="AY79" s="702">
        <f>IF($P79&gt;0,(($W79)/(12)),0)</f>
        <v/>
      </c>
      <c r="AZ79" s="702">
        <f>IF($P79&gt;0,(($W79)/(12)),0)</f>
        <v/>
      </c>
      <c r="BA79" s="702">
        <f>IF($P79&gt;0,(($W79)/(12)),0)</f>
        <v/>
      </c>
      <c r="BB79" s="702">
        <f>IF($P79&gt;0,(($W79)/(12)),0)</f>
        <v/>
      </c>
      <c r="BC79" s="765">
        <f>SUM(AQ79:BB79)</f>
        <v/>
      </c>
      <c r="BD79" s="462" t="n"/>
      <c r="BE79" s="702">
        <f>IF($Q79&gt;0,(($X79)/(12)),0)</f>
        <v/>
      </c>
      <c r="BF79" s="702">
        <f>IF($Q79&gt;0,(($X79)/(12)),0)</f>
        <v/>
      </c>
      <c r="BG79" s="702">
        <f>IF($Q79&gt;0,(($X79)/(12)),0)</f>
        <v/>
      </c>
      <c r="BH79" s="702">
        <f>IF($Q79&gt;0,(($X79)/(12)),0)</f>
        <v/>
      </c>
      <c r="BI79" s="702">
        <f>IF($Q79&gt;0,(($X79)/(12)),0)</f>
        <v/>
      </c>
      <c r="BJ79" s="702">
        <f>IF($Q79&gt;0,(($X79)/(12)),0)</f>
        <v/>
      </c>
      <c r="BK79" s="702">
        <f>IF($Q79&gt;0,(($X79)/(12)),0)</f>
        <v/>
      </c>
      <c r="BL79" s="702">
        <f>IF($Q79&gt;0,(($X79)/(12)),0)</f>
        <v/>
      </c>
      <c r="BM79" s="702">
        <f>IF($Q79&gt;0,(($X79)/(12)),0)</f>
        <v/>
      </c>
      <c r="BN79" s="702">
        <f>IF($Q79&gt;0,(($X79)/(12)),0)</f>
        <v/>
      </c>
      <c r="BO79" s="702">
        <f>IF($Q79&gt;0,(($X79)/(12)),0)</f>
        <v/>
      </c>
      <c r="BP79" s="702">
        <f>IF($Q79&gt;0,(($X79)/(12)),0)</f>
        <v/>
      </c>
      <c r="BQ79" s="765">
        <f>SUM(BE79:BP79)</f>
        <v/>
      </c>
      <c r="BR79" s="507" t="n"/>
      <c r="BS79" s="702">
        <f>IF($R79&gt;0,(($Y79)/(12)),0)</f>
        <v/>
      </c>
      <c r="BT79" s="702">
        <f>IF($R79&gt;0,(($Y79)/(12)),0)</f>
        <v/>
      </c>
      <c r="BU79" s="702">
        <f>IF($R79&gt;0,(($Y79)/(12)),0)</f>
        <v/>
      </c>
      <c r="BV79" s="702">
        <f>IF($R79&gt;0,(($Y79)/(12)),0)</f>
        <v/>
      </c>
      <c r="BW79" s="702">
        <f>IF($R79&gt;0,(($Y79)/(12)),0)</f>
        <v/>
      </c>
      <c r="BX79" s="702">
        <f>IF($R79&gt;0,(($Y79)/(12)),0)</f>
        <v/>
      </c>
      <c r="BY79" s="702">
        <f>IF($R79&gt;0,(($Y79)/(12)),0)</f>
        <v/>
      </c>
      <c r="BZ79" s="702">
        <f>IF($R79&gt;0,(($Y79)/(12)),0)</f>
        <v/>
      </c>
      <c r="CA79" s="702">
        <f>IF($R79&gt;0,(($Y79)/(12)),0)</f>
        <v/>
      </c>
      <c r="CB79" s="702">
        <f>IF($R79&gt;0,(($Y79)/(12)),0)</f>
        <v/>
      </c>
      <c r="CC79" s="702">
        <f>IF($R79&gt;0,(($Y79)/(12)),0)</f>
        <v/>
      </c>
      <c r="CD79" s="702">
        <f>IF($R79&gt;0,(($Y79)/(12)),0)</f>
        <v/>
      </c>
      <c r="CE79" s="765">
        <f>SUM(BS79:CD79)</f>
        <v/>
      </c>
      <c r="CF79" s="507" t="n"/>
      <c r="CG79" s="702">
        <f>IF($S79&gt;0,(($Z79)/(12)),0)</f>
        <v/>
      </c>
      <c r="CH79" s="702">
        <f>IF($S79&gt;0,(($Z79)/(12)),0)</f>
        <v/>
      </c>
      <c r="CI79" s="702">
        <f>IF($S79&gt;0,(($Z79)/(12)),0)</f>
        <v/>
      </c>
      <c r="CJ79" s="702">
        <f>IF($S79&gt;0,(($Z79)/(12)),0)</f>
        <v/>
      </c>
      <c r="CK79" s="702">
        <f>IF($S79&gt;0,(($Z79)/(12)),0)</f>
        <v/>
      </c>
      <c r="CL79" s="702">
        <f>IF($S79&gt;0,(($Z79)/(12)),0)</f>
        <v/>
      </c>
      <c r="CM79" s="702">
        <f>IF($S79&gt;0,(($Z79)/(12)),0)</f>
        <v/>
      </c>
      <c r="CN79" s="702">
        <f>IF($S79&gt;0,(($Z79)/(12)),0)</f>
        <v/>
      </c>
      <c r="CO79" s="702">
        <f>IF($S79&gt;0,(($Z79)/(12)),0)</f>
        <v/>
      </c>
      <c r="CP79" s="702">
        <f>IF($S79&gt;0,(($Z79)/(12)),0)</f>
        <v/>
      </c>
      <c r="CQ79" s="702">
        <f>IF($S79&gt;0,(($Z79)/(12)),0)</f>
        <v/>
      </c>
      <c r="CR79" s="702">
        <f>IF($S79&gt;0,(($Z79)/(12)),0)</f>
        <v/>
      </c>
      <c r="CS79" s="765">
        <f>SUM(CG79:CR79)</f>
        <v/>
      </c>
      <c r="CU79" s="702">
        <f>IF($T79&gt;0,(($AA79)/(12)),0)</f>
        <v/>
      </c>
      <c r="CV79" s="702">
        <f>IF($T79&gt;0,(($AA79)/(12)),0)</f>
        <v/>
      </c>
      <c r="CW79" s="702">
        <f>IF($T79&gt;0,(($AA79)/(12)),0)</f>
        <v/>
      </c>
      <c r="CX79" s="702">
        <f>IF($T79&gt;0,(($AA79)/(12)),0)</f>
        <v/>
      </c>
      <c r="CY79" s="702">
        <f>IF($T79&gt;0,(($AA79)/(12)),0)</f>
        <v/>
      </c>
      <c r="CZ79" s="702">
        <f>IF($T79&gt;0,(($AA79)/(12)),0)</f>
        <v/>
      </c>
      <c r="DA79" s="702">
        <f>IF($T79&gt;0,(($AA79)/(12)),0)</f>
        <v/>
      </c>
      <c r="DB79" s="702">
        <f>IF($T79&gt;0,(($AA79)/(12)),0)</f>
        <v/>
      </c>
      <c r="DC79" s="702">
        <f>IF($T79&gt;0,(($AA79)/(12)),0)</f>
        <v/>
      </c>
      <c r="DD79" s="702">
        <f>IF($T79&gt;0,(($AA79)/(12)),0)</f>
        <v/>
      </c>
      <c r="DE79" s="702">
        <f>IF($T79&gt;0,(($AA79)/(12)),0)</f>
        <v/>
      </c>
      <c r="DF79" s="702">
        <f>IF($T79&gt;0,(($AA79)/(12)),0)</f>
        <v/>
      </c>
      <c r="DG79" s="765">
        <f>SUM(CU79:DF79)</f>
        <v/>
      </c>
    </row>
    <row r="80" ht="15" customHeight="1" s="1883">
      <c r="B80" s="752">
        <f>((B79)+(1))</f>
        <v/>
      </c>
      <c r="C80" s="726" t="n"/>
      <c r="D80" s="730" t="inlineStr">
        <is>
          <t>●</t>
        </is>
      </c>
      <c r="E80" s="736" t="inlineStr">
        <is>
          <t>Bill Myers</t>
        </is>
      </c>
      <c r="F80" s="737" t="n"/>
      <c r="G80" s="737" t="n"/>
      <c r="H80" s="737" t="n"/>
      <c r="I80" s="736" t="inlineStr">
        <is>
          <t>Program Manager</t>
        </is>
      </c>
      <c r="J80" s="746" t="inlineStr">
        <is>
          <t>OCONUS</t>
        </is>
      </c>
      <c r="K80" s="737" t="n"/>
      <c r="L80" s="738" t="inlineStr">
        <is>
          <t>-12</t>
        </is>
      </c>
      <c r="M80" s="738" t="n">
        <v>-11</v>
      </c>
      <c r="N80" s="744" t="n"/>
      <c r="O80" s="754" t="n">
        <v>1</v>
      </c>
      <c r="P80" s="755" t="n">
        <v>1</v>
      </c>
      <c r="Q80" s="755" t="n">
        <v>1</v>
      </c>
      <c r="R80" s="755" t="n">
        <v>1</v>
      </c>
      <c r="S80" s="755" t="n">
        <v>1</v>
      </c>
      <c r="T80" s="755" t="n">
        <v>1</v>
      </c>
      <c r="U80" s="737" t="n"/>
      <c r="V80" s="703">
        <f>120000</f>
        <v/>
      </c>
      <c r="W80" s="701">
        <f>V80</f>
        <v/>
      </c>
      <c r="X80" s="700">
        <f>((W80)*((1)+($X$63)))</f>
        <v/>
      </c>
      <c r="Y80" s="700">
        <f>((X80)*((1)+($Y$63)))</f>
        <v/>
      </c>
      <c r="Z80" s="700">
        <f>((Y80)*((1)+($Z$63)))</f>
        <v/>
      </c>
      <c r="AA80" s="700">
        <f>((Z80)*((1)+($AA$63)))</f>
        <v/>
      </c>
      <c r="AB80" s="726" t="n"/>
      <c r="AC80" s="702" t="n">
        <v>0</v>
      </c>
      <c r="AD80" s="702">
        <f>(($V80)/(12))</f>
        <v/>
      </c>
      <c r="AE80" s="702">
        <f>(($V80)/(12))</f>
        <v/>
      </c>
      <c r="AF80" s="702">
        <f>(($V80)/(12))</f>
        <v/>
      </c>
      <c r="AG80" s="702">
        <f>(($V80)/(12))</f>
        <v/>
      </c>
      <c r="AH80" s="702">
        <f>(($V80)/(12))</f>
        <v/>
      </c>
      <c r="AI80" s="702">
        <f>(($V80)/(12))</f>
        <v/>
      </c>
      <c r="AJ80" s="702">
        <f>(($V80)/(12))</f>
        <v/>
      </c>
      <c r="AK80" s="702">
        <f>(($V80)/(12))</f>
        <v/>
      </c>
      <c r="AL80" s="702">
        <f>(($V80)/(12))</f>
        <v/>
      </c>
      <c r="AM80" s="702">
        <f>(($V80)/(12))</f>
        <v/>
      </c>
      <c r="AN80" s="702">
        <f>(($V80)/(12))</f>
        <v/>
      </c>
      <c r="AO80" s="765">
        <f>SUM(AC80:AN80)</f>
        <v/>
      </c>
      <c r="AP80" s="462" t="n"/>
      <c r="AQ80" s="702">
        <f>IF($P80&gt;0,(($W80)/(12)),0)</f>
        <v/>
      </c>
      <c r="AR80" s="702">
        <f>IF($P80&gt;0,(($W80)/(12)),0)</f>
        <v/>
      </c>
      <c r="AS80" s="702">
        <f>IF($P80&gt;0,(($W80)/(12)),0)</f>
        <v/>
      </c>
      <c r="AT80" s="702">
        <f>IF($P80&gt;0,(($W80)/(12)),0)</f>
        <v/>
      </c>
      <c r="AU80" s="702">
        <f>IF($P80&gt;0,(($W80)/(12)),0)</f>
        <v/>
      </c>
      <c r="AV80" s="702">
        <f>IF($P80&gt;0,(($W80)/(12)),0)</f>
        <v/>
      </c>
      <c r="AW80" s="702">
        <f>IF($P80&gt;0,(($W80)/(12)),0)</f>
        <v/>
      </c>
      <c r="AX80" s="702">
        <f>IF($P80&gt;0,(($W80)/(12)),0)</f>
        <v/>
      </c>
      <c r="AY80" s="702">
        <f>IF($P80&gt;0,(($W80)/(12)),0)</f>
        <v/>
      </c>
      <c r="AZ80" s="702">
        <f>IF($P80&gt;0,(($W80)/(12)),0)</f>
        <v/>
      </c>
      <c r="BA80" s="702">
        <f>IF($P80&gt;0,(($W80)/(12)),0)</f>
        <v/>
      </c>
      <c r="BB80" s="702">
        <f>IF($P80&gt;0,(($W80)/(12)),0)</f>
        <v/>
      </c>
      <c r="BC80" s="765">
        <f>SUM(AQ80:BB80)</f>
        <v/>
      </c>
      <c r="BD80" s="462" t="n"/>
      <c r="BE80" s="702">
        <f>IF($Q80&gt;0,(($X80)/(12)),0)</f>
        <v/>
      </c>
      <c r="BF80" s="702">
        <f>IF($Q80&gt;0,(($X80)/(12)),0)</f>
        <v/>
      </c>
      <c r="BG80" s="702">
        <f>IF($Q80&gt;0,(($X80)/(12)),0)</f>
        <v/>
      </c>
      <c r="BH80" s="702">
        <f>IF($Q80&gt;0,(($X80)/(12)),0)</f>
        <v/>
      </c>
      <c r="BI80" s="702">
        <f>IF($Q80&gt;0,(($X80)/(12)),0)</f>
        <v/>
      </c>
      <c r="BJ80" s="702">
        <f>IF($Q80&gt;0,(($X80)/(12)),0)</f>
        <v/>
      </c>
      <c r="BK80" s="702">
        <f>IF($Q80&gt;0,(($X80)/(12)),0)</f>
        <v/>
      </c>
      <c r="BL80" s="702">
        <f>IF($Q80&gt;0,(($X80)/(12)),0)</f>
        <v/>
      </c>
      <c r="BM80" s="702">
        <f>IF($Q80&gt;0,(($X80)/(12)),0)</f>
        <v/>
      </c>
      <c r="BN80" s="702">
        <f>IF($Q80&gt;0,(($X80)/(12)),0)</f>
        <v/>
      </c>
      <c r="BO80" s="702">
        <f>IF($Q80&gt;0,(($X80)/(12)),0)</f>
        <v/>
      </c>
      <c r="BP80" s="702">
        <f>IF($Q80&gt;0,(($X80)/(12)),0)</f>
        <v/>
      </c>
      <c r="BQ80" s="765">
        <f>SUM(BE80:BP80)</f>
        <v/>
      </c>
      <c r="BR80" s="507" t="n"/>
      <c r="BS80" s="702">
        <f>IF($R80&gt;0,(($Y80)/(12)),0)</f>
        <v/>
      </c>
      <c r="BT80" s="702">
        <f>IF($R80&gt;0,(($Y80)/(12)),0)</f>
        <v/>
      </c>
      <c r="BU80" s="702">
        <f>IF($R80&gt;0,(($Y80)/(12)),0)</f>
        <v/>
      </c>
      <c r="BV80" s="702">
        <f>IF($R80&gt;0,(($Y80)/(12)),0)</f>
        <v/>
      </c>
      <c r="BW80" s="702">
        <f>IF($R80&gt;0,(($Y80)/(12)),0)</f>
        <v/>
      </c>
      <c r="BX80" s="702">
        <f>IF($R80&gt;0,(($Y80)/(12)),0)</f>
        <v/>
      </c>
      <c r="BY80" s="702">
        <f>IF($R80&gt;0,(($Y80)/(12)),0)</f>
        <v/>
      </c>
      <c r="BZ80" s="702">
        <f>IF($R80&gt;0,(($Y80)/(12)),0)</f>
        <v/>
      </c>
      <c r="CA80" s="702">
        <f>IF($R80&gt;0,(($Y80)/(12)),0)</f>
        <v/>
      </c>
      <c r="CB80" s="702">
        <f>IF($R80&gt;0,(($Y80)/(12)),0)</f>
        <v/>
      </c>
      <c r="CC80" s="702">
        <f>IF($R80&gt;0,(($Y80)/(12)),0)</f>
        <v/>
      </c>
      <c r="CD80" s="702">
        <f>IF($R80&gt;0,(($Y80)/(12)),0)</f>
        <v/>
      </c>
      <c r="CE80" s="765">
        <f>SUM(BS80:CD80)</f>
        <v/>
      </c>
      <c r="CF80" s="507" t="n"/>
      <c r="CG80" s="702">
        <f>IF($S80&gt;0,(($Z80)/(12)),0)</f>
        <v/>
      </c>
      <c r="CH80" s="702">
        <f>IF($S80&gt;0,(($Z80)/(12)),0)</f>
        <v/>
      </c>
      <c r="CI80" s="702">
        <f>IF($S80&gt;0,(($Z80)/(12)),0)</f>
        <v/>
      </c>
      <c r="CJ80" s="702">
        <f>IF($S80&gt;0,(($Z80)/(12)),0)</f>
        <v/>
      </c>
      <c r="CK80" s="702">
        <f>IF($S80&gt;0,(($Z80)/(12)),0)</f>
        <v/>
      </c>
      <c r="CL80" s="702">
        <f>IF($S80&gt;0,(($Z80)/(12)),0)</f>
        <v/>
      </c>
      <c r="CM80" s="702">
        <f>IF($S80&gt;0,(($Z80)/(12)),0)</f>
        <v/>
      </c>
      <c r="CN80" s="702">
        <f>IF($S80&gt;0,(($Z80)/(12)),0)</f>
        <v/>
      </c>
      <c r="CO80" s="702">
        <f>IF($S80&gt;0,(($Z80)/(12)),0)</f>
        <v/>
      </c>
      <c r="CP80" s="702">
        <f>IF($S80&gt;0,(($Z80)/(12)),0)</f>
        <v/>
      </c>
      <c r="CQ80" s="702">
        <f>IF($S80&gt;0,(($Z80)/(12)),0)</f>
        <v/>
      </c>
      <c r="CR80" s="702">
        <f>IF($S80&gt;0,(($Z80)/(12)),0)</f>
        <v/>
      </c>
      <c r="CS80" s="765">
        <f>SUM(CG80:CR80)</f>
        <v/>
      </c>
      <c r="CU80" s="702">
        <f>IF($T80&gt;0,(($AA80)/(12)),0)</f>
        <v/>
      </c>
      <c r="CV80" s="702">
        <f>IF($T80&gt;0,(($AA80)/(12)),0)</f>
        <v/>
      </c>
      <c r="CW80" s="702">
        <f>IF($T80&gt;0,(($AA80)/(12)),0)</f>
        <v/>
      </c>
      <c r="CX80" s="702">
        <f>IF($T80&gt;0,(($AA80)/(12)),0)</f>
        <v/>
      </c>
      <c r="CY80" s="702">
        <f>IF($T80&gt;0,(($AA80)/(12)),0)</f>
        <v/>
      </c>
      <c r="CZ80" s="702">
        <f>IF($T80&gt;0,(($AA80)/(12)),0)</f>
        <v/>
      </c>
      <c r="DA80" s="702">
        <f>IF($T80&gt;0,(($AA80)/(12)),0)</f>
        <v/>
      </c>
      <c r="DB80" s="702">
        <f>IF($T80&gt;0,(($AA80)/(12)),0)</f>
        <v/>
      </c>
      <c r="DC80" s="702">
        <f>IF($T80&gt;0,(($AA80)/(12)),0)</f>
        <v/>
      </c>
      <c r="DD80" s="702">
        <f>IF($T80&gt;0,(($AA80)/(12)),0)</f>
        <v/>
      </c>
      <c r="DE80" s="702">
        <f>IF($T80&gt;0,(($AA80)/(12)),0)</f>
        <v/>
      </c>
      <c r="DF80" s="702">
        <f>IF($T80&gt;0,(($AA80)/(12)),0)</f>
        <v/>
      </c>
      <c r="DG80" s="765">
        <f>SUM(CU80:DF80)</f>
        <v/>
      </c>
    </row>
    <row r="81" ht="15" customHeight="1" s="1883">
      <c r="B81" s="752">
        <f>((B80)+(1))</f>
        <v/>
      </c>
      <c r="C81" s="726" t="n"/>
      <c r="D81" s="730" t="inlineStr">
        <is>
          <t>●</t>
        </is>
      </c>
      <c r="E81" s="736" t="inlineStr">
        <is>
          <t>TBD</t>
        </is>
      </c>
      <c r="F81" s="737" t="n"/>
      <c r="G81" s="737" t="n"/>
      <c r="H81" s="737" t="n"/>
      <c r="I81" s="736" t="inlineStr">
        <is>
          <t>Regional Controller</t>
        </is>
      </c>
      <c r="J81" s="746" t="inlineStr">
        <is>
          <t>OCONUS</t>
        </is>
      </c>
      <c r="K81" s="737" t="n"/>
      <c r="L81" s="753" t="n">
        <v>25</v>
      </c>
      <c r="M81" s="753" t="n">
        <v>25</v>
      </c>
      <c r="N81" s="744" t="n"/>
      <c r="O81" s="815" t="n"/>
      <c r="P81" s="756" t="n"/>
      <c r="Q81" s="756" t="n"/>
      <c r="R81" s="755" t="n">
        <v>0</v>
      </c>
      <c r="S81" s="755" t="n">
        <v>0</v>
      </c>
      <c r="T81" s="755" t="n">
        <v>0</v>
      </c>
      <c r="U81" s="737" t="n"/>
      <c r="V81" s="703" t="n">
        <v>0</v>
      </c>
      <c r="W81" s="701" t="n">
        <v>0</v>
      </c>
      <c r="X81" s="700">
        <f>((W81)*((1)+($X$63)))</f>
        <v/>
      </c>
      <c r="Y81" s="700">
        <f>((X81)*((1)+($Y$63)))</f>
        <v/>
      </c>
      <c r="Z81" s="700">
        <f>((Y81)*((1)+($Z$63)))</f>
        <v/>
      </c>
      <c r="AA81" s="700">
        <f>((Z81)*((1)+($AA$63)))</f>
        <v/>
      </c>
      <c r="AB81" s="726" t="n"/>
      <c r="AC81" s="702">
        <f>(($V81)/(12))</f>
        <v/>
      </c>
      <c r="AD81" s="702">
        <f>(($V81)/(12))</f>
        <v/>
      </c>
      <c r="AE81" s="702">
        <f>(($V81)/(12))</f>
        <v/>
      </c>
      <c r="AF81" s="702">
        <f>(($V81)/(12))</f>
        <v/>
      </c>
      <c r="AG81" s="702">
        <f>(($V81)/(12))</f>
        <v/>
      </c>
      <c r="AH81" s="702">
        <f>(($V81)/(12))</f>
        <v/>
      </c>
      <c r="AI81" s="702">
        <f>(($V81)/(12))</f>
        <v/>
      </c>
      <c r="AJ81" s="702">
        <f>(($V81)/(12))</f>
        <v/>
      </c>
      <c r="AK81" s="702">
        <f>(($V81)/(12))</f>
        <v/>
      </c>
      <c r="AL81" s="702">
        <f>(($V81)/(12))</f>
        <v/>
      </c>
      <c r="AM81" s="702">
        <f>(($V81)/(12))</f>
        <v/>
      </c>
      <c r="AN81" s="702">
        <f>(($V81)/(12))</f>
        <v/>
      </c>
      <c r="AO81" s="765">
        <f>SUM(AC81:AN81)</f>
        <v/>
      </c>
      <c r="AP81" s="462" t="n"/>
      <c r="AQ81" s="702">
        <f>IF($P81&gt;0,(($W81)/(12)),0)</f>
        <v/>
      </c>
      <c r="AR81" s="702">
        <f>IF($P81&gt;0,(($W81)/(12)),0)</f>
        <v/>
      </c>
      <c r="AS81" s="702">
        <f>IF($P81&gt;0,(($W81)/(12)),0)</f>
        <v/>
      </c>
      <c r="AT81" s="702">
        <f>IF($P81&gt;0,(($W81)/(12)),0)</f>
        <v/>
      </c>
      <c r="AU81" s="702">
        <f>IF($P81&gt;0,(($W81)/(12)),0)</f>
        <v/>
      </c>
      <c r="AV81" s="702">
        <f>IF($P81&gt;0,(($W81)/(12)),0)</f>
        <v/>
      </c>
      <c r="AW81" s="702">
        <f>IF($P81&gt;0,(($W81)/(12)),0)</f>
        <v/>
      </c>
      <c r="AX81" s="702">
        <f>IF($P81&gt;0,(($W81)/(12)),0)</f>
        <v/>
      </c>
      <c r="AY81" s="702">
        <f>IF($P81&gt;0,(($W81)/(12)),0)</f>
        <v/>
      </c>
      <c r="AZ81" s="702">
        <f>IF($P81&gt;0,(($W81)/(12)),0)</f>
        <v/>
      </c>
      <c r="BA81" s="702">
        <f>IF($P81&gt;0,(($W81)/(12)),0)</f>
        <v/>
      </c>
      <c r="BB81" s="702">
        <f>IF($P81&gt;0,(($W81)/(12)),0)</f>
        <v/>
      </c>
      <c r="BC81" s="765">
        <f>SUM(AQ81:BB81)</f>
        <v/>
      </c>
      <c r="BD81" s="462" t="n"/>
      <c r="BE81" s="702">
        <f>IF($Q81&gt;0,(($X81)/(12)),0)</f>
        <v/>
      </c>
      <c r="BF81" s="702">
        <f>IF($Q81&gt;0,(($X81)/(12)),0)</f>
        <v/>
      </c>
      <c r="BG81" s="702">
        <f>IF($Q81&gt;0,(($X81)/(12)),0)</f>
        <v/>
      </c>
      <c r="BH81" s="702">
        <f>IF($Q81&gt;0,(($X81)/(12)),0)</f>
        <v/>
      </c>
      <c r="BI81" s="702">
        <f>IF($Q81&gt;0,(($X81)/(12)),0)</f>
        <v/>
      </c>
      <c r="BJ81" s="702">
        <f>IF($Q81&gt;0,(($X81)/(12)),0)</f>
        <v/>
      </c>
      <c r="BK81" s="702">
        <f>IF($Q81&gt;0,(($X81)/(12)),0)</f>
        <v/>
      </c>
      <c r="BL81" s="702">
        <f>IF($Q81&gt;0,(($X81)/(12)),0)</f>
        <v/>
      </c>
      <c r="BM81" s="702">
        <f>IF($Q81&gt;0,(($X81)/(12)),0)</f>
        <v/>
      </c>
      <c r="BN81" s="702">
        <f>IF($Q81&gt;0,(($X81)/(12)),0)</f>
        <v/>
      </c>
      <c r="BO81" s="702">
        <f>IF($Q81&gt;0,(($X81)/(12)),0)</f>
        <v/>
      </c>
      <c r="BP81" s="702">
        <f>IF($Q81&gt;0,(($X81)/(12)),0)</f>
        <v/>
      </c>
      <c r="BQ81" s="765">
        <f>SUM(BE81:BP81)</f>
        <v/>
      </c>
      <c r="BR81" s="507" t="n"/>
      <c r="BS81" s="702">
        <f>IF($R81&gt;0,(($Y81)/(12)),0)</f>
        <v/>
      </c>
      <c r="BT81" s="702">
        <f>IF($R81&gt;0,(($Y81)/(12)),0)</f>
        <v/>
      </c>
      <c r="BU81" s="702">
        <f>IF($R81&gt;0,(($Y81)/(12)),0)</f>
        <v/>
      </c>
      <c r="BV81" s="702">
        <f>IF($R81&gt;0,(($Y81)/(12)),0)</f>
        <v/>
      </c>
      <c r="BW81" s="702">
        <f>IF($R81&gt;0,(($Y81)/(12)),0)</f>
        <v/>
      </c>
      <c r="BX81" s="702">
        <f>IF($R81&gt;0,(($Y81)/(12)),0)</f>
        <v/>
      </c>
      <c r="BY81" s="702">
        <f>IF($R81&gt;0,(($Y81)/(12)),0)</f>
        <v/>
      </c>
      <c r="BZ81" s="702">
        <f>IF($R81&gt;0,(($Y81)/(12)),0)</f>
        <v/>
      </c>
      <c r="CA81" s="702">
        <f>IF($R81&gt;0,(($Y81)/(12)),0)</f>
        <v/>
      </c>
      <c r="CB81" s="702">
        <f>IF($R81&gt;0,(($Y81)/(12)),0)</f>
        <v/>
      </c>
      <c r="CC81" s="702">
        <f>IF($R81&gt;0,(($Y81)/(12)),0)</f>
        <v/>
      </c>
      <c r="CD81" s="702">
        <f>IF($R81&gt;0,(($Y81)/(12)),0)</f>
        <v/>
      </c>
      <c r="CE81" s="765">
        <f>SUM(BS81:CD81)</f>
        <v/>
      </c>
      <c r="CF81" s="507" t="n"/>
      <c r="CG81" s="702">
        <f>IF($S81&gt;0,(($Z81)/(12)),0)</f>
        <v/>
      </c>
      <c r="CH81" s="702">
        <f>IF($S81&gt;0,(($Z81)/(12)),0)</f>
        <v/>
      </c>
      <c r="CI81" s="702">
        <f>IF($S81&gt;0,(($Z81)/(12)),0)</f>
        <v/>
      </c>
      <c r="CJ81" s="702">
        <f>IF($S81&gt;0,(($Z81)/(12)),0)</f>
        <v/>
      </c>
      <c r="CK81" s="702">
        <f>IF($S81&gt;0,(($Z81)/(12)),0)</f>
        <v/>
      </c>
      <c r="CL81" s="702">
        <f>IF($S81&gt;0,(($Z81)/(12)),0)</f>
        <v/>
      </c>
      <c r="CM81" s="702">
        <f>IF($S81&gt;0,(($Z81)/(12)),0)</f>
        <v/>
      </c>
      <c r="CN81" s="702">
        <f>IF($S81&gt;0,(($Z81)/(12)),0)</f>
        <v/>
      </c>
      <c r="CO81" s="702">
        <f>IF($S81&gt;0,(($Z81)/(12)),0)</f>
        <v/>
      </c>
      <c r="CP81" s="702">
        <f>IF($S81&gt;0,(($Z81)/(12)),0)</f>
        <v/>
      </c>
      <c r="CQ81" s="702">
        <f>IF($S81&gt;0,(($Z81)/(12)),0)</f>
        <v/>
      </c>
      <c r="CR81" s="702">
        <f>IF($S81&gt;0,(($Z81)/(12)),0)</f>
        <v/>
      </c>
      <c r="CS81" s="765">
        <f>SUM(CG81:CR81)</f>
        <v/>
      </c>
      <c r="CU81" s="702">
        <f>IF($T81&gt;0,(($AA81)/(12)),0)</f>
        <v/>
      </c>
      <c r="CV81" s="702">
        <f>IF($T81&gt;0,(($AA81)/(12)),0)</f>
        <v/>
      </c>
      <c r="CW81" s="702">
        <f>IF($T81&gt;0,(($AA81)/(12)),0)</f>
        <v/>
      </c>
      <c r="CX81" s="702">
        <f>IF($T81&gt;0,(($AA81)/(12)),0)</f>
        <v/>
      </c>
      <c r="CY81" s="702">
        <f>IF($T81&gt;0,(($AA81)/(12)),0)</f>
        <v/>
      </c>
      <c r="CZ81" s="702">
        <f>IF($T81&gt;0,(($AA81)/(12)),0)</f>
        <v/>
      </c>
      <c r="DA81" s="702">
        <f>IF($T81&gt;0,(($AA81)/(12)),0)</f>
        <v/>
      </c>
      <c r="DB81" s="702">
        <f>IF($T81&gt;0,(($AA81)/(12)),0)</f>
        <v/>
      </c>
      <c r="DC81" s="702">
        <f>IF($T81&gt;0,(($AA81)/(12)),0)</f>
        <v/>
      </c>
      <c r="DD81" s="702">
        <f>IF($T81&gt;0,(($AA81)/(12)),0)</f>
        <v/>
      </c>
      <c r="DE81" s="702">
        <f>IF($T81&gt;0,(($AA81)/(12)),0)</f>
        <v/>
      </c>
      <c r="DF81" s="702">
        <f>IF($T81&gt;0,(($AA81)/(12)),0)</f>
        <v/>
      </c>
      <c r="DG81" s="765">
        <f>SUM(CU81:DF81)</f>
        <v/>
      </c>
    </row>
    <row r="82" ht="15" customHeight="1" s="1883">
      <c r="B82" s="752">
        <f>((B81)+(1))</f>
        <v/>
      </c>
      <c r="C82" s="726" t="n"/>
      <c r="D82" s="730" t="inlineStr">
        <is>
          <t>●</t>
        </is>
      </c>
      <c r="E82" s="736" t="inlineStr">
        <is>
          <t>TBD</t>
        </is>
      </c>
      <c r="F82" s="737" t="n"/>
      <c r="G82" s="737" t="n"/>
      <c r="H82" s="737" t="n"/>
      <c r="I82" s="736" t="inlineStr">
        <is>
          <t>Regional Controller</t>
        </is>
      </c>
      <c r="J82" s="746" t="inlineStr">
        <is>
          <t>OCONUS</t>
        </is>
      </c>
      <c r="K82" s="737" t="n"/>
      <c r="L82" s="753" t="n">
        <v>25</v>
      </c>
      <c r="M82" s="753" t="n">
        <v>25</v>
      </c>
      <c r="N82" s="744" t="n"/>
      <c r="O82" s="815" t="n"/>
      <c r="P82" s="756" t="n"/>
      <c r="Q82" s="756" t="n"/>
      <c r="R82" s="755" t="n">
        <v>0</v>
      </c>
      <c r="S82" s="755" t="n">
        <v>0</v>
      </c>
      <c r="T82" s="755" t="n">
        <v>0</v>
      </c>
      <c r="U82" s="737" t="n"/>
      <c r="V82" s="703" t="n">
        <v>0</v>
      </c>
      <c r="W82" s="701" t="n">
        <v>0</v>
      </c>
      <c r="X82" s="700">
        <f>((W82)*((1)+($X$63)))</f>
        <v/>
      </c>
      <c r="Y82" s="700">
        <f>((X82)*((1)+($Y$63)))</f>
        <v/>
      </c>
      <c r="Z82" s="700">
        <f>((Y82)*((1)+($Z$63)))</f>
        <v/>
      </c>
      <c r="AA82" s="700">
        <f>((Z82)*((1)+($AA$63)))</f>
        <v/>
      </c>
      <c r="AB82" s="726" t="n"/>
      <c r="AC82" s="702">
        <f>(($V82)/(12))</f>
        <v/>
      </c>
      <c r="AD82" s="702">
        <f>(($V82)/(12))</f>
        <v/>
      </c>
      <c r="AE82" s="702">
        <f>(($V82)/(12))</f>
        <v/>
      </c>
      <c r="AF82" s="702">
        <f>(($V82)/(12))</f>
        <v/>
      </c>
      <c r="AG82" s="702">
        <f>(($V82)/(12))</f>
        <v/>
      </c>
      <c r="AH82" s="702">
        <f>(($V82)/(12))</f>
        <v/>
      </c>
      <c r="AI82" s="702">
        <f>(($V82)/(12))</f>
        <v/>
      </c>
      <c r="AJ82" s="702">
        <f>(($V82)/(12))</f>
        <v/>
      </c>
      <c r="AK82" s="702">
        <f>(($V82)/(12))</f>
        <v/>
      </c>
      <c r="AL82" s="702">
        <f>(($V82)/(12))</f>
        <v/>
      </c>
      <c r="AM82" s="702">
        <f>(($V82)/(12))</f>
        <v/>
      </c>
      <c r="AN82" s="702">
        <f>(($V82)/(12))</f>
        <v/>
      </c>
      <c r="AO82" s="765">
        <f>SUM(AC82:AN82)</f>
        <v/>
      </c>
      <c r="AP82" s="462" t="n"/>
      <c r="AQ82" s="702">
        <f>IF($P82&gt;0,(($W82)/(12)),0)</f>
        <v/>
      </c>
      <c r="AR82" s="702">
        <f>IF($P82&gt;0,(($W82)/(12)),0)</f>
        <v/>
      </c>
      <c r="AS82" s="702">
        <f>IF($P82&gt;0,(($W82)/(12)),0)</f>
        <v/>
      </c>
      <c r="AT82" s="702">
        <f>IF($P82&gt;0,(($W82)/(12)),0)</f>
        <v/>
      </c>
      <c r="AU82" s="702">
        <f>IF($P82&gt;0,(($W82)/(12)),0)</f>
        <v/>
      </c>
      <c r="AV82" s="702">
        <f>IF($P82&gt;0,(($W82)/(12)),0)</f>
        <v/>
      </c>
      <c r="AW82" s="702">
        <f>IF($P82&gt;0,(($W82)/(12)),0)</f>
        <v/>
      </c>
      <c r="AX82" s="702">
        <f>IF($P82&gt;0,(($W82)/(12)),0)</f>
        <v/>
      </c>
      <c r="AY82" s="702">
        <f>IF($P82&gt;0,(($W82)/(12)),0)</f>
        <v/>
      </c>
      <c r="AZ82" s="702">
        <f>IF($P82&gt;0,(($W82)/(12)),0)</f>
        <v/>
      </c>
      <c r="BA82" s="702">
        <f>IF($P82&gt;0,(($W82)/(12)),0)</f>
        <v/>
      </c>
      <c r="BB82" s="702">
        <f>IF($P82&gt;0,(($W82)/(12)),0)</f>
        <v/>
      </c>
      <c r="BC82" s="765">
        <f>SUM(AQ82:BB82)</f>
        <v/>
      </c>
      <c r="BD82" s="462" t="n"/>
      <c r="BE82" s="702">
        <f>IF($Q82&gt;0,(($X82)/(12)),0)</f>
        <v/>
      </c>
      <c r="BF82" s="702">
        <f>IF($Q82&gt;0,(($X82)/(12)),0)</f>
        <v/>
      </c>
      <c r="BG82" s="702">
        <f>IF($Q82&gt;0,(($X82)/(12)),0)</f>
        <v/>
      </c>
      <c r="BH82" s="702">
        <f>IF($Q82&gt;0,(($X82)/(12)),0)</f>
        <v/>
      </c>
      <c r="BI82" s="702">
        <f>IF($Q82&gt;0,(($X82)/(12)),0)</f>
        <v/>
      </c>
      <c r="BJ82" s="702">
        <f>IF($Q82&gt;0,(($X82)/(12)),0)</f>
        <v/>
      </c>
      <c r="BK82" s="702">
        <f>IF($Q82&gt;0,(($X82)/(12)),0)</f>
        <v/>
      </c>
      <c r="BL82" s="702">
        <f>IF($Q82&gt;0,(($X82)/(12)),0)</f>
        <v/>
      </c>
      <c r="BM82" s="702">
        <f>IF($Q82&gt;0,(($X82)/(12)),0)</f>
        <v/>
      </c>
      <c r="BN82" s="702">
        <f>IF($Q82&gt;0,(($X82)/(12)),0)</f>
        <v/>
      </c>
      <c r="BO82" s="702">
        <f>IF($Q82&gt;0,(($X82)/(12)),0)</f>
        <v/>
      </c>
      <c r="BP82" s="702">
        <f>IF($Q82&gt;0,(($X82)/(12)),0)</f>
        <v/>
      </c>
      <c r="BQ82" s="765">
        <f>SUM(BE82:BP82)</f>
        <v/>
      </c>
      <c r="BR82" s="507" t="n"/>
      <c r="BS82" s="702">
        <f>IF($R82&gt;0,(($Y82)/(12)),0)</f>
        <v/>
      </c>
      <c r="BT82" s="702">
        <f>IF($R82&gt;0,(($Y82)/(12)),0)</f>
        <v/>
      </c>
      <c r="BU82" s="702">
        <f>IF($R82&gt;0,(($Y82)/(12)),0)</f>
        <v/>
      </c>
      <c r="BV82" s="702">
        <f>IF($R82&gt;0,(($Y82)/(12)),0)</f>
        <v/>
      </c>
      <c r="BW82" s="702">
        <f>IF($R82&gt;0,(($Y82)/(12)),0)</f>
        <v/>
      </c>
      <c r="BX82" s="702">
        <f>IF($R82&gt;0,(($Y82)/(12)),0)</f>
        <v/>
      </c>
      <c r="BY82" s="702">
        <f>IF($R82&gt;0,(($Y82)/(12)),0)</f>
        <v/>
      </c>
      <c r="BZ82" s="702">
        <f>IF($R82&gt;0,(($Y82)/(12)),0)</f>
        <v/>
      </c>
      <c r="CA82" s="702">
        <f>IF($R82&gt;0,(($Y82)/(12)),0)</f>
        <v/>
      </c>
      <c r="CB82" s="702">
        <f>IF($R82&gt;0,(($Y82)/(12)),0)</f>
        <v/>
      </c>
      <c r="CC82" s="702">
        <f>IF($R82&gt;0,(($Y82)/(12)),0)</f>
        <v/>
      </c>
      <c r="CD82" s="702">
        <f>IF($R82&gt;0,(($Y82)/(12)),0)</f>
        <v/>
      </c>
      <c r="CE82" s="765">
        <f>SUM(BS82:CD82)</f>
        <v/>
      </c>
      <c r="CF82" s="507" t="n"/>
      <c r="CG82" s="702">
        <f>IF($S82&gt;0,(($Z82)/(12)),0)</f>
        <v/>
      </c>
      <c r="CH82" s="702">
        <f>IF($S82&gt;0,(($Z82)/(12)),0)</f>
        <v/>
      </c>
      <c r="CI82" s="702">
        <f>IF($S82&gt;0,(($Z82)/(12)),0)</f>
        <v/>
      </c>
      <c r="CJ82" s="702">
        <f>IF($S82&gt;0,(($Z82)/(12)),0)</f>
        <v/>
      </c>
      <c r="CK82" s="702">
        <f>IF($S82&gt;0,(($Z82)/(12)),0)</f>
        <v/>
      </c>
      <c r="CL82" s="702">
        <f>IF($S82&gt;0,(($Z82)/(12)),0)</f>
        <v/>
      </c>
      <c r="CM82" s="702">
        <f>IF($S82&gt;0,(($Z82)/(12)),0)</f>
        <v/>
      </c>
      <c r="CN82" s="702">
        <f>IF($S82&gt;0,(($Z82)/(12)),0)</f>
        <v/>
      </c>
      <c r="CO82" s="702">
        <f>IF($S82&gt;0,(($Z82)/(12)),0)</f>
        <v/>
      </c>
      <c r="CP82" s="702">
        <f>IF($S82&gt;0,(($Z82)/(12)),0)</f>
        <v/>
      </c>
      <c r="CQ82" s="702">
        <f>IF($S82&gt;0,(($Z82)/(12)),0)</f>
        <v/>
      </c>
      <c r="CR82" s="702">
        <f>IF($S82&gt;0,(($Z82)/(12)),0)</f>
        <v/>
      </c>
      <c r="CS82" s="765">
        <f>SUM(CG82:CR82)</f>
        <v/>
      </c>
      <c r="CU82" s="702">
        <f>IF($T82&gt;0,(($AA82)/(12)),0)</f>
        <v/>
      </c>
      <c r="CV82" s="702">
        <f>IF($T82&gt;0,(($AA82)/(12)),0)</f>
        <v/>
      </c>
      <c r="CW82" s="702">
        <f>IF($T82&gt;0,(($AA82)/(12)),0)</f>
        <v/>
      </c>
      <c r="CX82" s="702">
        <f>IF($T82&gt;0,(($AA82)/(12)),0)</f>
        <v/>
      </c>
      <c r="CY82" s="702">
        <f>IF($T82&gt;0,(($AA82)/(12)),0)</f>
        <v/>
      </c>
      <c r="CZ82" s="702">
        <f>IF($T82&gt;0,(($AA82)/(12)),0)</f>
        <v/>
      </c>
      <c r="DA82" s="702">
        <f>IF($T82&gt;0,(($AA82)/(12)),0)</f>
        <v/>
      </c>
      <c r="DB82" s="702">
        <f>IF($T82&gt;0,(($AA82)/(12)),0)</f>
        <v/>
      </c>
      <c r="DC82" s="702">
        <f>IF($T82&gt;0,(($AA82)/(12)),0)</f>
        <v/>
      </c>
      <c r="DD82" s="702">
        <f>IF($T82&gt;0,(($AA82)/(12)),0)</f>
        <v/>
      </c>
      <c r="DE82" s="702">
        <f>IF($T82&gt;0,(($AA82)/(12)),0)</f>
        <v/>
      </c>
      <c r="DF82" s="702">
        <f>IF($T82&gt;0,(($AA82)/(12)),0)</f>
        <v/>
      </c>
      <c r="DG82" s="765">
        <f>SUM(CU82:DF82)</f>
        <v/>
      </c>
    </row>
    <row r="83" ht="15" customHeight="1" s="1883">
      <c r="B83" s="752">
        <f>((B82)+(1))</f>
        <v/>
      </c>
      <c r="C83" s="726" t="n"/>
      <c r="D83" s="730" t="inlineStr">
        <is>
          <t>●</t>
        </is>
      </c>
      <c r="E83" s="736" t="inlineStr">
        <is>
          <t>TBD</t>
        </is>
      </c>
      <c r="F83" s="737" t="n"/>
      <c r="G83" s="737" t="n"/>
      <c r="H83" s="737" t="n"/>
      <c r="I83" s="736" t="inlineStr">
        <is>
          <t>Regional Controller</t>
        </is>
      </c>
      <c r="J83" s="746" t="inlineStr">
        <is>
          <t>OCONUS</t>
        </is>
      </c>
      <c r="K83" s="737" t="n"/>
      <c r="L83" s="753" t="n">
        <v>37</v>
      </c>
      <c r="M83" s="753" t="n">
        <v>37</v>
      </c>
      <c r="N83" s="744" t="n"/>
      <c r="O83" s="815" t="n"/>
      <c r="P83" s="756" t="n"/>
      <c r="Q83" s="756" t="n"/>
      <c r="R83" s="756" t="n"/>
      <c r="S83" s="755" t="n">
        <v>0</v>
      </c>
      <c r="T83" s="755" t="n">
        <v>0</v>
      </c>
      <c r="U83" s="737" t="n"/>
      <c r="V83" s="703" t="n">
        <v>0</v>
      </c>
      <c r="W83" s="701" t="n">
        <v>0</v>
      </c>
      <c r="X83" s="700">
        <f>((W83)*((1)+($X$63)))</f>
        <v/>
      </c>
      <c r="Y83" s="700">
        <f>((X83)*((1)+($Y$63)))</f>
        <v/>
      </c>
      <c r="Z83" s="700">
        <f>((Y83)*((1)+($Z$63)))</f>
        <v/>
      </c>
      <c r="AA83" s="700">
        <f>((Z83)*((1)+($AA$63)))</f>
        <v/>
      </c>
      <c r="AB83" s="726" t="n"/>
      <c r="AC83" s="702">
        <f>(($V83)/(12))</f>
        <v/>
      </c>
      <c r="AD83" s="702">
        <f>(($V83)/(12))</f>
        <v/>
      </c>
      <c r="AE83" s="702">
        <f>(($V83)/(12))</f>
        <v/>
      </c>
      <c r="AF83" s="702">
        <f>(($V83)/(12))</f>
        <v/>
      </c>
      <c r="AG83" s="702">
        <f>(($V83)/(12))</f>
        <v/>
      </c>
      <c r="AH83" s="702">
        <f>(($V83)/(12))</f>
        <v/>
      </c>
      <c r="AI83" s="702">
        <f>(($V83)/(12))</f>
        <v/>
      </c>
      <c r="AJ83" s="702">
        <f>(($V83)/(12))</f>
        <v/>
      </c>
      <c r="AK83" s="702">
        <f>(($V83)/(12))</f>
        <v/>
      </c>
      <c r="AL83" s="702">
        <f>(($V83)/(12))</f>
        <v/>
      </c>
      <c r="AM83" s="702">
        <f>(($V83)/(12))</f>
        <v/>
      </c>
      <c r="AN83" s="702">
        <f>(($V83)/(12))</f>
        <v/>
      </c>
      <c r="AO83" s="765">
        <f>SUM(AC83:AN83)</f>
        <v/>
      </c>
      <c r="AP83" s="462" t="n"/>
      <c r="AQ83" s="702">
        <f>IF($P83&gt;0,(($W83)/(12)),0)</f>
        <v/>
      </c>
      <c r="AR83" s="702">
        <f>IF($P83&gt;0,(($W83)/(12)),0)</f>
        <v/>
      </c>
      <c r="AS83" s="702">
        <f>IF($P83&gt;0,(($W83)/(12)),0)</f>
        <v/>
      </c>
      <c r="AT83" s="702">
        <f>IF($P83&gt;0,(($W83)/(12)),0)</f>
        <v/>
      </c>
      <c r="AU83" s="702">
        <f>IF($P83&gt;0,(($W83)/(12)),0)</f>
        <v/>
      </c>
      <c r="AV83" s="702">
        <f>IF($P83&gt;0,(($W83)/(12)),0)</f>
        <v/>
      </c>
      <c r="AW83" s="702">
        <f>IF($P83&gt;0,(($W83)/(12)),0)</f>
        <v/>
      </c>
      <c r="AX83" s="702">
        <f>IF($P83&gt;0,(($W83)/(12)),0)</f>
        <v/>
      </c>
      <c r="AY83" s="702">
        <f>IF($P83&gt;0,(($W83)/(12)),0)</f>
        <v/>
      </c>
      <c r="AZ83" s="702">
        <f>IF($P83&gt;0,(($W83)/(12)),0)</f>
        <v/>
      </c>
      <c r="BA83" s="702">
        <f>IF($P83&gt;0,(($W83)/(12)),0)</f>
        <v/>
      </c>
      <c r="BB83" s="702">
        <f>IF($P83&gt;0,(($W83)/(12)),0)</f>
        <v/>
      </c>
      <c r="BC83" s="765">
        <f>SUM(AQ83:BB83)</f>
        <v/>
      </c>
      <c r="BD83" s="462" t="n"/>
      <c r="BE83" s="702">
        <f>IF($Q83&gt;0,(($X83)/(12)),0)</f>
        <v/>
      </c>
      <c r="BF83" s="702">
        <f>IF($Q83&gt;0,(($X83)/(12)),0)</f>
        <v/>
      </c>
      <c r="BG83" s="702">
        <f>IF($Q83&gt;0,(($X83)/(12)),0)</f>
        <v/>
      </c>
      <c r="BH83" s="702">
        <f>IF($Q83&gt;0,(($X83)/(12)),0)</f>
        <v/>
      </c>
      <c r="BI83" s="702">
        <f>IF($Q83&gt;0,(($X83)/(12)),0)</f>
        <v/>
      </c>
      <c r="BJ83" s="702">
        <f>IF($Q83&gt;0,(($X83)/(12)),0)</f>
        <v/>
      </c>
      <c r="BK83" s="702">
        <f>IF($Q83&gt;0,(($X83)/(12)),0)</f>
        <v/>
      </c>
      <c r="BL83" s="702">
        <f>IF($Q83&gt;0,(($X83)/(12)),0)</f>
        <v/>
      </c>
      <c r="BM83" s="702">
        <f>IF($Q83&gt;0,(($X83)/(12)),0)</f>
        <v/>
      </c>
      <c r="BN83" s="702">
        <f>IF($Q83&gt;0,(($X83)/(12)),0)</f>
        <v/>
      </c>
      <c r="BO83" s="702">
        <f>IF($Q83&gt;0,(($X83)/(12)),0)</f>
        <v/>
      </c>
      <c r="BP83" s="702">
        <f>IF($Q83&gt;0,(($X83)/(12)),0)</f>
        <v/>
      </c>
      <c r="BQ83" s="765">
        <f>SUM(BE83:BP83)</f>
        <v/>
      </c>
      <c r="BR83" s="507" t="n"/>
      <c r="BS83" s="702">
        <f>IF($R83&gt;0,(($Y83)/(12)),0)</f>
        <v/>
      </c>
      <c r="BT83" s="702">
        <f>IF($R83&gt;0,(($Y83)/(12)),0)</f>
        <v/>
      </c>
      <c r="BU83" s="702">
        <f>IF($R83&gt;0,(($Y83)/(12)),0)</f>
        <v/>
      </c>
      <c r="BV83" s="702">
        <f>IF($R83&gt;0,(($Y83)/(12)),0)</f>
        <v/>
      </c>
      <c r="BW83" s="702">
        <f>IF($R83&gt;0,(($Y83)/(12)),0)</f>
        <v/>
      </c>
      <c r="BX83" s="702">
        <f>IF($R83&gt;0,(($Y83)/(12)),0)</f>
        <v/>
      </c>
      <c r="BY83" s="702">
        <f>IF($R83&gt;0,(($Y83)/(12)),0)</f>
        <v/>
      </c>
      <c r="BZ83" s="702">
        <f>IF($R83&gt;0,(($Y83)/(12)),0)</f>
        <v/>
      </c>
      <c r="CA83" s="702">
        <f>IF($R83&gt;0,(($Y83)/(12)),0)</f>
        <v/>
      </c>
      <c r="CB83" s="702">
        <f>IF($R83&gt;0,(($Y83)/(12)),0)</f>
        <v/>
      </c>
      <c r="CC83" s="702">
        <f>IF($R83&gt;0,(($Y83)/(12)),0)</f>
        <v/>
      </c>
      <c r="CD83" s="702">
        <f>IF($R83&gt;0,(($Y83)/(12)),0)</f>
        <v/>
      </c>
      <c r="CE83" s="765">
        <f>SUM(BS83:CD83)</f>
        <v/>
      </c>
      <c r="CF83" s="507" t="n"/>
      <c r="CG83" s="702">
        <f>IF($S83&gt;0,(($Z83)/(12)),0)</f>
        <v/>
      </c>
      <c r="CH83" s="702">
        <f>IF($S83&gt;0,(($Z83)/(12)),0)</f>
        <v/>
      </c>
      <c r="CI83" s="702">
        <f>IF($S83&gt;0,(($Z83)/(12)),0)</f>
        <v/>
      </c>
      <c r="CJ83" s="702">
        <f>IF($S83&gt;0,(($Z83)/(12)),0)</f>
        <v/>
      </c>
      <c r="CK83" s="702">
        <f>IF($S83&gt;0,(($Z83)/(12)),0)</f>
        <v/>
      </c>
      <c r="CL83" s="702">
        <f>IF($S83&gt;0,(($Z83)/(12)),0)</f>
        <v/>
      </c>
      <c r="CM83" s="702">
        <f>IF($S83&gt;0,(($Z83)/(12)),0)</f>
        <v/>
      </c>
      <c r="CN83" s="702">
        <f>IF($S83&gt;0,(($Z83)/(12)),0)</f>
        <v/>
      </c>
      <c r="CO83" s="702">
        <f>IF($S83&gt;0,(($Z83)/(12)),0)</f>
        <v/>
      </c>
      <c r="CP83" s="702">
        <f>IF($S83&gt;0,(($Z83)/(12)),0)</f>
        <v/>
      </c>
      <c r="CQ83" s="702">
        <f>IF($S83&gt;0,(($Z83)/(12)),0)</f>
        <v/>
      </c>
      <c r="CR83" s="702">
        <f>IF($S83&gt;0,(($Z83)/(12)),0)</f>
        <v/>
      </c>
      <c r="CS83" s="765">
        <f>SUM(CG83:CR83)</f>
        <v/>
      </c>
      <c r="CU83" s="702">
        <f>IF($T83&gt;0,(($AA83)/(12)),0)</f>
        <v/>
      </c>
      <c r="CV83" s="702">
        <f>IF($T83&gt;0,(($AA83)/(12)),0)</f>
        <v/>
      </c>
      <c r="CW83" s="702">
        <f>IF($T83&gt;0,(($AA83)/(12)),0)</f>
        <v/>
      </c>
      <c r="CX83" s="702">
        <f>IF($T83&gt;0,(($AA83)/(12)),0)</f>
        <v/>
      </c>
      <c r="CY83" s="702">
        <f>IF($T83&gt;0,(($AA83)/(12)),0)</f>
        <v/>
      </c>
      <c r="CZ83" s="702">
        <f>IF($T83&gt;0,(($AA83)/(12)),0)</f>
        <v/>
      </c>
      <c r="DA83" s="702">
        <f>IF($T83&gt;0,(($AA83)/(12)),0)</f>
        <v/>
      </c>
      <c r="DB83" s="702">
        <f>IF($T83&gt;0,(($AA83)/(12)),0)</f>
        <v/>
      </c>
      <c r="DC83" s="702">
        <f>IF($T83&gt;0,(($AA83)/(12)),0)</f>
        <v/>
      </c>
      <c r="DD83" s="702">
        <f>IF($T83&gt;0,(($AA83)/(12)),0)</f>
        <v/>
      </c>
      <c r="DE83" s="702">
        <f>IF($T83&gt;0,(($AA83)/(12)),0)</f>
        <v/>
      </c>
      <c r="DF83" s="702">
        <f>IF($T83&gt;0,(($AA83)/(12)),0)</f>
        <v/>
      </c>
      <c r="DG83" s="765">
        <f>SUM(CU83:DF83)</f>
        <v/>
      </c>
    </row>
    <row r="84" ht="15" customHeight="1" s="1883">
      <c r="B84" s="752">
        <f>((B83)+(1))</f>
        <v/>
      </c>
      <c r="C84" s="726" t="n"/>
      <c r="D84" s="730" t="inlineStr">
        <is>
          <t>●</t>
        </is>
      </c>
      <c r="E84" s="736" t="inlineStr">
        <is>
          <t>TBD</t>
        </is>
      </c>
      <c r="F84" s="737" t="n"/>
      <c r="G84" s="737" t="n"/>
      <c r="H84" s="737" t="n"/>
      <c r="I84" s="736" t="inlineStr">
        <is>
          <t>Regional Controller</t>
        </is>
      </c>
      <c r="J84" s="746" t="inlineStr">
        <is>
          <t>OCONUS</t>
        </is>
      </c>
      <c r="K84" s="737" t="n"/>
      <c r="L84" s="753" t="n">
        <v>37</v>
      </c>
      <c r="M84" s="753" t="n">
        <v>37</v>
      </c>
      <c r="N84" s="744" t="n"/>
      <c r="O84" s="815" t="n"/>
      <c r="P84" s="756" t="n"/>
      <c r="Q84" s="756" t="n"/>
      <c r="R84" s="756" t="n"/>
      <c r="S84" s="755" t="n">
        <v>0</v>
      </c>
      <c r="T84" s="755" t="n">
        <v>0</v>
      </c>
      <c r="U84" s="737" t="n"/>
      <c r="V84" s="703" t="n">
        <v>0</v>
      </c>
      <c r="W84" s="701" t="n">
        <v>0</v>
      </c>
      <c r="X84" s="700">
        <f>((W84)*((1)+($X$63)))</f>
        <v/>
      </c>
      <c r="Y84" s="700">
        <f>((X84)*((1)+($Y$63)))</f>
        <v/>
      </c>
      <c r="Z84" s="700">
        <f>((Y84)*((1)+($Z$63)))</f>
        <v/>
      </c>
      <c r="AA84" s="700">
        <f>((Z84)*((1)+($AA$63)))</f>
        <v/>
      </c>
      <c r="AB84" s="726" t="n"/>
      <c r="AC84" s="702">
        <f>(($V84)/(12))</f>
        <v/>
      </c>
      <c r="AD84" s="702">
        <f>(($V84)/(12))</f>
        <v/>
      </c>
      <c r="AE84" s="702">
        <f>(($V84)/(12))</f>
        <v/>
      </c>
      <c r="AF84" s="702">
        <f>(($V84)/(12))</f>
        <v/>
      </c>
      <c r="AG84" s="702">
        <f>(($V84)/(12))</f>
        <v/>
      </c>
      <c r="AH84" s="702">
        <f>(($V84)/(12))</f>
        <v/>
      </c>
      <c r="AI84" s="702">
        <f>(($V84)/(12))</f>
        <v/>
      </c>
      <c r="AJ84" s="702">
        <f>(($V84)/(12))</f>
        <v/>
      </c>
      <c r="AK84" s="702">
        <f>(($V84)/(12))</f>
        <v/>
      </c>
      <c r="AL84" s="702">
        <f>(($V84)/(12))</f>
        <v/>
      </c>
      <c r="AM84" s="702">
        <f>(($V84)/(12))</f>
        <v/>
      </c>
      <c r="AN84" s="702">
        <f>(($V84)/(12))</f>
        <v/>
      </c>
      <c r="AO84" s="765">
        <f>SUM(AC84:AN84)</f>
        <v/>
      </c>
      <c r="AP84" s="462" t="n"/>
      <c r="AQ84" s="702">
        <f>IF($P84&gt;0,(($W84)/(12)),0)</f>
        <v/>
      </c>
      <c r="AR84" s="702">
        <f>IF($P84&gt;0,(($W84)/(12)),0)</f>
        <v/>
      </c>
      <c r="AS84" s="702">
        <f>IF($P84&gt;0,(($W84)/(12)),0)</f>
        <v/>
      </c>
      <c r="AT84" s="702">
        <f>IF($P84&gt;0,(($W84)/(12)),0)</f>
        <v/>
      </c>
      <c r="AU84" s="702">
        <f>IF($P84&gt;0,(($W84)/(12)),0)</f>
        <v/>
      </c>
      <c r="AV84" s="702">
        <f>IF($P84&gt;0,(($W84)/(12)),0)</f>
        <v/>
      </c>
      <c r="AW84" s="702">
        <f>IF($P84&gt;0,(($W84)/(12)),0)</f>
        <v/>
      </c>
      <c r="AX84" s="702">
        <f>IF($P84&gt;0,(($W84)/(12)),0)</f>
        <v/>
      </c>
      <c r="AY84" s="702">
        <f>IF($P84&gt;0,(($W84)/(12)),0)</f>
        <v/>
      </c>
      <c r="AZ84" s="702">
        <f>IF($P84&gt;0,(($W84)/(12)),0)</f>
        <v/>
      </c>
      <c r="BA84" s="702">
        <f>IF($P84&gt;0,(($W84)/(12)),0)</f>
        <v/>
      </c>
      <c r="BB84" s="702">
        <f>IF($P84&gt;0,(($W84)/(12)),0)</f>
        <v/>
      </c>
      <c r="BC84" s="765">
        <f>SUM(AQ84:BB84)</f>
        <v/>
      </c>
      <c r="BD84" s="462" t="n"/>
      <c r="BE84" s="702">
        <f>IF($Q84&gt;0,(($X84)/(12)),0)</f>
        <v/>
      </c>
      <c r="BF84" s="702">
        <f>IF($Q84&gt;0,(($X84)/(12)),0)</f>
        <v/>
      </c>
      <c r="BG84" s="702">
        <f>IF($Q84&gt;0,(($X84)/(12)),0)</f>
        <v/>
      </c>
      <c r="BH84" s="702">
        <f>IF($Q84&gt;0,(($X84)/(12)),0)</f>
        <v/>
      </c>
      <c r="BI84" s="702">
        <f>IF($Q84&gt;0,(($X84)/(12)),0)</f>
        <v/>
      </c>
      <c r="BJ84" s="702">
        <f>IF($Q84&gt;0,(($X84)/(12)),0)</f>
        <v/>
      </c>
      <c r="BK84" s="702">
        <f>IF($Q84&gt;0,(($X84)/(12)),0)</f>
        <v/>
      </c>
      <c r="BL84" s="702">
        <f>IF($Q84&gt;0,(($X84)/(12)),0)</f>
        <v/>
      </c>
      <c r="BM84" s="702">
        <f>IF($Q84&gt;0,(($X84)/(12)),0)</f>
        <v/>
      </c>
      <c r="BN84" s="702">
        <f>IF($Q84&gt;0,(($X84)/(12)),0)</f>
        <v/>
      </c>
      <c r="BO84" s="702">
        <f>IF($Q84&gt;0,(($X84)/(12)),0)</f>
        <v/>
      </c>
      <c r="BP84" s="702">
        <f>IF($Q84&gt;0,(($X84)/(12)),0)</f>
        <v/>
      </c>
      <c r="BQ84" s="765">
        <f>SUM(BE84:BP84)</f>
        <v/>
      </c>
      <c r="BR84" s="507" t="n"/>
      <c r="BS84" s="702">
        <f>IF($R84&gt;0,(($Y84)/(12)),0)</f>
        <v/>
      </c>
      <c r="BT84" s="702">
        <f>IF($R84&gt;0,(($Y84)/(12)),0)</f>
        <v/>
      </c>
      <c r="BU84" s="702">
        <f>IF($R84&gt;0,(($Y84)/(12)),0)</f>
        <v/>
      </c>
      <c r="BV84" s="702">
        <f>IF($R84&gt;0,(($Y84)/(12)),0)</f>
        <v/>
      </c>
      <c r="BW84" s="702">
        <f>IF($R84&gt;0,(($Y84)/(12)),0)</f>
        <v/>
      </c>
      <c r="BX84" s="702">
        <f>IF($R84&gt;0,(($Y84)/(12)),0)</f>
        <v/>
      </c>
      <c r="BY84" s="702">
        <f>IF($R84&gt;0,(($Y84)/(12)),0)</f>
        <v/>
      </c>
      <c r="BZ84" s="702">
        <f>IF($R84&gt;0,(($Y84)/(12)),0)</f>
        <v/>
      </c>
      <c r="CA84" s="702">
        <f>IF($R84&gt;0,(($Y84)/(12)),0)</f>
        <v/>
      </c>
      <c r="CB84" s="702">
        <f>IF($R84&gt;0,(($Y84)/(12)),0)</f>
        <v/>
      </c>
      <c r="CC84" s="702">
        <f>IF($R84&gt;0,(($Y84)/(12)),0)</f>
        <v/>
      </c>
      <c r="CD84" s="702">
        <f>IF($R84&gt;0,(($Y84)/(12)),0)</f>
        <v/>
      </c>
      <c r="CE84" s="765">
        <f>SUM(BS84:CD84)</f>
        <v/>
      </c>
      <c r="CF84" s="507" t="n"/>
      <c r="CG84" s="702">
        <f>IF($S84&gt;0,(($Z84)/(12)),0)</f>
        <v/>
      </c>
      <c r="CH84" s="702">
        <f>IF($S84&gt;0,(($Z84)/(12)),0)</f>
        <v/>
      </c>
      <c r="CI84" s="702">
        <f>IF($S84&gt;0,(($Z84)/(12)),0)</f>
        <v/>
      </c>
      <c r="CJ84" s="702">
        <f>IF($S84&gt;0,(($Z84)/(12)),0)</f>
        <v/>
      </c>
      <c r="CK84" s="702">
        <f>IF($S84&gt;0,(($Z84)/(12)),0)</f>
        <v/>
      </c>
      <c r="CL84" s="702">
        <f>IF($S84&gt;0,(($Z84)/(12)),0)</f>
        <v/>
      </c>
      <c r="CM84" s="702">
        <f>IF($S84&gt;0,(($Z84)/(12)),0)</f>
        <v/>
      </c>
      <c r="CN84" s="702">
        <f>IF($S84&gt;0,(($Z84)/(12)),0)</f>
        <v/>
      </c>
      <c r="CO84" s="702">
        <f>IF($S84&gt;0,(($Z84)/(12)),0)</f>
        <v/>
      </c>
      <c r="CP84" s="702">
        <f>IF($S84&gt;0,(($Z84)/(12)),0)</f>
        <v/>
      </c>
      <c r="CQ84" s="702">
        <f>IF($S84&gt;0,(($Z84)/(12)),0)</f>
        <v/>
      </c>
      <c r="CR84" s="702">
        <f>IF($S84&gt;0,(($Z84)/(12)),0)</f>
        <v/>
      </c>
      <c r="CS84" s="765">
        <f>SUM(CG84:CR84)</f>
        <v/>
      </c>
      <c r="CU84" s="702">
        <f>IF($T84&gt;0,(($AA84)/(12)),0)</f>
        <v/>
      </c>
      <c r="CV84" s="702">
        <f>IF($T84&gt;0,(($AA84)/(12)),0)</f>
        <v/>
      </c>
      <c r="CW84" s="702">
        <f>IF($T84&gt;0,(($AA84)/(12)),0)</f>
        <v/>
      </c>
      <c r="CX84" s="702">
        <f>IF($T84&gt;0,(($AA84)/(12)),0)</f>
        <v/>
      </c>
      <c r="CY84" s="702">
        <f>IF($T84&gt;0,(($AA84)/(12)),0)</f>
        <v/>
      </c>
      <c r="CZ84" s="702">
        <f>IF($T84&gt;0,(($AA84)/(12)),0)</f>
        <v/>
      </c>
      <c r="DA84" s="702">
        <f>IF($T84&gt;0,(($AA84)/(12)),0)</f>
        <v/>
      </c>
      <c r="DB84" s="702">
        <f>IF($T84&gt;0,(($AA84)/(12)),0)</f>
        <v/>
      </c>
      <c r="DC84" s="702">
        <f>IF($T84&gt;0,(($AA84)/(12)),0)</f>
        <v/>
      </c>
      <c r="DD84" s="702">
        <f>IF($T84&gt;0,(($AA84)/(12)),0)</f>
        <v/>
      </c>
      <c r="DE84" s="702">
        <f>IF($T84&gt;0,(($AA84)/(12)),0)</f>
        <v/>
      </c>
      <c r="DF84" s="702">
        <f>IF($T84&gt;0,(($AA84)/(12)),0)</f>
        <v/>
      </c>
      <c r="DG84" s="765">
        <f>SUM(CU84:DF84)</f>
        <v/>
      </c>
    </row>
    <row r="85" ht="15" customHeight="1" s="1883">
      <c r="B85" s="752">
        <f>((B84)+(1))</f>
        <v/>
      </c>
      <c r="C85" s="742" t="n"/>
      <c r="D85" s="730" t="inlineStr">
        <is>
          <t>●</t>
        </is>
      </c>
      <c r="E85" s="740" t="inlineStr">
        <is>
          <t>Mireille Dirany</t>
        </is>
      </c>
      <c r="F85" s="737" t="n"/>
      <c r="G85" s="737" t="n"/>
      <c r="H85" s="737" t="n"/>
      <c r="I85" s="736" t="inlineStr">
        <is>
          <t>Director, Office of the CEO</t>
        </is>
      </c>
      <c r="J85" s="746" t="inlineStr">
        <is>
          <t>OCONUS</t>
        </is>
      </c>
      <c r="K85" s="737" t="n"/>
      <c r="L85" s="738" t="inlineStr">
        <is>
          <t>-12</t>
        </is>
      </c>
      <c r="M85" s="738" t="inlineStr">
        <is>
          <t>-12</t>
        </is>
      </c>
      <c r="N85" s="738" t="n"/>
      <c r="O85" s="754" t="n">
        <v>1</v>
      </c>
      <c r="P85" s="755" t="n">
        <v>1</v>
      </c>
      <c r="Q85" s="755" t="n">
        <v>1</v>
      </c>
      <c r="R85" s="755" t="n">
        <v>1</v>
      </c>
      <c r="S85" s="755" t="n">
        <v>1</v>
      </c>
      <c r="T85" s="755" t="n">
        <v>1</v>
      </c>
      <c r="U85" s="737" t="n"/>
      <c r="V85" s="702" t="n">
        <v>78000</v>
      </c>
      <c r="W85" s="700">
        <f>(V85)</f>
        <v/>
      </c>
      <c r="X85" s="700">
        <f>((W85)*((1)+($X$63)))</f>
        <v/>
      </c>
      <c r="Y85" s="700">
        <f>((X85)*((1)+($Y$63)))</f>
        <v/>
      </c>
      <c r="Z85" s="700">
        <f>((Y85)*((1)+($Z$63)))</f>
        <v/>
      </c>
      <c r="AA85" s="700">
        <f>((Z85)*((1)+($AA$63)))</f>
        <v/>
      </c>
      <c r="AB85" s="726" t="n"/>
      <c r="AC85" s="702">
        <f>(($V85)/(12))*0.7</f>
        <v/>
      </c>
      <c r="AD85" s="702">
        <f>(($V85)/(12))</f>
        <v/>
      </c>
      <c r="AE85" s="702">
        <f>(($V85)/(12))</f>
        <v/>
      </c>
      <c r="AF85" s="702">
        <f>(($V85)/(12))</f>
        <v/>
      </c>
      <c r="AG85" s="702">
        <f>(($V85)/(12))</f>
        <v/>
      </c>
      <c r="AH85" s="702">
        <f>(($V85)/(12))</f>
        <v/>
      </c>
      <c r="AI85" s="702">
        <f>(($V85)/(12))</f>
        <v/>
      </c>
      <c r="AJ85" s="702">
        <f>(($V85)/(12))</f>
        <v/>
      </c>
      <c r="AK85" s="702">
        <f>(($V85)/(12))</f>
        <v/>
      </c>
      <c r="AL85" s="702">
        <f>(($V85)/(12))</f>
        <v/>
      </c>
      <c r="AM85" s="702">
        <f>(($V85)/(12))</f>
        <v/>
      </c>
      <c r="AN85" s="702">
        <f>(($V85)/(12))</f>
        <v/>
      </c>
      <c r="AO85" s="765">
        <f>SUM(AC85:AN85)</f>
        <v/>
      </c>
      <c r="AP85" s="462" t="n"/>
      <c r="AQ85" s="702">
        <f>IF($P85&gt;0,(($W85)/(12)),0)</f>
        <v/>
      </c>
      <c r="AR85" s="702">
        <f>IF($P85&gt;0,(($W85)/(12)),0)</f>
        <v/>
      </c>
      <c r="AS85" s="702">
        <f>IF($P85&gt;0,(($W85)/(12)),0)</f>
        <v/>
      </c>
      <c r="AT85" s="702">
        <f>IF($P85&gt;0,(($W85)/(12)),0)</f>
        <v/>
      </c>
      <c r="AU85" s="702">
        <f>IF($P85&gt;0,(($W85)/(12)),0)</f>
        <v/>
      </c>
      <c r="AV85" s="702">
        <f>IF($P85&gt;0,(($W85)/(12)),0)</f>
        <v/>
      </c>
      <c r="AW85" s="702">
        <f>IF($P85&gt;0,(($W85)/(12)),0)</f>
        <v/>
      </c>
      <c r="AX85" s="702">
        <f>IF($P85&gt;0,(($W85)/(12)),0)</f>
        <v/>
      </c>
      <c r="AY85" s="702">
        <f>IF($P85&gt;0,(($W85)/(12)),0)</f>
        <v/>
      </c>
      <c r="AZ85" s="702">
        <f>IF($P85&gt;0,(($W85)/(12)),0)</f>
        <v/>
      </c>
      <c r="BA85" s="702">
        <f>IF($P85&gt;0,(($W85)/(12)),0)</f>
        <v/>
      </c>
      <c r="BB85" s="702">
        <f>IF($P85&gt;0,(($W85)/(12)),0)</f>
        <v/>
      </c>
      <c r="BC85" s="765">
        <f>SUM(AQ85:BB85)</f>
        <v/>
      </c>
      <c r="BD85" s="462" t="n"/>
      <c r="BE85" s="702">
        <f>IF($Q85&gt;0,(($X85)/(12)),0)</f>
        <v/>
      </c>
      <c r="BF85" s="702">
        <f>IF($Q85&gt;0,(($X85)/(12)),0)</f>
        <v/>
      </c>
      <c r="BG85" s="702">
        <f>IF($Q85&gt;0,(($X85)/(12)),0)</f>
        <v/>
      </c>
      <c r="BH85" s="702">
        <f>IF($Q85&gt;0,(($X85)/(12)),0)</f>
        <v/>
      </c>
      <c r="BI85" s="702">
        <f>IF($Q85&gt;0,(($X85)/(12)),0)</f>
        <v/>
      </c>
      <c r="BJ85" s="702">
        <f>IF($Q85&gt;0,(($X85)/(12)),0)</f>
        <v/>
      </c>
      <c r="BK85" s="702">
        <f>IF($Q85&gt;0,(($X85)/(12)),0)</f>
        <v/>
      </c>
      <c r="BL85" s="702">
        <f>IF($Q85&gt;0,(($X85)/(12)),0)</f>
        <v/>
      </c>
      <c r="BM85" s="702">
        <f>IF($Q85&gt;0,(($X85)/(12)),0)</f>
        <v/>
      </c>
      <c r="BN85" s="702">
        <f>IF($Q85&gt;0,(($X85)/(12)),0)</f>
        <v/>
      </c>
      <c r="BO85" s="702">
        <f>IF($Q85&gt;0,(($X85)/(12)),0)</f>
        <v/>
      </c>
      <c r="BP85" s="702">
        <f>IF($Q85&gt;0,(($X85)/(12)),0)</f>
        <v/>
      </c>
      <c r="BQ85" s="765">
        <f>SUM(BE85:BP85)</f>
        <v/>
      </c>
      <c r="BR85" s="507" t="n"/>
      <c r="BS85" s="702">
        <f>IF($R85&gt;0,(($Y85)/(12)),0)</f>
        <v/>
      </c>
      <c r="BT85" s="702">
        <f>IF($R85&gt;0,(($Y85)/(12)),0)</f>
        <v/>
      </c>
      <c r="BU85" s="702">
        <f>IF($R85&gt;0,(($Y85)/(12)),0)</f>
        <v/>
      </c>
      <c r="BV85" s="702">
        <f>IF($R85&gt;0,(($Y85)/(12)),0)</f>
        <v/>
      </c>
      <c r="BW85" s="702">
        <f>IF($R85&gt;0,(($Y85)/(12)),0)</f>
        <v/>
      </c>
      <c r="BX85" s="702">
        <f>IF($R85&gt;0,(($Y85)/(12)),0)</f>
        <v/>
      </c>
      <c r="BY85" s="702">
        <f>IF($R85&gt;0,(($Y85)/(12)),0)</f>
        <v/>
      </c>
      <c r="BZ85" s="702">
        <f>IF($R85&gt;0,(($Y85)/(12)),0)</f>
        <v/>
      </c>
      <c r="CA85" s="702">
        <f>IF($R85&gt;0,(($Y85)/(12)),0)</f>
        <v/>
      </c>
      <c r="CB85" s="702">
        <f>IF($R85&gt;0,(($Y85)/(12)),0)</f>
        <v/>
      </c>
      <c r="CC85" s="702">
        <f>IF($R85&gt;0,(($Y85)/(12)),0)</f>
        <v/>
      </c>
      <c r="CD85" s="702">
        <f>IF($R85&gt;0,(($Y85)/(12)),0)</f>
        <v/>
      </c>
      <c r="CE85" s="765">
        <f>SUM(BS85:CD85)</f>
        <v/>
      </c>
      <c r="CF85" s="507" t="n"/>
      <c r="CG85" s="702">
        <f>IF($S85&gt;0,(($Z85)/(12)),0)</f>
        <v/>
      </c>
      <c r="CH85" s="702">
        <f>IF($S85&gt;0,(($Z85)/(12)),0)</f>
        <v/>
      </c>
      <c r="CI85" s="702">
        <f>IF($S85&gt;0,(($Z85)/(12)),0)</f>
        <v/>
      </c>
      <c r="CJ85" s="702">
        <f>IF($S85&gt;0,(($Z85)/(12)),0)</f>
        <v/>
      </c>
      <c r="CK85" s="702">
        <f>IF($S85&gt;0,(($Z85)/(12)),0)</f>
        <v/>
      </c>
      <c r="CL85" s="702">
        <f>IF($S85&gt;0,(($Z85)/(12)),0)</f>
        <v/>
      </c>
      <c r="CM85" s="702">
        <f>IF($S85&gt;0,(($Z85)/(12)),0)</f>
        <v/>
      </c>
      <c r="CN85" s="702">
        <f>IF($S85&gt;0,(($Z85)/(12)),0)</f>
        <v/>
      </c>
      <c r="CO85" s="702">
        <f>IF($S85&gt;0,(($Z85)/(12)),0)</f>
        <v/>
      </c>
      <c r="CP85" s="702">
        <f>IF($S85&gt;0,(($Z85)/(12)),0)</f>
        <v/>
      </c>
      <c r="CQ85" s="702">
        <f>IF($S85&gt;0,(($Z85)/(12)),0)</f>
        <v/>
      </c>
      <c r="CR85" s="702">
        <f>IF($S85&gt;0,(($Z85)/(12)),0)</f>
        <v/>
      </c>
      <c r="CS85" s="765">
        <f>SUM(CG85:CR85)</f>
        <v/>
      </c>
      <c r="CU85" s="702">
        <f>IF($T85&gt;0,(($AA85)/(12)),0)</f>
        <v/>
      </c>
      <c r="CV85" s="702">
        <f>IF($T85&gt;0,(($AA85)/(12)),0)</f>
        <v/>
      </c>
      <c r="CW85" s="702">
        <f>IF($T85&gt;0,(($AA85)/(12)),0)</f>
        <v/>
      </c>
      <c r="CX85" s="702">
        <f>IF($T85&gt;0,(($AA85)/(12)),0)</f>
        <v/>
      </c>
      <c r="CY85" s="702">
        <f>IF($T85&gt;0,(($AA85)/(12)),0)</f>
        <v/>
      </c>
      <c r="CZ85" s="702">
        <f>IF($T85&gt;0,(($AA85)/(12)),0)</f>
        <v/>
      </c>
      <c r="DA85" s="702">
        <f>IF($T85&gt;0,(($AA85)/(12)),0)</f>
        <v/>
      </c>
      <c r="DB85" s="702">
        <f>IF($T85&gt;0,(($AA85)/(12)),0)</f>
        <v/>
      </c>
      <c r="DC85" s="702">
        <f>IF($T85&gt;0,(($AA85)/(12)),0)</f>
        <v/>
      </c>
      <c r="DD85" s="702">
        <f>IF($T85&gt;0,(($AA85)/(12)),0)</f>
        <v/>
      </c>
      <c r="DE85" s="702">
        <f>IF($T85&gt;0,(($AA85)/(12)),0)</f>
        <v/>
      </c>
      <c r="DF85" s="702">
        <f>IF($T85&gt;0,(($AA85)/(12)),0)</f>
        <v/>
      </c>
      <c r="DG85" s="765">
        <f>SUM(CU85:DF85)</f>
        <v/>
      </c>
    </row>
    <row r="86" ht="15" customHeight="1" s="1883">
      <c r="B86" s="752">
        <f>((B85)+(1))</f>
        <v/>
      </c>
      <c r="C86" s="726" t="n"/>
      <c r="D86" s="730" t="inlineStr">
        <is>
          <t>●</t>
        </is>
      </c>
      <c r="E86" s="737" t="inlineStr">
        <is>
          <t>Pierre Salvador</t>
        </is>
      </c>
      <c r="F86" s="737" t="n"/>
      <c r="G86" s="737" t="n"/>
      <c r="H86" s="737" t="n"/>
      <c r="I86" s="737" t="inlineStr">
        <is>
          <t xml:space="preserve">Director, Operations </t>
        </is>
      </c>
      <c r="J86" s="746" t="inlineStr">
        <is>
          <t>OCONUS</t>
        </is>
      </c>
      <c r="K86" s="737" t="n"/>
      <c r="L86" s="738" t="inlineStr">
        <is>
          <t>2</t>
        </is>
      </c>
      <c r="M86" s="738" t="n">
        <v>2</v>
      </c>
      <c r="N86" s="738" t="n"/>
      <c r="O86" s="754" t="n">
        <v>0</v>
      </c>
      <c r="P86" s="755" t="n">
        <v>1</v>
      </c>
      <c r="Q86" s="755" t="n">
        <v>1</v>
      </c>
      <c r="R86" s="755" t="n">
        <v>1</v>
      </c>
      <c r="S86" s="755" t="n">
        <v>1</v>
      </c>
      <c r="T86" s="755" t="n">
        <v>1</v>
      </c>
      <c r="U86" s="737" t="n"/>
      <c r="V86" s="703" t="n">
        <v>90000</v>
      </c>
      <c r="W86" s="700">
        <f>(V86)</f>
        <v/>
      </c>
      <c r="X86" s="700">
        <f>((W86)*((1)+($X$63)))</f>
        <v/>
      </c>
      <c r="Y86" s="700">
        <f>((X86)*((1)+($Y$63)))</f>
        <v/>
      </c>
      <c r="Z86" s="700">
        <f>((Y86)*((1)+($Z$63)))</f>
        <v/>
      </c>
      <c r="AA86" s="700">
        <f>((Z86)*((1)+($AA$63)))</f>
        <v/>
      </c>
      <c r="AB86" s="726" t="n"/>
      <c r="AC86" s="702" t="n">
        <v>0</v>
      </c>
      <c r="AD86" s="702" t="n">
        <v>0</v>
      </c>
      <c r="AE86" s="702" t="n">
        <v>0</v>
      </c>
      <c r="AF86" s="702" t="n">
        <v>0</v>
      </c>
      <c r="AG86" s="702" t="n">
        <v>0</v>
      </c>
      <c r="AH86" s="702" t="n">
        <v>0</v>
      </c>
      <c r="AI86" s="702" t="n">
        <v>0</v>
      </c>
      <c r="AJ86" s="702" t="n">
        <v>0</v>
      </c>
      <c r="AK86" s="702" t="n">
        <v>0</v>
      </c>
      <c r="AL86" s="702" t="n">
        <v>0</v>
      </c>
      <c r="AM86" s="702" t="n">
        <v>0</v>
      </c>
      <c r="AN86" s="702" t="n">
        <v>0</v>
      </c>
      <c r="AO86" s="765">
        <f>SUM(AC86:AN86)</f>
        <v/>
      </c>
      <c r="AP86" s="462" t="n"/>
      <c r="AQ86" s="702" t="n">
        <v>0</v>
      </c>
      <c r="AR86" s="702">
        <f>IF($P86&gt;0,(($W86)/(12)),0)</f>
        <v/>
      </c>
      <c r="AS86" s="702">
        <f>IF($P86&gt;0,(($W86)/(12)),0)</f>
        <v/>
      </c>
      <c r="AT86" s="702">
        <f>IF($P86&gt;0,(($W86)/(12)),0)</f>
        <v/>
      </c>
      <c r="AU86" s="702">
        <f>IF($P86&gt;0,(($W86)/(12)),0)</f>
        <v/>
      </c>
      <c r="AV86" s="702">
        <f>IF($P86&gt;0,(($W86)/(12)),0)</f>
        <v/>
      </c>
      <c r="AW86" s="702">
        <f>IF($P86&gt;0,(($W86)/(12)),0)</f>
        <v/>
      </c>
      <c r="AX86" s="702">
        <f>IF($P86&gt;0,(($W86)/(12)),0)</f>
        <v/>
      </c>
      <c r="AY86" s="702">
        <f>IF($P86&gt;0,(($W86)/(12)),0)</f>
        <v/>
      </c>
      <c r="AZ86" s="702">
        <f>IF($P86&gt;0,(($W86)/(12)),0)</f>
        <v/>
      </c>
      <c r="BA86" s="702">
        <f>IF($P86&gt;0,(($W86)/(12)),0)</f>
        <v/>
      </c>
      <c r="BB86" s="702">
        <f>IF($P86&gt;0,(($W86)/(12)),0)</f>
        <v/>
      </c>
      <c r="BC86" s="765">
        <f>SUM(AQ86:BB86)</f>
        <v/>
      </c>
      <c r="BD86" s="462" t="n"/>
      <c r="BE86" s="702">
        <f>IF($Q86&gt;0,(($X86)/(12)),0)</f>
        <v/>
      </c>
      <c r="BF86" s="702">
        <f>IF($Q86&gt;0,(($X86)/(12)),0)</f>
        <v/>
      </c>
      <c r="BG86" s="702">
        <f>IF($Q86&gt;0,(($X86)/(12)),0)</f>
        <v/>
      </c>
      <c r="BH86" s="702">
        <f>IF($Q86&gt;0,(($X86)/(12)),0)</f>
        <v/>
      </c>
      <c r="BI86" s="702">
        <f>IF($Q86&gt;0,(($X86)/(12)),0)</f>
        <v/>
      </c>
      <c r="BJ86" s="702">
        <f>IF($Q86&gt;0,(($X86)/(12)),0)</f>
        <v/>
      </c>
      <c r="BK86" s="702">
        <f>IF($Q86&gt;0,(($X86)/(12)),0)</f>
        <v/>
      </c>
      <c r="BL86" s="702">
        <f>IF($Q86&gt;0,(($X86)/(12)),0)</f>
        <v/>
      </c>
      <c r="BM86" s="702">
        <f>IF($Q86&gt;0,(($X86)/(12)),0)</f>
        <v/>
      </c>
      <c r="BN86" s="702">
        <f>IF($Q86&gt;0,(($X86)/(12)),0)</f>
        <v/>
      </c>
      <c r="BO86" s="702">
        <f>IF($Q86&gt;0,(($X86)/(12)),0)</f>
        <v/>
      </c>
      <c r="BP86" s="702">
        <f>IF($Q86&gt;0,(($X86)/(12)),0)</f>
        <v/>
      </c>
      <c r="BQ86" s="765">
        <f>SUM(BE86:BP86)</f>
        <v/>
      </c>
      <c r="BR86" s="507" t="n"/>
      <c r="BS86" s="702">
        <f>IF($R86&gt;0,(($Y86)/(12)),0)</f>
        <v/>
      </c>
      <c r="BT86" s="702">
        <f>IF($R86&gt;0,(($Y86)/(12)),0)</f>
        <v/>
      </c>
      <c r="BU86" s="702">
        <f>IF($R86&gt;0,(($Y86)/(12)),0)</f>
        <v/>
      </c>
      <c r="BV86" s="702">
        <f>IF($R86&gt;0,(($Y86)/(12)),0)</f>
        <v/>
      </c>
      <c r="BW86" s="702">
        <f>IF($R86&gt;0,(($Y86)/(12)),0)</f>
        <v/>
      </c>
      <c r="BX86" s="702">
        <f>IF($R86&gt;0,(($Y86)/(12)),0)</f>
        <v/>
      </c>
      <c r="BY86" s="702">
        <f>IF($R86&gt;0,(($Y86)/(12)),0)</f>
        <v/>
      </c>
      <c r="BZ86" s="702">
        <f>IF($R86&gt;0,(($Y86)/(12)),0)</f>
        <v/>
      </c>
      <c r="CA86" s="702">
        <f>IF($R86&gt;0,(($Y86)/(12)),0)</f>
        <v/>
      </c>
      <c r="CB86" s="702">
        <f>IF($R86&gt;0,(($Y86)/(12)),0)</f>
        <v/>
      </c>
      <c r="CC86" s="702">
        <f>IF($R86&gt;0,(($Y86)/(12)),0)</f>
        <v/>
      </c>
      <c r="CD86" s="702">
        <f>IF($R86&gt;0,(($Y86)/(12)),0)</f>
        <v/>
      </c>
      <c r="CE86" s="765">
        <f>SUM(BS86:CD86)</f>
        <v/>
      </c>
      <c r="CF86" s="507" t="n"/>
      <c r="CG86" s="702">
        <f>IF($S86&gt;0,(($Z86)/(12)),0)</f>
        <v/>
      </c>
      <c r="CH86" s="702">
        <f>IF($S86&gt;0,(($Z86)/(12)),0)</f>
        <v/>
      </c>
      <c r="CI86" s="702">
        <f>IF($S86&gt;0,(($Z86)/(12)),0)</f>
        <v/>
      </c>
      <c r="CJ86" s="702">
        <f>IF($S86&gt;0,(($Z86)/(12)),0)</f>
        <v/>
      </c>
      <c r="CK86" s="702">
        <f>IF($S86&gt;0,(($Z86)/(12)),0)</f>
        <v/>
      </c>
      <c r="CL86" s="702">
        <f>IF($S86&gt;0,(($Z86)/(12)),0)</f>
        <v/>
      </c>
      <c r="CM86" s="702">
        <f>IF($S86&gt;0,(($Z86)/(12)),0)</f>
        <v/>
      </c>
      <c r="CN86" s="702">
        <f>IF($S86&gt;0,(($Z86)/(12)),0)</f>
        <v/>
      </c>
      <c r="CO86" s="702">
        <f>IF($S86&gt;0,(($Z86)/(12)),0)</f>
        <v/>
      </c>
      <c r="CP86" s="702">
        <f>IF($S86&gt;0,(($Z86)/(12)),0)</f>
        <v/>
      </c>
      <c r="CQ86" s="702">
        <f>IF($S86&gt;0,(($Z86)/(12)),0)</f>
        <v/>
      </c>
      <c r="CR86" s="702">
        <f>IF($S86&gt;0,(($Z86)/(12)),0)</f>
        <v/>
      </c>
      <c r="CS86" s="765">
        <f>SUM(CG86:CR86)</f>
        <v/>
      </c>
      <c r="CU86" s="702">
        <f>IF($T86&gt;0,(($AA86)/(12)),0)</f>
        <v/>
      </c>
      <c r="CV86" s="702">
        <f>IF($T86&gt;0,(($AA86)/(12)),0)</f>
        <v/>
      </c>
      <c r="CW86" s="702">
        <f>IF($T86&gt;0,(($AA86)/(12)),0)</f>
        <v/>
      </c>
      <c r="CX86" s="702">
        <f>IF($T86&gt;0,(($AA86)/(12)),0)</f>
        <v/>
      </c>
      <c r="CY86" s="702">
        <f>IF($T86&gt;0,(($AA86)/(12)),0)</f>
        <v/>
      </c>
      <c r="CZ86" s="702">
        <f>IF($T86&gt;0,(($AA86)/(12)),0)</f>
        <v/>
      </c>
      <c r="DA86" s="702">
        <f>IF($T86&gt;0,(($AA86)/(12)),0)</f>
        <v/>
      </c>
      <c r="DB86" s="702">
        <f>IF($T86&gt;0,(($AA86)/(12)),0)</f>
        <v/>
      </c>
      <c r="DC86" s="702">
        <f>IF($T86&gt;0,(($AA86)/(12)),0)</f>
        <v/>
      </c>
      <c r="DD86" s="702">
        <f>IF($T86&gt;0,(($AA86)/(12)),0)</f>
        <v/>
      </c>
      <c r="DE86" s="702">
        <f>IF($T86&gt;0,(($AA86)/(12)),0)</f>
        <v/>
      </c>
      <c r="DF86" s="702">
        <f>IF($T86&gt;0,(($AA86)/(12)),0)</f>
        <v/>
      </c>
      <c r="DG86" s="765">
        <f>SUM(CU86:DF86)</f>
        <v/>
      </c>
    </row>
    <row r="87" ht="15" customHeight="1" s="1883">
      <c r="B87" s="752">
        <f>((B86)+(1))</f>
        <v/>
      </c>
      <c r="C87" s="726" t="n"/>
      <c r="D87" s="730" t="inlineStr">
        <is>
          <t>●</t>
        </is>
      </c>
      <c r="E87" s="736" t="inlineStr">
        <is>
          <t xml:space="preserve">TBD </t>
        </is>
      </c>
      <c r="F87" s="737" t="n"/>
      <c r="G87" s="737" t="n"/>
      <c r="H87" s="737" t="n"/>
      <c r="I87" s="736" t="inlineStr">
        <is>
          <t>Director, Sales</t>
        </is>
      </c>
      <c r="J87" s="745" t="inlineStr">
        <is>
          <t>CONUS</t>
        </is>
      </c>
      <c r="K87" s="737" t="n"/>
      <c r="L87" s="753" t="n">
        <v>25</v>
      </c>
      <c r="M87" s="753" t="n">
        <v>25</v>
      </c>
      <c r="N87" s="739" t="n"/>
      <c r="O87" s="754" t="n">
        <v>0</v>
      </c>
      <c r="P87" s="755" t="n">
        <v>0</v>
      </c>
      <c r="Q87" s="755" t="n">
        <v>0</v>
      </c>
      <c r="R87" s="755" t="n">
        <v>0</v>
      </c>
      <c r="S87" s="755" t="n">
        <v>0</v>
      </c>
      <c r="T87" s="755" t="n">
        <v>0</v>
      </c>
      <c r="U87" s="737" t="n"/>
      <c r="V87" s="703" t="n">
        <v>0</v>
      </c>
      <c r="W87" s="700">
        <f>(V87)</f>
        <v/>
      </c>
      <c r="X87" s="700">
        <f>((W87)*((1)+($X$63)))</f>
        <v/>
      </c>
      <c r="Y87" s="700">
        <f>((X87)*((1)+($Y$63)))</f>
        <v/>
      </c>
      <c r="Z87" s="700">
        <f>((Y87)*((1)+($Z$63)))</f>
        <v/>
      </c>
      <c r="AA87" s="700">
        <f>((Z87)*((1)+($AA$63)))</f>
        <v/>
      </c>
      <c r="AB87" s="726" t="n"/>
      <c r="AC87" s="702">
        <f>(($V87)/(12))</f>
        <v/>
      </c>
      <c r="AD87" s="702">
        <f>(($V87)/(12))</f>
        <v/>
      </c>
      <c r="AE87" s="702">
        <f>(($V87)/(12))</f>
        <v/>
      </c>
      <c r="AF87" s="702">
        <f>(($V87)/(12))</f>
        <v/>
      </c>
      <c r="AG87" s="702">
        <f>(($V87)/(12))</f>
        <v/>
      </c>
      <c r="AH87" s="702">
        <f>(($V87)/(12))</f>
        <v/>
      </c>
      <c r="AI87" s="702">
        <f>(($V87)/(12))</f>
        <v/>
      </c>
      <c r="AJ87" s="702">
        <f>(($V87)/(12))</f>
        <v/>
      </c>
      <c r="AK87" s="702">
        <f>(($V87)/(12))</f>
        <v/>
      </c>
      <c r="AL87" s="702">
        <f>(($V87)/(12))</f>
        <v/>
      </c>
      <c r="AM87" s="702">
        <f>(($V87)/(12))</f>
        <v/>
      </c>
      <c r="AN87" s="702">
        <f>(($V87)/(12))</f>
        <v/>
      </c>
      <c r="AO87" s="765">
        <f>SUM(AC87:AN87)</f>
        <v/>
      </c>
      <c r="AP87" s="462" t="n"/>
      <c r="AQ87" s="702">
        <f>IF($P87&gt;0,(($W87)/(12)),0)</f>
        <v/>
      </c>
      <c r="AR87" s="702">
        <f>IF($P87&gt;0,(($W87)/(12)),0)</f>
        <v/>
      </c>
      <c r="AS87" s="702">
        <f>IF($P87&gt;0,(($W87)/(12)),0)</f>
        <v/>
      </c>
      <c r="AT87" s="702">
        <f>IF($P87&gt;0,(($W87)/(12)),0)</f>
        <v/>
      </c>
      <c r="AU87" s="702">
        <f>IF($P87&gt;0,(($W87)/(12)),0)</f>
        <v/>
      </c>
      <c r="AV87" s="702">
        <f>IF($P87&gt;0,(($W87)/(12)),0)</f>
        <v/>
      </c>
      <c r="AW87" s="702">
        <f>IF($P87&gt;0,(($W87)/(12)),0)</f>
        <v/>
      </c>
      <c r="AX87" s="702">
        <f>IF($P87&gt;0,(($W87)/(12)),0)</f>
        <v/>
      </c>
      <c r="AY87" s="702">
        <f>IF($P87&gt;0,(($W87)/(12)),0)</f>
        <v/>
      </c>
      <c r="AZ87" s="702">
        <f>IF($P87&gt;0,(($W87)/(12)),0)</f>
        <v/>
      </c>
      <c r="BA87" s="702">
        <f>IF($P87&gt;0,(($W87)/(12)),0)</f>
        <v/>
      </c>
      <c r="BB87" s="702">
        <f>IF($P87&gt;0,(($W87)/(12)),0)</f>
        <v/>
      </c>
      <c r="BC87" s="765">
        <f>SUM(AQ87:BB87)</f>
        <v/>
      </c>
      <c r="BD87" s="462" t="n"/>
      <c r="BE87" s="702">
        <f>IF($Q87&gt;0,(($X87)/(12)),0)</f>
        <v/>
      </c>
      <c r="BF87" s="702">
        <f>IF($Q87&gt;0,(($X87)/(12)),0)</f>
        <v/>
      </c>
      <c r="BG87" s="702">
        <f>IF($Q87&gt;0,(($X87)/(12)),0)</f>
        <v/>
      </c>
      <c r="BH87" s="702">
        <f>IF($Q87&gt;0,(($X87)/(12)),0)</f>
        <v/>
      </c>
      <c r="BI87" s="702">
        <f>IF($Q87&gt;0,(($X87)/(12)),0)</f>
        <v/>
      </c>
      <c r="BJ87" s="702">
        <f>IF($Q87&gt;0,(($X87)/(12)),0)</f>
        <v/>
      </c>
      <c r="BK87" s="702">
        <f>IF($Q87&gt;0,(($X87)/(12)),0)</f>
        <v/>
      </c>
      <c r="BL87" s="702">
        <f>IF($Q87&gt;0,(($X87)/(12)),0)</f>
        <v/>
      </c>
      <c r="BM87" s="702">
        <f>IF($Q87&gt;0,(($X87)/(12)),0)</f>
        <v/>
      </c>
      <c r="BN87" s="702">
        <f>IF($Q87&gt;0,(($X87)/(12)),0)</f>
        <v/>
      </c>
      <c r="BO87" s="702">
        <f>IF($Q87&gt;0,(($X87)/(12)),0)</f>
        <v/>
      </c>
      <c r="BP87" s="702">
        <f>IF($Q87&gt;0,(($X87)/(12)),0)</f>
        <v/>
      </c>
      <c r="BQ87" s="765">
        <f>SUM(BE87:BP87)</f>
        <v/>
      </c>
      <c r="BR87" s="507" t="n"/>
      <c r="BS87" s="702">
        <f>IF($R87&gt;0,(($Y87)/(12)),0)</f>
        <v/>
      </c>
      <c r="BT87" s="702">
        <f>IF($R87&gt;0,(($Y87)/(12)),0)</f>
        <v/>
      </c>
      <c r="BU87" s="702">
        <f>IF($R87&gt;0,(($Y87)/(12)),0)</f>
        <v/>
      </c>
      <c r="BV87" s="702">
        <f>IF($R87&gt;0,(($Y87)/(12)),0)</f>
        <v/>
      </c>
      <c r="BW87" s="702">
        <f>IF($R87&gt;0,(($Y87)/(12)),0)</f>
        <v/>
      </c>
      <c r="BX87" s="702">
        <f>IF($R87&gt;0,(($Y87)/(12)),0)</f>
        <v/>
      </c>
      <c r="BY87" s="702">
        <f>IF($R87&gt;0,(($Y87)/(12)),0)</f>
        <v/>
      </c>
      <c r="BZ87" s="702">
        <f>IF($R87&gt;0,(($Y87)/(12)),0)</f>
        <v/>
      </c>
      <c r="CA87" s="702">
        <f>IF($R87&gt;0,(($Y87)/(12)),0)</f>
        <v/>
      </c>
      <c r="CB87" s="702">
        <f>IF($R87&gt;0,(($Y87)/(12)),0)</f>
        <v/>
      </c>
      <c r="CC87" s="702">
        <f>IF($R87&gt;0,(($Y87)/(12)),0)</f>
        <v/>
      </c>
      <c r="CD87" s="702">
        <f>IF($R87&gt;0,(($Y87)/(12)),0)</f>
        <v/>
      </c>
      <c r="CE87" s="765">
        <f>SUM(BS87:CD87)</f>
        <v/>
      </c>
      <c r="CF87" s="507" t="n"/>
      <c r="CG87" s="702">
        <f>IF($S87&gt;0,(($Z87)/(12)),0)</f>
        <v/>
      </c>
      <c r="CH87" s="702">
        <f>IF($S87&gt;0,(($Z87)/(12)),0)</f>
        <v/>
      </c>
      <c r="CI87" s="702">
        <f>IF($S87&gt;0,(($Z87)/(12)),0)</f>
        <v/>
      </c>
      <c r="CJ87" s="702">
        <f>IF($S87&gt;0,(($Z87)/(12)),0)</f>
        <v/>
      </c>
      <c r="CK87" s="702">
        <f>IF($S87&gt;0,(($Z87)/(12)),0)</f>
        <v/>
      </c>
      <c r="CL87" s="702">
        <f>IF($S87&gt;0,(($Z87)/(12)),0)</f>
        <v/>
      </c>
      <c r="CM87" s="702">
        <f>IF($S87&gt;0,(($Z87)/(12)),0)</f>
        <v/>
      </c>
      <c r="CN87" s="702">
        <f>IF($S87&gt;0,(($Z87)/(12)),0)</f>
        <v/>
      </c>
      <c r="CO87" s="702">
        <f>IF($S87&gt;0,(($Z87)/(12)),0)</f>
        <v/>
      </c>
      <c r="CP87" s="702">
        <f>IF($S87&gt;0,(($Z87)/(12)),0)</f>
        <v/>
      </c>
      <c r="CQ87" s="702">
        <f>IF($S87&gt;0,(($Z87)/(12)),0)</f>
        <v/>
      </c>
      <c r="CR87" s="702">
        <f>IF($S87&gt;0,(($Z87)/(12)),0)</f>
        <v/>
      </c>
      <c r="CS87" s="765">
        <f>SUM(CG87:CR87)</f>
        <v/>
      </c>
      <c r="CU87" s="702">
        <f>IF($T87&gt;0,(($AA87)/(12)),0)</f>
        <v/>
      </c>
      <c r="CV87" s="702">
        <f>IF($T87&gt;0,(($AA87)/(12)),0)</f>
        <v/>
      </c>
      <c r="CW87" s="702">
        <f>IF($T87&gt;0,(($AA87)/(12)),0)</f>
        <v/>
      </c>
      <c r="CX87" s="702">
        <f>IF($T87&gt;0,(($AA87)/(12)),0)</f>
        <v/>
      </c>
      <c r="CY87" s="702">
        <f>IF($T87&gt;0,(($AA87)/(12)),0)</f>
        <v/>
      </c>
      <c r="CZ87" s="702">
        <f>IF($T87&gt;0,(($AA87)/(12)),0)</f>
        <v/>
      </c>
      <c r="DA87" s="702">
        <f>IF($T87&gt;0,(($AA87)/(12)),0)</f>
        <v/>
      </c>
      <c r="DB87" s="702">
        <f>IF($T87&gt;0,(($AA87)/(12)),0)</f>
        <v/>
      </c>
      <c r="DC87" s="702">
        <f>IF($T87&gt;0,(($AA87)/(12)),0)</f>
        <v/>
      </c>
      <c r="DD87" s="702">
        <f>IF($T87&gt;0,(($AA87)/(12)),0)</f>
        <v/>
      </c>
      <c r="DE87" s="702">
        <f>IF($T87&gt;0,(($AA87)/(12)),0)</f>
        <v/>
      </c>
      <c r="DF87" s="702">
        <f>IF($T87&gt;0,(($AA87)/(12)),0)</f>
        <v/>
      </c>
      <c r="DG87" s="765">
        <f>SUM(CU87:DF87)</f>
        <v/>
      </c>
    </row>
    <row r="88" ht="15" customHeight="1" s="1883">
      <c r="B88" s="752">
        <f>((B87)+(1))</f>
        <v/>
      </c>
      <c r="C88" s="726" t="n"/>
      <c r="D88" s="730" t="inlineStr">
        <is>
          <t>●</t>
        </is>
      </c>
      <c r="E88" s="736" t="inlineStr">
        <is>
          <t xml:space="preserve">TBD </t>
        </is>
      </c>
      <c r="F88" s="737" t="n"/>
      <c r="G88" s="737" t="n"/>
      <c r="H88" s="737" t="n"/>
      <c r="I88" s="736" t="inlineStr">
        <is>
          <t>Director, Commercial</t>
        </is>
      </c>
      <c r="J88" s="745" t="inlineStr">
        <is>
          <t>CONUS</t>
        </is>
      </c>
      <c r="K88" s="737" t="n"/>
      <c r="L88" s="753" t="n">
        <v>25</v>
      </c>
      <c r="M88" s="753" t="n">
        <v>25</v>
      </c>
      <c r="N88" s="738" t="n"/>
      <c r="O88" s="754" t="n">
        <v>0</v>
      </c>
      <c r="P88" s="755" t="n">
        <v>0</v>
      </c>
      <c r="Q88" s="755" t="n">
        <v>0</v>
      </c>
      <c r="R88" s="755" t="n">
        <v>0</v>
      </c>
      <c r="S88" s="755" t="n">
        <v>0</v>
      </c>
      <c r="T88" s="755" t="n">
        <v>0</v>
      </c>
      <c r="U88" s="737" t="n"/>
      <c r="V88" s="703" t="n">
        <v>0</v>
      </c>
      <c r="W88" s="703" t="n">
        <v>0</v>
      </c>
      <c r="X88" s="700">
        <f>((W88)*((1)+($X$63)))</f>
        <v/>
      </c>
      <c r="Y88" s="700">
        <f>((X88)*((1)+($Y$63)))</f>
        <v/>
      </c>
      <c r="Z88" s="700">
        <f>((Y88)*((1)+($Z$63)))</f>
        <v/>
      </c>
      <c r="AA88" s="700">
        <f>((Z88)*((1)+($AA$63)))</f>
        <v/>
      </c>
      <c r="AB88" s="726" t="n"/>
      <c r="AC88" s="702">
        <f>(($V88)/(12))</f>
        <v/>
      </c>
      <c r="AD88" s="702">
        <f>(($V88)/(12))</f>
        <v/>
      </c>
      <c r="AE88" s="702">
        <f>(($V88)/(12))</f>
        <v/>
      </c>
      <c r="AF88" s="702">
        <f>(($V88)/(12))</f>
        <v/>
      </c>
      <c r="AG88" s="702">
        <f>(($V88)/(12))</f>
        <v/>
      </c>
      <c r="AH88" s="702">
        <f>(($V88)/(12))</f>
        <v/>
      </c>
      <c r="AI88" s="702">
        <f>(($V88)/(12))</f>
        <v/>
      </c>
      <c r="AJ88" s="702">
        <f>(($V88)/(12))</f>
        <v/>
      </c>
      <c r="AK88" s="702">
        <f>(($V88)/(12))</f>
        <v/>
      </c>
      <c r="AL88" s="702">
        <f>(($V88)/(12))</f>
        <v/>
      </c>
      <c r="AM88" s="702">
        <f>(($V88)/(12))</f>
        <v/>
      </c>
      <c r="AN88" s="702">
        <f>(($V88)/(12))</f>
        <v/>
      </c>
      <c r="AO88" s="765">
        <f>SUM(AC88:AN88)</f>
        <v/>
      </c>
      <c r="AP88" s="462" t="n"/>
      <c r="AQ88" s="702">
        <f>IF($P88&gt;0,(($W88)/(12)),0)</f>
        <v/>
      </c>
      <c r="AR88" s="702">
        <f>IF($P88&gt;0,(($W88)/(12)),0)</f>
        <v/>
      </c>
      <c r="AS88" s="702">
        <f>IF($P88&gt;0,(($W88)/(12)),0)</f>
        <v/>
      </c>
      <c r="AT88" s="702">
        <f>IF($P88&gt;0,(($W88)/(12)),0)</f>
        <v/>
      </c>
      <c r="AU88" s="702">
        <f>IF($P88&gt;0,(($W88)/(12)),0)</f>
        <v/>
      </c>
      <c r="AV88" s="702">
        <f>IF($P88&gt;0,(($W88)/(12)),0)</f>
        <v/>
      </c>
      <c r="AW88" s="702">
        <f>IF($P88&gt;0,(($W88)/(12)),0)</f>
        <v/>
      </c>
      <c r="AX88" s="702">
        <f>IF($P88&gt;0,(($W88)/(12)),0)</f>
        <v/>
      </c>
      <c r="AY88" s="702">
        <f>IF($P88&gt;0,(($W88)/(12)),0)</f>
        <v/>
      </c>
      <c r="AZ88" s="702">
        <f>IF($P88&gt;0,(($W88)/(12)),0)</f>
        <v/>
      </c>
      <c r="BA88" s="702">
        <f>IF($P88&gt;0,(($W88)/(12)),0)</f>
        <v/>
      </c>
      <c r="BB88" s="702">
        <f>IF($P88&gt;0,(($W88)/(12)),0)</f>
        <v/>
      </c>
      <c r="BC88" s="765">
        <f>SUM(AQ88:BB88)</f>
        <v/>
      </c>
      <c r="BD88" s="462" t="n"/>
      <c r="BE88" s="702" t="n">
        <v>0</v>
      </c>
      <c r="BF88" s="702" t="n">
        <v>0</v>
      </c>
      <c r="BG88" s="702" t="n">
        <v>0</v>
      </c>
      <c r="BH88" s="702" t="n">
        <v>0</v>
      </c>
      <c r="BI88" s="702" t="n">
        <v>0</v>
      </c>
      <c r="BJ88" s="702" t="n">
        <v>0</v>
      </c>
      <c r="BK88" s="702" t="n">
        <v>0</v>
      </c>
      <c r="BL88" s="702" t="n">
        <v>0</v>
      </c>
      <c r="BM88" s="702" t="n">
        <v>0</v>
      </c>
      <c r="BN88" s="702" t="n">
        <v>0</v>
      </c>
      <c r="BO88" s="702" t="n">
        <v>0</v>
      </c>
      <c r="BP88" s="702" t="n">
        <v>0</v>
      </c>
      <c r="BQ88" s="765">
        <f>SUM(BE88:BP88)</f>
        <v/>
      </c>
      <c r="BR88" s="507" t="n"/>
      <c r="BS88" s="702">
        <f>IF($R88&gt;0,(($Y88)/(12)),0)</f>
        <v/>
      </c>
      <c r="BT88" s="702">
        <f>IF($R88&gt;0,(($Y88)/(12)),0)</f>
        <v/>
      </c>
      <c r="BU88" s="702">
        <f>IF($R88&gt;0,(($Y88)/(12)),0)</f>
        <v/>
      </c>
      <c r="BV88" s="702">
        <f>IF($R88&gt;0,(($Y88)/(12)),0)</f>
        <v/>
      </c>
      <c r="BW88" s="702">
        <f>IF($R88&gt;0,(($Y88)/(12)),0)</f>
        <v/>
      </c>
      <c r="BX88" s="702">
        <f>IF($R88&gt;0,(($Y88)/(12)),0)</f>
        <v/>
      </c>
      <c r="BY88" s="702">
        <f>IF($R88&gt;0,(($Y88)/(12)),0)</f>
        <v/>
      </c>
      <c r="BZ88" s="702">
        <f>IF($R88&gt;0,(($Y88)/(12)),0)</f>
        <v/>
      </c>
      <c r="CA88" s="702">
        <f>IF($R88&gt;0,(($Y88)/(12)),0)</f>
        <v/>
      </c>
      <c r="CB88" s="702">
        <f>IF($R88&gt;0,(($Y88)/(12)),0)</f>
        <v/>
      </c>
      <c r="CC88" s="702">
        <f>IF($R88&gt;0,(($Y88)/(12)),0)</f>
        <v/>
      </c>
      <c r="CD88" s="702">
        <f>IF($R88&gt;0,(($Y88)/(12)),0)</f>
        <v/>
      </c>
      <c r="CE88" s="765">
        <f>SUM(BS88:CD88)</f>
        <v/>
      </c>
      <c r="CF88" s="507" t="n"/>
      <c r="CG88" s="702">
        <f>IF($S88&gt;0,(($Z88)/(12)),0)</f>
        <v/>
      </c>
      <c r="CH88" s="702">
        <f>IF($S88&gt;0,(($Z88)/(12)),0)</f>
        <v/>
      </c>
      <c r="CI88" s="702">
        <f>IF($S88&gt;0,(($Z88)/(12)),0)</f>
        <v/>
      </c>
      <c r="CJ88" s="702">
        <f>IF($S88&gt;0,(($Z88)/(12)),0)</f>
        <v/>
      </c>
      <c r="CK88" s="702">
        <f>IF($S88&gt;0,(($Z88)/(12)),0)</f>
        <v/>
      </c>
      <c r="CL88" s="702">
        <f>IF($S88&gt;0,(($Z88)/(12)),0)</f>
        <v/>
      </c>
      <c r="CM88" s="702">
        <f>IF($S88&gt;0,(($Z88)/(12)),0)</f>
        <v/>
      </c>
      <c r="CN88" s="702">
        <f>IF($S88&gt;0,(($Z88)/(12)),0)</f>
        <v/>
      </c>
      <c r="CO88" s="702">
        <f>IF($S88&gt;0,(($Z88)/(12)),0)</f>
        <v/>
      </c>
      <c r="CP88" s="702">
        <f>IF($S88&gt;0,(($Z88)/(12)),0)</f>
        <v/>
      </c>
      <c r="CQ88" s="702">
        <f>IF($S88&gt;0,(($Z88)/(12)),0)</f>
        <v/>
      </c>
      <c r="CR88" s="702">
        <f>IF($S88&gt;0,(($Z88)/(12)),0)</f>
        <v/>
      </c>
      <c r="CS88" s="765">
        <f>SUM(CG88:CR88)</f>
        <v/>
      </c>
      <c r="CU88" s="702">
        <f>IF($T88&gt;0,(($AA88)/(12)),0)</f>
        <v/>
      </c>
      <c r="CV88" s="702">
        <f>IF($T88&gt;0,(($AA88)/(12)),0)</f>
        <v/>
      </c>
      <c r="CW88" s="702">
        <f>IF($T88&gt;0,(($AA88)/(12)),0)</f>
        <v/>
      </c>
      <c r="CX88" s="702">
        <f>IF($T88&gt;0,(($AA88)/(12)),0)</f>
        <v/>
      </c>
      <c r="CY88" s="702">
        <f>IF($T88&gt;0,(($AA88)/(12)),0)</f>
        <v/>
      </c>
      <c r="CZ88" s="702">
        <f>IF($T88&gt;0,(($AA88)/(12)),0)</f>
        <v/>
      </c>
      <c r="DA88" s="702">
        <f>IF($T88&gt;0,(($AA88)/(12)),0)</f>
        <v/>
      </c>
      <c r="DB88" s="702">
        <f>IF($T88&gt;0,(($AA88)/(12)),0)</f>
        <v/>
      </c>
      <c r="DC88" s="702">
        <f>IF($T88&gt;0,(($AA88)/(12)),0)</f>
        <v/>
      </c>
      <c r="DD88" s="702">
        <f>IF($T88&gt;0,(($AA88)/(12)),0)</f>
        <v/>
      </c>
      <c r="DE88" s="702">
        <f>IF($T88&gt;0,(($AA88)/(12)),0)</f>
        <v/>
      </c>
      <c r="DF88" s="702">
        <f>IF($T88&gt;0,(($AA88)/(12)),0)</f>
        <v/>
      </c>
      <c r="DG88" s="765">
        <f>SUM(CU88:DF88)</f>
        <v/>
      </c>
    </row>
    <row r="89" ht="15" customHeight="1" s="1883">
      <c r="B89" s="752">
        <f>((B88)+(1))</f>
        <v/>
      </c>
      <c r="C89" s="726" t="n"/>
      <c r="D89" s="730" t="inlineStr">
        <is>
          <t>●</t>
        </is>
      </c>
      <c r="E89" s="736" t="inlineStr">
        <is>
          <t>TBD</t>
        </is>
      </c>
      <c r="F89" s="737" t="n"/>
      <c r="G89" s="737" t="n"/>
      <c r="H89" s="737" t="n"/>
      <c r="I89" s="832" t="inlineStr">
        <is>
          <t>Director, Marketing &amp; Communications</t>
        </is>
      </c>
      <c r="J89" s="745" t="inlineStr">
        <is>
          <t>CONUS</t>
        </is>
      </c>
      <c r="K89" s="737" t="n"/>
      <c r="L89" s="753" t="n">
        <v>25</v>
      </c>
      <c r="M89" s="753" t="n">
        <v>25</v>
      </c>
      <c r="N89" s="738" t="n"/>
      <c r="O89" s="754" t="n">
        <v>0</v>
      </c>
      <c r="P89" s="755" t="n">
        <v>0</v>
      </c>
      <c r="Q89" s="755" t="n">
        <v>0</v>
      </c>
      <c r="R89" s="755" t="n">
        <v>0</v>
      </c>
      <c r="S89" s="755" t="n">
        <v>0</v>
      </c>
      <c r="T89" s="755" t="n">
        <v>0</v>
      </c>
      <c r="U89" s="737" t="n"/>
      <c r="V89" s="703" t="n"/>
      <c r="W89" s="918" t="n">
        <v>0</v>
      </c>
      <c r="X89" s="700">
        <f>((W89)*((1)+($X$63)))</f>
        <v/>
      </c>
      <c r="Y89" s="700">
        <f>((X89)*((1)+($Y$63)))</f>
        <v/>
      </c>
      <c r="Z89" s="700">
        <f>((Y89)*((1)+($Z$63)))</f>
        <v/>
      </c>
      <c r="AA89" s="700">
        <f>((Z89)*((1)+($AA$63)))</f>
        <v/>
      </c>
      <c r="AB89" s="726" t="n"/>
      <c r="AC89" s="702">
        <f>(($V89)/(12))</f>
        <v/>
      </c>
      <c r="AD89" s="702">
        <f>(($V89)/(12))</f>
        <v/>
      </c>
      <c r="AE89" s="702">
        <f>(($V89)/(12))</f>
        <v/>
      </c>
      <c r="AF89" s="702">
        <f>(($V89)/(12))</f>
        <v/>
      </c>
      <c r="AG89" s="702">
        <f>(($V89)/(12))</f>
        <v/>
      </c>
      <c r="AH89" s="702">
        <f>(($V89)/(12))</f>
        <v/>
      </c>
      <c r="AI89" s="702">
        <f>(($V89)/(12))</f>
        <v/>
      </c>
      <c r="AJ89" s="702">
        <f>(($V89)/(12))</f>
        <v/>
      </c>
      <c r="AK89" s="702">
        <f>(($V89)/(12))</f>
        <v/>
      </c>
      <c r="AL89" s="702">
        <f>(($V89)/(12))</f>
        <v/>
      </c>
      <c r="AM89" s="702">
        <f>(($V89)/(12))</f>
        <v/>
      </c>
      <c r="AN89" s="702">
        <f>(($V89)/(12))</f>
        <v/>
      </c>
      <c r="AO89" s="765">
        <f>SUM(AC89:AN89)</f>
        <v/>
      </c>
      <c r="AP89" s="462" t="n"/>
      <c r="AQ89" s="702">
        <f>IF($P89&gt;0,(($W89)/(12)),0)</f>
        <v/>
      </c>
      <c r="AR89" s="702">
        <f>IF($P89&gt;0,(($W89)/(12)),0)</f>
        <v/>
      </c>
      <c r="AS89" s="702">
        <f>IF($P89&gt;0,(($W89)/(12)),0)</f>
        <v/>
      </c>
      <c r="AT89" s="702">
        <f>IF($P89&gt;0,(($W89)/(12)),0)</f>
        <v/>
      </c>
      <c r="AU89" s="702">
        <f>IF($P89&gt;0,(($W89)/(12)),0)</f>
        <v/>
      </c>
      <c r="AV89" s="702">
        <f>IF($P89&gt;0,(($W89)/(12)),0)</f>
        <v/>
      </c>
      <c r="AW89" s="702">
        <f>IF($P89&gt;0,(($W89)/(12)),0)</f>
        <v/>
      </c>
      <c r="AX89" s="702">
        <f>IF($P89&gt;0,(($W89)/(12)),0)</f>
        <v/>
      </c>
      <c r="AY89" s="702">
        <f>IF($P89&gt;0,(($W89)/(12)),0)</f>
        <v/>
      </c>
      <c r="AZ89" s="702">
        <f>IF($P89&gt;0,(($W89)/(12)),0)</f>
        <v/>
      </c>
      <c r="BA89" s="702">
        <f>IF($P89&gt;0,(($W89)/(12)),0)</f>
        <v/>
      </c>
      <c r="BB89" s="702">
        <f>IF($P89&gt;0,(($W89)/(12)),0)</f>
        <v/>
      </c>
      <c r="BC89" s="765">
        <f>SUM(AQ89:BB89)</f>
        <v/>
      </c>
      <c r="BD89" s="462" t="n"/>
      <c r="BE89" s="702" t="n">
        <v>0</v>
      </c>
      <c r="BF89" s="702" t="n">
        <v>0</v>
      </c>
      <c r="BG89" s="702" t="n">
        <v>0</v>
      </c>
      <c r="BH89" s="702" t="n">
        <v>0</v>
      </c>
      <c r="BI89" s="702" t="n">
        <v>0</v>
      </c>
      <c r="BJ89" s="702" t="n">
        <v>0</v>
      </c>
      <c r="BK89" s="702" t="n">
        <v>0</v>
      </c>
      <c r="BL89" s="702" t="n">
        <v>0</v>
      </c>
      <c r="BM89" s="702" t="n">
        <v>0</v>
      </c>
      <c r="BN89" s="702" t="n">
        <v>0</v>
      </c>
      <c r="BO89" s="702" t="n">
        <v>0</v>
      </c>
      <c r="BP89" s="702" t="n">
        <v>0</v>
      </c>
      <c r="BQ89" s="765">
        <f>SUM(BE89:BP89)</f>
        <v/>
      </c>
      <c r="BR89" s="507" t="n"/>
      <c r="BS89" s="702">
        <f>IF($R89&gt;0,(($Y89)/(12)),0)</f>
        <v/>
      </c>
      <c r="BT89" s="702">
        <f>IF($R89&gt;0,(($Y89)/(12)),0)</f>
        <v/>
      </c>
      <c r="BU89" s="702">
        <f>IF($R89&gt;0,(($Y89)/(12)),0)</f>
        <v/>
      </c>
      <c r="BV89" s="702">
        <f>IF($R89&gt;0,(($Y89)/(12)),0)</f>
        <v/>
      </c>
      <c r="BW89" s="702">
        <f>IF($R89&gt;0,(($Y89)/(12)),0)</f>
        <v/>
      </c>
      <c r="BX89" s="702">
        <f>IF($R89&gt;0,(($Y89)/(12)),0)</f>
        <v/>
      </c>
      <c r="BY89" s="702">
        <f>IF($R89&gt;0,(($Y89)/(12)),0)</f>
        <v/>
      </c>
      <c r="BZ89" s="702">
        <f>IF($R89&gt;0,(($Y89)/(12)),0)</f>
        <v/>
      </c>
      <c r="CA89" s="702">
        <f>IF($R89&gt;0,(($Y89)/(12)),0)</f>
        <v/>
      </c>
      <c r="CB89" s="702">
        <f>IF($R89&gt;0,(($Y89)/(12)),0)</f>
        <v/>
      </c>
      <c r="CC89" s="702">
        <f>IF($R89&gt;0,(($Y89)/(12)),0)</f>
        <v/>
      </c>
      <c r="CD89" s="702">
        <f>IF($R89&gt;0,(($Y89)/(12)),0)</f>
        <v/>
      </c>
      <c r="CE89" s="765">
        <f>SUM(BS89:CD89)</f>
        <v/>
      </c>
      <c r="CF89" s="507" t="n"/>
      <c r="CG89" s="702">
        <f>IF($S89&gt;0,(($Z89)/(12)),0)</f>
        <v/>
      </c>
      <c r="CH89" s="702">
        <f>IF($S89&gt;0,(($Z89)/(12)),0)</f>
        <v/>
      </c>
      <c r="CI89" s="702">
        <f>IF($S89&gt;0,(($Z89)/(12)),0)</f>
        <v/>
      </c>
      <c r="CJ89" s="702">
        <f>IF($S89&gt;0,(($Z89)/(12)),0)</f>
        <v/>
      </c>
      <c r="CK89" s="702">
        <f>IF($S89&gt;0,(($Z89)/(12)),0)</f>
        <v/>
      </c>
      <c r="CL89" s="702">
        <f>IF($S89&gt;0,(($Z89)/(12)),0)</f>
        <v/>
      </c>
      <c r="CM89" s="702">
        <f>IF($S89&gt;0,(($Z89)/(12)),0)</f>
        <v/>
      </c>
      <c r="CN89" s="702">
        <f>IF($S89&gt;0,(($Z89)/(12)),0)</f>
        <v/>
      </c>
      <c r="CO89" s="702">
        <f>IF($S89&gt;0,(($Z89)/(12)),0)</f>
        <v/>
      </c>
      <c r="CP89" s="702">
        <f>IF($S89&gt;0,(($Z89)/(12)),0)</f>
        <v/>
      </c>
      <c r="CQ89" s="702">
        <f>IF($S89&gt;0,(($Z89)/(12)),0)</f>
        <v/>
      </c>
      <c r="CR89" s="702">
        <f>IF($S89&gt;0,(($Z89)/(12)),0)</f>
        <v/>
      </c>
      <c r="CS89" s="765">
        <f>SUM(CG89:CR89)</f>
        <v/>
      </c>
      <c r="CU89" s="702">
        <f>IF($T89&gt;0,(($AA89)/(12)),0)</f>
        <v/>
      </c>
      <c r="CV89" s="702">
        <f>IF($T89&gt;0,(($AA89)/(12)),0)</f>
        <v/>
      </c>
      <c r="CW89" s="702">
        <f>IF($T89&gt;0,(($AA89)/(12)),0)</f>
        <v/>
      </c>
      <c r="CX89" s="702">
        <f>IF($T89&gt;0,(($AA89)/(12)),0)</f>
        <v/>
      </c>
      <c r="CY89" s="702">
        <f>IF($T89&gt;0,(($AA89)/(12)),0)</f>
        <v/>
      </c>
      <c r="CZ89" s="702">
        <f>IF($T89&gt;0,(($AA89)/(12)),0)</f>
        <v/>
      </c>
      <c r="DA89" s="702">
        <f>IF($T89&gt;0,(($AA89)/(12)),0)</f>
        <v/>
      </c>
      <c r="DB89" s="702">
        <f>IF($T89&gt;0,(($AA89)/(12)),0)</f>
        <v/>
      </c>
      <c r="DC89" s="702">
        <f>IF($T89&gt;0,(($AA89)/(12)),0)</f>
        <v/>
      </c>
      <c r="DD89" s="702">
        <f>IF($T89&gt;0,(($AA89)/(12)),0)</f>
        <v/>
      </c>
      <c r="DE89" s="702">
        <f>IF($T89&gt;0,(($AA89)/(12)),0)</f>
        <v/>
      </c>
      <c r="DF89" s="702">
        <f>IF($T89&gt;0,(($AA89)/(12)),0)</f>
        <v/>
      </c>
      <c r="DG89" s="765">
        <f>SUM(CU89:DF89)</f>
        <v/>
      </c>
    </row>
    <row r="90" ht="15" customFormat="1" customHeight="1" s="923">
      <c r="B90" s="752">
        <f>((B89)+(1))</f>
        <v/>
      </c>
      <c r="C90" s="804" t="n"/>
      <c r="D90" s="915" t="inlineStr">
        <is>
          <t>●</t>
        </is>
      </c>
      <c r="E90" s="736" t="inlineStr">
        <is>
          <t xml:space="preserve">TBD </t>
        </is>
      </c>
      <c r="F90" s="804" t="n"/>
      <c r="G90" s="804" t="n"/>
      <c r="H90" s="804" t="n"/>
      <c r="I90" s="916" t="inlineStr">
        <is>
          <t>Director, Project Management Office</t>
        </is>
      </c>
      <c r="J90" s="917" t="inlineStr">
        <is>
          <t>CONUS</t>
        </is>
      </c>
      <c r="K90" s="804" t="n"/>
      <c r="L90" s="753" t="n">
        <v>25</v>
      </c>
      <c r="M90" s="753" t="n">
        <v>25</v>
      </c>
      <c r="N90" s="744" t="n"/>
      <c r="O90" s="754" t="n">
        <v>0</v>
      </c>
      <c r="P90" s="754" t="n">
        <v>0</v>
      </c>
      <c r="Q90" s="754" t="n">
        <v>0</v>
      </c>
      <c r="R90" s="754" t="n">
        <v>0</v>
      </c>
      <c r="S90" s="754" t="n">
        <v>0</v>
      </c>
      <c r="T90" s="754" t="n">
        <v>0</v>
      </c>
      <c r="U90" s="804" t="n"/>
      <c r="V90" s="918" t="n">
        <v>0</v>
      </c>
      <c r="W90" s="918" t="n">
        <v>0</v>
      </c>
      <c r="X90" s="919">
        <f>((W90)*((1)+($X$63)))</f>
        <v/>
      </c>
      <c r="Y90" s="919">
        <f>((X90)*((1)+($Y$63)))</f>
        <v/>
      </c>
      <c r="Z90" s="919">
        <f>((Y90)*((1)+($Z$63)))</f>
        <v/>
      </c>
      <c r="AA90" s="919">
        <f>((Z90)*((1)+($AA$63)))</f>
        <v/>
      </c>
      <c r="AB90" s="804" t="n"/>
      <c r="AC90" s="919">
        <f>(($V90)/(12))</f>
        <v/>
      </c>
      <c r="AD90" s="919">
        <f>(($V90)/(12))</f>
        <v/>
      </c>
      <c r="AE90" s="919">
        <f>(($V90)/(12))</f>
        <v/>
      </c>
      <c r="AF90" s="919">
        <f>(($V90)/(12))</f>
        <v/>
      </c>
      <c r="AG90" s="919">
        <f>(($V90)/(12))</f>
        <v/>
      </c>
      <c r="AH90" s="919">
        <f>(($V90)/(12))</f>
        <v/>
      </c>
      <c r="AI90" s="919">
        <f>(($V90)/(12))</f>
        <v/>
      </c>
      <c r="AJ90" s="919">
        <f>(($V90)/(12))</f>
        <v/>
      </c>
      <c r="AK90" s="919">
        <f>(($V90)/(12))</f>
        <v/>
      </c>
      <c r="AL90" s="919">
        <f>(($V90)/(12))</f>
        <v/>
      </c>
      <c r="AM90" s="919">
        <f>(($V90)/(12))</f>
        <v/>
      </c>
      <c r="AN90" s="919">
        <f>(($V90)/(12))</f>
        <v/>
      </c>
      <c r="AO90" s="765">
        <f>SUM(AC90:AN90)</f>
        <v/>
      </c>
      <c r="AP90" s="921" t="n"/>
      <c r="AQ90" s="919">
        <f>IF($P90&gt;0,(($W90)/(12)),0)</f>
        <v/>
      </c>
      <c r="AR90" s="919">
        <f>IF($P90&gt;0,(($W90)/(12)),0)</f>
        <v/>
      </c>
      <c r="AS90" s="919">
        <f>IF($P90&gt;0,(($W90)/(12)),0)</f>
        <v/>
      </c>
      <c r="AT90" s="919">
        <f>IF($P90&gt;0,(($W90)/(12)),0)</f>
        <v/>
      </c>
      <c r="AU90" s="919">
        <f>IF($P90&gt;0,(($W90)/(12)),0)</f>
        <v/>
      </c>
      <c r="AV90" s="919">
        <f>IF($P90&gt;0,(($W90)/(12)),0)</f>
        <v/>
      </c>
      <c r="AW90" s="919">
        <f>IF($P90&gt;0,(($W90)/(12)),0)</f>
        <v/>
      </c>
      <c r="AX90" s="919">
        <f>IF($P90&gt;0,(($W90)/(12)),0)</f>
        <v/>
      </c>
      <c r="AY90" s="919">
        <f>IF($P90&gt;0,(($W90)/(12)),0)</f>
        <v/>
      </c>
      <c r="AZ90" s="919">
        <f>IF($P90&gt;0,(($W90)/(12)),0)</f>
        <v/>
      </c>
      <c r="BA90" s="919">
        <f>IF($P90&gt;0,(($W90)/(12)),0)</f>
        <v/>
      </c>
      <c r="BB90" s="919">
        <f>IF($P90&gt;0,(($W90)/(12)),0)</f>
        <v/>
      </c>
      <c r="BC90" s="920">
        <f>SUM(AQ90:BB90)</f>
        <v/>
      </c>
      <c r="BD90" s="921" t="n"/>
      <c r="BE90" s="919" t="n">
        <v>0</v>
      </c>
      <c r="BF90" s="919" t="n">
        <v>0</v>
      </c>
      <c r="BG90" s="919" t="n">
        <v>0</v>
      </c>
      <c r="BH90" s="919" t="n">
        <v>0</v>
      </c>
      <c r="BI90" s="919" t="n">
        <v>0</v>
      </c>
      <c r="BJ90" s="919" t="n">
        <v>0</v>
      </c>
      <c r="BK90" s="919" t="n">
        <v>0</v>
      </c>
      <c r="BL90" s="919" t="n">
        <v>0</v>
      </c>
      <c r="BM90" s="919" t="n">
        <v>0</v>
      </c>
      <c r="BN90" s="919" t="n">
        <v>0</v>
      </c>
      <c r="BO90" s="919" t="n">
        <v>0</v>
      </c>
      <c r="BP90" s="919" t="n">
        <v>0</v>
      </c>
      <c r="BQ90" s="920">
        <f>SUM(BE90:BP90)</f>
        <v/>
      </c>
      <c r="BR90" s="922" t="n"/>
      <c r="BS90" s="919">
        <f>IF($R90&gt;0,(($Y90)/(12)),0)</f>
        <v/>
      </c>
      <c r="BT90" s="919">
        <f>IF($R90&gt;0,(($Y90)/(12)),0)</f>
        <v/>
      </c>
      <c r="BU90" s="919">
        <f>IF($R90&gt;0,(($Y90)/(12)),0)</f>
        <v/>
      </c>
      <c r="BV90" s="919">
        <f>IF($R90&gt;0,(($Y90)/(12)),0)</f>
        <v/>
      </c>
      <c r="BW90" s="919">
        <f>IF($R90&gt;0,(($Y90)/(12)),0)</f>
        <v/>
      </c>
      <c r="BX90" s="919">
        <f>IF($R90&gt;0,(($Y90)/(12)),0)</f>
        <v/>
      </c>
      <c r="BY90" s="919">
        <f>IF($R90&gt;0,(($Y90)/(12)),0)</f>
        <v/>
      </c>
      <c r="BZ90" s="919">
        <f>IF($R90&gt;0,(($Y90)/(12)),0)</f>
        <v/>
      </c>
      <c r="CA90" s="919">
        <f>IF($R90&gt;0,(($Y90)/(12)),0)</f>
        <v/>
      </c>
      <c r="CB90" s="919">
        <f>IF($R90&gt;0,(($Y90)/(12)),0)</f>
        <v/>
      </c>
      <c r="CC90" s="919">
        <f>IF($R90&gt;0,(($Y90)/(12)),0)</f>
        <v/>
      </c>
      <c r="CD90" s="919">
        <f>IF($R90&gt;0,(($Y90)/(12)),0)</f>
        <v/>
      </c>
      <c r="CE90" s="920">
        <f>SUM(BS90:CD90)</f>
        <v/>
      </c>
      <c r="CF90" s="922" t="n"/>
      <c r="CG90" s="919">
        <f>IF($S90&gt;0,(($Z90)/(12)),0)</f>
        <v/>
      </c>
      <c r="CH90" s="919">
        <f>IF($S90&gt;0,(($Z90)/(12)),0)</f>
        <v/>
      </c>
      <c r="CI90" s="919">
        <f>IF($S90&gt;0,(($Z90)/(12)),0)</f>
        <v/>
      </c>
      <c r="CJ90" s="919">
        <f>IF($S90&gt;0,(($Z90)/(12)),0)</f>
        <v/>
      </c>
      <c r="CK90" s="919">
        <f>IF($S90&gt;0,(($Z90)/(12)),0)</f>
        <v/>
      </c>
      <c r="CL90" s="919">
        <f>IF($S90&gt;0,(($Z90)/(12)),0)</f>
        <v/>
      </c>
      <c r="CM90" s="919">
        <f>IF($S90&gt;0,(($Z90)/(12)),0)</f>
        <v/>
      </c>
      <c r="CN90" s="919">
        <f>IF($S90&gt;0,(($Z90)/(12)),0)</f>
        <v/>
      </c>
      <c r="CO90" s="919">
        <f>IF($S90&gt;0,(($Z90)/(12)),0)</f>
        <v/>
      </c>
      <c r="CP90" s="919">
        <f>IF($S90&gt;0,(($Z90)/(12)),0)</f>
        <v/>
      </c>
      <c r="CQ90" s="919">
        <f>IF($S90&gt;0,(($Z90)/(12)),0)</f>
        <v/>
      </c>
      <c r="CR90" s="919">
        <f>IF($S90&gt;0,(($Z90)/(12)),0)</f>
        <v/>
      </c>
      <c r="CS90" s="920">
        <f>SUM(CG90:CR90)</f>
        <v/>
      </c>
      <c r="CU90" s="919">
        <f>IF($T90&gt;0,(($AA90)/(12)),0)</f>
        <v/>
      </c>
      <c r="CV90" s="919">
        <f>IF($T90&gt;0,(($AA90)/(12)),0)</f>
        <v/>
      </c>
      <c r="CW90" s="919">
        <f>IF($T90&gt;0,(($AA90)/(12)),0)</f>
        <v/>
      </c>
      <c r="CX90" s="919">
        <f>IF($T90&gt;0,(($AA90)/(12)),0)</f>
        <v/>
      </c>
      <c r="CY90" s="919">
        <f>IF($T90&gt;0,(($AA90)/(12)),0)</f>
        <v/>
      </c>
      <c r="CZ90" s="919">
        <f>IF($T90&gt;0,(($AA90)/(12)),0)</f>
        <v/>
      </c>
      <c r="DA90" s="919">
        <f>IF($T90&gt;0,(($AA90)/(12)),0)</f>
        <v/>
      </c>
      <c r="DB90" s="919">
        <f>IF($T90&gt;0,(($AA90)/(12)),0)</f>
        <v/>
      </c>
      <c r="DC90" s="919">
        <f>IF($T90&gt;0,(($AA90)/(12)),0)</f>
        <v/>
      </c>
      <c r="DD90" s="919">
        <f>IF($T90&gt;0,(($AA90)/(12)),0)</f>
        <v/>
      </c>
      <c r="DE90" s="919">
        <f>IF($T90&gt;0,(($AA90)/(12)),0)</f>
        <v/>
      </c>
      <c r="DF90" s="919">
        <f>IF($T90&gt;0,(($AA90)/(12)),0)</f>
        <v/>
      </c>
      <c r="DG90" s="920">
        <f>SUM(CU90:DF90)</f>
        <v/>
      </c>
    </row>
    <row r="91" ht="15" customHeight="1" s="1883">
      <c r="B91" s="752">
        <f>((B90)+(1))</f>
        <v/>
      </c>
      <c r="C91" s="726" t="n"/>
      <c r="D91" s="730" t="inlineStr">
        <is>
          <t>●</t>
        </is>
      </c>
      <c r="E91" s="736" t="inlineStr">
        <is>
          <t>TBD</t>
        </is>
      </c>
      <c r="F91" s="737" t="n"/>
      <c r="G91" s="737" t="n"/>
      <c r="H91" s="737" t="n"/>
      <c r="I91" s="736" t="inlineStr">
        <is>
          <t>Regional Director, Product Development</t>
        </is>
      </c>
      <c r="J91" s="746" t="inlineStr">
        <is>
          <t>OCONUS</t>
        </is>
      </c>
      <c r="K91" s="737" t="n"/>
      <c r="L91" s="753" t="n">
        <v>13</v>
      </c>
      <c r="M91" s="753" t="n">
        <v>13</v>
      </c>
      <c r="N91" s="744" t="n"/>
      <c r="O91" s="815" t="n"/>
      <c r="P91" s="755" t="n">
        <v>0</v>
      </c>
      <c r="Q91" s="755" t="n">
        <v>0</v>
      </c>
      <c r="R91" s="755" t="n">
        <v>0</v>
      </c>
      <c r="S91" s="755" t="n">
        <v>0</v>
      </c>
      <c r="T91" s="755" t="n">
        <v>0</v>
      </c>
      <c r="U91" s="737" t="n"/>
      <c r="V91" s="703" t="n">
        <v>0</v>
      </c>
      <c r="W91" s="701" t="n">
        <v>0</v>
      </c>
      <c r="X91" s="700">
        <f>((W91)*((1)+($X$63)))</f>
        <v/>
      </c>
      <c r="Y91" s="700">
        <f>((X91)*((1)+($Y$63)))</f>
        <v/>
      </c>
      <c r="Z91" s="700">
        <f>((Y91)*((1)+($Z$63)))</f>
        <v/>
      </c>
      <c r="AA91" s="700">
        <f>((Z91)*((1)+($AA$63)))</f>
        <v/>
      </c>
      <c r="AB91" s="726" t="n"/>
      <c r="AC91" s="768" t="n">
        <v>0</v>
      </c>
      <c r="AD91" s="768" t="n">
        <v>0</v>
      </c>
      <c r="AE91" s="768" t="n">
        <v>0</v>
      </c>
      <c r="AF91" s="768" t="n">
        <v>0</v>
      </c>
      <c r="AG91" s="768" t="n">
        <v>0</v>
      </c>
      <c r="AH91" s="768" t="n">
        <v>0</v>
      </c>
      <c r="AI91" s="768" t="n">
        <v>0</v>
      </c>
      <c r="AJ91" s="768" t="n">
        <v>0</v>
      </c>
      <c r="AK91" s="768" t="n">
        <v>0</v>
      </c>
      <c r="AL91" s="768" t="n">
        <v>0</v>
      </c>
      <c r="AM91" s="768" t="n">
        <v>0</v>
      </c>
      <c r="AN91" s="768" t="n">
        <v>0</v>
      </c>
      <c r="AO91" s="765">
        <f>SUM(AC91:AN91)</f>
        <v/>
      </c>
      <c r="AP91" s="462" t="n"/>
      <c r="AQ91" s="702" t="n">
        <v>0</v>
      </c>
      <c r="AR91" s="702" t="n">
        <v>0</v>
      </c>
      <c r="AS91" s="702" t="n">
        <v>0</v>
      </c>
      <c r="AT91" s="702" t="n">
        <v>0</v>
      </c>
      <c r="AU91" s="702" t="n">
        <v>0</v>
      </c>
      <c r="AV91" s="702" t="n">
        <v>0</v>
      </c>
      <c r="AW91" s="702" t="n">
        <v>0</v>
      </c>
      <c r="AX91" s="702" t="n">
        <v>0</v>
      </c>
      <c r="AY91" s="702" t="n">
        <v>0</v>
      </c>
      <c r="AZ91" s="702" t="n">
        <v>0</v>
      </c>
      <c r="BA91" s="702" t="n">
        <v>0</v>
      </c>
      <c r="BB91" s="702" t="n">
        <v>0</v>
      </c>
      <c r="BC91" s="765">
        <f>SUM(AQ91:BB91)</f>
        <v/>
      </c>
      <c r="BD91" s="462" t="n"/>
      <c r="BE91" s="702" t="n">
        <v>0</v>
      </c>
      <c r="BF91" s="702" t="n">
        <v>0</v>
      </c>
      <c r="BG91" s="702" t="n">
        <v>0</v>
      </c>
      <c r="BH91" s="702" t="n">
        <v>0</v>
      </c>
      <c r="BI91" s="702" t="n">
        <v>0</v>
      </c>
      <c r="BJ91" s="702" t="n">
        <v>0</v>
      </c>
      <c r="BK91" s="702" t="n">
        <v>0</v>
      </c>
      <c r="BL91" s="702" t="n">
        <v>0</v>
      </c>
      <c r="BM91" s="702" t="n">
        <v>0</v>
      </c>
      <c r="BN91" s="702" t="n">
        <v>0</v>
      </c>
      <c r="BO91" s="702" t="n">
        <v>0</v>
      </c>
      <c r="BP91" s="702" t="n">
        <v>0</v>
      </c>
      <c r="BQ91" s="765">
        <f>SUM(BE91:BP91)</f>
        <v/>
      </c>
      <c r="BR91" s="507" t="n"/>
      <c r="BS91" s="702">
        <f>IF($R91&gt;0,(($Y91)/(12)),0)</f>
        <v/>
      </c>
      <c r="BT91" s="702">
        <f>IF($R91&gt;0,(($Y91)/(12)),0)</f>
        <v/>
      </c>
      <c r="BU91" s="702">
        <f>IF($R91&gt;0,(($Y91)/(12)),0)</f>
        <v/>
      </c>
      <c r="BV91" s="702">
        <f>IF($R91&gt;0,(($Y91)/(12)),0)</f>
        <v/>
      </c>
      <c r="BW91" s="702">
        <f>IF($R91&gt;0,(($Y91)/(12)),0)</f>
        <v/>
      </c>
      <c r="BX91" s="702">
        <f>IF($R91&gt;0,(($Y91)/(12)),0)</f>
        <v/>
      </c>
      <c r="BY91" s="702">
        <f>IF($R91&gt;0,(($Y91)/(12)),0)</f>
        <v/>
      </c>
      <c r="BZ91" s="702">
        <f>IF($R91&gt;0,(($Y91)/(12)),0)</f>
        <v/>
      </c>
      <c r="CA91" s="702">
        <f>IF($R91&gt;0,(($Y91)/(12)),0)</f>
        <v/>
      </c>
      <c r="CB91" s="702">
        <f>IF($R91&gt;0,(($Y91)/(12)),0)</f>
        <v/>
      </c>
      <c r="CC91" s="702">
        <f>IF($R91&gt;0,(($Y91)/(12)),0)</f>
        <v/>
      </c>
      <c r="CD91" s="702">
        <f>IF($R91&gt;0,(($Y91)/(12)),0)</f>
        <v/>
      </c>
      <c r="CE91" s="765">
        <f>SUM(BS91:CD91)</f>
        <v/>
      </c>
      <c r="CF91" s="507" t="n"/>
      <c r="CG91" s="702">
        <f>IF($S91&gt;0,(($Z91)/(12)),0)</f>
        <v/>
      </c>
      <c r="CH91" s="702">
        <f>IF($S91&gt;0,(($Z91)/(12)),0)</f>
        <v/>
      </c>
      <c r="CI91" s="702">
        <f>IF($S91&gt;0,(($Z91)/(12)),0)</f>
        <v/>
      </c>
      <c r="CJ91" s="702">
        <f>IF($S91&gt;0,(($Z91)/(12)),0)</f>
        <v/>
      </c>
      <c r="CK91" s="702">
        <f>IF($S91&gt;0,(($Z91)/(12)),0)</f>
        <v/>
      </c>
      <c r="CL91" s="702">
        <f>IF($S91&gt;0,(($Z91)/(12)),0)</f>
        <v/>
      </c>
      <c r="CM91" s="702">
        <f>IF($S91&gt;0,(($Z91)/(12)),0)</f>
        <v/>
      </c>
      <c r="CN91" s="702">
        <f>IF($S91&gt;0,(($Z91)/(12)),0)</f>
        <v/>
      </c>
      <c r="CO91" s="702">
        <f>IF($S91&gt;0,(($Z91)/(12)),0)</f>
        <v/>
      </c>
      <c r="CP91" s="702">
        <f>IF($S91&gt;0,(($Z91)/(12)),0)</f>
        <v/>
      </c>
      <c r="CQ91" s="702">
        <f>IF($S91&gt;0,(($Z91)/(12)),0)</f>
        <v/>
      </c>
      <c r="CR91" s="702">
        <f>IF($S91&gt;0,(($Z91)/(12)),0)</f>
        <v/>
      </c>
      <c r="CS91" s="765">
        <f>SUM(CG91:CR91)</f>
        <v/>
      </c>
      <c r="CU91" s="702">
        <f>IF($T91&gt;0,(($AA91)/(12)),0)</f>
        <v/>
      </c>
      <c r="CV91" s="702">
        <f>IF($T91&gt;0,(($AA91)/(12)),0)</f>
        <v/>
      </c>
      <c r="CW91" s="702">
        <f>IF($T91&gt;0,(($AA91)/(12)),0)</f>
        <v/>
      </c>
      <c r="CX91" s="702">
        <f>IF($T91&gt;0,(($AA91)/(12)),0)</f>
        <v/>
      </c>
      <c r="CY91" s="702">
        <f>IF($T91&gt;0,(($AA91)/(12)),0)</f>
        <v/>
      </c>
      <c r="CZ91" s="702">
        <f>IF($T91&gt;0,(($AA91)/(12)),0)</f>
        <v/>
      </c>
      <c r="DA91" s="702">
        <f>IF($T91&gt;0,(($AA91)/(12)),0)</f>
        <v/>
      </c>
      <c r="DB91" s="702">
        <f>IF($T91&gt;0,(($AA91)/(12)),0)</f>
        <v/>
      </c>
      <c r="DC91" s="702">
        <f>IF($T91&gt;0,(($AA91)/(12)),0)</f>
        <v/>
      </c>
      <c r="DD91" s="702">
        <f>IF($T91&gt;0,(($AA91)/(12)),0)</f>
        <v/>
      </c>
      <c r="DE91" s="702">
        <f>IF($T91&gt;0,(($AA91)/(12)),0)</f>
        <v/>
      </c>
      <c r="DF91" s="702">
        <f>IF($T91&gt;0,(($AA91)/(12)),0)</f>
        <v/>
      </c>
      <c r="DG91" s="765">
        <f>SUM(CU91:DF91)</f>
        <v/>
      </c>
    </row>
    <row r="92" ht="15" customHeight="1" s="1883">
      <c r="B92" s="752">
        <f>((B91)+(1))</f>
        <v/>
      </c>
      <c r="C92" s="726" t="n"/>
      <c r="D92" s="730" t="inlineStr">
        <is>
          <t>●</t>
        </is>
      </c>
      <c r="E92" s="736" t="inlineStr">
        <is>
          <t>TBD</t>
        </is>
      </c>
      <c r="F92" s="737" t="n"/>
      <c r="G92" s="737" t="n"/>
      <c r="H92" s="737" t="n"/>
      <c r="I92" s="736" t="inlineStr">
        <is>
          <t>Regional Director, Product Development</t>
        </is>
      </c>
      <c r="J92" s="746" t="inlineStr">
        <is>
          <t>OCONUS</t>
        </is>
      </c>
      <c r="K92" s="737" t="n"/>
      <c r="L92" s="753" t="n">
        <v>25</v>
      </c>
      <c r="M92" s="753" t="n">
        <v>25</v>
      </c>
      <c r="N92" s="744" t="n"/>
      <c r="O92" s="815" t="n"/>
      <c r="P92" s="756" t="n"/>
      <c r="Q92" s="755" t="n">
        <v>0</v>
      </c>
      <c r="R92" s="755" t="n">
        <v>0</v>
      </c>
      <c r="S92" s="755" t="n">
        <v>0</v>
      </c>
      <c r="T92" s="755" t="n">
        <v>0</v>
      </c>
      <c r="U92" s="737" t="n"/>
      <c r="V92" s="703" t="n">
        <v>0</v>
      </c>
      <c r="W92" s="701" t="n">
        <v>0</v>
      </c>
      <c r="X92" s="700">
        <f>((W92)*((1)+($X$63)))</f>
        <v/>
      </c>
      <c r="Y92" s="700">
        <f>((X92)*((1)+($Y$63)))</f>
        <v/>
      </c>
      <c r="Z92" s="700">
        <f>((Y92)*((1)+($Z$63)))</f>
        <v/>
      </c>
      <c r="AA92" s="700">
        <f>((Z92)*((1)+($AA$63)))</f>
        <v/>
      </c>
      <c r="AB92" s="726" t="n"/>
      <c r="AC92" s="768" t="n">
        <v>0</v>
      </c>
      <c r="AD92" s="768" t="n">
        <v>0</v>
      </c>
      <c r="AE92" s="768" t="n">
        <v>0</v>
      </c>
      <c r="AF92" s="768" t="n">
        <v>0</v>
      </c>
      <c r="AG92" s="768" t="n">
        <v>0</v>
      </c>
      <c r="AH92" s="768" t="n">
        <v>0</v>
      </c>
      <c r="AI92" s="768" t="n">
        <v>0</v>
      </c>
      <c r="AJ92" s="768" t="n">
        <v>0</v>
      </c>
      <c r="AK92" s="768" t="n">
        <v>0</v>
      </c>
      <c r="AL92" s="768" t="n">
        <v>0</v>
      </c>
      <c r="AM92" s="768" t="n">
        <v>0</v>
      </c>
      <c r="AN92" s="768" t="n">
        <v>0</v>
      </c>
      <c r="AO92" s="765">
        <f>SUM(AC92:AN92)</f>
        <v/>
      </c>
      <c r="AP92" s="462" t="n"/>
      <c r="AQ92" s="702">
        <f>IF($P92&gt;0,(($W92)/(12)),0)</f>
        <v/>
      </c>
      <c r="AR92" s="702">
        <f>IF($P92&gt;0,(($W92)/(12)),0)</f>
        <v/>
      </c>
      <c r="AS92" s="702">
        <f>IF($P92&gt;0,(($W92)/(12)),0)</f>
        <v/>
      </c>
      <c r="AT92" s="702">
        <f>IF($P92&gt;0,(($W92)/(12)),0)</f>
        <v/>
      </c>
      <c r="AU92" s="702">
        <f>IF($P92&gt;0,(($W92)/(12)),0)</f>
        <v/>
      </c>
      <c r="AV92" s="702">
        <f>IF($P92&gt;0,(($W92)/(12)),0)</f>
        <v/>
      </c>
      <c r="AW92" s="702">
        <f>IF($P92&gt;0,(($W92)/(12)),0)</f>
        <v/>
      </c>
      <c r="AX92" s="702">
        <f>IF($P92&gt;0,(($W92)/(12)),0)</f>
        <v/>
      </c>
      <c r="AY92" s="702">
        <f>IF($P92&gt;0,(($W92)/(12)),0)</f>
        <v/>
      </c>
      <c r="AZ92" s="702">
        <f>IF($P92&gt;0,(($W92)/(12)),0)</f>
        <v/>
      </c>
      <c r="BA92" s="702">
        <f>IF($P92&gt;0,(($W92)/(12)),0)</f>
        <v/>
      </c>
      <c r="BB92" s="702">
        <f>IF($P92&gt;0,(($W92)/(12)),0)</f>
        <v/>
      </c>
      <c r="BC92" s="765">
        <f>SUM(AQ92:BB92)</f>
        <v/>
      </c>
      <c r="BD92" s="462" t="n"/>
      <c r="BE92" s="702" t="n">
        <v>0</v>
      </c>
      <c r="BF92" s="702" t="n">
        <v>0</v>
      </c>
      <c r="BG92" s="702" t="n">
        <v>0</v>
      </c>
      <c r="BH92" s="702" t="n">
        <v>0</v>
      </c>
      <c r="BI92" s="702" t="n">
        <v>0</v>
      </c>
      <c r="BJ92" s="702" t="n">
        <v>0</v>
      </c>
      <c r="BK92" s="702" t="n">
        <v>0</v>
      </c>
      <c r="BL92" s="702" t="n">
        <v>0</v>
      </c>
      <c r="BM92" s="702" t="n">
        <v>0</v>
      </c>
      <c r="BN92" s="702" t="n">
        <v>0</v>
      </c>
      <c r="BO92" s="702" t="n">
        <v>0</v>
      </c>
      <c r="BP92" s="702" t="n">
        <v>0</v>
      </c>
      <c r="BQ92" s="765">
        <f>SUM(BE92:BP92)</f>
        <v/>
      </c>
      <c r="BR92" s="507" t="n"/>
      <c r="BS92" s="702">
        <f>IF($R92&gt;0,(($Y92)/(12)),0)</f>
        <v/>
      </c>
      <c r="BT92" s="702">
        <f>IF($R92&gt;0,(($Y92)/(12)),0)</f>
        <v/>
      </c>
      <c r="BU92" s="702">
        <f>IF($R92&gt;0,(($Y92)/(12)),0)</f>
        <v/>
      </c>
      <c r="BV92" s="702">
        <f>IF($R92&gt;0,(($Y92)/(12)),0)</f>
        <v/>
      </c>
      <c r="BW92" s="702">
        <f>IF($R92&gt;0,(($Y92)/(12)),0)</f>
        <v/>
      </c>
      <c r="BX92" s="702">
        <f>IF($R92&gt;0,(($Y92)/(12)),0)</f>
        <v/>
      </c>
      <c r="BY92" s="702">
        <f>IF($R92&gt;0,(($Y92)/(12)),0)</f>
        <v/>
      </c>
      <c r="BZ92" s="702">
        <f>IF($R92&gt;0,(($Y92)/(12)),0)</f>
        <v/>
      </c>
      <c r="CA92" s="702">
        <f>IF($R92&gt;0,(($Y92)/(12)),0)</f>
        <v/>
      </c>
      <c r="CB92" s="702">
        <f>IF($R92&gt;0,(($Y92)/(12)),0)</f>
        <v/>
      </c>
      <c r="CC92" s="702">
        <f>IF($R92&gt;0,(($Y92)/(12)),0)</f>
        <v/>
      </c>
      <c r="CD92" s="702">
        <f>IF($R92&gt;0,(($Y92)/(12)),0)</f>
        <v/>
      </c>
      <c r="CE92" s="765">
        <f>SUM(BS92:CD92)</f>
        <v/>
      </c>
      <c r="CF92" s="507" t="n"/>
      <c r="CG92" s="702">
        <f>IF($S92&gt;0,(($Z92)/(12)),0)</f>
        <v/>
      </c>
      <c r="CH92" s="702">
        <f>IF($S92&gt;0,(($Z92)/(12)),0)</f>
        <v/>
      </c>
      <c r="CI92" s="702">
        <f>IF($S92&gt;0,(($Z92)/(12)),0)</f>
        <v/>
      </c>
      <c r="CJ92" s="702">
        <f>IF($S92&gt;0,(($Z92)/(12)),0)</f>
        <v/>
      </c>
      <c r="CK92" s="702">
        <f>IF($S92&gt;0,(($Z92)/(12)),0)</f>
        <v/>
      </c>
      <c r="CL92" s="702">
        <f>IF($S92&gt;0,(($Z92)/(12)),0)</f>
        <v/>
      </c>
      <c r="CM92" s="702">
        <f>IF($S92&gt;0,(($Z92)/(12)),0)</f>
        <v/>
      </c>
      <c r="CN92" s="702">
        <f>IF($S92&gt;0,(($Z92)/(12)),0)</f>
        <v/>
      </c>
      <c r="CO92" s="702">
        <f>IF($S92&gt;0,(($Z92)/(12)),0)</f>
        <v/>
      </c>
      <c r="CP92" s="702">
        <f>IF($S92&gt;0,(($Z92)/(12)),0)</f>
        <v/>
      </c>
      <c r="CQ92" s="702">
        <f>IF($S92&gt;0,(($Z92)/(12)),0)</f>
        <v/>
      </c>
      <c r="CR92" s="702">
        <f>IF($S92&gt;0,(($Z92)/(12)),0)</f>
        <v/>
      </c>
      <c r="CS92" s="765">
        <f>SUM(CG92:CR92)</f>
        <v/>
      </c>
      <c r="CU92" s="702">
        <f>IF($T92&gt;0,(($AA92)/(12)),0)</f>
        <v/>
      </c>
      <c r="CV92" s="702">
        <f>IF($T92&gt;0,(($AA92)/(12)),0)</f>
        <v/>
      </c>
      <c r="CW92" s="702">
        <f>IF($T92&gt;0,(($AA92)/(12)),0)</f>
        <v/>
      </c>
      <c r="CX92" s="702">
        <f>IF($T92&gt;0,(($AA92)/(12)),0)</f>
        <v/>
      </c>
      <c r="CY92" s="702">
        <f>IF($T92&gt;0,(($AA92)/(12)),0)</f>
        <v/>
      </c>
      <c r="CZ92" s="702">
        <f>IF($T92&gt;0,(($AA92)/(12)),0)</f>
        <v/>
      </c>
      <c r="DA92" s="702">
        <f>IF($T92&gt;0,(($AA92)/(12)),0)</f>
        <v/>
      </c>
      <c r="DB92" s="702">
        <f>IF($T92&gt;0,(($AA92)/(12)),0)</f>
        <v/>
      </c>
      <c r="DC92" s="702">
        <f>IF($T92&gt;0,(($AA92)/(12)),0)</f>
        <v/>
      </c>
      <c r="DD92" s="702">
        <f>IF($T92&gt;0,(($AA92)/(12)),0)</f>
        <v/>
      </c>
      <c r="DE92" s="702">
        <f>IF($T92&gt;0,(($AA92)/(12)),0)</f>
        <v/>
      </c>
      <c r="DF92" s="702">
        <f>IF($T92&gt;0,(($AA92)/(12)),0)</f>
        <v/>
      </c>
      <c r="DG92" s="765">
        <f>SUM(CU92:DF92)</f>
        <v/>
      </c>
    </row>
    <row r="93" ht="15" customHeight="1" s="1883">
      <c r="B93" s="752">
        <f>((B92)+(1))</f>
        <v/>
      </c>
      <c r="C93" s="726" t="n"/>
      <c r="D93" s="730" t="inlineStr">
        <is>
          <t>●</t>
        </is>
      </c>
      <c r="E93" s="736" t="inlineStr">
        <is>
          <t>TBD</t>
        </is>
      </c>
      <c r="F93" s="737" t="n"/>
      <c r="G93" s="737" t="n"/>
      <c r="H93" s="737" t="n"/>
      <c r="I93" s="736" t="inlineStr">
        <is>
          <t>Regional Director, Product Development</t>
        </is>
      </c>
      <c r="J93" s="746" t="inlineStr">
        <is>
          <t>OCONUS</t>
        </is>
      </c>
      <c r="K93" s="737" t="n"/>
      <c r="L93" s="753" t="n">
        <v>25</v>
      </c>
      <c r="M93" s="753" t="n">
        <v>25</v>
      </c>
      <c r="N93" s="744" t="n"/>
      <c r="O93" s="815" t="n"/>
      <c r="P93" s="756" t="n"/>
      <c r="Q93" s="756" t="n"/>
      <c r="R93" s="755" t="n">
        <v>0</v>
      </c>
      <c r="S93" s="755" t="n">
        <v>0</v>
      </c>
      <c r="T93" s="755" t="n">
        <v>0</v>
      </c>
      <c r="U93" s="737" t="n"/>
      <c r="V93" s="703" t="n">
        <v>0</v>
      </c>
      <c r="W93" s="701" t="n">
        <v>0</v>
      </c>
      <c r="X93" s="700">
        <f>((W93)*((1)+($X$63)))</f>
        <v/>
      </c>
      <c r="Y93" s="700">
        <f>((X93)*((1)+($Y$63)))</f>
        <v/>
      </c>
      <c r="Z93" s="700">
        <f>((Y93)*((1)+($Z$63)))</f>
        <v/>
      </c>
      <c r="AA93" s="700">
        <f>((Z93)*((1)+($AA$63)))</f>
        <v/>
      </c>
      <c r="AB93" s="726" t="n"/>
      <c r="AC93" s="768" t="n">
        <v>0</v>
      </c>
      <c r="AD93" s="768" t="n">
        <v>0</v>
      </c>
      <c r="AE93" s="768" t="n">
        <v>0</v>
      </c>
      <c r="AF93" s="768" t="n">
        <v>0</v>
      </c>
      <c r="AG93" s="768" t="n">
        <v>0</v>
      </c>
      <c r="AH93" s="768" t="n">
        <v>0</v>
      </c>
      <c r="AI93" s="768" t="n">
        <v>0</v>
      </c>
      <c r="AJ93" s="768" t="n">
        <v>0</v>
      </c>
      <c r="AK93" s="768" t="n">
        <v>0</v>
      </c>
      <c r="AL93" s="768" t="n">
        <v>0</v>
      </c>
      <c r="AM93" s="768" t="n">
        <v>0</v>
      </c>
      <c r="AN93" s="768" t="n">
        <v>0</v>
      </c>
      <c r="AO93" s="765">
        <f>SUM(AC93:AN93)</f>
        <v/>
      </c>
      <c r="AP93" s="462" t="n"/>
      <c r="AQ93" s="702">
        <f>IF($P93&gt;0,(($W93)/(12)),0)</f>
        <v/>
      </c>
      <c r="AR93" s="702">
        <f>IF($P93&gt;0,(($W93)/(12)),0)</f>
        <v/>
      </c>
      <c r="AS93" s="702">
        <f>IF($P93&gt;0,(($W93)/(12)),0)</f>
        <v/>
      </c>
      <c r="AT93" s="702">
        <f>IF($P93&gt;0,(($W93)/(12)),0)</f>
        <v/>
      </c>
      <c r="AU93" s="702">
        <f>IF($P93&gt;0,(($W93)/(12)),0)</f>
        <v/>
      </c>
      <c r="AV93" s="702">
        <f>IF($P93&gt;0,(($W93)/(12)),0)</f>
        <v/>
      </c>
      <c r="AW93" s="702">
        <f>IF($P93&gt;0,(($W93)/(12)),0)</f>
        <v/>
      </c>
      <c r="AX93" s="702">
        <f>IF($P93&gt;0,(($W93)/(12)),0)</f>
        <v/>
      </c>
      <c r="AY93" s="702">
        <f>IF($P93&gt;0,(($W93)/(12)),0)</f>
        <v/>
      </c>
      <c r="AZ93" s="702">
        <f>IF($P93&gt;0,(($W93)/(12)),0)</f>
        <v/>
      </c>
      <c r="BA93" s="702">
        <f>IF($P93&gt;0,(($W93)/(12)),0)</f>
        <v/>
      </c>
      <c r="BB93" s="702">
        <f>IF($P93&gt;0,(($W93)/(12)),0)</f>
        <v/>
      </c>
      <c r="BC93" s="765">
        <f>SUM(AQ93:BB93)</f>
        <v/>
      </c>
      <c r="BD93" s="462" t="n"/>
      <c r="BE93" s="702">
        <f>IF($Q93&gt;0,(($X93)/(12)),0)</f>
        <v/>
      </c>
      <c r="BF93" s="702">
        <f>IF($Q93&gt;0,(($X93)/(12)),0)</f>
        <v/>
      </c>
      <c r="BG93" s="702">
        <f>IF($Q93&gt;0,(($X93)/(12)),0)</f>
        <v/>
      </c>
      <c r="BH93" s="702">
        <f>IF($Q93&gt;0,(($X93)/(12)),0)</f>
        <v/>
      </c>
      <c r="BI93" s="702">
        <f>IF($Q93&gt;0,(($X93)/(12)),0)</f>
        <v/>
      </c>
      <c r="BJ93" s="702">
        <f>IF($Q93&gt;0,(($X93)/(12)),0)</f>
        <v/>
      </c>
      <c r="BK93" s="702">
        <f>IF($Q93&gt;0,(($X93)/(12)),0)</f>
        <v/>
      </c>
      <c r="BL93" s="702">
        <f>IF($Q93&gt;0,(($X93)/(12)),0)</f>
        <v/>
      </c>
      <c r="BM93" s="702">
        <f>IF($Q93&gt;0,(($X93)/(12)),0)</f>
        <v/>
      </c>
      <c r="BN93" s="702">
        <f>IF($Q93&gt;0,(($X93)/(12)),0)</f>
        <v/>
      </c>
      <c r="BO93" s="702">
        <f>IF($Q93&gt;0,(($X93)/(12)),0)</f>
        <v/>
      </c>
      <c r="BP93" s="702">
        <f>IF($Q93&gt;0,(($X93)/(12)),0)</f>
        <v/>
      </c>
      <c r="BQ93" s="765">
        <f>SUM(BE93:BP93)</f>
        <v/>
      </c>
      <c r="BR93" s="507" t="n"/>
      <c r="BS93" s="702">
        <f>IF($R93&gt;0,(($Y93)/(12)),0)</f>
        <v/>
      </c>
      <c r="BT93" s="702">
        <f>IF($R93&gt;0,(($Y93)/(12)),0)</f>
        <v/>
      </c>
      <c r="BU93" s="702">
        <f>IF($R93&gt;0,(($Y93)/(12)),0)</f>
        <v/>
      </c>
      <c r="BV93" s="702">
        <f>IF($R93&gt;0,(($Y93)/(12)),0)</f>
        <v/>
      </c>
      <c r="BW93" s="702">
        <f>IF($R93&gt;0,(($Y93)/(12)),0)</f>
        <v/>
      </c>
      <c r="BX93" s="702">
        <f>IF($R93&gt;0,(($Y93)/(12)),0)</f>
        <v/>
      </c>
      <c r="BY93" s="702">
        <f>IF($R93&gt;0,(($Y93)/(12)),0)</f>
        <v/>
      </c>
      <c r="BZ93" s="702">
        <f>IF($R93&gt;0,(($Y93)/(12)),0)</f>
        <v/>
      </c>
      <c r="CA93" s="702">
        <f>IF($R93&gt;0,(($Y93)/(12)),0)</f>
        <v/>
      </c>
      <c r="CB93" s="702">
        <f>IF($R93&gt;0,(($Y93)/(12)),0)</f>
        <v/>
      </c>
      <c r="CC93" s="702">
        <f>IF($R93&gt;0,(($Y93)/(12)),0)</f>
        <v/>
      </c>
      <c r="CD93" s="702">
        <f>IF($R93&gt;0,(($Y93)/(12)),0)</f>
        <v/>
      </c>
      <c r="CE93" s="765">
        <f>SUM(BS93:CD93)</f>
        <v/>
      </c>
      <c r="CF93" s="507" t="n"/>
      <c r="CG93" s="702">
        <f>IF($S93&gt;0,(($Z93)/(12)),0)</f>
        <v/>
      </c>
      <c r="CH93" s="702">
        <f>IF($S93&gt;0,(($Z93)/(12)),0)</f>
        <v/>
      </c>
      <c r="CI93" s="702">
        <f>IF($S93&gt;0,(($Z93)/(12)),0)</f>
        <v/>
      </c>
      <c r="CJ93" s="702">
        <f>IF($S93&gt;0,(($Z93)/(12)),0)</f>
        <v/>
      </c>
      <c r="CK93" s="702">
        <f>IF($S93&gt;0,(($Z93)/(12)),0)</f>
        <v/>
      </c>
      <c r="CL93" s="702">
        <f>IF($S93&gt;0,(($Z93)/(12)),0)</f>
        <v/>
      </c>
      <c r="CM93" s="702">
        <f>IF($S93&gt;0,(($Z93)/(12)),0)</f>
        <v/>
      </c>
      <c r="CN93" s="702">
        <f>IF($S93&gt;0,(($Z93)/(12)),0)</f>
        <v/>
      </c>
      <c r="CO93" s="702">
        <f>IF($S93&gt;0,(($Z93)/(12)),0)</f>
        <v/>
      </c>
      <c r="CP93" s="702">
        <f>IF($S93&gt;0,(($Z93)/(12)),0)</f>
        <v/>
      </c>
      <c r="CQ93" s="702">
        <f>IF($S93&gt;0,(($Z93)/(12)),0)</f>
        <v/>
      </c>
      <c r="CR93" s="702">
        <f>IF($S93&gt;0,(($Z93)/(12)),0)</f>
        <v/>
      </c>
      <c r="CS93" s="765">
        <f>SUM(CG93:CR93)</f>
        <v/>
      </c>
      <c r="CU93" s="702">
        <f>IF($T93&gt;0,(($AA93)/(12)),0)</f>
        <v/>
      </c>
      <c r="CV93" s="702">
        <f>IF($T93&gt;0,(($AA93)/(12)),0)</f>
        <v/>
      </c>
      <c r="CW93" s="702">
        <f>IF($T93&gt;0,(($AA93)/(12)),0)</f>
        <v/>
      </c>
      <c r="CX93" s="702">
        <f>IF($T93&gt;0,(($AA93)/(12)),0)</f>
        <v/>
      </c>
      <c r="CY93" s="702">
        <f>IF($T93&gt;0,(($AA93)/(12)),0)</f>
        <v/>
      </c>
      <c r="CZ93" s="702">
        <f>IF($T93&gt;0,(($AA93)/(12)),0)</f>
        <v/>
      </c>
      <c r="DA93" s="702">
        <f>IF($T93&gt;0,(($AA93)/(12)),0)</f>
        <v/>
      </c>
      <c r="DB93" s="702">
        <f>IF($T93&gt;0,(($AA93)/(12)),0)</f>
        <v/>
      </c>
      <c r="DC93" s="702">
        <f>IF($T93&gt;0,(($AA93)/(12)),0)</f>
        <v/>
      </c>
      <c r="DD93" s="702">
        <f>IF($T93&gt;0,(($AA93)/(12)),0)</f>
        <v/>
      </c>
      <c r="DE93" s="702">
        <f>IF($T93&gt;0,(($AA93)/(12)),0)</f>
        <v/>
      </c>
      <c r="DF93" s="702">
        <f>IF($T93&gt;0,(($AA93)/(12)),0)</f>
        <v/>
      </c>
      <c r="DG93" s="765">
        <f>SUM(CU93:DF93)</f>
        <v/>
      </c>
    </row>
    <row r="94" ht="15" customHeight="1" s="1883">
      <c r="B94" s="752">
        <f>((B93)+(1))</f>
        <v/>
      </c>
      <c r="C94" s="726" t="n"/>
      <c r="D94" s="730" t="inlineStr">
        <is>
          <t>●</t>
        </is>
      </c>
      <c r="E94" s="736" t="inlineStr">
        <is>
          <t>TBD</t>
        </is>
      </c>
      <c r="F94" s="737" t="n"/>
      <c r="G94" s="737" t="n"/>
      <c r="H94" s="737" t="n"/>
      <c r="I94" s="736" t="inlineStr">
        <is>
          <t>Regional Director, Product Development</t>
        </is>
      </c>
      <c r="J94" s="746" t="inlineStr">
        <is>
          <t>OCONUS</t>
        </is>
      </c>
      <c r="K94" s="737" t="n"/>
      <c r="L94" s="753" t="n">
        <v>37</v>
      </c>
      <c r="M94" s="753" t="n">
        <v>37</v>
      </c>
      <c r="N94" s="744" t="n"/>
      <c r="O94" s="815" t="n"/>
      <c r="P94" s="756" t="n"/>
      <c r="Q94" s="756" t="n"/>
      <c r="R94" s="756" t="n"/>
      <c r="S94" s="755" t="n">
        <v>0</v>
      </c>
      <c r="T94" s="755" t="n">
        <v>0</v>
      </c>
      <c r="U94" s="737" t="n"/>
      <c r="V94" s="703" t="n">
        <v>0</v>
      </c>
      <c r="W94" s="701" t="n">
        <v>0</v>
      </c>
      <c r="X94" s="700">
        <f>((W94)*((1)+($X$63)))</f>
        <v/>
      </c>
      <c r="Y94" s="700">
        <f>((X94)*((1)+($Y$63)))</f>
        <v/>
      </c>
      <c r="Z94" s="700">
        <f>((Y94)*((1)+($Z$63)))</f>
        <v/>
      </c>
      <c r="AA94" s="700">
        <f>((Z94)*((1)+($AA$63)))</f>
        <v/>
      </c>
      <c r="AB94" s="726" t="n"/>
      <c r="AC94" s="768" t="n">
        <v>0</v>
      </c>
      <c r="AD94" s="768" t="n">
        <v>0</v>
      </c>
      <c r="AE94" s="768" t="n">
        <v>0</v>
      </c>
      <c r="AF94" s="768" t="n">
        <v>0</v>
      </c>
      <c r="AG94" s="768" t="n">
        <v>0</v>
      </c>
      <c r="AH94" s="768" t="n">
        <v>0</v>
      </c>
      <c r="AI94" s="768" t="n">
        <v>0</v>
      </c>
      <c r="AJ94" s="768" t="n">
        <v>0</v>
      </c>
      <c r="AK94" s="768" t="n">
        <v>0</v>
      </c>
      <c r="AL94" s="768" t="n">
        <v>0</v>
      </c>
      <c r="AM94" s="768" t="n">
        <v>0</v>
      </c>
      <c r="AN94" s="768" t="n">
        <v>0</v>
      </c>
      <c r="AO94" s="765">
        <f>SUM(AC94:AN94)</f>
        <v/>
      </c>
      <c r="AP94" s="462" t="n"/>
      <c r="AQ94" s="702">
        <f>IF($P94&gt;0,(($W94)/(12)),0)</f>
        <v/>
      </c>
      <c r="AR94" s="702">
        <f>IF($P94&gt;0,(($W94)/(12)),0)</f>
        <v/>
      </c>
      <c r="AS94" s="702">
        <f>IF($P94&gt;0,(($W94)/(12)),0)</f>
        <v/>
      </c>
      <c r="AT94" s="702">
        <f>IF($P94&gt;0,(($W94)/(12)),0)</f>
        <v/>
      </c>
      <c r="AU94" s="702">
        <f>IF($P94&gt;0,(($W94)/(12)),0)</f>
        <v/>
      </c>
      <c r="AV94" s="702">
        <f>IF($P94&gt;0,(($W94)/(12)),0)</f>
        <v/>
      </c>
      <c r="AW94" s="702">
        <f>IF($P94&gt;0,(($W94)/(12)),0)</f>
        <v/>
      </c>
      <c r="AX94" s="702">
        <f>IF($P94&gt;0,(($W94)/(12)),0)</f>
        <v/>
      </c>
      <c r="AY94" s="702">
        <f>IF($P94&gt;0,(($W94)/(12)),0)</f>
        <v/>
      </c>
      <c r="AZ94" s="702">
        <f>IF($P94&gt;0,(($W94)/(12)),0)</f>
        <v/>
      </c>
      <c r="BA94" s="702">
        <f>IF($P94&gt;0,(($W94)/(12)),0)</f>
        <v/>
      </c>
      <c r="BB94" s="702">
        <f>IF($P94&gt;0,(($W94)/(12)),0)</f>
        <v/>
      </c>
      <c r="BC94" s="765">
        <f>SUM(AQ94:BB94)</f>
        <v/>
      </c>
      <c r="BD94" s="462" t="n"/>
      <c r="BE94" s="702">
        <f>IF($Q94&gt;0,(($X94)/(12)),0)</f>
        <v/>
      </c>
      <c r="BF94" s="702">
        <f>IF($Q94&gt;0,(($X94)/(12)),0)</f>
        <v/>
      </c>
      <c r="BG94" s="702">
        <f>IF($Q94&gt;0,(($X94)/(12)),0)</f>
        <v/>
      </c>
      <c r="BH94" s="702">
        <f>IF($Q94&gt;0,(($X94)/(12)),0)</f>
        <v/>
      </c>
      <c r="BI94" s="702">
        <f>IF($Q94&gt;0,(($X94)/(12)),0)</f>
        <v/>
      </c>
      <c r="BJ94" s="702">
        <f>IF($Q94&gt;0,(($X94)/(12)),0)</f>
        <v/>
      </c>
      <c r="BK94" s="702">
        <f>IF($Q94&gt;0,(($X94)/(12)),0)</f>
        <v/>
      </c>
      <c r="BL94" s="702">
        <f>IF($Q94&gt;0,(($X94)/(12)),0)</f>
        <v/>
      </c>
      <c r="BM94" s="702">
        <f>IF($Q94&gt;0,(($X94)/(12)),0)</f>
        <v/>
      </c>
      <c r="BN94" s="702">
        <f>IF($Q94&gt;0,(($X94)/(12)),0)</f>
        <v/>
      </c>
      <c r="BO94" s="702">
        <f>IF($Q94&gt;0,(($X94)/(12)),0)</f>
        <v/>
      </c>
      <c r="BP94" s="702">
        <f>IF($Q94&gt;0,(($X94)/(12)),0)</f>
        <v/>
      </c>
      <c r="BQ94" s="765">
        <f>SUM(BE94:BP94)</f>
        <v/>
      </c>
      <c r="BR94" s="507" t="n"/>
      <c r="BS94" s="702">
        <f>IF($R94&gt;0,(($Y94)/(12)),0)</f>
        <v/>
      </c>
      <c r="BT94" s="702">
        <f>IF($R94&gt;0,(($Y94)/(12)),0)</f>
        <v/>
      </c>
      <c r="BU94" s="702">
        <f>IF($R94&gt;0,(($Y94)/(12)),0)</f>
        <v/>
      </c>
      <c r="BV94" s="702">
        <f>IF($R94&gt;0,(($Y94)/(12)),0)</f>
        <v/>
      </c>
      <c r="BW94" s="702">
        <f>IF($R94&gt;0,(($Y94)/(12)),0)</f>
        <v/>
      </c>
      <c r="BX94" s="702">
        <f>IF($R94&gt;0,(($Y94)/(12)),0)</f>
        <v/>
      </c>
      <c r="BY94" s="702">
        <f>IF($R94&gt;0,(($Y94)/(12)),0)</f>
        <v/>
      </c>
      <c r="BZ94" s="702">
        <f>IF($R94&gt;0,(($Y94)/(12)),0)</f>
        <v/>
      </c>
      <c r="CA94" s="702">
        <f>IF($R94&gt;0,(($Y94)/(12)),0)</f>
        <v/>
      </c>
      <c r="CB94" s="702">
        <f>IF($R94&gt;0,(($Y94)/(12)),0)</f>
        <v/>
      </c>
      <c r="CC94" s="702">
        <f>IF($R94&gt;0,(($Y94)/(12)),0)</f>
        <v/>
      </c>
      <c r="CD94" s="702">
        <f>IF($R94&gt;0,(($Y94)/(12)),0)</f>
        <v/>
      </c>
      <c r="CE94" s="765">
        <f>SUM(BS94:CD94)</f>
        <v/>
      </c>
      <c r="CF94" s="507" t="n"/>
      <c r="CG94" s="702">
        <f>IF($S94&gt;0,(($Z94)/(12)),0)</f>
        <v/>
      </c>
      <c r="CH94" s="702">
        <f>IF($S94&gt;0,(($Z94)/(12)),0)</f>
        <v/>
      </c>
      <c r="CI94" s="702">
        <f>IF($S94&gt;0,(($Z94)/(12)),0)</f>
        <v/>
      </c>
      <c r="CJ94" s="702">
        <f>IF($S94&gt;0,(($Z94)/(12)),0)</f>
        <v/>
      </c>
      <c r="CK94" s="702">
        <f>IF($S94&gt;0,(($Z94)/(12)),0)</f>
        <v/>
      </c>
      <c r="CL94" s="702">
        <f>IF($S94&gt;0,(($Z94)/(12)),0)</f>
        <v/>
      </c>
      <c r="CM94" s="702">
        <f>IF($S94&gt;0,(($Z94)/(12)),0)</f>
        <v/>
      </c>
      <c r="CN94" s="702">
        <f>IF($S94&gt;0,(($Z94)/(12)),0)</f>
        <v/>
      </c>
      <c r="CO94" s="702">
        <f>IF($S94&gt;0,(($Z94)/(12)),0)</f>
        <v/>
      </c>
      <c r="CP94" s="702">
        <f>IF($S94&gt;0,(($Z94)/(12)),0)</f>
        <v/>
      </c>
      <c r="CQ94" s="702">
        <f>IF($S94&gt;0,(($Z94)/(12)),0)</f>
        <v/>
      </c>
      <c r="CR94" s="702">
        <f>IF($S94&gt;0,(($Z94)/(12)),0)</f>
        <v/>
      </c>
      <c r="CS94" s="765">
        <f>SUM(CG94:CR94)</f>
        <v/>
      </c>
      <c r="CU94" s="702">
        <f>IF($T94&gt;0,(($AA94)/(12)),0)</f>
        <v/>
      </c>
      <c r="CV94" s="702">
        <f>IF($T94&gt;0,(($AA94)/(12)),0)</f>
        <v/>
      </c>
      <c r="CW94" s="702">
        <f>IF($T94&gt;0,(($AA94)/(12)),0)</f>
        <v/>
      </c>
      <c r="CX94" s="702">
        <f>IF($T94&gt;0,(($AA94)/(12)),0)</f>
        <v/>
      </c>
      <c r="CY94" s="702">
        <f>IF($T94&gt;0,(($AA94)/(12)),0)</f>
        <v/>
      </c>
      <c r="CZ94" s="702">
        <f>IF($T94&gt;0,(($AA94)/(12)),0)</f>
        <v/>
      </c>
      <c r="DA94" s="702">
        <f>IF($T94&gt;0,(($AA94)/(12)),0)</f>
        <v/>
      </c>
      <c r="DB94" s="702">
        <f>IF($T94&gt;0,(($AA94)/(12)),0)</f>
        <v/>
      </c>
      <c r="DC94" s="702">
        <f>IF($T94&gt;0,(($AA94)/(12)),0)</f>
        <v/>
      </c>
      <c r="DD94" s="702">
        <f>IF($T94&gt;0,(($AA94)/(12)),0)</f>
        <v/>
      </c>
      <c r="DE94" s="702">
        <f>IF($T94&gt;0,(($AA94)/(12)),0)</f>
        <v/>
      </c>
      <c r="DF94" s="702">
        <f>IF($T94&gt;0,(($AA94)/(12)),0)</f>
        <v/>
      </c>
      <c r="DG94" s="765">
        <f>SUM(CU94:DF94)</f>
        <v/>
      </c>
    </row>
    <row r="95" ht="15" customHeight="1" s="1883">
      <c r="B95" s="752">
        <f>((B94)+(1))</f>
        <v/>
      </c>
      <c r="C95" s="726" t="n"/>
      <c r="D95" s="730" t="inlineStr">
        <is>
          <t>●</t>
        </is>
      </c>
      <c r="E95" s="736" t="inlineStr">
        <is>
          <t>TBD</t>
        </is>
      </c>
      <c r="F95" s="737" t="n"/>
      <c r="G95" s="737" t="n"/>
      <c r="H95" s="737" t="n"/>
      <c r="I95" s="736" t="inlineStr">
        <is>
          <t>Regional Director, Commercial</t>
        </is>
      </c>
      <c r="J95" s="746" t="inlineStr">
        <is>
          <t>OCONUS</t>
        </is>
      </c>
      <c r="K95" s="737" t="n"/>
      <c r="L95" s="753" t="n">
        <v>13</v>
      </c>
      <c r="M95" s="753" t="n">
        <v>13</v>
      </c>
      <c r="N95" s="744" t="n"/>
      <c r="O95" s="815" t="n"/>
      <c r="P95" s="755" t="n">
        <v>0</v>
      </c>
      <c r="Q95" s="755" t="n">
        <v>0</v>
      </c>
      <c r="R95" s="755" t="n">
        <v>0</v>
      </c>
      <c r="S95" s="755" t="n">
        <v>0</v>
      </c>
      <c r="T95" s="755" t="n">
        <v>0</v>
      </c>
      <c r="U95" s="737" t="n"/>
      <c r="V95" s="703" t="n">
        <v>0</v>
      </c>
      <c r="W95" s="701" t="n">
        <v>0</v>
      </c>
      <c r="X95" s="700">
        <f>((W95)*((1)+($X$63)))</f>
        <v/>
      </c>
      <c r="Y95" s="700">
        <f>((X95)*((1)+($Y$63)))</f>
        <v/>
      </c>
      <c r="Z95" s="700">
        <f>((Y95)*((1)+($Z$63)))</f>
        <v/>
      </c>
      <c r="AA95" s="700">
        <f>((Z95)*((1)+($AA$63)))</f>
        <v/>
      </c>
      <c r="AB95" s="726" t="n"/>
      <c r="AC95" s="768" t="n">
        <v>0</v>
      </c>
      <c r="AD95" s="768" t="n">
        <v>0</v>
      </c>
      <c r="AE95" s="768" t="n">
        <v>0</v>
      </c>
      <c r="AF95" s="768" t="n">
        <v>0</v>
      </c>
      <c r="AG95" s="768" t="n">
        <v>0</v>
      </c>
      <c r="AH95" s="768" t="n">
        <v>0</v>
      </c>
      <c r="AI95" s="768" t="n">
        <v>0</v>
      </c>
      <c r="AJ95" s="768" t="n">
        <v>0</v>
      </c>
      <c r="AK95" s="768" t="n">
        <v>0</v>
      </c>
      <c r="AL95" s="768" t="n">
        <v>0</v>
      </c>
      <c r="AM95" s="768" t="n">
        <v>0</v>
      </c>
      <c r="AN95" s="768" t="n">
        <v>0</v>
      </c>
      <c r="AO95" s="765">
        <f>SUM(AC95:AN95)</f>
        <v/>
      </c>
      <c r="AP95" s="462" t="n"/>
      <c r="AQ95" s="702">
        <f>IF($P95&gt;0,(($W95)/(12)),0)</f>
        <v/>
      </c>
      <c r="AR95" s="702">
        <f>IF($P95&gt;0,(($W95)/(12)),0)</f>
        <v/>
      </c>
      <c r="AS95" s="702">
        <f>IF($P95&gt;0,(($W95)/(12)),0)</f>
        <v/>
      </c>
      <c r="AT95" s="702">
        <f>IF($P95&gt;0,(($W95)/(12)),0)</f>
        <v/>
      </c>
      <c r="AU95" s="702">
        <f>IF($P95&gt;0,(($W95)/(12)),0)</f>
        <v/>
      </c>
      <c r="AV95" s="702">
        <f>IF($P95&gt;0,(($W95)/(12)),0)</f>
        <v/>
      </c>
      <c r="AW95" s="702">
        <f>IF($P95&gt;0,(($W95)/(12)),0)</f>
        <v/>
      </c>
      <c r="AX95" s="702">
        <f>IF($P95&gt;0,(($W95)/(12)),0)</f>
        <v/>
      </c>
      <c r="AY95" s="702">
        <f>IF($P95&gt;0,(($W95)/(12)),0)</f>
        <v/>
      </c>
      <c r="AZ95" s="702">
        <f>IF($P95&gt;0,(($W95)/(12)),0)</f>
        <v/>
      </c>
      <c r="BA95" s="702">
        <f>IF($P95&gt;0,(($W95)/(12)),0)</f>
        <v/>
      </c>
      <c r="BB95" s="702">
        <f>IF($P95&gt;0,(($W95)/(12)),0)</f>
        <v/>
      </c>
      <c r="BC95" s="765">
        <f>SUM(AQ95:BB95)</f>
        <v/>
      </c>
      <c r="BD95" s="462" t="n"/>
      <c r="BE95" s="702">
        <f>IF($Q95&gt;0,(($X95)/(12)),0)</f>
        <v/>
      </c>
      <c r="BF95" s="702">
        <f>IF($Q95&gt;0,(($X95)/(12)),0)</f>
        <v/>
      </c>
      <c r="BG95" s="702">
        <f>IF($Q95&gt;0,(($X95)/(12)),0)</f>
        <v/>
      </c>
      <c r="BH95" s="702">
        <f>IF($Q95&gt;0,(($X95)/(12)),0)</f>
        <v/>
      </c>
      <c r="BI95" s="702">
        <f>IF($Q95&gt;0,(($X95)/(12)),0)</f>
        <v/>
      </c>
      <c r="BJ95" s="702">
        <f>IF($Q95&gt;0,(($X95)/(12)),0)</f>
        <v/>
      </c>
      <c r="BK95" s="702">
        <f>IF($Q95&gt;0,(($X95)/(12)),0)</f>
        <v/>
      </c>
      <c r="BL95" s="702">
        <f>IF($Q95&gt;0,(($X95)/(12)),0)</f>
        <v/>
      </c>
      <c r="BM95" s="702">
        <f>IF($Q95&gt;0,(($X95)/(12)),0)</f>
        <v/>
      </c>
      <c r="BN95" s="702">
        <f>IF($Q95&gt;0,(($X95)/(12)),0)</f>
        <v/>
      </c>
      <c r="BO95" s="702">
        <f>IF($Q95&gt;0,(($X95)/(12)),0)</f>
        <v/>
      </c>
      <c r="BP95" s="702">
        <f>IF($Q95&gt;0,(($X95)/(12)),0)</f>
        <v/>
      </c>
      <c r="BQ95" s="765">
        <f>SUM(BE95:BP95)</f>
        <v/>
      </c>
      <c r="BR95" s="507" t="n"/>
      <c r="BS95" s="702">
        <f>IF($R95&gt;0,(($Y95)/(12)),0)</f>
        <v/>
      </c>
      <c r="BT95" s="702">
        <f>IF($R95&gt;0,(($Y95)/(12)),0)</f>
        <v/>
      </c>
      <c r="BU95" s="702">
        <f>IF($R95&gt;0,(($Y95)/(12)),0)</f>
        <v/>
      </c>
      <c r="BV95" s="702">
        <f>IF($R95&gt;0,(($Y95)/(12)),0)</f>
        <v/>
      </c>
      <c r="BW95" s="702">
        <f>IF($R95&gt;0,(($Y95)/(12)),0)</f>
        <v/>
      </c>
      <c r="BX95" s="702">
        <f>IF($R95&gt;0,(($Y95)/(12)),0)</f>
        <v/>
      </c>
      <c r="BY95" s="702">
        <f>IF($R95&gt;0,(($Y95)/(12)),0)</f>
        <v/>
      </c>
      <c r="BZ95" s="702">
        <f>IF($R95&gt;0,(($Y95)/(12)),0)</f>
        <v/>
      </c>
      <c r="CA95" s="702">
        <f>IF($R95&gt;0,(($Y95)/(12)),0)</f>
        <v/>
      </c>
      <c r="CB95" s="702">
        <f>IF($R95&gt;0,(($Y95)/(12)),0)</f>
        <v/>
      </c>
      <c r="CC95" s="702">
        <f>IF($R95&gt;0,(($Y95)/(12)),0)</f>
        <v/>
      </c>
      <c r="CD95" s="702">
        <f>IF($R95&gt;0,(($Y95)/(12)),0)</f>
        <v/>
      </c>
      <c r="CE95" s="765">
        <f>SUM(BS95:CD95)</f>
        <v/>
      </c>
      <c r="CF95" s="507" t="n"/>
      <c r="CG95" s="702">
        <f>IF($S95&gt;0,(($Z95)/(12)),0)</f>
        <v/>
      </c>
      <c r="CH95" s="702">
        <f>IF($S95&gt;0,(($Z95)/(12)),0)</f>
        <v/>
      </c>
      <c r="CI95" s="702">
        <f>IF($S95&gt;0,(($Z95)/(12)),0)</f>
        <v/>
      </c>
      <c r="CJ95" s="702">
        <f>IF($S95&gt;0,(($Z95)/(12)),0)</f>
        <v/>
      </c>
      <c r="CK95" s="702">
        <f>IF($S95&gt;0,(($Z95)/(12)),0)</f>
        <v/>
      </c>
      <c r="CL95" s="702">
        <f>IF($S95&gt;0,(($Z95)/(12)),0)</f>
        <v/>
      </c>
      <c r="CM95" s="702">
        <f>IF($S95&gt;0,(($Z95)/(12)),0)</f>
        <v/>
      </c>
      <c r="CN95" s="702">
        <f>IF($S95&gt;0,(($Z95)/(12)),0)</f>
        <v/>
      </c>
      <c r="CO95" s="702">
        <f>IF($S95&gt;0,(($Z95)/(12)),0)</f>
        <v/>
      </c>
      <c r="CP95" s="702">
        <f>IF($S95&gt;0,(($Z95)/(12)),0)</f>
        <v/>
      </c>
      <c r="CQ95" s="702">
        <f>IF($S95&gt;0,(($Z95)/(12)),0)</f>
        <v/>
      </c>
      <c r="CR95" s="702">
        <f>IF($S95&gt;0,(($Z95)/(12)),0)</f>
        <v/>
      </c>
      <c r="CS95" s="765">
        <f>SUM(CG95:CR95)</f>
        <v/>
      </c>
      <c r="CU95" s="702">
        <f>IF($T95&gt;0,(($AA95)/(12)),0)</f>
        <v/>
      </c>
      <c r="CV95" s="702">
        <f>IF($T95&gt;0,(($AA95)/(12)),0)</f>
        <v/>
      </c>
      <c r="CW95" s="702">
        <f>IF($T95&gt;0,(($AA95)/(12)),0)</f>
        <v/>
      </c>
      <c r="CX95" s="702">
        <f>IF($T95&gt;0,(($AA95)/(12)),0)</f>
        <v/>
      </c>
      <c r="CY95" s="702">
        <f>IF($T95&gt;0,(($AA95)/(12)),0)</f>
        <v/>
      </c>
      <c r="CZ95" s="702">
        <f>IF($T95&gt;0,(($AA95)/(12)),0)</f>
        <v/>
      </c>
      <c r="DA95" s="702">
        <f>IF($T95&gt;0,(($AA95)/(12)),0)</f>
        <v/>
      </c>
      <c r="DB95" s="702">
        <f>IF($T95&gt;0,(($AA95)/(12)),0)</f>
        <v/>
      </c>
      <c r="DC95" s="702">
        <f>IF($T95&gt;0,(($AA95)/(12)),0)</f>
        <v/>
      </c>
      <c r="DD95" s="702">
        <f>IF($T95&gt;0,(($AA95)/(12)),0)</f>
        <v/>
      </c>
      <c r="DE95" s="702">
        <f>IF($T95&gt;0,(($AA95)/(12)),0)</f>
        <v/>
      </c>
      <c r="DF95" s="702">
        <f>IF($T95&gt;0,(($AA95)/(12)),0)</f>
        <v/>
      </c>
      <c r="DG95" s="765">
        <f>SUM(CU95:DF95)</f>
        <v/>
      </c>
    </row>
    <row r="96" ht="15" customHeight="1" s="1883">
      <c r="B96" s="752">
        <f>((B95)+(1))</f>
        <v/>
      </c>
      <c r="C96" s="726" t="n"/>
      <c r="D96" s="730" t="inlineStr">
        <is>
          <t>●</t>
        </is>
      </c>
      <c r="E96" s="736" t="inlineStr">
        <is>
          <t>TBD</t>
        </is>
      </c>
      <c r="F96" s="737" t="n"/>
      <c r="G96" s="737" t="n"/>
      <c r="H96" s="737" t="n"/>
      <c r="I96" s="736" t="inlineStr">
        <is>
          <t>Regional Director, Commercial</t>
        </is>
      </c>
      <c r="J96" s="746" t="inlineStr">
        <is>
          <t>OCONUS</t>
        </is>
      </c>
      <c r="K96" s="737" t="n"/>
      <c r="L96" s="753" t="n">
        <v>25</v>
      </c>
      <c r="M96" s="753" t="n">
        <v>25</v>
      </c>
      <c r="N96" s="744" t="n"/>
      <c r="O96" s="815" t="n"/>
      <c r="P96" s="755" t="n"/>
      <c r="Q96" s="755" t="n">
        <v>0</v>
      </c>
      <c r="R96" s="755" t="n">
        <v>0</v>
      </c>
      <c r="S96" s="755" t="n">
        <v>0</v>
      </c>
      <c r="T96" s="755" t="n">
        <v>0</v>
      </c>
      <c r="U96" s="737" t="n"/>
      <c r="V96" s="703" t="n">
        <v>0</v>
      </c>
      <c r="W96" s="701" t="n">
        <v>0</v>
      </c>
      <c r="X96" s="700">
        <f>((W96)*((1)+($X$63)))</f>
        <v/>
      </c>
      <c r="Y96" s="700">
        <f>((X96)*((1)+($Y$63)))</f>
        <v/>
      </c>
      <c r="Z96" s="700">
        <f>((Y96)*((1)+($Z$63)))</f>
        <v/>
      </c>
      <c r="AA96" s="700">
        <f>((Z96)*((1)+($AA$63)))</f>
        <v/>
      </c>
      <c r="AB96" s="726" t="n"/>
      <c r="AC96" s="768" t="n">
        <v>0</v>
      </c>
      <c r="AD96" s="768" t="n">
        <v>0</v>
      </c>
      <c r="AE96" s="768" t="n">
        <v>0</v>
      </c>
      <c r="AF96" s="768" t="n">
        <v>0</v>
      </c>
      <c r="AG96" s="768" t="n">
        <v>0</v>
      </c>
      <c r="AH96" s="768" t="n">
        <v>0</v>
      </c>
      <c r="AI96" s="768" t="n">
        <v>0</v>
      </c>
      <c r="AJ96" s="768" t="n">
        <v>0</v>
      </c>
      <c r="AK96" s="768" t="n">
        <v>0</v>
      </c>
      <c r="AL96" s="768" t="n">
        <v>0</v>
      </c>
      <c r="AM96" s="768" t="n">
        <v>0</v>
      </c>
      <c r="AN96" s="768" t="n">
        <v>0</v>
      </c>
      <c r="AO96" s="765">
        <f>SUM(AC96:AN96)</f>
        <v/>
      </c>
      <c r="AP96" s="462" t="n"/>
      <c r="AQ96" s="702">
        <f>IF($P96&gt;0,(($W96)/(12)),0)</f>
        <v/>
      </c>
      <c r="AR96" s="702">
        <f>IF($P96&gt;0,(($W96)/(12)),0)</f>
        <v/>
      </c>
      <c r="AS96" s="702">
        <f>IF($P96&gt;0,(($W96)/(12)),0)</f>
        <v/>
      </c>
      <c r="AT96" s="702">
        <f>IF($P96&gt;0,(($W96)/(12)),0)</f>
        <v/>
      </c>
      <c r="AU96" s="702">
        <f>IF($P96&gt;0,(($W96)/(12)),0)</f>
        <v/>
      </c>
      <c r="AV96" s="702">
        <f>IF($P96&gt;0,(($W96)/(12)),0)</f>
        <v/>
      </c>
      <c r="AW96" s="702">
        <f>IF($P96&gt;0,(($W96)/(12)),0)</f>
        <v/>
      </c>
      <c r="AX96" s="702">
        <f>IF($P96&gt;0,(($W96)/(12)),0)</f>
        <v/>
      </c>
      <c r="AY96" s="702">
        <f>IF($P96&gt;0,(($W96)/(12)),0)</f>
        <v/>
      </c>
      <c r="AZ96" s="702">
        <f>IF($P96&gt;0,(($W96)/(12)),0)</f>
        <v/>
      </c>
      <c r="BA96" s="702">
        <f>IF($P96&gt;0,(($W96)/(12)),0)</f>
        <v/>
      </c>
      <c r="BB96" s="702">
        <f>IF($P96&gt;0,(($W96)/(12)),0)</f>
        <v/>
      </c>
      <c r="BC96" s="765">
        <f>SUM(AQ96:BB96)</f>
        <v/>
      </c>
      <c r="BD96" s="462" t="n"/>
      <c r="BE96" s="702" t="n">
        <v>0</v>
      </c>
      <c r="BF96" s="702" t="n">
        <v>0</v>
      </c>
      <c r="BG96" s="702" t="n">
        <v>0</v>
      </c>
      <c r="BH96" s="702" t="n">
        <v>0</v>
      </c>
      <c r="BI96" s="702" t="n">
        <v>0</v>
      </c>
      <c r="BJ96" s="702" t="n">
        <v>0</v>
      </c>
      <c r="BK96" s="702" t="n">
        <v>0</v>
      </c>
      <c r="BL96" s="702" t="n">
        <v>0</v>
      </c>
      <c r="BM96" s="702" t="n">
        <v>0</v>
      </c>
      <c r="BN96" s="702" t="n">
        <v>0</v>
      </c>
      <c r="BO96" s="702" t="n">
        <v>0</v>
      </c>
      <c r="BP96" s="702" t="n">
        <v>0</v>
      </c>
      <c r="BQ96" s="765">
        <f>SUM(BE96:BP96)</f>
        <v/>
      </c>
      <c r="BR96" s="507" t="n"/>
      <c r="BS96" s="702">
        <f>IF($R96&gt;0,(($Y96)/(12)),0)</f>
        <v/>
      </c>
      <c r="BT96" s="702">
        <f>IF($R96&gt;0,(($Y96)/(12)),0)</f>
        <v/>
      </c>
      <c r="BU96" s="702">
        <f>IF($R96&gt;0,(($Y96)/(12)),0)</f>
        <v/>
      </c>
      <c r="BV96" s="702">
        <f>IF($R96&gt;0,(($Y96)/(12)),0)</f>
        <v/>
      </c>
      <c r="BW96" s="702">
        <f>IF($R96&gt;0,(($Y96)/(12)),0)</f>
        <v/>
      </c>
      <c r="BX96" s="702">
        <f>IF($R96&gt;0,(($Y96)/(12)),0)</f>
        <v/>
      </c>
      <c r="BY96" s="702">
        <f>IF($R96&gt;0,(($Y96)/(12)),0)</f>
        <v/>
      </c>
      <c r="BZ96" s="702">
        <f>IF($R96&gt;0,(($Y96)/(12)),0)</f>
        <v/>
      </c>
      <c r="CA96" s="702">
        <f>IF($R96&gt;0,(($Y96)/(12)),0)</f>
        <v/>
      </c>
      <c r="CB96" s="702">
        <f>IF($R96&gt;0,(($Y96)/(12)),0)</f>
        <v/>
      </c>
      <c r="CC96" s="702">
        <f>IF($R96&gt;0,(($Y96)/(12)),0)</f>
        <v/>
      </c>
      <c r="CD96" s="702">
        <f>IF($R96&gt;0,(($Y96)/(12)),0)</f>
        <v/>
      </c>
      <c r="CE96" s="765">
        <f>SUM(BS96:CD96)</f>
        <v/>
      </c>
      <c r="CF96" s="507" t="n"/>
      <c r="CG96" s="702">
        <f>IF($S96&gt;0,(($Z96)/(12)),0)</f>
        <v/>
      </c>
      <c r="CH96" s="702">
        <f>IF($S96&gt;0,(($Z96)/(12)),0)</f>
        <v/>
      </c>
      <c r="CI96" s="702">
        <f>IF($S96&gt;0,(($Z96)/(12)),0)</f>
        <v/>
      </c>
      <c r="CJ96" s="702">
        <f>IF($S96&gt;0,(($Z96)/(12)),0)</f>
        <v/>
      </c>
      <c r="CK96" s="702">
        <f>IF($S96&gt;0,(($Z96)/(12)),0)</f>
        <v/>
      </c>
      <c r="CL96" s="702">
        <f>IF($S96&gt;0,(($Z96)/(12)),0)</f>
        <v/>
      </c>
      <c r="CM96" s="702">
        <f>IF($S96&gt;0,(($Z96)/(12)),0)</f>
        <v/>
      </c>
      <c r="CN96" s="702">
        <f>IF($S96&gt;0,(($Z96)/(12)),0)</f>
        <v/>
      </c>
      <c r="CO96" s="702">
        <f>IF($S96&gt;0,(($Z96)/(12)),0)</f>
        <v/>
      </c>
      <c r="CP96" s="702">
        <f>IF($S96&gt;0,(($Z96)/(12)),0)</f>
        <v/>
      </c>
      <c r="CQ96" s="702">
        <f>IF($S96&gt;0,(($Z96)/(12)),0)</f>
        <v/>
      </c>
      <c r="CR96" s="702">
        <f>IF($S96&gt;0,(($Z96)/(12)),0)</f>
        <v/>
      </c>
      <c r="CS96" s="765">
        <f>SUM(CG96:CR96)</f>
        <v/>
      </c>
      <c r="CU96" s="702">
        <f>IF($T96&gt;0,(($AA96)/(12)),0)</f>
        <v/>
      </c>
      <c r="CV96" s="702">
        <f>IF($T96&gt;0,(($AA96)/(12)),0)</f>
        <v/>
      </c>
      <c r="CW96" s="702">
        <f>IF($T96&gt;0,(($AA96)/(12)),0)</f>
        <v/>
      </c>
      <c r="CX96" s="702">
        <f>IF($T96&gt;0,(($AA96)/(12)),0)</f>
        <v/>
      </c>
      <c r="CY96" s="702">
        <f>IF($T96&gt;0,(($AA96)/(12)),0)</f>
        <v/>
      </c>
      <c r="CZ96" s="702">
        <f>IF($T96&gt;0,(($AA96)/(12)),0)</f>
        <v/>
      </c>
      <c r="DA96" s="702">
        <f>IF($T96&gt;0,(($AA96)/(12)),0)</f>
        <v/>
      </c>
      <c r="DB96" s="702">
        <f>IF($T96&gt;0,(($AA96)/(12)),0)</f>
        <v/>
      </c>
      <c r="DC96" s="702">
        <f>IF($T96&gt;0,(($AA96)/(12)),0)</f>
        <v/>
      </c>
      <c r="DD96" s="702">
        <f>IF($T96&gt;0,(($AA96)/(12)),0)</f>
        <v/>
      </c>
      <c r="DE96" s="702">
        <f>IF($T96&gt;0,(($AA96)/(12)),0)</f>
        <v/>
      </c>
      <c r="DF96" s="702">
        <f>IF($T96&gt;0,(($AA96)/(12)),0)</f>
        <v/>
      </c>
      <c r="DG96" s="765">
        <f>SUM(CU96:DF96)</f>
        <v/>
      </c>
    </row>
    <row r="97" ht="15" customHeight="1" s="1883">
      <c r="B97" s="752">
        <f>((B96)+(1))</f>
        <v/>
      </c>
      <c r="C97" s="726" t="n"/>
      <c r="D97" s="730" t="inlineStr">
        <is>
          <t>●</t>
        </is>
      </c>
      <c r="E97" s="736" t="inlineStr">
        <is>
          <t>TBD</t>
        </is>
      </c>
      <c r="F97" s="737" t="n"/>
      <c r="G97" s="737" t="n"/>
      <c r="H97" s="737" t="n"/>
      <c r="I97" s="736" t="inlineStr">
        <is>
          <t>Regional Director, Commercial</t>
        </is>
      </c>
      <c r="J97" s="746" t="inlineStr">
        <is>
          <t>OCONUS</t>
        </is>
      </c>
      <c r="K97" s="737" t="n"/>
      <c r="L97" s="753" t="n">
        <v>25</v>
      </c>
      <c r="M97" s="753" t="n">
        <v>25</v>
      </c>
      <c r="N97" s="744" t="n"/>
      <c r="O97" s="815" t="n"/>
      <c r="P97" s="756" t="n"/>
      <c r="Q97" s="756" t="n"/>
      <c r="R97" s="755" t="n">
        <v>0</v>
      </c>
      <c r="S97" s="755" t="n">
        <v>0</v>
      </c>
      <c r="T97" s="755" t="n">
        <v>0</v>
      </c>
      <c r="U97" s="737" t="n"/>
      <c r="V97" s="703" t="n">
        <v>0</v>
      </c>
      <c r="W97" s="701" t="n">
        <v>0</v>
      </c>
      <c r="X97" s="700">
        <f>((W97)*((1)+($X$63)))</f>
        <v/>
      </c>
      <c r="Y97" s="700">
        <f>((X97)*((1)+($Y$63)))</f>
        <v/>
      </c>
      <c r="Z97" s="700">
        <f>((Y97)*((1)+($Z$63)))</f>
        <v/>
      </c>
      <c r="AA97" s="700">
        <f>((Z97)*((1)+($AA$63)))</f>
        <v/>
      </c>
      <c r="AB97" s="726" t="n"/>
      <c r="AC97" s="768" t="n">
        <v>0</v>
      </c>
      <c r="AD97" s="768" t="n">
        <v>0</v>
      </c>
      <c r="AE97" s="768" t="n">
        <v>0</v>
      </c>
      <c r="AF97" s="768" t="n">
        <v>0</v>
      </c>
      <c r="AG97" s="768" t="n">
        <v>0</v>
      </c>
      <c r="AH97" s="768" t="n">
        <v>0</v>
      </c>
      <c r="AI97" s="768" t="n">
        <v>0</v>
      </c>
      <c r="AJ97" s="768" t="n">
        <v>0</v>
      </c>
      <c r="AK97" s="768" t="n">
        <v>0</v>
      </c>
      <c r="AL97" s="768" t="n">
        <v>0</v>
      </c>
      <c r="AM97" s="768" t="n">
        <v>0</v>
      </c>
      <c r="AN97" s="768" t="n">
        <v>0</v>
      </c>
      <c r="AO97" s="765">
        <f>SUM(AC97:AN97)</f>
        <v/>
      </c>
      <c r="AP97" s="462" t="n"/>
      <c r="AQ97" s="702">
        <f>IF($P97&gt;0,(($W97)/(12)),0)</f>
        <v/>
      </c>
      <c r="AR97" s="702">
        <f>IF($P97&gt;0,(($W97)/(12)),0)</f>
        <v/>
      </c>
      <c r="AS97" s="702">
        <f>IF($P97&gt;0,(($W97)/(12)),0)</f>
        <v/>
      </c>
      <c r="AT97" s="702">
        <f>IF($P97&gt;0,(($W97)/(12)),0)</f>
        <v/>
      </c>
      <c r="AU97" s="702">
        <f>IF($P97&gt;0,(($W97)/(12)),0)</f>
        <v/>
      </c>
      <c r="AV97" s="702">
        <f>IF($P97&gt;0,(($W97)/(12)),0)</f>
        <v/>
      </c>
      <c r="AW97" s="702">
        <f>IF($P97&gt;0,(($W97)/(12)),0)</f>
        <v/>
      </c>
      <c r="AX97" s="702">
        <f>IF($P97&gt;0,(($W97)/(12)),0)</f>
        <v/>
      </c>
      <c r="AY97" s="702">
        <f>IF($P97&gt;0,(($W97)/(12)),0)</f>
        <v/>
      </c>
      <c r="AZ97" s="702">
        <f>IF($P97&gt;0,(($W97)/(12)),0)</f>
        <v/>
      </c>
      <c r="BA97" s="702">
        <f>IF($P97&gt;0,(($W97)/(12)),0)</f>
        <v/>
      </c>
      <c r="BB97" s="702">
        <f>IF($P97&gt;0,(($W97)/(12)),0)</f>
        <v/>
      </c>
      <c r="BC97" s="765">
        <f>SUM(AQ97:BB97)</f>
        <v/>
      </c>
      <c r="BD97" s="462" t="n"/>
      <c r="BE97" s="702">
        <f>IF($Q97&gt;0,(($X97)/(12)),0)</f>
        <v/>
      </c>
      <c r="BF97" s="702">
        <f>IF($Q97&gt;0,(($X97)/(12)),0)</f>
        <v/>
      </c>
      <c r="BG97" s="702">
        <f>IF($Q97&gt;0,(($X97)/(12)),0)</f>
        <v/>
      </c>
      <c r="BH97" s="702">
        <f>IF($Q97&gt;0,(($X97)/(12)),0)</f>
        <v/>
      </c>
      <c r="BI97" s="702">
        <f>IF($Q97&gt;0,(($X97)/(12)),0)</f>
        <v/>
      </c>
      <c r="BJ97" s="702">
        <f>IF($Q97&gt;0,(($X97)/(12)),0)</f>
        <v/>
      </c>
      <c r="BK97" s="702">
        <f>IF($Q97&gt;0,(($X97)/(12)),0)</f>
        <v/>
      </c>
      <c r="BL97" s="702">
        <f>IF($Q97&gt;0,(($X97)/(12)),0)</f>
        <v/>
      </c>
      <c r="BM97" s="702">
        <f>IF($Q97&gt;0,(($X97)/(12)),0)</f>
        <v/>
      </c>
      <c r="BN97" s="702">
        <f>IF($Q97&gt;0,(($X97)/(12)),0)</f>
        <v/>
      </c>
      <c r="BO97" s="702">
        <f>IF($Q97&gt;0,(($X97)/(12)),0)</f>
        <v/>
      </c>
      <c r="BP97" s="702">
        <f>IF($Q97&gt;0,(($X97)/(12)),0)</f>
        <v/>
      </c>
      <c r="BQ97" s="765">
        <f>SUM(BE97:BP97)</f>
        <v/>
      </c>
      <c r="BR97" s="507" t="n"/>
      <c r="BS97" s="702">
        <f>IF($R97&gt;0,(($Y97)/(12)),0)</f>
        <v/>
      </c>
      <c r="BT97" s="702">
        <f>IF($R97&gt;0,(($Y97)/(12)),0)</f>
        <v/>
      </c>
      <c r="BU97" s="702">
        <f>IF($R97&gt;0,(($Y97)/(12)),0)</f>
        <v/>
      </c>
      <c r="BV97" s="702">
        <f>IF($R97&gt;0,(($Y97)/(12)),0)</f>
        <v/>
      </c>
      <c r="BW97" s="702">
        <f>IF($R97&gt;0,(($Y97)/(12)),0)</f>
        <v/>
      </c>
      <c r="BX97" s="702">
        <f>IF($R97&gt;0,(($Y97)/(12)),0)</f>
        <v/>
      </c>
      <c r="BY97" s="702">
        <f>IF($R97&gt;0,(($Y97)/(12)),0)</f>
        <v/>
      </c>
      <c r="BZ97" s="702">
        <f>IF($R97&gt;0,(($Y97)/(12)),0)</f>
        <v/>
      </c>
      <c r="CA97" s="702">
        <f>IF($R97&gt;0,(($Y97)/(12)),0)</f>
        <v/>
      </c>
      <c r="CB97" s="702">
        <f>IF($R97&gt;0,(($Y97)/(12)),0)</f>
        <v/>
      </c>
      <c r="CC97" s="702">
        <f>IF($R97&gt;0,(($Y97)/(12)),0)</f>
        <v/>
      </c>
      <c r="CD97" s="702">
        <f>IF($R97&gt;0,(($Y97)/(12)),0)</f>
        <v/>
      </c>
      <c r="CE97" s="765">
        <f>SUM(BS97:CD97)</f>
        <v/>
      </c>
      <c r="CF97" s="507" t="n"/>
      <c r="CG97" s="702">
        <f>IF($S97&gt;0,(($Z97)/(12)),0)</f>
        <v/>
      </c>
      <c r="CH97" s="702">
        <f>IF($S97&gt;0,(($Z97)/(12)),0)</f>
        <v/>
      </c>
      <c r="CI97" s="702">
        <f>IF($S97&gt;0,(($Z97)/(12)),0)</f>
        <v/>
      </c>
      <c r="CJ97" s="702">
        <f>IF($S97&gt;0,(($Z97)/(12)),0)</f>
        <v/>
      </c>
      <c r="CK97" s="702">
        <f>IF($S97&gt;0,(($Z97)/(12)),0)</f>
        <v/>
      </c>
      <c r="CL97" s="702">
        <f>IF($S97&gt;0,(($Z97)/(12)),0)</f>
        <v/>
      </c>
      <c r="CM97" s="702">
        <f>IF($S97&gt;0,(($Z97)/(12)),0)</f>
        <v/>
      </c>
      <c r="CN97" s="702">
        <f>IF($S97&gt;0,(($Z97)/(12)),0)</f>
        <v/>
      </c>
      <c r="CO97" s="702">
        <f>IF($S97&gt;0,(($Z97)/(12)),0)</f>
        <v/>
      </c>
      <c r="CP97" s="702">
        <f>IF($S97&gt;0,(($Z97)/(12)),0)</f>
        <v/>
      </c>
      <c r="CQ97" s="702">
        <f>IF($S97&gt;0,(($Z97)/(12)),0)</f>
        <v/>
      </c>
      <c r="CR97" s="702">
        <f>IF($S97&gt;0,(($Z97)/(12)),0)</f>
        <v/>
      </c>
      <c r="CS97" s="765">
        <f>SUM(CG97:CR97)</f>
        <v/>
      </c>
      <c r="CU97" s="702">
        <f>IF($T97&gt;0,(($AA97)/(12)),0)</f>
        <v/>
      </c>
      <c r="CV97" s="702">
        <f>IF($T97&gt;0,(($AA97)/(12)),0)</f>
        <v/>
      </c>
      <c r="CW97" s="702">
        <f>IF($T97&gt;0,(($AA97)/(12)),0)</f>
        <v/>
      </c>
      <c r="CX97" s="702">
        <f>IF($T97&gt;0,(($AA97)/(12)),0)</f>
        <v/>
      </c>
      <c r="CY97" s="702">
        <f>IF($T97&gt;0,(($AA97)/(12)),0)</f>
        <v/>
      </c>
      <c r="CZ97" s="702">
        <f>IF($T97&gt;0,(($AA97)/(12)),0)</f>
        <v/>
      </c>
      <c r="DA97" s="702">
        <f>IF($T97&gt;0,(($AA97)/(12)),0)</f>
        <v/>
      </c>
      <c r="DB97" s="702">
        <f>IF($T97&gt;0,(($AA97)/(12)),0)</f>
        <v/>
      </c>
      <c r="DC97" s="702">
        <f>IF($T97&gt;0,(($AA97)/(12)),0)</f>
        <v/>
      </c>
      <c r="DD97" s="702">
        <f>IF($T97&gt;0,(($AA97)/(12)),0)</f>
        <v/>
      </c>
      <c r="DE97" s="702">
        <f>IF($T97&gt;0,(($AA97)/(12)),0)</f>
        <v/>
      </c>
      <c r="DF97" s="702">
        <f>IF($T97&gt;0,(($AA97)/(12)),0)</f>
        <v/>
      </c>
      <c r="DG97" s="765">
        <f>SUM(CU97:DF97)</f>
        <v/>
      </c>
    </row>
    <row r="98" ht="15" customHeight="1" s="1883">
      <c r="B98" s="752">
        <f>((B97)+(1))</f>
        <v/>
      </c>
      <c r="C98" s="726" t="n"/>
      <c r="D98" s="730" t="inlineStr">
        <is>
          <t>●</t>
        </is>
      </c>
      <c r="E98" s="736" t="inlineStr">
        <is>
          <t>TBD</t>
        </is>
      </c>
      <c r="F98" s="737" t="n"/>
      <c r="G98" s="737" t="n"/>
      <c r="H98" s="737" t="n"/>
      <c r="I98" s="736" t="inlineStr">
        <is>
          <t>Regional Director, Commercial</t>
        </is>
      </c>
      <c r="J98" s="746" t="inlineStr">
        <is>
          <t>OCONUS</t>
        </is>
      </c>
      <c r="K98" s="737" t="n"/>
      <c r="L98" s="753" t="n">
        <v>37</v>
      </c>
      <c r="M98" s="753" t="n">
        <v>37</v>
      </c>
      <c r="N98" s="744" t="n"/>
      <c r="O98" s="815" t="n"/>
      <c r="P98" s="756" t="n"/>
      <c r="Q98" s="756" t="n"/>
      <c r="R98" s="756" t="n"/>
      <c r="S98" s="755" t="n">
        <v>0</v>
      </c>
      <c r="T98" s="755" t="n">
        <v>0</v>
      </c>
      <c r="U98" s="737" t="n"/>
      <c r="V98" s="703" t="n">
        <v>0</v>
      </c>
      <c r="W98" s="701" t="n">
        <v>0</v>
      </c>
      <c r="X98" s="700">
        <f>((W98)*((1)+($X$63)))</f>
        <v/>
      </c>
      <c r="Y98" s="700">
        <f>((X98)*((1)+($Y$63)))</f>
        <v/>
      </c>
      <c r="Z98" s="700">
        <f>((Y98)*((1)+($Z$63)))</f>
        <v/>
      </c>
      <c r="AA98" s="700">
        <f>((Z98)*((1)+($AA$63)))</f>
        <v/>
      </c>
      <c r="AB98" s="726" t="n"/>
      <c r="AC98" s="768" t="n">
        <v>0</v>
      </c>
      <c r="AD98" s="768" t="n">
        <v>0</v>
      </c>
      <c r="AE98" s="768" t="n">
        <v>0</v>
      </c>
      <c r="AF98" s="768" t="n">
        <v>0</v>
      </c>
      <c r="AG98" s="768" t="n">
        <v>0</v>
      </c>
      <c r="AH98" s="768" t="n">
        <v>0</v>
      </c>
      <c r="AI98" s="768" t="n">
        <v>0</v>
      </c>
      <c r="AJ98" s="768" t="n">
        <v>0</v>
      </c>
      <c r="AK98" s="768" t="n">
        <v>0</v>
      </c>
      <c r="AL98" s="768" t="n">
        <v>0</v>
      </c>
      <c r="AM98" s="768" t="n">
        <v>0</v>
      </c>
      <c r="AN98" s="768" t="n">
        <v>0</v>
      </c>
      <c r="AO98" s="765">
        <f>SUM(AC98:AN98)</f>
        <v/>
      </c>
      <c r="AP98" s="462" t="n"/>
      <c r="AQ98" s="702">
        <f>IF($P98&gt;0,(($W98)/(12)),0)</f>
        <v/>
      </c>
      <c r="AR98" s="702">
        <f>IF($P98&gt;0,(($W98)/(12)),0)</f>
        <v/>
      </c>
      <c r="AS98" s="702">
        <f>IF($P98&gt;0,(($W98)/(12)),0)</f>
        <v/>
      </c>
      <c r="AT98" s="702">
        <f>IF($P98&gt;0,(($W98)/(12)),0)</f>
        <v/>
      </c>
      <c r="AU98" s="702">
        <f>IF($P98&gt;0,(($W98)/(12)),0)</f>
        <v/>
      </c>
      <c r="AV98" s="702">
        <f>IF($P98&gt;0,(($W98)/(12)),0)</f>
        <v/>
      </c>
      <c r="AW98" s="702">
        <f>IF($P98&gt;0,(($W98)/(12)),0)</f>
        <v/>
      </c>
      <c r="AX98" s="702">
        <f>IF($P98&gt;0,(($W98)/(12)),0)</f>
        <v/>
      </c>
      <c r="AY98" s="702">
        <f>IF($P98&gt;0,(($W98)/(12)),0)</f>
        <v/>
      </c>
      <c r="AZ98" s="702">
        <f>IF($P98&gt;0,(($W98)/(12)),0)</f>
        <v/>
      </c>
      <c r="BA98" s="702">
        <f>IF($P98&gt;0,(($W98)/(12)),0)</f>
        <v/>
      </c>
      <c r="BB98" s="702">
        <f>IF($P98&gt;0,(($W98)/(12)),0)</f>
        <v/>
      </c>
      <c r="BC98" s="765">
        <f>SUM(AQ98:BB98)</f>
        <v/>
      </c>
      <c r="BD98" s="462" t="n"/>
      <c r="BE98" s="702">
        <f>IF($Q98&gt;0,(($X98)/(12)),0)</f>
        <v/>
      </c>
      <c r="BF98" s="702">
        <f>IF($Q98&gt;0,(($X98)/(12)),0)</f>
        <v/>
      </c>
      <c r="BG98" s="702">
        <f>IF($Q98&gt;0,(($X98)/(12)),0)</f>
        <v/>
      </c>
      <c r="BH98" s="702">
        <f>IF($Q98&gt;0,(($X98)/(12)),0)</f>
        <v/>
      </c>
      <c r="BI98" s="702">
        <f>IF($Q98&gt;0,(($X98)/(12)),0)</f>
        <v/>
      </c>
      <c r="BJ98" s="702">
        <f>IF($Q98&gt;0,(($X98)/(12)),0)</f>
        <v/>
      </c>
      <c r="BK98" s="702">
        <f>IF($Q98&gt;0,(($X98)/(12)),0)</f>
        <v/>
      </c>
      <c r="BL98" s="702">
        <f>IF($Q98&gt;0,(($X98)/(12)),0)</f>
        <v/>
      </c>
      <c r="BM98" s="702">
        <f>IF($Q98&gt;0,(($X98)/(12)),0)</f>
        <v/>
      </c>
      <c r="BN98" s="702">
        <f>IF($Q98&gt;0,(($X98)/(12)),0)</f>
        <v/>
      </c>
      <c r="BO98" s="702">
        <f>IF($Q98&gt;0,(($X98)/(12)),0)</f>
        <v/>
      </c>
      <c r="BP98" s="702">
        <f>IF($Q98&gt;0,(($X98)/(12)),0)</f>
        <v/>
      </c>
      <c r="BQ98" s="765">
        <f>SUM(BE98:BP98)</f>
        <v/>
      </c>
      <c r="BR98" s="507" t="n"/>
      <c r="BS98" s="702">
        <f>IF($R98&gt;0,(($Y98)/(12)),0)</f>
        <v/>
      </c>
      <c r="BT98" s="702">
        <f>IF($R98&gt;0,(($Y98)/(12)),0)</f>
        <v/>
      </c>
      <c r="BU98" s="702">
        <f>IF($R98&gt;0,(($Y98)/(12)),0)</f>
        <v/>
      </c>
      <c r="BV98" s="702">
        <f>IF($R98&gt;0,(($Y98)/(12)),0)</f>
        <v/>
      </c>
      <c r="BW98" s="702">
        <f>IF($R98&gt;0,(($Y98)/(12)),0)</f>
        <v/>
      </c>
      <c r="BX98" s="702">
        <f>IF($R98&gt;0,(($Y98)/(12)),0)</f>
        <v/>
      </c>
      <c r="BY98" s="702">
        <f>IF($R98&gt;0,(($Y98)/(12)),0)</f>
        <v/>
      </c>
      <c r="BZ98" s="702">
        <f>IF($R98&gt;0,(($Y98)/(12)),0)</f>
        <v/>
      </c>
      <c r="CA98" s="702">
        <f>IF($R98&gt;0,(($Y98)/(12)),0)</f>
        <v/>
      </c>
      <c r="CB98" s="702">
        <f>IF($R98&gt;0,(($Y98)/(12)),0)</f>
        <v/>
      </c>
      <c r="CC98" s="702">
        <f>IF($R98&gt;0,(($Y98)/(12)),0)</f>
        <v/>
      </c>
      <c r="CD98" s="702">
        <f>IF($R98&gt;0,(($Y98)/(12)),0)</f>
        <v/>
      </c>
      <c r="CE98" s="765">
        <f>SUM(BS98:CD98)</f>
        <v/>
      </c>
      <c r="CF98" s="507" t="n"/>
      <c r="CG98" s="702">
        <f>IF($S98&gt;0,(($Z98)/(12)),0)</f>
        <v/>
      </c>
      <c r="CH98" s="702">
        <f>IF($S98&gt;0,(($Z98)/(12)),0)</f>
        <v/>
      </c>
      <c r="CI98" s="702">
        <f>IF($S98&gt;0,(($Z98)/(12)),0)</f>
        <v/>
      </c>
      <c r="CJ98" s="702">
        <f>IF($S98&gt;0,(($Z98)/(12)),0)</f>
        <v/>
      </c>
      <c r="CK98" s="702">
        <f>IF($S98&gt;0,(($Z98)/(12)),0)</f>
        <v/>
      </c>
      <c r="CL98" s="702">
        <f>IF($S98&gt;0,(($Z98)/(12)),0)</f>
        <v/>
      </c>
      <c r="CM98" s="702">
        <f>IF($S98&gt;0,(($Z98)/(12)),0)</f>
        <v/>
      </c>
      <c r="CN98" s="702">
        <f>IF($S98&gt;0,(($Z98)/(12)),0)</f>
        <v/>
      </c>
      <c r="CO98" s="702">
        <f>IF($S98&gt;0,(($Z98)/(12)),0)</f>
        <v/>
      </c>
      <c r="CP98" s="702">
        <f>IF($S98&gt;0,(($Z98)/(12)),0)</f>
        <v/>
      </c>
      <c r="CQ98" s="702">
        <f>IF($S98&gt;0,(($Z98)/(12)),0)</f>
        <v/>
      </c>
      <c r="CR98" s="702">
        <f>IF($S98&gt;0,(($Z98)/(12)),0)</f>
        <v/>
      </c>
      <c r="CS98" s="765">
        <f>SUM(CG98:CR98)</f>
        <v/>
      </c>
      <c r="CU98" s="702">
        <f>IF($T98&gt;0,(($AA98)/(12)),0)</f>
        <v/>
      </c>
      <c r="CV98" s="702">
        <f>IF($T98&gt;0,(($AA98)/(12)),0)</f>
        <v/>
      </c>
      <c r="CW98" s="702">
        <f>IF($T98&gt;0,(($AA98)/(12)),0)</f>
        <v/>
      </c>
      <c r="CX98" s="702">
        <f>IF($T98&gt;0,(($AA98)/(12)),0)</f>
        <v/>
      </c>
      <c r="CY98" s="702">
        <f>IF($T98&gt;0,(($AA98)/(12)),0)</f>
        <v/>
      </c>
      <c r="CZ98" s="702">
        <f>IF($T98&gt;0,(($AA98)/(12)),0)</f>
        <v/>
      </c>
      <c r="DA98" s="702">
        <f>IF($T98&gt;0,(($AA98)/(12)),0)</f>
        <v/>
      </c>
      <c r="DB98" s="702">
        <f>IF($T98&gt;0,(($AA98)/(12)),0)</f>
        <v/>
      </c>
      <c r="DC98" s="702">
        <f>IF($T98&gt;0,(($AA98)/(12)),0)</f>
        <v/>
      </c>
      <c r="DD98" s="702">
        <f>IF($T98&gt;0,(($AA98)/(12)),0)</f>
        <v/>
      </c>
      <c r="DE98" s="702">
        <f>IF($T98&gt;0,(($AA98)/(12)),0)</f>
        <v/>
      </c>
      <c r="DF98" s="702">
        <f>IF($T98&gt;0,(($AA98)/(12)),0)</f>
        <v/>
      </c>
      <c r="DG98" s="765">
        <f>SUM(CU98:DF98)</f>
        <v/>
      </c>
    </row>
    <row r="99" ht="15" customHeight="1" s="1883">
      <c r="B99" s="752">
        <f>((B98)+(1))</f>
        <v/>
      </c>
      <c r="C99" s="726" t="n"/>
      <c r="D99" s="730" t="inlineStr">
        <is>
          <t>●</t>
        </is>
      </c>
      <c r="E99" s="736" t="inlineStr">
        <is>
          <t>TBD</t>
        </is>
      </c>
      <c r="F99" s="737" t="n"/>
      <c r="G99" s="737" t="n"/>
      <c r="H99" s="737" t="n"/>
      <c r="I99" s="736" t="inlineStr">
        <is>
          <t>Regional Director, Commercial</t>
        </is>
      </c>
      <c r="J99" s="746" t="inlineStr">
        <is>
          <t>OCONUS</t>
        </is>
      </c>
      <c r="K99" s="737" t="n"/>
      <c r="L99" s="753" t="n">
        <v>13</v>
      </c>
      <c r="M99" s="753" t="n">
        <v>13</v>
      </c>
      <c r="N99" s="744" t="n"/>
      <c r="O99" s="815" t="n"/>
      <c r="P99" s="755" t="n">
        <v>0</v>
      </c>
      <c r="Q99" s="755" t="n">
        <v>0</v>
      </c>
      <c r="R99" s="755" t="n">
        <v>0</v>
      </c>
      <c r="S99" s="755" t="n">
        <v>0</v>
      </c>
      <c r="T99" s="755" t="n">
        <v>0</v>
      </c>
      <c r="U99" s="737" t="n"/>
      <c r="V99" s="703" t="n">
        <v>0</v>
      </c>
      <c r="W99" s="701" t="n">
        <v>0</v>
      </c>
      <c r="X99" s="700">
        <f>((W99)*((1)+($X$63)))</f>
        <v/>
      </c>
      <c r="Y99" s="700">
        <f>((X99)*((1)+($Y$63)))</f>
        <v/>
      </c>
      <c r="Z99" s="700">
        <f>((Y99)*((1)+($Z$63)))</f>
        <v/>
      </c>
      <c r="AA99" s="700">
        <f>((Z99)*((1)+($AA$63)))</f>
        <v/>
      </c>
      <c r="AB99" s="726" t="n"/>
      <c r="AC99" s="768" t="n">
        <v>0</v>
      </c>
      <c r="AD99" s="768" t="n">
        <v>0</v>
      </c>
      <c r="AE99" s="768" t="n">
        <v>0</v>
      </c>
      <c r="AF99" s="768" t="n">
        <v>0</v>
      </c>
      <c r="AG99" s="768" t="n">
        <v>0</v>
      </c>
      <c r="AH99" s="768" t="n">
        <v>0</v>
      </c>
      <c r="AI99" s="768" t="n">
        <v>0</v>
      </c>
      <c r="AJ99" s="768" t="n">
        <v>0</v>
      </c>
      <c r="AK99" s="768" t="n">
        <v>0</v>
      </c>
      <c r="AL99" s="768" t="n">
        <v>0</v>
      </c>
      <c r="AM99" s="768" t="n">
        <v>0</v>
      </c>
      <c r="AN99" s="768" t="n">
        <v>0</v>
      </c>
      <c r="AO99" s="765">
        <f>SUM(AC99:AN99)</f>
        <v/>
      </c>
      <c r="AP99" s="462" t="n"/>
      <c r="AQ99" s="702">
        <f>IF($P99&gt;0,(($W99)/(12)),0)</f>
        <v/>
      </c>
      <c r="AR99" s="702">
        <f>IF($P99&gt;0,(($W99)/(12)),0)</f>
        <v/>
      </c>
      <c r="AS99" s="702">
        <f>IF($P99&gt;0,(($W99)/(12)),0)</f>
        <v/>
      </c>
      <c r="AT99" s="702">
        <f>IF($P99&gt;0,(($W99)/(12)),0)</f>
        <v/>
      </c>
      <c r="AU99" s="702">
        <f>IF($P99&gt;0,(($W99)/(12)),0)</f>
        <v/>
      </c>
      <c r="AV99" s="702">
        <f>IF($P99&gt;0,(($W99)/(12)),0)</f>
        <v/>
      </c>
      <c r="AW99" s="702">
        <f>IF($P99&gt;0,(($W99)/(12)),0)</f>
        <v/>
      </c>
      <c r="AX99" s="702">
        <f>IF($P99&gt;0,(($W99)/(12)),0)</f>
        <v/>
      </c>
      <c r="AY99" s="702">
        <f>IF($P99&gt;0,(($W99)/(12)),0)</f>
        <v/>
      </c>
      <c r="AZ99" s="702">
        <f>IF($P99&gt;0,(($W99)/(12)),0)</f>
        <v/>
      </c>
      <c r="BA99" s="702">
        <f>IF($P99&gt;0,(($W99)/(12)),0)</f>
        <v/>
      </c>
      <c r="BB99" s="702">
        <f>IF($P99&gt;0,(($W99)/(12)),0)</f>
        <v/>
      </c>
      <c r="BC99" s="765">
        <f>SUM(AQ99:BB99)</f>
        <v/>
      </c>
      <c r="BD99" s="462" t="n"/>
      <c r="BE99" s="702">
        <f>IF($Q99&gt;0,(($X99)/(12)),0)</f>
        <v/>
      </c>
      <c r="BF99" s="702">
        <f>IF($Q99&gt;0,(($X99)/(12)),0)</f>
        <v/>
      </c>
      <c r="BG99" s="702">
        <f>IF($Q99&gt;0,(($X99)/(12)),0)</f>
        <v/>
      </c>
      <c r="BH99" s="702">
        <f>IF($Q99&gt;0,(($X99)/(12)),0)</f>
        <v/>
      </c>
      <c r="BI99" s="702">
        <f>IF($Q99&gt;0,(($X99)/(12)),0)</f>
        <v/>
      </c>
      <c r="BJ99" s="702">
        <f>IF($Q99&gt;0,(($X99)/(12)),0)</f>
        <v/>
      </c>
      <c r="BK99" s="702">
        <f>IF($Q99&gt;0,(($X99)/(12)),0)</f>
        <v/>
      </c>
      <c r="BL99" s="702">
        <f>IF($Q99&gt;0,(($X99)/(12)),0)</f>
        <v/>
      </c>
      <c r="BM99" s="702">
        <f>IF($Q99&gt;0,(($X99)/(12)),0)</f>
        <v/>
      </c>
      <c r="BN99" s="702">
        <f>IF($Q99&gt;0,(($X99)/(12)),0)</f>
        <v/>
      </c>
      <c r="BO99" s="702">
        <f>IF($Q99&gt;0,(($X99)/(12)),0)</f>
        <v/>
      </c>
      <c r="BP99" s="702">
        <f>IF($Q99&gt;0,(($X99)/(12)),0)</f>
        <v/>
      </c>
      <c r="BQ99" s="765">
        <f>SUM(BE99:BP99)</f>
        <v/>
      </c>
      <c r="BR99" s="507" t="n"/>
      <c r="BS99" s="702">
        <f>IF($R99&gt;0,(($Y99)/(12)),0)</f>
        <v/>
      </c>
      <c r="BT99" s="702">
        <f>IF($R99&gt;0,(($Y99)/(12)),0)</f>
        <v/>
      </c>
      <c r="BU99" s="702">
        <f>IF($R99&gt;0,(($Y99)/(12)),0)</f>
        <v/>
      </c>
      <c r="BV99" s="702">
        <f>IF($R99&gt;0,(($Y99)/(12)),0)</f>
        <v/>
      </c>
      <c r="BW99" s="702">
        <f>IF($R99&gt;0,(($Y99)/(12)),0)</f>
        <v/>
      </c>
      <c r="BX99" s="702">
        <f>IF($R99&gt;0,(($Y99)/(12)),0)</f>
        <v/>
      </c>
      <c r="BY99" s="702">
        <f>IF($R99&gt;0,(($Y99)/(12)),0)</f>
        <v/>
      </c>
      <c r="BZ99" s="702">
        <f>IF($R99&gt;0,(($Y99)/(12)),0)</f>
        <v/>
      </c>
      <c r="CA99" s="702">
        <f>IF($R99&gt;0,(($Y99)/(12)),0)</f>
        <v/>
      </c>
      <c r="CB99" s="702">
        <f>IF($R99&gt;0,(($Y99)/(12)),0)</f>
        <v/>
      </c>
      <c r="CC99" s="702">
        <f>IF($R99&gt;0,(($Y99)/(12)),0)</f>
        <v/>
      </c>
      <c r="CD99" s="702">
        <f>IF($R99&gt;0,(($Y99)/(12)),0)</f>
        <v/>
      </c>
      <c r="CE99" s="765">
        <f>SUM(BS99:CD99)</f>
        <v/>
      </c>
      <c r="CF99" s="507" t="n"/>
      <c r="CG99" s="702">
        <f>IF($S99&gt;0,(($Z99)/(12)),0)</f>
        <v/>
      </c>
      <c r="CH99" s="702">
        <f>IF($S99&gt;0,(($Z99)/(12)),0)</f>
        <v/>
      </c>
      <c r="CI99" s="702">
        <f>IF($S99&gt;0,(($Z99)/(12)),0)</f>
        <v/>
      </c>
      <c r="CJ99" s="702">
        <f>IF($S99&gt;0,(($Z99)/(12)),0)</f>
        <v/>
      </c>
      <c r="CK99" s="702">
        <f>IF($S99&gt;0,(($Z99)/(12)),0)</f>
        <v/>
      </c>
      <c r="CL99" s="702">
        <f>IF($S99&gt;0,(($Z99)/(12)),0)</f>
        <v/>
      </c>
      <c r="CM99" s="702">
        <f>IF($S99&gt;0,(($Z99)/(12)),0)</f>
        <v/>
      </c>
      <c r="CN99" s="702">
        <f>IF($S99&gt;0,(($Z99)/(12)),0)</f>
        <v/>
      </c>
      <c r="CO99" s="702">
        <f>IF($S99&gt;0,(($Z99)/(12)),0)</f>
        <v/>
      </c>
      <c r="CP99" s="702">
        <f>IF($S99&gt;0,(($Z99)/(12)),0)</f>
        <v/>
      </c>
      <c r="CQ99" s="702">
        <f>IF($S99&gt;0,(($Z99)/(12)),0)</f>
        <v/>
      </c>
      <c r="CR99" s="702">
        <f>IF($S99&gt;0,(($Z99)/(12)),0)</f>
        <v/>
      </c>
      <c r="CS99" s="765">
        <f>SUM(CG99:CR99)</f>
        <v/>
      </c>
      <c r="CU99" s="702">
        <f>IF($T99&gt;0,(($AA99)/(12)),0)</f>
        <v/>
      </c>
      <c r="CV99" s="702">
        <f>IF($T99&gt;0,(($AA99)/(12)),0)</f>
        <v/>
      </c>
      <c r="CW99" s="702">
        <f>IF($T99&gt;0,(($AA99)/(12)),0)</f>
        <v/>
      </c>
      <c r="CX99" s="702">
        <f>IF($T99&gt;0,(($AA99)/(12)),0)</f>
        <v/>
      </c>
      <c r="CY99" s="702">
        <f>IF($T99&gt;0,(($AA99)/(12)),0)</f>
        <v/>
      </c>
      <c r="CZ99" s="702">
        <f>IF($T99&gt;0,(($AA99)/(12)),0)</f>
        <v/>
      </c>
      <c r="DA99" s="702">
        <f>IF($T99&gt;0,(($AA99)/(12)),0)</f>
        <v/>
      </c>
      <c r="DB99" s="702">
        <f>IF($T99&gt;0,(($AA99)/(12)),0)</f>
        <v/>
      </c>
      <c r="DC99" s="702">
        <f>IF($T99&gt;0,(($AA99)/(12)),0)</f>
        <v/>
      </c>
      <c r="DD99" s="702">
        <f>IF($T99&gt;0,(($AA99)/(12)),0)</f>
        <v/>
      </c>
      <c r="DE99" s="702">
        <f>IF($T99&gt;0,(($AA99)/(12)),0)</f>
        <v/>
      </c>
      <c r="DF99" s="702">
        <f>IF($T99&gt;0,(($AA99)/(12)),0)</f>
        <v/>
      </c>
      <c r="DG99" s="765">
        <f>SUM(CU99:DF99)</f>
        <v/>
      </c>
    </row>
    <row r="100" ht="15" customHeight="1" s="1883">
      <c r="B100" s="752">
        <f>((B99)+(1))</f>
        <v/>
      </c>
      <c r="C100" s="726" t="n"/>
      <c r="D100" s="730" t="inlineStr">
        <is>
          <t>●</t>
        </is>
      </c>
      <c r="E100" s="736" t="inlineStr">
        <is>
          <t>TBD</t>
        </is>
      </c>
      <c r="F100" s="737" t="n"/>
      <c r="G100" s="737" t="n"/>
      <c r="H100" s="737" t="n"/>
      <c r="I100" s="736" t="inlineStr">
        <is>
          <t>Director, Regional Strategy and Business Development</t>
        </is>
      </c>
      <c r="J100" s="746" t="inlineStr">
        <is>
          <t>OCONUS</t>
        </is>
      </c>
      <c r="K100" s="737" t="n"/>
      <c r="L100" s="753" t="n">
        <v>25</v>
      </c>
      <c r="M100" s="753" t="n">
        <v>25</v>
      </c>
      <c r="N100" s="744" t="n"/>
      <c r="O100" s="815" t="n"/>
      <c r="P100" s="756" t="n"/>
      <c r="Q100" s="755" t="n">
        <v>0</v>
      </c>
      <c r="R100" s="755" t="n">
        <v>0</v>
      </c>
      <c r="S100" s="755" t="n">
        <v>0</v>
      </c>
      <c r="T100" s="755" t="n">
        <v>0</v>
      </c>
      <c r="U100" s="737" t="n"/>
      <c r="V100" s="703" t="n">
        <v>0</v>
      </c>
      <c r="W100" s="701" t="n">
        <v>0</v>
      </c>
      <c r="X100" s="700">
        <f>((W100)*((1)+($X$63)))</f>
        <v/>
      </c>
      <c r="Y100" s="700">
        <f>((X100)*((1)+($Y$63)))</f>
        <v/>
      </c>
      <c r="Z100" s="700">
        <f>((Y100)*((1)+($Z$63)))</f>
        <v/>
      </c>
      <c r="AA100" s="700">
        <f>((Z100)*((1)+($AA$63)))</f>
        <v/>
      </c>
      <c r="AB100" s="726" t="n"/>
      <c r="AC100" s="768" t="n">
        <v>0</v>
      </c>
      <c r="AD100" s="768" t="n">
        <v>0</v>
      </c>
      <c r="AE100" s="768" t="n">
        <v>0</v>
      </c>
      <c r="AF100" s="768" t="n">
        <v>0</v>
      </c>
      <c r="AG100" s="768" t="n">
        <v>0</v>
      </c>
      <c r="AH100" s="768" t="n">
        <v>0</v>
      </c>
      <c r="AI100" s="768" t="n">
        <v>0</v>
      </c>
      <c r="AJ100" s="768" t="n">
        <v>0</v>
      </c>
      <c r="AK100" s="768" t="n">
        <v>0</v>
      </c>
      <c r="AL100" s="768" t="n">
        <v>0</v>
      </c>
      <c r="AM100" s="768" t="n">
        <v>0</v>
      </c>
      <c r="AN100" s="768" t="n">
        <v>0</v>
      </c>
      <c r="AO100" s="765">
        <f>SUM(AC100:AN100)</f>
        <v/>
      </c>
      <c r="AP100" s="462" t="n"/>
      <c r="AQ100" s="702">
        <f>IF($P100&gt;0,(($W100)/(12)),0)</f>
        <v/>
      </c>
      <c r="AR100" s="702">
        <f>IF($P100&gt;0,(($W100)/(12)),0)</f>
        <v/>
      </c>
      <c r="AS100" s="702">
        <f>IF($P100&gt;0,(($W100)/(12)),0)</f>
        <v/>
      </c>
      <c r="AT100" s="702">
        <f>IF($P100&gt;0,(($W100)/(12)),0)</f>
        <v/>
      </c>
      <c r="AU100" s="702">
        <f>IF($P100&gt;0,(($W100)/(12)),0)</f>
        <v/>
      </c>
      <c r="AV100" s="702">
        <f>IF($P100&gt;0,(($W100)/(12)),0)</f>
        <v/>
      </c>
      <c r="AW100" s="702">
        <f>IF($P100&gt;0,(($W100)/(12)),0)</f>
        <v/>
      </c>
      <c r="AX100" s="702">
        <f>IF($P100&gt;0,(($W100)/(12)),0)</f>
        <v/>
      </c>
      <c r="AY100" s="702">
        <f>IF($P100&gt;0,(($W100)/(12)),0)</f>
        <v/>
      </c>
      <c r="AZ100" s="702">
        <f>IF($P100&gt;0,(($W100)/(12)),0)</f>
        <v/>
      </c>
      <c r="BA100" s="702">
        <f>IF($P100&gt;0,(($W100)/(12)),0)</f>
        <v/>
      </c>
      <c r="BB100" s="702">
        <f>IF($P100&gt;0,(($W100)/(12)),0)</f>
        <v/>
      </c>
      <c r="BC100" s="765">
        <f>SUM(AQ100:BB100)</f>
        <v/>
      </c>
      <c r="BD100" s="462" t="n"/>
      <c r="BE100" s="702" t="n">
        <v>0</v>
      </c>
      <c r="BF100" s="702" t="n">
        <v>0</v>
      </c>
      <c r="BG100" s="702" t="n">
        <v>0</v>
      </c>
      <c r="BH100" s="702" t="n">
        <v>0</v>
      </c>
      <c r="BI100" s="702" t="n">
        <v>0</v>
      </c>
      <c r="BJ100" s="702" t="n">
        <v>0</v>
      </c>
      <c r="BK100" s="702" t="n">
        <v>0</v>
      </c>
      <c r="BL100" s="702" t="n">
        <v>0</v>
      </c>
      <c r="BM100" s="702" t="n">
        <v>0</v>
      </c>
      <c r="BN100" s="702" t="n">
        <v>0</v>
      </c>
      <c r="BO100" s="702" t="n">
        <v>0</v>
      </c>
      <c r="BP100" s="702" t="n">
        <v>0</v>
      </c>
      <c r="BQ100" s="765">
        <f>SUM(BE100:BP100)</f>
        <v/>
      </c>
      <c r="BR100" s="507" t="n"/>
      <c r="BS100" s="702">
        <f>IF($R100&gt;0,(($Y100)/(12)),0)</f>
        <v/>
      </c>
      <c r="BT100" s="702">
        <f>IF($R100&gt;0,(($Y100)/(12)),0)</f>
        <v/>
      </c>
      <c r="BU100" s="702">
        <f>IF($R100&gt;0,(($Y100)/(12)),0)</f>
        <v/>
      </c>
      <c r="BV100" s="702">
        <f>IF($R100&gt;0,(($Y100)/(12)),0)</f>
        <v/>
      </c>
      <c r="BW100" s="702">
        <f>IF($R100&gt;0,(($Y100)/(12)),0)</f>
        <v/>
      </c>
      <c r="BX100" s="702">
        <f>IF($R100&gt;0,(($Y100)/(12)),0)</f>
        <v/>
      </c>
      <c r="BY100" s="702">
        <f>IF($R100&gt;0,(($Y100)/(12)),0)</f>
        <v/>
      </c>
      <c r="BZ100" s="702">
        <f>IF($R100&gt;0,(($Y100)/(12)),0)</f>
        <v/>
      </c>
      <c r="CA100" s="702">
        <f>IF($R100&gt;0,(($Y100)/(12)),0)</f>
        <v/>
      </c>
      <c r="CB100" s="702">
        <f>IF($R100&gt;0,(($Y100)/(12)),0)</f>
        <v/>
      </c>
      <c r="CC100" s="702">
        <f>IF($R100&gt;0,(($Y100)/(12)),0)</f>
        <v/>
      </c>
      <c r="CD100" s="702">
        <f>IF($R100&gt;0,(($Y100)/(12)),0)</f>
        <v/>
      </c>
      <c r="CE100" s="765">
        <f>SUM(BS100:CD100)</f>
        <v/>
      </c>
      <c r="CF100" s="507" t="n"/>
      <c r="CG100" s="702">
        <f>IF($S100&gt;0,(($Z100)/(12)),0)</f>
        <v/>
      </c>
      <c r="CH100" s="702">
        <f>IF($S100&gt;0,(($Z100)/(12)),0)</f>
        <v/>
      </c>
      <c r="CI100" s="702">
        <f>IF($S100&gt;0,(($Z100)/(12)),0)</f>
        <v/>
      </c>
      <c r="CJ100" s="702">
        <f>IF($S100&gt;0,(($Z100)/(12)),0)</f>
        <v/>
      </c>
      <c r="CK100" s="702">
        <f>IF($S100&gt;0,(($Z100)/(12)),0)</f>
        <v/>
      </c>
      <c r="CL100" s="702">
        <f>IF($S100&gt;0,(($Z100)/(12)),0)</f>
        <v/>
      </c>
      <c r="CM100" s="702">
        <f>IF($S100&gt;0,(($Z100)/(12)),0)</f>
        <v/>
      </c>
      <c r="CN100" s="702">
        <f>IF($S100&gt;0,(($Z100)/(12)),0)</f>
        <v/>
      </c>
      <c r="CO100" s="702">
        <f>IF($S100&gt;0,(($Z100)/(12)),0)</f>
        <v/>
      </c>
      <c r="CP100" s="702">
        <f>IF($S100&gt;0,(($Z100)/(12)),0)</f>
        <v/>
      </c>
      <c r="CQ100" s="702">
        <f>IF($S100&gt;0,(($Z100)/(12)),0)</f>
        <v/>
      </c>
      <c r="CR100" s="702">
        <f>IF($S100&gt;0,(($Z100)/(12)),0)</f>
        <v/>
      </c>
      <c r="CS100" s="765">
        <f>SUM(CG100:CR100)</f>
        <v/>
      </c>
      <c r="CU100" s="702">
        <f>IF($T100&gt;0,(($AA100)/(12)),0)</f>
        <v/>
      </c>
      <c r="CV100" s="702">
        <f>IF($T100&gt;0,(($AA100)/(12)),0)</f>
        <v/>
      </c>
      <c r="CW100" s="702">
        <f>IF($T100&gt;0,(($AA100)/(12)),0)</f>
        <v/>
      </c>
      <c r="CX100" s="702">
        <f>IF($T100&gt;0,(($AA100)/(12)),0)</f>
        <v/>
      </c>
      <c r="CY100" s="702">
        <f>IF($T100&gt;0,(($AA100)/(12)),0)</f>
        <v/>
      </c>
      <c r="CZ100" s="702">
        <f>IF($T100&gt;0,(($AA100)/(12)),0)</f>
        <v/>
      </c>
      <c r="DA100" s="702">
        <f>IF($T100&gt;0,(($AA100)/(12)),0)</f>
        <v/>
      </c>
      <c r="DB100" s="702">
        <f>IF($T100&gt;0,(($AA100)/(12)),0)</f>
        <v/>
      </c>
      <c r="DC100" s="702">
        <f>IF($T100&gt;0,(($AA100)/(12)),0)</f>
        <v/>
      </c>
      <c r="DD100" s="702">
        <f>IF($T100&gt;0,(($AA100)/(12)),0)</f>
        <v/>
      </c>
      <c r="DE100" s="702">
        <f>IF($T100&gt;0,(($AA100)/(12)),0)</f>
        <v/>
      </c>
      <c r="DF100" s="702">
        <f>IF($T100&gt;0,(($AA100)/(12)),0)</f>
        <v/>
      </c>
      <c r="DG100" s="765">
        <f>SUM(CU100:DF100)</f>
        <v/>
      </c>
    </row>
    <row r="101" ht="15" customHeight="1" s="1883">
      <c r="B101" s="752">
        <f>((B100)+(1))</f>
        <v/>
      </c>
      <c r="C101" s="726" t="n"/>
      <c r="D101" s="730" t="inlineStr">
        <is>
          <t>●</t>
        </is>
      </c>
      <c r="E101" s="736" t="inlineStr">
        <is>
          <t>TBD</t>
        </is>
      </c>
      <c r="F101" s="737" t="n"/>
      <c r="G101" s="737" t="n"/>
      <c r="H101" s="737" t="n"/>
      <c r="I101" s="736" t="inlineStr">
        <is>
          <t>Director, Regional Strategy and Business Development</t>
        </is>
      </c>
      <c r="J101" s="746" t="inlineStr">
        <is>
          <t>OCONUS</t>
        </is>
      </c>
      <c r="K101" s="737" t="n"/>
      <c r="L101" s="753" t="n">
        <v>25</v>
      </c>
      <c r="M101" s="753" t="n">
        <v>25</v>
      </c>
      <c r="N101" s="744" t="n"/>
      <c r="O101" s="815" t="n"/>
      <c r="P101" s="761" t="n"/>
      <c r="Q101" s="756" t="n"/>
      <c r="R101" s="755" t="n">
        <v>0</v>
      </c>
      <c r="S101" s="755" t="n">
        <v>0</v>
      </c>
      <c r="T101" s="755" t="n">
        <v>0</v>
      </c>
      <c r="U101" s="737" t="n"/>
      <c r="V101" s="703" t="n">
        <v>0</v>
      </c>
      <c r="W101" s="701" t="n">
        <v>0</v>
      </c>
      <c r="X101" s="700">
        <f>((W101)*((1)+($X$63)))</f>
        <v/>
      </c>
      <c r="Y101" s="700">
        <f>((X101)*((1)+($Y$63)))</f>
        <v/>
      </c>
      <c r="Z101" s="700">
        <f>((Y101)*((1)+($Z$63)))</f>
        <v/>
      </c>
      <c r="AA101" s="700">
        <f>((Z101)*((1)+($AA$63)))</f>
        <v/>
      </c>
      <c r="AB101" s="726" t="n"/>
      <c r="AC101" s="768" t="n">
        <v>0</v>
      </c>
      <c r="AD101" s="768" t="n">
        <v>0</v>
      </c>
      <c r="AE101" s="768" t="n">
        <v>0</v>
      </c>
      <c r="AF101" s="768" t="n">
        <v>0</v>
      </c>
      <c r="AG101" s="768" t="n">
        <v>0</v>
      </c>
      <c r="AH101" s="768" t="n">
        <v>0</v>
      </c>
      <c r="AI101" s="768" t="n">
        <v>0</v>
      </c>
      <c r="AJ101" s="768" t="n">
        <v>0</v>
      </c>
      <c r="AK101" s="768" t="n">
        <v>0</v>
      </c>
      <c r="AL101" s="768" t="n">
        <v>0</v>
      </c>
      <c r="AM101" s="768" t="n">
        <v>0</v>
      </c>
      <c r="AN101" s="768" t="n">
        <v>0</v>
      </c>
      <c r="AO101" s="765">
        <f>SUM(AC101:AN101)</f>
        <v/>
      </c>
      <c r="AP101" s="462" t="n"/>
      <c r="AQ101" s="702">
        <f>IF($P101&gt;0,(($W101)/(12)),0)</f>
        <v/>
      </c>
      <c r="AR101" s="702">
        <f>IF($P101&gt;0,(($W101)/(12)),0)</f>
        <v/>
      </c>
      <c r="AS101" s="702">
        <f>IF($P101&gt;0,(($W101)/(12)),0)</f>
        <v/>
      </c>
      <c r="AT101" s="702">
        <f>IF($P101&gt;0,(($W101)/(12)),0)</f>
        <v/>
      </c>
      <c r="AU101" s="702">
        <f>IF($P101&gt;0,(($W101)/(12)),0)</f>
        <v/>
      </c>
      <c r="AV101" s="702">
        <f>IF($P101&gt;0,(($W101)/(12)),0)</f>
        <v/>
      </c>
      <c r="AW101" s="702">
        <f>IF($P101&gt;0,(($W101)/(12)),0)</f>
        <v/>
      </c>
      <c r="AX101" s="702">
        <f>IF($P101&gt;0,(($W101)/(12)),0)</f>
        <v/>
      </c>
      <c r="AY101" s="702">
        <f>IF($P101&gt;0,(($W101)/(12)),0)</f>
        <v/>
      </c>
      <c r="AZ101" s="702">
        <f>IF($P101&gt;0,(($W101)/(12)),0)</f>
        <v/>
      </c>
      <c r="BA101" s="702">
        <f>IF($P101&gt;0,(($W101)/(12)),0)</f>
        <v/>
      </c>
      <c r="BB101" s="702">
        <f>IF($P101&gt;0,(($W101)/(12)),0)</f>
        <v/>
      </c>
      <c r="BC101" s="765">
        <f>SUM(AQ101:BB101)</f>
        <v/>
      </c>
      <c r="BD101" s="462" t="n"/>
      <c r="BE101" s="702">
        <f>IF($Q101&gt;0,(($X101)/(12)),0)</f>
        <v/>
      </c>
      <c r="BF101" s="702">
        <f>IF($Q101&gt;0,(($X101)/(12)),0)</f>
        <v/>
      </c>
      <c r="BG101" s="702">
        <f>IF($Q101&gt;0,(($X101)/(12)),0)</f>
        <v/>
      </c>
      <c r="BH101" s="702">
        <f>IF($Q101&gt;0,(($X101)/(12)),0)</f>
        <v/>
      </c>
      <c r="BI101" s="702">
        <f>IF($Q101&gt;0,(($X101)/(12)),0)</f>
        <v/>
      </c>
      <c r="BJ101" s="702">
        <f>IF($Q101&gt;0,(($X101)/(12)),0)</f>
        <v/>
      </c>
      <c r="BK101" s="702">
        <f>IF($Q101&gt;0,(($X101)/(12)),0)</f>
        <v/>
      </c>
      <c r="BL101" s="702">
        <f>IF($Q101&gt;0,(($X101)/(12)),0)</f>
        <v/>
      </c>
      <c r="BM101" s="702">
        <f>IF($Q101&gt;0,(($X101)/(12)),0)</f>
        <v/>
      </c>
      <c r="BN101" s="702">
        <f>IF($Q101&gt;0,(($X101)/(12)),0)</f>
        <v/>
      </c>
      <c r="BO101" s="702">
        <f>IF($Q101&gt;0,(($X101)/(12)),0)</f>
        <v/>
      </c>
      <c r="BP101" s="702">
        <f>IF($Q101&gt;0,(($X101)/(12)),0)</f>
        <v/>
      </c>
      <c r="BQ101" s="765">
        <f>SUM(BE101:BP101)</f>
        <v/>
      </c>
      <c r="BR101" s="507" t="n"/>
      <c r="BS101" s="702">
        <f>IF($R101&gt;0,(($Y101)/(12)),0)</f>
        <v/>
      </c>
      <c r="BT101" s="702">
        <f>IF($R101&gt;0,(($Y101)/(12)),0)</f>
        <v/>
      </c>
      <c r="BU101" s="702">
        <f>IF($R101&gt;0,(($Y101)/(12)),0)</f>
        <v/>
      </c>
      <c r="BV101" s="702">
        <f>IF($R101&gt;0,(($Y101)/(12)),0)</f>
        <v/>
      </c>
      <c r="BW101" s="702">
        <f>IF($R101&gt;0,(($Y101)/(12)),0)</f>
        <v/>
      </c>
      <c r="BX101" s="702">
        <f>IF($R101&gt;0,(($Y101)/(12)),0)</f>
        <v/>
      </c>
      <c r="BY101" s="702">
        <f>IF($R101&gt;0,(($Y101)/(12)),0)</f>
        <v/>
      </c>
      <c r="BZ101" s="702">
        <f>IF($R101&gt;0,(($Y101)/(12)),0)</f>
        <v/>
      </c>
      <c r="CA101" s="702">
        <f>IF($R101&gt;0,(($Y101)/(12)),0)</f>
        <v/>
      </c>
      <c r="CB101" s="702">
        <f>IF($R101&gt;0,(($Y101)/(12)),0)</f>
        <v/>
      </c>
      <c r="CC101" s="702">
        <f>IF($R101&gt;0,(($Y101)/(12)),0)</f>
        <v/>
      </c>
      <c r="CD101" s="702">
        <f>IF($R101&gt;0,(($Y101)/(12)),0)</f>
        <v/>
      </c>
      <c r="CE101" s="765">
        <f>SUM(BS101:CD101)</f>
        <v/>
      </c>
      <c r="CF101" s="507" t="n"/>
      <c r="CG101" s="702">
        <f>IF($S101&gt;0,(($Z101)/(12)),0)</f>
        <v/>
      </c>
      <c r="CH101" s="702">
        <f>IF($S101&gt;0,(($Z101)/(12)),0)</f>
        <v/>
      </c>
      <c r="CI101" s="702">
        <f>IF($S101&gt;0,(($Z101)/(12)),0)</f>
        <v/>
      </c>
      <c r="CJ101" s="702">
        <f>IF($S101&gt;0,(($Z101)/(12)),0)</f>
        <v/>
      </c>
      <c r="CK101" s="702">
        <f>IF($S101&gt;0,(($Z101)/(12)),0)</f>
        <v/>
      </c>
      <c r="CL101" s="702">
        <f>IF($S101&gt;0,(($Z101)/(12)),0)</f>
        <v/>
      </c>
      <c r="CM101" s="702">
        <f>IF($S101&gt;0,(($Z101)/(12)),0)</f>
        <v/>
      </c>
      <c r="CN101" s="702">
        <f>IF($S101&gt;0,(($Z101)/(12)),0)</f>
        <v/>
      </c>
      <c r="CO101" s="702">
        <f>IF($S101&gt;0,(($Z101)/(12)),0)</f>
        <v/>
      </c>
      <c r="CP101" s="702">
        <f>IF($S101&gt;0,(($Z101)/(12)),0)</f>
        <v/>
      </c>
      <c r="CQ101" s="702">
        <f>IF($S101&gt;0,(($Z101)/(12)),0)</f>
        <v/>
      </c>
      <c r="CR101" s="702">
        <f>IF($S101&gt;0,(($Z101)/(12)),0)</f>
        <v/>
      </c>
      <c r="CS101" s="765">
        <f>SUM(CG101:CR101)</f>
        <v/>
      </c>
      <c r="CU101" s="702">
        <f>IF($T101&gt;0,(($AA101)/(12)),0)</f>
        <v/>
      </c>
      <c r="CV101" s="702">
        <f>IF($T101&gt;0,(($AA101)/(12)),0)</f>
        <v/>
      </c>
      <c r="CW101" s="702">
        <f>IF($T101&gt;0,(($AA101)/(12)),0)</f>
        <v/>
      </c>
      <c r="CX101" s="702">
        <f>IF($T101&gt;0,(($AA101)/(12)),0)</f>
        <v/>
      </c>
      <c r="CY101" s="702">
        <f>IF($T101&gt;0,(($AA101)/(12)),0)</f>
        <v/>
      </c>
      <c r="CZ101" s="702">
        <f>IF($T101&gt;0,(($AA101)/(12)),0)</f>
        <v/>
      </c>
      <c r="DA101" s="702">
        <f>IF($T101&gt;0,(($AA101)/(12)),0)</f>
        <v/>
      </c>
      <c r="DB101" s="702">
        <f>IF($T101&gt;0,(($AA101)/(12)),0)</f>
        <v/>
      </c>
      <c r="DC101" s="702">
        <f>IF($T101&gt;0,(($AA101)/(12)),0)</f>
        <v/>
      </c>
      <c r="DD101" s="702">
        <f>IF($T101&gt;0,(($AA101)/(12)),0)</f>
        <v/>
      </c>
      <c r="DE101" s="702">
        <f>IF($T101&gt;0,(($AA101)/(12)),0)</f>
        <v/>
      </c>
      <c r="DF101" s="702">
        <f>IF($T101&gt;0,(($AA101)/(12)),0)</f>
        <v/>
      </c>
      <c r="DG101" s="765">
        <f>SUM(CU101:DF101)</f>
        <v/>
      </c>
    </row>
    <row r="102" ht="15" customHeight="1" s="1883">
      <c r="B102" s="752">
        <f>((B101)+(1))</f>
        <v/>
      </c>
      <c r="C102" s="726" t="n"/>
      <c r="D102" s="730" t="inlineStr">
        <is>
          <t>●</t>
        </is>
      </c>
      <c r="E102" s="736" t="inlineStr">
        <is>
          <t>TBD</t>
        </is>
      </c>
      <c r="F102" s="737" t="n"/>
      <c r="G102" s="737" t="n"/>
      <c r="H102" s="737" t="n"/>
      <c r="I102" s="736" t="inlineStr">
        <is>
          <t>Director, Regional Strategy and Business Development</t>
        </is>
      </c>
      <c r="J102" s="746" t="inlineStr">
        <is>
          <t>OCONUS</t>
        </is>
      </c>
      <c r="K102" s="737" t="n"/>
      <c r="L102" s="753" t="n">
        <v>37</v>
      </c>
      <c r="M102" s="753" t="n">
        <v>37</v>
      </c>
      <c r="N102" s="744" t="n"/>
      <c r="O102" s="815" t="n"/>
      <c r="P102" s="756" t="n"/>
      <c r="Q102" s="756" t="n"/>
      <c r="R102" s="756" t="n"/>
      <c r="S102" s="755" t="n">
        <v>0</v>
      </c>
      <c r="T102" s="755" t="n">
        <v>0</v>
      </c>
      <c r="U102" s="737" t="n"/>
      <c r="V102" s="703" t="n">
        <v>0</v>
      </c>
      <c r="W102" s="701" t="n">
        <v>0</v>
      </c>
      <c r="X102" s="700">
        <f>((W102)*((1)+($X$63)))</f>
        <v/>
      </c>
      <c r="Y102" s="700">
        <f>((X102)*((1)+($Y$63)))</f>
        <v/>
      </c>
      <c r="Z102" s="700">
        <f>((Y102)*((1)+($Z$63)))</f>
        <v/>
      </c>
      <c r="AA102" s="700">
        <f>((Z102)*((1)+($AA$63)))</f>
        <v/>
      </c>
      <c r="AB102" s="726" t="n"/>
      <c r="AC102" s="768" t="n">
        <v>0</v>
      </c>
      <c r="AD102" s="768" t="n">
        <v>0</v>
      </c>
      <c r="AE102" s="768" t="n">
        <v>0</v>
      </c>
      <c r="AF102" s="768" t="n">
        <v>0</v>
      </c>
      <c r="AG102" s="768" t="n">
        <v>0</v>
      </c>
      <c r="AH102" s="768" t="n">
        <v>0</v>
      </c>
      <c r="AI102" s="768" t="n">
        <v>0</v>
      </c>
      <c r="AJ102" s="768" t="n">
        <v>0</v>
      </c>
      <c r="AK102" s="768" t="n">
        <v>0</v>
      </c>
      <c r="AL102" s="768" t="n">
        <v>0</v>
      </c>
      <c r="AM102" s="768" t="n">
        <v>0</v>
      </c>
      <c r="AN102" s="768" t="n">
        <v>0</v>
      </c>
      <c r="AO102" s="765">
        <f>SUM(AC102:AN102)</f>
        <v/>
      </c>
      <c r="AP102" s="462" t="n"/>
      <c r="AQ102" s="702">
        <f>IF($P102&gt;0,(($W102)/(12)),0)</f>
        <v/>
      </c>
      <c r="AR102" s="702">
        <f>IF($P102&gt;0,(($W102)/(12)),0)</f>
        <v/>
      </c>
      <c r="AS102" s="702">
        <f>IF($P102&gt;0,(($W102)/(12)),0)</f>
        <v/>
      </c>
      <c r="AT102" s="702">
        <f>IF($P102&gt;0,(($W102)/(12)),0)</f>
        <v/>
      </c>
      <c r="AU102" s="702">
        <f>IF($P102&gt;0,(($W102)/(12)),0)</f>
        <v/>
      </c>
      <c r="AV102" s="702">
        <f>IF($P102&gt;0,(($W102)/(12)),0)</f>
        <v/>
      </c>
      <c r="AW102" s="702">
        <f>IF($P102&gt;0,(($W102)/(12)),0)</f>
        <v/>
      </c>
      <c r="AX102" s="702">
        <f>IF($P102&gt;0,(($W102)/(12)),0)</f>
        <v/>
      </c>
      <c r="AY102" s="702">
        <f>IF($P102&gt;0,(($W102)/(12)),0)</f>
        <v/>
      </c>
      <c r="AZ102" s="702">
        <f>IF($P102&gt;0,(($W102)/(12)),0)</f>
        <v/>
      </c>
      <c r="BA102" s="702">
        <f>IF($P102&gt;0,(($W102)/(12)),0)</f>
        <v/>
      </c>
      <c r="BB102" s="702">
        <f>IF($P102&gt;0,(($W102)/(12)),0)</f>
        <v/>
      </c>
      <c r="BC102" s="765">
        <f>SUM(AQ102:BB102)</f>
        <v/>
      </c>
      <c r="BD102" s="462" t="n"/>
      <c r="BE102" s="702">
        <f>IF($Q102&gt;0,(($X102)/(12)),0)</f>
        <v/>
      </c>
      <c r="BF102" s="702">
        <f>IF($Q102&gt;0,(($X102)/(12)),0)</f>
        <v/>
      </c>
      <c r="BG102" s="702">
        <f>IF($Q102&gt;0,(($X102)/(12)),0)</f>
        <v/>
      </c>
      <c r="BH102" s="702">
        <f>IF($Q102&gt;0,(($X102)/(12)),0)</f>
        <v/>
      </c>
      <c r="BI102" s="702">
        <f>IF($Q102&gt;0,(($X102)/(12)),0)</f>
        <v/>
      </c>
      <c r="BJ102" s="702">
        <f>IF($Q102&gt;0,(($X102)/(12)),0)</f>
        <v/>
      </c>
      <c r="BK102" s="702">
        <f>IF($Q102&gt;0,(($X102)/(12)),0)</f>
        <v/>
      </c>
      <c r="BL102" s="702">
        <f>IF($Q102&gt;0,(($X102)/(12)),0)</f>
        <v/>
      </c>
      <c r="BM102" s="702">
        <f>IF($Q102&gt;0,(($X102)/(12)),0)</f>
        <v/>
      </c>
      <c r="BN102" s="702">
        <f>IF($Q102&gt;0,(($X102)/(12)),0)</f>
        <v/>
      </c>
      <c r="BO102" s="702">
        <f>IF($Q102&gt;0,(($X102)/(12)),0)</f>
        <v/>
      </c>
      <c r="BP102" s="702">
        <f>IF($Q102&gt;0,(($X102)/(12)),0)</f>
        <v/>
      </c>
      <c r="BQ102" s="765">
        <f>SUM(BE102:BP102)</f>
        <v/>
      </c>
      <c r="BR102" s="507" t="n"/>
      <c r="BS102" s="702">
        <f>IF($R102&gt;0,(($Y102)/(12)),0)</f>
        <v/>
      </c>
      <c r="BT102" s="702">
        <f>IF($R102&gt;0,(($Y102)/(12)),0)</f>
        <v/>
      </c>
      <c r="BU102" s="702">
        <f>IF($R102&gt;0,(($Y102)/(12)),0)</f>
        <v/>
      </c>
      <c r="BV102" s="702">
        <f>IF($R102&gt;0,(($Y102)/(12)),0)</f>
        <v/>
      </c>
      <c r="BW102" s="702">
        <f>IF($R102&gt;0,(($Y102)/(12)),0)</f>
        <v/>
      </c>
      <c r="BX102" s="702">
        <f>IF($R102&gt;0,(($Y102)/(12)),0)</f>
        <v/>
      </c>
      <c r="BY102" s="702">
        <f>IF($R102&gt;0,(($Y102)/(12)),0)</f>
        <v/>
      </c>
      <c r="BZ102" s="702">
        <f>IF($R102&gt;0,(($Y102)/(12)),0)</f>
        <v/>
      </c>
      <c r="CA102" s="702">
        <f>IF($R102&gt;0,(($Y102)/(12)),0)</f>
        <v/>
      </c>
      <c r="CB102" s="702">
        <f>IF($R102&gt;0,(($Y102)/(12)),0)</f>
        <v/>
      </c>
      <c r="CC102" s="702">
        <f>IF($R102&gt;0,(($Y102)/(12)),0)</f>
        <v/>
      </c>
      <c r="CD102" s="702">
        <f>IF($R102&gt;0,(($Y102)/(12)),0)</f>
        <v/>
      </c>
      <c r="CE102" s="765">
        <f>SUM(BS102:CD102)</f>
        <v/>
      </c>
      <c r="CF102" s="507" t="n"/>
      <c r="CG102" s="702">
        <f>IF($S102&gt;0,(($Z102)/(12)),0)</f>
        <v/>
      </c>
      <c r="CH102" s="702">
        <f>IF($S102&gt;0,(($Z102)/(12)),0)</f>
        <v/>
      </c>
      <c r="CI102" s="702">
        <f>IF($S102&gt;0,(($Z102)/(12)),0)</f>
        <v/>
      </c>
      <c r="CJ102" s="702">
        <f>IF($S102&gt;0,(($Z102)/(12)),0)</f>
        <v/>
      </c>
      <c r="CK102" s="702">
        <f>IF($S102&gt;0,(($Z102)/(12)),0)</f>
        <v/>
      </c>
      <c r="CL102" s="702">
        <f>IF($S102&gt;0,(($Z102)/(12)),0)</f>
        <v/>
      </c>
      <c r="CM102" s="702">
        <f>IF($S102&gt;0,(($Z102)/(12)),0)</f>
        <v/>
      </c>
      <c r="CN102" s="702">
        <f>IF($S102&gt;0,(($Z102)/(12)),0)</f>
        <v/>
      </c>
      <c r="CO102" s="702">
        <f>IF($S102&gt;0,(($Z102)/(12)),0)</f>
        <v/>
      </c>
      <c r="CP102" s="702">
        <f>IF($S102&gt;0,(($Z102)/(12)),0)</f>
        <v/>
      </c>
      <c r="CQ102" s="702">
        <f>IF($S102&gt;0,(($Z102)/(12)),0)</f>
        <v/>
      </c>
      <c r="CR102" s="702">
        <f>IF($S102&gt;0,(($Z102)/(12)),0)</f>
        <v/>
      </c>
      <c r="CS102" s="765">
        <f>SUM(CG102:CR102)</f>
        <v/>
      </c>
      <c r="CU102" s="702">
        <f>IF($T102&gt;0,(($AA102)/(12)),0)</f>
        <v/>
      </c>
      <c r="CV102" s="702">
        <f>IF($T102&gt;0,(($AA102)/(12)),0)</f>
        <v/>
      </c>
      <c r="CW102" s="702">
        <f>IF($T102&gt;0,(($AA102)/(12)),0)</f>
        <v/>
      </c>
      <c r="CX102" s="702">
        <f>IF($T102&gt;0,(($AA102)/(12)),0)</f>
        <v/>
      </c>
      <c r="CY102" s="702">
        <f>IF($T102&gt;0,(($AA102)/(12)),0)</f>
        <v/>
      </c>
      <c r="CZ102" s="702">
        <f>IF($T102&gt;0,(($AA102)/(12)),0)</f>
        <v/>
      </c>
      <c r="DA102" s="702">
        <f>IF($T102&gt;0,(($AA102)/(12)),0)</f>
        <v/>
      </c>
      <c r="DB102" s="702">
        <f>IF($T102&gt;0,(($AA102)/(12)),0)</f>
        <v/>
      </c>
      <c r="DC102" s="702">
        <f>IF($T102&gt;0,(($AA102)/(12)),0)</f>
        <v/>
      </c>
      <c r="DD102" s="702">
        <f>IF($T102&gt;0,(($AA102)/(12)),0)</f>
        <v/>
      </c>
      <c r="DE102" s="702">
        <f>IF($T102&gt;0,(($AA102)/(12)),0)</f>
        <v/>
      </c>
      <c r="DF102" s="702">
        <f>IF($T102&gt;0,(($AA102)/(12)),0)</f>
        <v/>
      </c>
      <c r="DG102" s="765">
        <f>SUM(CU102:DF102)</f>
        <v/>
      </c>
    </row>
    <row r="103" ht="15" customHeight="1" s="1883">
      <c r="B103" s="752">
        <f>((B102)+(1))</f>
        <v/>
      </c>
      <c r="C103" s="726" t="n"/>
      <c r="D103" s="730" t="inlineStr">
        <is>
          <t>●</t>
        </is>
      </c>
      <c r="E103" s="736" t="inlineStr">
        <is>
          <t>TBD</t>
        </is>
      </c>
      <c r="F103" s="737" t="n"/>
      <c r="G103" s="737" t="n"/>
      <c r="H103" s="737" t="n"/>
      <c r="I103" s="832" t="inlineStr">
        <is>
          <t>Director, Regional Marketing/Strategic Communications</t>
        </is>
      </c>
      <c r="J103" s="746" t="inlineStr">
        <is>
          <t>OCONUS</t>
        </is>
      </c>
      <c r="K103" s="737" t="n"/>
      <c r="L103" s="753" t="n">
        <v>13</v>
      </c>
      <c r="M103" s="753" t="n">
        <v>13</v>
      </c>
      <c r="N103" s="744" t="n"/>
      <c r="O103" s="815" t="n"/>
      <c r="P103" s="756" t="n"/>
      <c r="Q103" s="755" t="n">
        <v>0</v>
      </c>
      <c r="R103" s="755" t="n">
        <v>0</v>
      </c>
      <c r="S103" s="755" t="n">
        <v>0</v>
      </c>
      <c r="T103" s="755" t="n">
        <v>0</v>
      </c>
      <c r="U103" s="737" t="n"/>
      <c r="V103" s="703" t="n">
        <v>0</v>
      </c>
      <c r="W103" s="701" t="n">
        <v>0</v>
      </c>
      <c r="X103" s="700">
        <f>((W103)*((1)+($X$63)))</f>
        <v/>
      </c>
      <c r="Y103" s="700">
        <f>((X103)*((1)+($Y$63)))</f>
        <v/>
      </c>
      <c r="Z103" s="700">
        <f>((Y103)*((1)+($Z$63)))</f>
        <v/>
      </c>
      <c r="AA103" s="700">
        <f>((Z103)*((1)+($AA$63)))</f>
        <v/>
      </c>
      <c r="AB103" s="726" t="n"/>
      <c r="AC103" s="768" t="n">
        <v>0</v>
      </c>
      <c r="AD103" s="768" t="n">
        <v>0</v>
      </c>
      <c r="AE103" s="768" t="n">
        <v>0</v>
      </c>
      <c r="AF103" s="768" t="n">
        <v>0</v>
      </c>
      <c r="AG103" s="768" t="n">
        <v>0</v>
      </c>
      <c r="AH103" s="768" t="n">
        <v>0</v>
      </c>
      <c r="AI103" s="768" t="n">
        <v>0</v>
      </c>
      <c r="AJ103" s="768" t="n">
        <v>0</v>
      </c>
      <c r="AK103" s="768" t="n">
        <v>0</v>
      </c>
      <c r="AL103" s="768" t="n">
        <v>0</v>
      </c>
      <c r="AM103" s="768" t="n">
        <v>0</v>
      </c>
      <c r="AN103" s="768" t="n">
        <v>0</v>
      </c>
      <c r="AO103" s="765">
        <f>SUM(AC103:AN103)</f>
        <v/>
      </c>
      <c r="AP103" s="462" t="n"/>
      <c r="AQ103" s="702">
        <f>IF($P103&gt;0,(($W103)/(12)),0)</f>
        <v/>
      </c>
      <c r="AR103" s="702">
        <f>IF($P103&gt;0,(($W103)/(12)),0)</f>
        <v/>
      </c>
      <c r="AS103" s="702">
        <f>IF($P103&gt;0,(($W103)/(12)),0)</f>
        <v/>
      </c>
      <c r="AT103" s="702">
        <f>IF($P103&gt;0,(($W103)/(12)),0)</f>
        <v/>
      </c>
      <c r="AU103" s="702">
        <f>IF($P103&gt;0,(($W103)/(12)),0)</f>
        <v/>
      </c>
      <c r="AV103" s="702">
        <f>IF($P103&gt;0,(($W103)/(12)),0)</f>
        <v/>
      </c>
      <c r="AW103" s="702">
        <f>IF($P103&gt;0,(($W103)/(12)),0)</f>
        <v/>
      </c>
      <c r="AX103" s="702">
        <f>IF($P103&gt;0,(($W103)/(12)),0)</f>
        <v/>
      </c>
      <c r="AY103" s="702">
        <f>IF($P103&gt;0,(($W103)/(12)),0)</f>
        <v/>
      </c>
      <c r="AZ103" s="702">
        <f>IF($P103&gt;0,(($W103)/(12)),0)</f>
        <v/>
      </c>
      <c r="BA103" s="702">
        <f>IF($P103&gt;0,(($W103)/(12)),0)</f>
        <v/>
      </c>
      <c r="BB103" s="702">
        <f>IF($P103&gt;0,(($W103)/(12)),0)</f>
        <v/>
      </c>
      <c r="BC103" s="765">
        <f>SUM(AQ103:BB103)</f>
        <v/>
      </c>
      <c r="BD103" s="462" t="n"/>
      <c r="BE103" s="702">
        <f>IF($Q103&gt;0,(($X103)/(12)),0)</f>
        <v/>
      </c>
      <c r="BF103" s="702">
        <f>IF($Q103&gt;0,(($X103)/(12)),0)</f>
        <v/>
      </c>
      <c r="BG103" s="702">
        <f>IF($Q103&gt;0,(($X103)/(12)),0)</f>
        <v/>
      </c>
      <c r="BH103" s="702">
        <f>IF($Q103&gt;0,(($X103)/(12)),0)</f>
        <v/>
      </c>
      <c r="BI103" s="702">
        <f>IF($Q103&gt;0,(($X103)/(12)),0)</f>
        <v/>
      </c>
      <c r="BJ103" s="702">
        <f>IF($Q103&gt;0,(($X103)/(12)),0)</f>
        <v/>
      </c>
      <c r="BK103" s="702">
        <f>IF($Q103&gt;0,(($X103)/(12)),0)</f>
        <v/>
      </c>
      <c r="BL103" s="702">
        <f>IF($Q103&gt;0,(($X103)/(12)),0)</f>
        <v/>
      </c>
      <c r="BM103" s="702">
        <f>IF($Q103&gt;0,(($X103)/(12)),0)</f>
        <v/>
      </c>
      <c r="BN103" s="702">
        <f>IF($Q103&gt;0,(($X103)/(12)),0)</f>
        <v/>
      </c>
      <c r="BO103" s="702">
        <f>IF($Q103&gt;0,(($X103)/(12)),0)</f>
        <v/>
      </c>
      <c r="BP103" s="702">
        <f>IF($Q103&gt;0,(($X103)/(12)),0)</f>
        <v/>
      </c>
      <c r="BQ103" s="765">
        <f>SUM(BE103:BP103)</f>
        <v/>
      </c>
      <c r="BR103" s="507" t="n"/>
      <c r="BS103" s="702">
        <f>IF($R103&gt;0,(($Y103)/(12)),0)</f>
        <v/>
      </c>
      <c r="BT103" s="702">
        <f>IF($R103&gt;0,(($Y103)/(12)),0)</f>
        <v/>
      </c>
      <c r="BU103" s="702">
        <f>IF($R103&gt;0,(($Y103)/(12)),0)</f>
        <v/>
      </c>
      <c r="BV103" s="702">
        <f>IF($R103&gt;0,(($Y103)/(12)),0)</f>
        <v/>
      </c>
      <c r="BW103" s="702">
        <f>IF($R103&gt;0,(($Y103)/(12)),0)</f>
        <v/>
      </c>
      <c r="BX103" s="702">
        <f>IF($R103&gt;0,(($Y103)/(12)),0)</f>
        <v/>
      </c>
      <c r="BY103" s="702">
        <f>IF($R103&gt;0,(($Y103)/(12)),0)</f>
        <v/>
      </c>
      <c r="BZ103" s="702">
        <f>IF($R103&gt;0,(($Y103)/(12)),0)</f>
        <v/>
      </c>
      <c r="CA103" s="702">
        <f>IF($R103&gt;0,(($Y103)/(12)),0)</f>
        <v/>
      </c>
      <c r="CB103" s="702">
        <f>IF($R103&gt;0,(($Y103)/(12)),0)</f>
        <v/>
      </c>
      <c r="CC103" s="702">
        <f>IF($R103&gt;0,(($Y103)/(12)),0)</f>
        <v/>
      </c>
      <c r="CD103" s="702">
        <f>IF($R103&gt;0,(($Y103)/(12)),0)</f>
        <v/>
      </c>
      <c r="CE103" s="765">
        <f>SUM(BS103:CD103)</f>
        <v/>
      </c>
      <c r="CF103" s="507" t="n"/>
      <c r="CG103" s="702">
        <f>IF($S103&gt;0,(($Z103)/(12)),0)</f>
        <v/>
      </c>
      <c r="CH103" s="702">
        <f>IF($S103&gt;0,(($Z103)/(12)),0)</f>
        <v/>
      </c>
      <c r="CI103" s="702">
        <f>IF($S103&gt;0,(($Z103)/(12)),0)</f>
        <v/>
      </c>
      <c r="CJ103" s="702">
        <f>IF($S103&gt;0,(($Z103)/(12)),0)</f>
        <v/>
      </c>
      <c r="CK103" s="702">
        <f>IF($S103&gt;0,(($Z103)/(12)),0)</f>
        <v/>
      </c>
      <c r="CL103" s="702">
        <f>IF($S103&gt;0,(($Z103)/(12)),0)</f>
        <v/>
      </c>
      <c r="CM103" s="702">
        <f>IF($S103&gt;0,(($Z103)/(12)),0)</f>
        <v/>
      </c>
      <c r="CN103" s="702">
        <f>IF($S103&gt;0,(($Z103)/(12)),0)</f>
        <v/>
      </c>
      <c r="CO103" s="702">
        <f>IF($S103&gt;0,(($Z103)/(12)),0)</f>
        <v/>
      </c>
      <c r="CP103" s="702">
        <f>IF($S103&gt;0,(($Z103)/(12)),0)</f>
        <v/>
      </c>
      <c r="CQ103" s="702">
        <f>IF($S103&gt;0,(($Z103)/(12)),0)</f>
        <v/>
      </c>
      <c r="CR103" s="702">
        <f>IF($S103&gt;0,(($Z103)/(12)),0)</f>
        <v/>
      </c>
      <c r="CS103" s="765">
        <f>SUM(CG103:CR103)</f>
        <v/>
      </c>
      <c r="CU103" s="702">
        <f>IF($T103&gt;0,(($AA103)/(12)),0)</f>
        <v/>
      </c>
      <c r="CV103" s="702">
        <f>IF($T103&gt;0,(($AA103)/(12)),0)</f>
        <v/>
      </c>
      <c r="CW103" s="702">
        <f>IF($T103&gt;0,(($AA103)/(12)),0)</f>
        <v/>
      </c>
      <c r="CX103" s="702">
        <f>IF($T103&gt;0,(($AA103)/(12)),0)</f>
        <v/>
      </c>
      <c r="CY103" s="702">
        <f>IF($T103&gt;0,(($AA103)/(12)),0)</f>
        <v/>
      </c>
      <c r="CZ103" s="702">
        <f>IF($T103&gt;0,(($AA103)/(12)),0)</f>
        <v/>
      </c>
      <c r="DA103" s="702">
        <f>IF($T103&gt;0,(($AA103)/(12)),0)</f>
        <v/>
      </c>
      <c r="DB103" s="702">
        <f>IF($T103&gt;0,(($AA103)/(12)),0)</f>
        <v/>
      </c>
      <c r="DC103" s="702">
        <f>IF($T103&gt;0,(($AA103)/(12)),0)</f>
        <v/>
      </c>
      <c r="DD103" s="702">
        <f>IF($T103&gt;0,(($AA103)/(12)),0)</f>
        <v/>
      </c>
      <c r="DE103" s="702">
        <f>IF($T103&gt;0,(($AA103)/(12)),0)</f>
        <v/>
      </c>
      <c r="DF103" s="702">
        <f>IF($T103&gt;0,(($AA103)/(12)),0)</f>
        <v/>
      </c>
      <c r="DG103" s="765">
        <f>SUM(CU103:DF103)</f>
        <v/>
      </c>
    </row>
    <row r="104" ht="15" customHeight="1" s="1883">
      <c r="B104" s="752">
        <f>((B103)+(1))</f>
        <v/>
      </c>
      <c r="C104" s="726" t="n"/>
      <c r="D104" s="730" t="inlineStr">
        <is>
          <t>●</t>
        </is>
      </c>
      <c r="E104" s="736" t="inlineStr">
        <is>
          <t>TBD</t>
        </is>
      </c>
      <c r="F104" s="737" t="n"/>
      <c r="G104" s="737" t="n"/>
      <c r="H104" s="737" t="n"/>
      <c r="I104" s="832" t="inlineStr">
        <is>
          <t>Director, Regional Marketing/Strategic Communications</t>
        </is>
      </c>
      <c r="J104" s="746" t="inlineStr">
        <is>
          <t>OCONUS</t>
        </is>
      </c>
      <c r="K104" s="737" t="n"/>
      <c r="L104" s="753" t="n">
        <v>25</v>
      </c>
      <c r="M104" s="753" t="n">
        <v>25</v>
      </c>
      <c r="N104" s="744" t="n"/>
      <c r="O104" s="815" t="n"/>
      <c r="P104" s="756" t="n"/>
      <c r="Q104" s="755" t="n"/>
      <c r="R104" s="755" t="n">
        <v>0</v>
      </c>
      <c r="S104" s="755" t="n">
        <v>0</v>
      </c>
      <c r="T104" s="755" t="n">
        <v>0</v>
      </c>
      <c r="U104" s="737" t="n"/>
      <c r="V104" s="703" t="n">
        <v>0</v>
      </c>
      <c r="W104" s="701" t="n">
        <v>0</v>
      </c>
      <c r="X104" s="700">
        <f>((W104)*((1)+($X$63)))</f>
        <v/>
      </c>
      <c r="Y104" s="700">
        <f>((X104)*((1)+($Y$63)))</f>
        <v/>
      </c>
      <c r="Z104" s="700">
        <f>((Y104)*((1)+($Z$63)))</f>
        <v/>
      </c>
      <c r="AA104" s="700">
        <f>((Z104)*((1)+($AA$63)))</f>
        <v/>
      </c>
      <c r="AB104" s="726" t="n"/>
      <c r="AC104" s="768" t="n">
        <v>0</v>
      </c>
      <c r="AD104" s="768" t="n">
        <v>0</v>
      </c>
      <c r="AE104" s="768" t="n">
        <v>0</v>
      </c>
      <c r="AF104" s="768" t="n">
        <v>0</v>
      </c>
      <c r="AG104" s="768" t="n">
        <v>0</v>
      </c>
      <c r="AH104" s="768" t="n">
        <v>0</v>
      </c>
      <c r="AI104" s="768" t="n">
        <v>0</v>
      </c>
      <c r="AJ104" s="768" t="n">
        <v>0</v>
      </c>
      <c r="AK104" s="768" t="n">
        <v>0</v>
      </c>
      <c r="AL104" s="768" t="n">
        <v>0</v>
      </c>
      <c r="AM104" s="768" t="n">
        <v>0</v>
      </c>
      <c r="AN104" s="768" t="n">
        <v>0</v>
      </c>
      <c r="AO104" s="765">
        <f>SUM(AC104:AN104)</f>
        <v/>
      </c>
      <c r="AP104" s="462" t="n"/>
      <c r="AQ104" s="702">
        <f>IF($P104&gt;0,(($W104)/(12)),0)</f>
        <v/>
      </c>
      <c r="AR104" s="702">
        <f>IF($P104&gt;0,(($W104)/(12)),0)</f>
        <v/>
      </c>
      <c r="AS104" s="702">
        <f>IF($P104&gt;0,(($W104)/(12)),0)</f>
        <v/>
      </c>
      <c r="AT104" s="702">
        <f>IF($P104&gt;0,(($W104)/(12)),0)</f>
        <v/>
      </c>
      <c r="AU104" s="702">
        <f>IF($P104&gt;0,(($W104)/(12)),0)</f>
        <v/>
      </c>
      <c r="AV104" s="702">
        <f>IF($P104&gt;0,(($W104)/(12)),0)</f>
        <v/>
      </c>
      <c r="AW104" s="702">
        <f>IF($P104&gt;0,(($W104)/(12)),0)</f>
        <v/>
      </c>
      <c r="AX104" s="702">
        <f>IF($P104&gt;0,(($W104)/(12)),0)</f>
        <v/>
      </c>
      <c r="AY104" s="702">
        <f>IF($P104&gt;0,(($W104)/(12)),0)</f>
        <v/>
      </c>
      <c r="AZ104" s="702">
        <f>IF($P104&gt;0,(($W104)/(12)),0)</f>
        <v/>
      </c>
      <c r="BA104" s="702">
        <f>IF($P104&gt;0,(($W104)/(12)),0)</f>
        <v/>
      </c>
      <c r="BB104" s="702">
        <f>IF($P104&gt;0,(($W104)/(12)),0)</f>
        <v/>
      </c>
      <c r="BC104" s="765">
        <f>SUM(AQ104:BB104)</f>
        <v/>
      </c>
      <c r="BD104" s="462" t="n"/>
      <c r="BE104" s="702">
        <f>IF($Q104&gt;0,(($X104)/(12)),0)</f>
        <v/>
      </c>
      <c r="BF104" s="702">
        <f>IF($Q104&gt;0,(($X104)/(12)),0)</f>
        <v/>
      </c>
      <c r="BG104" s="702">
        <f>IF($Q104&gt;0,(($X104)/(12)),0)</f>
        <v/>
      </c>
      <c r="BH104" s="702">
        <f>IF($Q104&gt;0,(($X104)/(12)),0)</f>
        <v/>
      </c>
      <c r="BI104" s="702">
        <f>IF($Q104&gt;0,(($X104)/(12)),0)</f>
        <v/>
      </c>
      <c r="BJ104" s="702">
        <f>IF($Q104&gt;0,(($X104)/(12)),0)</f>
        <v/>
      </c>
      <c r="BK104" s="702">
        <f>IF($Q104&gt;0,(($X104)/(12)),0)</f>
        <v/>
      </c>
      <c r="BL104" s="702">
        <f>IF($Q104&gt;0,(($X104)/(12)),0)</f>
        <v/>
      </c>
      <c r="BM104" s="702">
        <f>IF($Q104&gt;0,(($X104)/(12)),0)</f>
        <v/>
      </c>
      <c r="BN104" s="702">
        <f>IF($Q104&gt;0,(($X104)/(12)),0)</f>
        <v/>
      </c>
      <c r="BO104" s="702">
        <f>IF($Q104&gt;0,(($X104)/(12)),0)</f>
        <v/>
      </c>
      <c r="BP104" s="702">
        <f>IF($Q104&gt;0,(($X104)/(12)),0)</f>
        <v/>
      </c>
      <c r="BQ104" s="765">
        <f>SUM(BE104:BP104)</f>
        <v/>
      </c>
      <c r="BR104" s="507" t="n"/>
      <c r="BS104" s="702">
        <f>IF($R104&gt;0,(($Y104)/(12)),0)</f>
        <v/>
      </c>
      <c r="BT104" s="702">
        <f>IF($R104&gt;0,(($Y104)/(12)),0)</f>
        <v/>
      </c>
      <c r="BU104" s="702">
        <f>IF($R104&gt;0,(($Y104)/(12)),0)</f>
        <v/>
      </c>
      <c r="BV104" s="702">
        <f>IF($R104&gt;0,(($Y104)/(12)),0)</f>
        <v/>
      </c>
      <c r="BW104" s="702">
        <f>IF($R104&gt;0,(($Y104)/(12)),0)</f>
        <v/>
      </c>
      <c r="BX104" s="702">
        <f>IF($R104&gt;0,(($Y104)/(12)),0)</f>
        <v/>
      </c>
      <c r="BY104" s="702">
        <f>IF($R104&gt;0,(($Y104)/(12)),0)</f>
        <v/>
      </c>
      <c r="BZ104" s="702">
        <f>IF($R104&gt;0,(($Y104)/(12)),0)</f>
        <v/>
      </c>
      <c r="CA104" s="702">
        <f>IF($R104&gt;0,(($Y104)/(12)),0)</f>
        <v/>
      </c>
      <c r="CB104" s="702">
        <f>IF($R104&gt;0,(($Y104)/(12)),0)</f>
        <v/>
      </c>
      <c r="CC104" s="702">
        <f>IF($R104&gt;0,(($Y104)/(12)),0)</f>
        <v/>
      </c>
      <c r="CD104" s="702">
        <f>IF($R104&gt;0,(($Y104)/(12)),0)</f>
        <v/>
      </c>
      <c r="CE104" s="765">
        <f>SUM(BS104:CD104)</f>
        <v/>
      </c>
      <c r="CF104" s="507" t="n"/>
      <c r="CG104" s="702">
        <f>IF($S104&gt;0,(($Z104)/(12)),0)</f>
        <v/>
      </c>
      <c r="CH104" s="702">
        <f>IF($S104&gt;0,(($Z104)/(12)),0)</f>
        <v/>
      </c>
      <c r="CI104" s="702">
        <f>IF($S104&gt;0,(($Z104)/(12)),0)</f>
        <v/>
      </c>
      <c r="CJ104" s="702">
        <f>IF($S104&gt;0,(($Z104)/(12)),0)</f>
        <v/>
      </c>
      <c r="CK104" s="702">
        <f>IF($S104&gt;0,(($Z104)/(12)),0)</f>
        <v/>
      </c>
      <c r="CL104" s="702">
        <f>IF($S104&gt;0,(($Z104)/(12)),0)</f>
        <v/>
      </c>
      <c r="CM104" s="702">
        <f>IF($S104&gt;0,(($Z104)/(12)),0)</f>
        <v/>
      </c>
      <c r="CN104" s="702">
        <f>IF($S104&gt;0,(($Z104)/(12)),0)</f>
        <v/>
      </c>
      <c r="CO104" s="702">
        <f>IF($S104&gt;0,(($Z104)/(12)),0)</f>
        <v/>
      </c>
      <c r="CP104" s="702">
        <f>IF($S104&gt;0,(($Z104)/(12)),0)</f>
        <v/>
      </c>
      <c r="CQ104" s="702">
        <f>IF($S104&gt;0,(($Z104)/(12)),0)</f>
        <v/>
      </c>
      <c r="CR104" s="702">
        <f>IF($S104&gt;0,(($Z104)/(12)),0)</f>
        <v/>
      </c>
      <c r="CS104" s="765">
        <f>SUM(CG104:CR104)</f>
        <v/>
      </c>
      <c r="CU104" s="702">
        <f>IF($T104&gt;0,(($AA104)/(12)),0)</f>
        <v/>
      </c>
      <c r="CV104" s="702">
        <f>IF($T104&gt;0,(($AA104)/(12)),0)</f>
        <v/>
      </c>
      <c r="CW104" s="702">
        <f>IF($T104&gt;0,(($AA104)/(12)),0)</f>
        <v/>
      </c>
      <c r="CX104" s="702">
        <f>IF($T104&gt;0,(($AA104)/(12)),0)</f>
        <v/>
      </c>
      <c r="CY104" s="702">
        <f>IF($T104&gt;0,(($AA104)/(12)),0)</f>
        <v/>
      </c>
      <c r="CZ104" s="702">
        <f>IF($T104&gt;0,(($AA104)/(12)),0)</f>
        <v/>
      </c>
      <c r="DA104" s="702">
        <f>IF($T104&gt;0,(($AA104)/(12)),0)</f>
        <v/>
      </c>
      <c r="DB104" s="702">
        <f>IF($T104&gt;0,(($AA104)/(12)),0)</f>
        <v/>
      </c>
      <c r="DC104" s="702">
        <f>IF($T104&gt;0,(($AA104)/(12)),0)</f>
        <v/>
      </c>
      <c r="DD104" s="702">
        <f>IF($T104&gt;0,(($AA104)/(12)),0)</f>
        <v/>
      </c>
      <c r="DE104" s="702">
        <f>IF($T104&gt;0,(($AA104)/(12)),0)</f>
        <v/>
      </c>
      <c r="DF104" s="702">
        <f>IF($T104&gt;0,(($AA104)/(12)),0)</f>
        <v/>
      </c>
      <c r="DG104" s="765">
        <f>SUM(CU104:DF104)</f>
        <v/>
      </c>
    </row>
    <row r="105" ht="15" customHeight="1" s="1883">
      <c r="B105" s="752">
        <f>((B104)+(1))</f>
        <v/>
      </c>
      <c r="C105" s="726" t="n"/>
      <c r="D105" s="730" t="inlineStr">
        <is>
          <t>●</t>
        </is>
      </c>
      <c r="E105" s="736" t="inlineStr">
        <is>
          <t>TBD</t>
        </is>
      </c>
      <c r="F105" s="737" t="n"/>
      <c r="G105" s="737" t="n"/>
      <c r="H105" s="737" t="n"/>
      <c r="I105" s="832" t="inlineStr">
        <is>
          <t>Director, Regional Marketing/Strategic Communications</t>
        </is>
      </c>
      <c r="J105" s="746" t="inlineStr">
        <is>
          <t>OCONUS</t>
        </is>
      </c>
      <c r="K105" s="737" t="n"/>
      <c r="L105" s="753" t="n">
        <v>37</v>
      </c>
      <c r="M105" s="753" t="n">
        <v>37</v>
      </c>
      <c r="N105" s="744" t="n"/>
      <c r="O105" s="815" t="n"/>
      <c r="P105" s="756" t="n"/>
      <c r="Q105" s="756" t="n"/>
      <c r="R105" s="756" t="n"/>
      <c r="S105" s="755" t="n">
        <v>0</v>
      </c>
      <c r="T105" s="755" t="n">
        <v>0</v>
      </c>
      <c r="U105" s="737" t="n"/>
      <c r="V105" s="703" t="n">
        <v>0</v>
      </c>
      <c r="W105" s="701" t="n">
        <v>0</v>
      </c>
      <c r="X105" s="700">
        <f>((W105)*((1)+($X$63)))</f>
        <v/>
      </c>
      <c r="Y105" s="700">
        <f>((X105)*((1)+($Y$63)))</f>
        <v/>
      </c>
      <c r="Z105" s="700">
        <f>((Y105)*((1)+($Z$63)))</f>
        <v/>
      </c>
      <c r="AA105" s="700">
        <f>((Z105)*((1)+($AA$63)))</f>
        <v/>
      </c>
      <c r="AB105" s="726" t="n"/>
      <c r="AC105" s="768" t="n">
        <v>0</v>
      </c>
      <c r="AD105" s="768" t="n">
        <v>0</v>
      </c>
      <c r="AE105" s="768" t="n">
        <v>0</v>
      </c>
      <c r="AF105" s="768" t="n">
        <v>0</v>
      </c>
      <c r="AG105" s="768" t="n">
        <v>0</v>
      </c>
      <c r="AH105" s="768" t="n">
        <v>0</v>
      </c>
      <c r="AI105" s="768" t="n">
        <v>0</v>
      </c>
      <c r="AJ105" s="768" t="n">
        <v>0</v>
      </c>
      <c r="AK105" s="768" t="n">
        <v>0</v>
      </c>
      <c r="AL105" s="768" t="n">
        <v>0</v>
      </c>
      <c r="AM105" s="768" t="n">
        <v>0</v>
      </c>
      <c r="AN105" s="768" t="n">
        <v>0</v>
      </c>
      <c r="AO105" s="765">
        <f>SUM(AC105:AN105)</f>
        <v/>
      </c>
      <c r="AP105" s="462" t="n"/>
      <c r="AQ105" s="702">
        <f>IF($P105&gt;0,(($W105)/(12)),0)</f>
        <v/>
      </c>
      <c r="AR105" s="702">
        <f>IF($P105&gt;0,(($W105)/(12)),0)</f>
        <v/>
      </c>
      <c r="AS105" s="702">
        <f>IF($P105&gt;0,(($W105)/(12)),0)</f>
        <v/>
      </c>
      <c r="AT105" s="702">
        <f>IF($P105&gt;0,(($W105)/(12)),0)</f>
        <v/>
      </c>
      <c r="AU105" s="702">
        <f>IF($P105&gt;0,(($W105)/(12)),0)</f>
        <v/>
      </c>
      <c r="AV105" s="702">
        <f>IF($P105&gt;0,(($W105)/(12)),0)</f>
        <v/>
      </c>
      <c r="AW105" s="702">
        <f>IF($P105&gt;0,(($W105)/(12)),0)</f>
        <v/>
      </c>
      <c r="AX105" s="702">
        <f>IF($P105&gt;0,(($W105)/(12)),0)</f>
        <v/>
      </c>
      <c r="AY105" s="702">
        <f>IF($P105&gt;0,(($W105)/(12)),0)</f>
        <v/>
      </c>
      <c r="AZ105" s="702">
        <f>IF($P105&gt;0,(($W105)/(12)),0)</f>
        <v/>
      </c>
      <c r="BA105" s="702">
        <f>IF($P105&gt;0,(($W105)/(12)),0)</f>
        <v/>
      </c>
      <c r="BB105" s="702">
        <f>IF($P105&gt;0,(($W105)/(12)),0)</f>
        <v/>
      </c>
      <c r="BC105" s="765">
        <f>SUM(AQ105:BB105)</f>
        <v/>
      </c>
      <c r="BD105" s="462" t="n"/>
      <c r="BE105" s="702">
        <f>IF($Q105&gt;0,(($X105)/(12)),0)</f>
        <v/>
      </c>
      <c r="BF105" s="702">
        <f>IF($Q105&gt;0,(($X105)/(12)),0)</f>
        <v/>
      </c>
      <c r="BG105" s="702">
        <f>IF($Q105&gt;0,(($X105)/(12)),0)</f>
        <v/>
      </c>
      <c r="BH105" s="702">
        <f>IF($Q105&gt;0,(($X105)/(12)),0)</f>
        <v/>
      </c>
      <c r="BI105" s="702">
        <f>IF($Q105&gt;0,(($X105)/(12)),0)</f>
        <v/>
      </c>
      <c r="BJ105" s="702">
        <f>IF($Q105&gt;0,(($X105)/(12)),0)</f>
        <v/>
      </c>
      <c r="BK105" s="702">
        <f>IF($Q105&gt;0,(($X105)/(12)),0)</f>
        <v/>
      </c>
      <c r="BL105" s="702">
        <f>IF($Q105&gt;0,(($X105)/(12)),0)</f>
        <v/>
      </c>
      <c r="BM105" s="702">
        <f>IF($Q105&gt;0,(($X105)/(12)),0)</f>
        <v/>
      </c>
      <c r="BN105" s="702">
        <f>IF($Q105&gt;0,(($X105)/(12)),0)</f>
        <v/>
      </c>
      <c r="BO105" s="702">
        <f>IF($Q105&gt;0,(($X105)/(12)),0)</f>
        <v/>
      </c>
      <c r="BP105" s="702">
        <f>IF($Q105&gt;0,(($X105)/(12)),0)</f>
        <v/>
      </c>
      <c r="BQ105" s="765">
        <f>SUM(BE105:BP105)</f>
        <v/>
      </c>
      <c r="BR105" s="507" t="n"/>
      <c r="BS105" s="702">
        <f>IF($R105&gt;0,(($Y105)/(12)),0)</f>
        <v/>
      </c>
      <c r="BT105" s="702">
        <f>IF($R105&gt;0,(($Y105)/(12)),0)</f>
        <v/>
      </c>
      <c r="BU105" s="702">
        <f>IF($R105&gt;0,(($Y105)/(12)),0)</f>
        <v/>
      </c>
      <c r="BV105" s="702">
        <f>IF($R105&gt;0,(($Y105)/(12)),0)</f>
        <v/>
      </c>
      <c r="BW105" s="702">
        <f>IF($R105&gt;0,(($Y105)/(12)),0)</f>
        <v/>
      </c>
      <c r="BX105" s="702">
        <f>IF($R105&gt;0,(($Y105)/(12)),0)</f>
        <v/>
      </c>
      <c r="BY105" s="702">
        <f>IF($R105&gt;0,(($Y105)/(12)),0)</f>
        <v/>
      </c>
      <c r="BZ105" s="702">
        <f>IF($R105&gt;0,(($Y105)/(12)),0)</f>
        <v/>
      </c>
      <c r="CA105" s="702">
        <f>IF($R105&gt;0,(($Y105)/(12)),0)</f>
        <v/>
      </c>
      <c r="CB105" s="702">
        <f>IF($R105&gt;0,(($Y105)/(12)),0)</f>
        <v/>
      </c>
      <c r="CC105" s="702">
        <f>IF($R105&gt;0,(($Y105)/(12)),0)</f>
        <v/>
      </c>
      <c r="CD105" s="702">
        <f>IF($R105&gt;0,(($Y105)/(12)),0)</f>
        <v/>
      </c>
      <c r="CE105" s="765">
        <f>SUM(BS105:CD105)</f>
        <v/>
      </c>
      <c r="CF105" s="507" t="n"/>
      <c r="CG105" s="702">
        <f>IF($S105&gt;0,(($Z105)/(12)),0)</f>
        <v/>
      </c>
      <c r="CH105" s="702">
        <f>IF($S105&gt;0,(($Z105)/(12)),0)</f>
        <v/>
      </c>
      <c r="CI105" s="702">
        <f>IF($S105&gt;0,(($Z105)/(12)),0)</f>
        <v/>
      </c>
      <c r="CJ105" s="702">
        <f>IF($S105&gt;0,(($Z105)/(12)),0)</f>
        <v/>
      </c>
      <c r="CK105" s="702">
        <f>IF($S105&gt;0,(($Z105)/(12)),0)</f>
        <v/>
      </c>
      <c r="CL105" s="702">
        <f>IF($S105&gt;0,(($Z105)/(12)),0)</f>
        <v/>
      </c>
      <c r="CM105" s="702">
        <f>IF($S105&gt;0,(($Z105)/(12)),0)</f>
        <v/>
      </c>
      <c r="CN105" s="702">
        <f>IF($S105&gt;0,(($Z105)/(12)),0)</f>
        <v/>
      </c>
      <c r="CO105" s="702">
        <f>IF($S105&gt;0,(($Z105)/(12)),0)</f>
        <v/>
      </c>
      <c r="CP105" s="702">
        <f>IF($S105&gt;0,(($Z105)/(12)),0)</f>
        <v/>
      </c>
      <c r="CQ105" s="702">
        <f>IF($S105&gt;0,(($Z105)/(12)),0)</f>
        <v/>
      </c>
      <c r="CR105" s="702">
        <f>IF($S105&gt;0,(($Z105)/(12)),0)</f>
        <v/>
      </c>
      <c r="CS105" s="765">
        <f>SUM(CG105:CR105)</f>
        <v/>
      </c>
      <c r="CU105" s="702">
        <f>IF($T105&gt;0,(($AA105)/(12)),0)</f>
        <v/>
      </c>
      <c r="CV105" s="702">
        <f>IF($T105&gt;0,(($AA105)/(12)),0)</f>
        <v/>
      </c>
      <c r="CW105" s="702">
        <f>IF($T105&gt;0,(($AA105)/(12)),0)</f>
        <v/>
      </c>
      <c r="CX105" s="702">
        <f>IF($T105&gt;0,(($AA105)/(12)),0)</f>
        <v/>
      </c>
      <c r="CY105" s="702">
        <f>IF($T105&gt;0,(($AA105)/(12)),0)</f>
        <v/>
      </c>
      <c r="CZ105" s="702">
        <f>IF($T105&gt;0,(($AA105)/(12)),0)</f>
        <v/>
      </c>
      <c r="DA105" s="702">
        <f>IF($T105&gt;0,(($AA105)/(12)),0)</f>
        <v/>
      </c>
      <c r="DB105" s="702">
        <f>IF($T105&gt;0,(($AA105)/(12)),0)</f>
        <v/>
      </c>
      <c r="DC105" s="702">
        <f>IF($T105&gt;0,(($AA105)/(12)),0)</f>
        <v/>
      </c>
      <c r="DD105" s="702">
        <f>IF($T105&gt;0,(($AA105)/(12)),0)</f>
        <v/>
      </c>
      <c r="DE105" s="702">
        <f>IF($T105&gt;0,(($AA105)/(12)),0)</f>
        <v/>
      </c>
      <c r="DF105" s="702">
        <f>IF($T105&gt;0,(($AA105)/(12)),0)</f>
        <v/>
      </c>
      <c r="DG105" s="765">
        <f>SUM(CU105:DF105)</f>
        <v/>
      </c>
    </row>
    <row r="106" ht="15" customHeight="1" s="1883">
      <c r="B106" s="752">
        <f>((B105)+(1))</f>
        <v/>
      </c>
      <c r="C106" s="726" t="n"/>
      <c r="D106" s="730" t="inlineStr">
        <is>
          <t>●</t>
        </is>
      </c>
      <c r="E106" s="736" t="inlineStr">
        <is>
          <t>TBD</t>
        </is>
      </c>
      <c r="F106" s="737" t="n"/>
      <c r="G106" s="737" t="n"/>
      <c r="H106" s="737" t="n"/>
      <c r="I106" s="832" t="inlineStr">
        <is>
          <t>Director, Regional Marketing/Strategic Communications</t>
        </is>
      </c>
      <c r="J106" s="746" t="inlineStr">
        <is>
          <t>OCONUS</t>
        </is>
      </c>
      <c r="K106" s="737" t="n"/>
      <c r="L106" s="753" t="n">
        <v>37</v>
      </c>
      <c r="M106" s="753" t="n">
        <v>37</v>
      </c>
      <c r="N106" s="744" t="n"/>
      <c r="O106" s="815" t="n"/>
      <c r="P106" s="756" t="n"/>
      <c r="Q106" s="756" t="n"/>
      <c r="R106" s="756" t="n"/>
      <c r="S106" s="755" t="n">
        <v>0</v>
      </c>
      <c r="T106" s="755" t="n">
        <v>0</v>
      </c>
      <c r="U106" s="737" t="n"/>
      <c r="V106" s="703" t="n">
        <v>0</v>
      </c>
      <c r="W106" s="701" t="n">
        <v>0</v>
      </c>
      <c r="X106" s="700">
        <f>((W106)*((1)+($X$63)))</f>
        <v/>
      </c>
      <c r="Y106" s="700">
        <f>((X106)*((1)+($Y$63)))</f>
        <v/>
      </c>
      <c r="Z106" s="700">
        <f>((Y106)*((1)+($Z$63)))</f>
        <v/>
      </c>
      <c r="AA106" s="700">
        <f>((Z106)*((1)+($AA$63)))</f>
        <v/>
      </c>
      <c r="AB106" s="726" t="n"/>
      <c r="AC106" s="768" t="n">
        <v>0</v>
      </c>
      <c r="AD106" s="768" t="n">
        <v>0</v>
      </c>
      <c r="AE106" s="768" t="n">
        <v>0</v>
      </c>
      <c r="AF106" s="768" t="n">
        <v>0</v>
      </c>
      <c r="AG106" s="768" t="n">
        <v>0</v>
      </c>
      <c r="AH106" s="768" t="n">
        <v>0</v>
      </c>
      <c r="AI106" s="768" t="n">
        <v>0</v>
      </c>
      <c r="AJ106" s="768" t="n">
        <v>0</v>
      </c>
      <c r="AK106" s="768" t="n">
        <v>0</v>
      </c>
      <c r="AL106" s="768" t="n">
        <v>0</v>
      </c>
      <c r="AM106" s="768" t="n">
        <v>0</v>
      </c>
      <c r="AN106" s="768" t="n">
        <v>0</v>
      </c>
      <c r="AO106" s="765">
        <f>SUM(AC106:AN106)</f>
        <v/>
      </c>
      <c r="AP106" s="462" t="n"/>
      <c r="AQ106" s="702">
        <f>IF($P106&gt;0,(($W106)/(12)),0)</f>
        <v/>
      </c>
      <c r="AR106" s="702">
        <f>IF($P106&gt;0,(($W106)/(12)),0)</f>
        <v/>
      </c>
      <c r="AS106" s="702">
        <f>IF($P106&gt;0,(($W106)/(12)),0)</f>
        <v/>
      </c>
      <c r="AT106" s="702">
        <f>IF($P106&gt;0,(($W106)/(12)),0)</f>
        <v/>
      </c>
      <c r="AU106" s="702">
        <f>IF($P106&gt;0,(($W106)/(12)),0)</f>
        <v/>
      </c>
      <c r="AV106" s="702">
        <f>IF($P106&gt;0,(($W106)/(12)),0)</f>
        <v/>
      </c>
      <c r="AW106" s="702">
        <f>IF($P106&gt;0,(($W106)/(12)),0)</f>
        <v/>
      </c>
      <c r="AX106" s="702">
        <f>IF($P106&gt;0,(($W106)/(12)),0)</f>
        <v/>
      </c>
      <c r="AY106" s="702">
        <f>IF($P106&gt;0,(($W106)/(12)),0)</f>
        <v/>
      </c>
      <c r="AZ106" s="702">
        <f>IF($P106&gt;0,(($W106)/(12)),0)</f>
        <v/>
      </c>
      <c r="BA106" s="702">
        <f>IF($P106&gt;0,(($W106)/(12)),0)</f>
        <v/>
      </c>
      <c r="BB106" s="702">
        <f>IF($P106&gt;0,(($W106)/(12)),0)</f>
        <v/>
      </c>
      <c r="BC106" s="765">
        <f>SUM(AQ106:BB106)</f>
        <v/>
      </c>
      <c r="BD106" s="462" t="n"/>
      <c r="BE106" s="702">
        <f>IF($Q106&gt;0,(($X106)/(12)),0)</f>
        <v/>
      </c>
      <c r="BF106" s="702">
        <f>IF($Q106&gt;0,(($X106)/(12)),0)</f>
        <v/>
      </c>
      <c r="BG106" s="702">
        <f>IF($Q106&gt;0,(($X106)/(12)),0)</f>
        <v/>
      </c>
      <c r="BH106" s="702">
        <f>IF($Q106&gt;0,(($X106)/(12)),0)</f>
        <v/>
      </c>
      <c r="BI106" s="702">
        <f>IF($Q106&gt;0,(($X106)/(12)),0)</f>
        <v/>
      </c>
      <c r="BJ106" s="702">
        <f>IF($Q106&gt;0,(($X106)/(12)),0)</f>
        <v/>
      </c>
      <c r="BK106" s="702">
        <f>IF($Q106&gt;0,(($X106)/(12)),0)</f>
        <v/>
      </c>
      <c r="BL106" s="702">
        <f>IF($Q106&gt;0,(($X106)/(12)),0)</f>
        <v/>
      </c>
      <c r="BM106" s="702">
        <f>IF($Q106&gt;0,(($X106)/(12)),0)</f>
        <v/>
      </c>
      <c r="BN106" s="702">
        <f>IF($Q106&gt;0,(($X106)/(12)),0)</f>
        <v/>
      </c>
      <c r="BO106" s="702">
        <f>IF($Q106&gt;0,(($X106)/(12)),0)</f>
        <v/>
      </c>
      <c r="BP106" s="702">
        <f>IF($Q106&gt;0,(($X106)/(12)),0)</f>
        <v/>
      </c>
      <c r="BQ106" s="765">
        <f>SUM(BE106:BP106)</f>
        <v/>
      </c>
      <c r="BR106" s="507" t="n"/>
      <c r="BS106" s="702">
        <f>IF($R106&gt;0,(($Y106)/(12)),0)</f>
        <v/>
      </c>
      <c r="BT106" s="702">
        <f>IF($R106&gt;0,(($Y106)/(12)),0)</f>
        <v/>
      </c>
      <c r="BU106" s="702">
        <f>IF($R106&gt;0,(($Y106)/(12)),0)</f>
        <v/>
      </c>
      <c r="BV106" s="702">
        <f>IF($R106&gt;0,(($Y106)/(12)),0)</f>
        <v/>
      </c>
      <c r="BW106" s="702">
        <f>IF($R106&gt;0,(($Y106)/(12)),0)</f>
        <v/>
      </c>
      <c r="BX106" s="702">
        <f>IF($R106&gt;0,(($Y106)/(12)),0)</f>
        <v/>
      </c>
      <c r="BY106" s="702">
        <f>IF($R106&gt;0,(($Y106)/(12)),0)</f>
        <v/>
      </c>
      <c r="BZ106" s="702">
        <f>IF($R106&gt;0,(($Y106)/(12)),0)</f>
        <v/>
      </c>
      <c r="CA106" s="702">
        <f>IF($R106&gt;0,(($Y106)/(12)),0)</f>
        <v/>
      </c>
      <c r="CB106" s="702">
        <f>IF($R106&gt;0,(($Y106)/(12)),0)</f>
        <v/>
      </c>
      <c r="CC106" s="702">
        <f>IF($R106&gt;0,(($Y106)/(12)),0)</f>
        <v/>
      </c>
      <c r="CD106" s="702">
        <f>IF($R106&gt;0,(($Y106)/(12)),0)</f>
        <v/>
      </c>
      <c r="CE106" s="765">
        <f>SUM(BS106:CD106)</f>
        <v/>
      </c>
      <c r="CF106" s="507" t="n"/>
      <c r="CG106" s="702">
        <f>IF($S106&gt;0,(($Z106)/(12)),0)</f>
        <v/>
      </c>
      <c r="CH106" s="702">
        <f>IF($S106&gt;0,(($Z106)/(12)),0)</f>
        <v/>
      </c>
      <c r="CI106" s="702">
        <f>IF($S106&gt;0,(($Z106)/(12)),0)</f>
        <v/>
      </c>
      <c r="CJ106" s="702">
        <f>IF($S106&gt;0,(($Z106)/(12)),0)</f>
        <v/>
      </c>
      <c r="CK106" s="702">
        <f>IF($S106&gt;0,(($Z106)/(12)),0)</f>
        <v/>
      </c>
      <c r="CL106" s="702">
        <f>IF($S106&gt;0,(($Z106)/(12)),0)</f>
        <v/>
      </c>
      <c r="CM106" s="702">
        <f>IF($S106&gt;0,(($Z106)/(12)),0)</f>
        <v/>
      </c>
      <c r="CN106" s="702">
        <f>IF($S106&gt;0,(($Z106)/(12)),0)</f>
        <v/>
      </c>
      <c r="CO106" s="702">
        <f>IF($S106&gt;0,(($Z106)/(12)),0)</f>
        <v/>
      </c>
      <c r="CP106" s="702">
        <f>IF($S106&gt;0,(($Z106)/(12)),0)</f>
        <v/>
      </c>
      <c r="CQ106" s="702">
        <f>IF($S106&gt;0,(($Z106)/(12)),0)</f>
        <v/>
      </c>
      <c r="CR106" s="702">
        <f>IF($S106&gt;0,(($Z106)/(12)),0)</f>
        <v/>
      </c>
      <c r="CS106" s="765">
        <f>SUM(CG106:CR106)</f>
        <v/>
      </c>
      <c r="CU106" s="702">
        <f>IF($T106&gt;0,(($AA106)/(12)),0)</f>
        <v/>
      </c>
      <c r="CV106" s="702">
        <f>IF($T106&gt;0,(($AA106)/(12)),0)</f>
        <v/>
      </c>
      <c r="CW106" s="702">
        <f>IF($T106&gt;0,(($AA106)/(12)),0)</f>
        <v/>
      </c>
      <c r="CX106" s="702">
        <f>IF($T106&gt;0,(($AA106)/(12)),0)</f>
        <v/>
      </c>
      <c r="CY106" s="702">
        <f>IF($T106&gt;0,(($AA106)/(12)),0)</f>
        <v/>
      </c>
      <c r="CZ106" s="702">
        <f>IF($T106&gt;0,(($AA106)/(12)),0)</f>
        <v/>
      </c>
      <c r="DA106" s="702">
        <f>IF($T106&gt;0,(($AA106)/(12)),0)</f>
        <v/>
      </c>
      <c r="DB106" s="702">
        <f>IF($T106&gt;0,(($AA106)/(12)),0)</f>
        <v/>
      </c>
      <c r="DC106" s="702">
        <f>IF($T106&gt;0,(($AA106)/(12)),0)</f>
        <v/>
      </c>
      <c r="DD106" s="702">
        <f>IF($T106&gt;0,(($AA106)/(12)),0)</f>
        <v/>
      </c>
      <c r="DE106" s="702">
        <f>IF($T106&gt;0,(($AA106)/(12)),0)</f>
        <v/>
      </c>
      <c r="DF106" s="702">
        <f>IF($T106&gt;0,(($AA106)/(12)),0)</f>
        <v/>
      </c>
      <c r="DG106" s="765">
        <f>SUM(CU106:DF106)</f>
        <v/>
      </c>
    </row>
    <row r="107" ht="15" customHeight="1" s="1883">
      <c r="B107" s="752">
        <f>((B106)+(1))</f>
        <v/>
      </c>
      <c r="C107" s="726" t="n"/>
      <c r="D107" s="730" t="inlineStr">
        <is>
          <t>●</t>
        </is>
      </c>
      <c r="E107" s="736" t="inlineStr">
        <is>
          <t>TBD</t>
        </is>
      </c>
      <c r="F107" s="737" t="n"/>
      <c r="G107" s="737" t="n"/>
      <c r="H107" s="737" t="n"/>
      <c r="I107" s="832" t="inlineStr">
        <is>
          <t>Regional Director, Sales</t>
        </is>
      </c>
      <c r="J107" s="746" t="inlineStr">
        <is>
          <t>OCONUS</t>
        </is>
      </c>
      <c r="K107" s="737" t="n"/>
      <c r="L107" s="753" t="n">
        <v>1</v>
      </c>
      <c r="M107" s="753" t="n">
        <v>1</v>
      </c>
      <c r="N107" s="744" t="n"/>
      <c r="O107" s="815" t="n"/>
      <c r="P107" s="755" t="n">
        <v>0</v>
      </c>
      <c r="Q107" s="755" t="n">
        <v>0</v>
      </c>
      <c r="R107" s="755" t="n">
        <v>0</v>
      </c>
      <c r="S107" s="755" t="n">
        <v>0</v>
      </c>
      <c r="T107" s="755" t="n">
        <v>0</v>
      </c>
      <c r="U107" s="737" t="n"/>
      <c r="V107" s="703" t="n">
        <v>0</v>
      </c>
      <c r="W107" s="701" t="n">
        <v>0</v>
      </c>
      <c r="X107" s="700">
        <f>((W107)*((1)+($X$63)))</f>
        <v/>
      </c>
      <c r="Y107" s="700">
        <f>((X107)*((1)+($Y$63)))</f>
        <v/>
      </c>
      <c r="Z107" s="700">
        <f>((Y107)*((1)+($Z$63)))</f>
        <v/>
      </c>
      <c r="AA107" s="700">
        <f>((Z107)*((1)+($AA$63)))</f>
        <v/>
      </c>
      <c r="AB107" s="726" t="n"/>
      <c r="AC107" s="768" t="n">
        <v>0</v>
      </c>
      <c r="AD107" s="768" t="n">
        <v>0</v>
      </c>
      <c r="AE107" s="768" t="n">
        <v>0</v>
      </c>
      <c r="AF107" s="768" t="n">
        <v>0</v>
      </c>
      <c r="AG107" s="768" t="n">
        <v>0</v>
      </c>
      <c r="AH107" s="768" t="n">
        <v>0</v>
      </c>
      <c r="AI107" s="768" t="n">
        <v>0</v>
      </c>
      <c r="AJ107" s="768" t="n">
        <v>0</v>
      </c>
      <c r="AK107" s="768" t="n">
        <v>0</v>
      </c>
      <c r="AL107" s="768" t="n">
        <v>0</v>
      </c>
      <c r="AM107" s="768" t="n">
        <v>0</v>
      </c>
      <c r="AN107" s="768" t="n">
        <v>0</v>
      </c>
      <c r="AO107" s="765">
        <f>SUM(AC107:AN107)</f>
        <v/>
      </c>
      <c r="AP107" s="462" t="n"/>
      <c r="AQ107" s="702">
        <f>IF($P107&gt;0,(($W107)/(12)),0)</f>
        <v/>
      </c>
      <c r="AR107" s="702">
        <f>IF($P107&gt;0,(($W107)/(12)),0)</f>
        <v/>
      </c>
      <c r="AS107" s="702">
        <f>IF($P107&gt;0,(($W107)/(12)),0)</f>
        <v/>
      </c>
      <c r="AT107" s="702">
        <f>IF($P107&gt;0,(($W107)/(12)),0)</f>
        <v/>
      </c>
      <c r="AU107" s="702">
        <f>IF($P107&gt;0,(($W107)/(12)),0)</f>
        <v/>
      </c>
      <c r="AV107" s="702">
        <f>IF($P107&gt;0,(($W107)/(12)),0)</f>
        <v/>
      </c>
      <c r="AW107" s="702">
        <f>IF($P107&gt;0,(($W107)/(12)),0)</f>
        <v/>
      </c>
      <c r="AX107" s="702">
        <f>IF($P107&gt;0,(($W107)/(12)),0)</f>
        <v/>
      </c>
      <c r="AY107" s="702">
        <f>IF($P107&gt;0,(($W107)/(12)),0)</f>
        <v/>
      </c>
      <c r="AZ107" s="702">
        <f>IF($P107&gt;0,(($W107)/(12)),0)</f>
        <v/>
      </c>
      <c r="BA107" s="702">
        <f>IF($P107&gt;0,(($W107)/(12)),0)</f>
        <v/>
      </c>
      <c r="BB107" s="702">
        <f>IF($P107&gt;0,(($W107)/(12)),0)</f>
        <v/>
      </c>
      <c r="BC107" s="765">
        <f>SUM(AQ107:BB107)</f>
        <v/>
      </c>
      <c r="BD107" s="462" t="n"/>
      <c r="BE107" s="702">
        <f>IF($Q107&gt;0,(($X107)/(12)),0)</f>
        <v/>
      </c>
      <c r="BF107" s="702">
        <f>IF($Q107&gt;0,(($X107)/(12)),0)</f>
        <v/>
      </c>
      <c r="BG107" s="702">
        <f>IF($Q107&gt;0,(($X107)/(12)),0)</f>
        <v/>
      </c>
      <c r="BH107" s="702">
        <f>IF($Q107&gt;0,(($X107)/(12)),0)</f>
        <v/>
      </c>
      <c r="BI107" s="702">
        <f>IF($Q107&gt;0,(($X107)/(12)),0)</f>
        <v/>
      </c>
      <c r="BJ107" s="702">
        <f>IF($Q107&gt;0,(($X107)/(12)),0)</f>
        <v/>
      </c>
      <c r="BK107" s="702">
        <f>IF($Q107&gt;0,(($X107)/(12)),0)</f>
        <v/>
      </c>
      <c r="BL107" s="702">
        <f>IF($Q107&gt;0,(($X107)/(12)),0)</f>
        <v/>
      </c>
      <c r="BM107" s="702">
        <f>IF($Q107&gt;0,(($X107)/(12)),0)</f>
        <v/>
      </c>
      <c r="BN107" s="702">
        <f>IF($Q107&gt;0,(($X107)/(12)),0)</f>
        <v/>
      </c>
      <c r="BO107" s="702">
        <f>IF($Q107&gt;0,(($X107)/(12)),0)</f>
        <v/>
      </c>
      <c r="BP107" s="702">
        <f>IF($Q107&gt;0,(($X107)/(12)),0)</f>
        <v/>
      </c>
      <c r="BQ107" s="765">
        <f>SUM(BE107:BP107)</f>
        <v/>
      </c>
      <c r="BR107" s="507" t="n"/>
      <c r="BS107" s="702">
        <f>IF($R107&gt;0,(($Y107)/(12)),0)</f>
        <v/>
      </c>
      <c r="BT107" s="702">
        <f>IF($R107&gt;0,(($Y107)/(12)),0)</f>
        <v/>
      </c>
      <c r="BU107" s="702">
        <f>IF($R107&gt;0,(($Y107)/(12)),0)</f>
        <v/>
      </c>
      <c r="BV107" s="702">
        <f>IF($R107&gt;0,(($Y107)/(12)),0)</f>
        <v/>
      </c>
      <c r="BW107" s="702">
        <f>IF($R107&gt;0,(($Y107)/(12)),0)</f>
        <v/>
      </c>
      <c r="BX107" s="702">
        <f>IF($R107&gt;0,(($Y107)/(12)),0)</f>
        <v/>
      </c>
      <c r="BY107" s="702">
        <f>IF($R107&gt;0,(($Y107)/(12)),0)</f>
        <v/>
      </c>
      <c r="BZ107" s="702">
        <f>IF($R107&gt;0,(($Y107)/(12)),0)</f>
        <v/>
      </c>
      <c r="CA107" s="702">
        <f>IF($R107&gt;0,(($Y107)/(12)),0)</f>
        <v/>
      </c>
      <c r="CB107" s="702">
        <f>IF($R107&gt;0,(($Y107)/(12)),0)</f>
        <v/>
      </c>
      <c r="CC107" s="702">
        <f>IF($R107&gt;0,(($Y107)/(12)),0)</f>
        <v/>
      </c>
      <c r="CD107" s="702">
        <f>IF($R107&gt;0,(($Y107)/(12)),0)</f>
        <v/>
      </c>
      <c r="CE107" s="765">
        <f>SUM(BS107:CD107)</f>
        <v/>
      </c>
      <c r="CF107" s="507" t="n"/>
      <c r="CG107" s="702">
        <f>IF($S107&gt;0,(($Z107)/(12)),0)</f>
        <v/>
      </c>
      <c r="CH107" s="702">
        <f>IF($S107&gt;0,(($Z107)/(12)),0)</f>
        <v/>
      </c>
      <c r="CI107" s="702">
        <f>IF($S107&gt;0,(($Z107)/(12)),0)</f>
        <v/>
      </c>
      <c r="CJ107" s="702">
        <f>IF($S107&gt;0,(($Z107)/(12)),0)</f>
        <v/>
      </c>
      <c r="CK107" s="702">
        <f>IF($S107&gt;0,(($Z107)/(12)),0)</f>
        <v/>
      </c>
      <c r="CL107" s="702">
        <f>IF($S107&gt;0,(($Z107)/(12)),0)</f>
        <v/>
      </c>
      <c r="CM107" s="702">
        <f>IF($S107&gt;0,(($Z107)/(12)),0)</f>
        <v/>
      </c>
      <c r="CN107" s="702">
        <f>IF($S107&gt;0,(($Z107)/(12)),0)</f>
        <v/>
      </c>
      <c r="CO107" s="702">
        <f>IF($S107&gt;0,(($Z107)/(12)),0)</f>
        <v/>
      </c>
      <c r="CP107" s="702">
        <f>IF($S107&gt;0,(($Z107)/(12)),0)</f>
        <v/>
      </c>
      <c r="CQ107" s="702">
        <f>IF($S107&gt;0,(($Z107)/(12)),0)</f>
        <v/>
      </c>
      <c r="CR107" s="702">
        <f>IF($S107&gt;0,(($Z107)/(12)),0)</f>
        <v/>
      </c>
      <c r="CS107" s="765">
        <f>SUM(CG107:CR107)</f>
        <v/>
      </c>
      <c r="CU107" s="702">
        <f>IF($T107&gt;0,(($AA107)/(12)),0)</f>
        <v/>
      </c>
      <c r="CV107" s="702">
        <f>IF($T107&gt;0,(($AA107)/(12)),0)</f>
        <v/>
      </c>
      <c r="CW107" s="702">
        <f>IF($T107&gt;0,(($AA107)/(12)),0)</f>
        <v/>
      </c>
      <c r="CX107" s="702">
        <f>IF($T107&gt;0,(($AA107)/(12)),0)</f>
        <v/>
      </c>
      <c r="CY107" s="702">
        <f>IF($T107&gt;0,(($AA107)/(12)),0)</f>
        <v/>
      </c>
      <c r="CZ107" s="702">
        <f>IF($T107&gt;0,(($AA107)/(12)),0)</f>
        <v/>
      </c>
      <c r="DA107" s="702">
        <f>IF($T107&gt;0,(($AA107)/(12)),0)</f>
        <v/>
      </c>
      <c r="DB107" s="702">
        <f>IF($T107&gt;0,(($AA107)/(12)),0)</f>
        <v/>
      </c>
      <c r="DC107" s="702">
        <f>IF($T107&gt;0,(($AA107)/(12)),0)</f>
        <v/>
      </c>
      <c r="DD107" s="702">
        <f>IF($T107&gt;0,(($AA107)/(12)),0)</f>
        <v/>
      </c>
      <c r="DE107" s="702">
        <f>IF($T107&gt;0,(($AA107)/(12)),0)</f>
        <v/>
      </c>
      <c r="DF107" s="702">
        <f>IF($T107&gt;0,(($AA107)/(12)),0)</f>
        <v/>
      </c>
      <c r="DG107" s="765">
        <f>SUM(CU107:DF107)</f>
        <v/>
      </c>
    </row>
    <row r="108" ht="15" customHeight="1" s="1883">
      <c r="B108" s="752">
        <f>((B107)+(1))</f>
        <v/>
      </c>
      <c r="C108" s="726" t="n"/>
      <c r="D108" s="730" t="inlineStr">
        <is>
          <t>●</t>
        </is>
      </c>
      <c r="E108" s="736" t="inlineStr">
        <is>
          <t>TBD</t>
        </is>
      </c>
      <c r="F108" s="737" t="n"/>
      <c r="G108" s="737" t="n"/>
      <c r="H108" s="737" t="n"/>
      <c r="I108" s="832" t="inlineStr">
        <is>
          <t>Regional Director, Sales</t>
        </is>
      </c>
      <c r="J108" s="746" t="inlineStr">
        <is>
          <t>OCONUS</t>
        </is>
      </c>
      <c r="K108" s="737" t="n"/>
      <c r="L108" s="753" t="n">
        <v>1</v>
      </c>
      <c r="M108" s="753" t="n">
        <v>1</v>
      </c>
      <c r="N108" s="744" t="n"/>
      <c r="O108" s="815" t="n"/>
      <c r="P108" s="755" t="n">
        <v>0</v>
      </c>
      <c r="Q108" s="755" t="n">
        <v>0</v>
      </c>
      <c r="R108" s="755" t="n">
        <v>0</v>
      </c>
      <c r="S108" s="755" t="n">
        <v>0</v>
      </c>
      <c r="T108" s="755" t="n">
        <v>0</v>
      </c>
      <c r="U108" s="737" t="n"/>
      <c r="V108" s="703" t="n">
        <v>0</v>
      </c>
      <c r="W108" s="701" t="n">
        <v>0</v>
      </c>
      <c r="X108" s="700">
        <f>((W108)*((1)+($X$63)))</f>
        <v/>
      </c>
      <c r="Y108" s="700">
        <f>((X108)*((1)+($Y$63)))</f>
        <v/>
      </c>
      <c r="Z108" s="700">
        <f>((Y108)*((1)+($Z$63)))</f>
        <v/>
      </c>
      <c r="AA108" s="700">
        <f>((Z108)*((1)+($AA$63)))</f>
        <v/>
      </c>
      <c r="AB108" s="726" t="n"/>
      <c r="AC108" s="768" t="n">
        <v>0</v>
      </c>
      <c r="AD108" s="768" t="n">
        <v>0</v>
      </c>
      <c r="AE108" s="768" t="n">
        <v>0</v>
      </c>
      <c r="AF108" s="768" t="n">
        <v>0</v>
      </c>
      <c r="AG108" s="768" t="n">
        <v>0</v>
      </c>
      <c r="AH108" s="768" t="n">
        <v>0</v>
      </c>
      <c r="AI108" s="768" t="n">
        <v>0</v>
      </c>
      <c r="AJ108" s="768" t="n">
        <v>0</v>
      </c>
      <c r="AK108" s="768" t="n">
        <v>0</v>
      </c>
      <c r="AL108" s="768" t="n">
        <v>0</v>
      </c>
      <c r="AM108" s="768" t="n">
        <v>0</v>
      </c>
      <c r="AN108" s="768" t="n">
        <v>0</v>
      </c>
      <c r="AO108" s="765">
        <f>SUM(AC108:AN108)</f>
        <v/>
      </c>
      <c r="AP108" s="462" t="n"/>
      <c r="AQ108" s="702">
        <f>IF($P108&gt;0,(($W108)/(12)),0)</f>
        <v/>
      </c>
      <c r="AR108" s="702">
        <f>IF($P108&gt;0,(($W108)/(12)),0)</f>
        <v/>
      </c>
      <c r="AS108" s="702">
        <f>IF($P108&gt;0,(($W108)/(12)),0)</f>
        <v/>
      </c>
      <c r="AT108" s="702">
        <f>IF($P108&gt;0,(($W108)/(12)),0)</f>
        <v/>
      </c>
      <c r="AU108" s="702">
        <f>IF($P108&gt;0,(($W108)/(12)),0)</f>
        <v/>
      </c>
      <c r="AV108" s="702">
        <f>IF($P108&gt;0,(($W108)/(12)),0)</f>
        <v/>
      </c>
      <c r="AW108" s="702">
        <f>IF($P108&gt;0,(($W108)/(12)),0)</f>
        <v/>
      </c>
      <c r="AX108" s="702">
        <f>IF($P108&gt;0,(($W108)/(12)),0)</f>
        <v/>
      </c>
      <c r="AY108" s="702">
        <f>IF($P108&gt;0,(($W108)/(12)),0)</f>
        <v/>
      </c>
      <c r="AZ108" s="702">
        <f>IF($P108&gt;0,(($W108)/(12)),0)</f>
        <v/>
      </c>
      <c r="BA108" s="702">
        <f>IF($P108&gt;0,(($W108)/(12)),0)</f>
        <v/>
      </c>
      <c r="BB108" s="702">
        <f>IF($P108&gt;0,(($W108)/(12)),0)</f>
        <v/>
      </c>
      <c r="BC108" s="765">
        <f>SUM(AQ108:BB108)</f>
        <v/>
      </c>
      <c r="BD108" s="462" t="n"/>
      <c r="BE108" s="702">
        <f>IF($Q108&gt;0,(($X108)/(12)),0)</f>
        <v/>
      </c>
      <c r="BF108" s="702">
        <f>IF($Q108&gt;0,(($X108)/(12)),0)</f>
        <v/>
      </c>
      <c r="BG108" s="702">
        <f>IF($Q108&gt;0,(($X108)/(12)),0)</f>
        <v/>
      </c>
      <c r="BH108" s="702">
        <f>IF($Q108&gt;0,(($X108)/(12)),0)</f>
        <v/>
      </c>
      <c r="BI108" s="702">
        <f>IF($Q108&gt;0,(($X108)/(12)),0)</f>
        <v/>
      </c>
      <c r="BJ108" s="702">
        <f>IF($Q108&gt;0,(($X108)/(12)),0)</f>
        <v/>
      </c>
      <c r="BK108" s="702">
        <f>IF($Q108&gt;0,(($X108)/(12)),0)</f>
        <v/>
      </c>
      <c r="BL108" s="702">
        <f>IF($Q108&gt;0,(($X108)/(12)),0)</f>
        <v/>
      </c>
      <c r="BM108" s="702">
        <f>IF($Q108&gt;0,(($X108)/(12)),0)</f>
        <v/>
      </c>
      <c r="BN108" s="702">
        <f>IF($Q108&gt;0,(($X108)/(12)),0)</f>
        <v/>
      </c>
      <c r="BO108" s="702">
        <f>IF($Q108&gt;0,(($X108)/(12)),0)</f>
        <v/>
      </c>
      <c r="BP108" s="702">
        <f>IF($Q108&gt;0,(($X108)/(12)),0)</f>
        <v/>
      </c>
      <c r="BQ108" s="765">
        <f>SUM(BE108:BP108)</f>
        <v/>
      </c>
      <c r="BR108" s="507" t="n"/>
      <c r="BS108" s="702">
        <f>IF($R108&gt;0,(($Y108)/(12)),0)</f>
        <v/>
      </c>
      <c r="BT108" s="702">
        <f>IF($R108&gt;0,(($Y108)/(12)),0)</f>
        <v/>
      </c>
      <c r="BU108" s="702">
        <f>IF($R108&gt;0,(($Y108)/(12)),0)</f>
        <v/>
      </c>
      <c r="BV108" s="702">
        <f>IF($R108&gt;0,(($Y108)/(12)),0)</f>
        <v/>
      </c>
      <c r="BW108" s="702">
        <f>IF($R108&gt;0,(($Y108)/(12)),0)</f>
        <v/>
      </c>
      <c r="BX108" s="702">
        <f>IF($R108&gt;0,(($Y108)/(12)),0)</f>
        <v/>
      </c>
      <c r="BY108" s="702">
        <f>IF($R108&gt;0,(($Y108)/(12)),0)</f>
        <v/>
      </c>
      <c r="BZ108" s="702">
        <f>IF($R108&gt;0,(($Y108)/(12)),0)</f>
        <v/>
      </c>
      <c r="CA108" s="702">
        <f>IF($R108&gt;0,(($Y108)/(12)),0)</f>
        <v/>
      </c>
      <c r="CB108" s="702">
        <f>IF($R108&gt;0,(($Y108)/(12)),0)</f>
        <v/>
      </c>
      <c r="CC108" s="702">
        <f>IF($R108&gt;0,(($Y108)/(12)),0)</f>
        <v/>
      </c>
      <c r="CD108" s="702">
        <f>IF($R108&gt;0,(($Y108)/(12)),0)</f>
        <v/>
      </c>
      <c r="CE108" s="765">
        <f>SUM(BS108:CD108)</f>
        <v/>
      </c>
      <c r="CF108" s="507" t="n"/>
      <c r="CG108" s="702">
        <f>IF($S108&gt;0,(($Z108)/(12)),0)</f>
        <v/>
      </c>
      <c r="CH108" s="702">
        <f>IF($S108&gt;0,(($Z108)/(12)),0)</f>
        <v/>
      </c>
      <c r="CI108" s="702">
        <f>IF($S108&gt;0,(($Z108)/(12)),0)</f>
        <v/>
      </c>
      <c r="CJ108" s="702">
        <f>IF($S108&gt;0,(($Z108)/(12)),0)</f>
        <v/>
      </c>
      <c r="CK108" s="702">
        <f>IF($S108&gt;0,(($Z108)/(12)),0)</f>
        <v/>
      </c>
      <c r="CL108" s="702">
        <f>IF($S108&gt;0,(($Z108)/(12)),0)</f>
        <v/>
      </c>
      <c r="CM108" s="702">
        <f>IF($S108&gt;0,(($Z108)/(12)),0)</f>
        <v/>
      </c>
      <c r="CN108" s="702">
        <f>IF($S108&gt;0,(($Z108)/(12)),0)</f>
        <v/>
      </c>
      <c r="CO108" s="702">
        <f>IF($S108&gt;0,(($Z108)/(12)),0)</f>
        <v/>
      </c>
      <c r="CP108" s="702">
        <f>IF($S108&gt;0,(($Z108)/(12)),0)</f>
        <v/>
      </c>
      <c r="CQ108" s="702">
        <f>IF($S108&gt;0,(($Z108)/(12)),0)</f>
        <v/>
      </c>
      <c r="CR108" s="702">
        <f>IF($S108&gt;0,(($Z108)/(12)),0)</f>
        <v/>
      </c>
      <c r="CS108" s="765">
        <f>SUM(CG108:CR108)</f>
        <v/>
      </c>
      <c r="CU108" s="702">
        <f>IF($T108&gt;0,(($AA108)/(12)),0)</f>
        <v/>
      </c>
      <c r="CV108" s="702">
        <f>IF($T108&gt;0,(($AA108)/(12)),0)</f>
        <v/>
      </c>
      <c r="CW108" s="702">
        <f>IF($T108&gt;0,(($AA108)/(12)),0)</f>
        <v/>
      </c>
      <c r="CX108" s="702">
        <f>IF($T108&gt;0,(($AA108)/(12)),0)</f>
        <v/>
      </c>
      <c r="CY108" s="702">
        <f>IF($T108&gt;0,(($AA108)/(12)),0)</f>
        <v/>
      </c>
      <c r="CZ108" s="702">
        <f>IF($T108&gt;0,(($AA108)/(12)),0)</f>
        <v/>
      </c>
      <c r="DA108" s="702">
        <f>IF($T108&gt;0,(($AA108)/(12)),0)</f>
        <v/>
      </c>
      <c r="DB108" s="702">
        <f>IF($T108&gt;0,(($AA108)/(12)),0)</f>
        <v/>
      </c>
      <c r="DC108" s="702">
        <f>IF($T108&gt;0,(($AA108)/(12)),0)</f>
        <v/>
      </c>
      <c r="DD108" s="702">
        <f>IF($T108&gt;0,(($AA108)/(12)),0)</f>
        <v/>
      </c>
      <c r="DE108" s="702">
        <f>IF($T108&gt;0,(($AA108)/(12)),0)</f>
        <v/>
      </c>
      <c r="DF108" s="702">
        <f>IF($T108&gt;0,(($AA108)/(12)),0)</f>
        <v/>
      </c>
      <c r="DG108" s="765">
        <f>SUM(CU108:DF108)</f>
        <v/>
      </c>
    </row>
    <row r="109" ht="15" customHeight="1" s="1883">
      <c r="B109" s="752">
        <f>((B108)+(1))</f>
        <v/>
      </c>
      <c r="C109" s="726" t="n"/>
      <c r="D109" s="730" t="inlineStr">
        <is>
          <t>●</t>
        </is>
      </c>
      <c r="E109" s="736" t="inlineStr">
        <is>
          <t>TBD</t>
        </is>
      </c>
      <c r="F109" s="737" t="n"/>
      <c r="G109" s="737" t="n"/>
      <c r="H109" s="737" t="n"/>
      <c r="I109" s="832" t="inlineStr">
        <is>
          <t>Regional Director, Sales</t>
        </is>
      </c>
      <c r="J109" s="746" t="inlineStr">
        <is>
          <t>OCONUS</t>
        </is>
      </c>
      <c r="K109" s="737" t="n"/>
      <c r="L109" s="753" t="n">
        <v>13</v>
      </c>
      <c r="M109" s="753" t="n">
        <v>13</v>
      </c>
      <c r="N109" s="744" t="n"/>
      <c r="O109" s="815" t="n"/>
      <c r="P109" s="756" t="n"/>
      <c r="Q109" s="755" t="n">
        <v>0</v>
      </c>
      <c r="R109" s="755" t="n">
        <v>0</v>
      </c>
      <c r="S109" s="755" t="n">
        <v>0</v>
      </c>
      <c r="T109" s="755" t="n">
        <v>0</v>
      </c>
      <c r="U109" s="737" t="n"/>
      <c r="V109" s="703" t="n">
        <v>0</v>
      </c>
      <c r="W109" s="701" t="n">
        <v>0</v>
      </c>
      <c r="X109" s="700">
        <f>((W109)*((1)+($X$63)))</f>
        <v/>
      </c>
      <c r="Y109" s="700">
        <f>((X109)*((1)+($Y$63)))</f>
        <v/>
      </c>
      <c r="Z109" s="700">
        <f>((Y109)*((1)+($Z$63)))</f>
        <v/>
      </c>
      <c r="AA109" s="700">
        <f>((Z109)*((1)+($AA$63)))</f>
        <v/>
      </c>
      <c r="AB109" s="726" t="n"/>
      <c r="AC109" s="768" t="n">
        <v>0</v>
      </c>
      <c r="AD109" s="768" t="n">
        <v>0</v>
      </c>
      <c r="AE109" s="768" t="n">
        <v>0</v>
      </c>
      <c r="AF109" s="768" t="n">
        <v>0</v>
      </c>
      <c r="AG109" s="768" t="n">
        <v>0</v>
      </c>
      <c r="AH109" s="768" t="n">
        <v>0</v>
      </c>
      <c r="AI109" s="768" t="n">
        <v>0</v>
      </c>
      <c r="AJ109" s="768" t="n">
        <v>0</v>
      </c>
      <c r="AK109" s="768" t="n">
        <v>0</v>
      </c>
      <c r="AL109" s="768" t="n">
        <v>0</v>
      </c>
      <c r="AM109" s="768" t="n">
        <v>0</v>
      </c>
      <c r="AN109" s="768" t="n">
        <v>0</v>
      </c>
      <c r="AO109" s="765">
        <f>SUM(AC109:AN109)</f>
        <v/>
      </c>
      <c r="AP109" s="462" t="n"/>
      <c r="AQ109" s="702">
        <f>IF($P109&gt;0,(($W109)/(12)),0)</f>
        <v/>
      </c>
      <c r="AR109" s="702">
        <f>IF($P109&gt;0,(($W109)/(12)),0)</f>
        <v/>
      </c>
      <c r="AS109" s="702">
        <f>IF($P109&gt;0,(($W109)/(12)),0)</f>
        <v/>
      </c>
      <c r="AT109" s="702">
        <f>IF($P109&gt;0,(($W109)/(12)),0)</f>
        <v/>
      </c>
      <c r="AU109" s="702">
        <f>IF($P109&gt;0,(($W109)/(12)),0)</f>
        <v/>
      </c>
      <c r="AV109" s="702">
        <f>IF($P109&gt;0,(($W109)/(12)),0)</f>
        <v/>
      </c>
      <c r="AW109" s="702">
        <f>IF($P109&gt;0,(($W109)/(12)),0)</f>
        <v/>
      </c>
      <c r="AX109" s="702">
        <f>IF($P109&gt;0,(($W109)/(12)),0)</f>
        <v/>
      </c>
      <c r="AY109" s="702">
        <f>IF($P109&gt;0,(($W109)/(12)),0)</f>
        <v/>
      </c>
      <c r="AZ109" s="702">
        <f>IF($P109&gt;0,(($W109)/(12)),0)</f>
        <v/>
      </c>
      <c r="BA109" s="702">
        <f>IF($P109&gt;0,(($W109)/(12)),0)</f>
        <v/>
      </c>
      <c r="BB109" s="702">
        <f>IF($P109&gt;0,(($W109)/(12)),0)</f>
        <v/>
      </c>
      <c r="BC109" s="765">
        <f>SUM(AQ109:BB109)</f>
        <v/>
      </c>
      <c r="BD109" s="462" t="n"/>
      <c r="BE109" s="702">
        <f>IF($Q109&gt;0,(($X109)/(12)),0)</f>
        <v/>
      </c>
      <c r="BF109" s="702">
        <f>IF($Q109&gt;0,(($X109)/(12)),0)</f>
        <v/>
      </c>
      <c r="BG109" s="702">
        <f>IF($Q109&gt;0,(($X109)/(12)),0)</f>
        <v/>
      </c>
      <c r="BH109" s="702">
        <f>IF($Q109&gt;0,(($X109)/(12)),0)</f>
        <v/>
      </c>
      <c r="BI109" s="702">
        <f>IF($Q109&gt;0,(($X109)/(12)),0)</f>
        <v/>
      </c>
      <c r="BJ109" s="702">
        <f>IF($Q109&gt;0,(($X109)/(12)),0)</f>
        <v/>
      </c>
      <c r="BK109" s="702">
        <f>IF($Q109&gt;0,(($X109)/(12)),0)</f>
        <v/>
      </c>
      <c r="BL109" s="702">
        <f>IF($Q109&gt;0,(($X109)/(12)),0)</f>
        <v/>
      </c>
      <c r="BM109" s="702">
        <f>IF($Q109&gt;0,(($X109)/(12)),0)</f>
        <v/>
      </c>
      <c r="BN109" s="702">
        <f>IF($Q109&gt;0,(($X109)/(12)),0)</f>
        <v/>
      </c>
      <c r="BO109" s="702">
        <f>IF($Q109&gt;0,(($X109)/(12)),0)</f>
        <v/>
      </c>
      <c r="BP109" s="702">
        <f>IF($Q109&gt;0,(($X109)/(12)),0)</f>
        <v/>
      </c>
      <c r="BQ109" s="765">
        <f>SUM(BE109:BP109)</f>
        <v/>
      </c>
      <c r="BR109" s="507" t="n"/>
      <c r="BS109" s="702">
        <f>IF($R109&gt;0,(($Y109)/(12)),0)</f>
        <v/>
      </c>
      <c r="BT109" s="702">
        <f>IF($R109&gt;0,(($Y109)/(12)),0)</f>
        <v/>
      </c>
      <c r="BU109" s="702">
        <f>IF($R109&gt;0,(($Y109)/(12)),0)</f>
        <v/>
      </c>
      <c r="BV109" s="702">
        <f>IF($R109&gt;0,(($Y109)/(12)),0)</f>
        <v/>
      </c>
      <c r="BW109" s="702">
        <f>IF($R109&gt;0,(($Y109)/(12)),0)</f>
        <v/>
      </c>
      <c r="BX109" s="702">
        <f>IF($R109&gt;0,(($Y109)/(12)),0)</f>
        <v/>
      </c>
      <c r="BY109" s="702">
        <f>IF($R109&gt;0,(($Y109)/(12)),0)</f>
        <v/>
      </c>
      <c r="BZ109" s="702">
        <f>IF($R109&gt;0,(($Y109)/(12)),0)</f>
        <v/>
      </c>
      <c r="CA109" s="702">
        <f>IF($R109&gt;0,(($Y109)/(12)),0)</f>
        <v/>
      </c>
      <c r="CB109" s="702">
        <f>IF($R109&gt;0,(($Y109)/(12)),0)</f>
        <v/>
      </c>
      <c r="CC109" s="702">
        <f>IF($R109&gt;0,(($Y109)/(12)),0)</f>
        <v/>
      </c>
      <c r="CD109" s="702">
        <f>IF($R109&gt;0,(($Y109)/(12)),0)</f>
        <v/>
      </c>
      <c r="CE109" s="765">
        <f>SUM(BS109:CD109)</f>
        <v/>
      </c>
      <c r="CF109" s="507" t="n"/>
      <c r="CG109" s="702">
        <f>IF($S109&gt;0,(($Z109)/(12)),0)</f>
        <v/>
      </c>
      <c r="CH109" s="702">
        <f>IF($S109&gt;0,(($Z109)/(12)),0)</f>
        <v/>
      </c>
      <c r="CI109" s="702">
        <f>IF($S109&gt;0,(($Z109)/(12)),0)</f>
        <v/>
      </c>
      <c r="CJ109" s="702">
        <f>IF($S109&gt;0,(($Z109)/(12)),0)</f>
        <v/>
      </c>
      <c r="CK109" s="702">
        <f>IF($S109&gt;0,(($Z109)/(12)),0)</f>
        <v/>
      </c>
      <c r="CL109" s="702">
        <f>IF($S109&gt;0,(($Z109)/(12)),0)</f>
        <v/>
      </c>
      <c r="CM109" s="702">
        <f>IF($S109&gt;0,(($Z109)/(12)),0)</f>
        <v/>
      </c>
      <c r="CN109" s="702">
        <f>IF($S109&gt;0,(($Z109)/(12)),0)</f>
        <v/>
      </c>
      <c r="CO109" s="702">
        <f>IF($S109&gt;0,(($Z109)/(12)),0)</f>
        <v/>
      </c>
      <c r="CP109" s="702">
        <f>IF($S109&gt;0,(($Z109)/(12)),0)</f>
        <v/>
      </c>
      <c r="CQ109" s="702">
        <f>IF($S109&gt;0,(($Z109)/(12)),0)</f>
        <v/>
      </c>
      <c r="CR109" s="702">
        <f>IF($S109&gt;0,(($Z109)/(12)),0)</f>
        <v/>
      </c>
      <c r="CS109" s="765">
        <f>SUM(CG109:CR109)</f>
        <v/>
      </c>
      <c r="CU109" s="702">
        <f>IF($T109&gt;0,(($AA109)/(12)),0)</f>
        <v/>
      </c>
      <c r="CV109" s="702">
        <f>IF($T109&gt;0,(($AA109)/(12)),0)</f>
        <v/>
      </c>
      <c r="CW109" s="702">
        <f>IF($T109&gt;0,(($AA109)/(12)),0)</f>
        <v/>
      </c>
      <c r="CX109" s="702">
        <f>IF($T109&gt;0,(($AA109)/(12)),0)</f>
        <v/>
      </c>
      <c r="CY109" s="702">
        <f>IF($T109&gt;0,(($AA109)/(12)),0)</f>
        <v/>
      </c>
      <c r="CZ109" s="702">
        <f>IF($T109&gt;0,(($AA109)/(12)),0)</f>
        <v/>
      </c>
      <c r="DA109" s="702">
        <f>IF($T109&gt;0,(($AA109)/(12)),0)</f>
        <v/>
      </c>
      <c r="DB109" s="702">
        <f>IF($T109&gt;0,(($AA109)/(12)),0)</f>
        <v/>
      </c>
      <c r="DC109" s="702">
        <f>IF($T109&gt;0,(($AA109)/(12)),0)</f>
        <v/>
      </c>
      <c r="DD109" s="702">
        <f>IF($T109&gt;0,(($AA109)/(12)),0)</f>
        <v/>
      </c>
      <c r="DE109" s="702">
        <f>IF($T109&gt;0,(($AA109)/(12)),0)</f>
        <v/>
      </c>
      <c r="DF109" s="702">
        <f>IF($T109&gt;0,(($AA109)/(12)),0)</f>
        <v/>
      </c>
      <c r="DG109" s="765">
        <f>SUM(CU109:DF109)</f>
        <v/>
      </c>
    </row>
    <row r="110" ht="15" customHeight="1" s="1883">
      <c r="B110" s="752">
        <f>((B109)+(1))</f>
        <v/>
      </c>
      <c r="C110" s="726" t="n"/>
      <c r="D110" s="730" t="inlineStr">
        <is>
          <t>●</t>
        </is>
      </c>
      <c r="E110" s="736" t="inlineStr">
        <is>
          <t>TBD</t>
        </is>
      </c>
      <c r="F110" s="737" t="n"/>
      <c r="G110" s="737" t="n"/>
      <c r="H110" s="737" t="n"/>
      <c r="I110" s="832" t="inlineStr">
        <is>
          <t>Regional Director, Sales</t>
        </is>
      </c>
      <c r="J110" s="746" t="inlineStr">
        <is>
          <t>OCONUS</t>
        </is>
      </c>
      <c r="K110" s="737" t="n"/>
      <c r="L110" s="753" t="n">
        <v>13</v>
      </c>
      <c r="M110" s="753" t="n">
        <v>13</v>
      </c>
      <c r="N110" s="744" t="n"/>
      <c r="O110" s="815" t="n"/>
      <c r="P110" s="756" t="n"/>
      <c r="Q110" s="755" t="n">
        <v>0</v>
      </c>
      <c r="R110" s="755" t="n">
        <v>0</v>
      </c>
      <c r="S110" s="755" t="n">
        <v>0</v>
      </c>
      <c r="T110" s="755" t="n">
        <v>0</v>
      </c>
      <c r="U110" s="737" t="n"/>
      <c r="V110" s="703" t="n">
        <v>0</v>
      </c>
      <c r="W110" s="701" t="n">
        <v>0</v>
      </c>
      <c r="X110" s="700">
        <f>((W110)*((1)+($X$63)))</f>
        <v/>
      </c>
      <c r="Y110" s="700">
        <f>((X110)*((1)+($Y$63)))</f>
        <v/>
      </c>
      <c r="Z110" s="700">
        <f>((Y110)*((1)+($Z$63)))</f>
        <v/>
      </c>
      <c r="AA110" s="700">
        <f>((Z110)*((1)+($AA$63)))</f>
        <v/>
      </c>
      <c r="AB110" s="726" t="n"/>
      <c r="AC110" s="768" t="n">
        <v>0</v>
      </c>
      <c r="AD110" s="768" t="n">
        <v>0</v>
      </c>
      <c r="AE110" s="768" t="n">
        <v>0</v>
      </c>
      <c r="AF110" s="768" t="n">
        <v>0</v>
      </c>
      <c r="AG110" s="768" t="n">
        <v>0</v>
      </c>
      <c r="AH110" s="768" t="n">
        <v>0</v>
      </c>
      <c r="AI110" s="768" t="n">
        <v>0</v>
      </c>
      <c r="AJ110" s="768" t="n">
        <v>0</v>
      </c>
      <c r="AK110" s="768" t="n">
        <v>0</v>
      </c>
      <c r="AL110" s="768" t="n">
        <v>0</v>
      </c>
      <c r="AM110" s="768" t="n">
        <v>0</v>
      </c>
      <c r="AN110" s="768" t="n">
        <v>0</v>
      </c>
      <c r="AO110" s="765">
        <f>SUM(AC110:AN110)</f>
        <v/>
      </c>
      <c r="AP110" s="462" t="n"/>
      <c r="AQ110" s="702">
        <f>IF($P110&gt;0,(($W110)/(12)),0)</f>
        <v/>
      </c>
      <c r="AR110" s="702">
        <f>IF($P110&gt;0,(($W110)/(12)),0)</f>
        <v/>
      </c>
      <c r="AS110" s="702">
        <f>IF($P110&gt;0,(($W110)/(12)),0)</f>
        <v/>
      </c>
      <c r="AT110" s="702">
        <f>IF($P110&gt;0,(($W110)/(12)),0)</f>
        <v/>
      </c>
      <c r="AU110" s="702">
        <f>IF($P110&gt;0,(($W110)/(12)),0)</f>
        <v/>
      </c>
      <c r="AV110" s="702">
        <f>IF($P110&gt;0,(($W110)/(12)),0)</f>
        <v/>
      </c>
      <c r="AW110" s="702">
        <f>IF($P110&gt;0,(($W110)/(12)),0)</f>
        <v/>
      </c>
      <c r="AX110" s="702">
        <f>IF($P110&gt;0,(($W110)/(12)),0)</f>
        <v/>
      </c>
      <c r="AY110" s="702">
        <f>IF($P110&gt;0,(($W110)/(12)),0)</f>
        <v/>
      </c>
      <c r="AZ110" s="702">
        <f>IF($P110&gt;0,(($W110)/(12)),0)</f>
        <v/>
      </c>
      <c r="BA110" s="702">
        <f>IF($P110&gt;0,(($W110)/(12)),0)</f>
        <v/>
      </c>
      <c r="BB110" s="702">
        <f>IF($P110&gt;0,(($W110)/(12)),0)</f>
        <v/>
      </c>
      <c r="BC110" s="765">
        <f>SUM(AQ110:BB110)</f>
        <v/>
      </c>
      <c r="BD110" s="462" t="n"/>
      <c r="BE110" s="702">
        <f>IF($Q110&gt;0,(($X110)/(12)),0)</f>
        <v/>
      </c>
      <c r="BF110" s="702">
        <f>IF($Q110&gt;0,(($X110)/(12)),0)</f>
        <v/>
      </c>
      <c r="BG110" s="702">
        <f>IF($Q110&gt;0,(($X110)/(12)),0)</f>
        <v/>
      </c>
      <c r="BH110" s="702">
        <f>IF($Q110&gt;0,(($X110)/(12)),0)</f>
        <v/>
      </c>
      <c r="BI110" s="702">
        <f>IF($Q110&gt;0,(($X110)/(12)),0)</f>
        <v/>
      </c>
      <c r="BJ110" s="702">
        <f>IF($Q110&gt;0,(($X110)/(12)),0)</f>
        <v/>
      </c>
      <c r="BK110" s="702">
        <f>IF($Q110&gt;0,(($X110)/(12)),0)</f>
        <v/>
      </c>
      <c r="BL110" s="702">
        <f>IF($Q110&gt;0,(($X110)/(12)),0)</f>
        <v/>
      </c>
      <c r="BM110" s="702">
        <f>IF($Q110&gt;0,(($X110)/(12)),0)</f>
        <v/>
      </c>
      <c r="BN110" s="702">
        <f>IF($Q110&gt;0,(($X110)/(12)),0)</f>
        <v/>
      </c>
      <c r="BO110" s="702">
        <f>IF($Q110&gt;0,(($X110)/(12)),0)</f>
        <v/>
      </c>
      <c r="BP110" s="702">
        <f>IF($Q110&gt;0,(($X110)/(12)),0)</f>
        <v/>
      </c>
      <c r="BQ110" s="765">
        <f>SUM(BE110:BP110)</f>
        <v/>
      </c>
      <c r="BR110" s="507" t="n"/>
      <c r="BS110" s="702">
        <f>IF($R110&gt;0,(($Y110)/(12)),0)</f>
        <v/>
      </c>
      <c r="BT110" s="702">
        <f>IF($R110&gt;0,(($Y110)/(12)),0)</f>
        <v/>
      </c>
      <c r="BU110" s="702">
        <f>IF($R110&gt;0,(($Y110)/(12)),0)</f>
        <v/>
      </c>
      <c r="BV110" s="702">
        <f>IF($R110&gt;0,(($Y110)/(12)),0)</f>
        <v/>
      </c>
      <c r="BW110" s="702">
        <f>IF($R110&gt;0,(($Y110)/(12)),0)</f>
        <v/>
      </c>
      <c r="BX110" s="702">
        <f>IF($R110&gt;0,(($Y110)/(12)),0)</f>
        <v/>
      </c>
      <c r="BY110" s="702">
        <f>IF($R110&gt;0,(($Y110)/(12)),0)</f>
        <v/>
      </c>
      <c r="BZ110" s="702">
        <f>IF($R110&gt;0,(($Y110)/(12)),0)</f>
        <v/>
      </c>
      <c r="CA110" s="702">
        <f>IF($R110&gt;0,(($Y110)/(12)),0)</f>
        <v/>
      </c>
      <c r="CB110" s="702">
        <f>IF($R110&gt;0,(($Y110)/(12)),0)</f>
        <v/>
      </c>
      <c r="CC110" s="702">
        <f>IF($R110&gt;0,(($Y110)/(12)),0)</f>
        <v/>
      </c>
      <c r="CD110" s="702">
        <f>IF($R110&gt;0,(($Y110)/(12)),0)</f>
        <v/>
      </c>
      <c r="CE110" s="765">
        <f>SUM(BS110:CD110)</f>
        <v/>
      </c>
      <c r="CF110" s="507" t="n"/>
      <c r="CG110" s="702">
        <f>IF($S110&gt;0,(($Z110)/(12)),0)</f>
        <v/>
      </c>
      <c r="CH110" s="702">
        <f>IF($S110&gt;0,(($Z110)/(12)),0)</f>
        <v/>
      </c>
      <c r="CI110" s="702">
        <f>IF($S110&gt;0,(($Z110)/(12)),0)</f>
        <v/>
      </c>
      <c r="CJ110" s="702">
        <f>IF($S110&gt;0,(($Z110)/(12)),0)</f>
        <v/>
      </c>
      <c r="CK110" s="702">
        <f>IF($S110&gt;0,(($Z110)/(12)),0)</f>
        <v/>
      </c>
      <c r="CL110" s="702">
        <f>IF($S110&gt;0,(($Z110)/(12)),0)</f>
        <v/>
      </c>
      <c r="CM110" s="702">
        <f>IF($S110&gt;0,(($Z110)/(12)),0)</f>
        <v/>
      </c>
      <c r="CN110" s="702">
        <f>IF($S110&gt;0,(($Z110)/(12)),0)</f>
        <v/>
      </c>
      <c r="CO110" s="702">
        <f>IF($S110&gt;0,(($Z110)/(12)),0)</f>
        <v/>
      </c>
      <c r="CP110" s="702">
        <f>IF($S110&gt;0,(($Z110)/(12)),0)</f>
        <v/>
      </c>
      <c r="CQ110" s="702">
        <f>IF($S110&gt;0,(($Z110)/(12)),0)</f>
        <v/>
      </c>
      <c r="CR110" s="702">
        <f>IF($S110&gt;0,(($Z110)/(12)),0)</f>
        <v/>
      </c>
      <c r="CS110" s="765">
        <f>SUM(CG110:CR110)</f>
        <v/>
      </c>
      <c r="CU110" s="702">
        <f>IF($T110&gt;0,(($AA110)/(12)),0)</f>
        <v/>
      </c>
      <c r="CV110" s="702">
        <f>IF($T110&gt;0,(($AA110)/(12)),0)</f>
        <v/>
      </c>
      <c r="CW110" s="702">
        <f>IF($T110&gt;0,(($AA110)/(12)),0)</f>
        <v/>
      </c>
      <c r="CX110" s="702">
        <f>IF($T110&gt;0,(($AA110)/(12)),0)</f>
        <v/>
      </c>
      <c r="CY110" s="702">
        <f>IF($T110&gt;0,(($AA110)/(12)),0)</f>
        <v/>
      </c>
      <c r="CZ110" s="702">
        <f>IF($T110&gt;0,(($AA110)/(12)),0)</f>
        <v/>
      </c>
      <c r="DA110" s="702">
        <f>IF($T110&gt;0,(($AA110)/(12)),0)</f>
        <v/>
      </c>
      <c r="DB110" s="702">
        <f>IF($T110&gt;0,(($AA110)/(12)),0)</f>
        <v/>
      </c>
      <c r="DC110" s="702">
        <f>IF($T110&gt;0,(($AA110)/(12)),0)</f>
        <v/>
      </c>
      <c r="DD110" s="702">
        <f>IF($T110&gt;0,(($AA110)/(12)),0)</f>
        <v/>
      </c>
      <c r="DE110" s="702">
        <f>IF($T110&gt;0,(($AA110)/(12)),0)</f>
        <v/>
      </c>
      <c r="DF110" s="702">
        <f>IF($T110&gt;0,(($AA110)/(12)),0)</f>
        <v/>
      </c>
      <c r="DG110" s="765">
        <f>SUM(CU110:DF110)</f>
        <v/>
      </c>
    </row>
    <row r="111" ht="15" customHeight="1" s="1883">
      <c r="B111" s="752">
        <f>((B110)+(1))</f>
        <v/>
      </c>
      <c r="C111" s="726" t="n"/>
      <c r="D111" s="730" t="inlineStr">
        <is>
          <t>●</t>
        </is>
      </c>
      <c r="E111" s="736" t="inlineStr">
        <is>
          <t>TBD</t>
        </is>
      </c>
      <c r="F111" s="737" t="n"/>
      <c r="G111" s="737" t="n"/>
      <c r="H111" s="737" t="n"/>
      <c r="I111" s="832" t="inlineStr">
        <is>
          <t>Regional Director, Sales</t>
        </is>
      </c>
      <c r="J111" s="746" t="inlineStr">
        <is>
          <t>OCONUS</t>
        </is>
      </c>
      <c r="K111" s="737" t="n"/>
      <c r="L111" s="753" t="n">
        <v>25</v>
      </c>
      <c r="M111" s="753" t="n">
        <v>25</v>
      </c>
      <c r="N111" s="744" t="n"/>
      <c r="O111" s="815" t="n"/>
      <c r="P111" s="756" t="n"/>
      <c r="Q111" s="756" t="n"/>
      <c r="R111" s="755" t="n">
        <v>0</v>
      </c>
      <c r="S111" s="755" t="n">
        <v>0</v>
      </c>
      <c r="T111" s="755" t="n">
        <v>0</v>
      </c>
      <c r="U111" s="737" t="n"/>
      <c r="V111" s="703" t="n">
        <v>0</v>
      </c>
      <c r="W111" s="701" t="n">
        <v>0</v>
      </c>
      <c r="X111" s="700">
        <f>((W111)*((1)+($X$63)))</f>
        <v/>
      </c>
      <c r="Y111" s="700">
        <f>((X111)*((1)+($Y$63)))</f>
        <v/>
      </c>
      <c r="Z111" s="700">
        <f>((Y111)*((1)+($Z$63)))</f>
        <v/>
      </c>
      <c r="AA111" s="700">
        <f>((Z111)*((1)+($AA$63)))</f>
        <v/>
      </c>
      <c r="AB111" s="726" t="n"/>
      <c r="AC111" s="768" t="n">
        <v>0</v>
      </c>
      <c r="AD111" s="768" t="n">
        <v>0</v>
      </c>
      <c r="AE111" s="768" t="n">
        <v>0</v>
      </c>
      <c r="AF111" s="768" t="n">
        <v>0</v>
      </c>
      <c r="AG111" s="768" t="n">
        <v>0</v>
      </c>
      <c r="AH111" s="768" t="n">
        <v>0</v>
      </c>
      <c r="AI111" s="768" t="n">
        <v>0</v>
      </c>
      <c r="AJ111" s="768" t="n">
        <v>0</v>
      </c>
      <c r="AK111" s="768" t="n">
        <v>0</v>
      </c>
      <c r="AL111" s="768" t="n">
        <v>0</v>
      </c>
      <c r="AM111" s="768" t="n">
        <v>0</v>
      </c>
      <c r="AN111" s="768" t="n">
        <v>0</v>
      </c>
      <c r="AO111" s="765">
        <f>SUM(AC111:AN111)</f>
        <v/>
      </c>
      <c r="AP111" s="462" t="n"/>
      <c r="AQ111" s="702">
        <f>IF($P111&gt;0,(($W111)/(12)),0)</f>
        <v/>
      </c>
      <c r="AR111" s="702">
        <f>IF($P111&gt;0,(($W111)/(12)),0)</f>
        <v/>
      </c>
      <c r="AS111" s="702">
        <f>IF($P111&gt;0,(($W111)/(12)),0)</f>
        <v/>
      </c>
      <c r="AT111" s="702">
        <f>IF($P111&gt;0,(($W111)/(12)),0)</f>
        <v/>
      </c>
      <c r="AU111" s="702">
        <f>IF($P111&gt;0,(($W111)/(12)),0)</f>
        <v/>
      </c>
      <c r="AV111" s="702">
        <f>IF($P111&gt;0,(($W111)/(12)),0)</f>
        <v/>
      </c>
      <c r="AW111" s="702">
        <f>IF($P111&gt;0,(($W111)/(12)),0)</f>
        <v/>
      </c>
      <c r="AX111" s="702">
        <f>IF($P111&gt;0,(($W111)/(12)),0)</f>
        <v/>
      </c>
      <c r="AY111" s="702">
        <f>IF($P111&gt;0,(($W111)/(12)),0)</f>
        <v/>
      </c>
      <c r="AZ111" s="702">
        <f>IF($P111&gt;0,(($W111)/(12)),0)</f>
        <v/>
      </c>
      <c r="BA111" s="702">
        <f>IF($P111&gt;0,(($W111)/(12)),0)</f>
        <v/>
      </c>
      <c r="BB111" s="702">
        <f>IF($P111&gt;0,(($W111)/(12)),0)</f>
        <v/>
      </c>
      <c r="BC111" s="765">
        <f>SUM(AQ111:BB111)</f>
        <v/>
      </c>
      <c r="BD111" s="462" t="n"/>
      <c r="BE111" s="702">
        <f>IF($Q111&gt;0,(($X111)/(12)),0)</f>
        <v/>
      </c>
      <c r="BF111" s="702">
        <f>IF($Q111&gt;0,(($X111)/(12)),0)</f>
        <v/>
      </c>
      <c r="BG111" s="702">
        <f>IF($Q111&gt;0,(($X111)/(12)),0)</f>
        <v/>
      </c>
      <c r="BH111" s="702">
        <f>IF($Q111&gt;0,(($X111)/(12)),0)</f>
        <v/>
      </c>
      <c r="BI111" s="702">
        <f>IF($Q111&gt;0,(($X111)/(12)),0)</f>
        <v/>
      </c>
      <c r="BJ111" s="702">
        <f>IF($Q111&gt;0,(($X111)/(12)),0)</f>
        <v/>
      </c>
      <c r="BK111" s="702">
        <f>IF($Q111&gt;0,(($X111)/(12)),0)</f>
        <v/>
      </c>
      <c r="BL111" s="702">
        <f>IF($Q111&gt;0,(($X111)/(12)),0)</f>
        <v/>
      </c>
      <c r="BM111" s="702">
        <f>IF($Q111&gt;0,(($X111)/(12)),0)</f>
        <v/>
      </c>
      <c r="BN111" s="702">
        <f>IF($Q111&gt;0,(($X111)/(12)),0)</f>
        <v/>
      </c>
      <c r="BO111" s="702">
        <f>IF($Q111&gt;0,(($X111)/(12)),0)</f>
        <v/>
      </c>
      <c r="BP111" s="702">
        <f>IF($Q111&gt;0,(($X111)/(12)),0)</f>
        <v/>
      </c>
      <c r="BQ111" s="765">
        <f>SUM(BE111:BP111)</f>
        <v/>
      </c>
      <c r="BR111" s="507" t="n"/>
      <c r="BS111" s="702">
        <f>IF($R111&gt;0,(($Y111)/(12)),0)</f>
        <v/>
      </c>
      <c r="BT111" s="702">
        <f>IF($R111&gt;0,(($Y111)/(12)),0)</f>
        <v/>
      </c>
      <c r="BU111" s="702">
        <f>IF($R111&gt;0,(($Y111)/(12)),0)</f>
        <v/>
      </c>
      <c r="BV111" s="702">
        <f>IF($R111&gt;0,(($Y111)/(12)),0)</f>
        <v/>
      </c>
      <c r="BW111" s="702">
        <f>IF($R111&gt;0,(($Y111)/(12)),0)</f>
        <v/>
      </c>
      <c r="BX111" s="702">
        <f>IF($R111&gt;0,(($Y111)/(12)),0)</f>
        <v/>
      </c>
      <c r="BY111" s="702">
        <f>IF($R111&gt;0,(($Y111)/(12)),0)</f>
        <v/>
      </c>
      <c r="BZ111" s="702">
        <f>IF($R111&gt;0,(($Y111)/(12)),0)</f>
        <v/>
      </c>
      <c r="CA111" s="702">
        <f>IF($R111&gt;0,(($Y111)/(12)),0)</f>
        <v/>
      </c>
      <c r="CB111" s="702">
        <f>IF($R111&gt;0,(($Y111)/(12)),0)</f>
        <v/>
      </c>
      <c r="CC111" s="702">
        <f>IF($R111&gt;0,(($Y111)/(12)),0)</f>
        <v/>
      </c>
      <c r="CD111" s="702">
        <f>IF($R111&gt;0,(($Y111)/(12)),0)</f>
        <v/>
      </c>
      <c r="CE111" s="765">
        <f>SUM(BS111:CD111)</f>
        <v/>
      </c>
      <c r="CF111" s="507" t="n"/>
      <c r="CG111" s="702">
        <f>IF($S111&gt;0,(($Z111)/(12)),0)</f>
        <v/>
      </c>
      <c r="CH111" s="702">
        <f>IF($S111&gt;0,(($Z111)/(12)),0)</f>
        <v/>
      </c>
      <c r="CI111" s="702">
        <f>IF($S111&gt;0,(($Z111)/(12)),0)</f>
        <v/>
      </c>
      <c r="CJ111" s="702">
        <f>IF($S111&gt;0,(($Z111)/(12)),0)</f>
        <v/>
      </c>
      <c r="CK111" s="702">
        <f>IF($S111&gt;0,(($Z111)/(12)),0)</f>
        <v/>
      </c>
      <c r="CL111" s="702">
        <f>IF($S111&gt;0,(($Z111)/(12)),0)</f>
        <v/>
      </c>
      <c r="CM111" s="702">
        <f>IF($S111&gt;0,(($Z111)/(12)),0)</f>
        <v/>
      </c>
      <c r="CN111" s="702">
        <f>IF($S111&gt;0,(($Z111)/(12)),0)</f>
        <v/>
      </c>
      <c r="CO111" s="702">
        <f>IF($S111&gt;0,(($Z111)/(12)),0)</f>
        <v/>
      </c>
      <c r="CP111" s="702">
        <f>IF($S111&gt;0,(($Z111)/(12)),0)</f>
        <v/>
      </c>
      <c r="CQ111" s="702">
        <f>IF($S111&gt;0,(($Z111)/(12)),0)</f>
        <v/>
      </c>
      <c r="CR111" s="702">
        <f>IF($S111&gt;0,(($Z111)/(12)),0)</f>
        <v/>
      </c>
      <c r="CS111" s="765">
        <f>SUM(CG111:CR111)</f>
        <v/>
      </c>
      <c r="CU111" s="702">
        <f>IF($T111&gt;0,(($AA111)/(12)),0)</f>
        <v/>
      </c>
      <c r="CV111" s="702">
        <f>IF($T111&gt;0,(($AA111)/(12)),0)</f>
        <v/>
      </c>
      <c r="CW111" s="702">
        <f>IF($T111&gt;0,(($AA111)/(12)),0)</f>
        <v/>
      </c>
      <c r="CX111" s="702">
        <f>IF($T111&gt;0,(($AA111)/(12)),0)</f>
        <v/>
      </c>
      <c r="CY111" s="702">
        <f>IF($T111&gt;0,(($AA111)/(12)),0)</f>
        <v/>
      </c>
      <c r="CZ111" s="702">
        <f>IF($T111&gt;0,(($AA111)/(12)),0)</f>
        <v/>
      </c>
      <c r="DA111" s="702">
        <f>IF($T111&gt;0,(($AA111)/(12)),0)</f>
        <v/>
      </c>
      <c r="DB111" s="702">
        <f>IF($T111&gt;0,(($AA111)/(12)),0)</f>
        <v/>
      </c>
      <c r="DC111" s="702">
        <f>IF($T111&gt;0,(($AA111)/(12)),0)</f>
        <v/>
      </c>
      <c r="DD111" s="702">
        <f>IF($T111&gt;0,(($AA111)/(12)),0)</f>
        <v/>
      </c>
      <c r="DE111" s="702">
        <f>IF($T111&gt;0,(($AA111)/(12)),0)</f>
        <v/>
      </c>
      <c r="DF111" s="702">
        <f>IF($T111&gt;0,(($AA111)/(12)),0)</f>
        <v/>
      </c>
      <c r="DG111" s="765">
        <f>SUM(CU111:DF111)</f>
        <v/>
      </c>
    </row>
    <row r="112" ht="15" customHeight="1" s="1883">
      <c r="B112" s="752">
        <f>((B111)+(1))</f>
        <v/>
      </c>
      <c r="C112" s="726" t="n"/>
      <c r="D112" s="730" t="inlineStr">
        <is>
          <t>●</t>
        </is>
      </c>
      <c r="E112" s="736" t="inlineStr">
        <is>
          <t>TBD</t>
        </is>
      </c>
      <c r="F112" s="737" t="n"/>
      <c r="G112" s="737" t="n"/>
      <c r="H112" s="737" t="n"/>
      <c r="I112" s="832" t="inlineStr">
        <is>
          <t>Regional Director, Sales</t>
        </is>
      </c>
      <c r="J112" s="746" t="inlineStr">
        <is>
          <t>OCONUS</t>
        </is>
      </c>
      <c r="K112" s="737" t="n"/>
      <c r="L112" s="753" t="n">
        <v>25</v>
      </c>
      <c r="M112" s="753" t="n">
        <v>25</v>
      </c>
      <c r="N112" s="744" t="n"/>
      <c r="O112" s="815" t="n"/>
      <c r="P112" s="756" t="n"/>
      <c r="Q112" s="756" t="n"/>
      <c r="R112" s="755" t="n">
        <v>0</v>
      </c>
      <c r="S112" s="755" t="n">
        <v>0</v>
      </c>
      <c r="T112" s="755" t="n">
        <v>0</v>
      </c>
      <c r="U112" s="737" t="n"/>
      <c r="V112" s="703" t="n">
        <v>0</v>
      </c>
      <c r="W112" s="701" t="n">
        <v>0</v>
      </c>
      <c r="X112" s="700">
        <f>((W112)*((1)+($X$63)))</f>
        <v/>
      </c>
      <c r="Y112" s="700">
        <f>((X112)*((1)+($Y$63)))</f>
        <v/>
      </c>
      <c r="Z112" s="700">
        <f>((Y112)*((1)+($Z$63)))</f>
        <v/>
      </c>
      <c r="AA112" s="700">
        <f>((Z112)*((1)+($AA$63)))</f>
        <v/>
      </c>
      <c r="AB112" s="726" t="n"/>
      <c r="AC112" s="768" t="n">
        <v>0</v>
      </c>
      <c r="AD112" s="768" t="n">
        <v>0</v>
      </c>
      <c r="AE112" s="768" t="n">
        <v>0</v>
      </c>
      <c r="AF112" s="768" t="n">
        <v>0</v>
      </c>
      <c r="AG112" s="768" t="n">
        <v>0</v>
      </c>
      <c r="AH112" s="768" t="n">
        <v>0</v>
      </c>
      <c r="AI112" s="768" t="n">
        <v>0</v>
      </c>
      <c r="AJ112" s="768" t="n">
        <v>0</v>
      </c>
      <c r="AK112" s="768" t="n">
        <v>0</v>
      </c>
      <c r="AL112" s="768" t="n">
        <v>0</v>
      </c>
      <c r="AM112" s="768" t="n">
        <v>0</v>
      </c>
      <c r="AN112" s="768" t="n">
        <v>0</v>
      </c>
      <c r="AO112" s="765">
        <f>SUM(AC112:AN112)</f>
        <v/>
      </c>
      <c r="AP112" s="462" t="n"/>
      <c r="AQ112" s="702">
        <f>IF($P112&gt;0,(($W112)/(12)),0)</f>
        <v/>
      </c>
      <c r="AR112" s="702">
        <f>IF($P112&gt;0,(($W112)/(12)),0)</f>
        <v/>
      </c>
      <c r="AS112" s="702">
        <f>IF($P112&gt;0,(($W112)/(12)),0)</f>
        <v/>
      </c>
      <c r="AT112" s="702">
        <f>IF($P112&gt;0,(($W112)/(12)),0)</f>
        <v/>
      </c>
      <c r="AU112" s="702">
        <f>IF($P112&gt;0,(($W112)/(12)),0)</f>
        <v/>
      </c>
      <c r="AV112" s="702">
        <f>IF($P112&gt;0,(($W112)/(12)),0)</f>
        <v/>
      </c>
      <c r="AW112" s="702">
        <f>IF($P112&gt;0,(($W112)/(12)),0)</f>
        <v/>
      </c>
      <c r="AX112" s="702">
        <f>IF($P112&gt;0,(($W112)/(12)),0)</f>
        <v/>
      </c>
      <c r="AY112" s="702">
        <f>IF($P112&gt;0,(($W112)/(12)),0)</f>
        <v/>
      </c>
      <c r="AZ112" s="702">
        <f>IF($P112&gt;0,(($W112)/(12)),0)</f>
        <v/>
      </c>
      <c r="BA112" s="702">
        <f>IF($P112&gt;0,(($W112)/(12)),0)</f>
        <v/>
      </c>
      <c r="BB112" s="702">
        <f>IF($P112&gt;0,(($W112)/(12)),0)</f>
        <v/>
      </c>
      <c r="BC112" s="765">
        <f>SUM(AQ112:BB112)</f>
        <v/>
      </c>
      <c r="BD112" s="462" t="n"/>
      <c r="BE112" s="702">
        <f>IF($Q112&gt;0,(($X112)/(12)),0)</f>
        <v/>
      </c>
      <c r="BF112" s="702">
        <f>IF($Q112&gt;0,(($X112)/(12)),0)</f>
        <v/>
      </c>
      <c r="BG112" s="702">
        <f>IF($Q112&gt;0,(($X112)/(12)),0)</f>
        <v/>
      </c>
      <c r="BH112" s="702">
        <f>IF($Q112&gt;0,(($X112)/(12)),0)</f>
        <v/>
      </c>
      <c r="BI112" s="702">
        <f>IF($Q112&gt;0,(($X112)/(12)),0)</f>
        <v/>
      </c>
      <c r="BJ112" s="702">
        <f>IF($Q112&gt;0,(($X112)/(12)),0)</f>
        <v/>
      </c>
      <c r="BK112" s="702">
        <f>IF($Q112&gt;0,(($X112)/(12)),0)</f>
        <v/>
      </c>
      <c r="BL112" s="702">
        <f>IF($Q112&gt;0,(($X112)/(12)),0)</f>
        <v/>
      </c>
      <c r="BM112" s="702">
        <f>IF($Q112&gt;0,(($X112)/(12)),0)</f>
        <v/>
      </c>
      <c r="BN112" s="702">
        <f>IF($Q112&gt;0,(($X112)/(12)),0)</f>
        <v/>
      </c>
      <c r="BO112" s="702">
        <f>IF($Q112&gt;0,(($X112)/(12)),0)</f>
        <v/>
      </c>
      <c r="BP112" s="702">
        <f>IF($Q112&gt;0,(($X112)/(12)),0)</f>
        <v/>
      </c>
      <c r="BQ112" s="765">
        <f>SUM(BE112:BP112)</f>
        <v/>
      </c>
      <c r="BR112" s="507" t="n"/>
      <c r="BS112" s="702">
        <f>IF($R112&gt;0,(($Y112)/(12)),0)</f>
        <v/>
      </c>
      <c r="BT112" s="702">
        <f>IF($R112&gt;0,(($Y112)/(12)),0)</f>
        <v/>
      </c>
      <c r="BU112" s="702">
        <f>IF($R112&gt;0,(($Y112)/(12)),0)</f>
        <v/>
      </c>
      <c r="BV112" s="702">
        <f>IF($R112&gt;0,(($Y112)/(12)),0)</f>
        <v/>
      </c>
      <c r="BW112" s="702">
        <f>IF($R112&gt;0,(($Y112)/(12)),0)</f>
        <v/>
      </c>
      <c r="BX112" s="702">
        <f>IF($R112&gt;0,(($Y112)/(12)),0)</f>
        <v/>
      </c>
      <c r="BY112" s="702">
        <f>IF($R112&gt;0,(($Y112)/(12)),0)</f>
        <v/>
      </c>
      <c r="BZ112" s="702">
        <f>IF($R112&gt;0,(($Y112)/(12)),0)</f>
        <v/>
      </c>
      <c r="CA112" s="702">
        <f>IF($R112&gt;0,(($Y112)/(12)),0)</f>
        <v/>
      </c>
      <c r="CB112" s="702">
        <f>IF($R112&gt;0,(($Y112)/(12)),0)</f>
        <v/>
      </c>
      <c r="CC112" s="702">
        <f>IF($R112&gt;0,(($Y112)/(12)),0)</f>
        <v/>
      </c>
      <c r="CD112" s="702">
        <f>IF($R112&gt;0,(($Y112)/(12)),0)</f>
        <v/>
      </c>
      <c r="CE112" s="765">
        <f>SUM(BS112:CD112)</f>
        <v/>
      </c>
      <c r="CF112" s="507" t="n"/>
      <c r="CG112" s="702">
        <f>IF($S112&gt;0,(($Z112)/(12)),0)</f>
        <v/>
      </c>
      <c r="CH112" s="702">
        <f>IF($S112&gt;0,(($Z112)/(12)),0)</f>
        <v/>
      </c>
      <c r="CI112" s="702">
        <f>IF($S112&gt;0,(($Z112)/(12)),0)</f>
        <v/>
      </c>
      <c r="CJ112" s="702">
        <f>IF($S112&gt;0,(($Z112)/(12)),0)</f>
        <v/>
      </c>
      <c r="CK112" s="702">
        <f>IF($S112&gt;0,(($Z112)/(12)),0)</f>
        <v/>
      </c>
      <c r="CL112" s="702">
        <f>IF($S112&gt;0,(($Z112)/(12)),0)</f>
        <v/>
      </c>
      <c r="CM112" s="702">
        <f>IF($S112&gt;0,(($Z112)/(12)),0)</f>
        <v/>
      </c>
      <c r="CN112" s="702">
        <f>IF($S112&gt;0,(($Z112)/(12)),0)</f>
        <v/>
      </c>
      <c r="CO112" s="702">
        <f>IF($S112&gt;0,(($Z112)/(12)),0)</f>
        <v/>
      </c>
      <c r="CP112" s="702">
        <f>IF($S112&gt;0,(($Z112)/(12)),0)</f>
        <v/>
      </c>
      <c r="CQ112" s="702">
        <f>IF($S112&gt;0,(($Z112)/(12)),0)</f>
        <v/>
      </c>
      <c r="CR112" s="702">
        <f>IF($S112&gt;0,(($Z112)/(12)),0)</f>
        <v/>
      </c>
      <c r="CS112" s="765">
        <f>SUM(CG112:CR112)</f>
        <v/>
      </c>
      <c r="CU112" s="702">
        <f>IF($T112&gt;0,(($AA112)/(12)),0)</f>
        <v/>
      </c>
      <c r="CV112" s="702">
        <f>IF($T112&gt;0,(($AA112)/(12)),0)</f>
        <v/>
      </c>
      <c r="CW112" s="702">
        <f>IF($T112&gt;0,(($AA112)/(12)),0)</f>
        <v/>
      </c>
      <c r="CX112" s="702">
        <f>IF($T112&gt;0,(($AA112)/(12)),0)</f>
        <v/>
      </c>
      <c r="CY112" s="702">
        <f>IF($T112&gt;0,(($AA112)/(12)),0)</f>
        <v/>
      </c>
      <c r="CZ112" s="702">
        <f>IF($T112&gt;0,(($AA112)/(12)),0)</f>
        <v/>
      </c>
      <c r="DA112" s="702">
        <f>IF($T112&gt;0,(($AA112)/(12)),0)</f>
        <v/>
      </c>
      <c r="DB112" s="702">
        <f>IF($T112&gt;0,(($AA112)/(12)),0)</f>
        <v/>
      </c>
      <c r="DC112" s="702">
        <f>IF($T112&gt;0,(($AA112)/(12)),0)</f>
        <v/>
      </c>
      <c r="DD112" s="702">
        <f>IF($T112&gt;0,(($AA112)/(12)),0)</f>
        <v/>
      </c>
      <c r="DE112" s="702">
        <f>IF($T112&gt;0,(($AA112)/(12)),0)</f>
        <v/>
      </c>
      <c r="DF112" s="702">
        <f>IF($T112&gt;0,(($AA112)/(12)),0)</f>
        <v/>
      </c>
      <c r="DG112" s="765">
        <f>SUM(CU112:DF112)</f>
        <v/>
      </c>
    </row>
    <row r="113" ht="15" customHeight="1" s="1883">
      <c r="B113" s="752">
        <f>((B112)+(1))</f>
        <v/>
      </c>
      <c r="C113" s="726" t="n"/>
      <c r="D113" s="730" t="inlineStr">
        <is>
          <t>●</t>
        </is>
      </c>
      <c r="E113" s="736" t="inlineStr">
        <is>
          <t>TBD</t>
        </is>
      </c>
      <c r="F113" s="737" t="n"/>
      <c r="G113" s="737" t="n"/>
      <c r="H113" s="737" t="n"/>
      <c r="I113" s="832" t="inlineStr">
        <is>
          <t>Regional Director, Sales</t>
        </is>
      </c>
      <c r="J113" s="746" t="inlineStr">
        <is>
          <t>OCONUS</t>
        </is>
      </c>
      <c r="K113" s="737" t="n"/>
      <c r="L113" s="753" t="n">
        <v>37</v>
      </c>
      <c r="M113" s="753" t="n">
        <v>37</v>
      </c>
      <c r="N113" s="744" t="n"/>
      <c r="O113" s="815" t="n"/>
      <c r="P113" s="756" t="n"/>
      <c r="Q113" s="756" t="n"/>
      <c r="R113" s="756" t="n"/>
      <c r="S113" s="755" t="n">
        <v>0</v>
      </c>
      <c r="T113" s="755" t="n">
        <v>0</v>
      </c>
      <c r="U113" s="737" t="n"/>
      <c r="V113" s="703" t="n">
        <v>0</v>
      </c>
      <c r="W113" s="701" t="n">
        <v>0</v>
      </c>
      <c r="X113" s="700">
        <f>((W113)*((1)+($X$63)))</f>
        <v/>
      </c>
      <c r="Y113" s="700">
        <f>((X113)*((1)+($Y$63)))</f>
        <v/>
      </c>
      <c r="Z113" s="700">
        <f>((Y113)*((1)+($Z$63)))</f>
        <v/>
      </c>
      <c r="AA113" s="700">
        <f>((Z113)*((1)+($AA$63)))</f>
        <v/>
      </c>
      <c r="AB113" s="726" t="n"/>
      <c r="AC113" s="768" t="n">
        <v>0</v>
      </c>
      <c r="AD113" s="768" t="n">
        <v>0</v>
      </c>
      <c r="AE113" s="768" t="n">
        <v>0</v>
      </c>
      <c r="AF113" s="768" t="n">
        <v>0</v>
      </c>
      <c r="AG113" s="768" t="n">
        <v>0</v>
      </c>
      <c r="AH113" s="768" t="n">
        <v>0</v>
      </c>
      <c r="AI113" s="768" t="n">
        <v>0</v>
      </c>
      <c r="AJ113" s="768" t="n">
        <v>0</v>
      </c>
      <c r="AK113" s="768" t="n">
        <v>0</v>
      </c>
      <c r="AL113" s="768" t="n">
        <v>0</v>
      </c>
      <c r="AM113" s="768" t="n">
        <v>0</v>
      </c>
      <c r="AN113" s="768" t="n">
        <v>0</v>
      </c>
      <c r="AO113" s="765">
        <f>SUM(AC113:AN113)</f>
        <v/>
      </c>
      <c r="AP113" s="462" t="n"/>
      <c r="AQ113" s="702">
        <f>IF($P113&gt;0,(($W113)/(12)),0)</f>
        <v/>
      </c>
      <c r="AR113" s="702">
        <f>IF($P113&gt;0,(($W113)/(12)),0)</f>
        <v/>
      </c>
      <c r="AS113" s="702">
        <f>IF($P113&gt;0,(($W113)/(12)),0)</f>
        <v/>
      </c>
      <c r="AT113" s="702">
        <f>IF($P113&gt;0,(($W113)/(12)),0)</f>
        <v/>
      </c>
      <c r="AU113" s="702">
        <f>IF($P113&gt;0,(($W113)/(12)),0)</f>
        <v/>
      </c>
      <c r="AV113" s="702">
        <f>IF($P113&gt;0,(($W113)/(12)),0)</f>
        <v/>
      </c>
      <c r="AW113" s="702">
        <f>IF($P113&gt;0,(($W113)/(12)),0)</f>
        <v/>
      </c>
      <c r="AX113" s="702">
        <f>IF($P113&gt;0,(($W113)/(12)),0)</f>
        <v/>
      </c>
      <c r="AY113" s="702">
        <f>IF($P113&gt;0,(($W113)/(12)),0)</f>
        <v/>
      </c>
      <c r="AZ113" s="702">
        <f>IF($P113&gt;0,(($W113)/(12)),0)</f>
        <v/>
      </c>
      <c r="BA113" s="702">
        <f>IF($P113&gt;0,(($W113)/(12)),0)</f>
        <v/>
      </c>
      <c r="BB113" s="702">
        <f>IF($P113&gt;0,(($W113)/(12)),0)</f>
        <v/>
      </c>
      <c r="BC113" s="765">
        <f>SUM(AQ113:BB113)</f>
        <v/>
      </c>
      <c r="BD113" s="462" t="n"/>
      <c r="BE113" s="702">
        <f>IF($Q113&gt;0,(($X113)/(12)),0)</f>
        <v/>
      </c>
      <c r="BF113" s="702">
        <f>IF($Q113&gt;0,(($X113)/(12)),0)</f>
        <v/>
      </c>
      <c r="BG113" s="702">
        <f>IF($Q113&gt;0,(($X113)/(12)),0)</f>
        <v/>
      </c>
      <c r="BH113" s="702">
        <f>IF($Q113&gt;0,(($X113)/(12)),0)</f>
        <v/>
      </c>
      <c r="BI113" s="702">
        <f>IF($Q113&gt;0,(($X113)/(12)),0)</f>
        <v/>
      </c>
      <c r="BJ113" s="702">
        <f>IF($Q113&gt;0,(($X113)/(12)),0)</f>
        <v/>
      </c>
      <c r="BK113" s="702">
        <f>IF($Q113&gt;0,(($X113)/(12)),0)</f>
        <v/>
      </c>
      <c r="BL113" s="702">
        <f>IF($Q113&gt;0,(($X113)/(12)),0)</f>
        <v/>
      </c>
      <c r="BM113" s="702">
        <f>IF($Q113&gt;0,(($X113)/(12)),0)</f>
        <v/>
      </c>
      <c r="BN113" s="702">
        <f>IF($Q113&gt;0,(($X113)/(12)),0)</f>
        <v/>
      </c>
      <c r="BO113" s="702">
        <f>IF($Q113&gt;0,(($X113)/(12)),0)</f>
        <v/>
      </c>
      <c r="BP113" s="702">
        <f>IF($Q113&gt;0,(($X113)/(12)),0)</f>
        <v/>
      </c>
      <c r="BQ113" s="765">
        <f>SUM(BE113:BP113)</f>
        <v/>
      </c>
      <c r="BR113" s="507" t="n"/>
      <c r="BS113" s="702">
        <f>IF($R113&gt;0,(($Y113)/(12)),0)</f>
        <v/>
      </c>
      <c r="BT113" s="702">
        <f>IF($R113&gt;0,(($Y113)/(12)),0)</f>
        <v/>
      </c>
      <c r="BU113" s="702">
        <f>IF($R113&gt;0,(($Y113)/(12)),0)</f>
        <v/>
      </c>
      <c r="BV113" s="702">
        <f>IF($R113&gt;0,(($Y113)/(12)),0)</f>
        <v/>
      </c>
      <c r="BW113" s="702">
        <f>IF($R113&gt;0,(($Y113)/(12)),0)</f>
        <v/>
      </c>
      <c r="BX113" s="702">
        <f>IF($R113&gt;0,(($Y113)/(12)),0)</f>
        <v/>
      </c>
      <c r="BY113" s="702">
        <f>IF($R113&gt;0,(($Y113)/(12)),0)</f>
        <v/>
      </c>
      <c r="BZ113" s="702">
        <f>IF($R113&gt;0,(($Y113)/(12)),0)</f>
        <v/>
      </c>
      <c r="CA113" s="702">
        <f>IF($R113&gt;0,(($Y113)/(12)),0)</f>
        <v/>
      </c>
      <c r="CB113" s="702">
        <f>IF($R113&gt;0,(($Y113)/(12)),0)</f>
        <v/>
      </c>
      <c r="CC113" s="702">
        <f>IF($R113&gt;0,(($Y113)/(12)),0)</f>
        <v/>
      </c>
      <c r="CD113" s="702">
        <f>IF($R113&gt;0,(($Y113)/(12)),0)</f>
        <v/>
      </c>
      <c r="CE113" s="765">
        <f>SUM(BS113:CD113)</f>
        <v/>
      </c>
      <c r="CF113" s="507" t="n"/>
      <c r="CG113" s="702">
        <f>IF($S113&gt;0,(($Z113)/(12)),0)</f>
        <v/>
      </c>
      <c r="CH113" s="702">
        <f>IF($S113&gt;0,(($Z113)/(12)),0)</f>
        <v/>
      </c>
      <c r="CI113" s="702">
        <f>IF($S113&gt;0,(($Z113)/(12)),0)</f>
        <v/>
      </c>
      <c r="CJ113" s="702">
        <f>IF($S113&gt;0,(($Z113)/(12)),0)</f>
        <v/>
      </c>
      <c r="CK113" s="702">
        <f>IF($S113&gt;0,(($Z113)/(12)),0)</f>
        <v/>
      </c>
      <c r="CL113" s="702">
        <f>IF($S113&gt;0,(($Z113)/(12)),0)</f>
        <v/>
      </c>
      <c r="CM113" s="702">
        <f>IF($S113&gt;0,(($Z113)/(12)),0)</f>
        <v/>
      </c>
      <c r="CN113" s="702">
        <f>IF($S113&gt;0,(($Z113)/(12)),0)</f>
        <v/>
      </c>
      <c r="CO113" s="702">
        <f>IF($S113&gt;0,(($Z113)/(12)),0)</f>
        <v/>
      </c>
      <c r="CP113" s="702">
        <f>IF($S113&gt;0,(($Z113)/(12)),0)</f>
        <v/>
      </c>
      <c r="CQ113" s="702">
        <f>IF($S113&gt;0,(($Z113)/(12)),0)</f>
        <v/>
      </c>
      <c r="CR113" s="702">
        <f>IF($S113&gt;0,(($Z113)/(12)),0)</f>
        <v/>
      </c>
      <c r="CS113" s="765">
        <f>SUM(CG113:CR113)</f>
        <v/>
      </c>
      <c r="CU113" s="702">
        <f>IF($T113&gt;0,(($AA113)/(12)),0)</f>
        <v/>
      </c>
      <c r="CV113" s="702">
        <f>IF($T113&gt;0,(($AA113)/(12)),0)</f>
        <v/>
      </c>
      <c r="CW113" s="702">
        <f>IF($T113&gt;0,(($AA113)/(12)),0)</f>
        <v/>
      </c>
      <c r="CX113" s="702">
        <f>IF($T113&gt;0,(($AA113)/(12)),0)</f>
        <v/>
      </c>
      <c r="CY113" s="702">
        <f>IF($T113&gt;0,(($AA113)/(12)),0)</f>
        <v/>
      </c>
      <c r="CZ113" s="702">
        <f>IF($T113&gt;0,(($AA113)/(12)),0)</f>
        <v/>
      </c>
      <c r="DA113" s="702">
        <f>IF($T113&gt;0,(($AA113)/(12)),0)</f>
        <v/>
      </c>
      <c r="DB113" s="702">
        <f>IF($T113&gt;0,(($AA113)/(12)),0)</f>
        <v/>
      </c>
      <c r="DC113" s="702">
        <f>IF($T113&gt;0,(($AA113)/(12)),0)</f>
        <v/>
      </c>
      <c r="DD113" s="702">
        <f>IF($T113&gt;0,(($AA113)/(12)),0)</f>
        <v/>
      </c>
      <c r="DE113" s="702">
        <f>IF($T113&gt;0,(($AA113)/(12)),0)</f>
        <v/>
      </c>
      <c r="DF113" s="702">
        <f>IF($T113&gt;0,(($AA113)/(12)),0)</f>
        <v/>
      </c>
      <c r="DG113" s="765">
        <f>SUM(CU113:DF113)</f>
        <v/>
      </c>
    </row>
    <row r="114" ht="15" customHeight="1" s="1883">
      <c r="B114" s="752">
        <f>((B113)+(1))</f>
        <v/>
      </c>
      <c r="C114" s="726" t="n"/>
      <c r="D114" s="730" t="inlineStr">
        <is>
          <t>●</t>
        </is>
      </c>
      <c r="E114" s="736" t="inlineStr">
        <is>
          <t>TBD</t>
        </is>
      </c>
      <c r="F114" s="737" t="n"/>
      <c r="G114" s="737" t="n"/>
      <c r="H114" s="737" t="n"/>
      <c r="I114" s="832" t="inlineStr">
        <is>
          <t>Regional Director, Sales</t>
        </is>
      </c>
      <c r="J114" s="746" t="inlineStr">
        <is>
          <t>OCONUS</t>
        </is>
      </c>
      <c r="K114" s="737" t="n"/>
      <c r="L114" s="753" t="n">
        <v>37</v>
      </c>
      <c r="M114" s="753" t="n">
        <v>37</v>
      </c>
      <c r="N114" s="744" t="n"/>
      <c r="O114" s="815" t="n"/>
      <c r="P114" s="756" t="n"/>
      <c r="Q114" s="756" t="n"/>
      <c r="R114" s="756" t="n"/>
      <c r="S114" s="755" t="n">
        <v>0</v>
      </c>
      <c r="T114" s="755" t="n">
        <v>0</v>
      </c>
      <c r="U114" s="737" t="n"/>
      <c r="V114" s="703" t="n">
        <v>0</v>
      </c>
      <c r="W114" s="701" t="n">
        <v>0</v>
      </c>
      <c r="X114" s="700">
        <f>((W114)*((1)+($X$63)))</f>
        <v/>
      </c>
      <c r="Y114" s="700">
        <f>((X114)*((1)+($Y$63)))</f>
        <v/>
      </c>
      <c r="Z114" s="700">
        <f>((Y114)*((1)+($Z$63)))</f>
        <v/>
      </c>
      <c r="AA114" s="700">
        <f>((Z114)*((1)+($AA$63)))</f>
        <v/>
      </c>
      <c r="AB114" s="726" t="n"/>
      <c r="AC114" s="768" t="n">
        <v>0</v>
      </c>
      <c r="AD114" s="768" t="n">
        <v>0</v>
      </c>
      <c r="AE114" s="768" t="n">
        <v>0</v>
      </c>
      <c r="AF114" s="768" t="n">
        <v>0</v>
      </c>
      <c r="AG114" s="768" t="n">
        <v>0</v>
      </c>
      <c r="AH114" s="768" t="n">
        <v>0</v>
      </c>
      <c r="AI114" s="768" t="n">
        <v>0</v>
      </c>
      <c r="AJ114" s="768" t="n">
        <v>0</v>
      </c>
      <c r="AK114" s="768" t="n">
        <v>0</v>
      </c>
      <c r="AL114" s="768" t="n">
        <v>0</v>
      </c>
      <c r="AM114" s="768" t="n">
        <v>0</v>
      </c>
      <c r="AN114" s="768" t="n">
        <v>0</v>
      </c>
      <c r="AO114" s="765">
        <f>SUM(AC114:AN114)</f>
        <v/>
      </c>
      <c r="AP114" s="462" t="n"/>
      <c r="AQ114" s="702">
        <f>IF($P114&gt;0,(($W114)/(12)),0)</f>
        <v/>
      </c>
      <c r="AR114" s="702">
        <f>IF($P114&gt;0,(($W114)/(12)),0)</f>
        <v/>
      </c>
      <c r="AS114" s="702">
        <f>IF($P114&gt;0,(($W114)/(12)),0)</f>
        <v/>
      </c>
      <c r="AT114" s="702">
        <f>IF($P114&gt;0,(($W114)/(12)),0)</f>
        <v/>
      </c>
      <c r="AU114" s="702">
        <f>IF($P114&gt;0,(($W114)/(12)),0)</f>
        <v/>
      </c>
      <c r="AV114" s="702">
        <f>IF($P114&gt;0,(($W114)/(12)),0)</f>
        <v/>
      </c>
      <c r="AW114" s="702">
        <f>IF($P114&gt;0,(($W114)/(12)),0)</f>
        <v/>
      </c>
      <c r="AX114" s="702">
        <f>IF($P114&gt;0,(($W114)/(12)),0)</f>
        <v/>
      </c>
      <c r="AY114" s="702">
        <f>IF($P114&gt;0,(($W114)/(12)),0)</f>
        <v/>
      </c>
      <c r="AZ114" s="702">
        <f>IF($P114&gt;0,(($W114)/(12)),0)</f>
        <v/>
      </c>
      <c r="BA114" s="702">
        <f>IF($P114&gt;0,(($W114)/(12)),0)</f>
        <v/>
      </c>
      <c r="BB114" s="702">
        <f>IF($P114&gt;0,(($W114)/(12)),0)</f>
        <v/>
      </c>
      <c r="BC114" s="765">
        <f>SUM(AQ114:BB114)</f>
        <v/>
      </c>
      <c r="BD114" s="462" t="n"/>
      <c r="BE114" s="702">
        <f>IF($Q114&gt;0,(($X114)/(12)),0)</f>
        <v/>
      </c>
      <c r="BF114" s="702">
        <f>IF($Q114&gt;0,(($X114)/(12)),0)</f>
        <v/>
      </c>
      <c r="BG114" s="702">
        <f>IF($Q114&gt;0,(($X114)/(12)),0)</f>
        <v/>
      </c>
      <c r="BH114" s="702">
        <f>IF($Q114&gt;0,(($X114)/(12)),0)</f>
        <v/>
      </c>
      <c r="BI114" s="702">
        <f>IF($Q114&gt;0,(($X114)/(12)),0)</f>
        <v/>
      </c>
      <c r="BJ114" s="702">
        <f>IF($Q114&gt;0,(($X114)/(12)),0)</f>
        <v/>
      </c>
      <c r="BK114" s="702">
        <f>IF($Q114&gt;0,(($X114)/(12)),0)</f>
        <v/>
      </c>
      <c r="BL114" s="702">
        <f>IF($Q114&gt;0,(($X114)/(12)),0)</f>
        <v/>
      </c>
      <c r="BM114" s="702">
        <f>IF($Q114&gt;0,(($X114)/(12)),0)</f>
        <v/>
      </c>
      <c r="BN114" s="702">
        <f>IF($Q114&gt;0,(($X114)/(12)),0)</f>
        <v/>
      </c>
      <c r="BO114" s="702">
        <f>IF($Q114&gt;0,(($X114)/(12)),0)</f>
        <v/>
      </c>
      <c r="BP114" s="702">
        <f>IF($Q114&gt;0,(($X114)/(12)),0)</f>
        <v/>
      </c>
      <c r="BQ114" s="765">
        <f>SUM(BE114:BP114)</f>
        <v/>
      </c>
      <c r="BR114" s="507" t="n"/>
      <c r="BS114" s="702">
        <f>IF($R114&gt;0,(($Y114)/(12)),0)</f>
        <v/>
      </c>
      <c r="BT114" s="702">
        <f>IF($R114&gt;0,(($Y114)/(12)),0)</f>
        <v/>
      </c>
      <c r="BU114" s="702">
        <f>IF($R114&gt;0,(($Y114)/(12)),0)</f>
        <v/>
      </c>
      <c r="BV114" s="702">
        <f>IF($R114&gt;0,(($Y114)/(12)),0)</f>
        <v/>
      </c>
      <c r="BW114" s="702">
        <f>IF($R114&gt;0,(($Y114)/(12)),0)</f>
        <v/>
      </c>
      <c r="BX114" s="702">
        <f>IF($R114&gt;0,(($Y114)/(12)),0)</f>
        <v/>
      </c>
      <c r="BY114" s="702">
        <f>IF($R114&gt;0,(($Y114)/(12)),0)</f>
        <v/>
      </c>
      <c r="BZ114" s="702">
        <f>IF($R114&gt;0,(($Y114)/(12)),0)</f>
        <v/>
      </c>
      <c r="CA114" s="702">
        <f>IF($R114&gt;0,(($Y114)/(12)),0)</f>
        <v/>
      </c>
      <c r="CB114" s="702">
        <f>IF($R114&gt;0,(($Y114)/(12)),0)</f>
        <v/>
      </c>
      <c r="CC114" s="702">
        <f>IF($R114&gt;0,(($Y114)/(12)),0)</f>
        <v/>
      </c>
      <c r="CD114" s="702">
        <f>IF($R114&gt;0,(($Y114)/(12)),0)</f>
        <v/>
      </c>
      <c r="CE114" s="765">
        <f>SUM(BS114:CD114)</f>
        <v/>
      </c>
      <c r="CF114" s="507" t="n"/>
      <c r="CG114" s="702">
        <f>IF($S114&gt;0,(($Z114)/(12)),0)</f>
        <v/>
      </c>
      <c r="CH114" s="702">
        <f>IF($S114&gt;0,(($Z114)/(12)),0)</f>
        <v/>
      </c>
      <c r="CI114" s="702">
        <f>IF($S114&gt;0,(($Z114)/(12)),0)</f>
        <v/>
      </c>
      <c r="CJ114" s="702">
        <f>IF($S114&gt;0,(($Z114)/(12)),0)</f>
        <v/>
      </c>
      <c r="CK114" s="702">
        <f>IF($S114&gt;0,(($Z114)/(12)),0)</f>
        <v/>
      </c>
      <c r="CL114" s="702">
        <f>IF($S114&gt;0,(($Z114)/(12)),0)</f>
        <v/>
      </c>
      <c r="CM114" s="702">
        <f>IF($S114&gt;0,(($Z114)/(12)),0)</f>
        <v/>
      </c>
      <c r="CN114" s="702">
        <f>IF($S114&gt;0,(($Z114)/(12)),0)</f>
        <v/>
      </c>
      <c r="CO114" s="702">
        <f>IF($S114&gt;0,(($Z114)/(12)),0)</f>
        <v/>
      </c>
      <c r="CP114" s="702">
        <f>IF($S114&gt;0,(($Z114)/(12)),0)</f>
        <v/>
      </c>
      <c r="CQ114" s="702">
        <f>IF($S114&gt;0,(($Z114)/(12)),0)</f>
        <v/>
      </c>
      <c r="CR114" s="702">
        <f>IF($S114&gt;0,(($Z114)/(12)),0)</f>
        <v/>
      </c>
      <c r="CS114" s="765">
        <f>SUM(CG114:CR114)</f>
        <v/>
      </c>
      <c r="CU114" s="702">
        <f>IF($T114&gt;0,(($AA114)/(12)),0)</f>
        <v/>
      </c>
      <c r="CV114" s="702">
        <f>IF($T114&gt;0,(($AA114)/(12)),0)</f>
        <v/>
      </c>
      <c r="CW114" s="702">
        <f>IF($T114&gt;0,(($AA114)/(12)),0)</f>
        <v/>
      </c>
      <c r="CX114" s="702">
        <f>IF($T114&gt;0,(($AA114)/(12)),0)</f>
        <v/>
      </c>
      <c r="CY114" s="702">
        <f>IF($T114&gt;0,(($AA114)/(12)),0)</f>
        <v/>
      </c>
      <c r="CZ114" s="702">
        <f>IF($T114&gt;0,(($AA114)/(12)),0)</f>
        <v/>
      </c>
      <c r="DA114" s="702">
        <f>IF($T114&gt;0,(($AA114)/(12)),0)</f>
        <v/>
      </c>
      <c r="DB114" s="702">
        <f>IF($T114&gt;0,(($AA114)/(12)),0)</f>
        <v/>
      </c>
      <c r="DC114" s="702">
        <f>IF($T114&gt;0,(($AA114)/(12)),0)</f>
        <v/>
      </c>
      <c r="DD114" s="702">
        <f>IF($T114&gt;0,(($AA114)/(12)),0)</f>
        <v/>
      </c>
      <c r="DE114" s="702">
        <f>IF($T114&gt;0,(($AA114)/(12)),0)</f>
        <v/>
      </c>
      <c r="DF114" s="702">
        <f>IF($T114&gt;0,(($AA114)/(12)),0)</f>
        <v/>
      </c>
      <c r="DG114" s="765">
        <f>SUM(CU114:DF114)</f>
        <v/>
      </c>
    </row>
    <row r="115" ht="15" customHeight="1" s="1883">
      <c r="B115" s="752">
        <f>((B114)+(1))</f>
        <v/>
      </c>
      <c r="C115" s="726" t="n"/>
      <c r="D115" s="730" t="inlineStr">
        <is>
          <t>●</t>
        </is>
      </c>
      <c r="E115" s="736" t="inlineStr">
        <is>
          <t>TBD</t>
        </is>
      </c>
      <c r="F115" s="737" t="n"/>
      <c r="G115" s="737" t="n"/>
      <c r="H115" s="737" t="n"/>
      <c r="I115" s="736" t="inlineStr">
        <is>
          <t>Director, Technology</t>
        </is>
      </c>
      <c r="J115" s="746" t="inlineStr">
        <is>
          <t>OCONUS</t>
        </is>
      </c>
      <c r="K115" s="737" t="n"/>
      <c r="L115" s="753" t="n">
        <v>13</v>
      </c>
      <c r="M115" s="753" t="n">
        <v>13</v>
      </c>
      <c r="N115" s="744" t="n"/>
      <c r="O115" s="815" t="n"/>
      <c r="P115" s="755" t="n">
        <v>0</v>
      </c>
      <c r="Q115" s="755" t="n">
        <v>0</v>
      </c>
      <c r="R115" s="755" t="n">
        <v>0</v>
      </c>
      <c r="S115" s="755" t="n">
        <v>0</v>
      </c>
      <c r="T115" s="755" t="n">
        <v>0</v>
      </c>
      <c r="U115" s="737" t="n"/>
      <c r="V115" s="703" t="n">
        <v>0</v>
      </c>
      <c r="W115" s="701" t="n">
        <v>0</v>
      </c>
      <c r="X115" s="700">
        <f>((W115)*((1)+($X$63)))</f>
        <v/>
      </c>
      <c r="Y115" s="700">
        <f>((X115)*((1)+($Y$63)))</f>
        <v/>
      </c>
      <c r="Z115" s="700">
        <f>((Y115)*((1)+($Z$63)))</f>
        <v/>
      </c>
      <c r="AA115" s="700">
        <f>((Z115)*((1)+($AA$63)))</f>
        <v/>
      </c>
      <c r="AB115" s="726" t="n"/>
      <c r="AC115" s="768" t="n">
        <v>0</v>
      </c>
      <c r="AD115" s="768" t="n">
        <v>0</v>
      </c>
      <c r="AE115" s="768" t="n">
        <v>0</v>
      </c>
      <c r="AF115" s="768" t="n">
        <v>0</v>
      </c>
      <c r="AG115" s="768" t="n">
        <v>0</v>
      </c>
      <c r="AH115" s="768" t="n">
        <v>0</v>
      </c>
      <c r="AI115" s="768" t="n">
        <v>0</v>
      </c>
      <c r="AJ115" s="768" t="n">
        <v>0</v>
      </c>
      <c r="AK115" s="768" t="n">
        <v>0</v>
      </c>
      <c r="AL115" s="768" t="n">
        <v>0</v>
      </c>
      <c r="AM115" s="768" t="n">
        <v>0</v>
      </c>
      <c r="AN115" s="768" t="n">
        <v>0</v>
      </c>
      <c r="AO115" s="765">
        <f>SUM(AC115:AN115)</f>
        <v/>
      </c>
      <c r="AP115" s="462" t="n"/>
      <c r="AQ115" s="702" t="n">
        <v>0</v>
      </c>
      <c r="AR115" s="702" t="n">
        <v>0</v>
      </c>
      <c r="AS115" s="702" t="n">
        <v>0</v>
      </c>
      <c r="AT115" s="702" t="n">
        <v>0</v>
      </c>
      <c r="AU115" s="702" t="n">
        <v>0</v>
      </c>
      <c r="AV115" s="702" t="n">
        <v>0</v>
      </c>
      <c r="AW115" s="702" t="n">
        <v>0</v>
      </c>
      <c r="AX115" s="702" t="n">
        <v>0</v>
      </c>
      <c r="AY115" s="702" t="n">
        <v>0</v>
      </c>
      <c r="AZ115" s="702" t="n">
        <v>0</v>
      </c>
      <c r="BA115" s="702" t="n">
        <v>0</v>
      </c>
      <c r="BB115" s="702" t="n">
        <v>0</v>
      </c>
      <c r="BC115" s="765">
        <f>SUM(AQ115:BB115)</f>
        <v/>
      </c>
      <c r="BD115" s="462" t="n"/>
      <c r="BE115" s="702">
        <f>IF($Q115&gt;0,(($X115)/(12)),0)</f>
        <v/>
      </c>
      <c r="BF115" s="702">
        <f>IF($Q115&gt;0,(($X115)/(12)),0)</f>
        <v/>
      </c>
      <c r="BG115" s="702">
        <f>IF($Q115&gt;0,(($X115)/(12)),0)</f>
        <v/>
      </c>
      <c r="BH115" s="702">
        <f>IF($Q115&gt;0,(($X115)/(12)),0)</f>
        <v/>
      </c>
      <c r="BI115" s="702">
        <f>IF($Q115&gt;0,(($X115)/(12)),0)</f>
        <v/>
      </c>
      <c r="BJ115" s="702">
        <f>IF($Q115&gt;0,(($X115)/(12)),0)</f>
        <v/>
      </c>
      <c r="BK115" s="702">
        <f>IF($Q115&gt;0,(($X115)/(12)),0)</f>
        <v/>
      </c>
      <c r="BL115" s="702">
        <f>IF($Q115&gt;0,(($X115)/(12)),0)</f>
        <v/>
      </c>
      <c r="BM115" s="702">
        <f>IF($Q115&gt;0,(($X115)/(12)),0)</f>
        <v/>
      </c>
      <c r="BN115" s="702">
        <f>IF($Q115&gt;0,(($X115)/(12)),0)</f>
        <v/>
      </c>
      <c r="BO115" s="702">
        <f>IF($Q115&gt;0,(($X115)/(12)),0)</f>
        <v/>
      </c>
      <c r="BP115" s="702">
        <f>IF($Q115&gt;0,(($X115)/(12)),0)</f>
        <v/>
      </c>
      <c r="BQ115" s="765">
        <f>SUM(BE115:BP115)</f>
        <v/>
      </c>
      <c r="BR115" s="507" t="n"/>
      <c r="BS115" s="702">
        <f>IF($R115&gt;0,(($Y115)/(12)),0)</f>
        <v/>
      </c>
      <c r="BT115" s="702">
        <f>IF($R115&gt;0,(($Y115)/(12)),0)</f>
        <v/>
      </c>
      <c r="BU115" s="702">
        <f>IF($R115&gt;0,(($Y115)/(12)),0)</f>
        <v/>
      </c>
      <c r="BV115" s="702">
        <f>IF($R115&gt;0,(($Y115)/(12)),0)</f>
        <v/>
      </c>
      <c r="BW115" s="702">
        <f>IF($R115&gt;0,(($Y115)/(12)),0)</f>
        <v/>
      </c>
      <c r="BX115" s="702">
        <f>IF($R115&gt;0,(($Y115)/(12)),0)</f>
        <v/>
      </c>
      <c r="BY115" s="702">
        <f>IF($R115&gt;0,(($Y115)/(12)),0)</f>
        <v/>
      </c>
      <c r="BZ115" s="702">
        <f>IF($R115&gt;0,(($Y115)/(12)),0)</f>
        <v/>
      </c>
      <c r="CA115" s="702">
        <f>IF($R115&gt;0,(($Y115)/(12)),0)</f>
        <v/>
      </c>
      <c r="CB115" s="702">
        <f>IF($R115&gt;0,(($Y115)/(12)),0)</f>
        <v/>
      </c>
      <c r="CC115" s="702">
        <f>IF($R115&gt;0,(($Y115)/(12)),0)</f>
        <v/>
      </c>
      <c r="CD115" s="702">
        <f>IF($R115&gt;0,(($Y115)/(12)),0)</f>
        <v/>
      </c>
      <c r="CE115" s="765">
        <f>SUM(BS115:CD115)</f>
        <v/>
      </c>
      <c r="CF115" s="507" t="n"/>
      <c r="CG115" s="702">
        <f>IF($S115&gt;0,(($Z115)/(12)),0)</f>
        <v/>
      </c>
      <c r="CH115" s="702">
        <f>IF($S115&gt;0,(($Z115)/(12)),0)</f>
        <v/>
      </c>
      <c r="CI115" s="702">
        <f>IF($S115&gt;0,(($Z115)/(12)),0)</f>
        <v/>
      </c>
      <c r="CJ115" s="702">
        <f>IF($S115&gt;0,(($Z115)/(12)),0)</f>
        <v/>
      </c>
      <c r="CK115" s="702">
        <f>IF($S115&gt;0,(($Z115)/(12)),0)</f>
        <v/>
      </c>
      <c r="CL115" s="702">
        <f>IF($S115&gt;0,(($Z115)/(12)),0)</f>
        <v/>
      </c>
      <c r="CM115" s="702">
        <f>IF($S115&gt;0,(($Z115)/(12)),0)</f>
        <v/>
      </c>
      <c r="CN115" s="702">
        <f>IF($S115&gt;0,(($Z115)/(12)),0)</f>
        <v/>
      </c>
      <c r="CO115" s="702">
        <f>IF($S115&gt;0,(($Z115)/(12)),0)</f>
        <v/>
      </c>
      <c r="CP115" s="702">
        <f>IF($S115&gt;0,(($Z115)/(12)),0)</f>
        <v/>
      </c>
      <c r="CQ115" s="702">
        <f>IF($S115&gt;0,(($Z115)/(12)),0)</f>
        <v/>
      </c>
      <c r="CR115" s="702">
        <f>IF($S115&gt;0,(($Z115)/(12)),0)</f>
        <v/>
      </c>
      <c r="CS115" s="765">
        <f>SUM(CG115:CR115)</f>
        <v/>
      </c>
      <c r="CU115" s="702">
        <f>IF($T115&gt;0,(($AA115)/(12)),0)</f>
        <v/>
      </c>
      <c r="CV115" s="702">
        <f>IF($T115&gt;0,(($AA115)/(12)),0)</f>
        <v/>
      </c>
      <c r="CW115" s="702">
        <f>IF($T115&gt;0,(($AA115)/(12)),0)</f>
        <v/>
      </c>
      <c r="CX115" s="702">
        <f>IF($T115&gt;0,(($AA115)/(12)),0)</f>
        <v/>
      </c>
      <c r="CY115" s="702">
        <f>IF($T115&gt;0,(($AA115)/(12)),0)</f>
        <v/>
      </c>
      <c r="CZ115" s="702">
        <f>IF($T115&gt;0,(($AA115)/(12)),0)</f>
        <v/>
      </c>
      <c r="DA115" s="702">
        <f>IF($T115&gt;0,(($AA115)/(12)),0)</f>
        <v/>
      </c>
      <c r="DB115" s="702">
        <f>IF($T115&gt;0,(($AA115)/(12)),0)</f>
        <v/>
      </c>
      <c r="DC115" s="702">
        <f>IF($T115&gt;0,(($AA115)/(12)),0)</f>
        <v/>
      </c>
      <c r="DD115" s="702">
        <f>IF($T115&gt;0,(($AA115)/(12)),0)</f>
        <v/>
      </c>
      <c r="DE115" s="702">
        <f>IF($T115&gt;0,(($AA115)/(12)),0)</f>
        <v/>
      </c>
      <c r="DF115" s="702">
        <f>IF($T115&gt;0,(($AA115)/(12)),0)</f>
        <v/>
      </c>
      <c r="DG115" s="765">
        <f>SUM(CU115:DF115)</f>
        <v/>
      </c>
    </row>
    <row r="116" ht="15" customHeight="1" s="1883">
      <c r="B116" s="752">
        <f>((B115)+(1))</f>
        <v/>
      </c>
      <c r="C116" s="726" t="n"/>
      <c r="D116" s="730" t="inlineStr">
        <is>
          <t>●</t>
        </is>
      </c>
      <c r="E116" s="736" t="inlineStr">
        <is>
          <t>TBD</t>
        </is>
      </c>
      <c r="F116" s="737" t="n"/>
      <c r="G116" s="737" t="n"/>
      <c r="H116" s="737" t="n"/>
      <c r="I116" s="736" t="inlineStr">
        <is>
          <t>Director, Technology</t>
        </is>
      </c>
      <c r="J116" s="746" t="inlineStr">
        <is>
          <t>OCONUS</t>
        </is>
      </c>
      <c r="K116" s="737" t="n"/>
      <c r="L116" s="753" t="n">
        <v>25</v>
      </c>
      <c r="M116" s="753" t="n">
        <v>25</v>
      </c>
      <c r="N116" s="744" t="n"/>
      <c r="O116" s="815" t="n"/>
      <c r="P116" s="756" t="n"/>
      <c r="Q116" s="756" t="n"/>
      <c r="R116" s="755" t="n">
        <v>0</v>
      </c>
      <c r="S116" s="755" t="n">
        <v>0</v>
      </c>
      <c r="T116" s="755" t="n">
        <v>0</v>
      </c>
      <c r="U116" s="737" t="n"/>
      <c r="V116" s="703" t="n">
        <v>0</v>
      </c>
      <c r="W116" s="701" t="n">
        <v>0</v>
      </c>
      <c r="X116" s="700">
        <f>((W116)*((1)+($X$63)))</f>
        <v/>
      </c>
      <c r="Y116" s="700">
        <f>((X116)*((1)+($Y$63)))</f>
        <v/>
      </c>
      <c r="Z116" s="700">
        <f>((Y116)*((1)+($Z$63)))</f>
        <v/>
      </c>
      <c r="AA116" s="700">
        <f>((Z116)*((1)+($AA$63)))</f>
        <v/>
      </c>
      <c r="AB116" s="726" t="n"/>
      <c r="AC116" s="768" t="n">
        <v>0</v>
      </c>
      <c r="AD116" s="768" t="n">
        <v>0</v>
      </c>
      <c r="AE116" s="768" t="n">
        <v>0</v>
      </c>
      <c r="AF116" s="768" t="n">
        <v>0</v>
      </c>
      <c r="AG116" s="768" t="n">
        <v>0</v>
      </c>
      <c r="AH116" s="768" t="n">
        <v>0</v>
      </c>
      <c r="AI116" s="768" t="n">
        <v>0</v>
      </c>
      <c r="AJ116" s="768" t="n">
        <v>0</v>
      </c>
      <c r="AK116" s="768" t="n">
        <v>0</v>
      </c>
      <c r="AL116" s="768" t="n">
        <v>0</v>
      </c>
      <c r="AM116" s="768" t="n">
        <v>0</v>
      </c>
      <c r="AN116" s="768" t="n">
        <v>0</v>
      </c>
      <c r="AO116" s="765">
        <f>SUM(AC116:AN116)</f>
        <v/>
      </c>
      <c r="AP116" s="462" t="n"/>
      <c r="AQ116" s="702">
        <f>IF($P116&gt;0,(($W116)/(12)),0)</f>
        <v/>
      </c>
      <c r="AR116" s="702">
        <f>IF($P116&gt;0,(($W116)/(12)),0)</f>
        <v/>
      </c>
      <c r="AS116" s="702">
        <f>IF($P116&gt;0,(($W116)/(12)),0)</f>
        <v/>
      </c>
      <c r="AT116" s="702">
        <f>IF($P116&gt;0,(($W116)/(12)),0)</f>
        <v/>
      </c>
      <c r="AU116" s="702">
        <f>IF($P116&gt;0,(($W116)/(12)),0)</f>
        <v/>
      </c>
      <c r="AV116" s="702">
        <f>IF($P116&gt;0,(($W116)/(12)),0)</f>
        <v/>
      </c>
      <c r="AW116" s="702">
        <f>IF($P116&gt;0,(($W116)/(12)),0)</f>
        <v/>
      </c>
      <c r="AX116" s="702">
        <f>IF($P116&gt;0,(($W116)/(12)),0)</f>
        <v/>
      </c>
      <c r="AY116" s="702">
        <f>IF($P116&gt;0,(($W116)/(12)),0)</f>
        <v/>
      </c>
      <c r="AZ116" s="702">
        <f>IF($P116&gt;0,(($W116)/(12)),0)</f>
        <v/>
      </c>
      <c r="BA116" s="702">
        <f>IF($P116&gt;0,(($W116)/(12)),0)</f>
        <v/>
      </c>
      <c r="BB116" s="702">
        <f>IF($P116&gt;0,(($W116)/(12)),0)</f>
        <v/>
      </c>
      <c r="BC116" s="765">
        <f>SUM(AQ116:BB116)</f>
        <v/>
      </c>
      <c r="BD116" s="462" t="n"/>
      <c r="BE116" s="702">
        <f>IF($Q116&gt;0,(($X116)/(12)),0)</f>
        <v/>
      </c>
      <c r="BF116" s="702">
        <f>IF($Q116&gt;0,(($X116)/(12)),0)</f>
        <v/>
      </c>
      <c r="BG116" s="702">
        <f>IF($Q116&gt;0,(($X116)/(12)),0)</f>
        <v/>
      </c>
      <c r="BH116" s="702">
        <f>IF($Q116&gt;0,(($X116)/(12)),0)</f>
        <v/>
      </c>
      <c r="BI116" s="702">
        <f>IF($Q116&gt;0,(($X116)/(12)),0)</f>
        <v/>
      </c>
      <c r="BJ116" s="702">
        <f>IF($Q116&gt;0,(($X116)/(12)),0)</f>
        <v/>
      </c>
      <c r="BK116" s="702">
        <f>IF($Q116&gt;0,(($X116)/(12)),0)</f>
        <v/>
      </c>
      <c r="BL116" s="702">
        <f>IF($Q116&gt;0,(($X116)/(12)),0)</f>
        <v/>
      </c>
      <c r="BM116" s="702">
        <f>IF($Q116&gt;0,(($X116)/(12)),0)</f>
        <v/>
      </c>
      <c r="BN116" s="702">
        <f>IF($Q116&gt;0,(($X116)/(12)),0)</f>
        <v/>
      </c>
      <c r="BO116" s="702">
        <f>IF($Q116&gt;0,(($X116)/(12)),0)</f>
        <v/>
      </c>
      <c r="BP116" s="702">
        <f>IF($Q116&gt;0,(($X116)/(12)),0)</f>
        <v/>
      </c>
      <c r="BQ116" s="765">
        <f>SUM(BE116:BP116)</f>
        <v/>
      </c>
      <c r="BR116" s="507" t="n"/>
      <c r="BS116" s="702">
        <f>IF($R116&gt;0,(($Y116)/(12)),0)</f>
        <v/>
      </c>
      <c r="BT116" s="702">
        <f>IF($R116&gt;0,(($Y116)/(12)),0)</f>
        <v/>
      </c>
      <c r="BU116" s="702">
        <f>IF($R116&gt;0,(($Y116)/(12)),0)</f>
        <v/>
      </c>
      <c r="BV116" s="702">
        <f>IF($R116&gt;0,(($Y116)/(12)),0)</f>
        <v/>
      </c>
      <c r="BW116" s="702">
        <f>IF($R116&gt;0,(($Y116)/(12)),0)</f>
        <v/>
      </c>
      <c r="BX116" s="702">
        <f>IF($R116&gt;0,(($Y116)/(12)),0)</f>
        <v/>
      </c>
      <c r="BY116" s="702">
        <f>IF($R116&gt;0,(($Y116)/(12)),0)</f>
        <v/>
      </c>
      <c r="BZ116" s="702">
        <f>IF($R116&gt;0,(($Y116)/(12)),0)</f>
        <v/>
      </c>
      <c r="CA116" s="702">
        <f>IF($R116&gt;0,(($Y116)/(12)),0)</f>
        <v/>
      </c>
      <c r="CB116" s="702">
        <f>IF($R116&gt;0,(($Y116)/(12)),0)</f>
        <v/>
      </c>
      <c r="CC116" s="702">
        <f>IF($R116&gt;0,(($Y116)/(12)),0)</f>
        <v/>
      </c>
      <c r="CD116" s="702">
        <f>IF($R116&gt;0,(($Y116)/(12)),0)</f>
        <v/>
      </c>
      <c r="CE116" s="765">
        <f>SUM(BS116:CD116)</f>
        <v/>
      </c>
      <c r="CF116" s="507" t="n"/>
      <c r="CG116" s="702">
        <f>IF($S116&gt;0,(($Z116)/(12)),0)</f>
        <v/>
      </c>
      <c r="CH116" s="702">
        <f>IF($S116&gt;0,(($Z116)/(12)),0)</f>
        <v/>
      </c>
      <c r="CI116" s="702">
        <f>IF($S116&gt;0,(($Z116)/(12)),0)</f>
        <v/>
      </c>
      <c r="CJ116" s="702">
        <f>IF($S116&gt;0,(($Z116)/(12)),0)</f>
        <v/>
      </c>
      <c r="CK116" s="702">
        <f>IF($S116&gt;0,(($Z116)/(12)),0)</f>
        <v/>
      </c>
      <c r="CL116" s="702">
        <f>IF($S116&gt;0,(($Z116)/(12)),0)</f>
        <v/>
      </c>
      <c r="CM116" s="702">
        <f>IF($S116&gt;0,(($Z116)/(12)),0)</f>
        <v/>
      </c>
      <c r="CN116" s="702">
        <f>IF($S116&gt;0,(($Z116)/(12)),0)</f>
        <v/>
      </c>
      <c r="CO116" s="702">
        <f>IF($S116&gt;0,(($Z116)/(12)),0)</f>
        <v/>
      </c>
      <c r="CP116" s="702">
        <f>IF($S116&gt;0,(($Z116)/(12)),0)</f>
        <v/>
      </c>
      <c r="CQ116" s="702">
        <f>IF($S116&gt;0,(($Z116)/(12)),0)</f>
        <v/>
      </c>
      <c r="CR116" s="702">
        <f>IF($S116&gt;0,(($Z116)/(12)),0)</f>
        <v/>
      </c>
      <c r="CS116" s="765">
        <f>SUM(CG116:CR116)</f>
        <v/>
      </c>
      <c r="CU116" s="702">
        <f>IF($T116&gt;0,(($AA116)/(12)),0)</f>
        <v/>
      </c>
      <c r="CV116" s="702">
        <f>IF($T116&gt;0,(($AA116)/(12)),0)</f>
        <v/>
      </c>
      <c r="CW116" s="702">
        <f>IF($T116&gt;0,(($AA116)/(12)),0)</f>
        <v/>
      </c>
      <c r="CX116" s="702">
        <f>IF($T116&gt;0,(($AA116)/(12)),0)</f>
        <v/>
      </c>
      <c r="CY116" s="702">
        <f>IF($T116&gt;0,(($AA116)/(12)),0)</f>
        <v/>
      </c>
      <c r="CZ116" s="702">
        <f>IF($T116&gt;0,(($AA116)/(12)),0)</f>
        <v/>
      </c>
      <c r="DA116" s="702">
        <f>IF($T116&gt;0,(($AA116)/(12)),0)</f>
        <v/>
      </c>
      <c r="DB116" s="702">
        <f>IF($T116&gt;0,(($AA116)/(12)),0)</f>
        <v/>
      </c>
      <c r="DC116" s="702">
        <f>IF($T116&gt;0,(($AA116)/(12)),0)</f>
        <v/>
      </c>
      <c r="DD116" s="702">
        <f>IF($T116&gt;0,(($AA116)/(12)),0)</f>
        <v/>
      </c>
      <c r="DE116" s="702">
        <f>IF($T116&gt;0,(($AA116)/(12)),0)</f>
        <v/>
      </c>
      <c r="DF116" s="702">
        <f>IF($T116&gt;0,(($AA116)/(12)),0)</f>
        <v/>
      </c>
      <c r="DG116" s="765">
        <f>SUM(CU116:DF116)</f>
        <v/>
      </c>
    </row>
    <row r="117" ht="15" customHeight="1" s="1883">
      <c r="B117" s="752">
        <f>((B116)+(1))</f>
        <v/>
      </c>
      <c r="C117" s="726" t="n"/>
      <c r="D117" s="730" t="inlineStr">
        <is>
          <t>●</t>
        </is>
      </c>
      <c r="E117" s="736" t="inlineStr">
        <is>
          <t>TBD</t>
        </is>
      </c>
      <c r="F117" s="737" t="n"/>
      <c r="G117" s="737" t="n"/>
      <c r="H117" s="737" t="n"/>
      <c r="I117" s="736" t="inlineStr">
        <is>
          <t>Director, Technology</t>
        </is>
      </c>
      <c r="J117" s="746" t="inlineStr">
        <is>
          <t>OCONUS</t>
        </is>
      </c>
      <c r="K117" s="737" t="n"/>
      <c r="L117" s="753" t="n">
        <v>25</v>
      </c>
      <c r="M117" s="753" t="n">
        <v>25</v>
      </c>
      <c r="N117" s="744" t="n"/>
      <c r="O117" s="815" t="n"/>
      <c r="P117" s="756" t="n"/>
      <c r="Q117" s="756" t="n"/>
      <c r="R117" s="755" t="n">
        <v>0</v>
      </c>
      <c r="S117" s="755" t="n">
        <v>0</v>
      </c>
      <c r="T117" s="755" t="n">
        <v>0</v>
      </c>
      <c r="U117" s="737" t="n"/>
      <c r="V117" s="703" t="n">
        <v>0</v>
      </c>
      <c r="W117" s="701" t="n">
        <v>0</v>
      </c>
      <c r="X117" s="700">
        <f>((W117)*((1)+($X$63)))</f>
        <v/>
      </c>
      <c r="Y117" s="700">
        <f>((X117)*((1)+($Y$63)))</f>
        <v/>
      </c>
      <c r="Z117" s="700">
        <f>((Y117)*((1)+($Z$63)))</f>
        <v/>
      </c>
      <c r="AA117" s="700">
        <f>((Z117)*((1)+($AA$63)))</f>
        <v/>
      </c>
      <c r="AB117" s="726" t="n"/>
      <c r="AC117" s="768" t="n">
        <v>0</v>
      </c>
      <c r="AD117" s="768" t="n">
        <v>0</v>
      </c>
      <c r="AE117" s="768" t="n">
        <v>0</v>
      </c>
      <c r="AF117" s="768" t="n">
        <v>0</v>
      </c>
      <c r="AG117" s="768" t="n">
        <v>0</v>
      </c>
      <c r="AH117" s="768" t="n">
        <v>0</v>
      </c>
      <c r="AI117" s="768" t="n">
        <v>0</v>
      </c>
      <c r="AJ117" s="768" t="n">
        <v>0</v>
      </c>
      <c r="AK117" s="768" t="n">
        <v>0</v>
      </c>
      <c r="AL117" s="768" t="n">
        <v>0</v>
      </c>
      <c r="AM117" s="768" t="n">
        <v>0</v>
      </c>
      <c r="AN117" s="768" t="n">
        <v>0</v>
      </c>
      <c r="AO117" s="765">
        <f>SUM(AC117:AN117)</f>
        <v/>
      </c>
      <c r="AP117" s="462" t="n"/>
      <c r="AQ117" s="702">
        <f>IF($P117&gt;0,(($W117)/(12)),0)</f>
        <v/>
      </c>
      <c r="AR117" s="702">
        <f>IF($P117&gt;0,(($W117)/(12)),0)</f>
        <v/>
      </c>
      <c r="AS117" s="702">
        <f>IF($P117&gt;0,(($W117)/(12)),0)</f>
        <v/>
      </c>
      <c r="AT117" s="702">
        <f>IF($P117&gt;0,(($W117)/(12)),0)</f>
        <v/>
      </c>
      <c r="AU117" s="702">
        <f>IF($P117&gt;0,(($W117)/(12)),0)</f>
        <v/>
      </c>
      <c r="AV117" s="702">
        <f>IF($P117&gt;0,(($W117)/(12)),0)</f>
        <v/>
      </c>
      <c r="AW117" s="702">
        <f>IF($P117&gt;0,(($W117)/(12)),0)</f>
        <v/>
      </c>
      <c r="AX117" s="702">
        <f>IF($P117&gt;0,(($W117)/(12)),0)</f>
        <v/>
      </c>
      <c r="AY117" s="702">
        <f>IF($P117&gt;0,(($W117)/(12)),0)</f>
        <v/>
      </c>
      <c r="AZ117" s="702">
        <f>IF($P117&gt;0,(($W117)/(12)),0)</f>
        <v/>
      </c>
      <c r="BA117" s="702">
        <f>IF($P117&gt;0,(($W117)/(12)),0)</f>
        <v/>
      </c>
      <c r="BB117" s="702">
        <f>IF($P117&gt;0,(($W117)/(12)),0)</f>
        <v/>
      </c>
      <c r="BC117" s="765">
        <f>SUM(AQ117:BB117)</f>
        <v/>
      </c>
      <c r="BD117" s="462" t="n"/>
      <c r="BE117" s="702">
        <f>IF($Q117&gt;0,(($X117)/(12)),0)</f>
        <v/>
      </c>
      <c r="BF117" s="702">
        <f>IF($Q117&gt;0,(($X117)/(12)),0)</f>
        <v/>
      </c>
      <c r="BG117" s="702">
        <f>IF($Q117&gt;0,(($X117)/(12)),0)</f>
        <v/>
      </c>
      <c r="BH117" s="702">
        <f>IF($Q117&gt;0,(($X117)/(12)),0)</f>
        <v/>
      </c>
      <c r="BI117" s="702">
        <f>IF($Q117&gt;0,(($X117)/(12)),0)</f>
        <v/>
      </c>
      <c r="BJ117" s="702">
        <f>IF($Q117&gt;0,(($X117)/(12)),0)</f>
        <v/>
      </c>
      <c r="BK117" s="702">
        <f>IF($Q117&gt;0,(($X117)/(12)),0)</f>
        <v/>
      </c>
      <c r="BL117" s="702">
        <f>IF($Q117&gt;0,(($X117)/(12)),0)</f>
        <v/>
      </c>
      <c r="BM117" s="702">
        <f>IF($Q117&gt;0,(($X117)/(12)),0)</f>
        <v/>
      </c>
      <c r="BN117" s="702">
        <f>IF($Q117&gt;0,(($X117)/(12)),0)</f>
        <v/>
      </c>
      <c r="BO117" s="702">
        <f>IF($Q117&gt;0,(($X117)/(12)),0)</f>
        <v/>
      </c>
      <c r="BP117" s="702">
        <f>IF($Q117&gt;0,(($X117)/(12)),0)</f>
        <v/>
      </c>
      <c r="BQ117" s="765">
        <f>SUM(BE117:BP117)</f>
        <v/>
      </c>
      <c r="BR117" s="507" t="n"/>
      <c r="BS117" s="702">
        <f>IF($R117&gt;0,(($Y117)/(12)),0)</f>
        <v/>
      </c>
      <c r="BT117" s="702">
        <f>IF($R117&gt;0,(($Y117)/(12)),0)</f>
        <v/>
      </c>
      <c r="BU117" s="702">
        <f>IF($R117&gt;0,(($Y117)/(12)),0)</f>
        <v/>
      </c>
      <c r="BV117" s="702">
        <f>IF($R117&gt;0,(($Y117)/(12)),0)</f>
        <v/>
      </c>
      <c r="BW117" s="702">
        <f>IF($R117&gt;0,(($Y117)/(12)),0)</f>
        <v/>
      </c>
      <c r="BX117" s="702">
        <f>IF($R117&gt;0,(($Y117)/(12)),0)</f>
        <v/>
      </c>
      <c r="BY117" s="702">
        <f>IF($R117&gt;0,(($Y117)/(12)),0)</f>
        <v/>
      </c>
      <c r="BZ117" s="702">
        <f>IF($R117&gt;0,(($Y117)/(12)),0)</f>
        <v/>
      </c>
      <c r="CA117" s="702">
        <f>IF($R117&gt;0,(($Y117)/(12)),0)</f>
        <v/>
      </c>
      <c r="CB117" s="702">
        <f>IF($R117&gt;0,(($Y117)/(12)),0)</f>
        <v/>
      </c>
      <c r="CC117" s="702">
        <f>IF($R117&gt;0,(($Y117)/(12)),0)</f>
        <v/>
      </c>
      <c r="CD117" s="702">
        <f>IF($R117&gt;0,(($Y117)/(12)),0)</f>
        <v/>
      </c>
      <c r="CE117" s="765">
        <f>SUM(BS117:CD117)</f>
        <v/>
      </c>
      <c r="CF117" s="507" t="n"/>
      <c r="CG117" s="702">
        <f>IF($S117&gt;0,(($Z117)/(12)),0)</f>
        <v/>
      </c>
      <c r="CH117" s="702">
        <f>IF($S117&gt;0,(($Z117)/(12)),0)</f>
        <v/>
      </c>
      <c r="CI117" s="702">
        <f>IF($S117&gt;0,(($Z117)/(12)),0)</f>
        <v/>
      </c>
      <c r="CJ117" s="702">
        <f>IF($S117&gt;0,(($Z117)/(12)),0)</f>
        <v/>
      </c>
      <c r="CK117" s="702">
        <f>IF($S117&gt;0,(($Z117)/(12)),0)</f>
        <v/>
      </c>
      <c r="CL117" s="702">
        <f>IF($S117&gt;0,(($Z117)/(12)),0)</f>
        <v/>
      </c>
      <c r="CM117" s="702">
        <f>IF($S117&gt;0,(($Z117)/(12)),0)</f>
        <v/>
      </c>
      <c r="CN117" s="702">
        <f>IF($S117&gt;0,(($Z117)/(12)),0)</f>
        <v/>
      </c>
      <c r="CO117" s="702">
        <f>IF($S117&gt;0,(($Z117)/(12)),0)</f>
        <v/>
      </c>
      <c r="CP117" s="702">
        <f>IF($S117&gt;0,(($Z117)/(12)),0)</f>
        <v/>
      </c>
      <c r="CQ117" s="702">
        <f>IF($S117&gt;0,(($Z117)/(12)),0)</f>
        <v/>
      </c>
      <c r="CR117" s="702">
        <f>IF($S117&gt;0,(($Z117)/(12)),0)</f>
        <v/>
      </c>
      <c r="CS117" s="765">
        <f>SUM(CG117:CR117)</f>
        <v/>
      </c>
      <c r="CU117" s="702">
        <f>IF($T117&gt;0,(($AA117)/(12)),0)</f>
        <v/>
      </c>
      <c r="CV117" s="702">
        <f>IF($T117&gt;0,(($AA117)/(12)),0)</f>
        <v/>
      </c>
      <c r="CW117" s="702">
        <f>IF($T117&gt;0,(($AA117)/(12)),0)</f>
        <v/>
      </c>
      <c r="CX117" s="702">
        <f>IF($T117&gt;0,(($AA117)/(12)),0)</f>
        <v/>
      </c>
      <c r="CY117" s="702">
        <f>IF($T117&gt;0,(($AA117)/(12)),0)</f>
        <v/>
      </c>
      <c r="CZ117" s="702">
        <f>IF($T117&gt;0,(($AA117)/(12)),0)</f>
        <v/>
      </c>
      <c r="DA117" s="702">
        <f>IF($T117&gt;0,(($AA117)/(12)),0)</f>
        <v/>
      </c>
      <c r="DB117" s="702">
        <f>IF($T117&gt;0,(($AA117)/(12)),0)</f>
        <v/>
      </c>
      <c r="DC117" s="702">
        <f>IF($T117&gt;0,(($AA117)/(12)),0)</f>
        <v/>
      </c>
      <c r="DD117" s="702">
        <f>IF($T117&gt;0,(($AA117)/(12)),0)</f>
        <v/>
      </c>
      <c r="DE117" s="702">
        <f>IF($T117&gt;0,(($AA117)/(12)),0)</f>
        <v/>
      </c>
      <c r="DF117" s="702">
        <f>IF($T117&gt;0,(($AA117)/(12)),0)</f>
        <v/>
      </c>
      <c r="DG117" s="765">
        <f>SUM(CU117:DF117)</f>
        <v/>
      </c>
    </row>
    <row r="118" ht="15" customHeight="1" s="1883">
      <c r="B118" s="752">
        <f>((B117)+(1))</f>
        <v/>
      </c>
      <c r="C118" s="726" t="n"/>
      <c r="D118" s="730" t="inlineStr">
        <is>
          <t>●</t>
        </is>
      </c>
      <c r="E118" s="736" t="inlineStr">
        <is>
          <t>TBD</t>
        </is>
      </c>
      <c r="F118" s="737" t="n"/>
      <c r="G118" s="737" t="n"/>
      <c r="H118" s="737" t="n"/>
      <c r="I118" s="736" t="inlineStr">
        <is>
          <t>Director, Technology</t>
        </is>
      </c>
      <c r="J118" s="746" t="inlineStr">
        <is>
          <t>OCONUS</t>
        </is>
      </c>
      <c r="K118" s="737" t="n"/>
      <c r="L118" s="753" t="n">
        <v>37</v>
      </c>
      <c r="M118" s="753" t="n">
        <v>37</v>
      </c>
      <c r="N118" s="744" t="n"/>
      <c r="O118" s="815" t="n"/>
      <c r="P118" s="756" t="n"/>
      <c r="Q118" s="756" t="n"/>
      <c r="R118" s="756" t="n"/>
      <c r="S118" s="755" t="n">
        <v>0</v>
      </c>
      <c r="T118" s="755" t="n">
        <v>0</v>
      </c>
      <c r="U118" s="737" t="n"/>
      <c r="V118" s="703" t="n">
        <v>0</v>
      </c>
      <c r="W118" s="701" t="n">
        <v>0</v>
      </c>
      <c r="X118" s="700">
        <f>((W118)*((1)+($X$63)))</f>
        <v/>
      </c>
      <c r="Y118" s="700">
        <f>((X118)*((1)+($Y$63)))</f>
        <v/>
      </c>
      <c r="Z118" s="700">
        <f>((Y118)*((1)+($Z$63)))</f>
        <v/>
      </c>
      <c r="AA118" s="700">
        <f>((Z118)*((1)+($AA$63)))</f>
        <v/>
      </c>
      <c r="AB118" s="726" t="n"/>
      <c r="AC118" s="768" t="n">
        <v>0</v>
      </c>
      <c r="AD118" s="768" t="n">
        <v>0</v>
      </c>
      <c r="AE118" s="768" t="n">
        <v>0</v>
      </c>
      <c r="AF118" s="768" t="n">
        <v>0</v>
      </c>
      <c r="AG118" s="768" t="n">
        <v>0</v>
      </c>
      <c r="AH118" s="768" t="n">
        <v>0</v>
      </c>
      <c r="AI118" s="768" t="n">
        <v>0</v>
      </c>
      <c r="AJ118" s="768" t="n">
        <v>0</v>
      </c>
      <c r="AK118" s="768" t="n">
        <v>0</v>
      </c>
      <c r="AL118" s="768" t="n">
        <v>0</v>
      </c>
      <c r="AM118" s="768" t="n">
        <v>0</v>
      </c>
      <c r="AN118" s="768" t="n">
        <v>0</v>
      </c>
      <c r="AO118" s="765">
        <f>SUM(AC118:AN118)</f>
        <v/>
      </c>
      <c r="AP118" s="462" t="n"/>
      <c r="AQ118" s="702">
        <f>IF($P118&gt;0,(($W118)/(12)),0)</f>
        <v/>
      </c>
      <c r="AR118" s="702">
        <f>IF($P118&gt;0,(($W118)/(12)),0)</f>
        <v/>
      </c>
      <c r="AS118" s="702">
        <f>IF($P118&gt;0,(($W118)/(12)),0)</f>
        <v/>
      </c>
      <c r="AT118" s="702">
        <f>IF($P118&gt;0,(($W118)/(12)),0)</f>
        <v/>
      </c>
      <c r="AU118" s="702">
        <f>IF($P118&gt;0,(($W118)/(12)),0)</f>
        <v/>
      </c>
      <c r="AV118" s="702">
        <f>IF($P118&gt;0,(($W118)/(12)),0)</f>
        <v/>
      </c>
      <c r="AW118" s="702">
        <f>IF($P118&gt;0,(($W118)/(12)),0)</f>
        <v/>
      </c>
      <c r="AX118" s="702">
        <f>IF($P118&gt;0,(($W118)/(12)),0)</f>
        <v/>
      </c>
      <c r="AY118" s="702">
        <f>IF($P118&gt;0,(($W118)/(12)),0)</f>
        <v/>
      </c>
      <c r="AZ118" s="702">
        <f>IF($P118&gt;0,(($W118)/(12)),0)</f>
        <v/>
      </c>
      <c r="BA118" s="702">
        <f>IF($P118&gt;0,(($W118)/(12)),0)</f>
        <v/>
      </c>
      <c r="BB118" s="702">
        <f>IF($P118&gt;0,(($W118)/(12)),0)</f>
        <v/>
      </c>
      <c r="BC118" s="765">
        <f>SUM(AQ118:BB118)</f>
        <v/>
      </c>
      <c r="BD118" s="462" t="n"/>
      <c r="BE118" s="702">
        <f>IF($Q118&gt;0,(($X118)/(12)),0)</f>
        <v/>
      </c>
      <c r="BF118" s="702">
        <f>IF($Q118&gt;0,(($X118)/(12)),0)</f>
        <v/>
      </c>
      <c r="BG118" s="702">
        <f>IF($Q118&gt;0,(($X118)/(12)),0)</f>
        <v/>
      </c>
      <c r="BH118" s="702">
        <f>IF($Q118&gt;0,(($X118)/(12)),0)</f>
        <v/>
      </c>
      <c r="BI118" s="702">
        <f>IF($Q118&gt;0,(($X118)/(12)),0)</f>
        <v/>
      </c>
      <c r="BJ118" s="702">
        <f>IF($Q118&gt;0,(($X118)/(12)),0)</f>
        <v/>
      </c>
      <c r="BK118" s="702">
        <f>IF($Q118&gt;0,(($X118)/(12)),0)</f>
        <v/>
      </c>
      <c r="BL118" s="702">
        <f>IF($Q118&gt;0,(($X118)/(12)),0)</f>
        <v/>
      </c>
      <c r="BM118" s="702">
        <f>IF($Q118&gt;0,(($X118)/(12)),0)</f>
        <v/>
      </c>
      <c r="BN118" s="702">
        <f>IF($Q118&gt;0,(($X118)/(12)),0)</f>
        <v/>
      </c>
      <c r="BO118" s="702">
        <f>IF($Q118&gt;0,(($X118)/(12)),0)</f>
        <v/>
      </c>
      <c r="BP118" s="702">
        <f>IF($Q118&gt;0,(($X118)/(12)),0)</f>
        <v/>
      </c>
      <c r="BQ118" s="765">
        <f>SUM(BE118:BP118)</f>
        <v/>
      </c>
      <c r="BR118" s="507" t="n"/>
      <c r="BS118" s="702">
        <f>IF($R118&gt;0,(($Y118)/(12)),0)</f>
        <v/>
      </c>
      <c r="BT118" s="702">
        <f>IF($R118&gt;0,(($Y118)/(12)),0)</f>
        <v/>
      </c>
      <c r="BU118" s="702">
        <f>IF($R118&gt;0,(($Y118)/(12)),0)</f>
        <v/>
      </c>
      <c r="BV118" s="702">
        <f>IF($R118&gt;0,(($Y118)/(12)),0)</f>
        <v/>
      </c>
      <c r="BW118" s="702">
        <f>IF($R118&gt;0,(($Y118)/(12)),0)</f>
        <v/>
      </c>
      <c r="BX118" s="702">
        <f>IF($R118&gt;0,(($Y118)/(12)),0)</f>
        <v/>
      </c>
      <c r="BY118" s="702">
        <f>IF($R118&gt;0,(($Y118)/(12)),0)</f>
        <v/>
      </c>
      <c r="BZ118" s="702">
        <f>IF($R118&gt;0,(($Y118)/(12)),0)</f>
        <v/>
      </c>
      <c r="CA118" s="702">
        <f>IF($R118&gt;0,(($Y118)/(12)),0)</f>
        <v/>
      </c>
      <c r="CB118" s="702">
        <f>IF($R118&gt;0,(($Y118)/(12)),0)</f>
        <v/>
      </c>
      <c r="CC118" s="702">
        <f>IF($R118&gt;0,(($Y118)/(12)),0)</f>
        <v/>
      </c>
      <c r="CD118" s="702">
        <f>IF($R118&gt;0,(($Y118)/(12)),0)</f>
        <v/>
      </c>
      <c r="CE118" s="765">
        <f>SUM(BS118:CD118)</f>
        <v/>
      </c>
      <c r="CF118" s="507" t="n"/>
      <c r="CG118" s="702">
        <f>IF($S118&gt;0,(($Z118)/(12)),0)</f>
        <v/>
      </c>
      <c r="CH118" s="702">
        <f>IF($S118&gt;0,(($Z118)/(12)),0)</f>
        <v/>
      </c>
      <c r="CI118" s="702">
        <f>IF($S118&gt;0,(($Z118)/(12)),0)</f>
        <v/>
      </c>
      <c r="CJ118" s="702">
        <f>IF($S118&gt;0,(($Z118)/(12)),0)</f>
        <v/>
      </c>
      <c r="CK118" s="702">
        <f>IF($S118&gt;0,(($Z118)/(12)),0)</f>
        <v/>
      </c>
      <c r="CL118" s="702">
        <f>IF($S118&gt;0,(($Z118)/(12)),0)</f>
        <v/>
      </c>
      <c r="CM118" s="702">
        <f>IF($S118&gt;0,(($Z118)/(12)),0)</f>
        <v/>
      </c>
      <c r="CN118" s="702">
        <f>IF($S118&gt;0,(($Z118)/(12)),0)</f>
        <v/>
      </c>
      <c r="CO118" s="702">
        <f>IF($S118&gt;0,(($Z118)/(12)),0)</f>
        <v/>
      </c>
      <c r="CP118" s="702">
        <f>IF($S118&gt;0,(($Z118)/(12)),0)</f>
        <v/>
      </c>
      <c r="CQ118" s="702">
        <f>IF($S118&gt;0,(($Z118)/(12)),0)</f>
        <v/>
      </c>
      <c r="CR118" s="702">
        <f>IF($S118&gt;0,(($Z118)/(12)),0)</f>
        <v/>
      </c>
      <c r="CS118" s="765">
        <f>SUM(CG118:CR118)</f>
        <v/>
      </c>
      <c r="CU118" s="702">
        <f>IF($T118&gt;0,(($AA118)/(12)),0)</f>
        <v/>
      </c>
      <c r="CV118" s="702">
        <f>IF($T118&gt;0,(($AA118)/(12)),0)</f>
        <v/>
      </c>
      <c r="CW118" s="702">
        <f>IF($T118&gt;0,(($AA118)/(12)),0)</f>
        <v/>
      </c>
      <c r="CX118" s="702">
        <f>IF($T118&gt;0,(($AA118)/(12)),0)</f>
        <v/>
      </c>
      <c r="CY118" s="702">
        <f>IF($T118&gt;0,(($AA118)/(12)),0)</f>
        <v/>
      </c>
      <c r="CZ118" s="702">
        <f>IF($T118&gt;0,(($AA118)/(12)),0)</f>
        <v/>
      </c>
      <c r="DA118" s="702">
        <f>IF($T118&gt;0,(($AA118)/(12)),0)</f>
        <v/>
      </c>
      <c r="DB118" s="702">
        <f>IF($T118&gt;0,(($AA118)/(12)),0)</f>
        <v/>
      </c>
      <c r="DC118" s="702">
        <f>IF($T118&gt;0,(($AA118)/(12)),0)</f>
        <v/>
      </c>
      <c r="DD118" s="702">
        <f>IF($T118&gt;0,(($AA118)/(12)),0)</f>
        <v/>
      </c>
      <c r="DE118" s="702">
        <f>IF($T118&gt;0,(($AA118)/(12)),0)</f>
        <v/>
      </c>
      <c r="DF118" s="702">
        <f>IF($T118&gt;0,(($AA118)/(12)),0)</f>
        <v/>
      </c>
      <c r="DG118" s="765">
        <f>SUM(CU118:DF118)</f>
        <v/>
      </c>
    </row>
    <row r="119" ht="15" customHeight="1" s="1883">
      <c r="B119" s="752">
        <f>((B118)+(1))</f>
        <v/>
      </c>
      <c r="C119" s="726" t="n"/>
      <c r="D119" s="730" t="inlineStr">
        <is>
          <t>●</t>
        </is>
      </c>
      <c r="E119" s="736" t="inlineStr">
        <is>
          <t>TBD</t>
        </is>
      </c>
      <c r="F119" s="737" t="n"/>
      <c r="G119" s="737" t="n"/>
      <c r="H119" s="737" t="n"/>
      <c r="I119" s="736" t="inlineStr">
        <is>
          <t>Regional Director, Human Resources</t>
        </is>
      </c>
      <c r="J119" s="746" t="inlineStr">
        <is>
          <t>OCONUS</t>
        </is>
      </c>
      <c r="K119" s="737" t="n"/>
      <c r="L119" s="753" t="n">
        <v>13</v>
      </c>
      <c r="M119" s="753" t="n">
        <v>13</v>
      </c>
      <c r="N119" s="744" t="n"/>
      <c r="O119" s="815" t="n"/>
      <c r="P119" s="756" t="n"/>
      <c r="Q119" s="755" t="n">
        <v>0</v>
      </c>
      <c r="R119" s="755" t="n">
        <v>0</v>
      </c>
      <c r="S119" s="755" t="n">
        <v>0</v>
      </c>
      <c r="T119" s="755" t="n">
        <v>0</v>
      </c>
      <c r="U119" s="737" t="n"/>
      <c r="V119" s="703" t="n">
        <v>0</v>
      </c>
      <c r="W119" s="701" t="n">
        <v>0</v>
      </c>
      <c r="X119" s="700">
        <f>((W119)*((1)+($X$63)))</f>
        <v/>
      </c>
      <c r="Y119" s="700">
        <f>((X119)*((1)+($Y$63)))</f>
        <v/>
      </c>
      <c r="Z119" s="700">
        <f>((Y119)*((1)+($Z$63)))</f>
        <v/>
      </c>
      <c r="AA119" s="700">
        <f>((Z119)*((1)+($AA$63)))</f>
        <v/>
      </c>
      <c r="AB119" s="726" t="n"/>
      <c r="AC119" s="768" t="n">
        <v>0</v>
      </c>
      <c r="AD119" s="768" t="n">
        <v>0</v>
      </c>
      <c r="AE119" s="768" t="n">
        <v>0</v>
      </c>
      <c r="AF119" s="768" t="n">
        <v>0</v>
      </c>
      <c r="AG119" s="768" t="n">
        <v>0</v>
      </c>
      <c r="AH119" s="768" t="n">
        <v>0</v>
      </c>
      <c r="AI119" s="768" t="n">
        <v>0</v>
      </c>
      <c r="AJ119" s="768" t="n">
        <v>0</v>
      </c>
      <c r="AK119" s="768" t="n">
        <v>0</v>
      </c>
      <c r="AL119" s="768" t="n">
        <v>0</v>
      </c>
      <c r="AM119" s="768" t="n">
        <v>0</v>
      </c>
      <c r="AN119" s="768" t="n">
        <v>0</v>
      </c>
      <c r="AO119" s="765">
        <f>SUM(AC119:AN119)</f>
        <v/>
      </c>
      <c r="AP119" s="462" t="n"/>
      <c r="AQ119" s="702">
        <f>IF($P119&gt;0,(($W119)/(12)),0)</f>
        <v/>
      </c>
      <c r="AR119" s="702">
        <f>IF($P119&gt;0,(($W119)/(12)),0)</f>
        <v/>
      </c>
      <c r="AS119" s="702">
        <f>IF($P119&gt;0,(($W119)/(12)),0)</f>
        <v/>
      </c>
      <c r="AT119" s="702">
        <f>IF($P119&gt;0,(($W119)/(12)),0)</f>
        <v/>
      </c>
      <c r="AU119" s="702">
        <f>IF($P119&gt;0,(($W119)/(12)),0)</f>
        <v/>
      </c>
      <c r="AV119" s="702">
        <f>IF($P119&gt;0,(($W119)/(12)),0)</f>
        <v/>
      </c>
      <c r="AW119" s="702">
        <f>IF($P119&gt;0,(($W119)/(12)),0)</f>
        <v/>
      </c>
      <c r="AX119" s="702">
        <f>IF($P119&gt;0,(($W119)/(12)),0)</f>
        <v/>
      </c>
      <c r="AY119" s="702">
        <f>IF($P119&gt;0,(($W119)/(12)),0)</f>
        <v/>
      </c>
      <c r="AZ119" s="702">
        <f>IF($P119&gt;0,(($W119)/(12)),0)</f>
        <v/>
      </c>
      <c r="BA119" s="702">
        <f>IF($P119&gt;0,(($W119)/(12)),0)</f>
        <v/>
      </c>
      <c r="BB119" s="702">
        <f>IF($P119&gt;0,(($W119)/(12)),0)</f>
        <v/>
      </c>
      <c r="BC119" s="765">
        <f>SUM(AQ119:BB119)</f>
        <v/>
      </c>
      <c r="BD119" s="462" t="n"/>
      <c r="BE119" s="702">
        <f>IF($Q119&gt;0,(($X119)/(12)),0)</f>
        <v/>
      </c>
      <c r="BF119" s="702">
        <f>IF($Q119&gt;0,(($X119)/(12)),0)</f>
        <v/>
      </c>
      <c r="BG119" s="702">
        <f>IF($Q119&gt;0,(($X119)/(12)),0)</f>
        <v/>
      </c>
      <c r="BH119" s="702">
        <f>IF($Q119&gt;0,(($X119)/(12)),0)</f>
        <v/>
      </c>
      <c r="BI119" s="702">
        <f>IF($Q119&gt;0,(($X119)/(12)),0)</f>
        <v/>
      </c>
      <c r="BJ119" s="702">
        <f>IF($Q119&gt;0,(($X119)/(12)),0)</f>
        <v/>
      </c>
      <c r="BK119" s="702">
        <f>IF($Q119&gt;0,(($X119)/(12)),0)</f>
        <v/>
      </c>
      <c r="BL119" s="702">
        <f>IF($Q119&gt;0,(($X119)/(12)),0)</f>
        <v/>
      </c>
      <c r="BM119" s="702">
        <f>IF($Q119&gt;0,(($X119)/(12)),0)</f>
        <v/>
      </c>
      <c r="BN119" s="702">
        <f>IF($Q119&gt;0,(($X119)/(12)),0)</f>
        <v/>
      </c>
      <c r="BO119" s="702">
        <f>IF($Q119&gt;0,(($X119)/(12)),0)</f>
        <v/>
      </c>
      <c r="BP119" s="702">
        <f>IF($Q119&gt;0,(($X119)/(12)),0)</f>
        <v/>
      </c>
      <c r="BQ119" s="765">
        <f>SUM(BE119:BP119)</f>
        <v/>
      </c>
      <c r="BR119" s="507" t="n"/>
      <c r="BS119" s="702">
        <f>IF($R119&gt;0,(($Y119)/(12)),0)</f>
        <v/>
      </c>
      <c r="BT119" s="702">
        <f>IF($R119&gt;0,(($Y119)/(12)),0)</f>
        <v/>
      </c>
      <c r="BU119" s="702">
        <f>IF($R119&gt;0,(($Y119)/(12)),0)</f>
        <v/>
      </c>
      <c r="BV119" s="702">
        <f>IF($R119&gt;0,(($Y119)/(12)),0)</f>
        <v/>
      </c>
      <c r="BW119" s="702">
        <f>IF($R119&gt;0,(($Y119)/(12)),0)</f>
        <v/>
      </c>
      <c r="BX119" s="702">
        <f>IF($R119&gt;0,(($Y119)/(12)),0)</f>
        <v/>
      </c>
      <c r="BY119" s="702">
        <f>IF($R119&gt;0,(($Y119)/(12)),0)</f>
        <v/>
      </c>
      <c r="BZ119" s="702">
        <f>IF($R119&gt;0,(($Y119)/(12)),0)</f>
        <v/>
      </c>
      <c r="CA119" s="702">
        <f>IF($R119&gt;0,(($Y119)/(12)),0)</f>
        <v/>
      </c>
      <c r="CB119" s="702">
        <f>IF($R119&gt;0,(($Y119)/(12)),0)</f>
        <v/>
      </c>
      <c r="CC119" s="702">
        <f>IF($R119&gt;0,(($Y119)/(12)),0)</f>
        <v/>
      </c>
      <c r="CD119" s="702">
        <f>IF($R119&gt;0,(($Y119)/(12)),0)</f>
        <v/>
      </c>
      <c r="CE119" s="765">
        <f>SUM(BS119:CD119)</f>
        <v/>
      </c>
      <c r="CF119" s="507" t="n"/>
      <c r="CG119" s="702">
        <f>IF($S119&gt;0,(($Z119)/(12)),0)</f>
        <v/>
      </c>
      <c r="CH119" s="702">
        <f>IF($S119&gt;0,(($Z119)/(12)),0)</f>
        <v/>
      </c>
      <c r="CI119" s="702">
        <f>IF($S119&gt;0,(($Z119)/(12)),0)</f>
        <v/>
      </c>
      <c r="CJ119" s="702">
        <f>IF($S119&gt;0,(($Z119)/(12)),0)</f>
        <v/>
      </c>
      <c r="CK119" s="702">
        <f>IF($S119&gt;0,(($Z119)/(12)),0)</f>
        <v/>
      </c>
      <c r="CL119" s="702">
        <f>IF($S119&gt;0,(($Z119)/(12)),0)</f>
        <v/>
      </c>
      <c r="CM119" s="702">
        <f>IF($S119&gt;0,(($Z119)/(12)),0)</f>
        <v/>
      </c>
      <c r="CN119" s="702">
        <f>IF($S119&gt;0,(($Z119)/(12)),0)</f>
        <v/>
      </c>
      <c r="CO119" s="702">
        <f>IF($S119&gt;0,(($Z119)/(12)),0)</f>
        <v/>
      </c>
      <c r="CP119" s="702">
        <f>IF($S119&gt;0,(($Z119)/(12)),0)</f>
        <v/>
      </c>
      <c r="CQ119" s="702">
        <f>IF($S119&gt;0,(($Z119)/(12)),0)</f>
        <v/>
      </c>
      <c r="CR119" s="702">
        <f>IF($S119&gt;0,(($Z119)/(12)),0)</f>
        <v/>
      </c>
      <c r="CS119" s="765">
        <f>SUM(CG119:CR119)</f>
        <v/>
      </c>
      <c r="CU119" s="702">
        <f>IF($T119&gt;0,(($AA119)/(12)),0)</f>
        <v/>
      </c>
      <c r="CV119" s="702">
        <f>IF($T119&gt;0,(($AA119)/(12)),0)</f>
        <v/>
      </c>
      <c r="CW119" s="702">
        <f>IF($T119&gt;0,(($AA119)/(12)),0)</f>
        <v/>
      </c>
      <c r="CX119" s="702">
        <f>IF($T119&gt;0,(($AA119)/(12)),0)</f>
        <v/>
      </c>
      <c r="CY119" s="702">
        <f>IF($T119&gt;0,(($AA119)/(12)),0)</f>
        <v/>
      </c>
      <c r="CZ119" s="702">
        <f>IF($T119&gt;0,(($AA119)/(12)),0)</f>
        <v/>
      </c>
      <c r="DA119" s="702">
        <f>IF($T119&gt;0,(($AA119)/(12)),0)</f>
        <v/>
      </c>
      <c r="DB119" s="702">
        <f>IF($T119&gt;0,(($AA119)/(12)),0)</f>
        <v/>
      </c>
      <c r="DC119" s="702">
        <f>IF($T119&gt;0,(($AA119)/(12)),0)</f>
        <v/>
      </c>
      <c r="DD119" s="702">
        <f>IF($T119&gt;0,(($AA119)/(12)),0)</f>
        <v/>
      </c>
      <c r="DE119" s="702">
        <f>IF($T119&gt;0,(($AA119)/(12)),0)</f>
        <v/>
      </c>
      <c r="DF119" s="702">
        <f>IF($T119&gt;0,(($AA119)/(12)),0)</f>
        <v/>
      </c>
      <c r="DG119" s="765">
        <f>SUM(CU119:DF119)</f>
        <v/>
      </c>
    </row>
    <row r="120" ht="15" customHeight="1" s="1883">
      <c r="B120" s="752">
        <f>((B119)+(1))</f>
        <v/>
      </c>
      <c r="C120" s="726" t="n"/>
      <c r="D120" s="730" t="inlineStr">
        <is>
          <t>●</t>
        </is>
      </c>
      <c r="E120" s="736" t="inlineStr">
        <is>
          <t>TBD</t>
        </is>
      </c>
      <c r="F120" s="737" t="n"/>
      <c r="G120" s="737" t="n"/>
      <c r="H120" s="737" t="n"/>
      <c r="I120" s="736" t="inlineStr">
        <is>
          <t>Regional Director, Human Resources</t>
        </is>
      </c>
      <c r="J120" s="746" t="inlineStr">
        <is>
          <t>OCONUS</t>
        </is>
      </c>
      <c r="K120" s="737" t="n"/>
      <c r="L120" s="753" t="n">
        <v>25</v>
      </c>
      <c r="M120" s="753" t="n">
        <v>25</v>
      </c>
      <c r="N120" s="744" t="n"/>
      <c r="O120" s="815" t="n"/>
      <c r="P120" s="756" t="n"/>
      <c r="Q120" s="756" t="n"/>
      <c r="R120" s="755" t="n">
        <v>0</v>
      </c>
      <c r="S120" s="755" t="n">
        <v>0</v>
      </c>
      <c r="T120" s="755" t="n">
        <v>0</v>
      </c>
      <c r="U120" s="737" t="n"/>
      <c r="V120" s="703" t="n">
        <v>0</v>
      </c>
      <c r="W120" s="701" t="n">
        <v>0</v>
      </c>
      <c r="X120" s="700">
        <f>((W120)*((1)+($X$63)))</f>
        <v/>
      </c>
      <c r="Y120" s="700">
        <f>((X120)*((1)+($Y$63)))</f>
        <v/>
      </c>
      <c r="Z120" s="700">
        <f>((Y120)*((1)+($Z$63)))</f>
        <v/>
      </c>
      <c r="AA120" s="700">
        <f>((Z120)*((1)+($AA$63)))</f>
        <v/>
      </c>
      <c r="AB120" s="726" t="n"/>
      <c r="AC120" s="768" t="n">
        <v>0</v>
      </c>
      <c r="AD120" s="768" t="n">
        <v>0</v>
      </c>
      <c r="AE120" s="768" t="n">
        <v>0</v>
      </c>
      <c r="AF120" s="768" t="n">
        <v>0</v>
      </c>
      <c r="AG120" s="768" t="n">
        <v>0</v>
      </c>
      <c r="AH120" s="768" t="n">
        <v>0</v>
      </c>
      <c r="AI120" s="768" t="n">
        <v>0</v>
      </c>
      <c r="AJ120" s="768" t="n">
        <v>0</v>
      </c>
      <c r="AK120" s="768" t="n">
        <v>0</v>
      </c>
      <c r="AL120" s="768" t="n">
        <v>0</v>
      </c>
      <c r="AM120" s="768" t="n">
        <v>0</v>
      </c>
      <c r="AN120" s="768" t="n">
        <v>0</v>
      </c>
      <c r="AO120" s="765">
        <f>SUM(AC120:AN120)</f>
        <v/>
      </c>
      <c r="AP120" s="462" t="n"/>
      <c r="AQ120" s="702">
        <f>IF($P120&gt;0,(($W120)/(12)),0)</f>
        <v/>
      </c>
      <c r="AR120" s="702">
        <f>IF($P120&gt;0,(($W120)/(12)),0)</f>
        <v/>
      </c>
      <c r="AS120" s="702">
        <f>IF($P120&gt;0,(($W120)/(12)),0)</f>
        <v/>
      </c>
      <c r="AT120" s="702">
        <f>IF($P120&gt;0,(($W120)/(12)),0)</f>
        <v/>
      </c>
      <c r="AU120" s="702">
        <f>IF($P120&gt;0,(($W120)/(12)),0)</f>
        <v/>
      </c>
      <c r="AV120" s="702">
        <f>IF($P120&gt;0,(($W120)/(12)),0)</f>
        <v/>
      </c>
      <c r="AW120" s="702">
        <f>IF($P120&gt;0,(($W120)/(12)),0)</f>
        <v/>
      </c>
      <c r="AX120" s="702">
        <f>IF($P120&gt;0,(($W120)/(12)),0)</f>
        <v/>
      </c>
      <c r="AY120" s="702">
        <f>IF($P120&gt;0,(($W120)/(12)),0)</f>
        <v/>
      </c>
      <c r="AZ120" s="702">
        <f>IF($P120&gt;0,(($W120)/(12)),0)</f>
        <v/>
      </c>
      <c r="BA120" s="702">
        <f>IF($P120&gt;0,(($W120)/(12)),0)</f>
        <v/>
      </c>
      <c r="BB120" s="702">
        <f>IF($P120&gt;0,(($W120)/(12)),0)</f>
        <v/>
      </c>
      <c r="BC120" s="765">
        <f>SUM(AQ120:BB120)</f>
        <v/>
      </c>
      <c r="BD120" s="462" t="n"/>
      <c r="BE120" s="702">
        <f>IF($Q120&gt;0,(($X120)/(12)),0)</f>
        <v/>
      </c>
      <c r="BF120" s="702">
        <f>IF($Q120&gt;0,(($X120)/(12)),0)</f>
        <v/>
      </c>
      <c r="BG120" s="702">
        <f>IF($Q120&gt;0,(($X120)/(12)),0)</f>
        <v/>
      </c>
      <c r="BH120" s="702">
        <f>IF($Q120&gt;0,(($X120)/(12)),0)</f>
        <v/>
      </c>
      <c r="BI120" s="702">
        <f>IF($Q120&gt;0,(($X120)/(12)),0)</f>
        <v/>
      </c>
      <c r="BJ120" s="702">
        <f>IF($Q120&gt;0,(($X120)/(12)),0)</f>
        <v/>
      </c>
      <c r="BK120" s="702">
        <f>IF($Q120&gt;0,(($X120)/(12)),0)</f>
        <v/>
      </c>
      <c r="BL120" s="702">
        <f>IF($Q120&gt;0,(($X120)/(12)),0)</f>
        <v/>
      </c>
      <c r="BM120" s="702">
        <f>IF($Q120&gt;0,(($X120)/(12)),0)</f>
        <v/>
      </c>
      <c r="BN120" s="702">
        <f>IF($Q120&gt;0,(($X120)/(12)),0)</f>
        <v/>
      </c>
      <c r="BO120" s="702">
        <f>IF($Q120&gt;0,(($X120)/(12)),0)</f>
        <v/>
      </c>
      <c r="BP120" s="702">
        <f>IF($Q120&gt;0,(($X120)/(12)),0)</f>
        <v/>
      </c>
      <c r="BQ120" s="765">
        <f>SUM(BE120:BP120)</f>
        <v/>
      </c>
      <c r="BR120" s="507" t="n"/>
      <c r="BS120" s="702">
        <f>IF($R120&gt;0,(($Y120)/(12)),0)</f>
        <v/>
      </c>
      <c r="BT120" s="702">
        <f>IF($R120&gt;0,(($Y120)/(12)),0)</f>
        <v/>
      </c>
      <c r="BU120" s="702">
        <f>IF($R120&gt;0,(($Y120)/(12)),0)</f>
        <v/>
      </c>
      <c r="BV120" s="702">
        <f>IF($R120&gt;0,(($Y120)/(12)),0)</f>
        <v/>
      </c>
      <c r="BW120" s="702">
        <f>IF($R120&gt;0,(($Y120)/(12)),0)</f>
        <v/>
      </c>
      <c r="BX120" s="702">
        <f>IF($R120&gt;0,(($Y120)/(12)),0)</f>
        <v/>
      </c>
      <c r="BY120" s="702">
        <f>IF($R120&gt;0,(($Y120)/(12)),0)</f>
        <v/>
      </c>
      <c r="BZ120" s="702">
        <f>IF($R120&gt;0,(($Y120)/(12)),0)</f>
        <v/>
      </c>
      <c r="CA120" s="702">
        <f>IF($R120&gt;0,(($Y120)/(12)),0)</f>
        <v/>
      </c>
      <c r="CB120" s="702">
        <f>IF($R120&gt;0,(($Y120)/(12)),0)</f>
        <v/>
      </c>
      <c r="CC120" s="702">
        <f>IF($R120&gt;0,(($Y120)/(12)),0)</f>
        <v/>
      </c>
      <c r="CD120" s="702">
        <f>IF($R120&gt;0,(($Y120)/(12)),0)</f>
        <v/>
      </c>
      <c r="CE120" s="765">
        <f>SUM(BS120:CD120)</f>
        <v/>
      </c>
      <c r="CF120" s="507" t="n"/>
      <c r="CG120" s="702">
        <f>IF($S120&gt;0,(($Z120)/(12)),0)</f>
        <v/>
      </c>
      <c r="CH120" s="702">
        <f>IF($S120&gt;0,(($Z120)/(12)),0)</f>
        <v/>
      </c>
      <c r="CI120" s="702">
        <f>IF($S120&gt;0,(($Z120)/(12)),0)</f>
        <v/>
      </c>
      <c r="CJ120" s="702">
        <f>IF($S120&gt;0,(($Z120)/(12)),0)</f>
        <v/>
      </c>
      <c r="CK120" s="702">
        <f>IF($S120&gt;0,(($Z120)/(12)),0)</f>
        <v/>
      </c>
      <c r="CL120" s="702">
        <f>IF($S120&gt;0,(($Z120)/(12)),0)</f>
        <v/>
      </c>
      <c r="CM120" s="702">
        <f>IF($S120&gt;0,(($Z120)/(12)),0)</f>
        <v/>
      </c>
      <c r="CN120" s="702">
        <f>IF($S120&gt;0,(($Z120)/(12)),0)</f>
        <v/>
      </c>
      <c r="CO120" s="702">
        <f>IF($S120&gt;0,(($Z120)/(12)),0)</f>
        <v/>
      </c>
      <c r="CP120" s="702">
        <f>IF($S120&gt;0,(($Z120)/(12)),0)</f>
        <v/>
      </c>
      <c r="CQ120" s="702">
        <f>IF($S120&gt;0,(($Z120)/(12)),0)</f>
        <v/>
      </c>
      <c r="CR120" s="702">
        <f>IF($S120&gt;0,(($Z120)/(12)),0)</f>
        <v/>
      </c>
      <c r="CS120" s="765">
        <f>SUM(CG120:CR120)</f>
        <v/>
      </c>
      <c r="CU120" s="702">
        <f>IF($T120&gt;0,(($AA120)/(12)),0)</f>
        <v/>
      </c>
      <c r="CV120" s="702">
        <f>IF($T120&gt;0,(($AA120)/(12)),0)</f>
        <v/>
      </c>
      <c r="CW120" s="702">
        <f>IF($T120&gt;0,(($AA120)/(12)),0)</f>
        <v/>
      </c>
      <c r="CX120" s="702">
        <f>IF($T120&gt;0,(($AA120)/(12)),0)</f>
        <v/>
      </c>
      <c r="CY120" s="702">
        <f>IF($T120&gt;0,(($AA120)/(12)),0)</f>
        <v/>
      </c>
      <c r="CZ120" s="702">
        <f>IF($T120&gt;0,(($AA120)/(12)),0)</f>
        <v/>
      </c>
      <c r="DA120" s="702">
        <f>IF($T120&gt;0,(($AA120)/(12)),0)</f>
        <v/>
      </c>
      <c r="DB120" s="702">
        <f>IF($T120&gt;0,(($AA120)/(12)),0)</f>
        <v/>
      </c>
      <c r="DC120" s="702">
        <f>IF($T120&gt;0,(($AA120)/(12)),0)</f>
        <v/>
      </c>
      <c r="DD120" s="702">
        <f>IF($T120&gt;0,(($AA120)/(12)),0)</f>
        <v/>
      </c>
      <c r="DE120" s="702">
        <f>IF($T120&gt;0,(($AA120)/(12)),0)</f>
        <v/>
      </c>
      <c r="DF120" s="702">
        <f>IF($T120&gt;0,(($AA120)/(12)),0)</f>
        <v/>
      </c>
      <c r="DG120" s="765">
        <f>SUM(CU120:DF120)</f>
        <v/>
      </c>
    </row>
    <row r="121" ht="15" customHeight="1" s="1883">
      <c r="B121" s="752">
        <f>((B120)+(1))</f>
        <v/>
      </c>
      <c r="C121" s="726" t="n"/>
      <c r="D121" s="730" t="inlineStr">
        <is>
          <t>●</t>
        </is>
      </c>
      <c r="E121" s="736" t="inlineStr">
        <is>
          <t>TBD</t>
        </is>
      </c>
      <c r="F121" s="737" t="n"/>
      <c r="G121" s="737" t="n"/>
      <c r="H121" s="737" t="n"/>
      <c r="I121" s="736" t="inlineStr">
        <is>
          <t>Regional Director, Human Resources</t>
        </is>
      </c>
      <c r="J121" s="746" t="inlineStr">
        <is>
          <t>OCONUS</t>
        </is>
      </c>
      <c r="K121" s="737" t="n"/>
      <c r="L121" s="753" t="n">
        <v>37</v>
      </c>
      <c r="M121" s="753" t="n">
        <v>37</v>
      </c>
      <c r="N121" s="744" t="n"/>
      <c r="O121" s="815" t="n"/>
      <c r="P121" s="756" t="n"/>
      <c r="Q121" s="756" t="n"/>
      <c r="R121" s="756" t="n"/>
      <c r="S121" s="755" t="n">
        <v>0</v>
      </c>
      <c r="T121" s="755" t="n">
        <v>0</v>
      </c>
      <c r="U121" s="737" t="n"/>
      <c r="V121" s="703" t="n">
        <v>0</v>
      </c>
      <c r="W121" s="701" t="n">
        <v>0</v>
      </c>
      <c r="X121" s="700">
        <f>((W121)*((1)+($X$63)))</f>
        <v/>
      </c>
      <c r="Y121" s="700">
        <f>((X121)*((1)+($Y$63)))</f>
        <v/>
      </c>
      <c r="Z121" s="700">
        <f>((Y121)*((1)+($Z$63)))</f>
        <v/>
      </c>
      <c r="AA121" s="700">
        <f>((Z121)*((1)+($AA$63)))</f>
        <v/>
      </c>
      <c r="AB121" s="726" t="n"/>
      <c r="AC121" s="768" t="n">
        <v>0</v>
      </c>
      <c r="AD121" s="768" t="n">
        <v>0</v>
      </c>
      <c r="AE121" s="768" t="n">
        <v>0</v>
      </c>
      <c r="AF121" s="768" t="n">
        <v>0</v>
      </c>
      <c r="AG121" s="768" t="n">
        <v>0</v>
      </c>
      <c r="AH121" s="768" t="n">
        <v>0</v>
      </c>
      <c r="AI121" s="768" t="n">
        <v>0</v>
      </c>
      <c r="AJ121" s="768" t="n">
        <v>0</v>
      </c>
      <c r="AK121" s="768" t="n">
        <v>0</v>
      </c>
      <c r="AL121" s="768" t="n">
        <v>0</v>
      </c>
      <c r="AM121" s="768" t="n">
        <v>0</v>
      </c>
      <c r="AN121" s="768" t="n">
        <v>0</v>
      </c>
      <c r="AO121" s="765">
        <f>SUM(AC121:AN121)</f>
        <v/>
      </c>
      <c r="AP121" s="462" t="n"/>
      <c r="AQ121" s="702">
        <f>IF($P121&gt;0,(($W121)/(12)),0)</f>
        <v/>
      </c>
      <c r="AR121" s="702">
        <f>IF($P121&gt;0,(($W121)/(12)),0)</f>
        <v/>
      </c>
      <c r="AS121" s="702">
        <f>IF($P121&gt;0,(($W121)/(12)),0)</f>
        <v/>
      </c>
      <c r="AT121" s="702">
        <f>IF($P121&gt;0,(($W121)/(12)),0)</f>
        <v/>
      </c>
      <c r="AU121" s="702">
        <f>IF($P121&gt;0,(($W121)/(12)),0)</f>
        <v/>
      </c>
      <c r="AV121" s="702">
        <f>IF($P121&gt;0,(($W121)/(12)),0)</f>
        <v/>
      </c>
      <c r="AW121" s="702">
        <f>IF($P121&gt;0,(($W121)/(12)),0)</f>
        <v/>
      </c>
      <c r="AX121" s="702">
        <f>IF($P121&gt;0,(($W121)/(12)),0)</f>
        <v/>
      </c>
      <c r="AY121" s="702">
        <f>IF($P121&gt;0,(($W121)/(12)),0)</f>
        <v/>
      </c>
      <c r="AZ121" s="702">
        <f>IF($P121&gt;0,(($W121)/(12)),0)</f>
        <v/>
      </c>
      <c r="BA121" s="702">
        <f>IF($P121&gt;0,(($W121)/(12)),0)</f>
        <v/>
      </c>
      <c r="BB121" s="702">
        <f>IF($P121&gt;0,(($W121)/(12)),0)</f>
        <v/>
      </c>
      <c r="BC121" s="765">
        <f>SUM(AQ121:BB121)</f>
        <v/>
      </c>
      <c r="BD121" s="462" t="n"/>
      <c r="BE121" s="702">
        <f>IF($Q121&gt;0,(($X121)/(12)),0)</f>
        <v/>
      </c>
      <c r="BF121" s="702">
        <f>IF($Q121&gt;0,(($X121)/(12)),0)</f>
        <v/>
      </c>
      <c r="BG121" s="702">
        <f>IF($Q121&gt;0,(($X121)/(12)),0)</f>
        <v/>
      </c>
      <c r="BH121" s="702">
        <f>IF($Q121&gt;0,(($X121)/(12)),0)</f>
        <v/>
      </c>
      <c r="BI121" s="702">
        <f>IF($Q121&gt;0,(($X121)/(12)),0)</f>
        <v/>
      </c>
      <c r="BJ121" s="702">
        <f>IF($Q121&gt;0,(($X121)/(12)),0)</f>
        <v/>
      </c>
      <c r="BK121" s="702">
        <f>IF($Q121&gt;0,(($X121)/(12)),0)</f>
        <v/>
      </c>
      <c r="BL121" s="702">
        <f>IF($Q121&gt;0,(($X121)/(12)),0)</f>
        <v/>
      </c>
      <c r="BM121" s="702">
        <f>IF($Q121&gt;0,(($X121)/(12)),0)</f>
        <v/>
      </c>
      <c r="BN121" s="702">
        <f>IF($Q121&gt;0,(($X121)/(12)),0)</f>
        <v/>
      </c>
      <c r="BO121" s="702">
        <f>IF($Q121&gt;0,(($X121)/(12)),0)</f>
        <v/>
      </c>
      <c r="BP121" s="702">
        <f>IF($Q121&gt;0,(($X121)/(12)),0)</f>
        <v/>
      </c>
      <c r="BQ121" s="765">
        <f>SUM(BE121:BP121)</f>
        <v/>
      </c>
      <c r="BR121" s="507" t="n"/>
      <c r="BS121" s="702">
        <f>IF($R121&gt;0,(($Y121)/(12)),0)</f>
        <v/>
      </c>
      <c r="BT121" s="702">
        <f>IF($R121&gt;0,(($Y121)/(12)),0)</f>
        <v/>
      </c>
      <c r="BU121" s="702">
        <f>IF($R121&gt;0,(($Y121)/(12)),0)</f>
        <v/>
      </c>
      <c r="BV121" s="702">
        <f>IF($R121&gt;0,(($Y121)/(12)),0)</f>
        <v/>
      </c>
      <c r="BW121" s="702">
        <f>IF($R121&gt;0,(($Y121)/(12)),0)</f>
        <v/>
      </c>
      <c r="BX121" s="702">
        <f>IF($R121&gt;0,(($Y121)/(12)),0)</f>
        <v/>
      </c>
      <c r="BY121" s="702">
        <f>IF($R121&gt;0,(($Y121)/(12)),0)</f>
        <v/>
      </c>
      <c r="BZ121" s="702">
        <f>IF($R121&gt;0,(($Y121)/(12)),0)</f>
        <v/>
      </c>
      <c r="CA121" s="702">
        <f>IF($R121&gt;0,(($Y121)/(12)),0)</f>
        <v/>
      </c>
      <c r="CB121" s="702">
        <f>IF($R121&gt;0,(($Y121)/(12)),0)</f>
        <v/>
      </c>
      <c r="CC121" s="702">
        <f>IF($R121&gt;0,(($Y121)/(12)),0)</f>
        <v/>
      </c>
      <c r="CD121" s="702">
        <f>IF($R121&gt;0,(($Y121)/(12)),0)</f>
        <v/>
      </c>
      <c r="CE121" s="765">
        <f>SUM(BS121:CD121)</f>
        <v/>
      </c>
      <c r="CF121" s="507" t="n"/>
      <c r="CG121" s="702">
        <f>IF($S121&gt;0,(($Z121)/(12)),0)</f>
        <v/>
      </c>
      <c r="CH121" s="702">
        <f>IF($S121&gt;0,(($Z121)/(12)),0)</f>
        <v/>
      </c>
      <c r="CI121" s="702">
        <f>IF($S121&gt;0,(($Z121)/(12)),0)</f>
        <v/>
      </c>
      <c r="CJ121" s="702">
        <f>IF($S121&gt;0,(($Z121)/(12)),0)</f>
        <v/>
      </c>
      <c r="CK121" s="702">
        <f>IF($S121&gt;0,(($Z121)/(12)),0)</f>
        <v/>
      </c>
      <c r="CL121" s="702">
        <f>IF($S121&gt;0,(($Z121)/(12)),0)</f>
        <v/>
      </c>
      <c r="CM121" s="702">
        <f>IF($S121&gt;0,(($Z121)/(12)),0)</f>
        <v/>
      </c>
      <c r="CN121" s="702">
        <f>IF($S121&gt;0,(($Z121)/(12)),0)</f>
        <v/>
      </c>
      <c r="CO121" s="702">
        <f>IF($S121&gt;0,(($Z121)/(12)),0)</f>
        <v/>
      </c>
      <c r="CP121" s="702">
        <f>IF($S121&gt;0,(($Z121)/(12)),0)</f>
        <v/>
      </c>
      <c r="CQ121" s="702">
        <f>IF($S121&gt;0,(($Z121)/(12)),0)</f>
        <v/>
      </c>
      <c r="CR121" s="702">
        <f>IF($S121&gt;0,(($Z121)/(12)),0)</f>
        <v/>
      </c>
      <c r="CS121" s="765">
        <f>SUM(CG121:CR121)</f>
        <v/>
      </c>
      <c r="CU121" s="702">
        <f>IF($T121&gt;0,(($AA121)/(12)),0)</f>
        <v/>
      </c>
      <c r="CV121" s="702">
        <f>IF($T121&gt;0,(($AA121)/(12)),0)</f>
        <v/>
      </c>
      <c r="CW121" s="702">
        <f>IF($T121&gt;0,(($AA121)/(12)),0)</f>
        <v/>
      </c>
      <c r="CX121" s="702">
        <f>IF($T121&gt;0,(($AA121)/(12)),0)</f>
        <v/>
      </c>
      <c r="CY121" s="702">
        <f>IF($T121&gt;0,(($AA121)/(12)),0)</f>
        <v/>
      </c>
      <c r="CZ121" s="702">
        <f>IF($T121&gt;0,(($AA121)/(12)),0)</f>
        <v/>
      </c>
      <c r="DA121" s="702">
        <f>IF($T121&gt;0,(($AA121)/(12)),0)</f>
        <v/>
      </c>
      <c r="DB121" s="702">
        <f>IF($T121&gt;0,(($AA121)/(12)),0)</f>
        <v/>
      </c>
      <c r="DC121" s="702">
        <f>IF($T121&gt;0,(($AA121)/(12)),0)</f>
        <v/>
      </c>
      <c r="DD121" s="702">
        <f>IF($T121&gt;0,(($AA121)/(12)),0)</f>
        <v/>
      </c>
      <c r="DE121" s="702">
        <f>IF($T121&gt;0,(($AA121)/(12)),0)</f>
        <v/>
      </c>
      <c r="DF121" s="702">
        <f>IF($T121&gt;0,(($AA121)/(12)),0)</f>
        <v/>
      </c>
      <c r="DG121" s="765">
        <f>SUM(CU121:DF121)</f>
        <v/>
      </c>
    </row>
    <row r="122" ht="15" customHeight="1" s="1883">
      <c r="B122" s="752">
        <f>((B121)+(1))</f>
        <v/>
      </c>
      <c r="C122" s="726" t="n"/>
      <c r="D122" s="730" t="inlineStr">
        <is>
          <t>●</t>
        </is>
      </c>
      <c r="E122" s="736" t="inlineStr">
        <is>
          <t>TBD</t>
        </is>
      </c>
      <c r="F122" s="737" t="n"/>
      <c r="G122" s="737" t="n"/>
      <c r="H122" s="737" t="n"/>
      <c r="I122" s="736" t="inlineStr">
        <is>
          <t>Regional Director, Human Resources</t>
        </is>
      </c>
      <c r="J122" s="746" t="inlineStr">
        <is>
          <t>OCONUS</t>
        </is>
      </c>
      <c r="K122" s="737" t="n"/>
      <c r="L122" s="753" t="n">
        <v>37</v>
      </c>
      <c r="M122" s="753" t="n">
        <v>37</v>
      </c>
      <c r="N122" s="744" t="n"/>
      <c r="O122" s="815" t="n"/>
      <c r="P122" s="756" t="n"/>
      <c r="Q122" s="756" t="n"/>
      <c r="R122" s="756" t="n"/>
      <c r="S122" s="755" t="n">
        <v>0</v>
      </c>
      <c r="T122" s="755" t="n">
        <v>0</v>
      </c>
      <c r="U122" s="737" t="n"/>
      <c r="V122" s="703" t="n">
        <v>0</v>
      </c>
      <c r="W122" s="701" t="n">
        <v>0</v>
      </c>
      <c r="X122" s="700">
        <f>((W122)*((1)+($X$63)))</f>
        <v/>
      </c>
      <c r="Y122" s="700">
        <f>((X122)*((1)+($Y$63)))</f>
        <v/>
      </c>
      <c r="Z122" s="700">
        <f>((Y122)*((1)+($Z$63)))</f>
        <v/>
      </c>
      <c r="AA122" s="700">
        <f>((Z122)*((1)+($AA$63)))</f>
        <v/>
      </c>
      <c r="AB122" s="726" t="n"/>
      <c r="AC122" s="768" t="n">
        <v>0</v>
      </c>
      <c r="AD122" s="768" t="n">
        <v>0</v>
      </c>
      <c r="AE122" s="768" t="n">
        <v>0</v>
      </c>
      <c r="AF122" s="768" t="n">
        <v>0</v>
      </c>
      <c r="AG122" s="768" t="n">
        <v>0</v>
      </c>
      <c r="AH122" s="768" t="n">
        <v>0</v>
      </c>
      <c r="AI122" s="768" t="n">
        <v>0</v>
      </c>
      <c r="AJ122" s="768" t="n">
        <v>0</v>
      </c>
      <c r="AK122" s="768" t="n">
        <v>0</v>
      </c>
      <c r="AL122" s="768" t="n">
        <v>0</v>
      </c>
      <c r="AM122" s="768" t="n">
        <v>0</v>
      </c>
      <c r="AN122" s="768" t="n">
        <v>0</v>
      </c>
      <c r="AO122" s="765">
        <f>SUM(AC122:AN122)</f>
        <v/>
      </c>
      <c r="AP122" s="462" t="n"/>
      <c r="AQ122" s="702">
        <f>IF($P122&gt;0,(($W122)/(12)),0)</f>
        <v/>
      </c>
      <c r="AR122" s="702">
        <f>IF($P122&gt;0,(($W122)/(12)),0)</f>
        <v/>
      </c>
      <c r="AS122" s="702">
        <f>IF($P122&gt;0,(($W122)/(12)),0)</f>
        <v/>
      </c>
      <c r="AT122" s="702">
        <f>IF($P122&gt;0,(($W122)/(12)),0)</f>
        <v/>
      </c>
      <c r="AU122" s="702">
        <f>IF($P122&gt;0,(($W122)/(12)),0)</f>
        <v/>
      </c>
      <c r="AV122" s="702">
        <f>IF($P122&gt;0,(($W122)/(12)),0)</f>
        <v/>
      </c>
      <c r="AW122" s="702">
        <f>IF($P122&gt;0,(($W122)/(12)),0)</f>
        <v/>
      </c>
      <c r="AX122" s="702">
        <f>IF($P122&gt;0,(($W122)/(12)),0)</f>
        <v/>
      </c>
      <c r="AY122" s="702">
        <f>IF($P122&gt;0,(($W122)/(12)),0)</f>
        <v/>
      </c>
      <c r="AZ122" s="702">
        <f>IF($P122&gt;0,(($W122)/(12)),0)</f>
        <v/>
      </c>
      <c r="BA122" s="702">
        <f>IF($P122&gt;0,(($W122)/(12)),0)</f>
        <v/>
      </c>
      <c r="BB122" s="702">
        <f>IF($P122&gt;0,(($W122)/(12)),0)</f>
        <v/>
      </c>
      <c r="BC122" s="765">
        <f>SUM(AQ122:BB122)</f>
        <v/>
      </c>
      <c r="BD122" s="462" t="n"/>
      <c r="BE122" s="702">
        <f>IF($Q122&gt;0,(($X122)/(12)),0)</f>
        <v/>
      </c>
      <c r="BF122" s="702">
        <f>IF($Q122&gt;0,(($X122)/(12)),0)</f>
        <v/>
      </c>
      <c r="BG122" s="702">
        <f>IF($Q122&gt;0,(($X122)/(12)),0)</f>
        <v/>
      </c>
      <c r="BH122" s="702">
        <f>IF($Q122&gt;0,(($X122)/(12)),0)</f>
        <v/>
      </c>
      <c r="BI122" s="702">
        <f>IF($Q122&gt;0,(($X122)/(12)),0)</f>
        <v/>
      </c>
      <c r="BJ122" s="702">
        <f>IF($Q122&gt;0,(($X122)/(12)),0)</f>
        <v/>
      </c>
      <c r="BK122" s="702">
        <f>IF($Q122&gt;0,(($X122)/(12)),0)</f>
        <v/>
      </c>
      <c r="BL122" s="702">
        <f>IF($Q122&gt;0,(($X122)/(12)),0)</f>
        <v/>
      </c>
      <c r="BM122" s="702">
        <f>IF($Q122&gt;0,(($X122)/(12)),0)</f>
        <v/>
      </c>
      <c r="BN122" s="702">
        <f>IF($Q122&gt;0,(($X122)/(12)),0)</f>
        <v/>
      </c>
      <c r="BO122" s="702">
        <f>IF($Q122&gt;0,(($X122)/(12)),0)</f>
        <v/>
      </c>
      <c r="BP122" s="702">
        <f>IF($Q122&gt;0,(($X122)/(12)),0)</f>
        <v/>
      </c>
      <c r="BQ122" s="765">
        <f>SUM(BE122:BP122)</f>
        <v/>
      </c>
      <c r="BR122" s="507" t="n"/>
      <c r="BS122" s="702">
        <f>IF($R122&gt;0,(($Y122)/(12)),0)</f>
        <v/>
      </c>
      <c r="BT122" s="702">
        <f>IF($R122&gt;0,(($Y122)/(12)),0)</f>
        <v/>
      </c>
      <c r="BU122" s="702">
        <f>IF($R122&gt;0,(($Y122)/(12)),0)</f>
        <v/>
      </c>
      <c r="BV122" s="702">
        <f>IF($R122&gt;0,(($Y122)/(12)),0)</f>
        <v/>
      </c>
      <c r="BW122" s="702">
        <f>IF($R122&gt;0,(($Y122)/(12)),0)</f>
        <v/>
      </c>
      <c r="BX122" s="702">
        <f>IF($R122&gt;0,(($Y122)/(12)),0)</f>
        <v/>
      </c>
      <c r="BY122" s="702">
        <f>IF($R122&gt;0,(($Y122)/(12)),0)</f>
        <v/>
      </c>
      <c r="BZ122" s="702">
        <f>IF($R122&gt;0,(($Y122)/(12)),0)</f>
        <v/>
      </c>
      <c r="CA122" s="702">
        <f>IF($R122&gt;0,(($Y122)/(12)),0)</f>
        <v/>
      </c>
      <c r="CB122" s="702">
        <f>IF($R122&gt;0,(($Y122)/(12)),0)</f>
        <v/>
      </c>
      <c r="CC122" s="702">
        <f>IF($R122&gt;0,(($Y122)/(12)),0)</f>
        <v/>
      </c>
      <c r="CD122" s="702">
        <f>IF($R122&gt;0,(($Y122)/(12)),0)</f>
        <v/>
      </c>
      <c r="CE122" s="765">
        <f>SUM(BS122:CD122)</f>
        <v/>
      </c>
      <c r="CF122" s="507" t="n"/>
      <c r="CG122" s="702">
        <f>IF($S122&gt;0,(($Z122)/(12)),0)</f>
        <v/>
      </c>
      <c r="CH122" s="702">
        <f>IF($S122&gt;0,(($Z122)/(12)),0)</f>
        <v/>
      </c>
      <c r="CI122" s="702">
        <f>IF($S122&gt;0,(($Z122)/(12)),0)</f>
        <v/>
      </c>
      <c r="CJ122" s="702">
        <f>IF($S122&gt;0,(($Z122)/(12)),0)</f>
        <v/>
      </c>
      <c r="CK122" s="702">
        <f>IF($S122&gt;0,(($Z122)/(12)),0)</f>
        <v/>
      </c>
      <c r="CL122" s="702">
        <f>IF($S122&gt;0,(($Z122)/(12)),0)</f>
        <v/>
      </c>
      <c r="CM122" s="702">
        <f>IF($S122&gt;0,(($Z122)/(12)),0)</f>
        <v/>
      </c>
      <c r="CN122" s="702">
        <f>IF($S122&gt;0,(($Z122)/(12)),0)</f>
        <v/>
      </c>
      <c r="CO122" s="702">
        <f>IF($S122&gt;0,(($Z122)/(12)),0)</f>
        <v/>
      </c>
      <c r="CP122" s="702">
        <f>IF($S122&gt;0,(($Z122)/(12)),0)</f>
        <v/>
      </c>
      <c r="CQ122" s="702">
        <f>IF($S122&gt;0,(($Z122)/(12)),0)</f>
        <v/>
      </c>
      <c r="CR122" s="702">
        <f>IF($S122&gt;0,(($Z122)/(12)),0)</f>
        <v/>
      </c>
      <c r="CS122" s="765">
        <f>SUM(CG122:CR122)</f>
        <v/>
      </c>
      <c r="CU122" s="702">
        <f>IF($T122&gt;0,(($AA122)/(12)),0)</f>
        <v/>
      </c>
      <c r="CV122" s="702">
        <f>IF($T122&gt;0,(($AA122)/(12)),0)</f>
        <v/>
      </c>
      <c r="CW122" s="702">
        <f>IF($T122&gt;0,(($AA122)/(12)),0)</f>
        <v/>
      </c>
      <c r="CX122" s="702">
        <f>IF($T122&gt;0,(($AA122)/(12)),0)</f>
        <v/>
      </c>
      <c r="CY122" s="702">
        <f>IF($T122&gt;0,(($AA122)/(12)),0)</f>
        <v/>
      </c>
      <c r="CZ122" s="702">
        <f>IF($T122&gt;0,(($AA122)/(12)),0)</f>
        <v/>
      </c>
      <c r="DA122" s="702">
        <f>IF($T122&gt;0,(($AA122)/(12)),0)</f>
        <v/>
      </c>
      <c r="DB122" s="702">
        <f>IF($T122&gt;0,(($AA122)/(12)),0)</f>
        <v/>
      </c>
      <c r="DC122" s="702">
        <f>IF($T122&gt;0,(($AA122)/(12)),0)</f>
        <v/>
      </c>
      <c r="DD122" s="702">
        <f>IF($T122&gt;0,(($AA122)/(12)),0)</f>
        <v/>
      </c>
      <c r="DE122" s="702">
        <f>IF($T122&gt;0,(($AA122)/(12)),0)</f>
        <v/>
      </c>
      <c r="DF122" s="702">
        <f>IF($T122&gt;0,(($AA122)/(12)),0)</f>
        <v/>
      </c>
      <c r="DG122" s="765">
        <f>SUM(CU122:DF122)</f>
        <v/>
      </c>
    </row>
    <row r="123" ht="15" customHeight="1" s="1883">
      <c r="B123" s="752">
        <f>((B122)+(1))</f>
        <v/>
      </c>
      <c r="C123" s="726" t="n"/>
      <c r="D123" s="730" t="inlineStr">
        <is>
          <t>●</t>
        </is>
      </c>
      <c r="E123" s="736" t="inlineStr">
        <is>
          <t>TBD</t>
        </is>
      </c>
      <c r="F123" s="737" t="n"/>
      <c r="G123" s="737" t="n"/>
      <c r="H123" s="737" t="n"/>
      <c r="I123" s="736" t="inlineStr">
        <is>
          <t>Regional Director, Operations</t>
        </is>
      </c>
      <c r="J123" s="746" t="inlineStr">
        <is>
          <t>OCONUS</t>
        </is>
      </c>
      <c r="K123" s="737" t="n"/>
      <c r="L123" s="753" t="n">
        <v>13</v>
      </c>
      <c r="M123" s="753" t="n">
        <v>13</v>
      </c>
      <c r="N123" s="744" t="n"/>
      <c r="O123" s="815" t="n"/>
      <c r="P123" s="756" t="n"/>
      <c r="Q123" s="755" t="n">
        <v>0</v>
      </c>
      <c r="R123" s="755" t="n">
        <v>0</v>
      </c>
      <c r="S123" s="755" t="n">
        <v>0</v>
      </c>
      <c r="T123" s="755" t="n">
        <v>0</v>
      </c>
      <c r="U123" s="737" t="n"/>
      <c r="V123" s="703" t="n">
        <v>0</v>
      </c>
      <c r="W123" s="701" t="n">
        <v>0</v>
      </c>
      <c r="X123" s="700">
        <f>((W123)*((1)+($X$63)))</f>
        <v/>
      </c>
      <c r="Y123" s="700">
        <f>((X123)*((1)+($Y$63)))</f>
        <v/>
      </c>
      <c r="Z123" s="700">
        <f>((Y123)*((1)+($Z$63)))</f>
        <v/>
      </c>
      <c r="AA123" s="700">
        <f>((Z123)*((1)+($AA$63)))</f>
        <v/>
      </c>
      <c r="AB123" s="726" t="n"/>
      <c r="AC123" s="768" t="n">
        <v>0</v>
      </c>
      <c r="AD123" s="768" t="n">
        <v>0</v>
      </c>
      <c r="AE123" s="768" t="n">
        <v>0</v>
      </c>
      <c r="AF123" s="768" t="n">
        <v>0</v>
      </c>
      <c r="AG123" s="768" t="n">
        <v>0</v>
      </c>
      <c r="AH123" s="768" t="n">
        <v>0</v>
      </c>
      <c r="AI123" s="768" t="n">
        <v>0</v>
      </c>
      <c r="AJ123" s="768" t="n">
        <v>0</v>
      </c>
      <c r="AK123" s="768" t="n">
        <v>0</v>
      </c>
      <c r="AL123" s="768" t="n">
        <v>0</v>
      </c>
      <c r="AM123" s="768" t="n">
        <v>0</v>
      </c>
      <c r="AN123" s="768" t="n">
        <v>0</v>
      </c>
      <c r="AO123" s="765">
        <f>SUM(AC123:AN123)</f>
        <v/>
      </c>
      <c r="AP123" s="462" t="n"/>
      <c r="AQ123" s="702">
        <f>IF($P123&gt;0,(($W123)/(12)),0)</f>
        <v/>
      </c>
      <c r="AR123" s="702">
        <f>IF($P123&gt;0,(($W123)/(12)),0)</f>
        <v/>
      </c>
      <c r="AS123" s="702">
        <f>IF($P123&gt;0,(($W123)/(12)),0)</f>
        <v/>
      </c>
      <c r="AT123" s="702">
        <f>IF($P123&gt;0,(($W123)/(12)),0)</f>
        <v/>
      </c>
      <c r="AU123" s="702">
        <f>IF($P123&gt;0,(($W123)/(12)),0)</f>
        <v/>
      </c>
      <c r="AV123" s="702">
        <f>IF($P123&gt;0,(($W123)/(12)),0)</f>
        <v/>
      </c>
      <c r="AW123" s="702">
        <f>IF($P123&gt;0,(($W123)/(12)),0)</f>
        <v/>
      </c>
      <c r="AX123" s="702">
        <f>IF($P123&gt;0,(($W123)/(12)),0)</f>
        <v/>
      </c>
      <c r="AY123" s="702">
        <f>IF($P123&gt;0,(($W123)/(12)),0)</f>
        <v/>
      </c>
      <c r="AZ123" s="702">
        <f>IF($P123&gt;0,(($W123)/(12)),0)</f>
        <v/>
      </c>
      <c r="BA123" s="702">
        <f>IF($P123&gt;0,(($W123)/(12)),0)</f>
        <v/>
      </c>
      <c r="BB123" s="702">
        <f>IF($P123&gt;0,(($W123)/(12)),0)</f>
        <v/>
      </c>
      <c r="BC123" s="765">
        <f>SUM(AQ123:BB123)</f>
        <v/>
      </c>
      <c r="BD123" s="462" t="n"/>
      <c r="BE123" s="702">
        <f>IF($Q123&gt;0,(($X123)/(12)),0)</f>
        <v/>
      </c>
      <c r="BF123" s="702">
        <f>IF($Q123&gt;0,(($X123)/(12)),0)</f>
        <v/>
      </c>
      <c r="BG123" s="702">
        <f>IF($Q123&gt;0,(($X123)/(12)),0)</f>
        <v/>
      </c>
      <c r="BH123" s="702">
        <f>IF($Q123&gt;0,(($X123)/(12)),0)</f>
        <v/>
      </c>
      <c r="BI123" s="702">
        <f>IF($Q123&gt;0,(($X123)/(12)),0)</f>
        <v/>
      </c>
      <c r="BJ123" s="702">
        <f>IF($Q123&gt;0,(($X123)/(12)),0)</f>
        <v/>
      </c>
      <c r="BK123" s="702">
        <f>IF($Q123&gt;0,(($X123)/(12)),0)</f>
        <v/>
      </c>
      <c r="BL123" s="702">
        <f>IF($Q123&gt;0,(($X123)/(12)),0)</f>
        <v/>
      </c>
      <c r="BM123" s="702">
        <f>IF($Q123&gt;0,(($X123)/(12)),0)</f>
        <v/>
      </c>
      <c r="BN123" s="702">
        <f>IF($Q123&gt;0,(($X123)/(12)),0)</f>
        <v/>
      </c>
      <c r="BO123" s="702">
        <f>IF($Q123&gt;0,(($X123)/(12)),0)</f>
        <v/>
      </c>
      <c r="BP123" s="702">
        <f>IF($Q123&gt;0,(($X123)/(12)),0)</f>
        <v/>
      </c>
      <c r="BQ123" s="765">
        <f>SUM(BE123:BP123)</f>
        <v/>
      </c>
      <c r="BR123" s="507" t="n"/>
      <c r="BS123" s="702">
        <f>IF($R123&gt;0,(($Y123)/(12)),0)</f>
        <v/>
      </c>
      <c r="BT123" s="702">
        <f>IF($R123&gt;0,(($Y123)/(12)),0)</f>
        <v/>
      </c>
      <c r="BU123" s="702">
        <f>IF($R123&gt;0,(($Y123)/(12)),0)</f>
        <v/>
      </c>
      <c r="BV123" s="702">
        <f>IF($R123&gt;0,(($Y123)/(12)),0)</f>
        <v/>
      </c>
      <c r="BW123" s="702">
        <f>IF($R123&gt;0,(($Y123)/(12)),0)</f>
        <v/>
      </c>
      <c r="BX123" s="702">
        <f>IF($R123&gt;0,(($Y123)/(12)),0)</f>
        <v/>
      </c>
      <c r="BY123" s="702">
        <f>IF($R123&gt;0,(($Y123)/(12)),0)</f>
        <v/>
      </c>
      <c r="BZ123" s="702">
        <f>IF($R123&gt;0,(($Y123)/(12)),0)</f>
        <v/>
      </c>
      <c r="CA123" s="702">
        <f>IF($R123&gt;0,(($Y123)/(12)),0)</f>
        <v/>
      </c>
      <c r="CB123" s="702">
        <f>IF($R123&gt;0,(($Y123)/(12)),0)</f>
        <v/>
      </c>
      <c r="CC123" s="702">
        <f>IF($R123&gt;0,(($Y123)/(12)),0)</f>
        <v/>
      </c>
      <c r="CD123" s="702">
        <f>IF($R123&gt;0,(($Y123)/(12)),0)</f>
        <v/>
      </c>
      <c r="CE123" s="765">
        <f>SUM(BS123:CD123)</f>
        <v/>
      </c>
      <c r="CF123" s="507" t="n"/>
      <c r="CG123" s="702">
        <f>IF($S123&gt;0,(($Z123)/(12)),0)</f>
        <v/>
      </c>
      <c r="CH123" s="702">
        <f>IF($S123&gt;0,(($Z123)/(12)),0)</f>
        <v/>
      </c>
      <c r="CI123" s="702">
        <f>IF($S123&gt;0,(($Z123)/(12)),0)</f>
        <v/>
      </c>
      <c r="CJ123" s="702">
        <f>IF($S123&gt;0,(($Z123)/(12)),0)</f>
        <v/>
      </c>
      <c r="CK123" s="702">
        <f>IF($S123&gt;0,(($Z123)/(12)),0)</f>
        <v/>
      </c>
      <c r="CL123" s="702">
        <f>IF($S123&gt;0,(($Z123)/(12)),0)</f>
        <v/>
      </c>
      <c r="CM123" s="702">
        <f>IF($S123&gt;0,(($Z123)/(12)),0)</f>
        <v/>
      </c>
      <c r="CN123" s="702">
        <f>IF($S123&gt;0,(($Z123)/(12)),0)</f>
        <v/>
      </c>
      <c r="CO123" s="702">
        <f>IF($S123&gt;0,(($Z123)/(12)),0)</f>
        <v/>
      </c>
      <c r="CP123" s="702">
        <f>IF($S123&gt;0,(($Z123)/(12)),0)</f>
        <v/>
      </c>
      <c r="CQ123" s="702">
        <f>IF($S123&gt;0,(($Z123)/(12)),0)</f>
        <v/>
      </c>
      <c r="CR123" s="702">
        <f>IF($S123&gt;0,(($Z123)/(12)),0)</f>
        <v/>
      </c>
      <c r="CS123" s="765">
        <f>SUM(CG123:CR123)</f>
        <v/>
      </c>
      <c r="CU123" s="702">
        <f>IF($T123&gt;0,(($AA123)/(12)),0)</f>
        <v/>
      </c>
      <c r="CV123" s="702">
        <f>IF($T123&gt;0,(($AA123)/(12)),0)</f>
        <v/>
      </c>
      <c r="CW123" s="702">
        <f>IF($T123&gt;0,(($AA123)/(12)),0)</f>
        <v/>
      </c>
      <c r="CX123" s="702">
        <f>IF($T123&gt;0,(($AA123)/(12)),0)</f>
        <v/>
      </c>
      <c r="CY123" s="702">
        <f>IF($T123&gt;0,(($AA123)/(12)),0)</f>
        <v/>
      </c>
      <c r="CZ123" s="702">
        <f>IF($T123&gt;0,(($AA123)/(12)),0)</f>
        <v/>
      </c>
      <c r="DA123" s="702">
        <f>IF($T123&gt;0,(($AA123)/(12)),0)</f>
        <v/>
      </c>
      <c r="DB123" s="702">
        <f>IF($T123&gt;0,(($AA123)/(12)),0)</f>
        <v/>
      </c>
      <c r="DC123" s="702">
        <f>IF($T123&gt;0,(($AA123)/(12)),0)</f>
        <v/>
      </c>
      <c r="DD123" s="702">
        <f>IF($T123&gt;0,(($AA123)/(12)),0)</f>
        <v/>
      </c>
      <c r="DE123" s="702">
        <f>IF($T123&gt;0,(($AA123)/(12)),0)</f>
        <v/>
      </c>
      <c r="DF123" s="702">
        <f>IF($T123&gt;0,(($AA123)/(12)),0)</f>
        <v/>
      </c>
      <c r="DG123" s="765">
        <f>SUM(CU123:DF123)</f>
        <v/>
      </c>
    </row>
    <row r="124" ht="15" customHeight="1" s="1883">
      <c r="B124" s="752">
        <f>((B123)+(1))</f>
        <v/>
      </c>
      <c r="C124" s="726" t="n"/>
      <c r="D124" s="730" t="inlineStr">
        <is>
          <t>●</t>
        </is>
      </c>
      <c r="E124" s="736" t="inlineStr">
        <is>
          <t>TBD</t>
        </is>
      </c>
      <c r="F124" s="737" t="n"/>
      <c r="G124" s="737" t="n"/>
      <c r="H124" s="737" t="n"/>
      <c r="I124" s="736" t="inlineStr">
        <is>
          <t>Regional Director, Operations</t>
        </is>
      </c>
      <c r="J124" s="746" t="inlineStr">
        <is>
          <t>OCONUS</t>
        </is>
      </c>
      <c r="K124" s="737" t="n"/>
      <c r="L124" s="753" t="n">
        <v>13</v>
      </c>
      <c r="M124" s="753" t="n">
        <v>13</v>
      </c>
      <c r="N124" s="744" t="n"/>
      <c r="O124" s="815" t="n"/>
      <c r="P124" s="756" t="n"/>
      <c r="Q124" s="755" t="n">
        <v>0</v>
      </c>
      <c r="R124" s="755" t="n">
        <v>0</v>
      </c>
      <c r="S124" s="755" t="n">
        <v>0</v>
      </c>
      <c r="T124" s="755" t="n">
        <v>0</v>
      </c>
      <c r="U124" s="737" t="n"/>
      <c r="V124" s="703" t="n">
        <v>0</v>
      </c>
      <c r="W124" s="701" t="n">
        <v>0</v>
      </c>
      <c r="X124" s="700">
        <f>((W124)*((1)+($X$63)))</f>
        <v/>
      </c>
      <c r="Y124" s="700">
        <f>((X124)*((1)+($Y$63)))</f>
        <v/>
      </c>
      <c r="Z124" s="700">
        <f>((Y124)*((1)+($Z$63)))</f>
        <v/>
      </c>
      <c r="AA124" s="700">
        <f>((Z124)*((1)+($AA$63)))</f>
        <v/>
      </c>
      <c r="AB124" s="726" t="n"/>
      <c r="AC124" s="768" t="n">
        <v>0</v>
      </c>
      <c r="AD124" s="768" t="n">
        <v>0</v>
      </c>
      <c r="AE124" s="768" t="n">
        <v>0</v>
      </c>
      <c r="AF124" s="768" t="n">
        <v>0</v>
      </c>
      <c r="AG124" s="768" t="n">
        <v>0</v>
      </c>
      <c r="AH124" s="768" t="n">
        <v>0</v>
      </c>
      <c r="AI124" s="768" t="n">
        <v>0</v>
      </c>
      <c r="AJ124" s="768" t="n">
        <v>0</v>
      </c>
      <c r="AK124" s="768" t="n">
        <v>0</v>
      </c>
      <c r="AL124" s="768" t="n">
        <v>0</v>
      </c>
      <c r="AM124" s="768" t="n">
        <v>0</v>
      </c>
      <c r="AN124" s="768" t="n">
        <v>0</v>
      </c>
      <c r="AO124" s="765">
        <f>SUM(AC124:AN124)</f>
        <v/>
      </c>
      <c r="AP124" s="462" t="n"/>
      <c r="AQ124" s="702">
        <f>IF($P124&gt;0,(($W124)/(12)),0)</f>
        <v/>
      </c>
      <c r="AR124" s="702">
        <f>IF($P124&gt;0,(($W124)/(12)),0)</f>
        <v/>
      </c>
      <c r="AS124" s="702">
        <f>IF($P124&gt;0,(($W124)/(12)),0)</f>
        <v/>
      </c>
      <c r="AT124" s="702">
        <f>IF($P124&gt;0,(($W124)/(12)),0)</f>
        <v/>
      </c>
      <c r="AU124" s="702">
        <f>IF($P124&gt;0,(($W124)/(12)),0)</f>
        <v/>
      </c>
      <c r="AV124" s="702">
        <f>IF($P124&gt;0,(($W124)/(12)),0)</f>
        <v/>
      </c>
      <c r="AW124" s="702">
        <f>IF($P124&gt;0,(($W124)/(12)),0)</f>
        <v/>
      </c>
      <c r="AX124" s="702">
        <f>IF($P124&gt;0,(($W124)/(12)),0)</f>
        <v/>
      </c>
      <c r="AY124" s="702">
        <f>IF($P124&gt;0,(($W124)/(12)),0)</f>
        <v/>
      </c>
      <c r="AZ124" s="702">
        <f>IF($P124&gt;0,(($W124)/(12)),0)</f>
        <v/>
      </c>
      <c r="BA124" s="702">
        <f>IF($P124&gt;0,(($W124)/(12)),0)</f>
        <v/>
      </c>
      <c r="BB124" s="702">
        <f>IF($P124&gt;0,(($W124)/(12)),0)</f>
        <v/>
      </c>
      <c r="BC124" s="765">
        <f>SUM(AQ124:BB124)</f>
        <v/>
      </c>
      <c r="BD124" s="462" t="n"/>
      <c r="BE124" s="702">
        <f>IF($Q124&gt;0,(($X124)/(12)),0)</f>
        <v/>
      </c>
      <c r="BF124" s="702">
        <f>IF($Q124&gt;0,(($X124)/(12)),0)</f>
        <v/>
      </c>
      <c r="BG124" s="702">
        <f>IF($Q124&gt;0,(($X124)/(12)),0)</f>
        <v/>
      </c>
      <c r="BH124" s="702">
        <f>IF($Q124&gt;0,(($X124)/(12)),0)</f>
        <v/>
      </c>
      <c r="BI124" s="702">
        <f>IF($Q124&gt;0,(($X124)/(12)),0)</f>
        <v/>
      </c>
      <c r="BJ124" s="702">
        <f>IF($Q124&gt;0,(($X124)/(12)),0)</f>
        <v/>
      </c>
      <c r="BK124" s="702">
        <f>IF($Q124&gt;0,(($X124)/(12)),0)</f>
        <v/>
      </c>
      <c r="BL124" s="702">
        <f>IF($Q124&gt;0,(($X124)/(12)),0)</f>
        <v/>
      </c>
      <c r="BM124" s="702">
        <f>IF($Q124&gt;0,(($X124)/(12)),0)</f>
        <v/>
      </c>
      <c r="BN124" s="702">
        <f>IF($Q124&gt;0,(($X124)/(12)),0)</f>
        <v/>
      </c>
      <c r="BO124" s="702">
        <f>IF($Q124&gt;0,(($X124)/(12)),0)</f>
        <v/>
      </c>
      <c r="BP124" s="702">
        <f>IF($Q124&gt;0,(($X124)/(12)),0)</f>
        <v/>
      </c>
      <c r="BQ124" s="765">
        <f>SUM(BE124:BP124)</f>
        <v/>
      </c>
      <c r="BR124" s="507" t="n"/>
      <c r="BS124" s="702">
        <f>IF($R124&gt;0,(($Y124)/(12)),0)</f>
        <v/>
      </c>
      <c r="BT124" s="702">
        <f>IF($R124&gt;0,(($Y124)/(12)),0)</f>
        <v/>
      </c>
      <c r="BU124" s="702">
        <f>IF($R124&gt;0,(($Y124)/(12)),0)</f>
        <v/>
      </c>
      <c r="BV124" s="702">
        <f>IF($R124&gt;0,(($Y124)/(12)),0)</f>
        <v/>
      </c>
      <c r="BW124" s="702">
        <f>IF($R124&gt;0,(($Y124)/(12)),0)</f>
        <v/>
      </c>
      <c r="BX124" s="702">
        <f>IF($R124&gt;0,(($Y124)/(12)),0)</f>
        <v/>
      </c>
      <c r="BY124" s="702">
        <f>IF($R124&gt;0,(($Y124)/(12)),0)</f>
        <v/>
      </c>
      <c r="BZ124" s="702">
        <f>IF($R124&gt;0,(($Y124)/(12)),0)</f>
        <v/>
      </c>
      <c r="CA124" s="702">
        <f>IF($R124&gt;0,(($Y124)/(12)),0)</f>
        <v/>
      </c>
      <c r="CB124" s="702">
        <f>IF($R124&gt;0,(($Y124)/(12)),0)</f>
        <v/>
      </c>
      <c r="CC124" s="702">
        <f>IF($R124&gt;0,(($Y124)/(12)),0)</f>
        <v/>
      </c>
      <c r="CD124" s="702">
        <f>IF($R124&gt;0,(($Y124)/(12)),0)</f>
        <v/>
      </c>
      <c r="CE124" s="765">
        <f>SUM(BS124:CD124)</f>
        <v/>
      </c>
      <c r="CF124" s="507" t="n"/>
      <c r="CG124" s="702">
        <f>IF($S124&gt;0,(($Z124)/(12)),0)</f>
        <v/>
      </c>
      <c r="CH124" s="702">
        <f>IF($S124&gt;0,(($Z124)/(12)),0)</f>
        <v/>
      </c>
      <c r="CI124" s="702">
        <f>IF($S124&gt;0,(($Z124)/(12)),0)</f>
        <v/>
      </c>
      <c r="CJ124" s="702">
        <f>IF($S124&gt;0,(($Z124)/(12)),0)</f>
        <v/>
      </c>
      <c r="CK124" s="702">
        <f>IF($S124&gt;0,(($Z124)/(12)),0)</f>
        <v/>
      </c>
      <c r="CL124" s="702">
        <f>IF($S124&gt;0,(($Z124)/(12)),0)</f>
        <v/>
      </c>
      <c r="CM124" s="702">
        <f>IF($S124&gt;0,(($Z124)/(12)),0)</f>
        <v/>
      </c>
      <c r="CN124" s="702">
        <f>IF($S124&gt;0,(($Z124)/(12)),0)</f>
        <v/>
      </c>
      <c r="CO124" s="702">
        <f>IF($S124&gt;0,(($Z124)/(12)),0)</f>
        <v/>
      </c>
      <c r="CP124" s="702">
        <f>IF($S124&gt;0,(($Z124)/(12)),0)</f>
        <v/>
      </c>
      <c r="CQ124" s="702">
        <f>IF($S124&gt;0,(($Z124)/(12)),0)</f>
        <v/>
      </c>
      <c r="CR124" s="702">
        <f>IF($S124&gt;0,(($Z124)/(12)),0)</f>
        <v/>
      </c>
      <c r="CS124" s="765">
        <f>SUM(CG124:CR124)</f>
        <v/>
      </c>
      <c r="CU124" s="702">
        <f>IF($T124&gt;0,(($AA124)/(12)),0)</f>
        <v/>
      </c>
      <c r="CV124" s="702">
        <f>IF($T124&gt;0,(($AA124)/(12)),0)</f>
        <v/>
      </c>
      <c r="CW124" s="702">
        <f>IF($T124&gt;0,(($AA124)/(12)),0)</f>
        <v/>
      </c>
      <c r="CX124" s="702">
        <f>IF($T124&gt;0,(($AA124)/(12)),0)</f>
        <v/>
      </c>
      <c r="CY124" s="702">
        <f>IF($T124&gt;0,(($AA124)/(12)),0)</f>
        <v/>
      </c>
      <c r="CZ124" s="702">
        <f>IF($T124&gt;0,(($AA124)/(12)),0)</f>
        <v/>
      </c>
      <c r="DA124" s="702">
        <f>IF($T124&gt;0,(($AA124)/(12)),0)</f>
        <v/>
      </c>
      <c r="DB124" s="702">
        <f>IF($T124&gt;0,(($AA124)/(12)),0)</f>
        <v/>
      </c>
      <c r="DC124" s="702">
        <f>IF($T124&gt;0,(($AA124)/(12)),0)</f>
        <v/>
      </c>
      <c r="DD124" s="702">
        <f>IF($T124&gt;0,(($AA124)/(12)),0)</f>
        <v/>
      </c>
      <c r="DE124" s="702">
        <f>IF($T124&gt;0,(($AA124)/(12)),0)</f>
        <v/>
      </c>
      <c r="DF124" s="702">
        <f>IF($T124&gt;0,(($AA124)/(12)),0)</f>
        <v/>
      </c>
      <c r="DG124" s="765">
        <f>SUM(CU124:DF124)</f>
        <v/>
      </c>
    </row>
    <row r="125" ht="15" customHeight="1" s="1883">
      <c r="B125" s="752">
        <f>((B124)+(1))</f>
        <v/>
      </c>
      <c r="C125" s="726" t="n"/>
      <c r="D125" s="730" t="inlineStr">
        <is>
          <t>●</t>
        </is>
      </c>
      <c r="E125" s="736" t="inlineStr">
        <is>
          <t>TBD</t>
        </is>
      </c>
      <c r="F125" s="737" t="n"/>
      <c r="G125" s="737" t="n"/>
      <c r="H125" s="737" t="n"/>
      <c r="I125" s="736" t="inlineStr">
        <is>
          <t>Regional Director, Operations</t>
        </is>
      </c>
      <c r="J125" s="746" t="inlineStr">
        <is>
          <t>OCONUS</t>
        </is>
      </c>
      <c r="K125" s="737" t="n"/>
      <c r="L125" s="753" t="n">
        <v>25</v>
      </c>
      <c r="M125" s="753" t="n">
        <v>25</v>
      </c>
      <c r="N125" s="744" t="n"/>
      <c r="O125" s="815" t="n"/>
      <c r="P125" s="756" t="n"/>
      <c r="Q125" s="756" t="n"/>
      <c r="R125" s="755" t="n">
        <v>0</v>
      </c>
      <c r="S125" s="755" t="n">
        <v>0</v>
      </c>
      <c r="T125" s="755" t="n">
        <v>0</v>
      </c>
      <c r="U125" s="737" t="n"/>
      <c r="V125" s="703" t="n">
        <v>0</v>
      </c>
      <c r="W125" s="701" t="n">
        <v>0</v>
      </c>
      <c r="X125" s="700">
        <f>((W125)*((1)+($X$63)))</f>
        <v/>
      </c>
      <c r="Y125" s="700">
        <f>((X125)*((1)+($Y$63)))</f>
        <v/>
      </c>
      <c r="Z125" s="700">
        <f>((Y125)*((1)+($Z$63)))</f>
        <v/>
      </c>
      <c r="AA125" s="700">
        <f>((Z125)*((1)+($AA$63)))</f>
        <v/>
      </c>
      <c r="AB125" s="726" t="n"/>
      <c r="AC125" s="768" t="n">
        <v>0</v>
      </c>
      <c r="AD125" s="768" t="n">
        <v>0</v>
      </c>
      <c r="AE125" s="768" t="n">
        <v>0</v>
      </c>
      <c r="AF125" s="768" t="n">
        <v>0</v>
      </c>
      <c r="AG125" s="768" t="n">
        <v>0</v>
      </c>
      <c r="AH125" s="768" t="n">
        <v>0</v>
      </c>
      <c r="AI125" s="768" t="n">
        <v>0</v>
      </c>
      <c r="AJ125" s="768" t="n">
        <v>0</v>
      </c>
      <c r="AK125" s="768" t="n">
        <v>0</v>
      </c>
      <c r="AL125" s="768" t="n">
        <v>0</v>
      </c>
      <c r="AM125" s="768" t="n">
        <v>0</v>
      </c>
      <c r="AN125" s="768" t="n">
        <v>0</v>
      </c>
      <c r="AO125" s="765">
        <f>SUM(AC125:AN125)</f>
        <v/>
      </c>
      <c r="AP125" s="462" t="n"/>
      <c r="AQ125" s="702">
        <f>IF($P125&gt;0,(($W125)/(12)),0)</f>
        <v/>
      </c>
      <c r="AR125" s="702">
        <f>IF($P125&gt;0,(($W125)/(12)),0)</f>
        <v/>
      </c>
      <c r="AS125" s="702">
        <f>IF($P125&gt;0,(($W125)/(12)),0)</f>
        <v/>
      </c>
      <c r="AT125" s="702">
        <f>IF($P125&gt;0,(($W125)/(12)),0)</f>
        <v/>
      </c>
      <c r="AU125" s="702">
        <f>IF($P125&gt;0,(($W125)/(12)),0)</f>
        <v/>
      </c>
      <c r="AV125" s="702">
        <f>IF($P125&gt;0,(($W125)/(12)),0)</f>
        <v/>
      </c>
      <c r="AW125" s="702">
        <f>IF($P125&gt;0,(($W125)/(12)),0)</f>
        <v/>
      </c>
      <c r="AX125" s="702">
        <f>IF($P125&gt;0,(($W125)/(12)),0)</f>
        <v/>
      </c>
      <c r="AY125" s="702">
        <f>IF($P125&gt;0,(($W125)/(12)),0)</f>
        <v/>
      </c>
      <c r="AZ125" s="702">
        <f>IF($P125&gt;0,(($W125)/(12)),0)</f>
        <v/>
      </c>
      <c r="BA125" s="702">
        <f>IF($P125&gt;0,(($W125)/(12)),0)</f>
        <v/>
      </c>
      <c r="BB125" s="702">
        <f>IF($P125&gt;0,(($W125)/(12)),0)</f>
        <v/>
      </c>
      <c r="BC125" s="765">
        <f>SUM(AQ125:BB125)</f>
        <v/>
      </c>
      <c r="BD125" s="462" t="n"/>
      <c r="BE125" s="702">
        <f>IF($Q125&gt;0,(($X125)/(12)),0)</f>
        <v/>
      </c>
      <c r="BF125" s="702">
        <f>IF($Q125&gt;0,(($X125)/(12)),0)</f>
        <v/>
      </c>
      <c r="BG125" s="702">
        <f>IF($Q125&gt;0,(($X125)/(12)),0)</f>
        <v/>
      </c>
      <c r="BH125" s="702">
        <f>IF($Q125&gt;0,(($X125)/(12)),0)</f>
        <v/>
      </c>
      <c r="BI125" s="702">
        <f>IF($Q125&gt;0,(($X125)/(12)),0)</f>
        <v/>
      </c>
      <c r="BJ125" s="702">
        <f>IF($Q125&gt;0,(($X125)/(12)),0)</f>
        <v/>
      </c>
      <c r="BK125" s="702">
        <f>IF($Q125&gt;0,(($X125)/(12)),0)</f>
        <v/>
      </c>
      <c r="BL125" s="702">
        <f>IF($Q125&gt;0,(($X125)/(12)),0)</f>
        <v/>
      </c>
      <c r="BM125" s="702">
        <f>IF($Q125&gt;0,(($X125)/(12)),0)</f>
        <v/>
      </c>
      <c r="BN125" s="702">
        <f>IF($Q125&gt;0,(($X125)/(12)),0)</f>
        <v/>
      </c>
      <c r="BO125" s="702">
        <f>IF($Q125&gt;0,(($X125)/(12)),0)</f>
        <v/>
      </c>
      <c r="BP125" s="702">
        <f>IF($Q125&gt;0,(($X125)/(12)),0)</f>
        <v/>
      </c>
      <c r="BQ125" s="765">
        <f>SUM(BE125:BP125)</f>
        <v/>
      </c>
      <c r="BR125" s="507" t="n"/>
      <c r="BS125" s="702">
        <f>IF($R125&gt;0,(($Y125)/(12)),0)</f>
        <v/>
      </c>
      <c r="BT125" s="702">
        <f>IF($R125&gt;0,(($Y125)/(12)),0)</f>
        <v/>
      </c>
      <c r="BU125" s="702">
        <f>IF($R125&gt;0,(($Y125)/(12)),0)</f>
        <v/>
      </c>
      <c r="BV125" s="702">
        <f>IF($R125&gt;0,(($Y125)/(12)),0)</f>
        <v/>
      </c>
      <c r="BW125" s="702">
        <f>IF($R125&gt;0,(($Y125)/(12)),0)</f>
        <v/>
      </c>
      <c r="BX125" s="702">
        <f>IF($R125&gt;0,(($Y125)/(12)),0)</f>
        <v/>
      </c>
      <c r="BY125" s="702">
        <f>IF($R125&gt;0,(($Y125)/(12)),0)</f>
        <v/>
      </c>
      <c r="BZ125" s="702">
        <f>IF($R125&gt;0,(($Y125)/(12)),0)</f>
        <v/>
      </c>
      <c r="CA125" s="702">
        <f>IF($R125&gt;0,(($Y125)/(12)),0)</f>
        <v/>
      </c>
      <c r="CB125" s="702">
        <f>IF($R125&gt;0,(($Y125)/(12)),0)</f>
        <v/>
      </c>
      <c r="CC125" s="702">
        <f>IF($R125&gt;0,(($Y125)/(12)),0)</f>
        <v/>
      </c>
      <c r="CD125" s="702">
        <f>IF($R125&gt;0,(($Y125)/(12)),0)</f>
        <v/>
      </c>
      <c r="CE125" s="765">
        <f>SUM(BS125:CD125)</f>
        <v/>
      </c>
      <c r="CF125" s="507" t="n"/>
      <c r="CG125" s="702">
        <f>IF($S125&gt;0,(($Z125)/(12)),0)</f>
        <v/>
      </c>
      <c r="CH125" s="702">
        <f>IF($S125&gt;0,(($Z125)/(12)),0)</f>
        <v/>
      </c>
      <c r="CI125" s="702">
        <f>IF($S125&gt;0,(($Z125)/(12)),0)</f>
        <v/>
      </c>
      <c r="CJ125" s="702">
        <f>IF($S125&gt;0,(($Z125)/(12)),0)</f>
        <v/>
      </c>
      <c r="CK125" s="702">
        <f>IF($S125&gt;0,(($Z125)/(12)),0)</f>
        <v/>
      </c>
      <c r="CL125" s="702">
        <f>IF($S125&gt;0,(($Z125)/(12)),0)</f>
        <v/>
      </c>
      <c r="CM125" s="702">
        <f>IF($S125&gt;0,(($Z125)/(12)),0)</f>
        <v/>
      </c>
      <c r="CN125" s="702">
        <f>IF($S125&gt;0,(($Z125)/(12)),0)</f>
        <v/>
      </c>
      <c r="CO125" s="702">
        <f>IF($S125&gt;0,(($Z125)/(12)),0)</f>
        <v/>
      </c>
      <c r="CP125" s="702">
        <f>IF($S125&gt;0,(($Z125)/(12)),0)</f>
        <v/>
      </c>
      <c r="CQ125" s="702">
        <f>IF($S125&gt;0,(($Z125)/(12)),0)</f>
        <v/>
      </c>
      <c r="CR125" s="702">
        <f>IF($S125&gt;0,(($Z125)/(12)),0)</f>
        <v/>
      </c>
      <c r="CS125" s="765">
        <f>SUM(CG125:CR125)</f>
        <v/>
      </c>
      <c r="CU125" s="702">
        <f>IF($T125&gt;0,(($AA125)/(12)),0)</f>
        <v/>
      </c>
      <c r="CV125" s="702">
        <f>IF($T125&gt;0,(($AA125)/(12)),0)</f>
        <v/>
      </c>
      <c r="CW125" s="702">
        <f>IF($T125&gt;0,(($AA125)/(12)),0)</f>
        <v/>
      </c>
      <c r="CX125" s="702">
        <f>IF($T125&gt;0,(($AA125)/(12)),0)</f>
        <v/>
      </c>
      <c r="CY125" s="702">
        <f>IF($T125&gt;0,(($AA125)/(12)),0)</f>
        <v/>
      </c>
      <c r="CZ125" s="702">
        <f>IF($T125&gt;0,(($AA125)/(12)),0)</f>
        <v/>
      </c>
      <c r="DA125" s="702">
        <f>IF($T125&gt;0,(($AA125)/(12)),0)</f>
        <v/>
      </c>
      <c r="DB125" s="702">
        <f>IF($T125&gt;0,(($AA125)/(12)),0)</f>
        <v/>
      </c>
      <c r="DC125" s="702">
        <f>IF($T125&gt;0,(($AA125)/(12)),0)</f>
        <v/>
      </c>
      <c r="DD125" s="702">
        <f>IF($T125&gt;0,(($AA125)/(12)),0)</f>
        <v/>
      </c>
      <c r="DE125" s="702">
        <f>IF($T125&gt;0,(($AA125)/(12)),0)</f>
        <v/>
      </c>
      <c r="DF125" s="702">
        <f>IF($T125&gt;0,(($AA125)/(12)),0)</f>
        <v/>
      </c>
      <c r="DG125" s="765">
        <f>SUM(CU125:DF125)</f>
        <v/>
      </c>
    </row>
    <row r="126" ht="15" customHeight="1" s="1883">
      <c r="B126" s="752">
        <f>((B125)+(1))</f>
        <v/>
      </c>
      <c r="C126" s="726" t="n"/>
      <c r="D126" s="730" t="inlineStr">
        <is>
          <t>●</t>
        </is>
      </c>
      <c r="E126" s="736" t="inlineStr">
        <is>
          <t>TBD</t>
        </is>
      </c>
      <c r="F126" s="737" t="n"/>
      <c r="G126" s="737" t="n"/>
      <c r="H126" s="737" t="n"/>
      <c r="I126" s="736" t="inlineStr">
        <is>
          <t>Regional Director, Operations</t>
        </is>
      </c>
      <c r="J126" s="746" t="inlineStr">
        <is>
          <t>OCONUS</t>
        </is>
      </c>
      <c r="K126" s="737" t="n"/>
      <c r="L126" s="753" t="n">
        <v>25</v>
      </c>
      <c r="M126" s="753" t="n">
        <v>25</v>
      </c>
      <c r="N126" s="744" t="n"/>
      <c r="O126" s="815" t="n"/>
      <c r="P126" s="756" t="n"/>
      <c r="Q126" s="756" t="n"/>
      <c r="R126" s="755" t="n">
        <v>0</v>
      </c>
      <c r="S126" s="755" t="n">
        <v>0</v>
      </c>
      <c r="T126" s="755" t="n">
        <v>0</v>
      </c>
      <c r="U126" s="737" t="n"/>
      <c r="V126" s="703" t="n">
        <v>0</v>
      </c>
      <c r="W126" s="701" t="n">
        <v>0</v>
      </c>
      <c r="X126" s="700">
        <f>((W126)*((1)+($X$63)))</f>
        <v/>
      </c>
      <c r="Y126" s="700">
        <f>((X126)*((1)+($Y$63)))</f>
        <v/>
      </c>
      <c r="Z126" s="700">
        <f>((Y126)*((1)+($Z$63)))</f>
        <v/>
      </c>
      <c r="AA126" s="700">
        <f>((Z126)*((1)+($AA$63)))</f>
        <v/>
      </c>
      <c r="AB126" s="726" t="n"/>
      <c r="AC126" s="768" t="n">
        <v>0</v>
      </c>
      <c r="AD126" s="768" t="n">
        <v>0</v>
      </c>
      <c r="AE126" s="768" t="n">
        <v>0</v>
      </c>
      <c r="AF126" s="768" t="n">
        <v>0</v>
      </c>
      <c r="AG126" s="768" t="n">
        <v>0</v>
      </c>
      <c r="AH126" s="768" t="n">
        <v>0</v>
      </c>
      <c r="AI126" s="768" t="n">
        <v>0</v>
      </c>
      <c r="AJ126" s="768" t="n">
        <v>0</v>
      </c>
      <c r="AK126" s="768" t="n">
        <v>0</v>
      </c>
      <c r="AL126" s="768" t="n">
        <v>0</v>
      </c>
      <c r="AM126" s="768" t="n">
        <v>0</v>
      </c>
      <c r="AN126" s="768" t="n">
        <v>0</v>
      </c>
      <c r="AO126" s="765">
        <f>SUM(AC126:AN126)</f>
        <v/>
      </c>
      <c r="AP126" s="462" t="n"/>
      <c r="AQ126" s="702">
        <f>IF($P126&gt;0,(($W126)/(12)),0)</f>
        <v/>
      </c>
      <c r="AR126" s="702">
        <f>IF($P126&gt;0,(($W126)/(12)),0)</f>
        <v/>
      </c>
      <c r="AS126" s="702">
        <f>IF($P126&gt;0,(($W126)/(12)),0)</f>
        <v/>
      </c>
      <c r="AT126" s="702">
        <f>IF($P126&gt;0,(($W126)/(12)),0)</f>
        <v/>
      </c>
      <c r="AU126" s="702">
        <f>IF($P126&gt;0,(($W126)/(12)),0)</f>
        <v/>
      </c>
      <c r="AV126" s="702">
        <f>IF($P126&gt;0,(($W126)/(12)),0)</f>
        <v/>
      </c>
      <c r="AW126" s="702">
        <f>IF($P126&gt;0,(($W126)/(12)),0)</f>
        <v/>
      </c>
      <c r="AX126" s="702">
        <f>IF($P126&gt;0,(($W126)/(12)),0)</f>
        <v/>
      </c>
      <c r="AY126" s="702">
        <f>IF($P126&gt;0,(($W126)/(12)),0)</f>
        <v/>
      </c>
      <c r="AZ126" s="702">
        <f>IF($P126&gt;0,(($W126)/(12)),0)</f>
        <v/>
      </c>
      <c r="BA126" s="702">
        <f>IF($P126&gt;0,(($W126)/(12)),0)</f>
        <v/>
      </c>
      <c r="BB126" s="702">
        <f>IF($P126&gt;0,(($W126)/(12)),0)</f>
        <v/>
      </c>
      <c r="BC126" s="765">
        <f>SUM(AQ126:BB126)</f>
        <v/>
      </c>
      <c r="BD126" s="462" t="n"/>
      <c r="BE126" s="702">
        <f>IF($Q126&gt;0,(($X126)/(12)),0)</f>
        <v/>
      </c>
      <c r="BF126" s="702">
        <f>IF($Q126&gt;0,(($X126)/(12)),0)</f>
        <v/>
      </c>
      <c r="BG126" s="702">
        <f>IF($Q126&gt;0,(($X126)/(12)),0)</f>
        <v/>
      </c>
      <c r="BH126" s="702">
        <f>IF($Q126&gt;0,(($X126)/(12)),0)</f>
        <v/>
      </c>
      <c r="BI126" s="702">
        <f>IF($Q126&gt;0,(($X126)/(12)),0)</f>
        <v/>
      </c>
      <c r="BJ126" s="702">
        <f>IF($Q126&gt;0,(($X126)/(12)),0)</f>
        <v/>
      </c>
      <c r="BK126" s="702">
        <f>IF($Q126&gt;0,(($X126)/(12)),0)</f>
        <v/>
      </c>
      <c r="BL126" s="702">
        <f>IF($Q126&gt;0,(($X126)/(12)),0)</f>
        <v/>
      </c>
      <c r="BM126" s="702">
        <f>IF($Q126&gt;0,(($X126)/(12)),0)</f>
        <v/>
      </c>
      <c r="BN126" s="702">
        <f>IF($Q126&gt;0,(($X126)/(12)),0)</f>
        <v/>
      </c>
      <c r="BO126" s="702">
        <f>IF($Q126&gt;0,(($X126)/(12)),0)</f>
        <v/>
      </c>
      <c r="BP126" s="702">
        <f>IF($Q126&gt;0,(($X126)/(12)),0)</f>
        <v/>
      </c>
      <c r="BQ126" s="765">
        <f>SUM(BE126:BP126)</f>
        <v/>
      </c>
      <c r="BR126" s="507" t="n"/>
      <c r="BS126" s="702">
        <f>IF($R126&gt;0,(($Y126)/(12)),0)</f>
        <v/>
      </c>
      <c r="BT126" s="702">
        <f>IF($R126&gt;0,(($Y126)/(12)),0)</f>
        <v/>
      </c>
      <c r="BU126" s="702">
        <f>IF($R126&gt;0,(($Y126)/(12)),0)</f>
        <v/>
      </c>
      <c r="BV126" s="702">
        <f>IF($R126&gt;0,(($Y126)/(12)),0)</f>
        <v/>
      </c>
      <c r="BW126" s="702">
        <f>IF($R126&gt;0,(($Y126)/(12)),0)</f>
        <v/>
      </c>
      <c r="BX126" s="702">
        <f>IF($R126&gt;0,(($Y126)/(12)),0)</f>
        <v/>
      </c>
      <c r="BY126" s="702">
        <f>IF($R126&gt;0,(($Y126)/(12)),0)</f>
        <v/>
      </c>
      <c r="BZ126" s="702">
        <f>IF($R126&gt;0,(($Y126)/(12)),0)</f>
        <v/>
      </c>
      <c r="CA126" s="702">
        <f>IF($R126&gt;0,(($Y126)/(12)),0)</f>
        <v/>
      </c>
      <c r="CB126" s="702">
        <f>IF($R126&gt;0,(($Y126)/(12)),0)</f>
        <v/>
      </c>
      <c r="CC126" s="702">
        <f>IF($R126&gt;0,(($Y126)/(12)),0)</f>
        <v/>
      </c>
      <c r="CD126" s="702">
        <f>IF($R126&gt;0,(($Y126)/(12)),0)</f>
        <v/>
      </c>
      <c r="CE126" s="765">
        <f>SUM(BS126:CD126)</f>
        <v/>
      </c>
      <c r="CF126" s="507" t="n"/>
      <c r="CG126" s="702">
        <f>IF($S126&gt;0,(($Z126)/(12)),0)</f>
        <v/>
      </c>
      <c r="CH126" s="702">
        <f>IF($S126&gt;0,(($Z126)/(12)),0)</f>
        <v/>
      </c>
      <c r="CI126" s="702">
        <f>IF($S126&gt;0,(($Z126)/(12)),0)</f>
        <v/>
      </c>
      <c r="CJ126" s="702">
        <f>IF($S126&gt;0,(($Z126)/(12)),0)</f>
        <v/>
      </c>
      <c r="CK126" s="702">
        <f>IF($S126&gt;0,(($Z126)/(12)),0)</f>
        <v/>
      </c>
      <c r="CL126" s="702">
        <f>IF($S126&gt;0,(($Z126)/(12)),0)</f>
        <v/>
      </c>
      <c r="CM126" s="702">
        <f>IF($S126&gt;0,(($Z126)/(12)),0)</f>
        <v/>
      </c>
      <c r="CN126" s="702">
        <f>IF($S126&gt;0,(($Z126)/(12)),0)</f>
        <v/>
      </c>
      <c r="CO126" s="702">
        <f>IF($S126&gt;0,(($Z126)/(12)),0)</f>
        <v/>
      </c>
      <c r="CP126" s="702">
        <f>IF($S126&gt;0,(($Z126)/(12)),0)</f>
        <v/>
      </c>
      <c r="CQ126" s="702">
        <f>IF($S126&gt;0,(($Z126)/(12)),0)</f>
        <v/>
      </c>
      <c r="CR126" s="702">
        <f>IF($S126&gt;0,(($Z126)/(12)),0)</f>
        <v/>
      </c>
      <c r="CS126" s="765">
        <f>SUM(CG126:CR126)</f>
        <v/>
      </c>
      <c r="CU126" s="702">
        <f>IF($T126&gt;0,(($AA126)/(12)),0)</f>
        <v/>
      </c>
      <c r="CV126" s="702">
        <f>IF($T126&gt;0,(($AA126)/(12)),0)</f>
        <v/>
      </c>
      <c r="CW126" s="702">
        <f>IF($T126&gt;0,(($AA126)/(12)),0)</f>
        <v/>
      </c>
      <c r="CX126" s="702">
        <f>IF($T126&gt;0,(($AA126)/(12)),0)</f>
        <v/>
      </c>
      <c r="CY126" s="702">
        <f>IF($T126&gt;0,(($AA126)/(12)),0)</f>
        <v/>
      </c>
      <c r="CZ126" s="702">
        <f>IF($T126&gt;0,(($AA126)/(12)),0)</f>
        <v/>
      </c>
      <c r="DA126" s="702">
        <f>IF($T126&gt;0,(($AA126)/(12)),0)</f>
        <v/>
      </c>
      <c r="DB126" s="702">
        <f>IF($T126&gt;0,(($AA126)/(12)),0)</f>
        <v/>
      </c>
      <c r="DC126" s="702">
        <f>IF($T126&gt;0,(($AA126)/(12)),0)</f>
        <v/>
      </c>
      <c r="DD126" s="702">
        <f>IF($T126&gt;0,(($AA126)/(12)),0)</f>
        <v/>
      </c>
      <c r="DE126" s="702">
        <f>IF($T126&gt;0,(($AA126)/(12)),0)</f>
        <v/>
      </c>
      <c r="DF126" s="702">
        <f>IF($T126&gt;0,(($AA126)/(12)),0)</f>
        <v/>
      </c>
      <c r="DG126" s="765">
        <f>SUM(CU126:DF126)</f>
        <v/>
      </c>
    </row>
    <row r="127" ht="15" customHeight="1" s="1883">
      <c r="B127" s="752">
        <f>((B126)+(1))</f>
        <v/>
      </c>
      <c r="C127" s="726" t="n"/>
      <c r="D127" s="730" t="inlineStr">
        <is>
          <t>●</t>
        </is>
      </c>
      <c r="E127" s="736" t="inlineStr">
        <is>
          <t>TBD</t>
        </is>
      </c>
      <c r="F127" s="737" t="n"/>
      <c r="G127" s="737" t="n"/>
      <c r="H127" s="737" t="n"/>
      <c r="I127" s="736" t="inlineStr">
        <is>
          <t>Regional Director, Operations</t>
        </is>
      </c>
      <c r="J127" s="746" t="inlineStr">
        <is>
          <t>OCONUS</t>
        </is>
      </c>
      <c r="K127" s="737" t="n"/>
      <c r="L127" s="753" t="n">
        <v>25</v>
      </c>
      <c r="M127" s="753" t="n">
        <v>25</v>
      </c>
      <c r="N127" s="744" t="n"/>
      <c r="O127" s="815" t="n"/>
      <c r="P127" s="756" t="n"/>
      <c r="Q127" s="756" t="n"/>
      <c r="R127" s="755" t="n">
        <v>0</v>
      </c>
      <c r="S127" s="755" t="n">
        <v>0</v>
      </c>
      <c r="T127" s="755" t="n">
        <v>0</v>
      </c>
      <c r="U127" s="737" t="n"/>
      <c r="V127" s="703" t="n">
        <v>0</v>
      </c>
      <c r="W127" s="701" t="n">
        <v>0</v>
      </c>
      <c r="X127" s="700">
        <f>((W127)*((1)+($X$63)))</f>
        <v/>
      </c>
      <c r="Y127" s="700">
        <f>((X127)*((1)+($Y$63)))</f>
        <v/>
      </c>
      <c r="Z127" s="700">
        <f>((Y127)*((1)+($Z$63)))</f>
        <v/>
      </c>
      <c r="AA127" s="700">
        <f>((Z127)*((1)+($AA$63)))</f>
        <v/>
      </c>
      <c r="AB127" s="726" t="n"/>
      <c r="AC127" s="768" t="n">
        <v>0</v>
      </c>
      <c r="AD127" s="768" t="n">
        <v>0</v>
      </c>
      <c r="AE127" s="768" t="n">
        <v>0</v>
      </c>
      <c r="AF127" s="768" t="n">
        <v>0</v>
      </c>
      <c r="AG127" s="768" t="n">
        <v>0</v>
      </c>
      <c r="AH127" s="768" t="n">
        <v>0</v>
      </c>
      <c r="AI127" s="768" t="n">
        <v>0</v>
      </c>
      <c r="AJ127" s="768" t="n">
        <v>0</v>
      </c>
      <c r="AK127" s="768" t="n">
        <v>0</v>
      </c>
      <c r="AL127" s="768" t="n">
        <v>0</v>
      </c>
      <c r="AM127" s="768" t="n">
        <v>0</v>
      </c>
      <c r="AN127" s="768" t="n">
        <v>0</v>
      </c>
      <c r="AO127" s="765">
        <f>SUM(AC127:AN127)</f>
        <v/>
      </c>
      <c r="AP127" s="462" t="n"/>
      <c r="AQ127" s="702">
        <f>IF($P127&gt;0,(($W127)/(12)),0)</f>
        <v/>
      </c>
      <c r="AR127" s="702">
        <f>IF($P127&gt;0,(($W127)/(12)),0)</f>
        <v/>
      </c>
      <c r="AS127" s="702">
        <f>IF($P127&gt;0,(($W127)/(12)),0)</f>
        <v/>
      </c>
      <c r="AT127" s="702">
        <f>IF($P127&gt;0,(($W127)/(12)),0)</f>
        <v/>
      </c>
      <c r="AU127" s="702">
        <f>IF($P127&gt;0,(($W127)/(12)),0)</f>
        <v/>
      </c>
      <c r="AV127" s="702">
        <f>IF($P127&gt;0,(($W127)/(12)),0)</f>
        <v/>
      </c>
      <c r="AW127" s="702">
        <f>IF($P127&gt;0,(($W127)/(12)),0)</f>
        <v/>
      </c>
      <c r="AX127" s="702">
        <f>IF($P127&gt;0,(($W127)/(12)),0)</f>
        <v/>
      </c>
      <c r="AY127" s="702">
        <f>IF($P127&gt;0,(($W127)/(12)),0)</f>
        <v/>
      </c>
      <c r="AZ127" s="702">
        <f>IF($P127&gt;0,(($W127)/(12)),0)</f>
        <v/>
      </c>
      <c r="BA127" s="702">
        <f>IF($P127&gt;0,(($W127)/(12)),0)</f>
        <v/>
      </c>
      <c r="BB127" s="702">
        <f>IF($P127&gt;0,(($W127)/(12)),0)</f>
        <v/>
      </c>
      <c r="BC127" s="765">
        <f>SUM(AQ127:BB127)</f>
        <v/>
      </c>
      <c r="BD127" s="462" t="n"/>
      <c r="BE127" s="702">
        <f>IF($Q127&gt;0,(($X127)/(12)),0)</f>
        <v/>
      </c>
      <c r="BF127" s="702">
        <f>IF($Q127&gt;0,(($X127)/(12)),0)</f>
        <v/>
      </c>
      <c r="BG127" s="702">
        <f>IF($Q127&gt;0,(($X127)/(12)),0)</f>
        <v/>
      </c>
      <c r="BH127" s="702">
        <f>IF($Q127&gt;0,(($X127)/(12)),0)</f>
        <v/>
      </c>
      <c r="BI127" s="702">
        <f>IF($Q127&gt;0,(($X127)/(12)),0)</f>
        <v/>
      </c>
      <c r="BJ127" s="702">
        <f>IF($Q127&gt;0,(($X127)/(12)),0)</f>
        <v/>
      </c>
      <c r="BK127" s="702">
        <f>IF($Q127&gt;0,(($X127)/(12)),0)</f>
        <v/>
      </c>
      <c r="BL127" s="702">
        <f>IF($Q127&gt;0,(($X127)/(12)),0)</f>
        <v/>
      </c>
      <c r="BM127" s="702">
        <f>IF($Q127&gt;0,(($X127)/(12)),0)</f>
        <v/>
      </c>
      <c r="BN127" s="702">
        <f>IF($Q127&gt;0,(($X127)/(12)),0)</f>
        <v/>
      </c>
      <c r="BO127" s="702">
        <f>IF($Q127&gt;0,(($X127)/(12)),0)</f>
        <v/>
      </c>
      <c r="BP127" s="702">
        <f>IF($Q127&gt;0,(($X127)/(12)),0)</f>
        <v/>
      </c>
      <c r="BQ127" s="765">
        <f>SUM(BE127:BP127)</f>
        <v/>
      </c>
      <c r="BR127" s="507" t="n"/>
      <c r="BS127" s="702">
        <f>IF($R127&gt;0,(($Y127)/(12)),0)</f>
        <v/>
      </c>
      <c r="BT127" s="702">
        <f>IF($R127&gt;0,(($Y127)/(12)),0)</f>
        <v/>
      </c>
      <c r="BU127" s="702">
        <f>IF($R127&gt;0,(($Y127)/(12)),0)</f>
        <v/>
      </c>
      <c r="BV127" s="702">
        <f>IF($R127&gt;0,(($Y127)/(12)),0)</f>
        <v/>
      </c>
      <c r="BW127" s="702">
        <f>IF($R127&gt;0,(($Y127)/(12)),0)</f>
        <v/>
      </c>
      <c r="BX127" s="702">
        <f>IF($R127&gt;0,(($Y127)/(12)),0)</f>
        <v/>
      </c>
      <c r="BY127" s="702">
        <f>IF($R127&gt;0,(($Y127)/(12)),0)</f>
        <v/>
      </c>
      <c r="BZ127" s="702">
        <f>IF($R127&gt;0,(($Y127)/(12)),0)</f>
        <v/>
      </c>
      <c r="CA127" s="702">
        <f>IF($R127&gt;0,(($Y127)/(12)),0)</f>
        <v/>
      </c>
      <c r="CB127" s="702">
        <f>IF($R127&gt;0,(($Y127)/(12)),0)</f>
        <v/>
      </c>
      <c r="CC127" s="702">
        <f>IF($R127&gt;0,(($Y127)/(12)),0)</f>
        <v/>
      </c>
      <c r="CD127" s="702">
        <f>IF($R127&gt;0,(($Y127)/(12)),0)</f>
        <v/>
      </c>
      <c r="CE127" s="765">
        <f>SUM(BS127:CD127)</f>
        <v/>
      </c>
      <c r="CF127" s="507" t="n"/>
      <c r="CG127" s="702">
        <f>IF($S127&gt;0,(($Z127)/(12)),0)</f>
        <v/>
      </c>
      <c r="CH127" s="702">
        <f>IF($S127&gt;0,(($Z127)/(12)),0)</f>
        <v/>
      </c>
      <c r="CI127" s="702">
        <f>IF($S127&gt;0,(($Z127)/(12)),0)</f>
        <v/>
      </c>
      <c r="CJ127" s="702">
        <f>IF($S127&gt;0,(($Z127)/(12)),0)</f>
        <v/>
      </c>
      <c r="CK127" s="702">
        <f>IF($S127&gt;0,(($Z127)/(12)),0)</f>
        <v/>
      </c>
      <c r="CL127" s="702">
        <f>IF($S127&gt;0,(($Z127)/(12)),0)</f>
        <v/>
      </c>
      <c r="CM127" s="702">
        <f>IF($S127&gt;0,(($Z127)/(12)),0)</f>
        <v/>
      </c>
      <c r="CN127" s="702">
        <f>IF($S127&gt;0,(($Z127)/(12)),0)</f>
        <v/>
      </c>
      <c r="CO127" s="702">
        <f>IF($S127&gt;0,(($Z127)/(12)),0)</f>
        <v/>
      </c>
      <c r="CP127" s="702">
        <f>IF($S127&gt;0,(($Z127)/(12)),0)</f>
        <v/>
      </c>
      <c r="CQ127" s="702">
        <f>IF($S127&gt;0,(($Z127)/(12)),0)</f>
        <v/>
      </c>
      <c r="CR127" s="702">
        <f>IF($S127&gt;0,(($Z127)/(12)),0)</f>
        <v/>
      </c>
      <c r="CS127" s="765">
        <f>SUM(CG127:CR127)</f>
        <v/>
      </c>
      <c r="CU127" s="702">
        <f>IF($T127&gt;0,(($AA127)/(12)),0)</f>
        <v/>
      </c>
      <c r="CV127" s="702">
        <f>IF($T127&gt;0,(($AA127)/(12)),0)</f>
        <v/>
      </c>
      <c r="CW127" s="702">
        <f>IF($T127&gt;0,(($AA127)/(12)),0)</f>
        <v/>
      </c>
      <c r="CX127" s="702">
        <f>IF($T127&gt;0,(($AA127)/(12)),0)</f>
        <v/>
      </c>
      <c r="CY127" s="702">
        <f>IF($T127&gt;0,(($AA127)/(12)),0)</f>
        <v/>
      </c>
      <c r="CZ127" s="702">
        <f>IF($T127&gt;0,(($AA127)/(12)),0)</f>
        <v/>
      </c>
      <c r="DA127" s="702">
        <f>IF($T127&gt;0,(($AA127)/(12)),0)</f>
        <v/>
      </c>
      <c r="DB127" s="702">
        <f>IF($T127&gt;0,(($AA127)/(12)),0)</f>
        <v/>
      </c>
      <c r="DC127" s="702">
        <f>IF($T127&gt;0,(($AA127)/(12)),0)</f>
        <v/>
      </c>
      <c r="DD127" s="702">
        <f>IF($T127&gt;0,(($AA127)/(12)),0)</f>
        <v/>
      </c>
      <c r="DE127" s="702">
        <f>IF($T127&gt;0,(($AA127)/(12)),0)</f>
        <v/>
      </c>
      <c r="DF127" s="702">
        <f>IF($T127&gt;0,(($AA127)/(12)),0)</f>
        <v/>
      </c>
      <c r="DG127" s="765">
        <f>SUM(CU127:DF127)</f>
        <v/>
      </c>
    </row>
    <row r="128" ht="15" customHeight="1" s="1883">
      <c r="B128" s="752">
        <f>((B127)+(1))</f>
        <v/>
      </c>
      <c r="C128" s="726" t="n"/>
      <c r="D128" s="730" t="inlineStr">
        <is>
          <t>●</t>
        </is>
      </c>
      <c r="E128" s="736" t="inlineStr">
        <is>
          <t>TBD</t>
        </is>
      </c>
      <c r="F128" s="737" t="n"/>
      <c r="G128" s="737" t="n"/>
      <c r="H128" s="737" t="n"/>
      <c r="I128" s="736" t="inlineStr">
        <is>
          <t>Regional Director, Operations</t>
        </is>
      </c>
      <c r="J128" s="746" t="inlineStr">
        <is>
          <t>OCONUS</t>
        </is>
      </c>
      <c r="K128" s="737" t="n"/>
      <c r="L128" s="753" t="n">
        <v>37</v>
      </c>
      <c r="M128" s="753" t="n">
        <v>37</v>
      </c>
      <c r="N128" s="744" t="n"/>
      <c r="O128" s="815" t="n"/>
      <c r="P128" s="756" t="n"/>
      <c r="Q128" s="756" t="n"/>
      <c r="R128" s="756" t="n"/>
      <c r="S128" s="755" t="n">
        <v>0</v>
      </c>
      <c r="T128" s="755" t="n">
        <v>0</v>
      </c>
      <c r="U128" s="737" t="n"/>
      <c r="V128" s="703" t="n">
        <v>0</v>
      </c>
      <c r="W128" s="701" t="n">
        <v>0</v>
      </c>
      <c r="X128" s="700">
        <f>((W128)*((1)+($X$63)))</f>
        <v/>
      </c>
      <c r="Y128" s="700">
        <f>((X128)*((1)+($Y$63)))</f>
        <v/>
      </c>
      <c r="Z128" s="700">
        <f>((Y128)*((1)+($Z$63)))</f>
        <v/>
      </c>
      <c r="AA128" s="700">
        <f>((Z128)*((1)+($AA$63)))</f>
        <v/>
      </c>
      <c r="AB128" s="726" t="n"/>
      <c r="AC128" s="768" t="n">
        <v>0</v>
      </c>
      <c r="AD128" s="768" t="n">
        <v>0</v>
      </c>
      <c r="AE128" s="768" t="n">
        <v>0</v>
      </c>
      <c r="AF128" s="768" t="n">
        <v>0</v>
      </c>
      <c r="AG128" s="768" t="n">
        <v>0</v>
      </c>
      <c r="AH128" s="768" t="n">
        <v>0</v>
      </c>
      <c r="AI128" s="768" t="n">
        <v>0</v>
      </c>
      <c r="AJ128" s="768" t="n">
        <v>0</v>
      </c>
      <c r="AK128" s="768" t="n">
        <v>0</v>
      </c>
      <c r="AL128" s="768" t="n">
        <v>0</v>
      </c>
      <c r="AM128" s="768" t="n">
        <v>0</v>
      </c>
      <c r="AN128" s="768" t="n">
        <v>0</v>
      </c>
      <c r="AO128" s="765">
        <f>SUM(AC128:AN128)</f>
        <v/>
      </c>
      <c r="AP128" s="462" t="n"/>
      <c r="AQ128" s="702">
        <f>IF($P128&gt;0,(($W128)/(12)),0)</f>
        <v/>
      </c>
      <c r="AR128" s="702">
        <f>IF($P128&gt;0,(($W128)/(12)),0)</f>
        <v/>
      </c>
      <c r="AS128" s="702">
        <f>IF($P128&gt;0,(($W128)/(12)),0)</f>
        <v/>
      </c>
      <c r="AT128" s="702">
        <f>IF($P128&gt;0,(($W128)/(12)),0)</f>
        <v/>
      </c>
      <c r="AU128" s="702">
        <f>IF($P128&gt;0,(($W128)/(12)),0)</f>
        <v/>
      </c>
      <c r="AV128" s="702">
        <f>IF($P128&gt;0,(($W128)/(12)),0)</f>
        <v/>
      </c>
      <c r="AW128" s="702">
        <f>IF($P128&gt;0,(($W128)/(12)),0)</f>
        <v/>
      </c>
      <c r="AX128" s="702">
        <f>IF($P128&gt;0,(($W128)/(12)),0)</f>
        <v/>
      </c>
      <c r="AY128" s="702">
        <f>IF($P128&gt;0,(($W128)/(12)),0)</f>
        <v/>
      </c>
      <c r="AZ128" s="702">
        <f>IF($P128&gt;0,(($W128)/(12)),0)</f>
        <v/>
      </c>
      <c r="BA128" s="702">
        <f>IF($P128&gt;0,(($W128)/(12)),0)</f>
        <v/>
      </c>
      <c r="BB128" s="702">
        <f>IF($P128&gt;0,(($W128)/(12)),0)</f>
        <v/>
      </c>
      <c r="BC128" s="765">
        <f>SUM(AQ128:BB128)</f>
        <v/>
      </c>
      <c r="BD128" s="462" t="n"/>
      <c r="BE128" s="702">
        <f>IF($Q128&gt;0,(($X128)/(12)),0)</f>
        <v/>
      </c>
      <c r="BF128" s="702">
        <f>IF($Q128&gt;0,(($X128)/(12)),0)</f>
        <v/>
      </c>
      <c r="BG128" s="702">
        <f>IF($Q128&gt;0,(($X128)/(12)),0)</f>
        <v/>
      </c>
      <c r="BH128" s="702">
        <f>IF($Q128&gt;0,(($X128)/(12)),0)</f>
        <v/>
      </c>
      <c r="BI128" s="702">
        <f>IF($Q128&gt;0,(($X128)/(12)),0)</f>
        <v/>
      </c>
      <c r="BJ128" s="702">
        <f>IF($Q128&gt;0,(($X128)/(12)),0)</f>
        <v/>
      </c>
      <c r="BK128" s="702">
        <f>IF($Q128&gt;0,(($X128)/(12)),0)</f>
        <v/>
      </c>
      <c r="BL128" s="702">
        <f>IF($Q128&gt;0,(($X128)/(12)),0)</f>
        <v/>
      </c>
      <c r="BM128" s="702">
        <f>IF($Q128&gt;0,(($X128)/(12)),0)</f>
        <v/>
      </c>
      <c r="BN128" s="702">
        <f>IF($Q128&gt;0,(($X128)/(12)),0)</f>
        <v/>
      </c>
      <c r="BO128" s="702">
        <f>IF($Q128&gt;0,(($X128)/(12)),0)</f>
        <v/>
      </c>
      <c r="BP128" s="702">
        <f>IF($Q128&gt;0,(($X128)/(12)),0)</f>
        <v/>
      </c>
      <c r="BQ128" s="765">
        <f>SUM(BE128:BP128)</f>
        <v/>
      </c>
      <c r="BR128" s="507" t="n"/>
      <c r="BS128" s="702">
        <f>IF($R128&gt;0,(($Y128)/(12)),0)</f>
        <v/>
      </c>
      <c r="BT128" s="702">
        <f>IF($R128&gt;0,(($Y128)/(12)),0)</f>
        <v/>
      </c>
      <c r="BU128" s="702">
        <f>IF($R128&gt;0,(($Y128)/(12)),0)</f>
        <v/>
      </c>
      <c r="BV128" s="702">
        <f>IF($R128&gt;0,(($Y128)/(12)),0)</f>
        <v/>
      </c>
      <c r="BW128" s="702">
        <f>IF($R128&gt;0,(($Y128)/(12)),0)</f>
        <v/>
      </c>
      <c r="BX128" s="702">
        <f>IF($R128&gt;0,(($Y128)/(12)),0)</f>
        <v/>
      </c>
      <c r="BY128" s="702">
        <f>IF($R128&gt;0,(($Y128)/(12)),0)</f>
        <v/>
      </c>
      <c r="BZ128" s="702">
        <f>IF($R128&gt;0,(($Y128)/(12)),0)</f>
        <v/>
      </c>
      <c r="CA128" s="702">
        <f>IF($R128&gt;0,(($Y128)/(12)),0)</f>
        <v/>
      </c>
      <c r="CB128" s="702">
        <f>IF($R128&gt;0,(($Y128)/(12)),0)</f>
        <v/>
      </c>
      <c r="CC128" s="702">
        <f>IF($R128&gt;0,(($Y128)/(12)),0)</f>
        <v/>
      </c>
      <c r="CD128" s="702">
        <f>IF($R128&gt;0,(($Y128)/(12)),0)</f>
        <v/>
      </c>
      <c r="CE128" s="765">
        <f>SUM(BS128:CD128)</f>
        <v/>
      </c>
      <c r="CF128" s="507" t="n"/>
      <c r="CG128" s="702">
        <f>IF($S128&gt;0,(($Z128)/(12)),0)</f>
        <v/>
      </c>
      <c r="CH128" s="702">
        <f>IF($S128&gt;0,(($Z128)/(12)),0)</f>
        <v/>
      </c>
      <c r="CI128" s="702">
        <f>IF($S128&gt;0,(($Z128)/(12)),0)</f>
        <v/>
      </c>
      <c r="CJ128" s="702">
        <f>IF($S128&gt;0,(($Z128)/(12)),0)</f>
        <v/>
      </c>
      <c r="CK128" s="702">
        <f>IF($S128&gt;0,(($Z128)/(12)),0)</f>
        <v/>
      </c>
      <c r="CL128" s="702">
        <f>IF($S128&gt;0,(($Z128)/(12)),0)</f>
        <v/>
      </c>
      <c r="CM128" s="702">
        <f>IF($S128&gt;0,(($Z128)/(12)),0)</f>
        <v/>
      </c>
      <c r="CN128" s="702">
        <f>IF($S128&gt;0,(($Z128)/(12)),0)</f>
        <v/>
      </c>
      <c r="CO128" s="702">
        <f>IF($S128&gt;0,(($Z128)/(12)),0)</f>
        <v/>
      </c>
      <c r="CP128" s="702">
        <f>IF($S128&gt;0,(($Z128)/(12)),0)</f>
        <v/>
      </c>
      <c r="CQ128" s="702">
        <f>IF($S128&gt;0,(($Z128)/(12)),0)</f>
        <v/>
      </c>
      <c r="CR128" s="702">
        <f>IF($S128&gt;0,(($Z128)/(12)),0)</f>
        <v/>
      </c>
      <c r="CS128" s="765">
        <f>SUM(CG128:CR128)</f>
        <v/>
      </c>
      <c r="CU128" s="702">
        <f>IF($T128&gt;0,(($AA128)/(12)),0)</f>
        <v/>
      </c>
      <c r="CV128" s="702">
        <f>IF($T128&gt;0,(($AA128)/(12)),0)</f>
        <v/>
      </c>
      <c r="CW128" s="702">
        <f>IF($T128&gt;0,(($AA128)/(12)),0)</f>
        <v/>
      </c>
      <c r="CX128" s="702">
        <f>IF($T128&gt;0,(($AA128)/(12)),0)</f>
        <v/>
      </c>
      <c r="CY128" s="702">
        <f>IF($T128&gt;0,(($AA128)/(12)),0)</f>
        <v/>
      </c>
      <c r="CZ128" s="702">
        <f>IF($T128&gt;0,(($AA128)/(12)),0)</f>
        <v/>
      </c>
      <c r="DA128" s="702">
        <f>IF($T128&gt;0,(($AA128)/(12)),0)</f>
        <v/>
      </c>
      <c r="DB128" s="702">
        <f>IF($T128&gt;0,(($AA128)/(12)),0)</f>
        <v/>
      </c>
      <c r="DC128" s="702">
        <f>IF($T128&gt;0,(($AA128)/(12)),0)</f>
        <v/>
      </c>
      <c r="DD128" s="702">
        <f>IF($T128&gt;0,(($AA128)/(12)),0)</f>
        <v/>
      </c>
      <c r="DE128" s="702">
        <f>IF($T128&gt;0,(($AA128)/(12)),0)</f>
        <v/>
      </c>
      <c r="DF128" s="702">
        <f>IF($T128&gt;0,(($AA128)/(12)),0)</f>
        <v/>
      </c>
      <c r="DG128" s="765">
        <f>SUM(CU128:DF128)</f>
        <v/>
      </c>
    </row>
    <row r="129" ht="15" customHeight="1" s="1883">
      <c r="B129" s="752">
        <f>((B128)+(1))</f>
        <v/>
      </c>
      <c r="C129" s="726" t="n"/>
      <c r="D129" s="730" t="inlineStr">
        <is>
          <t>●</t>
        </is>
      </c>
      <c r="E129" s="736" t="inlineStr">
        <is>
          <t>TBD</t>
        </is>
      </c>
      <c r="F129" s="737" t="n"/>
      <c r="G129" s="737" t="n"/>
      <c r="H129" s="737" t="n"/>
      <c r="I129" s="736" t="inlineStr">
        <is>
          <t>Regional Director, Operations</t>
        </is>
      </c>
      <c r="J129" s="746" t="inlineStr">
        <is>
          <t>OCONUS</t>
        </is>
      </c>
      <c r="K129" s="737" t="n"/>
      <c r="L129" s="753" t="n">
        <v>37</v>
      </c>
      <c r="M129" s="753" t="n">
        <v>37</v>
      </c>
      <c r="N129" s="744" t="n"/>
      <c r="O129" s="815" t="n"/>
      <c r="P129" s="756" t="n"/>
      <c r="Q129" s="756" t="n"/>
      <c r="R129" s="756" t="n"/>
      <c r="S129" s="755" t="n">
        <v>0</v>
      </c>
      <c r="T129" s="755" t="n">
        <v>0</v>
      </c>
      <c r="U129" s="737" t="n"/>
      <c r="V129" s="703" t="n">
        <v>0</v>
      </c>
      <c r="W129" s="701" t="n">
        <v>0</v>
      </c>
      <c r="X129" s="700">
        <f>((W129)*((1)+($X$63)))</f>
        <v/>
      </c>
      <c r="Y129" s="700">
        <f>((X129)*((1)+($Y$63)))</f>
        <v/>
      </c>
      <c r="Z129" s="700">
        <f>((Y129)*((1)+($Z$63)))</f>
        <v/>
      </c>
      <c r="AA129" s="700">
        <f>((Z129)*((1)+($AA$63)))</f>
        <v/>
      </c>
      <c r="AB129" s="726" t="n"/>
      <c r="AC129" s="768" t="n">
        <v>0</v>
      </c>
      <c r="AD129" s="768" t="n">
        <v>0</v>
      </c>
      <c r="AE129" s="768" t="n">
        <v>0</v>
      </c>
      <c r="AF129" s="768" t="n">
        <v>0</v>
      </c>
      <c r="AG129" s="768" t="n">
        <v>0</v>
      </c>
      <c r="AH129" s="768" t="n">
        <v>0</v>
      </c>
      <c r="AI129" s="768" t="n">
        <v>0</v>
      </c>
      <c r="AJ129" s="768" t="n">
        <v>0</v>
      </c>
      <c r="AK129" s="768" t="n">
        <v>0</v>
      </c>
      <c r="AL129" s="768" t="n">
        <v>0</v>
      </c>
      <c r="AM129" s="768" t="n">
        <v>0</v>
      </c>
      <c r="AN129" s="768" t="n">
        <v>0</v>
      </c>
      <c r="AO129" s="765">
        <f>SUM(AC129:AN129)</f>
        <v/>
      </c>
      <c r="AP129" s="462" t="n"/>
      <c r="AQ129" s="702">
        <f>IF($P129&gt;0,(($W129)/(12)),0)</f>
        <v/>
      </c>
      <c r="AR129" s="702">
        <f>IF($P129&gt;0,(($W129)/(12)),0)</f>
        <v/>
      </c>
      <c r="AS129" s="702">
        <f>IF($P129&gt;0,(($W129)/(12)),0)</f>
        <v/>
      </c>
      <c r="AT129" s="702">
        <f>IF($P129&gt;0,(($W129)/(12)),0)</f>
        <v/>
      </c>
      <c r="AU129" s="702">
        <f>IF($P129&gt;0,(($W129)/(12)),0)</f>
        <v/>
      </c>
      <c r="AV129" s="702">
        <f>IF($P129&gt;0,(($W129)/(12)),0)</f>
        <v/>
      </c>
      <c r="AW129" s="702">
        <f>IF($P129&gt;0,(($W129)/(12)),0)</f>
        <v/>
      </c>
      <c r="AX129" s="702">
        <f>IF($P129&gt;0,(($W129)/(12)),0)</f>
        <v/>
      </c>
      <c r="AY129" s="702">
        <f>IF($P129&gt;0,(($W129)/(12)),0)</f>
        <v/>
      </c>
      <c r="AZ129" s="702">
        <f>IF($P129&gt;0,(($W129)/(12)),0)</f>
        <v/>
      </c>
      <c r="BA129" s="702">
        <f>IF($P129&gt;0,(($W129)/(12)),0)</f>
        <v/>
      </c>
      <c r="BB129" s="702">
        <f>IF($P129&gt;0,(($W129)/(12)),0)</f>
        <v/>
      </c>
      <c r="BC129" s="765">
        <f>SUM(AQ129:BB129)</f>
        <v/>
      </c>
      <c r="BD129" s="462" t="n"/>
      <c r="BE129" s="702">
        <f>IF($Q129&gt;0,(($X129)/(12)),0)</f>
        <v/>
      </c>
      <c r="BF129" s="702">
        <f>IF($Q129&gt;0,(($X129)/(12)),0)</f>
        <v/>
      </c>
      <c r="BG129" s="702">
        <f>IF($Q129&gt;0,(($X129)/(12)),0)</f>
        <v/>
      </c>
      <c r="BH129" s="702">
        <f>IF($Q129&gt;0,(($X129)/(12)),0)</f>
        <v/>
      </c>
      <c r="BI129" s="702">
        <f>IF($Q129&gt;0,(($X129)/(12)),0)</f>
        <v/>
      </c>
      <c r="BJ129" s="702">
        <f>IF($Q129&gt;0,(($X129)/(12)),0)</f>
        <v/>
      </c>
      <c r="BK129" s="702">
        <f>IF($Q129&gt;0,(($X129)/(12)),0)</f>
        <v/>
      </c>
      <c r="BL129" s="702">
        <f>IF($Q129&gt;0,(($X129)/(12)),0)</f>
        <v/>
      </c>
      <c r="BM129" s="702">
        <f>IF($Q129&gt;0,(($X129)/(12)),0)</f>
        <v/>
      </c>
      <c r="BN129" s="702">
        <f>IF($Q129&gt;0,(($X129)/(12)),0)</f>
        <v/>
      </c>
      <c r="BO129" s="702">
        <f>IF($Q129&gt;0,(($X129)/(12)),0)</f>
        <v/>
      </c>
      <c r="BP129" s="702">
        <f>IF($Q129&gt;0,(($X129)/(12)),0)</f>
        <v/>
      </c>
      <c r="BQ129" s="765">
        <f>SUM(BE129:BP129)</f>
        <v/>
      </c>
      <c r="BR129" s="507" t="n"/>
      <c r="BS129" s="702">
        <f>IF($R129&gt;0,(($Y129)/(12)),0)</f>
        <v/>
      </c>
      <c r="BT129" s="702">
        <f>IF($R129&gt;0,(($Y129)/(12)),0)</f>
        <v/>
      </c>
      <c r="BU129" s="702">
        <f>IF($R129&gt;0,(($Y129)/(12)),0)</f>
        <v/>
      </c>
      <c r="BV129" s="702">
        <f>IF($R129&gt;0,(($Y129)/(12)),0)</f>
        <v/>
      </c>
      <c r="BW129" s="702">
        <f>IF($R129&gt;0,(($Y129)/(12)),0)</f>
        <v/>
      </c>
      <c r="BX129" s="702">
        <f>IF($R129&gt;0,(($Y129)/(12)),0)</f>
        <v/>
      </c>
      <c r="BY129" s="702">
        <f>IF($R129&gt;0,(($Y129)/(12)),0)</f>
        <v/>
      </c>
      <c r="BZ129" s="702">
        <f>IF($R129&gt;0,(($Y129)/(12)),0)</f>
        <v/>
      </c>
      <c r="CA129" s="702">
        <f>IF($R129&gt;0,(($Y129)/(12)),0)</f>
        <v/>
      </c>
      <c r="CB129" s="702">
        <f>IF($R129&gt;0,(($Y129)/(12)),0)</f>
        <v/>
      </c>
      <c r="CC129" s="702">
        <f>IF($R129&gt;0,(($Y129)/(12)),0)</f>
        <v/>
      </c>
      <c r="CD129" s="702">
        <f>IF($R129&gt;0,(($Y129)/(12)),0)</f>
        <v/>
      </c>
      <c r="CE129" s="765">
        <f>SUM(BS129:CD129)</f>
        <v/>
      </c>
      <c r="CF129" s="507" t="n"/>
      <c r="CG129" s="702">
        <f>IF($S129&gt;0,(($Z129)/(12)),0)</f>
        <v/>
      </c>
      <c r="CH129" s="702">
        <f>IF($S129&gt;0,(($Z129)/(12)),0)</f>
        <v/>
      </c>
      <c r="CI129" s="702">
        <f>IF($S129&gt;0,(($Z129)/(12)),0)</f>
        <v/>
      </c>
      <c r="CJ129" s="702">
        <f>IF($S129&gt;0,(($Z129)/(12)),0)</f>
        <v/>
      </c>
      <c r="CK129" s="702">
        <f>IF($S129&gt;0,(($Z129)/(12)),0)</f>
        <v/>
      </c>
      <c r="CL129" s="702">
        <f>IF($S129&gt;0,(($Z129)/(12)),0)</f>
        <v/>
      </c>
      <c r="CM129" s="702">
        <f>IF($S129&gt;0,(($Z129)/(12)),0)</f>
        <v/>
      </c>
      <c r="CN129" s="702">
        <f>IF($S129&gt;0,(($Z129)/(12)),0)</f>
        <v/>
      </c>
      <c r="CO129" s="702">
        <f>IF($S129&gt;0,(($Z129)/(12)),0)</f>
        <v/>
      </c>
      <c r="CP129" s="702">
        <f>IF($S129&gt;0,(($Z129)/(12)),0)</f>
        <v/>
      </c>
      <c r="CQ129" s="702">
        <f>IF($S129&gt;0,(($Z129)/(12)),0)</f>
        <v/>
      </c>
      <c r="CR129" s="702">
        <f>IF($S129&gt;0,(($Z129)/(12)),0)</f>
        <v/>
      </c>
      <c r="CS129" s="765">
        <f>SUM(CG129:CR129)</f>
        <v/>
      </c>
      <c r="CU129" s="702">
        <f>IF($T129&gt;0,(($AA129)/(12)),0)</f>
        <v/>
      </c>
      <c r="CV129" s="702">
        <f>IF($T129&gt;0,(($AA129)/(12)),0)</f>
        <v/>
      </c>
      <c r="CW129" s="702">
        <f>IF($T129&gt;0,(($AA129)/(12)),0)</f>
        <v/>
      </c>
      <c r="CX129" s="702">
        <f>IF($T129&gt;0,(($AA129)/(12)),0)</f>
        <v/>
      </c>
      <c r="CY129" s="702">
        <f>IF($T129&gt;0,(($AA129)/(12)),0)</f>
        <v/>
      </c>
      <c r="CZ129" s="702">
        <f>IF($T129&gt;0,(($AA129)/(12)),0)</f>
        <v/>
      </c>
      <c r="DA129" s="702">
        <f>IF($T129&gt;0,(($AA129)/(12)),0)</f>
        <v/>
      </c>
      <c r="DB129" s="702">
        <f>IF($T129&gt;0,(($AA129)/(12)),0)</f>
        <v/>
      </c>
      <c r="DC129" s="702">
        <f>IF($T129&gt;0,(($AA129)/(12)),0)</f>
        <v/>
      </c>
      <c r="DD129" s="702">
        <f>IF($T129&gt;0,(($AA129)/(12)),0)</f>
        <v/>
      </c>
      <c r="DE129" s="702">
        <f>IF($T129&gt;0,(($AA129)/(12)),0)</f>
        <v/>
      </c>
      <c r="DF129" s="702">
        <f>IF($T129&gt;0,(($AA129)/(12)),0)</f>
        <v/>
      </c>
      <c r="DG129" s="765">
        <f>SUM(CU129:DF129)</f>
        <v/>
      </c>
    </row>
    <row r="130" ht="15" customHeight="1" s="1883">
      <c r="B130" s="752">
        <f>((B129)+(1))</f>
        <v/>
      </c>
      <c r="C130" s="726" t="n"/>
      <c r="D130" s="730" t="inlineStr">
        <is>
          <t>●</t>
        </is>
      </c>
      <c r="E130" s="736" t="inlineStr">
        <is>
          <t>TBD</t>
        </is>
      </c>
      <c r="F130" s="737" t="n"/>
      <c r="G130" s="737" t="n"/>
      <c r="H130" s="737" t="n"/>
      <c r="I130" s="736" t="inlineStr">
        <is>
          <t>Regional Director, Operations</t>
        </is>
      </c>
      <c r="J130" s="746" t="inlineStr">
        <is>
          <t>OCONUS</t>
        </is>
      </c>
      <c r="K130" s="737" t="n"/>
      <c r="L130" s="753" t="n">
        <v>37</v>
      </c>
      <c r="M130" s="753" t="n">
        <v>37</v>
      </c>
      <c r="N130" s="744" t="n"/>
      <c r="O130" s="815" t="n"/>
      <c r="P130" s="756" t="n"/>
      <c r="Q130" s="756" t="n"/>
      <c r="R130" s="756" t="n"/>
      <c r="S130" s="755" t="n">
        <v>0</v>
      </c>
      <c r="T130" s="755" t="n">
        <v>0</v>
      </c>
      <c r="U130" s="737" t="n"/>
      <c r="V130" s="703" t="n">
        <v>0</v>
      </c>
      <c r="W130" s="701" t="n">
        <v>0</v>
      </c>
      <c r="X130" s="700">
        <f>((W130)*((1)+($X$63)))</f>
        <v/>
      </c>
      <c r="Y130" s="700">
        <f>((X130)*((1)+($Y$63)))</f>
        <v/>
      </c>
      <c r="Z130" s="700">
        <f>((Y130)*((1)+($Z$63)))</f>
        <v/>
      </c>
      <c r="AA130" s="700">
        <f>((Z130)*((1)+($AA$63)))</f>
        <v/>
      </c>
      <c r="AB130" s="726" t="n"/>
      <c r="AC130" s="768" t="n">
        <v>0</v>
      </c>
      <c r="AD130" s="768" t="n">
        <v>0</v>
      </c>
      <c r="AE130" s="768" t="n">
        <v>0</v>
      </c>
      <c r="AF130" s="768" t="n">
        <v>0</v>
      </c>
      <c r="AG130" s="768" t="n">
        <v>0</v>
      </c>
      <c r="AH130" s="768" t="n">
        <v>0</v>
      </c>
      <c r="AI130" s="768" t="n">
        <v>0</v>
      </c>
      <c r="AJ130" s="768" t="n">
        <v>0</v>
      </c>
      <c r="AK130" s="768" t="n">
        <v>0</v>
      </c>
      <c r="AL130" s="768" t="n">
        <v>0</v>
      </c>
      <c r="AM130" s="768" t="n">
        <v>0</v>
      </c>
      <c r="AN130" s="768" t="n">
        <v>0</v>
      </c>
      <c r="AO130" s="765">
        <f>SUM(AC130:AN130)</f>
        <v/>
      </c>
      <c r="AP130" s="462" t="n"/>
      <c r="AQ130" s="702">
        <f>IF($P130&gt;0,(($W130)/(12)),0)</f>
        <v/>
      </c>
      <c r="AR130" s="702">
        <f>IF($P130&gt;0,(($W130)/(12)),0)</f>
        <v/>
      </c>
      <c r="AS130" s="702">
        <f>IF($P130&gt;0,(($W130)/(12)),0)</f>
        <v/>
      </c>
      <c r="AT130" s="702">
        <f>IF($P130&gt;0,(($W130)/(12)),0)</f>
        <v/>
      </c>
      <c r="AU130" s="702">
        <f>IF($P130&gt;0,(($W130)/(12)),0)</f>
        <v/>
      </c>
      <c r="AV130" s="702">
        <f>IF($P130&gt;0,(($W130)/(12)),0)</f>
        <v/>
      </c>
      <c r="AW130" s="702">
        <f>IF($P130&gt;0,(($W130)/(12)),0)</f>
        <v/>
      </c>
      <c r="AX130" s="702">
        <f>IF($P130&gt;0,(($W130)/(12)),0)</f>
        <v/>
      </c>
      <c r="AY130" s="702">
        <f>IF($P130&gt;0,(($W130)/(12)),0)</f>
        <v/>
      </c>
      <c r="AZ130" s="702">
        <f>IF($P130&gt;0,(($W130)/(12)),0)</f>
        <v/>
      </c>
      <c r="BA130" s="702">
        <f>IF($P130&gt;0,(($W130)/(12)),0)</f>
        <v/>
      </c>
      <c r="BB130" s="702">
        <f>IF($P130&gt;0,(($W130)/(12)),0)</f>
        <v/>
      </c>
      <c r="BC130" s="765">
        <f>SUM(AQ130:BB130)</f>
        <v/>
      </c>
      <c r="BD130" s="462" t="n"/>
      <c r="BE130" s="702">
        <f>IF($Q130&gt;0,(($X130)/(12)),0)</f>
        <v/>
      </c>
      <c r="BF130" s="702">
        <f>IF($Q130&gt;0,(($X130)/(12)),0)</f>
        <v/>
      </c>
      <c r="BG130" s="702">
        <f>IF($Q130&gt;0,(($X130)/(12)),0)</f>
        <v/>
      </c>
      <c r="BH130" s="702">
        <f>IF($Q130&gt;0,(($X130)/(12)),0)</f>
        <v/>
      </c>
      <c r="BI130" s="702">
        <f>IF($Q130&gt;0,(($X130)/(12)),0)</f>
        <v/>
      </c>
      <c r="BJ130" s="702">
        <f>IF($Q130&gt;0,(($X130)/(12)),0)</f>
        <v/>
      </c>
      <c r="BK130" s="702">
        <f>IF($Q130&gt;0,(($X130)/(12)),0)</f>
        <v/>
      </c>
      <c r="BL130" s="702">
        <f>IF($Q130&gt;0,(($X130)/(12)),0)</f>
        <v/>
      </c>
      <c r="BM130" s="702">
        <f>IF($Q130&gt;0,(($X130)/(12)),0)</f>
        <v/>
      </c>
      <c r="BN130" s="702">
        <f>IF($Q130&gt;0,(($X130)/(12)),0)</f>
        <v/>
      </c>
      <c r="BO130" s="702">
        <f>IF($Q130&gt;0,(($X130)/(12)),0)</f>
        <v/>
      </c>
      <c r="BP130" s="702">
        <f>IF($Q130&gt;0,(($X130)/(12)),0)</f>
        <v/>
      </c>
      <c r="BQ130" s="765">
        <f>SUM(BE130:BP130)</f>
        <v/>
      </c>
      <c r="BR130" s="507" t="n"/>
      <c r="BS130" s="702">
        <f>IF($R130&gt;0,(($Y130)/(12)),0)</f>
        <v/>
      </c>
      <c r="BT130" s="702">
        <f>IF($R130&gt;0,(($Y130)/(12)),0)</f>
        <v/>
      </c>
      <c r="BU130" s="702">
        <f>IF($R130&gt;0,(($Y130)/(12)),0)</f>
        <v/>
      </c>
      <c r="BV130" s="702">
        <f>IF($R130&gt;0,(($Y130)/(12)),0)</f>
        <v/>
      </c>
      <c r="BW130" s="702">
        <f>IF($R130&gt;0,(($Y130)/(12)),0)</f>
        <v/>
      </c>
      <c r="BX130" s="702">
        <f>IF($R130&gt;0,(($Y130)/(12)),0)</f>
        <v/>
      </c>
      <c r="BY130" s="702">
        <f>IF($R130&gt;0,(($Y130)/(12)),0)</f>
        <v/>
      </c>
      <c r="BZ130" s="702">
        <f>IF($R130&gt;0,(($Y130)/(12)),0)</f>
        <v/>
      </c>
      <c r="CA130" s="702">
        <f>IF($R130&gt;0,(($Y130)/(12)),0)</f>
        <v/>
      </c>
      <c r="CB130" s="702">
        <f>IF($R130&gt;0,(($Y130)/(12)),0)</f>
        <v/>
      </c>
      <c r="CC130" s="702">
        <f>IF($R130&gt;0,(($Y130)/(12)),0)</f>
        <v/>
      </c>
      <c r="CD130" s="702">
        <f>IF($R130&gt;0,(($Y130)/(12)),0)</f>
        <v/>
      </c>
      <c r="CE130" s="765">
        <f>SUM(BS130:CD130)</f>
        <v/>
      </c>
      <c r="CF130" s="507" t="n"/>
      <c r="CG130" s="702">
        <f>IF($S130&gt;0,(($Z130)/(12)),0)</f>
        <v/>
      </c>
      <c r="CH130" s="702">
        <f>IF($S130&gt;0,(($Z130)/(12)),0)</f>
        <v/>
      </c>
      <c r="CI130" s="702">
        <f>IF($S130&gt;0,(($Z130)/(12)),0)</f>
        <v/>
      </c>
      <c r="CJ130" s="702">
        <f>IF($S130&gt;0,(($Z130)/(12)),0)</f>
        <v/>
      </c>
      <c r="CK130" s="702">
        <f>IF($S130&gt;0,(($Z130)/(12)),0)</f>
        <v/>
      </c>
      <c r="CL130" s="702">
        <f>IF($S130&gt;0,(($Z130)/(12)),0)</f>
        <v/>
      </c>
      <c r="CM130" s="702">
        <f>IF($S130&gt;0,(($Z130)/(12)),0)</f>
        <v/>
      </c>
      <c r="CN130" s="702">
        <f>IF($S130&gt;0,(($Z130)/(12)),0)</f>
        <v/>
      </c>
      <c r="CO130" s="702">
        <f>IF($S130&gt;0,(($Z130)/(12)),0)</f>
        <v/>
      </c>
      <c r="CP130" s="702">
        <f>IF($S130&gt;0,(($Z130)/(12)),0)</f>
        <v/>
      </c>
      <c r="CQ130" s="702">
        <f>IF($S130&gt;0,(($Z130)/(12)),0)</f>
        <v/>
      </c>
      <c r="CR130" s="702">
        <f>IF($S130&gt;0,(($Z130)/(12)),0)</f>
        <v/>
      </c>
      <c r="CS130" s="765">
        <f>SUM(CG130:CR130)</f>
        <v/>
      </c>
      <c r="CU130" s="702">
        <f>IF($T130&gt;0,(($AA130)/(12)),0)</f>
        <v/>
      </c>
      <c r="CV130" s="702">
        <f>IF($T130&gt;0,(($AA130)/(12)),0)</f>
        <v/>
      </c>
      <c r="CW130" s="702">
        <f>IF($T130&gt;0,(($AA130)/(12)),0)</f>
        <v/>
      </c>
      <c r="CX130" s="702">
        <f>IF($T130&gt;0,(($AA130)/(12)),0)</f>
        <v/>
      </c>
      <c r="CY130" s="702">
        <f>IF($T130&gt;0,(($AA130)/(12)),0)</f>
        <v/>
      </c>
      <c r="CZ130" s="702">
        <f>IF($T130&gt;0,(($AA130)/(12)),0)</f>
        <v/>
      </c>
      <c r="DA130" s="702">
        <f>IF($T130&gt;0,(($AA130)/(12)),0)</f>
        <v/>
      </c>
      <c r="DB130" s="702">
        <f>IF($T130&gt;0,(($AA130)/(12)),0)</f>
        <v/>
      </c>
      <c r="DC130" s="702">
        <f>IF($T130&gt;0,(($AA130)/(12)),0)</f>
        <v/>
      </c>
      <c r="DD130" s="702">
        <f>IF($T130&gt;0,(($AA130)/(12)),0)</f>
        <v/>
      </c>
      <c r="DE130" s="702">
        <f>IF($T130&gt;0,(($AA130)/(12)),0)</f>
        <v/>
      </c>
      <c r="DF130" s="702">
        <f>IF($T130&gt;0,(($AA130)/(12)),0)</f>
        <v/>
      </c>
      <c r="DG130" s="765">
        <f>SUM(CU130:DF130)</f>
        <v/>
      </c>
    </row>
    <row r="131" ht="15" customHeight="1" s="1883">
      <c r="B131" s="752">
        <f>((B130)+(1))</f>
        <v/>
      </c>
      <c r="C131" s="726" t="n"/>
      <c r="D131" s="730" t="inlineStr">
        <is>
          <t>●</t>
        </is>
      </c>
      <c r="E131" s="736" t="inlineStr">
        <is>
          <t>TBD</t>
        </is>
      </c>
      <c r="F131" s="737" t="n"/>
      <c r="G131" s="737" t="n"/>
      <c r="H131" s="737" t="n"/>
      <c r="I131" s="736" t="inlineStr">
        <is>
          <t>Regional Director, Compliance</t>
        </is>
      </c>
      <c r="J131" s="746" t="inlineStr">
        <is>
          <t>OCONUS</t>
        </is>
      </c>
      <c r="K131" s="737" t="n"/>
      <c r="L131" s="753" t="n">
        <v>25</v>
      </c>
      <c r="M131" s="753" t="n">
        <v>25</v>
      </c>
      <c r="N131" s="744" t="n"/>
      <c r="O131" s="815" t="n"/>
      <c r="P131" s="756" t="n"/>
      <c r="Q131" s="756" t="n"/>
      <c r="R131" s="755" t="n">
        <v>0</v>
      </c>
      <c r="S131" s="755" t="n">
        <v>0</v>
      </c>
      <c r="T131" s="755" t="n">
        <v>0</v>
      </c>
      <c r="U131" s="737" t="n"/>
      <c r="V131" s="703" t="n">
        <v>0</v>
      </c>
      <c r="W131" s="701" t="n">
        <v>0</v>
      </c>
      <c r="X131" s="700">
        <f>((W131)*((1)+($X$63)))</f>
        <v/>
      </c>
      <c r="Y131" s="700">
        <f>((X131)*((1)+($Y$63)))</f>
        <v/>
      </c>
      <c r="Z131" s="700">
        <f>((Y131)*((1)+($Z$63)))</f>
        <v/>
      </c>
      <c r="AA131" s="700">
        <f>((Z131)*((1)+($AA$63)))</f>
        <v/>
      </c>
      <c r="AB131" s="726" t="n"/>
      <c r="AC131" s="768" t="n">
        <v>0</v>
      </c>
      <c r="AD131" s="768" t="n">
        <v>0</v>
      </c>
      <c r="AE131" s="768" t="n">
        <v>0</v>
      </c>
      <c r="AF131" s="768" t="n">
        <v>0</v>
      </c>
      <c r="AG131" s="768" t="n">
        <v>0</v>
      </c>
      <c r="AH131" s="768" t="n">
        <v>0</v>
      </c>
      <c r="AI131" s="768" t="n">
        <v>0</v>
      </c>
      <c r="AJ131" s="768" t="n">
        <v>0</v>
      </c>
      <c r="AK131" s="768" t="n">
        <v>0</v>
      </c>
      <c r="AL131" s="768" t="n">
        <v>0</v>
      </c>
      <c r="AM131" s="768" t="n">
        <v>0</v>
      </c>
      <c r="AN131" s="768" t="n">
        <v>0</v>
      </c>
      <c r="AO131" s="765">
        <f>SUM(AC131:AN131)</f>
        <v/>
      </c>
      <c r="AP131" s="462" t="n"/>
      <c r="AQ131" s="702">
        <f>IF($P131&gt;0,(($W131)/(12)),0)</f>
        <v/>
      </c>
      <c r="AR131" s="702">
        <f>IF($P131&gt;0,(($W131)/(12)),0)</f>
        <v/>
      </c>
      <c r="AS131" s="702">
        <f>IF($P131&gt;0,(($W131)/(12)),0)</f>
        <v/>
      </c>
      <c r="AT131" s="702">
        <f>IF($P131&gt;0,(($W131)/(12)),0)</f>
        <v/>
      </c>
      <c r="AU131" s="702">
        <f>IF($P131&gt;0,(($W131)/(12)),0)</f>
        <v/>
      </c>
      <c r="AV131" s="702">
        <f>IF($P131&gt;0,(($W131)/(12)),0)</f>
        <v/>
      </c>
      <c r="AW131" s="702">
        <f>IF($P131&gt;0,(($W131)/(12)),0)</f>
        <v/>
      </c>
      <c r="AX131" s="702">
        <f>IF($P131&gt;0,(($W131)/(12)),0)</f>
        <v/>
      </c>
      <c r="AY131" s="702">
        <f>IF($P131&gt;0,(($W131)/(12)),0)</f>
        <v/>
      </c>
      <c r="AZ131" s="702">
        <f>IF($P131&gt;0,(($W131)/(12)),0)</f>
        <v/>
      </c>
      <c r="BA131" s="702">
        <f>IF($P131&gt;0,(($W131)/(12)),0)</f>
        <v/>
      </c>
      <c r="BB131" s="702">
        <f>IF($P131&gt;0,(($W131)/(12)),0)</f>
        <v/>
      </c>
      <c r="BC131" s="765">
        <f>SUM(AQ131:BB131)</f>
        <v/>
      </c>
      <c r="BD131" s="462" t="n"/>
      <c r="BE131" s="702">
        <f>IF($Q131&gt;0,(($X131)/(12)),0)</f>
        <v/>
      </c>
      <c r="BF131" s="702">
        <f>IF($Q131&gt;0,(($X131)/(12)),0)</f>
        <v/>
      </c>
      <c r="BG131" s="702">
        <f>IF($Q131&gt;0,(($X131)/(12)),0)</f>
        <v/>
      </c>
      <c r="BH131" s="702">
        <f>IF($Q131&gt;0,(($X131)/(12)),0)</f>
        <v/>
      </c>
      <c r="BI131" s="702">
        <f>IF($Q131&gt;0,(($X131)/(12)),0)</f>
        <v/>
      </c>
      <c r="BJ131" s="702">
        <f>IF($Q131&gt;0,(($X131)/(12)),0)</f>
        <v/>
      </c>
      <c r="BK131" s="702">
        <f>IF($Q131&gt;0,(($X131)/(12)),0)</f>
        <v/>
      </c>
      <c r="BL131" s="702">
        <f>IF($Q131&gt;0,(($X131)/(12)),0)</f>
        <v/>
      </c>
      <c r="BM131" s="702">
        <f>IF($Q131&gt;0,(($X131)/(12)),0)</f>
        <v/>
      </c>
      <c r="BN131" s="702">
        <f>IF($Q131&gt;0,(($X131)/(12)),0)</f>
        <v/>
      </c>
      <c r="BO131" s="702">
        <f>IF($Q131&gt;0,(($X131)/(12)),0)</f>
        <v/>
      </c>
      <c r="BP131" s="702">
        <f>IF($Q131&gt;0,(($X131)/(12)),0)</f>
        <v/>
      </c>
      <c r="BQ131" s="765">
        <f>SUM(BE131:BP131)</f>
        <v/>
      </c>
      <c r="BR131" s="507" t="n"/>
      <c r="BS131" s="702">
        <f>IF($R131&gt;0,(($Y131)/(12)),0)</f>
        <v/>
      </c>
      <c r="BT131" s="702">
        <f>IF($R131&gt;0,(($Y131)/(12)),0)</f>
        <v/>
      </c>
      <c r="BU131" s="702">
        <f>IF($R131&gt;0,(($Y131)/(12)),0)</f>
        <v/>
      </c>
      <c r="BV131" s="702">
        <f>IF($R131&gt;0,(($Y131)/(12)),0)</f>
        <v/>
      </c>
      <c r="BW131" s="702">
        <f>IF($R131&gt;0,(($Y131)/(12)),0)</f>
        <v/>
      </c>
      <c r="BX131" s="702">
        <f>IF($R131&gt;0,(($Y131)/(12)),0)</f>
        <v/>
      </c>
      <c r="BY131" s="702">
        <f>IF($R131&gt;0,(($Y131)/(12)),0)</f>
        <v/>
      </c>
      <c r="BZ131" s="702">
        <f>IF($R131&gt;0,(($Y131)/(12)),0)</f>
        <v/>
      </c>
      <c r="CA131" s="702">
        <f>IF($R131&gt;0,(($Y131)/(12)),0)</f>
        <v/>
      </c>
      <c r="CB131" s="702">
        <f>IF($R131&gt;0,(($Y131)/(12)),0)</f>
        <v/>
      </c>
      <c r="CC131" s="702">
        <f>IF($R131&gt;0,(($Y131)/(12)),0)</f>
        <v/>
      </c>
      <c r="CD131" s="702">
        <f>IF($R131&gt;0,(($Y131)/(12)),0)</f>
        <v/>
      </c>
      <c r="CE131" s="765">
        <f>SUM(BS131:CD131)</f>
        <v/>
      </c>
      <c r="CF131" s="507" t="n"/>
      <c r="CG131" s="702">
        <f>IF($S131&gt;0,(($Z131)/(12)),0)</f>
        <v/>
      </c>
      <c r="CH131" s="702">
        <f>IF($S131&gt;0,(($Z131)/(12)),0)</f>
        <v/>
      </c>
      <c r="CI131" s="702">
        <f>IF($S131&gt;0,(($Z131)/(12)),0)</f>
        <v/>
      </c>
      <c r="CJ131" s="702">
        <f>IF($S131&gt;0,(($Z131)/(12)),0)</f>
        <v/>
      </c>
      <c r="CK131" s="702">
        <f>IF($S131&gt;0,(($Z131)/(12)),0)</f>
        <v/>
      </c>
      <c r="CL131" s="702">
        <f>IF($S131&gt;0,(($Z131)/(12)),0)</f>
        <v/>
      </c>
      <c r="CM131" s="702">
        <f>IF($S131&gt;0,(($Z131)/(12)),0)</f>
        <v/>
      </c>
      <c r="CN131" s="702">
        <f>IF($S131&gt;0,(($Z131)/(12)),0)</f>
        <v/>
      </c>
      <c r="CO131" s="702">
        <f>IF($S131&gt;0,(($Z131)/(12)),0)</f>
        <v/>
      </c>
      <c r="CP131" s="702">
        <f>IF($S131&gt;0,(($Z131)/(12)),0)</f>
        <v/>
      </c>
      <c r="CQ131" s="702">
        <f>IF($S131&gt;0,(($Z131)/(12)),0)</f>
        <v/>
      </c>
      <c r="CR131" s="702">
        <f>IF($S131&gt;0,(($Z131)/(12)),0)</f>
        <v/>
      </c>
      <c r="CS131" s="765">
        <f>SUM(CG131:CR131)</f>
        <v/>
      </c>
      <c r="CU131" s="702">
        <f>IF($T131&gt;0,(($AA131)/(12)),0)</f>
        <v/>
      </c>
      <c r="CV131" s="702">
        <f>IF($T131&gt;0,(($AA131)/(12)),0)</f>
        <v/>
      </c>
      <c r="CW131" s="702">
        <f>IF($T131&gt;0,(($AA131)/(12)),0)</f>
        <v/>
      </c>
      <c r="CX131" s="702">
        <f>IF($T131&gt;0,(($AA131)/(12)),0)</f>
        <v/>
      </c>
      <c r="CY131" s="702">
        <f>IF($T131&gt;0,(($AA131)/(12)),0)</f>
        <v/>
      </c>
      <c r="CZ131" s="702">
        <f>IF($T131&gt;0,(($AA131)/(12)),0)</f>
        <v/>
      </c>
      <c r="DA131" s="702">
        <f>IF($T131&gt;0,(($AA131)/(12)),0)</f>
        <v/>
      </c>
      <c r="DB131" s="702">
        <f>IF($T131&gt;0,(($AA131)/(12)),0)</f>
        <v/>
      </c>
      <c r="DC131" s="702">
        <f>IF($T131&gt;0,(($AA131)/(12)),0)</f>
        <v/>
      </c>
      <c r="DD131" s="702">
        <f>IF($T131&gt;0,(($AA131)/(12)),0)</f>
        <v/>
      </c>
      <c r="DE131" s="702">
        <f>IF($T131&gt;0,(($AA131)/(12)),0)</f>
        <v/>
      </c>
      <c r="DF131" s="702">
        <f>IF($T131&gt;0,(($AA131)/(12)),0)</f>
        <v/>
      </c>
      <c r="DG131" s="765">
        <f>SUM(CU131:DF131)</f>
        <v/>
      </c>
    </row>
    <row r="132" ht="15" customHeight="1" s="1883">
      <c r="B132" s="752">
        <f>((B131)+(1))</f>
        <v/>
      </c>
      <c r="C132" s="726" t="n"/>
      <c r="D132" s="730" t="inlineStr">
        <is>
          <t>●</t>
        </is>
      </c>
      <c r="E132" s="736" t="inlineStr">
        <is>
          <t>TBD</t>
        </is>
      </c>
      <c r="F132" s="737" t="n"/>
      <c r="G132" s="737" t="n"/>
      <c r="H132" s="737" t="n"/>
      <c r="I132" s="736" t="inlineStr">
        <is>
          <t>Regional Director, Compliance</t>
        </is>
      </c>
      <c r="J132" s="746" t="inlineStr">
        <is>
          <t>OCONUS</t>
        </is>
      </c>
      <c r="K132" s="737" t="n"/>
      <c r="L132" s="753" t="n">
        <v>25</v>
      </c>
      <c r="M132" s="753" t="n">
        <v>25</v>
      </c>
      <c r="N132" s="744" t="n"/>
      <c r="O132" s="815" t="n"/>
      <c r="P132" s="756" t="n"/>
      <c r="Q132" s="756" t="n"/>
      <c r="R132" s="755" t="n">
        <v>0</v>
      </c>
      <c r="S132" s="755" t="n">
        <v>0</v>
      </c>
      <c r="T132" s="755" t="n">
        <v>0</v>
      </c>
      <c r="U132" s="737" t="n"/>
      <c r="V132" s="703" t="n">
        <v>0</v>
      </c>
      <c r="W132" s="701" t="n">
        <v>0</v>
      </c>
      <c r="X132" s="700">
        <f>((W132)*((1)+($X$63)))</f>
        <v/>
      </c>
      <c r="Y132" s="700">
        <f>((X132)*((1)+($Y$63)))</f>
        <v/>
      </c>
      <c r="Z132" s="700">
        <f>((Y132)*((1)+($Z$63)))</f>
        <v/>
      </c>
      <c r="AA132" s="700">
        <f>((Z132)*((1)+($AA$63)))</f>
        <v/>
      </c>
      <c r="AB132" s="726" t="n"/>
      <c r="AC132" s="768" t="n">
        <v>0</v>
      </c>
      <c r="AD132" s="768" t="n">
        <v>0</v>
      </c>
      <c r="AE132" s="768" t="n">
        <v>0</v>
      </c>
      <c r="AF132" s="768" t="n">
        <v>0</v>
      </c>
      <c r="AG132" s="768" t="n">
        <v>0</v>
      </c>
      <c r="AH132" s="768" t="n">
        <v>0</v>
      </c>
      <c r="AI132" s="768" t="n">
        <v>0</v>
      </c>
      <c r="AJ132" s="768" t="n">
        <v>0</v>
      </c>
      <c r="AK132" s="768" t="n">
        <v>0</v>
      </c>
      <c r="AL132" s="768" t="n">
        <v>0</v>
      </c>
      <c r="AM132" s="768" t="n">
        <v>0</v>
      </c>
      <c r="AN132" s="768" t="n">
        <v>0</v>
      </c>
      <c r="AO132" s="765">
        <f>SUM(AC132:AN132)</f>
        <v/>
      </c>
      <c r="AP132" s="462" t="n"/>
      <c r="AQ132" s="702">
        <f>IF($P132&gt;0,(($W132)/(12)),0)</f>
        <v/>
      </c>
      <c r="AR132" s="702">
        <f>IF($P132&gt;0,(($W132)/(12)),0)</f>
        <v/>
      </c>
      <c r="AS132" s="702">
        <f>IF($P132&gt;0,(($W132)/(12)),0)</f>
        <v/>
      </c>
      <c r="AT132" s="702">
        <f>IF($P132&gt;0,(($W132)/(12)),0)</f>
        <v/>
      </c>
      <c r="AU132" s="702">
        <f>IF($P132&gt;0,(($W132)/(12)),0)</f>
        <v/>
      </c>
      <c r="AV132" s="702">
        <f>IF($P132&gt;0,(($W132)/(12)),0)</f>
        <v/>
      </c>
      <c r="AW132" s="702">
        <f>IF($P132&gt;0,(($W132)/(12)),0)</f>
        <v/>
      </c>
      <c r="AX132" s="702">
        <f>IF($P132&gt;0,(($W132)/(12)),0)</f>
        <v/>
      </c>
      <c r="AY132" s="702">
        <f>IF($P132&gt;0,(($W132)/(12)),0)</f>
        <v/>
      </c>
      <c r="AZ132" s="702">
        <f>IF($P132&gt;0,(($W132)/(12)),0)</f>
        <v/>
      </c>
      <c r="BA132" s="702">
        <f>IF($P132&gt;0,(($W132)/(12)),0)</f>
        <v/>
      </c>
      <c r="BB132" s="702">
        <f>IF($P132&gt;0,(($W132)/(12)),0)</f>
        <v/>
      </c>
      <c r="BC132" s="765">
        <f>SUM(AQ132:BB132)</f>
        <v/>
      </c>
      <c r="BD132" s="462" t="n"/>
      <c r="BE132" s="702">
        <f>IF($Q132&gt;0,(($X132)/(12)),0)</f>
        <v/>
      </c>
      <c r="BF132" s="702">
        <f>IF($Q132&gt;0,(($X132)/(12)),0)</f>
        <v/>
      </c>
      <c r="BG132" s="702">
        <f>IF($Q132&gt;0,(($X132)/(12)),0)</f>
        <v/>
      </c>
      <c r="BH132" s="702">
        <f>IF($Q132&gt;0,(($X132)/(12)),0)</f>
        <v/>
      </c>
      <c r="BI132" s="702">
        <f>IF($Q132&gt;0,(($X132)/(12)),0)</f>
        <v/>
      </c>
      <c r="BJ132" s="702">
        <f>IF($Q132&gt;0,(($X132)/(12)),0)</f>
        <v/>
      </c>
      <c r="BK132" s="702">
        <f>IF($Q132&gt;0,(($X132)/(12)),0)</f>
        <v/>
      </c>
      <c r="BL132" s="702">
        <f>IF($Q132&gt;0,(($X132)/(12)),0)</f>
        <v/>
      </c>
      <c r="BM132" s="702">
        <f>IF($Q132&gt;0,(($X132)/(12)),0)</f>
        <v/>
      </c>
      <c r="BN132" s="702">
        <f>IF($Q132&gt;0,(($X132)/(12)),0)</f>
        <v/>
      </c>
      <c r="BO132" s="702">
        <f>IF($Q132&gt;0,(($X132)/(12)),0)</f>
        <v/>
      </c>
      <c r="BP132" s="702">
        <f>IF($Q132&gt;0,(($X132)/(12)),0)</f>
        <v/>
      </c>
      <c r="BQ132" s="765">
        <f>SUM(BE132:BP132)</f>
        <v/>
      </c>
      <c r="BR132" s="507" t="n"/>
      <c r="BS132" s="702">
        <f>IF($R132&gt;0,(($Y132)/(12)),0)</f>
        <v/>
      </c>
      <c r="BT132" s="702">
        <f>IF($R132&gt;0,(($Y132)/(12)),0)</f>
        <v/>
      </c>
      <c r="BU132" s="702">
        <f>IF($R132&gt;0,(($Y132)/(12)),0)</f>
        <v/>
      </c>
      <c r="BV132" s="702">
        <f>IF($R132&gt;0,(($Y132)/(12)),0)</f>
        <v/>
      </c>
      <c r="BW132" s="702">
        <f>IF($R132&gt;0,(($Y132)/(12)),0)</f>
        <v/>
      </c>
      <c r="BX132" s="702">
        <f>IF($R132&gt;0,(($Y132)/(12)),0)</f>
        <v/>
      </c>
      <c r="BY132" s="702">
        <f>IF($R132&gt;0,(($Y132)/(12)),0)</f>
        <v/>
      </c>
      <c r="BZ132" s="702">
        <f>IF($R132&gt;0,(($Y132)/(12)),0)</f>
        <v/>
      </c>
      <c r="CA132" s="702">
        <f>IF($R132&gt;0,(($Y132)/(12)),0)</f>
        <v/>
      </c>
      <c r="CB132" s="702">
        <f>IF($R132&gt;0,(($Y132)/(12)),0)</f>
        <v/>
      </c>
      <c r="CC132" s="702">
        <f>IF($R132&gt;0,(($Y132)/(12)),0)</f>
        <v/>
      </c>
      <c r="CD132" s="702">
        <f>IF($R132&gt;0,(($Y132)/(12)),0)</f>
        <v/>
      </c>
      <c r="CE132" s="765">
        <f>SUM(BS132:CD132)</f>
        <v/>
      </c>
      <c r="CF132" s="507" t="n"/>
      <c r="CG132" s="702">
        <f>IF($S132&gt;0,(($Z132)/(12)),0)</f>
        <v/>
      </c>
      <c r="CH132" s="702">
        <f>IF($S132&gt;0,(($Z132)/(12)),0)</f>
        <v/>
      </c>
      <c r="CI132" s="702">
        <f>IF($S132&gt;0,(($Z132)/(12)),0)</f>
        <v/>
      </c>
      <c r="CJ132" s="702">
        <f>IF($S132&gt;0,(($Z132)/(12)),0)</f>
        <v/>
      </c>
      <c r="CK132" s="702">
        <f>IF($S132&gt;0,(($Z132)/(12)),0)</f>
        <v/>
      </c>
      <c r="CL132" s="702">
        <f>IF($S132&gt;0,(($Z132)/(12)),0)</f>
        <v/>
      </c>
      <c r="CM132" s="702">
        <f>IF($S132&gt;0,(($Z132)/(12)),0)</f>
        <v/>
      </c>
      <c r="CN132" s="702">
        <f>IF($S132&gt;0,(($Z132)/(12)),0)</f>
        <v/>
      </c>
      <c r="CO132" s="702">
        <f>IF($S132&gt;0,(($Z132)/(12)),0)</f>
        <v/>
      </c>
      <c r="CP132" s="702">
        <f>IF($S132&gt;0,(($Z132)/(12)),0)</f>
        <v/>
      </c>
      <c r="CQ132" s="702">
        <f>IF($S132&gt;0,(($Z132)/(12)),0)</f>
        <v/>
      </c>
      <c r="CR132" s="702">
        <f>IF($S132&gt;0,(($Z132)/(12)),0)</f>
        <v/>
      </c>
      <c r="CS132" s="765">
        <f>SUM(CG132:CR132)</f>
        <v/>
      </c>
      <c r="CU132" s="702">
        <f>IF($T132&gt;0,(($AA132)/(12)),0)</f>
        <v/>
      </c>
      <c r="CV132" s="702">
        <f>IF($T132&gt;0,(($AA132)/(12)),0)</f>
        <v/>
      </c>
      <c r="CW132" s="702">
        <f>IF($T132&gt;0,(($AA132)/(12)),0)</f>
        <v/>
      </c>
      <c r="CX132" s="702">
        <f>IF($T132&gt;0,(($AA132)/(12)),0)</f>
        <v/>
      </c>
      <c r="CY132" s="702">
        <f>IF($T132&gt;0,(($AA132)/(12)),0)</f>
        <v/>
      </c>
      <c r="CZ132" s="702">
        <f>IF($T132&gt;0,(($AA132)/(12)),0)</f>
        <v/>
      </c>
      <c r="DA132" s="702">
        <f>IF($T132&gt;0,(($AA132)/(12)),0)</f>
        <v/>
      </c>
      <c r="DB132" s="702">
        <f>IF($T132&gt;0,(($AA132)/(12)),0)</f>
        <v/>
      </c>
      <c r="DC132" s="702">
        <f>IF($T132&gt;0,(($AA132)/(12)),0)</f>
        <v/>
      </c>
      <c r="DD132" s="702">
        <f>IF($T132&gt;0,(($AA132)/(12)),0)</f>
        <v/>
      </c>
      <c r="DE132" s="702">
        <f>IF($T132&gt;0,(($AA132)/(12)),0)</f>
        <v/>
      </c>
      <c r="DF132" s="702">
        <f>IF($T132&gt;0,(($AA132)/(12)),0)</f>
        <v/>
      </c>
      <c r="DG132" s="765">
        <f>SUM(CU132:DF132)</f>
        <v/>
      </c>
    </row>
    <row r="133" ht="15" customHeight="1" s="1883">
      <c r="B133" s="752">
        <f>((B132)+(1))</f>
        <v/>
      </c>
      <c r="C133" s="726" t="n"/>
      <c r="D133" s="730" t="inlineStr">
        <is>
          <t>●</t>
        </is>
      </c>
      <c r="E133" s="736" t="inlineStr">
        <is>
          <t>TBD</t>
        </is>
      </c>
      <c r="F133" s="737" t="n"/>
      <c r="G133" s="737" t="n"/>
      <c r="H133" s="737" t="n"/>
      <c r="I133" s="736" t="inlineStr">
        <is>
          <t>Regional Director, Compliance</t>
        </is>
      </c>
      <c r="J133" s="746" t="inlineStr">
        <is>
          <t>OCONUS</t>
        </is>
      </c>
      <c r="K133" s="737" t="n"/>
      <c r="L133" s="753" t="n">
        <v>37</v>
      </c>
      <c r="M133" s="753" t="n">
        <v>37</v>
      </c>
      <c r="N133" s="744" t="n"/>
      <c r="O133" s="815" t="n"/>
      <c r="P133" s="756" t="n"/>
      <c r="Q133" s="756" t="n"/>
      <c r="R133" s="756" t="n"/>
      <c r="S133" s="755" t="n">
        <v>0</v>
      </c>
      <c r="T133" s="755" t="n">
        <v>0</v>
      </c>
      <c r="U133" s="737" t="n"/>
      <c r="V133" s="703" t="n">
        <v>0</v>
      </c>
      <c r="W133" s="701" t="n">
        <v>0</v>
      </c>
      <c r="X133" s="700">
        <f>((W133)*((1)+($X$63)))</f>
        <v/>
      </c>
      <c r="Y133" s="700">
        <f>((X133)*((1)+($Y$63)))</f>
        <v/>
      </c>
      <c r="Z133" s="700">
        <f>((Y133)*((1)+($Z$63)))</f>
        <v/>
      </c>
      <c r="AA133" s="700">
        <f>((Z133)*((1)+($AA$63)))</f>
        <v/>
      </c>
      <c r="AB133" s="726" t="n"/>
      <c r="AC133" s="768" t="n">
        <v>0</v>
      </c>
      <c r="AD133" s="768" t="n">
        <v>0</v>
      </c>
      <c r="AE133" s="768" t="n">
        <v>0</v>
      </c>
      <c r="AF133" s="768" t="n">
        <v>0</v>
      </c>
      <c r="AG133" s="768" t="n">
        <v>0</v>
      </c>
      <c r="AH133" s="768" t="n">
        <v>0</v>
      </c>
      <c r="AI133" s="768" t="n">
        <v>0</v>
      </c>
      <c r="AJ133" s="768" t="n">
        <v>0</v>
      </c>
      <c r="AK133" s="768" t="n">
        <v>0</v>
      </c>
      <c r="AL133" s="768" t="n">
        <v>0</v>
      </c>
      <c r="AM133" s="768" t="n">
        <v>0</v>
      </c>
      <c r="AN133" s="768" t="n">
        <v>0</v>
      </c>
      <c r="AO133" s="765">
        <f>SUM(AC133:AN133)</f>
        <v/>
      </c>
      <c r="AP133" s="462" t="n"/>
      <c r="AQ133" s="702">
        <f>IF($P133&gt;0,(($W133)/(12)),0)</f>
        <v/>
      </c>
      <c r="AR133" s="702">
        <f>IF($P133&gt;0,(($W133)/(12)),0)</f>
        <v/>
      </c>
      <c r="AS133" s="702">
        <f>IF($P133&gt;0,(($W133)/(12)),0)</f>
        <v/>
      </c>
      <c r="AT133" s="702">
        <f>IF($P133&gt;0,(($W133)/(12)),0)</f>
        <v/>
      </c>
      <c r="AU133" s="702">
        <f>IF($P133&gt;0,(($W133)/(12)),0)</f>
        <v/>
      </c>
      <c r="AV133" s="702">
        <f>IF($P133&gt;0,(($W133)/(12)),0)</f>
        <v/>
      </c>
      <c r="AW133" s="702">
        <f>IF($P133&gt;0,(($W133)/(12)),0)</f>
        <v/>
      </c>
      <c r="AX133" s="702">
        <f>IF($P133&gt;0,(($W133)/(12)),0)</f>
        <v/>
      </c>
      <c r="AY133" s="702">
        <f>IF($P133&gt;0,(($W133)/(12)),0)</f>
        <v/>
      </c>
      <c r="AZ133" s="702">
        <f>IF($P133&gt;0,(($W133)/(12)),0)</f>
        <v/>
      </c>
      <c r="BA133" s="702">
        <f>IF($P133&gt;0,(($W133)/(12)),0)</f>
        <v/>
      </c>
      <c r="BB133" s="702">
        <f>IF($P133&gt;0,(($W133)/(12)),0)</f>
        <v/>
      </c>
      <c r="BC133" s="765">
        <f>SUM(AQ133:BB133)</f>
        <v/>
      </c>
      <c r="BD133" s="462" t="n"/>
      <c r="BE133" s="702">
        <f>IF($Q133&gt;0,(($X133)/(12)),0)</f>
        <v/>
      </c>
      <c r="BF133" s="702">
        <f>IF($Q133&gt;0,(($X133)/(12)),0)</f>
        <v/>
      </c>
      <c r="BG133" s="702">
        <f>IF($Q133&gt;0,(($X133)/(12)),0)</f>
        <v/>
      </c>
      <c r="BH133" s="702">
        <f>IF($Q133&gt;0,(($X133)/(12)),0)</f>
        <v/>
      </c>
      <c r="BI133" s="702">
        <f>IF($Q133&gt;0,(($X133)/(12)),0)</f>
        <v/>
      </c>
      <c r="BJ133" s="702">
        <f>IF($Q133&gt;0,(($X133)/(12)),0)</f>
        <v/>
      </c>
      <c r="BK133" s="702">
        <f>IF($Q133&gt;0,(($X133)/(12)),0)</f>
        <v/>
      </c>
      <c r="BL133" s="702">
        <f>IF($Q133&gt;0,(($X133)/(12)),0)</f>
        <v/>
      </c>
      <c r="BM133" s="702">
        <f>IF($Q133&gt;0,(($X133)/(12)),0)</f>
        <v/>
      </c>
      <c r="BN133" s="702">
        <f>IF($Q133&gt;0,(($X133)/(12)),0)</f>
        <v/>
      </c>
      <c r="BO133" s="702">
        <f>IF($Q133&gt;0,(($X133)/(12)),0)</f>
        <v/>
      </c>
      <c r="BP133" s="702">
        <f>IF($Q133&gt;0,(($X133)/(12)),0)</f>
        <v/>
      </c>
      <c r="BQ133" s="765">
        <f>SUM(BE133:BP133)</f>
        <v/>
      </c>
      <c r="BR133" s="507" t="n"/>
      <c r="BS133" s="702">
        <f>IF($R133&gt;0,(($Y133)/(12)),0)</f>
        <v/>
      </c>
      <c r="BT133" s="702">
        <f>IF($R133&gt;0,(($Y133)/(12)),0)</f>
        <v/>
      </c>
      <c r="BU133" s="702">
        <f>IF($R133&gt;0,(($Y133)/(12)),0)</f>
        <v/>
      </c>
      <c r="BV133" s="702">
        <f>IF($R133&gt;0,(($Y133)/(12)),0)</f>
        <v/>
      </c>
      <c r="BW133" s="702">
        <f>IF($R133&gt;0,(($Y133)/(12)),0)</f>
        <v/>
      </c>
      <c r="BX133" s="702">
        <f>IF($R133&gt;0,(($Y133)/(12)),0)</f>
        <v/>
      </c>
      <c r="BY133" s="702">
        <f>IF($R133&gt;0,(($Y133)/(12)),0)</f>
        <v/>
      </c>
      <c r="BZ133" s="702">
        <f>IF($R133&gt;0,(($Y133)/(12)),0)</f>
        <v/>
      </c>
      <c r="CA133" s="702">
        <f>IF($R133&gt;0,(($Y133)/(12)),0)</f>
        <v/>
      </c>
      <c r="CB133" s="702">
        <f>IF($R133&gt;0,(($Y133)/(12)),0)</f>
        <v/>
      </c>
      <c r="CC133" s="702">
        <f>IF($R133&gt;0,(($Y133)/(12)),0)</f>
        <v/>
      </c>
      <c r="CD133" s="702">
        <f>IF($R133&gt;0,(($Y133)/(12)),0)</f>
        <v/>
      </c>
      <c r="CE133" s="765">
        <f>SUM(BS133:CD133)</f>
        <v/>
      </c>
      <c r="CF133" s="507" t="n"/>
      <c r="CG133" s="702">
        <f>IF($S133&gt;0,(($Z133)/(12)),0)</f>
        <v/>
      </c>
      <c r="CH133" s="702">
        <f>IF($S133&gt;0,(($Z133)/(12)),0)</f>
        <v/>
      </c>
      <c r="CI133" s="702">
        <f>IF($S133&gt;0,(($Z133)/(12)),0)</f>
        <v/>
      </c>
      <c r="CJ133" s="702">
        <f>IF($S133&gt;0,(($Z133)/(12)),0)</f>
        <v/>
      </c>
      <c r="CK133" s="702">
        <f>IF($S133&gt;0,(($Z133)/(12)),0)</f>
        <v/>
      </c>
      <c r="CL133" s="702">
        <f>IF($S133&gt;0,(($Z133)/(12)),0)</f>
        <v/>
      </c>
      <c r="CM133" s="702">
        <f>IF($S133&gt;0,(($Z133)/(12)),0)</f>
        <v/>
      </c>
      <c r="CN133" s="702">
        <f>IF($S133&gt;0,(($Z133)/(12)),0)</f>
        <v/>
      </c>
      <c r="CO133" s="702">
        <f>IF($S133&gt;0,(($Z133)/(12)),0)</f>
        <v/>
      </c>
      <c r="CP133" s="702">
        <f>IF($S133&gt;0,(($Z133)/(12)),0)</f>
        <v/>
      </c>
      <c r="CQ133" s="702">
        <f>IF($S133&gt;0,(($Z133)/(12)),0)</f>
        <v/>
      </c>
      <c r="CR133" s="702">
        <f>IF($S133&gt;0,(($Z133)/(12)),0)</f>
        <v/>
      </c>
      <c r="CS133" s="765">
        <f>SUM(CG133:CR133)</f>
        <v/>
      </c>
      <c r="CU133" s="702">
        <f>IF($T133&gt;0,(($AA133)/(12)),0)</f>
        <v/>
      </c>
      <c r="CV133" s="702">
        <f>IF($T133&gt;0,(($AA133)/(12)),0)</f>
        <v/>
      </c>
      <c r="CW133" s="702">
        <f>IF($T133&gt;0,(($AA133)/(12)),0)</f>
        <v/>
      </c>
      <c r="CX133" s="702">
        <f>IF($T133&gt;0,(($AA133)/(12)),0)</f>
        <v/>
      </c>
      <c r="CY133" s="702">
        <f>IF($T133&gt;0,(($AA133)/(12)),0)</f>
        <v/>
      </c>
      <c r="CZ133" s="702">
        <f>IF($T133&gt;0,(($AA133)/(12)),0)</f>
        <v/>
      </c>
      <c r="DA133" s="702">
        <f>IF($T133&gt;0,(($AA133)/(12)),0)</f>
        <v/>
      </c>
      <c r="DB133" s="702">
        <f>IF($T133&gt;0,(($AA133)/(12)),0)</f>
        <v/>
      </c>
      <c r="DC133" s="702">
        <f>IF($T133&gt;0,(($AA133)/(12)),0)</f>
        <v/>
      </c>
      <c r="DD133" s="702">
        <f>IF($T133&gt;0,(($AA133)/(12)),0)</f>
        <v/>
      </c>
      <c r="DE133" s="702">
        <f>IF($T133&gt;0,(($AA133)/(12)),0)</f>
        <v/>
      </c>
      <c r="DF133" s="702">
        <f>IF($T133&gt;0,(($AA133)/(12)),0)</f>
        <v/>
      </c>
      <c r="DG133" s="765">
        <f>SUM(CU133:DF133)</f>
        <v/>
      </c>
    </row>
    <row r="134" ht="15" customHeight="1" s="1883">
      <c r="B134" s="752">
        <f>((B133)+(1))</f>
        <v/>
      </c>
      <c r="C134" s="726" t="n"/>
      <c r="D134" s="730" t="inlineStr">
        <is>
          <t>●</t>
        </is>
      </c>
      <c r="E134" s="736" t="inlineStr">
        <is>
          <t>TBD</t>
        </is>
      </c>
      <c r="F134" s="737" t="n"/>
      <c r="G134" s="737" t="n"/>
      <c r="H134" s="737" t="n"/>
      <c r="I134" s="736" t="inlineStr">
        <is>
          <t>Regional Director, Compliance</t>
        </is>
      </c>
      <c r="J134" s="746" t="inlineStr">
        <is>
          <t>OCONUS</t>
        </is>
      </c>
      <c r="K134" s="737" t="n"/>
      <c r="L134" s="753" t="n">
        <v>37</v>
      </c>
      <c r="M134" s="753" t="n">
        <v>37</v>
      </c>
      <c r="N134" s="744" t="n"/>
      <c r="O134" s="815" t="n"/>
      <c r="P134" s="756" t="n"/>
      <c r="Q134" s="756" t="n"/>
      <c r="R134" s="756" t="n"/>
      <c r="S134" s="755" t="n">
        <v>0</v>
      </c>
      <c r="T134" s="755" t="n">
        <v>0</v>
      </c>
      <c r="U134" s="737" t="n"/>
      <c r="V134" s="703" t="n">
        <v>0</v>
      </c>
      <c r="W134" s="701" t="n">
        <v>0</v>
      </c>
      <c r="X134" s="700">
        <f>((W134)*((1)+($X$63)))</f>
        <v/>
      </c>
      <c r="Y134" s="700">
        <f>((X134)*((1)+($Y$63)))</f>
        <v/>
      </c>
      <c r="Z134" s="700">
        <f>((Y134)*((1)+($Z$63)))</f>
        <v/>
      </c>
      <c r="AA134" s="700">
        <f>((Z134)*((1)+($AA$63)))</f>
        <v/>
      </c>
      <c r="AB134" s="726" t="n"/>
      <c r="AC134" s="768" t="n">
        <v>0</v>
      </c>
      <c r="AD134" s="768" t="n">
        <v>0</v>
      </c>
      <c r="AE134" s="768" t="n">
        <v>0</v>
      </c>
      <c r="AF134" s="768" t="n">
        <v>0</v>
      </c>
      <c r="AG134" s="768" t="n">
        <v>0</v>
      </c>
      <c r="AH134" s="768" t="n">
        <v>0</v>
      </c>
      <c r="AI134" s="768" t="n">
        <v>0</v>
      </c>
      <c r="AJ134" s="768" t="n">
        <v>0</v>
      </c>
      <c r="AK134" s="768" t="n">
        <v>0</v>
      </c>
      <c r="AL134" s="768" t="n">
        <v>0</v>
      </c>
      <c r="AM134" s="768" t="n">
        <v>0</v>
      </c>
      <c r="AN134" s="768" t="n">
        <v>0</v>
      </c>
      <c r="AO134" s="765">
        <f>SUM(AC134:AN134)</f>
        <v/>
      </c>
      <c r="AP134" s="462" t="n"/>
      <c r="AQ134" s="702">
        <f>IF($P134&gt;0,(($W134)/(12)),0)</f>
        <v/>
      </c>
      <c r="AR134" s="702">
        <f>IF($P134&gt;0,(($W134)/(12)),0)</f>
        <v/>
      </c>
      <c r="AS134" s="702">
        <f>IF($P134&gt;0,(($W134)/(12)),0)</f>
        <v/>
      </c>
      <c r="AT134" s="702">
        <f>IF($P134&gt;0,(($W134)/(12)),0)</f>
        <v/>
      </c>
      <c r="AU134" s="702">
        <f>IF($P134&gt;0,(($W134)/(12)),0)</f>
        <v/>
      </c>
      <c r="AV134" s="702">
        <f>IF($P134&gt;0,(($W134)/(12)),0)</f>
        <v/>
      </c>
      <c r="AW134" s="702">
        <f>IF($P134&gt;0,(($W134)/(12)),0)</f>
        <v/>
      </c>
      <c r="AX134" s="702">
        <f>IF($P134&gt;0,(($W134)/(12)),0)</f>
        <v/>
      </c>
      <c r="AY134" s="702">
        <f>IF($P134&gt;0,(($W134)/(12)),0)</f>
        <v/>
      </c>
      <c r="AZ134" s="702">
        <f>IF($P134&gt;0,(($W134)/(12)),0)</f>
        <v/>
      </c>
      <c r="BA134" s="702">
        <f>IF($P134&gt;0,(($W134)/(12)),0)</f>
        <v/>
      </c>
      <c r="BB134" s="702">
        <f>IF($P134&gt;0,(($W134)/(12)),0)</f>
        <v/>
      </c>
      <c r="BC134" s="765">
        <f>SUM(AQ134:BB134)</f>
        <v/>
      </c>
      <c r="BD134" s="462" t="n"/>
      <c r="BE134" s="702">
        <f>IF($Q134&gt;0,(($X134)/(12)),0)</f>
        <v/>
      </c>
      <c r="BF134" s="702">
        <f>IF($Q134&gt;0,(($X134)/(12)),0)</f>
        <v/>
      </c>
      <c r="BG134" s="702">
        <f>IF($Q134&gt;0,(($X134)/(12)),0)</f>
        <v/>
      </c>
      <c r="BH134" s="702">
        <f>IF($Q134&gt;0,(($X134)/(12)),0)</f>
        <v/>
      </c>
      <c r="BI134" s="702">
        <f>IF($Q134&gt;0,(($X134)/(12)),0)</f>
        <v/>
      </c>
      <c r="BJ134" s="702">
        <f>IF($Q134&gt;0,(($X134)/(12)),0)</f>
        <v/>
      </c>
      <c r="BK134" s="702">
        <f>IF($Q134&gt;0,(($X134)/(12)),0)</f>
        <v/>
      </c>
      <c r="BL134" s="702">
        <f>IF($Q134&gt;0,(($X134)/(12)),0)</f>
        <v/>
      </c>
      <c r="BM134" s="702">
        <f>IF($Q134&gt;0,(($X134)/(12)),0)</f>
        <v/>
      </c>
      <c r="BN134" s="702">
        <f>IF($Q134&gt;0,(($X134)/(12)),0)</f>
        <v/>
      </c>
      <c r="BO134" s="702">
        <f>IF($Q134&gt;0,(($X134)/(12)),0)</f>
        <v/>
      </c>
      <c r="BP134" s="702">
        <f>IF($Q134&gt;0,(($X134)/(12)),0)</f>
        <v/>
      </c>
      <c r="BQ134" s="765">
        <f>SUM(BE134:BP134)</f>
        <v/>
      </c>
      <c r="BR134" s="507" t="n"/>
      <c r="BS134" s="702">
        <f>IF($R134&gt;0,(($Y134)/(12)),0)</f>
        <v/>
      </c>
      <c r="BT134" s="702">
        <f>IF($R134&gt;0,(($Y134)/(12)),0)</f>
        <v/>
      </c>
      <c r="BU134" s="702">
        <f>IF($R134&gt;0,(($Y134)/(12)),0)</f>
        <v/>
      </c>
      <c r="BV134" s="702">
        <f>IF($R134&gt;0,(($Y134)/(12)),0)</f>
        <v/>
      </c>
      <c r="BW134" s="702">
        <f>IF($R134&gt;0,(($Y134)/(12)),0)</f>
        <v/>
      </c>
      <c r="BX134" s="702">
        <f>IF($R134&gt;0,(($Y134)/(12)),0)</f>
        <v/>
      </c>
      <c r="BY134" s="702">
        <f>IF($R134&gt;0,(($Y134)/(12)),0)</f>
        <v/>
      </c>
      <c r="BZ134" s="702">
        <f>IF($R134&gt;0,(($Y134)/(12)),0)</f>
        <v/>
      </c>
      <c r="CA134" s="702">
        <f>IF($R134&gt;0,(($Y134)/(12)),0)</f>
        <v/>
      </c>
      <c r="CB134" s="702">
        <f>IF($R134&gt;0,(($Y134)/(12)),0)</f>
        <v/>
      </c>
      <c r="CC134" s="702">
        <f>IF($R134&gt;0,(($Y134)/(12)),0)</f>
        <v/>
      </c>
      <c r="CD134" s="702">
        <f>IF($R134&gt;0,(($Y134)/(12)),0)</f>
        <v/>
      </c>
      <c r="CE134" s="765">
        <f>SUM(BS134:CD134)</f>
        <v/>
      </c>
      <c r="CF134" s="507" t="n"/>
      <c r="CG134" s="702">
        <f>IF($S134&gt;0,(($Z134)/(12)),0)</f>
        <v/>
      </c>
      <c r="CH134" s="702">
        <f>IF($S134&gt;0,(($Z134)/(12)),0)</f>
        <v/>
      </c>
      <c r="CI134" s="702">
        <f>IF($S134&gt;0,(($Z134)/(12)),0)</f>
        <v/>
      </c>
      <c r="CJ134" s="702">
        <f>IF($S134&gt;0,(($Z134)/(12)),0)</f>
        <v/>
      </c>
      <c r="CK134" s="702">
        <f>IF($S134&gt;0,(($Z134)/(12)),0)</f>
        <v/>
      </c>
      <c r="CL134" s="702">
        <f>IF($S134&gt;0,(($Z134)/(12)),0)</f>
        <v/>
      </c>
      <c r="CM134" s="702">
        <f>IF($S134&gt;0,(($Z134)/(12)),0)</f>
        <v/>
      </c>
      <c r="CN134" s="702">
        <f>IF($S134&gt;0,(($Z134)/(12)),0)</f>
        <v/>
      </c>
      <c r="CO134" s="702">
        <f>IF($S134&gt;0,(($Z134)/(12)),0)</f>
        <v/>
      </c>
      <c r="CP134" s="702">
        <f>IF($S134&gt;0,(($Z134)/(12)),0)</f>
        <v/>
      </c>
      <c r="CQ134" s="702">
        <f>IF($S134&gt;0,(($Z134)/(12)),0)</f>
        <v/>
      </c>
      <c r="CR134" s="702">
        <f>IF($S134&gt;0,(($Z134)/(12)),0)</f>
        <v/>
      </c>
      <c r="CS134" s="765">
        <f>SUM(CG134:CR134)</f>
        <v/>
      </c>
      <c r="CU134" s="702">
        <f>IF($T134&gt;0,(($AA134)/(12)),0)</f>
        <v/>
      </c>
      <c r="CV134" s="702">
        <f>IF($T134&gt;0,(($AA134)/(12)),0)</f>
        <v/>
      </c>
      <c r="CW134" s="702">
        <f>IF($T134&gt;0,(($AA134)/(12)),0)</f>
        <v/>
      </c>
      <c r="CX134" s="702">
        <f>IF($T134&gt;0,(($AA134)/(12)),0)</f>
        <v/>
      </c>
      <c r="CY134" s="702">
        <f>IF($T134&gt;0,(($AA134)/(12)),0)</f>
        <v/>
      </c>
      <c r="CZ134" s="702">
        <f>IF($T134&gt;0,(($AA134)/(12)),0)</f>
        <v/>
      </c>
      <c r="DA134" s="702">
        <f>IF($T134&gt;0,(($AA134)/(12)),0)</f>
        <v/>
      </c>
      <c r="DB134" s="702">
        <f>IF($T134&gt;0,(($AA134)/(12)),0)</f>
        <v/>
      </c>
      <c r="DC134" s="702">
        <f>IF($T134&gt;0,(($AA134)/(12)),0)</f>
        <v/>
      </c>
      <c r="DD134" s="702">
        <f>IF($T134&gt;0,(($AA134)/(12)),0)</f>
        <v/>
      </c>
      <c r="DE134" s="702">
        <f>IF($T134&gt;0,(($AA134)/(12)),0)</f>
        <v/>
      </c>
      <c r="DF134" s="702">
        <f>IF($T134&gt;0,(($AA134)/(12)),0)</f>
        <v/>
      </c>
      <c r="DG134" s="765">
        <f>SUM(CU134:DF134)</f>
        <v/>
      </c>
    </row>
    <row r="135" ht="15" customHeight="1" s="1883">
      <c r="B135" s="752">
        <f>((B134)+(1))</f>
        <v/>
      </c>
      <c r="C135" s="726" t="n"/>
      <c r="D135" s="730" t="inlineStr">
        <is>
          <t>●</t>
        </is>
      </c>
      <c r="E135" s="740" t="inlineStr">
        <is>
          <t>Natasha Green</t>
        </is>
      </c>
      <c r="F135" s="737" t="n"/>
      <c r="G135" s="737" t="n"/>
      <c r="H135" s="737" t="n"/>
      <c r="I135" s="736" t="inlineStr">
        <is>
          <t>VP, Operations</t>
        </is>
      </c>
      <c r="J135" s="745" t="inlineStr">
        <is>
          <t>CONUS</t>
        </is>
      </c>
      <c r="K135" s="737" t="n"/>
      <c r="L135" s="738" t="inlineStr">
        <is>
          <t>-12</t>
        </is>
      </c>
      <c r="M135" s="738" t="inlineStr">
        <is>
          <t>-12</t>
        </is>
      </c>
      <c r="N135" s="738" t="n"/>
      <c r="O135" s="754" t="n">
        <v>1</v>
      </c>
      <c r="P135" s="755" t="n">
        <v>1</v>
      </c>
      <c r="Q135" s="755" t="n">
        <v>1</v>
      </c>
      <c r="R135" s="755" t="n">
        <v>1</v>
      </c>
      <c r="S135" s="755" t="n">
        <v>1</v>
      </c>
      <c r="T135" s="755" t="n">
        <v>1</v>
      </c>
      <c r="U135" s="737" t="n"/>
      <c r="V135" s="703" t="n">
        <v>95000</v>
      </c>
      <c r="W135" s="700">
        <f>(V135)</f>
        <v/>
      </c>
      <c r="X135" s="700">
        <f>((W135)*((1)+($X$63)))</f>
        <v/>
      </c>
      <c r="Y135" s="700">
        <f>((X135)*((1)+($Y$63)))</f>
        <v/>
      </c>
      <c r="Z135" s="700">
        <f>((Y135)*((1)+($Z$63)))</f>
        <v/>
      </c>
      <c r="AA135" s="700">
        <f>((Z135)*((1)+($AA$63)))</f>
        <v/>
      </c>
      <c r="AB135" s="726" t="n"/>
      <c r="AC135" s="702">
        <f>(($V135)/(12))*0.7</f>
        <v/>
      </c>
      <c r="AD135" s="702">
        <f>(($V135)/(12))</f>
        <v/>
      </c>
      <c r="AE135" s="702">
        <f>(($V135)/(12))</f>
        <v/>
      </c>
      <c r="AF135" s="702">
        <f>(($V135)/(12))</f>
        <v/>
      </c>
      <c r="AG135" s="702">
        <f>(($V135)/(12))</f>
        <v/>
      </c>
      <c r="AH135" s="702">
        <f>(($V135)/(12))</f>
        <v/>
      </c>
      <c r="AI135" s="702">
        <f>(($V135)/(12))</f>
        <v/>
      </c>
      <c r="AJ135" s="702">
        <f>(($V135)/(12))</f>
        <v/>
      </c>
      <c r="AK135" s="702">
        <f>(($V135)/(12))</f>
        <v/>
      </c>
      <c r="AL135" s="702">
        <f>(($V135)/(12))</f>
        <v/>
      </c>
      <c r="AM135" s="702">
        <f>(($V135)/(12))</f>
        <v/>
      </c>
      <c r="AN135" s="702">
        <f>(($V135)/(12))</f>
        <v/>
      </c>
      <c r="AO135" s="765">
        <f>SUM(AC135:AN135)</f>
        <v/>
      </c>
      <c r="AP135" s="462" t="n"/>
      <c r="AQ135" s="702">
        <f>IF($P135&gt;0,(($W135)/(12)),0)</f>
        <v/>
      </c>
      <c r="AR135" s="702">
        <f>IF($P135&gt;0,(($W135)/(12)),0)</f>
        <v/>
      </c>
      <c r="AS135" s="702">
        <f>IF($P135&gt;0,(($W135)/(12)),0)</f>
        <v/>
      </c>
      <c r="AT135" s="702">
        <f>IF($P135&gt;0,(($W135)/(12)),0)</f>
        <v/>
      </c>
      <c r="AU135" s="702">
        <f>IF($P135&gt;0,(($W135)/(12)),0)</f>
        <v/>
      </c>
      <c r="AV135" s="702">
        <f>IF($P135&gt;0,(($W135)/(12)),0)</f>
        <v/>
      </c>
      <c r="AW135" s="702">
        <f>IF($P135&gt;0,(($W135)/(12)),0)</f>
        <v/>
      </c>
      <c r="AX135" s="702">
        <f>IF($P135&gt;0,(($W135)/(12)),0)</f>
        <v/>
      </c>
      <c r="AY135" s="702">
        <f>IF($P135&gt;0,(($W135)/(12)),0)</f>
        <v/>
      </c>
      <c r="AZ135" s="702">
        <f>IF($P135&gt;0,(($W135)/(12)),0)</f>
        <v/>
      </c>
      <c r="BA135" s="702">
        <f>IF($P135&gt;0,(($W135)/(12)),0)</f>
        <v/>
      </c>
      <c r="BB135" s="702">
        <f>IF($P135&gt;0,(($W135)/(12)),0)</f>
        <v/>
      </c>
      <c r="BC135" s="765">
        <f>SUM(AQ135:BB135)</f>
        <v/>
      </c>
      <c r="BD135" s="462" t="n"/>
      <c r="BE135" s="702">
        <f>IF($Q135&gt;0,(($X135)/(12)),0)</f>
        <v/>
      </c>
      <c r="BF135" s="702">
        <f>IF($Q135&gt;0,(($X135)/(12)),0)</f>
        <v/>
      </c>
      <c r="BG135" s="702">
        <f>IF($Q135&gt;0,(($X135)/(12)),0)</f>
        <v/>
      </c>
      <c r="BH135" s="702">
        <f>IF($Q135&gt;0,(($X135)/(12)),0)</f>
        <v/>
      </c>
      <c r="BI135" s="702">
        <f>IF($Q135&gt;0,(($X135)/(12)),0)</f>
        <v/>
      </c>
      <c r="BJ135" s="702">
        <f>IF($Q135&gt;0,(($X135)/(12)),0)</f>
        <v/>
      </c>
      <c r="BK135" s="702">
        <f>IF($Q135&gt;0,(($X135)/(12)),0)</f>
        <v/>
      </c>
      <c r="BL135" s="702">
        <f>IF($Q135&gt;0,(($X135)/(12)),0)</f>
        <v/>
      </c>
      <c r="BM135" s="702">
        <f>IF($Q135&gt;0,(($X135)/(12)),0)</f>
        <v/>
      </c>
      <c r="BN135" s="702">
        <f>IF($Q135&gt;0,(($X135)/(12)),0)</f>
        <v/>
      </c>
      <c r="BO135" s="702">
        <f>IF($Q135&gt;0,(($X135)/(12)),0)</f>
        <v/>
      </c>
      <c r="BP135" s="702">
        <f>IF($Q135&gt;0,(($X135)/(12)),0)</f>
        <v/>
      </c>
      <c r="BQ135" s="765">
        <f>SUM(BE135:BP135)</f>
        <v/>
      </c>
      <c r="BR135" s="507" t="n"/>
      <c r="BS135" s="702">
        <f>IF($R135&gt;0,(($Y135)/(12)),0)</f>
        <v/>
      </c>
      <c r="BT135" s="702">
        <f>IF($R135&gt;0,(($Y135)/(12)),0)</f>
        <v/>
      </c>
      <c r="BU135" s="702">
        <f>IF($R135&gt;0,(($Y135)/(12)),0)</f>
        <v/>
      </c>
      <c r="BV135" s="702">
        <f>IF($R135&gt;0,(($Y135)/(12)),0)</f>
        <v/>
      </c>
      <c r="BW135" s="702">
        <f>IF($R135&gt;0,(($Y135)/(12)),0)</f>
        <v/>
      </c>
      <c r="BX135" s="702">
        <f>IF($R135&gt;0,(($Y135)/(12)),0)</f>
        <v/>
      </c>
      <c r="BY135" s="702">
        <f>IF($R135&gt;0,(($Y135)/(12)),0)</f>
        <v/>
      </c>
      <c r="BZ135" s="702">
        <f>IF($R135&gt;0,(($Y135)/(12)),0)</f>
        <v/>
      </c>
      <c r="CA135" s="702">
        <f>IF($R135&gt;0,(($Y135)/(12)),0)</f>
        <v/>
      </c>
      <c r="CB135" s="702">
        <f>IF($R135&gt;0,(($Y135)/(12)),0)</f>
        <v/>
      </c>
      <c r="CC135" s="702">
        <f>IF($R135&gt;0,(($Y135)/(12)),0)</f>
        <v/>
      </c>
      <c r="CD135" s="702">
        <f>IF($R135&gt;0,(($Y135)/(12)),0)</f>
        <v/>
      </c>
      <c r="CE135" s="765">
        <f>SUM(BS135:CD135)</f>
        <v/>
      </c>
      <c r="CF135" s="507" t="n"/>
      <c r="CG135" s="702">
        <f>IF($S135&gt;0,(($Z135)/(12)),0)</f>
        <v/>
      </c>
      <c r="CH135" s="702">
        <f>IF($S135&gt;0,(($Z135)/(12)),0)</f>
        <v/>
      </c>
      <c r="CI135" s="702">
        <f>IF($S135&gt;0,(($Z135)/(12)),0)</f>
        <v/>
      </c>
      <c r="CJ135" s="702">
        <f>IF($S135&gt;0,(($Z135)/(12)),0)</f>
        <v/>
      </c>
      <c r="CK135" s="702">
        <f>IF($S135&gt;0,(($Z135)/(12)),0)</f>
        <v/>
      </c>
      <c r="CL135" s="702">
        <f>IF($S135&gt;0,(($Z135)/(12)),0)</f>
        <v/>
      </c>
      <c r="CM135" s="702">
        <f>IF($S135&gt;0,(($Z135)/(12)),0)</f>
        <v/>
      </c>
      <c r="CN135" s="702">
        <f>IF($S135&gt;0,(($Z135)/(12)),0)</f>
        <v/>
      </c>
      <c r="CO135" s="702">
        <f>IF($S135&gt;0,(($Z135)/(12)),0)</f>
        <v/>
      </c>
      <c r="CP135" s="702">
        <f>IF($S135&gt;0,(($Z135)/(12)),0)</f>
        <v/>
      </c>
      <c r="CQ135" s="702">
        <f>IF($S135&gt;0,(($Z135)/(12)),0)</f>
        <v/>
      </c>
      <c r="CR135" s="702">
        <f>IF($S135&gt;0,(($Z135)/(12)),0)</f>
        <v/>
      </c>
      <c r="CS135" s="765">
        <f>SUM(CG135:CR135)</f>
        <v/>
      </c>
      <c r="CU135" s="702">
        <f>IF($T135&gt;0,(($AA135)/(12)),0)</f>
        <v/>
      </c>
      <c r="CV135" s="702">
        <f>IF($T135&gt;0,(($AA135)/(12)),0)</f>
        <v/>
      </c>
      <c r="CW135" s="702">
        <f>IF($T135&gt;0,(($AA135)/(12)),0)</f>
        <v/>
      </c>
      <c r="CX135" s="702">
        <f>IF($T135&gt;0,(($AA135)/(12)),0)</f>
        <v/>
      </c>
      <c r="CY135" s="702">
        <f>IF($T135&gt;0,(($AA135)/(12)),0)</f>
        <v/>
      </c>
      <c r="CZ135" s="702">
        <f>IF($T135&gt;0,(($AA135)/(12)),0)</f>
        <v/>
      </c>
      <c r="DA135" s="702">
        <f>IF($T135&gt;0,(($AA135)/(12)),0)</f>
        <v/>
      </c>
      <c r="DB135" s="702">
        <f>IF($T135&gt;0,(($AA135)/(12)),0)</f>
        <v/>
      </c>
      <c r="DC135" s="702">
        <f>IF($T135&gt;0,(($AA135)/(12)),0)</f>
        <v/>
      </c>
      <c r="DD135" s="702">
        <f>IF($T135&gt;0,(($AA135)/(12)),0)</f>
        <v/>
      </c>
      <c r="DE135" s="702">
        <f>IF($T135&gt;0,(($AA135)/(12)),0)</f>
        <v/>
      </c>
      <c r="DF135" s="702">
        <f>IF($T135&gt;0,(($AA135)/(12)),0)</f>
        <v/>
      </c>
      <c r="DG135" s="765">
        <f>SUM(CU135:DF135)</f>
        <v/>
      </c>
    </row>
    <row r="136" ht="15" customHeight="1" s="1883">
      <c r="B136" s="752">
        <f>((B135)+(1))</f>
        <v/>
      </c>
      <c r="C136" s="726" t="n"/>
      <c r="D136" s="730" t="inlineStr">
        <is>
          <t>●</t>
        </is>
      </c>
      <c r="E136" s="736" t="inlineStr">
        <is>
          <t>Ahsen Awan</t>
        </is>
      </c>
      <c r="F136" s="737" t="n"/>
      <c r="G136" s="737" t="n"/>
      <c r="H136" s="737" t="n"/>
      <c r="I136" s="736" t="inlineStr">
        <is>
          <t>Director, Product &amp; Projects</t>
        </is>
      </c>
      <c r="J136" s="746" t="inlineStr">
        <is>
          <t>OCONUS</t>
        </is>
      </c>
      <c r="K136" s="737" t="n"/>
      <c r="L136" s="738" t="inlineStr">
        <is>
          <t>-12</t>
        </is>
      </c>
      <c r="M136" s="738" t="inlineStr">
        <is>
          <t>-12</t>
        </is>
      </c>
      <c r="N136" s="738" t="n"/>
      <c r="O136" s="754" t="n">
        <v>1</v>
      </c>
      <c r="P136" s="755" t="n">
        <v>1</v>
      </c>
      <c r="Q136" s="755" t="n">
        <v>1</v>
      </c>
      <c r="R136" s="755" t="n">
        <v>1</v>
      </c>
      <c r="S136" s="755" t="n">
        <v>1</v>
      </c>
      <c r="T136" s="755" t="n">
        <v>1</v>
      </c>
      <c r="U136" s="737" t="n"/>
      <c r="V136" s="703" t="n">
        <v>77000</v>
      </c>
      <c r="W136" s="700">
        <f>(V136)</f>
        <v/>
      </c>
      <c r="X136" s="700">
        <f>((W136)*((1)+($X$63)))</f>
        <v/>
      </c>
      <c r="Y136" s="700">
        <f>((X136)*((1)+($Y$63)))</f>
        <v/>
      </c>
      <c r="Z136" s="700">
        <f>((Y136)*((1)+($Z$63)))</f>
        <v/>
      </c>
      <c r="AA136" s="700">
        <f>((Z136)*((1)+($AA$63)))</f>
        <v/>
      </c>
      <c r="AB136" s="726" t="n"/>
      <c r="AC136" s="702">
        <f>5500/4</f>
        <v/>
      </c>
      <c r="AD136" s="702">
        <f>(($V136)/(12))</f>
        <v/>
      </c>
      <c r="AE136" s="702">
        <f>(($V136)/(12))</f>
        <v/>
      </c>
      <c r="AF136" s="702">
        <f>(($V136)/(12))</f>
        <v/>
      </c>
      <c r="AG136" s="702">
        <f>(($V136)/(12))</f>
        <v/>
      </c>
      <c r="AH136" s="702">
        <f>(($V136)/(12))</f>
        <v/>
      </c>
      <c r="AI136" s="702">
        <f>(($V136)/(12))</f>
        <v/>
      </c>
      <c r="AJ136" s="702">
        <f>(($V136)/(12))</f>
        <v/>
      </c>
      <c r="AK136" s="702">
        <f>(($V136)/(12))</f>
        <v/>
      </c>
      <c r="AL136" s="702">
        <f>(($V136)/(12))</f>
        <v/>
      </c>
      <c r="AM136" s="702">
        <f>(($V136)/(12))</f>
        <v/>
      </c>
      <c r="AN136" s="702">
        <f>(($V136)/(12))</f>
        <v/>
      </c>
      <c r="AO136" s="765">
        <f>SUM(AC136:AN136)</f>
        <v/>
      </c>
      <c r="AP136" s="462" t="n"/>
      <c r="AQ136" s="702">
        <f>IF($P136&gt;0,(($W136)/(12)),0)</f>
        <v/>
      </c>
      <c r="AR136" s="702">
        <f>IF($P136&gt;0,(($W136)/(12)),0)</f>
        <v/>
      </c>
      <c r="AS136" s="702">
        <f>IF($P136&gt;0,(($W136)/(12)),0)</f>
        <v/>
      </c>
      <c r="AT136" s="702">
        <f>IF($P136&gt;0,(($W136)/(12)),0)</f>
        <v/>
      </c>
      <c r="AU136" s="702">
        <f>IF($P136&gt;0,(($W136)/(12)),0)</f>
        <v/>
      </c>
      <c r="AV136" s="702">
        <f>IF($P136&gt;0,(($W136)/(12)),0)</f>
        <v/>
      </c>
      <c r="AW136" s="702">
        <f>IF($P136&gt;0,(($W136)/(12)),0)</f>
        <v/>
      </c>
      <c r="AX136" s="702">
        <f>IF($P136&gt;0,(($W136)/(12)),0)</f>
        <v/>
      </c>
      <c r="AY136" s="702">
        <f>IF($P136&gt;0,(($W136)/(12)),0)</f>
        <v/>
      </c>
      <c r="AZ136" s="702">
        <f>IF($P136&gt;0,(($W136)/(12)),0)</f>
        <v/>
      </c>
      <c r="BA136" s="702">
        <f>IF($P136&gt;0,(($W136)/(12)),0)</f>
        <v/>
      </c>
      <c r="BB136" s="702">
        <f>IF($P136&gt;0,(($W136)/(12)),0)</f>
        <v/>
      </c>
      <c r="BC136" s="765">
        <f>SUM(AQ136:BB136)</f>
        <v/>
      </c>
      <c r="BD136" s="462" t="n"/>
      <c r="BE136" s="702">
        <f>IF($Q136&gt;0,(($X136)/(12)),0)</f>
        <v/>
      </c>
      <c r="BF136" s="702">
        <f>IF($Q136&gt;0,(($X136)/(12)),0)</f>
        <v/>
      </c>
      <c r="BG136" s="702">
        <f>IF($Q136&gt;0,(($X136)/(12)),0)</f>
        <v/>
      </c>
      <c r="BH136" s="702">
        <f>IF($Q136&gt;0,(($X136)/(12)),0)</f>
        <v/>
      </c>
      <c r="BI136" s="702">
        <f>IF($Q136&gt;0,(($X136)/(12)),0)</f>
        <v/>
      </c>
      <c r="BJ136" s="702">
        <f>IF($Q136&gt;0,(($X136)/(12)),0)</f>
        <v/>
      </c>
      <c r="BK136" s="702">
        <f>IF($Q136&gt;0,(($X136)/(12)),0)</f>
        <v/>
      </c>
      <c r="BL136" s="702">
        <f>IF($Q136&gt;0,(($X136)/(12)),0)</f>
        <v/>
      </c>
      <c r="BM136" s="702">
        <f>IF($Q136&gt;0,(($X136)/(12)),0)</f>
        <v/>
      </c>
      <c r="BN136" s="702">
        <f>IF($Q136&gt;0,(($X136)/(12)),0)</f>
        <v/>
      </c>
      <c r="BO136" s="702">
        <f>IF($Q136&gt;0,(($X136)/(12)),0)</f>
        <v/>
      </c>
      <c r="BP136" s="702">
        <f>IF($Q136&gt;0,(($X136)/(12)),0)</f>
        <v/>
      </c>
      <c r="BQ136" s="765">
        <f>SUM(BE136:BP136)</f>
        <v/>
      </c>
      <c r="BR136" s="507" t="n"/>
      <c r="BS136" s="702">
        <f>IF($R136&gt;0,(($Y136)/(12)),0)</f>
        <v/>
      </c>
      <c r="BT136" s="702">
        <f>IF($R136&gt;0,(($Y136)/(12)),0)</f>
        <v/>
      </c>
      <c r="BU136" s="702">
        <f>IF($R136&gt;0,(($Y136)/(12)),0)</f>
        <v/>
      </c>
      <c r="BV136" s="702">
        <f>IF($R136&gt;0,(($Y136)/(12)),0)</f>
        <v/>
      </c>
      <c r="BW136" s="702">
        <f>IF($R136&gt;0,(($Y136)/(12)),0)</f>
        <v/>
      </c>
      <c r="BX136" s="702">
        <f>IF($R136&gt;0,(($Y136)/(12)),0)</f>
        <v/>
      </c>
      <c r="BY136" s="702">
        <f>IF($R136&gt;0,(($Y136)/(12)),0)</f>
        <v/>
      </c>
      <c r="BZ136" s="702">
        <f>IF($R136&gt;0,(($Y136)/(12)),0)</f>
        <v/>
      </c>
      <c r="CA136" s="702">
        <f>IF($R136&gt;0,(($Y136)/(12)),0)</f>
        <v/>
      </c>
      <c r="CB136" s="702">
        <f>IF($R136&gt;0,(($Y136)/(12)),0)</f>
        <v/>
      </c>
      <c r="CC136" s="702">
        <f>IF($R136&gt;0,(($Y136)/(12)),0)</f>
        <v/>
      </c>
      <c r="CD136" s="702">
        <f>IF($R136&gt;0,(($Y136)/(12)),0)</f>
        <v/>
      </c>
      <c r="CE136" s="765">
        <f>SUM(BS136:CD136)</f>
        <v/>
      </c>
      <c r="CF136" s="507" t="n"/>
      <c r="CG136" s="702">
        <f>IF($S136&gt;0,(($Z136)/(12)),0)</f>
        <v/>
      </c>
      <c r="CH136" s="702">
        <f>IF($S136&gt;0,(($Z136)/(12)),0)</f>
        <v/>
      </c>
      <c r="CI136" s="702">
        <f>IF($S136&gt;0,(($Z136)/(12)),0)</f>
        <v/>
      </c>
      <c r="CJ136" s="702">
        <f>IF($S136&gt;0,(($Z136)/(12)),0)</f>
        <v/>
      </c>
      <c r="CK136" s="702">
        <f>IF($S136&gt;0,(($Z136)/(12)),0)</f>
        <v/>
      </c>
      <c r="CL136" s="702">
        <f>IF($S136&gt;0,(($Z136)/(12)),0)</f>
        <v/>
      </c>
      <c r="CM136" s="702">
        <f>IF($S136&gt;0,(($Z136)/(12)),0)</f>
        <v/>
      </c>
      <c r="CN136" s="702">
        <f>IF($S136&gt;0,(($Z136)/(12)),0)</f>
        <v/>
      </c>
      <c r="CO136" s="702">
        <f>IF($S136&gt;0,(($Z136)/(12)),0)</f>
        <v/>
      </c>
      <c r="CP136" s="702">
        <f>IF($S136&gt;0,(($Z136)/(12)),0)</f>
        <v/>
      </c>
      <c r="CQ136" s="702">
        <f>IF($S136&gt;0,(($Z136)/(12)),0)</f>
        <v/>
      </c>
      <c r="CR136" s="702">
        <f>IF($S136&gt;0,(($Z136)/(12)),0)</f>
        <v/>
      </c>
      <c r="CS136" s="765">
        <f>SUM(CG136:CR136)</f>
        <v/>
      </c>
      <c r="CU136" s="702">
        <f>IF($T136&gt;0,(($AA136)/(12)),0)</f>
        <v/>
      </c>
      <c r="CV136" s="702">
        <f>IF($T136&gt;0,(($AA136)/(12)),0)</f>
        <v/>
      </c>
      <c r="CW136" s="702">
        <f>IF($T136&gt;0,(($AA136)/(12)),0)</f>
        <v/>
      </c>
      <c r="CX136" s="702">
        <f>IF($T136&gt;0,(($AA136)/(12)),0)</f>
        <v/>
      </c>
      <c r="CY136" s="702">
        <f>IF($T136&gt;0,(($AA136)/(12)),0)</f>
        <v/>
      </c>
      <c r="CZ136" s="702">
        <f>IF($T136&gt;0,(($AA136)/(12)),0)</f>
        <v/>
      </c>
      <c r="DA136" s="702">
        <f>IF($T136&gt;0,(($AA136)/(12)),0)</f>
        <v/>
      </c>
      <c r="DB136" s="702">
        <f>IF($T136&gt;0,(($AA136)/(12)),0)</f>
        <v/>
      </c>
      <c r="DC136" s="702">
        <f>IF($T136&gt;0,(($AA136)/(12)),0)</f>
        <v/>
      </c>
      <c r="DD136" s="702">
        <f>IF($T136&gt;0,(($AA136)/(12)),0)</f>
        <v/>
      </c>
      <c r="DE136" s="702">
        <f>IF($T136&gt;0,(($AA136)/(12)),0)</f>
        <v/>
      </c>
      <c r="DF136" s="702">
        <f>IF($T136&gt;0,(($AA136)/(12)),0)</f>
        <v/>
      </c>
      <c r="DG136" s="765">
        <f>SUM(CU136:DF136)</f>
        <v/>
      </c>
    </row>
    <row r="137" ht="15" customHeight="1" s="1883">
      <c r="B137" s="752">
        <f>((B136)+(1))</f>
        <v/>
      </c>
      <c r="C137" s="726" t="n"/>
      <c r="D137" s="730" t="inlineStr">
        <is>
          <t>●</t>
        </is>
      </c>
      <c r="E137" s="736" t="inlineStr">
        <is>
          <t>Zafeer Hassan</t>
        </is>
      </c>
      <c r="F137" s="737" t="n"/>
      <c r="G137" s="737" t="n"/>
      <c r="H137" s="737" t="n"/>
      <c r="I137" s="736" t="inlineStr">
        <is>
          <t>Sr. Software Developer</t>
        </is>
      </c>
      <c r="J137" s="746" t="inlineStr">
        <is>
          <t>OCONUS</t>
        </is>
      </c>
      <c r="K137" s="737" t="n"/>
      <c r="L137" s="738" t="inlineStr">
        <is>
          <t>-12</t>
        </is>
      </c>
      <c r="M137" s="738" t="inlineStr">
        <is>
          <t>-12</t>
        </is>
      </c>
      <c r="N137" s="738" t="n"/>
      <c r="O137" s="754" t="n">
        <v>1</v>
      </c>
      <c r="P137" s="755" t="n">
        <v>1</v>
      </c>
      <c r="Q137" s="755" t="n">
        <v>1</v>
      </c>
      <c r="R137" s="755" t="n">
        <v>1</v>
      </c>
      <c r="S137" s="755" t="n">
        <v>1</v>
      </c>
      <c r="T137" s="755" t="n">
        <v>1</v>
      </c>
      <c r="U137" s="737" t="n"/>
      <c r="V137" s="703" t="n">
        <v>18000</v>
      </c>
      <c r="W137" s="700">
        <f>(V137)</f>
        <v/>
      </c>
      <c r="X137" s="700">
        <f>((W137)*((1)+($X$63)))</f>
        <v/>
      </c>
      <c r="Y137" s="700">
        <f>((X137)*((1)+($Y$63)))</f>
        <v/>
      </c>
      <c r="Z137" s="700">
        <f>((Y137)*((1)+($Z$63)))</f>
        <v/>
      </c>
      <c r="AA137" s="700">
        <f>((Z137)*((1)+($AA$63)))</f>
        <v/>
      </c>
      <c r="AB137" s="726" t="n"/>
      <c r="AC137" s="702">
        <f>5500/4</f>
        <v/>
      </c>
      <c r="AD137" s="702">
        <f>(($V137)/(12))</f>
        <v/>
      </c>
      <c r="AE137" s="702">
        <f>(($V137)/(12))</f>
        <v/>
      </c>
      <c r="AF137" s="702">
        <f>(($V137)/(12))</f>
        <v/>
      </c>
      <c r="AG137" s="702">
        <f>(($V137)/(12))</f>
        <v/>
      </c>
      <c r="AH137" s="702">
        <f>(($V137)/(12))</f>
        <v/>
      </c>
      <c r="AI137" s="702">
        <f>(($V137)/(12))</f>
        <v/>
      </c>
      <c r="AJ137" s="702">
        <f>(($V137)/(12))</f>
        <v/>
      </c>
      <c r="AK137" s="702">
        <f>(($V137)/(12))</f>
        <v/>
      </c>
      <c r="AL137" s="702">
        <f>(($V137)/(12))</f>
        <v/>
      </c>
      <c r="AM137" s="702">
        <f>(($V137)/(12))</f>
        <v/>
      </c>
      <c r="AN137" s="702">
        <f>(($V137)/(12))</f>
        <v/>
      </c>
      <c r="AO137" s="765">
        <f>SUM(AC137:AN137)</f>
        <v/>
      </c>
      <c r="AP137" s="462" t="n"/>
      <c r="AQ137" s="702">
        <f>IF($P137&gt;0,(($W137)/(12)),0)</f>
        <v/>
      </c>
      <c r="AR137" s="702">
        <f>IF($P137&gt;0,(($W137)/(12)),0)</f>
        <v/>
      </c>
      <c r="AS137" s="702">
        <f>IF($P137&gt;0,(($W137)/(12)),0)</f>
        <v/>
      </c>
      <c r="AT137" s="702">
        <f>IF($P137&gt;0,(($W137)/(12)),0)</f>
        <v/>
      </c>
      <c r="AU137" s="702">
        <f>IF($P137&gt;0,(($W137)/(12)),0)</f>
        <v/>
      </c>
      <c r="AV137" s="702">
        <f>IF($P137&gt;0,(($W137)/(12)),0)</f>
        <v/>
      </c>
      <c r="AW137" s="702">
        <f>IF($P137&gt;0,(($W137)/(12)),0)</f>
        <v/>
      </c>
      <c r="AX137" s="702">
        <f>IF($P137&gt;0,(($W137)/(12)),0)</f>
        <v/>
      </c>
      <c r="AY137" s="702">
        <f>IF($P137&gt;0,(($W137)/(12)),0)</f>
        <v/>
      </c>
      <c r="AZ137" s="702">
        <f>IF($P137&gt;0,(($W137)/(12)),0)</f>
        <v/>
      </c>
      <c r="BA137" s="702">
        <f>IF($P137&gt;0,(($W137)/(12)),0)</f>
        <v/>
      </c>
      <c r="BB137" s="702">
        <f>IF($P137&gt;0,(($W137)/(12)),0)</f>
        <v/>
      </c>
      <c r="BC137" s="765">
        <f>SUM(AQ137:BB137)</f>
        <v/>
      </c>
      <c r="BD137" s="462" t="n"/>
      <c r="BE137" s="702">
        <f>IF($Q137&gt;0,(($X137)/(12)),0)</f>
        <v/>
      </c>
      <c r="BF137" s="702">
        <f>IF($Q137&gt;0,(($X137)/(12)),0)</f>
        <v/>
      </c>
      <c r="BG137" s="702">
        <f>IF($Q137&gt;0,(($X137)/(12)),0)</f>
        <v/>
      </c>
      <c r="BH137" s="702">
        <f>IF($Q137&gt;0,(($X137)/(12)),0)</f>
        <v/>
      </c>
      <c r="BI137" s="702">
        <f>IF($Q137&gt;0,(($X137)/(12)),0)</f>
        <v/>
      </c>
      <c r="BJ137" s="702">
        <f>IF($Q137&gt;0,(($X137)/(12)),0)</f>
        <v/>
      </c>
      <c r="BK137" s="702">
        <f>IF($Q137&gt;0,(($X137)/(12)),0)</f>
        <v/>
      </c>
      <c r="BL137" s="702">
        <f>IF($Q137&gt;0,(($X137)/(12)),0)</f>
        <v/>
      </c>
      <c r="BM137" s="702">
        <f>IF($Q137&gt;0,(($X137)/(12)),0)</f>
        <v/>
      </c>
      <c r="BN137" s="702">
        <f>IF($Q137&gt;0,(($X137)/(12)),0)</f>
        <v/>
      </c>
      <c r="BO137" s="702">
        <f>IF($Q137&gt;0,(($X137)/(12)),0)</f>
        <v/>
      </c>
      <c r="BP137" s="702">
        <f>IF($Q137&gt;0,(($X137)/(12)),0)</f>
        <v/>
      </c>
      <c r="BQ137" s="765">
        <f>SUM(BE137:BP137)</f>
        <v/>
      </c>
      <c r="BR137" s="507" t="n"/>
      <c r="BS137" s="702">
        <f>IF($R137&gt;0,(($Y137)/(12)),0)</f>
        <v/>
      </c>
      <c r="BT137" s="702">
        <f>IF($R137&gt;0,(($Y137)/(12)),0)</f>
        <v/>
      </c>
      <c r="BU137" s="702">
        <f>IF($R137&gt;0,(($Y137)/(12)),0)</f>
        <v/>
      </c>
      <c r="BV137" s="702">
        <f>IF($R137&gt;0,(($Y137)/(12)),0)</f>
        <v/>
      </c>
      <c r="BW137" s="702">
        <f>IF($R137&gt;0,(($Y137)/(12)),0)</f>
        <v/>
      </c>
      <c r="BX137" s="702">
        <f>IF($R137&gt;0,(($Y137)/(12)),0)</f>
        <v/>
      </c>
      <c r="BY137" s="702">
        <f>IF($R137&gt;0,(($Y137)/(12)),0)</f>
        <v/>
      </c>
      <c r="BZ137" s="702">
        <f>IF($R137&gt;0,(($Y137)/(12)),0)</f>
        <v/>
      </c>
      <c r="CA137" s="702">
        <f>IF($R137&gt;0,(($Y137)/(12)),0)</f>
        <v/>
      </c>
      <c r="CB137" s="702">
        <f>IF($R137&gt;0,(($Y137)/(12)),0)</f>
        <v/>
      </c>
      <c r="CC137" s="702">
        <f>IF($R137&gt;0,(($Y137)/(12)),0)</f>
        <v/>
      </c>
      <c r="CD137" s="702">
        <f>IF($R137&gt;0,(($Y137)/(12)),0)</f>
        <v/>
      </c>
      <c r="CE137" s="765">
        <f>SUM(BS137:CD137)</f>
        <v/>
      </c>
      <c r="CF137" s="507" t="n"/>
      <c r="CG137" s="702">
        <f>IF($S137&gt;0,(($Z137)/(12)),0)</f>
        <v/>
      </c>
      <c r="CH137" s="702">
        <f>IF($S137&gt;0,(($Z137)/(12)),0)</f>
        <v/>
      </c>
      <c r="CI137" s="702">
        <f>IF($S137&gt;0,(($Z137)/(12)),0)</f>
        <v/>
      </c>
      <c r="CJ137" s="702">
        <f>IF($S137&gt;0,(($Z137)/(12)),0)</f>
        <v/>
      </c>
      <c r="CK137" s="702">
        <f>IF($S137&gt;0,(($Z137)/(12)),0)</f>
        <v/>
      </c>
      <c r="CL137" s="702">
        <f>IF($S137&gt;0,(($Z137)/(12)),0)</f>
        <v/>
      </c>
      <c r="CM137" s="702">
        <f>IF($S137&gt;0,(($Z137)/(12)),0)</f>
        <v/>
      </c>
      <c r="CN137" s="702">
        <f>IF($S137&gt;0,(($Z137)/(12)),0)</f>
        <v/>
      </c>
      <c r="CO137" s="702">
        <f>IF($S137&gt;0,(($Z137)/(12)),0)</f>
        <v/>
      </c>
      <c r="CP137" s="702">
        <f>IF($S137&gt;0,(($Z137)/(12)),0)</f>
        <v/>
      </c>
      <c r="CQ137" s="702">
        <f>IF($S137&gt;0,(($Z137)/(12)),0)</f>
        <v/>
      </c>
      <c r="CR137" s="702">
        <f>IF($S137&gt;0,(($Z137)/(12)),0)</f>
        <v/>
      </c>
      <c r="CS137" s="765">
        <f>SUM(CG137:CR137)</f>
        <v/>
      </c>
      <c r="CU137" s="702">
        <f>IF($T137&gt;0,(($AA137)/(12)),0)</f>
        <v/>
      </c>
      <c r="CV137" s="702">
        <f>IF($T137&gt;0,(($AA137)/(12)),0)</f>
        <v/>
      </c>
      <c r="CW137" s="702">
        <f>IF($T137&gt;0,(($AA137)/(12)),0)</f>
        <v/>
      </c>
      <c r="CX137" s="702">
        <f>IF($T137&gt;0,(($AA137)/(12)),0)</f>
        <v/>
      </c>
      <c r="CY137" s="702">
        <f>IF($T137&gt;0,(($AA137)/(12)),0)</f>
        <v/>
      </c>
      <c r="CZ137" s="702">
        <f>IF($T137&gt;0,(($AA137)/(12)),0)</f>
        <v/>
      </c>
      <c r="DA137" s="702">
        <f>IF($T137&gt;0,(($AA137)/(12)),0)</f>
        <v/>
      </c>
      <c r="DB137" s="702">
        <f>IF($T137&gt;0,(($AA137)/(12)),0)</f>
        <v/>
      </c>
      <c r="DC137" s="702">
        <f>IF($T137&gt;0,(($AA137)/(12)),0)</f>
        <v/>
      </c>
      <c r="DD137" s="702">
        <f>IF($T137&gt;0,(($AA137)/(12)),0)</f>
        <v/>
      </c>
      <c r="DE137" s="702">
        <f>IF($T137&gt;0,(($AA137)/(12)),0)</f>
        <v/>
      </c>
      <c r="DF137" s="702">
        <f>IF($T137&gt;0,(($AA137)/(12)),0)</f>
        <v/>
      </c>
      <c r="DG137" s="765">
        <f>SUM(CU137:DF137)</f>
        <v/>
      </c>
    </row>
    <row r="138" ht="15" customHeight="1" s="1883">
      <c r="B138" s="752">
        <f>((B137)+(1))</f>
        <v/>
      </c>
      <c r="C138" s="726" t="n"/>
      <c r="D138" s="730" t="inlineStr">
        <is>
          <t>●</t>
        </is>
      </c>
      <c r="E138" s="736" t="inlineStr">
        <is>
          <t xml:space="preserve">Shabaz Ali </t>
        </is>
      </c>
      <c r="F138" s="737" t="n"/>
      <c r="G138" s="737" t="n"/>
      <c r="H138" s="737" t="n"/>
      <c r="I138" s="736" t="inlineStr">
        <is>
          <t>Manager IT &amp; DevOps</t>
        </is>
      </c>
      <c r="J138" s="746" t="inlineStr">
        <is>
          <t>OCONUS</t>
        </is>
      </c>
      <c r="K138" s="737" t="n"/>
      <c r="L138" s="738" t="inlineStr">
        <is>
          <t>-12</t>
        </is>
      </c>
      <c r="M138" s="738" t="inlineStr">
        <is>
          <t>-12</t>
        </is>
      </c>
      <c r="N138" s="738" t="n"/>
      <c r="O138" s="754" t="n">
        <v>1</v>
      </c>
      <c r="P138" s="755" t="n">
        <v>1</v>
      </c>
      <c r="Q138" s="755" t="n">
        <v>1</v>
      </c>
      <c r="R138" s="755" t="n">
        <v>1</v>
      </c>
      <c r="S138" s="755" t="n">
        <v>1</v>
      </c>
      <c r="T138" s="755" t="n">
        <v>1</v>
      </c>
      <c r="U138" s="737" t="n"/>
      <c r="V138" s="703" t="n">
        <v>24000</v>
      </c>
      <c r="W138" s="700">
        <f>(V138)</f>
        <v/>
      </c>
      <c r="X138" s="700">
        <f>((W138)*((1)+($X$63)))</f>
        <v/>
      </c>
      <c r="Y138" s="700">
        <f>((X138)*((1)+($Y$63)))</f>
        <v/>
      </c>
      <c r="Z138" s="700">
        <f>((Y138)*((1)+($Z$63)))</f>
        <v/>
      </c>
      <c r="AA138" s="700">
        <f>((Z138)*((1)+($AA$63)))</f>
        <v/>
      </c>
      <c r="AB138" s="726" t="n"/>
      <c r="AC138" s="702">
        <f>5500/4</f>
        <v/>
      </c>
      <c r="AD138" s="702">
        <f>(($V138)/(12))</f>
        <v/>
      </c>
      <c r="AE138" s="702">
        <f>(($V138)/(12))</f>
        <v/>
      </c>
      <c r="AF138" s="702">
        <f>(($V138)/(12))</f>
        <v/>
      </c>
      <c r="AG138" s="702">
        <f>(($V138)/(12))</f>
        <v/>
      </c>
      <c r="AH138" s="702">
        <f>(($V138)/(12))</f>
        <v/>
      </c>
      <c r="AI138" s="702">
        <f>(($V138)/(12))</f>
        <v/>
      </c>
      <c r="AJ138" s="702">
        <f>(($V138)/(12))</f>
        <v/>
      </c>
      <c r="AK138" s="702">
        <f>(($V138)/(12))</f>
        <v/>
      </c>
      <c r="AL138" s="702">
        <f>(($V138)/(12))</f>
        <v/>
      </c>
      <c r="AM138" s="702">
        <f>(($V138)/(12))</f>
        <v/>
      </c>
      <c r="AN138" s="702">
        <f>(($V138)/(12))</f>
        <v/>
      </c>
      <c r="AO138" s="765">
        <f>SUM(AC138:AN138)</f>
        <v/>
      </c>
      <c r="AP138" s="462" t="n"/>
      <c r="AQ138" s="702">
        <f>IF($P138&gt;0,(($W138)/(12)),0)</f>
        <v/>
      </c>
      <c r="AR138" s="702">
        <f>IF($P138&gt;0,(($W138)/(12)),0)</f>
        <v/>
      </c>
      <c r="AS138" s="702">
        <f>IF($P138&gt;0,(($W138)/(12)),0)</f>
        <v/>
      </c>
      <c r="AT138" s="702">
        <f>IF($P138&gt;0,(($W138)/(12)),0)</f>
        <v/>
      </c>
      <c r="AU138" s="702">
        <f>IF($P138&gt;0,(($W138)/(12)),0)</f>
        <v/>
      </c>
      <c r="AV138" s="702">
        <f>IF($P138&gt;0,(($W138)/(12)),0)</f>
        <v/>
      </c>
      <c r="AW138" s="702">
        <f>IF($P138&gt;0,(($W138)/(12)),0)</f>
        <v/>
      </c>
      <c r="AX138" s="702">
        <f>IF($P138&gt;0,(($W138)/(12)),0)</f>
        <v/>
      </c>
      <c r="AY138" s="702">
        <f>IF($P138&gt;0,(($W138)/(12)),0)</f>
        <v/>
      </c>
      <c r="AZ138" s="702">
        <f>IF($P138&gt;0,(($W138)/(12)),0)</f>
        <v/>
      </c>
      <c r="BA138" s="702">
        <f>IF($P138&gt;0,(($W138)/(12)),0)</f>
        <v/>
      </c>
      <c r="BB138" s="702">
        <f>IF($P138&gt;0,(($W138)/(12)),0)</f>
        <v/>
      </c>
      <c r="BC138" s="765">
        <f>SUM(AQ138:BB138)</f>
        <v/>
      </c>
      <c r="BD138" s="462" t="n"/>
      <c r="BE138" s="702">
        <f>IF($Q138&gt;0,(($X138)/(12)),0)</f>
        <v/>
      </c>
      <c r="BF138" s="702">
        <f>IF($Q138&gt;0,(($X138)/(12)),0)</f>
        <v/>
      </c>
      <c r="BG138" s="702">
        <f>IF($Q138&gt;0,(($X138)/(12)),0)</f>
        <v/>
      </c>
      <c r="BH138" s="702">
        <f>IF($Q138&gt;0,(($X138)/(12)),0)</f>
        <v/>
      </c>
      <c r="BI138" s="702">
        <f>IF($Q138&gt;0,(($X138)/(12)),0)</f>
        <v/>
      </c>
      <c r="BJ138" s="702">
        <f>IF($Q138&gt;0,(($X138)/(12)),0)</f>
        <v/>
      </c>
      <c r="BK138" s="702">
        <f>IF($Q138&gt;0,(($X138)/(12)),0)</f>
        <v/>
      </c>
      <c r="BL138" s="702">
        <f>IF($Q138&gt;0,(($X138)/(12)),0)</f>
        <v/>
      </c>
      <c r="BM138" s="702">
        <f>IF($Q138&gt;0,(($X138)/(12)),0)</f>
        <v/>
      </c>
      <c r="BN138" s="702">
        <f>IF($Q138&gt;0,(($X138)/(12)),0)</f>
        <v/>
      </c>
      <c r="BO138" s="702">
        <f>IF($Q138&gt;0,(($X138)/(12)),0)</f>
        <v/>
      </c>
      <c r="BP138" s="702">
        <f>IF($Q138&gt;0,(($X138)/(12)),0)</f>
        <v/>
      </c>
      <c r="BQ138" s="765">
        <f>SUM(BE138:BP138)</f>
        <v/>
      </c>
      <c r="BR138" s="507" t="n"/>
      <c r="BS138" s="702">
        <f>IF($R138&gt;0,(($Y138)/(12)),0)</f>
        <v/>
      </c>
      <c r="BT138" s="702">
        <f>IF($R138&gt;0,(($Y138)/(12)),0)</f>
        <v/>
      </c>
      <c r="BU138" s="702">
        <f>IF($R138&gt;0,(($Y138)/(12)),0)</f>
        <v/>
      </c>
      <c r="BV138" s="702">
        <f>IF($R138&gt;0,(($Y138)/(12)),0)</f>
        <v/>
      </c>
      <c r="BW138" s="702">
        <f>IF($R138&gt;0,(($Y138)/(12)),0)</f>
        <v/>
      </c>
      <c r="BX138" s="702">
        <f>IF($R138&gt;0,(($Y138)/(12)),0)</f>
        <v/>
      </c>
      <c r="BY138" s="702">
        <f>IF($R138&gt;0,(($Y138)/(12)),0)</f>
        <v/>
      </c>
      <c r="BZ138" s="702">
        <f>IF($R138&gt;0,(($Y138)/(12)),0)</f>
        <v/>
      </c>
      <c r="CA138" s="702">
        <f>IF($R138&gt;0,(($Y138)/(12)),0)</f>
        <v/>
      </c>
      <c r="CB138" s="702">
        <f>IF($R138&gt;0,(($Y138)/(12)),0)</f>
        <v/>
      </c>
      <c r="CC138" s="702">
        <f>IF($R138&gt;0,(($Y138)/(12)),0)</f>
        <v/>
      </c>
      <c r="CD138" s="702">
        <f>IF($R138&gt;0,(($Y138)/(12)),0)</f>
        <v/>
      </c>
      <c r="CE138" s="765">
        <f>SUM(BS138:CD138)</f>
        <v/>
      </c>
      <c r="CF138" s="507" t="n"/>
      <c r="CG138" s="702">
        <f>IF($S138&gt;0,(($Z138)/(12)),0)</f>
        <v/>
      </c>
      <c r="CH138" s="702">
        <f>IF($S138&gt;0,(($Z138)/(12)),0)</f>
        <v/>
      </c>
      <c r="CI138" s="702">
        <f>IF($S138&gt;0,(($Z138)/(12)),0)</f>
        <v/>
      </c>
      <c r="CJ138" s="702">
        <f>IF($S138&gt;0,(($Z138)/(12)),0)</f>
        <v/>
      </c>
      <c r="CK138" s="702">
        <f>IF($S138&gt;0,(($Z138)/(12)),0)</f>
        <v/>
      </c>
      <c r="CL138" s="702">
        <f>IF($S138&gt;0,(($Z138)/(12)),0)</f>
        <v/>
      </c>
      <c r="CM138" s="702">
        <f>IF($S138&gt;0,(($Z138)/(12)),0)</f>
        <v/>
      </c>
      <c r="CN138" s="702">
        <f>IF($S138&gt;0,(($Z138)/(12)),0)</f>
        <v/>
      </c>
      <c r="CO138" s="702">
        <f>IF($S138&gt;0,(($Z138)/(12)),0)</f>
        <v/>
      </c>
      <c r="CP138" s="702">
        <f>IF($S138&gt;0,(($Z138)/(12)),0)</f>
        <v/>
      </c>
      <c r="CQ138" s="702">
        <f>IF($S138&gt;0,(($Z138)/(12)),0)</f>
        <v/>
      </c>
      <c r="CR138" s="702">
        <f>IF($S138&gt;0,(($Z138)/(12)),0)</f>
        <v/>
      </c>
      <c r="CS138" s="765">
        <f>SUM(CG138:CR138)</f>
        <v/>
      </c>
      <c r="CU138" s="702">
        <f>IF($T138&gt;0,(($AA138)/(12)),0)</f>
        <v/>
      </c>
      <c r="CV138" s="702">
        <f>IF($T138&gt;0,(($AA138)/(12)),0)</f>
        <v/>
      </c>
      <c r="CW138" s="702">
        <f>IF($T138&gt;0,(($AA138)/(12)),0)</f>
        <v/>
      </c>
      <c r="CX138" s="702">
        <f>IF($T138&gt;0,(($AA138)/(12)),0)</f>
        <v/>
      </c>
      <c r="CY138" s="702">
        <f>IF($T138&gt;0,(($AA138)/(12)),0)</f>
        <v/>
      </c>
      <c r="CZ138" s="702">
        <f>IF($T138&gt;0,(($AA138)/(12)),0)</f>
        <v/>
      </c>
      <c r="DA138" s="702">
        <f>IF($T138&gt;0,(($AA138)/(12)),0)</f>
        <v/>
      </c>
      <c r="DB138" s="702">
        <f>IF($T138&gt;0,(($AA138)/(12)),0)</f>
        <v/>
      </c>
      <c r="DC138" s="702">
        <f>IF($T138&gt;0,(($AA138)/(12)),0)</f>
        <v/>
      </c>
      <c r="DD138" s="702">
        <f>IF($T138&gt;0,(($AA138)/(12)),0)</f>
        <v/>
      </c>
      <c r="DE138" s="702">
        <f>IF($T138&gt;0,(($AA138)/(12)),0)</f>
        <v/>
      </c>
      <c r="DF138" s="702">
        <f>IF($T138&gt;0,(($AA138)/(12)),0)</f>
        <v/>
      </c>
      <c r="DG138" s="765">
        <f>SUM(CU138:DF138)</f>
        <v/>
      </c>
    </row>
    <row r="139" ht="15" customHeight="1" s="1883">
      <c r="B139" s="752">
        <f>((B138)+(1))</f>
        <v/>
      </c>
      <c r="C139" s="726" t="n"/>
      <c r="D139" s="730" t="inlineStr">
        <is>
          <t>●</t>
        </is>
      </c>
      <c r="E139" s="736" t="inlineStr">
        <is>
          <t>Waqas Nasir</t>
        </is>
      </c>
      <c r="F139" s="737" t="n"/>
      <c r="G139" s="737" t="n"/>
      <c r="H139" s="737" t="n"/>
      <c r="I139" s="736" t="inlineStr">
        <is>
          <t>Software Developer &amp; Product Owner</t>
        </is>
      </c>
      <c r="J139" s="746" t="inlineStr">
        <is>
          <t>OCONUS</t>
        </is>
      </c>
      <c r="K139" s="737" t="n"/>
      <c r="L139" s="738" t="inlineStr">
        <is>
          <t>-12</t>
        </is>
      </c>
      <c r="M139" s="738" t="inlineStr">
        <is>
          <t>-12</t>
        </is>
      </c>
      <c r="N139" s="744" t="n"/>
      <c r="O139" s="754" t="n">
        <v>1</v>
      </c>
      <c r="P139" s="755" t="n">
        <v>1</v>
      </c>
      <c r="Q139" s="755" t="n">
        <v>1</v>
      </c>
      <c r="R139" s="755" t="n">
        <v>1</v>
      </c>
      <c r="S139" s="755" t="n">
        <v>1</v>
      </c>
      <c r="T139" s="755" t="n">
        <v>1</v>
      </c>
      <c r="U139" s="737" t="n"/>
      <c r="V139" s="703" t="n">
        <v>18000</v>
      </c>
      <c r="W139" s="700">
        <f>(V139)</f>
        <v/>
      </c>
      <c r="X139" s="700">
        <f>((W139)*((1)+($X$63)))</f>
        <v/>
      </c>
      <c r="Y139" s="700">
        <f>((X139)*((1)+($Y$63)))</f>
        <v/>
      </c>
      <c r="Z139" s="700">
        <f>((Y139)*((1)+($Z$63)))</f>
        <v/>
      </c>
      <c r="AA139" s="700">
        <f>((Z139)*((1)+($AA$63)))</f>
        <v/>
      </c>
      <c r="AB139" s="726" t="n"/>
      <c r="AC139" s="702">
        <f>5500/4</f>
        <v/>
      </c>
      <c r="AD139" s="702">
        <f>(($V139)/(12))</f>
        <v/>
      </c>
      <c r="AE139" s="702">
        <f>(($V139)/(12))</f>
        <v/>
      </c>
      <c r="AF139" s="702">
        <f>(($V139)/(12))</f>
        <v/>
      </c>
      <c r="AG139" s="702">
        <f>(($V139)/(12))</f>
        <v/>
      </c>
      <c r="AH139" s="702">
        <f>(($V139)/(12))</f>
        <v/>
      </c>
      <c r="AI139" s="702">
        <f>(($V139)/(12))</f>
        <v/>
      </c>
      <c r="AJ139" s="702">
        <f>(($V139)/(12))</f>
        <v/>
      </c>
      <c r="AK139" s="702">
        <f>(($V139)/(12))</f>
        <v/>
      </c>
      <c r="AL139" s="702">
        <f>(($V139)/(12))</f>
        <v/>
      </c>
      <c r="AM139" s="702">
        <f>(($V139)/(12))</f>
        <v/>
      </c>
      <c r="AN139" s="702">
        <f>(($V139)/(12))</f>
        <v/>
      </c>
      <c r="AO139" s="765">
        <f>SUM(AC139:AN139)</f>
        <v/>
      </c>
      <c r="AP139" s="462" t="n"/>
      <c r="AQ139" s="702">
        <f>IF($P139&gt;0,(($W139)/(12)),0)</f>
        <v/>
      </c>
      <c r="AR139" s="702">
        <f>IF($P139&gt;0,(($W139)/(12)),0)</f>
        <v/>
      </c>
      <c r="AS139" s="702">
        <f>IF($P139&gt;0,(($W139)/(12)),0)</f>
        <v/>
      </c>
      <c r="AT139" s="702">
        <f>IF($P139&gt;0,(($W139)/(12)),0)</f>
        <v/>
      </c>
      <c r="AU139" s="702">
        <f>IF($P139&gt;0,(($W139)/(12)),0)</f>
        <v/>
      </c>
      <c r="AV139" s="702">
        <f>IF($P139&gt;0,(($W139)/(12)),0)</f>
        <v/>
      </c>
      <c r="AW139" s="702">
        <f>IF($P139&gt;0,(($W139)/(12)),0)</f>
        <v/>
      </c>
      <c r="AX139" s="702">
        <f>IF($P139&gt;0,(($W139)/(12)),0)</f>
        <v/>
      </c>
      <c r="AY139" s="702">
        <f>IF($P139&gt;0,(($W139)/(12)),0)</f>
        <v/>
      </c>
      <c r="AZ139" s="702">
        <f>IF($P139&gt;0,(($W139)/(12)),0)</f>
        <v/>
      </c>
      <c r="BA139" s="702">
        <f>IF($P139&gt;0,(($W139)/(12)),0)</f>
        <v/>
      </c>
      <c r="BB139" s="702">
        <f>IF($P139&gt;0,(($W139)/(12)),0)</f>
        <v/>
      </c>
      <c r="BC139" s="765">
        <f>SUM(AQ139:BB139)</f>
        <v/>
      </c>
      <c r="BD139" s="462" t="n"/>
      <c r="BE139" s="702">
        <f>IF($Q139&gt;0,(($X139)/(12)),0)</f>
        <v/>
      </c>
      <c r="BF139" s="702">
        <f>IF($Q139&gt;0,(($X139)/(12)),0)</f>
        <v/>
      </c>
      <c r="BG139" s="702">
        <f>IF($Q139&gt;0,(($X139)/(12)),0)</f>
        <v/>
      </c>
      <c r="BH139" s="702">
        <f>IF($Q139&gt;0,(($X139)/(12)),0)</f>
        <v/>
      </c>
      <c r="BI139" s="702">
        <f>IF($Q139&gt;0,(($X139)/(12)),0)</f>
        <v/>
      </c>
      <c r="BJ139" s="702">
        <f>IF($Q139&gt;0,(($X139)/(12)),0)</f>
        <v/>
      </c>
      <c r="BK139" s="702">
        <f>IF($Q139&gt;0,(($X139)/(12)),0)</f>
        <v/>
      </c>
      <c r="BL139" s="702">
        <f>IF($Q139&gt;0,(($X139)/(12)),0)</f>
        <v/>
      </c>
      <c r="BM139" s="702">
        <f>IF($Q139&gt;0,(($X139)/(12)),0)</f>
        <v/>
      </c>
      <c r="BN139" s="702">
        <f>IF($Q139&gt;0,(($X139)/(12)),0)</f>
        <v/>
      </c>
      <c r="BO139" s="702">
        <f>IF($Q139&gt;0,(($X139)/(12)),0)</f>
        <v/>
      </c>
      <c r="BP139" s="702">
        <f>IF($Q139&gt;0,(($X139)/(12)),0)</f>
        <v/>
      </c>
      <c r="BQ139" s="765">
        <f>SUM(BE139:BP139)</f>
        <v/>
      </c>
      <c r="BR139" s="507" t="n"/>
      <c r="BS139" s="702">
        <f>IF($R139&gt;0,(($Y139)/(12)),0)</f>
        <v/>
      </c>
      <c r="BT139" s="702">
        <f>IF($R139&gt;0,(($Y139)/(12)),0)</f>
        <v/>
      </c>
      <c r="BU139" s="702">
        <f>IF($R139&gt;0,(($Y139)/(12)),0)</f>
        <v/>
      </c>
      <c r="BV139" s="702">
        <f>IF($R139&gt;0,(($Y139)/(12)),0)</f>
        <v/>
      </c>
      <c r="BW139" s="702">
        <f>IF($R139&gt;0,(($Y139)/(12)),0)</f>
        <v/>
      </c>
      <c r="BX139" s="702">
        <f>IF($R139&gt;0,(($Y139)/(12)),0)</f>
        <v/>
      </c>
      <c r="BY139" s="702">
        <f>IF($R139&gt;0,(($Y139)/(12)),0)</f>
        <v/>
      </c>
      <c r="BZ139" s="702">
        <f>IF($R139&gt;0,(($Y139)/(12)),0)</f>
        <v/>
      </c>
      <c r="CA139" s="702">
        <f>IF($R139&gt;0,(($Y139)/(12)),0)</f>
        <v/>
      </c>
      <c r="CB139" s="702">
        <f>IF($R139&gt;0,(($Y139)/(12)),0)</f>
        <v/>
      </c>
      <c r="CC139" s="702">
        <f>IF($R139&gt;0,(($Y139)/(12)),0)</f>
        <v/>
      </c>
      <c r="CD139" s="702">
        <f>IF($R139&gt;0,(($Y139)/(12)),0)</f>
        <v/>
      </c>
      <c r="CE139" s="765">
        <f>SUM(BS139:CD139)</f>
        <v/>
      </c>
      <c r="CF139" s="507" t="n"/>
      <c r="CG139" s="702">
        <f>IF($S139&gt;0,(($Z139)/(12)),0)</f>
        <v/>
      </c>
      <c r="CH139" s="702">
        <f>IF($S139&gt;0,(($Z139)/(12)),0)</f>
        <v/>
      </c>
      <c r="CI139" s="702">
        <f>IF($S139&gt;0,(($Z139)/(12)),0)</f>
        <v/>
      </c>
      <c r="CJ139" s="702">
        <f>IF($S139&gt;0,(($Z139)/(12)),0)</f>
        <v/>
      </c>
      <c r="CK139" s="702">
        <f>IF($S139&gt;0,(($Z139)/(12)),0)</f>
        <v/>
      </c>
      <c r="CL139" s="702">
        <f>IF($S139&gt;0,(($Z139)/(12)),0)</f>
        <v/>
      </c>
      <c r="CM139" s="702">
        <f>IF($S139&gt;0,(($Z139)/(12)),0)</f>
        <v/>
      </c>
      <c r="CN139" s="702">
        <f>IF($S139&gt;0,(($Z139)/(12)),0)</f>
        <v/>
      </c>
      <c r="CO139" s="702">
        <f>IF($S139&gt;0,(($Z139)/(12)),0)</f>
        <v/>
      </c>
      <c r="CP139" s="702">
        <f>IF($S139&gt;0,(($Z139)/(12)),0)</f>
        <v/>
      </c>
      <c r="CQ139" s="702">
        <f>IF($S139&gt;0,(($Z139)/(12)),0)</f>
        <v/>
      </c>
      <c r="CR139" s="702">
        <f>IF($S139&gt;0,(($Z139)/(12)),0)</f>
        <v/>
      </c>
      <c r="CS139" s="765">
        <f>SUM(CG139:CR139)</f>
        <v/>
      </c>
      <c r="CU139" s="702">
        <f>IF($T139&gt;0,(($AA139)/(12)),0)</f>
        <v/>
      </c>
      <c r="CV139" s="702">
        <f>IF($T139&gt;0,(($AA139)/(12)),0)</f>
        <v/>
      </c>
      <c r="CW139" s="702">
        <f>IF($T139&gt;0,(($AA139)/(12)),0)</f>
        <v/>
      </c>
      <c r="CX139" s="702">
        <f>IF($T139&gt;0,(($AA139)/(12)),0)</f>
        <v/>
      </c>
      <c r="CY139" s="702">
        <f>IF($T139&gt;0,(($AA139)/(12)),0)</f>
        <v/>
      </c>
      <c r="CZ139" s="702">
        <f>IF($T139&gt;0,(($AA139)/(12)),0)</f>
        <v/>
      </c>
      <c r="DA139" s="702">
        <f>IF($T139&gt;0,(($AA139)/(12)),0)</f>
        <v/>
      </c>
      <c r="DB139" s="702">
        <f>IF($T139&gt;0,(($AA139)/(12)),0)</f>
        <v/>
      </c>
      <c r="DC139" s="702">
        <f>IF($T139&gt;0,(($AA139)/(12)),0)</f>
        <v/>
      </c>
      <c r="DD139" s="702">
        <f>IF($T139&gt;0,(($AA139)/(12)),0)</f>
        <v/>
      </c>
      <c r="DE139" s="702">
        <f>IF($T139&gt;0,(($AA139)/(12)),0)</f>
        <v/>
      </c>
      <c r="DF139" s="702">
        <f>IF($T139&gt;0,(($AA139)/(12)),0)</f>
        <v/>
      </c>
      <c r="DG139" s="765">
        <f>SUM(CU139:DF139)</f>
        <v/>
      </c>
    </row>
    <row r="140" ht="15" customHeight="1" s="1883">
      <c r="B140" s="752">
        <f>((B139)+(1))</f>
        <v/>
      </c>
      <c r="C140" s="726" t="n"/>
      <c r="D140" s="730" t="inlineStr">
        <is>
          <t>●</t>
        </is>
      </c>
      <c r="E140" s="736" t="inlineStr">
        <is>
          <t>TBD</t>
        </is>
      </c>
      <c r="F140" s="737" t="n"/>
      <c r="G140" s="737" t="n"/>
      <c r="H140" s="737" t="n"/>
      <c r="I140" s="736" t="inlineStr">
        <is>
          <t>Manager, Documentation</t>
        </is>
      </c>
      <c r="J140" s="746" t="inlineStr">
        <is>
          <t>OCONUS</t>
        </is>
      </c>
      <c r="K140" s="737" t="n"/>
      <c r="L140" s="738" t="n">
        <v>13</v>
      </c>
      <c r="M140" s="753" t="n">
        <v>13</v>
      </c>
      <c r="N140" s="744" t="n"/>
      <c r="O140" s="815" t="n"/>
      <c r="P140" s="756" t="n"/>
      <c r="Q140" s="755" t="n">
        <v>0</v>
      </c>
      <c r="R140" s="755" t="n">
        <v>0</v>
      </c>
      <c r="S140" s="755" t="n">
        <v>0</v>
      </c>
      <c r="T140" s="755" t="n">
        <v>0</v>
      </c>
      <c r="U140" s="737" t="n"/>
      <c r="V140" s="703" t="n">
        <v>0</v>
      </c>
      <c r="W140" s="701" t="n">
        <v>0</v>
      </c>
      <c r="X140" s="700">
        <f>((W140)*((1)+($X$63)))</f>
        <v/>
      </c>
      <c r="Y140" s="700">
        <f>((X140)*((1)+($Y$63)))</f>
        <v/>
      </c>
      <c r="Z140" s="700">
        <f>((Y140)*((1)+($Z$63)))</f>
        <v/>
      </c>
      <c r="AA140" s="700">
        <f>((Z140)*((1)+($AA$63)))</f>
        <v/>
      </c>
      <c r="AB140" s="726" t="n"/>
      <c r="AC140" s="702">
        <f>(($V140)/(12))</f>
        <v/>
      </c>
      <c r="AD140" s="702">
        <f>(($V140)/(12))</f>
        <v/>
      </c>
      <c r="AE140" s="702">
        <f>(($V140)/(12))</f>
        <v/>
      </c>
      <c r="AF140" s="702">
        <f>(($V140)/(12))</f>
        <v/>
      </c>
      <c r="AG140" s="702">
        <f>(($V140)/(12))</f>
        <v/>
      </c>
      <c r="AH140" s="702">
        <f>(($V140)/(12))</f>
        <v/>
      </c>
      <c r="AI140" s="702">
        <f>(($V140)/(12))</f>
        <v/>
      </c>
      <c r="AJ140" s="702">
        <f>(($V140)/(12))</f>
        <v/>
      </c>
      <c r="AK140" s="702">
        <f>(($V140)/(12))</f>
        <v/>
      </c>
      <c r="AL140" s="702">
        <f>(($V140)/(12))</f>
        <v/>
      </c>
      <c r="AM140" s="702">
        <f>(($V140)/(12))</f>
        <v/>
      </c>
      <c r="AN140" s="702">
        <f>(($V140)/(12))</f>
        <v/>
      </c>
      <c r="AO140" s="765">
        <f>SUM(AC140:AN140)</f>
        <v/>
      </c>
      <c r="AP140" s="462" t="n"/>
      <c r="AQ140" s="702">
        <f>IF($P140&gt;0,(($W140)/(12)),0)</f>
        <v/>
      </c>
      <c r="AR140" s="702">
        <f>IF($P140&gt;0,(($W140)/(12)),0)</f>
        <v/>
      </c>
      <c r="AS140" s="702">
        <f>IF($P140&gt;0,(($W140)/(12)),0)</f>
        <v/>
      </c>
      <c r="AT140" s="702">
        <f>IF($P140&gt;0,(($W140)/(12)),0)</f>
        <v/>
      </c>
      <c r="AU140" s="702">
        <f>IF($P140&gt;0,(($W140)/(12)),0)</f>
        <v/>
      </c>
      <c r="AV140" s="702">
        <f>IF($P140&gt;0,(($W140)/(12)),0)</f>
        <v/>
      </c>
      <c r="AW140" s="702">
        <f>IF($P140&gt;0,(($W140)/(12)),0)</f>
        <v/>
      </c>
      <c r="AX140" s="702">
        <f>IF($P140&gt;0,(($W140)/(12)),0)</f>
        <v/>
      </c>
      <c r="AY140" s="702">
        <f>IF($P140&gt;0,(($W140)/(12)),0)</f>
        <v/>
      </c>
      <c r="AZ140" s="702">
        <f>IF($P140&gt;0,(($W140)/(12)),0)</f>
        <v/>
      </c>
      <c r="BA140" s="702">
        <f>IF($P140&gt;0,(($W140)/(12)),0)</f>
        <v/>
      </c>
      <c r="BB140" s="702">
        <f>IF($P140&gt;0,(($W140)/(12)),0)</f>
        <v/>
      </c>
      <c r="BC140" s="765">
        <f>SUM(AQ140:BB140)</f>
        <v/>
      </c>
      <c r="BD140" s="462" t="n"/>
      <c r="BE140" s="702">
        <f>IF($Q140&gt;0,(($X140)/(12)),0)</f>
        <v/>
      </c>
      <c r="BF140" s="702">
        <f>IF($Q140&gt;0,(($X140)/(12)),0)</f>
        <v/>
      </c>
      <c r="BG140" s="702">
        <f>IF($Q140&gt;0,(($X140)/(12)),0)</f>
        <v/>
      </c>
      <c r="BH140" s="702">
        <f>IF($Q140&gt;0,(($X140)/(12)),0)</f>
        <v/>
      </c>
      <c r="BI140" s="702">
        <f>IF($Q140&gt;0,(($X140)/(12)),0)</f>
        <v/>
      </c>
      <c r="BJ140" s="702">
        <f>IF($Q140&gt;0,(($X140)/(12)),0)</f>
        <v/>
      </c>
      <c r="BK140" s="702">
        <f>IF($Q140&gt;0,(($X140)/(12)),0)</f>
        <v/>
      </c>
      <c r="BL140" s="702">
        <f>IF($Q140&gt;0,(($X140)/(12)),0)</f>
        <v/>
      </c>
      <c r="BM140" s="702">
        <f>IF($Q140&gt;0,(($X140)/(12)),0)</f>
        <v/>
      </c>
      <c r="BN140" s="702">
        <f>IF($Q140&gt;0,(($X140)/(12)),0)</f>
        <v/>
      </c>
      <c r="BO140" s="702">
        <f>IF($Q140&gt;0,(($X140)/(12)),0)</f>
        <v/>
      </c>
      <c r="BP140" s="702">
        <f>IF($Q140&gt;0,(($X140)/(12)),0)</f>
        <v/>
      </c>
      <c r="BQ140" s="765">
        <f>SUM(BE140:BP140)</f>
        <v/>
      </c>
      <c r="BR140" s="507" t="n"/>
      <c r="BS140" s="702">
        <f>IF($R140&gt;0,(($Y140)/(12)),0)</f>
        <v/>
      </c>
      <c r="BT140" s="702">
        <f>IF($R140&gt;0,(($Y140)/(12)),0)</f>
        <v/>
      </c>
      <c r="BU140" s="702">
        <f>IF($R140&gt;0,(($Y140)/(12)),0)</f>
        <v/>
      </c>
      <c r="BV140" s="702">
        <f>IF($R140&gt;0,(($Y140)/(12)),0)</f>
        <v/>
      </c>
      <c r="BW140" s="702">
        <f>IF($R140&gt;0,(($Y140)/(12)),0)</f>
        <v/>
      </c>
      <c r="BX140" s="702">
        <f>IF($R140&gt;0,(($Y140)/(12)),0)</f>
        <v/>
      </c>
      <c r="BY140" s="702">
        <f>IF($R140&gt;0,(($Y140)/(12)),0)</f>
        <v/>
      </c>
      <c r="BZ140" s="702">
        <f>IF($R140&gt;0,(($Y140)/(12)),0)</f>
        <v/>
      </c>
      <c r="CA140" s="702">
        <f>IF($R140&gt;0,(($Y140)/(12)),0)</f>
        <v/>
      </c>
      <c r="CB140" s="702">
        <f>IF($R140&gt;0,(($Y140)/(12)),0)</f>
        <v/>
      </c>
      <c r="CC140" s="702">
        <f>IF($R140&gt;0,(($Y140)/(12)),0)</f>
        <v/>
      </c>
      <c r="CD140" s="702">
        <f>IF($R140&gt;0,(($Y140)/(12)),0)</f>
        <v/>
      </c>
      <c r="CE140" s="765">
        <f>SUM(BS140:CD140)</f>
        <v/>
      </c>
      <c r="CF140" s="507" t="n"/>
      <c r="CG140" s="702">
        <f>IF($S140&gt;0,(($Z140)/(12)),0)</f>
        <v/>
      </c>
      <c r="CH140" s="702">
        <f>IF($S140&gt;0,(($Z140)/(12)),0)</f>
        <v/>
      </c>
      <c r="CI140" s="702">
        <f>IF($S140&gt;0,(($Z140)/(12)),0)</f>
        <v/>
      </c>
      <c r="CJ140" s="702">
        <f>IF($S140&gt;0,(($Z140)/(12)),0)</f>
        <v/>
      </c>
      <c r="CK140" s="702">
        <f>IF($S140&gt;0,(($Z140)/(12)),0)</f>
        <v/>
      </c>
      <c r="CL140" s="702">
        <f>IF($S140&gt;0,(($Z140)/(12)),0)</f>
        <v/>
      </c>
      <c r="CM140" s="702">
        <f>IF($S140&gt;0,(($Z140)/(12)),0)</f>
        <v/>
      </c>
      <c r="CN140" s="702">
        <f>IF($S140&gt;0,(($Z140)/(12)),0)</f>
        <v/>
      </c>
      <c r="CO140" s="702">
        <f>IF($S140&gt;0,(($Z140)/(12)),0)</f>
        <v/>
      </c>
      <c r="CP140" s="702">
        <f>IF($S140&gt;0,(($Z140)/(12)),0)</f>
        <v/>
      </c>
      <c r="CQ140" s="702">
        <f>IF($S140&gt;0,(($Z140)/(12)),0)</f>
        <v/>
      </c>
      <c r="CR140" s="702">
        <f>IF($S140&gt;0,(($Z140)/(12)),0)</f>
        <v/>
      </c>
      <c r="CS140" s="765">
        <f>SUM(CG140:CR140)</f>
        <v/>
      </c>
      <c r="CU140" s="702">
        <f>IF($T140&gt;0,(($AA140)/(12)),0)</f>
        <v/>
      </c>
      <c r="CV140" s="702">
        <f>IF($T140&gt;0,(($AA140)/(12)),0)</f>
        <v/>
      </c>
      <c r="CW140" s="702">
        <f>IF($T140&gt;0,(($AA140)/(12)),0)</f>
        <v/>
      </c>
      <c r="CX140" s="702">
        <f>IF($T140&gt;0,(($AA140)/(12)),0)</f>
        <v/>
      </c>
      <c r="CY140" s="702">
        <f>IF($T140&gt;0,(($AA140)/(12)),0)</f>
        <v/>
      </c>
      <c r="CZ140" s="702">
        <f>IF($T140&gt;0,(($AA140)/(12)),0)</f>
        <v/>
      </c>
      <c r="DA140" s="702">
        <f>IF($T140&gt;0,(($AA140)/(12)),0)</f>
        <v/>
      </c>
      <c r="DB140" s="702">
        <f>IF($T140&gt;0,(($AA140)/(12)),0)</f>
        <v/>
      </c>
      <c r="DC140" s="702">
        <f>IF($T140&gt;0,(($AA140)/(12)),0)</f>
        <v/>
      </c>
      <c r="DD140" s="702">
        <f>IF($T140&gt;0,(($AA140)/(12)),0)</f>
        <v/>
      </c>
      <c r="DE140" s="702">
        <f>IF($T140&gt;0,(($AA140)/(12)),0)</f>
        <v/>
      </c>
      <c r="DF140" s="702">
        <f>IF($T140&gt;0,(($AA140)/(12)),0)</f>
        <v/>
      </c>
      <c r="DG140" s="765">
        <f>SUM(CU140:DF140)</f>
        <v/>
      </c>
    </row>
    <row r="141" ht="15" customHeight="1" s="1883">
      <c r="B141" s="752">
        <f>((B140)+(1))</f>
        <v/>
      </c>
      <c r="C141" s="726" t="n"/>
      <c r="D141" s="730" t="inlineStr">
        <is>
          <t>●</t>
        </is>
      </c>
      <c r="E141" s="736" t="inlineStr">
        <is>
          <t>Dany Dirany</t>
        </is>
      </c>
      <c r="F141" s="737" t="n"/>
      <c r="G141" s="737" t="n"/>
      <c r="H141" s="737" t="n"/>
      <c r="I141" s="736" t="inlineStr">
        <is>
          <t>Hardware Team</t>
        </is>
      </c>
      <c r="J141" s="746" t="inlineStr">
        <is>
          <t>OCONUS</t>
        </is>
      </c>
      <c r="K141" s="737" t="n"/>
      <c r="L141" s="738" t="n">
        <v>2</v>
      </c>
      <c r="M141" s="738" t="n">
        <v>2</v>
      </c>
      <c r="N141" s="744" t="n"/>
      <c r="O141" s="754" t="n">
        <v>0</v>
      </c>
      <c r="P141" s="755" t="n">
        <v>1</v>
      </c>
      <c r="Q141" s="755" t="n">
        <v>1</v>
      </c>
      <c r="R141" s="755" t="n">
        <v>1</v>
      </c>
      <c r="S141" s="755" t="n">
        <v>1</v>
      </c>
      <c r="T141" s="755" t="n">
        <v>1</v>
      </c>
      <c r="U141" s="737" t="n"/>
      <c r="V141" s="703">
        <f>6500*12</f>
        <v/>
      </c>
      <c r="W141" s="701">
        <f>V141</f>
        <v/>
      </c>
      <c r="X141" s="700">
        <f>((W141)*((1)+($X$63)))</f>
        <v/>
      </c>
      <c r="Y141" s="700">
        <f>((X141)*((1)+($Y$63)))</f>
        <v/>
      </c>
      <c r="Z141" s="700">
        <f>((Y141)*((1)+($Z$63)))</f>
        <v/>
      </c>
      <c r="AA141" s="700">
        <f>((Z141)*((1)+($AA$63)))</f>
        <v/>
      </c>
      <c r="AB141" s="726" t="n"/>
      <c r="AC141" s="702" t="n">
        <v>0</v>
      </c>
      <c r="AD141" s="702" t="n">
        <v>0</v>
      </c>
      <c r="AE141" s="702" t="n">
        <v>0</v>
      </c>
      <c r="AF141" s="702" t="n">
        <v>0</v>
      </c>
      <c r="AG141" s="702" t="n">
        <v>0</v>
      </c>
      <c r="AH141" s="702" t="n">
        <v>0</v>
      </c>
      <c r="AI141" s="702" t="n">
        <v>0</v>
      </c>
      <c r="AJ141" s="702" t="n">
        <v>0</v>
      </c>
      <c r="AK141" s="702" t="n">
        <v>0</v>
      </c>
      <c r="AL141" s="702" t="n">
        <v>0</v>
      </c>
      <c r="AM141" s="702" t="n">
        <v>0</v>
      </c>
      <c r="AN141" s="702" t="n">
        <v>0</v>
      </c>
      <c r="AO141" s="765">
        <f>SUM(AC141:AN141)</f>
        <v/>
      </c>
      <c r="AP141" s="462" t="n"/>
      <c r="AQ141" s="702" t="n">
        <v>0</v>
      </c>
      <c r="AR141" s="702">
        <f>IF($P141&gt;0,(($W141)/(12)),0)</f>
        <v/>
      </c>
      <c r="AS141" s="702">
        <f>IF($P141&gt;0,(($W141)/(12)),0)</f>
        <v/>
      </c>
      <c r="AT141" s="702">
        <f>IF($P141&gt;0,(($W141)/(12)),0)</f>
        <v/>
      </c>
      <c r="AU141" s="702">
        <f>IF($P141&gt;0,(($W141)/(12)),0)</f>
        <v/>
      </c>
      <c r="AV141" s="702">
        <f>IF($P141&gt;0,(($W141)/(12)),0)</f>
        <v/>
      </c>
      <c r="AW141" s="702">
        <f>IF($P141&gt;0,(($W141)/(12)),0)</f>
        <v/>
      </c>
      <c r="AX141" s="702">
        <f>IF($P141&gt;0,(($W141)/(12)),0)</f>
        <v/>
      </c>
      <c r="AY141" s="702">
        <f>IF($P141&gt;0,(($W141)/(12)),0)</f>
        <v/>
      </c>
      <c r="AZ141" s="702">
        <f>IF($P141&gt;0,(($W141)/(12)),0)</f>
        <v/>
      </c>
      <c r="BA141" s="702">
        <f>IF($P141&gt;0,(($W141)/(12)),0)</f>
        <v/>
      </c>
      <c r="BB141" s="702">
        <f>IF($P141&gt;0,(($W141)/(12)),0)</f>
        <v/>
      </c>
      <c r="BC141" s="765">
        <f>SUM(AQ141:BB141)</f>
        <v/>
      </c>
      <c r="BD141" s="462" t="n"/>
      <c r="BE141" s="702">
        <f>IF($Q141&gt;0,(($X141)/(12)),0)</f>
        <v/>
      </c>
      <c r="BF141" s="702">
        <f>IF($Q141&gt;0,(($X141)/(12)),0)</f>
        <v/>
      </c>
      <c r="BG141" s="702">
        <f>IF($Q141&gt;0,(($X141)/(12)),0)</f>
        <v/>
      </c>
      <c r="BH141" s="702">
        <f>IF($Q141&gt;0,(($X141)/(12)),0)</f>
        <v/>
      </c>
      <c r="BI141" s="702">
        <f>IF($Q141&gt;0,(($X141)/(12)),0)</f>
        <v/>
      </c>
      <c r="BJ141" s="702">
        <f>IF($Q141&gt;0,(($X141)/(12)),0)</f>
        <v/>
      </c>
      <c r="BK141" s="702">
        <f>IF($Q141&gt;0,(($X141)/(12)),0)</f>
        <v/>
      </c>
      <c r="BL141" s="702">
        <f>IF($Q141&gt;0,(($X141)/(12)),0)</f>
        <v/>
      </c>
      <c r="BM141" s="702">
        <f>IF($Q141&gt;0,(($X141)/(12)),0)</f>
        <v/>
      </c>
      <c r="BN141" s="702">
        <f>IF($Q141&gt;0,(($X141)/(12)),0)</f>
        <v/>
      </c>
      <c r="BO141" s="702">
        <f>IF($Q141&gt;0,(($X141)/(12)),0)</f>
        <v/>
      </c>
      <c r="BP141" s="702">
        <f>IF($Q141&gt;0,(($X141)/(12)),0)</f>
        <v/>
      </c>
      <c r="BQ141" s="765">
        <f>SUM(BE141:BP141)</f>
        <v/>
      </c>
      <c r="BR141" s="507" t="n"/>
      <c r="BS141" s="702">
        <f>IF($R141&gt;0,(($Y141)/(12)),0)</f>
        <v/>
      </c>
      <c r="BT141" s="702">
        <f>IF($R141&gt;0,(($Y141)/(12)),0)</f>
        <v/>
      </c>
      <c r="BU141" s="702">
        <f>IF($R141&gt;0,(($Y141)/(12)),0)</f>
        <v/>
      </c>
      <c r="BV141" s="702">
        <f>IF($R141&gt;0,(($Y141)/(12)),0)</f>
        <v/>
      </c>
      <c r="BW141" s="702">
        <f>IF($R141&gt;0,(($Y141)/(12)),0)</f>
        <v/>
      </c>
      <c r="BX141" s="702">
        <f>IF($R141&gt;0,(($Y141)/(12)),0)</f>
        <v/>
      </c>
      <c r="BY141" s="702">
        <f>IF($R141&gt;0,(($Y141)/(12)),0)</f>
        <v/>
      </c>
      <c r="BZ141" s="702">
        <f>IF($R141&gt;0,(($Y141)/(12)),0)</f>
        <v/>
      </c>
      <c r="CA141" s="702">
        <f>IF($R141&gt;0,(($Y141)/(12)),0)</f>
        <v/>
      </c>
      <c r="CB141" s="702">
        <f>IF($R141&gt;0,(($Y141)/(12)),0)</f>
        <v/>
      </c>
      <c r="CC141" s="702">
        <f>IF($R141&gt;0,(($Y141)/(12)),0)</f>
        <v/>
      </c>
      <c r="CD141" s="702">
        <f>IF($R141&gt;0,(($Y141)/(12)),0)</f>
        <v/>
      </c>
      <c r="CE141" s="765">
        <f>SUM(BS141:CD141)</f>
        <v/>
      </c>
      <c r="CF141" s="507" t="n"/>
      <c r="CG141" s="702">
        <f>IF($S141&gt;0,(($Z141)/(12)),0)</f>
        <v/>
      </c>
      <c r="CH141" s="702">
        <f>IF($S141&gt;0,(($Z141)/(12)),0)</f>
        <v/>
      </c>
      <c r="CI141" s="702">
        <f>IF($S141&gt;0,(($Z141)/(12)),0)</f>
        <v/>
      </c>
      <c r="CJ141" s="702">
        <f>IF($S141&gt;0,(($Z141)/(12)),0)</f>
        <v/>
      </c>
      <c r="CK141" s="702">
        <f>IF($S141&gt;0,(($Z141)/(12)),0)</f>
        <v/>
      </c>
      <c r="CL141" s="702">
        <f>IF($S141&gt;0,(($Z141)/(12)),0)</f>
        <v/>
      </c>
      <c r="CM141" s="702">
        <f>IF($S141&gt;0,(($Z141)/(12)),0)</f>
        <v/>
      </c>
      <c r="CN141" s="702">
        <f>IF($S141&gt;0,(($Z141)/(12)),0)</f>
        <v/>
      </c>
      <c r="CO141" s="702">
        <f>IF($S141&gt;0,(($Z141)/(12)),0)</f>
        <v/>
      </c>
      <c r="CP141" s="702">
        <f>IF($S141&gt;0,(($Z141)/(12)),0)</f>
        <v/>
      </c>
      <c r="CQ141" s="702">
        <f>IF($S141&gt;0,(($Z141)/(12)),0)</f>
        <v/>
      </c>
      <c r="CR141" s="702">
        <f>IF($S141&gt;0,(($Z141)/(12)),0)</f>
        <v/>
      </c>
      <c r="CS141" s="765">
        <f>SUM(CG141:CR141)</f>
        <v/>
      </c>
      <c r="CU141" s="702">
        <f>IF($T141&gt;0,(($AA141)/(12)),0)</f>
        <v/>
      </c>
      <c r="CV141" s="702">
        <f>IF($T141&gt;0,(($AA141)/(12)),0)</f>
        <v/>
      </c>
      <c r="CW141" s="702">
        <f>IF($T141&gt;0,(($AA141)/(12)),0)</f>
        <v/>
      </c>
      <c r="CX141" s="702">
        <f>IF($T141&gt;0,(($AA141)/(12)),0)</f>
        <v/>
      </c>
      <c r="CY141" s="702">
        <f>IF($T141&gt;0,(($AA141)/(12)),0)</f>
        <v/>
      </c>
      <c r="CZ141" s="702">
        <f>IF($T141&gt;0,(($AA141)/(12)),0)</f>
        <v/>
      </c>
      <c r="DA141" s="702">
        <f>IF($T141&gt;0,(($AA141)/(12)),0)</f>
        <v/>
      </c>
      <c r="DB141" s="702">
        <f>IF($T141&gt;0,(($AA141)/(12)),0)</f>
        <v/>
      </c>
      <c r="DC141" s="702">
        <f>IF($T141&gt;0,(($AA141)/(12)),0)</f>
        <v/>
      </c>
      <c r="DD141" s="702">
        <f>IF($T141&gt;0,(($AA141)/(12)),0)</f>
        <v/>
      </c>
      <c r="DE141" s="702">
        <f>IF($T141&gt;0,(($AA141)/(12)),0)</f>
        <v/>
      </c>
      <c r="DF141" s="702">
        <f>IF($T141&gt;0,(($AA141)/(12)),0)</f>
        <v/>
      </c>
      <c r="DG141" s="765">
        <f>SUM(CU141:DF141)</f>
        <v/>
      </c>
    </row>
    <row r="142" ht="15" customHeight="1" s="1883">
      <c r="B142" s="752">
        <f>((B141)+(1))</f>
        <v/>
      </c>
      <c r="C142" s="726" t="n"/>
      <c r="D142" s="730" t="inlineStr">
        <is>
          <t>●</t>
        </is>
      </c>
      <c r="E142" s="736" t="inlineStr">
        <is>
          <t>Max Osborne</t>
        </is>
      </c>
      <c r="F142" s="737" t="n"/>
      <c r="G142" s="737" t="n"/>
      <c r="H142" s="737" t="n"/>
      <c r="I142" s="736" t="inlineStr">
        <is>
          <t>Data Specialist</t>
        </is>
      </c>
      <c r="J142" s="745" t="inlineStr">
        <is>
          <t>CONUS</t>
        </is>
      </c>
      <c r="K142" s="737" t="n"/>
      <c r="L142" s="738" t="n">
        <v>-8</v>
      </c>
      <c r="M142" s="738" t="n">
        <v>-8</v>
      </c>
      <c r="N142" s="744" t="n"/>
      <c r="O142" s="754" t="n">
        <v>1</v>
      </c>
      <c r="P142" s="755" t="n">
        <v>1</v>
      </c>
      <c r="Q142" s="755" t="n">
        <v>1</v>
      </c>
      <c r="R142" s="755" t="n">
        <v>1</v>
      </c>
      <c r="S142" s="755" t="n">
        <v>1</v>
      </c>
      <c r="T142" s="755" t="n">
        <v>1</v>
      </c>
      <c r="U142" s="737" t="n"/>
      <c r="V142" s="703" t="n">
        <v>90000</v>
      </c>
      <c r="W142" s="701">
        <f>V142</f>
        <v/>
      </c>
      <c r="X142" s="700">
        <f>((W142)*((1)+($X$63)))</f>
        <v/>
      </c>
      <c r="Y142" s="700">
        <f>((X142)*((1)+($Y$63)))</f>
        <v/>
      </c>
      <c r="Z142" s="700">
        <f>((Y142)*((1)+($Z$63)))</f>
        <v/>
      </c>
      <c r="AA142" s="700">
        <f>((Z142)*((1)+($AA$63)))</f>
        <v/>
      </c>
      <c r="AB142" s="726" t="n"/>
      <c r="AC142" s="702" t="n">
        <v>0</v>
      </c>
      <c r="AD142" s="702" t="n">
        <v>0</v>
      </c>
      <c r="AE142" s="702" t="n">
        <v>0</v>
      </c>
      <c r="AF142" s="702" t="n">
        <v>0</v>
      </c>
      <c r="AG142" s="702">
        <f>(($V142)/(12))</f>
        <v/>
      </c>
      <c r="AH142" s="702">
        <f>(($V142)/(12))</f>
        <v/>
      </c>
      <c r="AI142" s="702">
        <f>(($V142)/(12))</f>
        <v/>
      </c>
      <c r="AJ142" s="702">
        <f>(($V142)/(12))</f>
        <v/>
      </c>
      <c r="AK142" s="702">
        <f>(($V142)/(12))</f>
        <v/>
      </c>
      <c r="AL142" s="702">
        <f>(($V142)/(12))</f>
        <v/>
      </c>
      <c r="AM142" s="702">
        <f>(($V142)/(12))</f>
        <v/>
      </c>
      <c r="AN142" s="702">
        <f>(($V142)/(12))</f>
        <v/>
      </c>
      <c r="AO142" s="765">
        <f>SUM(AC142:AN142)</f>
        <v/>
      </c>
      <c r="AP142" s="462" t="n"/>
      <c r="AQ142" s="702">
        <f>IF($P142&gt;0,(($W142)/(12)),0)</f>
        <v/>
      </c>
      <c r="AR142" s="702">
        <f>IF($P142&gt;0,(($W142)/(12)),0)</f>
        <v/>
      </c>
      <c r="AS142" s="702">
        <f>IF($P142&gt;0,(($W142)/(12)),0)</f>
        <v/>
      </c>
      <c r="AT142" s="702">
        <f>IF($P142&gt;0,(($W142)/(12)),0)</f>
        <v/>
      </c>
      <c r="AU142" s="702">
        <f>IF($P142&gt;0,(($W142)/(12)),0)</f>
        <v/>
      </c>
      <c r="AV142" s="702">
        <f>IF($P142&gt;0,(($W142)/(12)),0)</f>
        <v/>
      </c>
      <c r="AW142" s="702">
        <f>IF($P142&gt;0,(($W142)/(12)),0)</f>
        <v/>
      </c>
      <c r="AX142" s="702">
        <f>IF($P142&gt;0,(($W142)/(12)),0)</f>
        <v/>
      </c>
      <c r="AY142" s="702">
        <f>IF($P142&gt;0,(($W142)/(12)),0)</f>
        <v/>
      </c>
      <c r="AZ142" s="702">
        <f>IF($P142&gt;0,(($W142)/(12)),0)</f>
        <v/>
      </c>
      <c r="BA142" s="702">
        <f>IF($P142&gt;0,(($W142)/(12)),0)</f>
        <v/>
      </c>
      <c r="BB142" s="702">
        <f>IF($P142&gt;0,(($W142)/(12)),0)</f>
        <v/>
      </c>
      <c r="BC142" s="765">
        <f>SUM(AQ142:BB142)</f>
        <v/>
      </c>
      <c r="BD142" s="462" t="n"/>
      <c r="BE142" s="702">
        <f>IF($Q142&gt;0,(($X142)/(12)),0)</f>
        <v/>
      </c>
      <c r="BF142" s="702">
        <f>IF($Q142&gt;0,(($X142)/(12)),0)</f>
        <v/>
      </c>
      <c r="BG142" s="702">
        <f>IF($Q142&gt;0,(($X142)/(12)),0)</f>
        <v/>
      </c>
      <c r="BH142" s="702">
        <f>IF($Q142&gt;0,(($X142)/(12)),0)</f>
        <v/>
      </c>
      <c r="BI142" s="702">
        <f>IF($Q142&gt;0,(($X142)/(12)),0)</f>
        <v/>
      </c>
      <c r="BJ142" s="702">
        <f>IF($Q142&gt;0,(($X142)/(12)),0)</f>
        <v/>
      </c>
      <c r="BK142" s="702">
        <f>IF($Q142&gt;0,(($X142)/(12)),0)</f>
        <v/>
      </c>
      <c r="BL142" s="702">
        <f>IF($Q142&gt;0,(($X142)/(12)),0)</f>
        <v/>
      </c>
      <c r="BM142" s="702">
        <f>IF($Q142&gt;0,(($X142)/(12)),0)</f>
        <v/>
      </c>
      <c r="BN142" s="702">
        <f>IF($Q142&gt;0,(($X142)/(12)),0)</f>
        <v/>
      </c>
      <c r="BO142" s="702">
        <f>IF($Q142&gt;0,(($X142)/(12)),0)</f>
        <v/>
      </c>
      <c r="BP142" s="702">
        <f>IF($Q142&gt;0,(($X142)/(12)),0)</f>
        <v/>
      </c>
      <c r="BQ142" s="765">
        <f>SUM(BE142:BP142)</f>
        <v/>
      </c>
      <c r="BR142" s="507" t="n"/>
      <c r="BS142" s="702">
        <f>IF($R142&gt;0,(($Y142)/(12)),0)</f>
        <v/>
      </c>
      <c r="BT142" s="702">
        <f>IF($R142&gt;0,(($Y142)/(12)),0)</f>
        <v/>
      </c>
      <c r="BU142" s="702">
        <f>IF($R142&gt;0,(($Y142)/(12)),0)</f>
        <v/>
      </c>
      <c r="BV142" s="702">
        <f>IF($R142&gt;0,(($Y142)/(12)),0)</f>
        <v/>
      </c>
      <c r="BW142" s="702">
        <f>IF($R142&gt;0,(($Y142)/(12)),0)</f>
        <v/>
      </c>
      <c r="BX142" s="702">
        <f>IF($R142&gt;0,(($Y142)/(12)),0)</f>
        <v/>
      </c>
      <c r="BY142" s="702">
        <f>IF($R142&gt;0,(($Y142)/(12)),0)</f>
        <v/>
      </c>
      <c r="BZ142" s="702">
        <f>IF($R142&gt;0,(($Y142)/(12)),0)</f>
        <v/>
      </c>
      <c r="CA142" s="702">
        <f>IF($R142&gt;0,(($Y142)/(12)),0)</f>
        <v/>
      </c>
      <c r="CB142" s="702">
        <f>IF($R142&gt;0,(($Y142)/(12)),0)</f>
        <v/>
      </c>
      <c r="CC142" s="702">
        <f>IF($R142&gt;0,(($Y142)/(12)),0)</f>
        <v/>
      </c>
      <c r="CD142" s="702">
        <f>IF($R142&gt;0,(($Y142)/(12)),0)</f>
        <v/>
      </c>
      <c r="CE142" s="765">
        <f>SUM(BS142:CD142)</f>
        <v/>
      </c>
      <c r="CF142" s="507" t="n"/>
      <c r="CG142" s="702">
        <f>IF($S142&gt;0,(($Z142)/(12)),0)</f>
        <v/>
      </c>
      <c r="CH142" s="702">
        <f>IF($S142&gt;0,(($Z142)/(12)),0)</f>
        <v/>
      </c>
      <c r="CI142" s="702">
        <f>IF($S142&gt;0,(($Z142)/(12)),0)</f>
        <v/>
      </c>
      <c r="CJ142" s="702">
        <f>IF($S142&gt;0,(($Z142)/(12)),0)</f>
        <v/>
      </c>
      <c r="CK142" s="702">
        <f>IF($S142&gt;0,(($Z142)/(12)),0)</f>
        <v/>
      </c>
      <c r="CL142" s="702">
        <f>IF($S142&gt;0,(($Z142)/(12)),0)</f>
        <v/>
      </c>
      <c r="CM142" s="702">
        <f>IF($S142&gt;0,(($Z142)/(12)),0)</f>
        <v/>
      </c>
      <c r="CN142" s="702">
        <f>IF($S142&gt;0,(($Z142)/(12)),0)</f>
        <v/>
      </c>
      <c r="CO142" s="702">
        <f>IF($S142&gt;0,(($Z142)/(12)),0)</f>
        <v/>
      </c>
      <c r="CP142" s="702">
        <f>IF($S142&gt;0,(($Z142)/(12)),0)</f>
        <v/>
      </c>
      <c r="CQ142" s="702">
        <f>IF($S142&gt;0,(($Z142)/(12)),0)</f>
        <v/>
      </c>
      <c r="CR142" s="702">
        <f>IF($S142&gt;0,(($Z142)/(12)),0)</f>
        <v/>
      </c>
      <c r="CS142" s="765">
        <f>SUM(CG142:CR142)</f>
        <v/>
      </c>
      <c r="CU142" s="702">
        <f>IF($T142&gt;0,(($AA142)/(12)),0)</f>
        <v/>
      </c>
      <c r="CV142" s="702">
        <f>IF($T142&gt;0,(($AA142)/(12)),0)</f>
        <v/>
      </c>
      <c r="CW142" s="702">
        <f>IF($T142&gt;0,(($AA142)/(12)),0)</f>
        <v/>
      </c>
      <c r="CX142" s="702">
        <f>IF($T142&gt;0,(($AA142)/(12)),0)</f>
        <v/>
      </c>
      <c r="CY142" s="702">
        <f>IF($T142&gt;0,(($AA142)/(12)),0)</f>
        <v/>
      </c>
      <c r="CZ142" s="702">
        <f>IF($T142&gt;0,(($AA142)/(12)),0)</f>
        <v/>
      </c>
      <c r="DA142" s="702">
        <f>IF($T142&gt;0,(($AA142)/(12)),0)</f>
        <v/>
      </c>
      <c r="DB142" s="702">
        <f>IF($T142&gt;0,(($AA142)/(12)),0)</f>
        <v/>
      </c>
      <c r="DC142" s="702">
        <f>IF($T142&gt;0,(($AA142)/(12)),0)</f>
        <v/>
      </c>
      <c r="DD142" s="702">
        <f>IF($T142&gt;0,(($AA142)/(12)),0)</f>
        <v/>
      </c>
      <c r="DE142" s="702">
        <f>IF($T142&gt;0,(($AA142)/(12)),0)</f>
        <v/>
      </c>
      <c r="DF142" s="702">
        <f>IF($T142&gt;0,(($AA142)/(12)),0)</f>
        <v/>
      </c>
      <c r="DG142" s="765">
        <f>SUM(CU142:DF142)</f>
        <v/>
      </c>
    </row>
    <row r="143" ht="15" customHeight="1" s="1883">
      <c r="B143" s="752">
        <f>((B142)+(1))</f>
        <v/>
      </c>
      <c r="C143" s="742" t="n"/>
      <c r="D143" s="730" t="inlineStr">
        <is>
          <t>●</t>
        </is>
      </c>
      <c r="E143" s="740" t="inlineStr">
        <is>
          <t>Micheline Akel</t>
        </is>
      </c>
      <c r="F143" s="737" t="n"/>
      <c r="G143" s="737" t="n"/>
      <c r="H143" s="737" t="n"/>
      <c r="I143" s="736" t="inlineStr">
        <is>
          <t>HR &amp; Office Support Manager</t>
        </is>
      </c>
      <c r="J143" s="746" t="inlineStr">
        <is>
          <t>OCONUS</t>
        </is>
      </c>
      <c r="K143" s="737" t="n"/>
      <c r="L143" s="738" t="n">
        <v>-11</v>
      </c>
      <c r="M143" s="738" t="n">
        <v>-11</v>
      </c>
      <c r="N143" s="739" t="n"/>
      <c r="O143" s="754" t="n">
        <v>1</v>
      </c>
      <c r="P143" s="755" t="n">
        <v>1</v>
      </c>
      <c r="Q143" s="755" t="n">
        <v>1</v>
      </c>
      <c r="R143" s="755" t="n">
        <v>1</v>
      </c>
      <c r="S143" s="755" t="n">
        <v>1</v>
      </c>
      <c r="T143" s="755" t="n">
        <v>1</v>
      </c>
      <c r="U143" s="737" t="n"/>
      <c r="V143" s="703">
        <f>2500*12</f>
        <v/>
      </c>
      <c r="W143" s="700">
        <f>(V143)</f>
        <v/>
      </c>
      <c r="X143" s="700">
        <f>((W143)*((1)+($X$63)))</f>
        <v/>
      </c>
      <c r="Y143" s="700">
        <f>((X143)*((1)+($Y$63)))</f>
        <v/>
      </c>
      <c r="Z143" s="700">
        <f>((Y143)*((1)+($Z$63)))</f>
        <v/>
      </c>
      <c r="AA143" s="700">
        <f>((Z143)*((1)+($AA$63)))</f>
        <v/>
      </c>
      <c r="AB143" s="726" t="n"/>
      <c r="AC143" s="702" t="n">
        <v>0</v>
      </c>
      <c r="AD143" s="702">
        <f>(($V143)/(12))</f>
        <v/>
      </c>
      <c r="AE143" s="702">
        <f>(($V143)/(12))</f>
        <v/>
      </c>
      <c r="AF143" s="702">
        <f>(($V143)/(12))</f>
        <v/>
      </c>
      <c r="AG143" s="702">
        <f>(($V143)/(12))</f>
        <v/>
      </c>
      <c r="AH143" s="702">
        <f>(($V143)/(12))</f>
        <v/>
      </c>
      <c r="AI143" s="702">
        <f>(($V143)/(12))</f>
        <v/>
      </c>
      <c r="AJ143" s="702">
        <f>(($V143)/(12))</f>
        <v/>
      </c>
      <c r="AK143" s="702">
        <f>(($V143)/(12))</f>
        <v/>
      </c>
      <c r="AL143" s="702">
        <f>(($V143)/(12))</f>
        <v/>
      </c>
      <c r="AM143" s="702">
        <f>(($V143)/(12))</f>
        <v/>
      </c>
      <c r="AN143" s="702">
        <f>(($V143)/(12))</f>
        <v/>
      </c>
      <c r="AO143" s="765">
        <f>SUM(AC143:AN143)</f>
        <v/>
      </c>
      <c r="AP143" s="462" t="n"/>
      <c r="AQ143" s="702">
        <f>IF($P143&gt;0,(($W143)/(12)),0)</f>
        <v/>
      </c>
      <c r="AR143" s="702">
        <f>IF($P143&gt;0,(($W143)/(12)),0)</f>
        <v/>
      </c>
      <c r="AS143" s="702">
        <f>IF($P143&gt;0,(($W143)/(12)),0)</f>
        <v/>
      </c>
      <c r="AT143" s="702">
        <f>IF($P143&gt;0,(($W143)/(12)),0)</f>
        <v/>
      </c>
      <c r="AU143" s="702">
        <f>IF($P143&gt;0,(($W143)/(12)),0)</f>
        <v/>
      </c>
      <c r="AV143" s="702">
        <f>IF($P143&gt;0,(($W143)/(12)),0)</f>
        <v/>
      </c>
      <c r="AW143" s="702">
        <f>IF($P143&gt;0,(($W143)/(12)),0)</f>
        <v/>
      </c>
      <c r="AX143" s="702">
        <f>IF($P143&gt;0,(($W143)/(12)),0)</f>
        <v/>
      </c>
      <c r="AY143" s="702">
        <f>IF($P143&gt;0,(($W143)/(12)),0)</f>
        <v/>
      </c>
      <c r="AZ143" s="702">
        <f>IF($P143&gt;0,(($W143)/(12)),0)</f>
        <v/>
      </c>
      <c r="BA143" s="702">
        <f>IF($P143&gt;0,(($W143)/(12)),0)</f>
        <v/>
      </c>
      <c r="BB143" s="702">
        <f>IF($P143&gt;0,(($W143)/(12)),0)</f>
        <v/>
      </c>
      <c r="BC143" s="765">
        <f>SUM(AQ143:BB143)</f>
        <v/>
      </c>
      <c r="BD143" s="462" t="n"/>
      <c r="BE143" s="702">
        <f>IF($Q143&gt;0,(($X143)/(12)),0)</f>
        <v/>
      </c>
      <c r="BF143" s="702">
        <f>IF($Q143&gt;0,(($X143)/(12)),0)</f>
        <v/>
      </c>
      <c r="BG143" s="702">
        <f>IF($Q143&gt;0,(($X143)/(12)),0)</f>
        <v/>
      </c>
      <c r="BH143" s="702">
        <f>IF($Q143&gt;0,(($X143)/(12)),0)</f>
        <v/>
      </c>
      <c r="BI143" s="702">
        <f>IF($Q143&gt;0,(($X143)/(12)),0)</f>
        <v/>
      </c>
      <c r="BJ143" s="702">
        <f>IF($Q143&gt;0,(($X143)/(12)),0)</f>
        <v/>
      </c>
      <c r="BK143" s="702">
        <f>IF($Q143&gt;0,(($X143)/(12)),0)</f>
        <v/>
      </c>
      <c r="BL143" s="702">
        <f>IF($Q143&gt;0,(($X143)/(12)),0)</f>
        <v/>
      </c>
      <c r="BM143" s="702">
        <f>IF($Q143&gt;0,(($X143)/(12)),0)</f>
        <v/>
      </c>
      <c r="BN143" s="702">
        <f>IF($Q143&gt;0,(($X143)/(12)),0)</f>
        <v/>
      </c>
      <c r="BO143" s="702">
        <f>IF($Q143&gt;0,(($X143)/(12)),0)</f>
        <v/>
      </c>
      <c r="BP143" s="702">
        <f>IF($Q143&gt;0,(($X143)/(12)),0)</f>
        <v/>
      </c>
      <c r="BQ143" s="765">
        <f>SUM(BE143:BP143)</f>
        <v/>
      </c>
      <c r="BR143" s="507" t="n"/>
      <c r="BS143" s="702">
        <f>IF($R143&gt;0,(($Y143)/(12)),0)</f>
        <v/>
      </c>
      <c r="BT143" s="702">
        <f>IF($R143&gt;0,(($Y143)/(12)),0)</f>
        <v/>
      </c>
      <c r="BU143" s="702">
        <f>IF($R143&gt;0,(($Y143)/(12)),0)</f>
        <v/>
      </c>
      <c r="BV143" s="702">
        <f>IF($R143&gt;0,(($Y143)/(12)),0)</f>
        <v/>
      </c>
      <c r="BW143" s="702">
        <f>IF($R143&gt;0,(($Y143)/(12)),0)</f>
        <v/>
      </c>
      <c r="BX143" s="702">
        <f>IF($R143&gt;0,(($Y143)/(12)),0)</f>
        <v/>
      </c>
      <c r="BY143" s="702">
        <f>IF($R143&gt;0,(($Y143)/(12)),0)</f>
        <v/>
      </c>
      <c r="BZ143" s="702">
        <f>IF($R143&gt;0,(($Y143)/(12)),0)</f>
        <v/>
      </c>
      <c r="CA143" s="702">
        <f>IF($R143&gt;0,(($Y143)/(12)),0)</f>
        <v/>
      </c>
      <c r="CB143" s="702">
        <f>IF($R143&gt;0,(($Y143)/(12)),0)</f>
        <v/>
      </c>
      <c r="CC143" s="702">
        <f>IF($R143&gt;0,(($Y143)/(12)),0)</f>
        <v/>
      </c>
      <c r="CD143" s="702">
        <f>IF($R143&gt;0,(($Y143)/(12)),0)</f>
        <v/>
      </c>
      <c r="CE143" s="765">
        <f>SUM(BS143:CD143)</f>
        <v/>
      </c>
      <c r="CF143" s="507" t="n"/>
      <c r="CG143" s="702">
        <f>IF($S143&gt;0,(($Z143)/(12)),0)</f>
        <v/>
      </c>
      <c r="CH143" s="702">
        <f>IF($S143&gt;0,(($Z143)/(12)),0)</f>
        <v/>
      </c>
      <c r="CI143" s="702">
        <f>IF($S143&gt;0,(($Z143)/(12)),0)</f>
        <v/>
      </c>
      <c r="CJ143" s="702">
        <f>IF($S143&gt;0,(($Z143)/(12)),0)</f>
        <v/>
      </c>
      <c r="CK143" s="702">
        <f>IF($S143&gt;0,(($Z143)/(12)),0)</f>
        <v/>
      </c>
      <c r="CL143" s="702">
        <f>IF($S143&gt;0,(($Z143)/(12)),0)</f>
        <v/>
      </c>
      <c r="CM143" s="702">
        <f>IF($S143&gt;0,(($Z143)/(12)),0)</f>
        <v/>
      </c>
      <c r="CN143" s="702">
        <f>IF($S143&gt;0,(($Z143)/(12)),0)</f>
        <v/>
      </c>
      <c r="CO143" s="702">
        <f>IF($S143&gt;0,(($Z143)/(12)),0)</f>
        <v/>
      </c>
      <c r="CP143" s="702">
        <f>IF($S143&gt;0,(($Z143)/(12)),0)</f>
        <v/>
      </c>
      <c r="CQ143" s="702">
        <f>IF($S143&gt;0,(($Z143)/(12)),0)</f>
        <v/>
      </c>
      <c r="CR143" s="702">
        <f>IF($S143&gt;0,(($Z143)/(12)),0)</f>
        <v/>
      </c>
      <c r="CS143" s="765">
        <f>SUM(CG143:CR143)</f>
        <v/>
      </c>
      <c r="CU143" s="702">
        <f>IF($T143&gt;0,(($AA143)/(12)),0)</f>
        <v/>
      </c>
      <c r="CV143" s="702">
        <f>IF($T143&gt;0,(($AA143)/(12)),0)</f>
        <v/>
      </c>
      <c r="CW143" s="702">
        <f>IF($T143&gt;0,(($AA143)/(12)),0)</f>
        <v/>
      </c>
      <c r="CX143" s="702">
        <f>IF($T143&gt;0,(($AA143)/(12)),0)</f>
        <v/>
      </c>
      <c r="CY143" s="702">
        <f>IF($T143&gt;0,(($AA143)/(12)),0)</f>
        <v/>
      </c>
      <c r="CZ143" s="702">
        <f>IF($T143&gt;0,(($AA143)/(12)),0)</f>
        <v/>
      </c>
      <c r="DA143" s="702">
        <f>IF($T143&gt;0,(($AA143)/(12)),0)</f>
        <v/>
      </c>
      <c r="DB143" s="702">
        <f>IF($T143&gt;0,(($AA143)/(12)),0)</f>
        <v/>
      </c>
      <c r="DC143" s="702">
        <f>IF($T143&gt;0,(($AA143)/(12)),0)</f>
        <v/>
      </c>
      <c r="DD143" s="702">
        <f>IF($T143&gt;0,(($AA143)/(12)),0)</f>
        <v/>
      </c>
      <c r="DE143" s="702">
        <f>IF($T143&gt;0,(($AA143)/(12)),0)</f>
        <v/>
      </c>
      <c r="DF143" s="702">
        <f>IF($T143&gt;0,(($AA143)/(12)),0)</f>
        <v/>
      </c>
      <c r="DG143" s="765">
        <f>SUM(CU143:DF143)</f>
        <v/>
      </c>
    </row>
    <row r="144" ht="15" customHeight="1" s="1883">
      <c r="B144" s="752">
        <f>((B143)+(1))</f>
        <v/>
      </c>
      <c r="C144" s="742" t="n"/>
      <c r="D144" s="730" t="inlineStr">
        <is>
          <t>●</t>
        </is>
      </c>
      <c r="E144" s="740" t="inlineStr">
        <is>
          <t>Linda Chaaya</t>
        </is>
      </c>
      <c r="F144" s="737" t="n"/>
      <c r="G144" s="737" t="n"/>
      <c r="H144" s="737" t="n"/>
      <c r="I144" s="736" t="inlineStr">
        <is>
          <t>Executive Assistant</t>
        </is>
      </c>
      <c r="J144" s="746" t="inlineStr">
        <is>
          <t>OCONUS</t>
        </is>
      </c>
      <c r="K144" s="737" t="n"/>
      <c r="L144" s="738" t="n">
        <v>-11</v>
      </c>
      <c r="M144" s="738" t="n">
        <v>-11</v>
      </c>
      <c r="N144" s="739" t="n"/>
      <c r="O144" s="754" t="n">
        <v>1</v>
      </c>
      <c r="P144" s="755" t="n">
        <v>1</v>
      </c>
      <c r="Q144" s="755" t="n">
        <v>1</v>
      </c>
      <c r="R144" s="755" t="n">
        <v>1</v>
      </c>
      <c r="S144" s="755" t="n">
        <v>1</v>
      </c>
      <c r="T144" s="755" t="n">
        <v>1</v>
      </c>
      <c r="U144" s="737" t="n"/>
      <c r="V144" s="703">
        <f>5000*12</f>
        <v/>
      </c>
      <c r="W144" s="700">
        <f>(V144)</f>
        <v/>
      </c>
      <c r="X144" s="700">
        <f>((W144)*((1)+($X$63)))</f>
        <v/>
      </c>
      <c r="Y144" s="700">
        <f>((X144)*((1)+($Y$63)))</f>
        <v/>
      </c>
      <c r="Z144" s="700">
        <f>((Y144)*((1)+($Z$63)))</f>
        <v/>
      </c>
      <c r="AA144" s="700">
        <f>((Z144)*((1)+($AA$63)))</f>
        <v/>
      </c>
      <c r="AB144" s="726" t="n"/>
      <c r="AC144" s="702" t="n">
        <v>2500</v>
      </c>
      <c r="AD144" s="702" t="n">
        <v>2500</v>
      </c>
      <c r="AE144" s="702">
        <f>(($V144)/(12))</f>
        <v/>
      </c>
      <c r="AF144" s="702">
        <f>(($V144)/(12))</f>
        <v/>
      </c>
      <c r="AG144" s="702">
        <f>(($V144)/(12))</f>
        <v/>
      </c>
      <c r="AH144" s="702">
        <f>(($V144)/(12))</f>
        <v/>
      </c>
      <c r="AI144" s="702">
        <f>(($V144)/(12))</f>
        <v/>
      </c>
      <c r="AJ144" s="702">
        <f>(($V144)/(12))</f>
        <v/>
      </c>
      <c r="AK144" s="702">
        <f>(($V144)/(12))</f>
        <v/>
      </c>
      <c r="AL144" s="702">
        <f>(($V144)/(12))</f>
        <v/>
      </c>
      <c r="AM144" s="702">
        <f>(($V144)/(12))</f>
        <v/>
      </c>
      <c r="AN144" s="702">
        <f>(($V144)/(12))</f>
        <v/>
      </c>
      <c r="AO144" s="765">
        <f>SUM(AC144:AN144)</f>
        <v/>
      </c>
      <c r="AP144" s="462" t="n"/>
      <c r="AQ144" s="702">
        <f>IF($P144&gt;0,(($W144)/(12)),0)</f>
        <v/>
      </c>
      <c r="AR144" s="702">
        <f>IF($P144&gt;0,(($W144)/(12)),0)</f>
        <v/>
      </c>
      <c r="AS144" s="702">
        <f>IF($P144&gt;0,(($W144)/(12)),0)</f>
        <v/>
      </c>
      <c r="AT144" s="702">
        <f>IF($P144&gt;0,(($W144)/(12)),0)</f>
        <v/>
      </c>
      <c r="AU144" s="702">
        <f>IF($P144&gt;0,(($W144)/(12)),0)</f>
        <v/>
      </c>
      <c r="AV144" s="702">
        <f>IF($P144&gt;0,(($W144)/(12)),0)</f>
        <v/>
      </c>
      <c r="AW144" s="702">
        <f>IF($P144&gt;0,(($W144)/(12)),0)</f>
        <v/>
      </c>
      <c r="AX144" s="702">
        <f>IF($P144&gt;0,(($W144)/(12)),0)</f>
        <v/>
      </c>
      <c r="AY144" s="702">
        <f>IF($P144&gt;0,(($W144)/(12)),0)</f>
        <v/>
      </c>
      <c r="AZ144" s="702">
        <f>IF($P144&gt;0,(($W144)/(12)),0)</f>
        <v/>
      </c>
      <c r="BA144" s="702">
        <f>IF($P144&gt;0,(($W144)/(12)),0)</f>
        <v/>
      </c>
      <c r="BB144" s="702">
        <f>IF($P144&gt;0,(($W144)/(12)),0)</f>
        <v/>
      </c>
      <c r="BC144" s="765">
        <f>SUM(AQ144:BB144)</f>
        <v/>
      </c>
      <c r="BD144" s="462" t="n"/>
      <c r="BE144" s="702">
        <f>IF($Q144&gt;0,(($X144)/(12)),0)</f>
        <v/>
      </c>
      <c r="BF144" s="702">
        <f>IF($Q144&gt;0,(($X144)/(12)),0)</f>
        <v/>
      </c>
      <c r="BG144" s="702">
        <f>IF($Q144&gt;0,(($X144)/(12)),0)</f>
        <v/>
      </c>
      <c r="BH144" s="702">
        <f>IF($Q144&gt;0,(($X144)/(12)),0)</f>
        <v/>
      </c>
      <c r="BI144" s="702">
        <f>IF($Q144&gt;0,(($X144)/(12)),0)</f>
        <v/>
      </c>
      <c r="BJ144" s="702">
        <f>IF($Q144&gt;0,(($X144)/(12)),0)</f>
        <v/>
      </c>
      <c r="BK144" s="702">
        <f>IF($Q144&gt;0,(($X144)/(12)),0)</f>
        <v/>
      </c>
      <c r="BL144" s="702">
        <f>IF($Q144&gt;0,(($X144)/(12)),0)</f>
        <v/>
      </c>
      <c r="BM144" s="702">
        <f>IF($Q144&gt;0,(($X144)/(12)),0)</f>
        <v/>
      </c>
      <c r="BN144" s="702">
        <f>IF($Q144&gt;0,(($X144)/(12)),0)</f>
        <v/>
      </c>
      <c r="BO144" s="702">
        <f>IF($Q144&gt;0,(($X144)/(12)),0)</f>
        <v/>
      </c>
      <c r="BP144" s="702">
        <f>IF($Q144&gt;0,(($X144)/(12)),0)</f>
        <v/>
      </c>
      <c r="BQ144" s="765">
        <f>SUM(BE144:BP144)</f>
        <v/>
      </c>
      <c r="BR144" s="507" t="n"/>
      <c r="BS144" s="702">
        <f>IF($R144&gt;0,(($Y144)/(12)),0)</f>
        <v/>
      </c>
      <c r="BT144" s="702">
        <f>IF($R144&gt;0,(($Y144)/(12)),0)</f>
        <v/>
      </c>
      <c r="BU144" s="702">
        <f>IF($R144&gt;0,(($Y144)/(12)),0)</f>
        <v/>
      </c>
      <c r="BV144" s="702">
        <f>IF($R144&gt;0,(($Y144)/(12)),0)</f>
        <v/>
      </c>
      <c r="BW144" s="702">
        <f>IF($R144&gt;0,(($Y144)/(12)),0)</f>
        <v/>
      </c>
      <c r="BX144" s="702">
        <f>IF($R144&gt;0,(($Y144)/(12)),0)</f>
        <v/>
      </c>
      <c r="BY144" s="702">
        <f>IF($R144&gt;0,(($Y144)/(12)),0)</f>
        <v/>
      </c>
      <c r="BZ144" s="702">
        <f>IF($R144&gt;0,(($Y144)/(12)),0)</f>
        <v/>
      </c>
      <c r="CA144" s="702">
        <f>IF($R144&gt;0,(($Y144)/(12)),0)</f>
        <v/>
      </c>
      <c r="CB144" s="702">
        <f>IF($R144&gt;0,(($Y144)/(12)),0)</f>
        <v/>
      </c>
      <c r="CC144" s="702">
        <f>IF($R144&gt;0,(($Y144)/(12)),0)</f>
        <v/>
      </c>
      <c r="CD144" s="702">
        <f>IF($R144&gt;0,(($Y144)/(12)),0)</f>
        <v/>
      </c>
      <c r="CE144" s="765">
        <f>SUM(BS144:CD144)</f>
        <v/>
      </c>
      <c r="CF144" s="507" t="n"/>
      <c r="CG144" s="702">
        <f>IF($S144&gt;0,(($Z144)/(12)),0)</f>
        <v/>
      </c>
      <c r="CH144" s="702">
        <f>IF($S144&gt;0,(($Z144)/(12)),0)</f>
        <v/>
      </c>
      <c r="CI144" s="702">
        <f>IF($S144&gt;0,(($Z144)/(12)),0)</f>
        <v/>
      </c>
      <c r="CJ144" s="702">
        <f>IF($S144&gt;0,(($Z144)/(12)),0)</f>
        <v/>
      </c>
      <c r="CK144" s="702">
        <f>IF($S144&gt;0,(($Z144)/(12)),0)</f>
        <v/>
      </c>
      <c r="CL144" s="702">
        <f>IF($S144&gt;0,(($Z144)/(12)),0)</f>
        <v/>
      </c>
      <c r="CM144" s="702">
        <f>IF($S144&gt;0,(($Z144)/(12)),0)</f>
        <v/>
      </c>
      <c r="CN144" s="702">
        <f>IF($S144&gt;0,(($Z144)/(12)),0)</f>
        <v/>
      </c>
      <c r="CO144" s="702">
        <f>IF($S144&gt;0,(($Z144)/(12)),0)</f>
        <v/>
      </c>
      <c r="CP144" s="702">
        <f>IF($S144&gt;0,(($Z144)/(12)),0)</f>
        <v/>
      </c>
      <c r="CQ144" s="702">
        <f>IF($S144&gt;0,(($Z144)/(12)),0)</f>
        <v/>
      </c>
      <c r="CR144" s="702">
        <f>IF($S144&gt;0,(($Z144)/(12)),0)</f>
        <v/>
      </c>
      <c r="CS144" s="765">
        <f>SUM(CG144:CR144)</f>
        <v/>
      </c>
      <c r="CU144" s="702">
        <f>IF($T144&gt;0,(($AA144)/(12)),0)</f>
        <v/>
      </c>
      <c r="CV144" s="702">
        <f>IF($T144&gt;0,(($AA144)/(12)),0)</f>
        <v/>
      </c>
      <c r="CW144" s="702">
        <f>IF($T144&gt;0,(($AA144)/(12)),0)</f>
        <v/>
      </c>
      <c r="CX144" s="702">
        <f>IF($T144&gt;0,(($AA144)/(12)),0)</f>
        <v/>
      </c>
      <c r="CY144" s="702">
        <f>IF($T144&gt;0,(($AA144)/(12)),0)</f>
        <v/>
      </c>
      <c r="CZ144" s="702">
        <f>IF($T144&gt;0,(($AA144)/(12)),0)</f>
        <v/>
      </c>
      <c r="DA144" s="702">
        <f>IF($T144&gt;0,(($AA144)/(12)),0)</f>
        <v/>
      </c>
      <c r="DB144" s="702">
        <f>IF($T144&gt;0,(($AA144)/(12)),0)</f>
        <v/>
      </c>
      <c r="DC144" s="702">
        <f>IF($T144&gt;0,(($AA144)/(12)),0)</f>
        <v/>
      </c>
      <c r="DD144" s="702">
        <f>IF($T144&gt;0,(($AA144)/(12)),0)</f>
        <v/>
      </c>
      <c r="DE144" s="702">
        <f>IF($T144&gt;0,(($AA144)/(12)),0)</f>
        <v/>
      </c>
      <c r="DF144" s="702">
        <f>IF($T144&gt;0,(($AA144)/(12)),0)</f>
        <v/>
      </c>
      <c r="DG144" s="765">
        <f>SUM(CU144:DF144)</f>
        <v/>
      </c>
    </row>
    <row r="145" ht="15" customHeight="1" s="1883">
      <c r="B145" s="752">
        <f>((B144)+(1))</f>
        <v/>
      </c>
      <c r="C145" s="742" t="n"/>
      <c r="D145" s="730" t="inlineStr">
        <is>
          <t>●</t>
        </is>
      </c>
      <c r="E145" s="740" t="inlineStr">
        <is>
          <t xml:space="preserve">Baruch Santana </t>
        </is>
      </c>
      <c r="F145" s="737" t="n"/>
      <c r="G145" s="737" t="n"/>
      <c r="H145" s="737" t="n"/>
      <c r="I145" s="736" t="inlineStr">
        <is>
          <t>Team Director, Operations</t>
        </is>
      </c>
      <c r="J145" s="745" t="inlineStr">
        <is>
          <t>CONUS</t>
        </is>
      </c>
      <c r="K145" s="737" t="n"/>
      <c r="L145" s="738" t="inlineStr">
        <is>
          <t>-12</t>
        </is>
      </c>
      <c r="M145" s="738" t="n">
        <v>-11</v>
      </c>
      <c r="N145" s="738" t="n"/>
      <c r="O145" s="754" t="n">
        <v>1</v>
      </c>
      <c r="P145" s="755" t="n">
        <v>1</v>
      </c>
      <c r="Q145" s="755" t="n">
        <v>1</v>
      </c>
      <c r="R145" s="755" t="n">
        <v>1</v>
      </c>
      <c r="S145" s="755" t="n">
        <v>1</v>
      </c>
      <c r="T145" s="755" t="n">
        <v>1</v>
      </c>
      <c r="U145" s="737" t="n"/>
      <c r="V145" s="703" t="n">
        <v>60000</v>
      </c>
      <c r="W145" s="700">
        <f>(V145)</f>
        <v/>
      </c>
      <c r="X145" s="700">
        <f>((W145)*((1)+($X$63)))</f>
        <v/>
      </c>
      <c r="Y145" s="700">
        <f>((X145)*((1)+($Y$63)))</f>
        <v/>
      </c>
      <c r="Z145" s="700">
        <f>((Y145)*((1)+($Z$63)))</f>
        <v/>
      </c>
      <c r="AA145" s="700">
        <f>((Z145)*((1)+($AA$63)))</f>
        <v/>
      </c>
      <c r="AB145" s="726" t="n"/>
      <c r="AC145" s="702" t="n">
        <v>0</v>
      </c>
      <c r="AD145" s="702" t="n">
        <v>0</v>
      </c>
      <c r="AE145" s="702">
        <f>(($V145)/(12))</f>
        <v/>
      </c>
      <c r="AF145" s="702">
        <f>(($V145)/(12))</f>
        <v/>
      </c>
      <c r="AG145" s="702">
        <f>(($V145)/(12))</f>
        <v/>
      </c>
      <c r="AH145" s="702">
        <f>(($V145)/(12))</f>
        <v/>
      </c>
      <c r="AI145" s="702">
        <f>(($V145)/(12))</f>
        <v/>
      </c>
      <c r="AJ145" s="702">
        <f>(($V145)/(12))</f>
        <v/>
      </c>
      <c r="AK145" s="702">
        <f>(($V145)/(12))</f>
        <v/>
      </c>
      <c r="AL145" s="702">
        <f>(($V145)/(12))</f>
        <v/>
      </c>
      <c r="AM145" s="702">
        <f>(($V145)/(12))</f>
        <v/>
      </c>
      <c r="AN145" s="702">
        <f>(($V145)/(12))</f>
        <v/>
      </c>
      <c r="AO145" s="765">
        <f>SUM(AC145:AN145)</f>
        <v/>
      </c>
      <c r="AP145" s="462" t="n"/>
      <c r="AQ145" s="702">
        <f>IF($P145&gt;0,(($W145)/(12)),0)</f>
        <v/>
      </c>
      <c r="AR145" s="702">
        <f>IF($P145&gt;0,(($W145)/(12)),0)</f>
        <v/>
      </c>
      <c r="AS145" s="702">
        <f>IF($P145&gt;0,(($W145)/(12)),0)</f>
        <v/>
      </c>
      <c r="AT145" s="702">
        <f>IF($P145&gt;0,(($W145)/(12)),0)</f>
        <v/>
      </c>
      <c r="AU145" s="702">
        <f>IF($P145&gt;0,(($W145)/(12)),0)</f>
        <v/>
      </c>
      <c r="AV145" s="702">
        <f>IF($P145&gt;0,(($W145)/(12)),0)</f>
        <v/>
      </c>
      <c r="AW145" s="702">
        <f>IF($P145&gt;0,(($W145)/(12)),0)</f>
        <v/>
      </c>
      <c r="AX145" s="702">
        <f>IF($P145&gt;0,(($W145)/(12)),0)</f>
        <v/>
      </c>
      <c r="AY145" s="702">
        <f>IF($P145&gt;0,(($W145)/(12)),0)</f>
        <v/>
      </c>
      <c r="AZ145" s="702">
        <f>IF($P145&gt;0,(($W145)/(12)),0)</f>
        <v/>
      </c>
      <c r="BA145" s="702">
        <f>IF($P145&gt;0,(($W145)/(12)),0)</f>
        <v/>
      </c>
      <c r="BB145" s="702">
        <f>IF($P145&gt;0,(($W145)/(12)),0)</f>
        <v/>
      </c>
      <c r="BC145" s="765">
        <f>SUM(AQ145:BB145)</f>
        <v/>
      </c>
      <c r="BD145" s="462" t="n"/>
      <c r="BE145" s="702">
        <f>IF($Q145&gt;0,(($X145)/(12)),0)</f>
        <v/>
      </c>
      <c r="BF145" s="702">
        <f>IF($Q145&gt;0,(($X145)/(12)),0)</f>
        <v/>
      </c>
      <c r="BG145" s="702">
        <f>IF($Q145&gt;0,(($X145)/(12)),0)</f>
        <v/>
      </c>
      <c r="BH145" s="702">
        <f>IF($Q145&gt;0,(($X145)/(12)),0)</f>
        <v/>
      </c>
      <c r="BI145" s="702">
        <f>IF($Q145&gt;0,(($X145)/(12)),0)</f>
        <v/>
      </c>
      <c r="BJ145" s="702">
        <f>IF($Q145&gt;0,(($X145)/(12)),0)</f>
        <v/>
      </c>
      <c r="BK145" s="702">
        <f>IF($Q145&gt;0,(($X145)/(12)),0)</f>
        <v/>
      </c>
      <c r="BL145" s="702">
        <f>IF($Q145&gt;0,(($X145)/(12)),0)</f>
        <v/>
      </c>
      <c r="BM145" s="702">
        <f>IF($Q145&gt;0,(($X145)/(12)),0)</f>
        <v/>
      </c>
      <c r="BN145" s="702">
        <f>IF($Q145&gt;0,(($X145)/(12)),0)</f>
        <v/>
      </c>
      <c r="BO145" s="702">
        <f>IF($Q145&gt;0,(($X145)/(12)),0)</f>
        <v/>
      </c>
      <c r="BP145" s="702">
        <f>IF($Q145&gt;0,(($X145)/(12)),0)</f>
        <v/>
      </c>
      <c r="BQ145" s="765">
        <f>SUM(BE145:BP145)</f>
        <v/>
      </c>
      <c r="BR145" s="507" t="n"/>
      <c r="BS145" s="702">
        <f>IF($R145&gt;0,(($Y145)/(12)),0)</f>
        <v/>
      </c>
      <c r="BT145" s="702">
        <f>IF($R145&gt;0,(($Y145)/(12)),0)</f>
        <v/>
      </c>
      <c r="BU145" s="702">
        <f>IF($R145&gt;0,(($Y145)/(12)),0)</f>
        <v/>
      </c>
      <c r="BV145" s="702">
        <f>IF($R145&gt;0,(($Y145)/(12)),0)</f>
        <v/>
      </c>
      <c r="BW145" s="702">
        <f>IF($R145&gt;0,(($Y145)/(12)),0)</f>
        <v/>
      </c>
      <c r="BX145" s="702">
        <f>IF($R145&gt;0,(($Y145)/(12)),0)</f>
        <v/>
      </c>
      <c r="BY145" s="702">
        <f>IF($R145&gt;0,(($Y145)/(12)),0)</f>
        <v/>
      </c>
      <c r="BZ145" s="702">
        <f>IF($R145&gt;0,(($Y145)/(12)),0)</f>
        <v/>
      </c>
      <c r="CA145" s="702">
        <f>IF($R145&gt;0,(($Y145)/(12)),0)</f>
        <v/>
      </c>
      <c r="CB145" s="702">
        <f>IF($R145&gt;0,(($Y145)/(12)),0)</f>
        <v/>
      </c>
      <c r="CC145" s="702">
        <f>IF($R145&gt;0,(($Y145)/(12)),0)</f>
        <v/>
      </c>
      <c r="CD145" s="702">
        <f>IF($R145&gt;0,(($Y145)/(12)),0)</f>
        <v/>
      </c>
      <c r="CE145" s="765">
        <f>SUM(BS145:CD145)</f>
        <v/>
      </c>
      <c r="CF145" s="507" t="n"/>
      <c r="CG145" s="702">
        <f>IF($S145&gt;0,(($Z145)/(12)),0)</f>
        <v/>
      </c>
      <c r="CH145" s="702">
        <f>IF($S145&gt;0,(($Z145)/(12)),0)</f>
        <v/>
      </c>
      <c r="CI145" s="702">
        <f>IF($S145&gt;0,(($Z145)/(12)),0)</f>
        <v/>
      </c>
      <c r="CJ145" s="702">
        <f>IF($S145&gt;0,(($Z145)/(12)),0)</f>
        <v/>
      </c>
      <c r="CK145" s="702">
        <f>IF($S145&gt;0,(($Z145)/(12)),0)</f>
        <v/>
      </c>
      <c r="CL145" s="702">
        <f>IF($S145&gt;0,(($Z145)/(12)),0)</f>
        <v/>
      </c>
      <c r="CM145" s="702">
        <f>IF($S145&gt;0,(($Z145)/(12)),0)</f>
        <v/>
      </c>
      <c r="CN145" s="702">
        <f>IF($S145&gt;0,(($Z145)/(12)),0)</f>
        <v/>
      </c>
      <c r="CO145" s="702">
        <f>IF($S145&gt;0,(($Z145)/(12)),0)</f>
        <v/>
      </c>
      <c r="CP145" s="702">
        <f>IF($S145&gt;0,(($Z145)/(12)),0)</f>
        <v/>
      </c>
      <c r="CQ145" s="702">
        <f>IF($S145&gt;0,(($Z145)/(12)),0)</f>
        <v/>
      </c>
      <c r="CR145" s="702">
        <f>IF($S145&gt;0,(($Z145)/(12)),0)</f>
        <v/>
      </c>
      <c r="CS145" s="765">
        <f>SUM(CG145:CR145)</f>
        <v/>
      </c>
      <c r="CU145" s="702">
        <f>IF($T145&gt;0,(($AA145)/(12)),0)</f>
        <v/>
      </c>
      <c r="CV145" s="702">
        <f>IF($T145&gt;0,(($AA145)/(12)),0)</f>
        <v/>
      </c>
      <c r="CW145" s="702">
        <f>IF($T145&gt;0,(($AA145)/(12)),0)</f>
        <v/>
      </c>
      <c r="CX145" s="702">
        <f>IF($T145&gt;0,(($AA145)/(12)),0)</f>
        <v/>
      </c>
      <c r="CY145" s="702">
        <f>IF($T145&gt;0,(($AA145)/(12)),0)</f>
        <v/>
      </c>
      <c r="CZ145" s="702">
        <f>IF($T145&gt;0,(($AA145)/(12)),0)</f>
        <v/>
      </c>
      <c r="DA145" s="702">
        <f>IF($T145&gt;0,(($AA145)/(12)),0)</f>
        <v/>
      </c>
      <c r="DB145" s="702">
        <f>IF($T145&gt;0,(($AA145)/(12)),0)</f>
        <v/>
      </c>
      <c r="DC145" s="702">
        <f>IF($T145&gt;0,(($AA145)/(12)),0)</f>
        <v/>
      </c>
      <c r="DD145" s="702">
        <f>IF($T145&gt;0,(($AA145)/(12)),0)</f>
        <v/>
      </c>
      <c r="DE145" s="702">
        <f>IF($T145&gt;0,(($AA145)/(12)),0)</f>
        <v/>
      </c>
      <c r="DF145" s="702">
        <f>IF($T145&gt;0,(($AA145)/(12)),0)</f>
        <v/>
      </c>
      <c r="DG145" s="765">
        <f>SUM(CU145:DF145)</f>
        <v/>
      </c>
    </row>
    <row r="146" ht="15" customHeight="1" s="1883">
      <c r="B146" s="752">
        <f>((B145)+(1))</f>
        <v/>
      </c>
      <c r="C146" s="726" t="n"/>
      <c r="D146" s="730" t="inlineStr">
        <is>
          <t>●</t>
        </is>
      </c>
      <c r="E146" s="740" t="inlineStr">
        <is>
          <t>LuisCardy Santos</t>
        </is>
      </c>
      <c r="F146" s="737" t="n"/>
      <c r="G146" s="737" t="n"/>
      <c r="H146" s="737" t="n"/>
      <c r="I146" s="736" t="inlineStr">
        <is>
          <t>Executive Assistant</t>
        </is>
      </c>
      <c r="J146" s="745" t="inlineStr">
        <is>
          <t>CONUS</t>
        </is>
      </c>
      <c r="K146" s="737" t="n"/>
      <c r="L146" s="738" t="n">
        <v>-2</v>
      </c>
      <c r="M146" s="738" t="n">
        <v>-2</v>
      </c>
      <c r="N146" s="738" t="n"/>
      <c r="O146" s="754" t="n">
        <v>1</v>
      </c>
      <c r="P146" s="755" t="n">
        <v>1</v>
      </c>
      <c r="Q146" s="755" t="n">
        <v>1</v>
      </c>
      <c r="R146" s="755" t="n">
        <v>1</v>
      </c>
      <c r="S146" s="755" t="n">
        <v>1</v>
      </c>
      <c r="T146" s="755" t="n">
        <v>1</v>
      </c>
      <c r="U146" s="737" t="n"/>
      <c r="V146" s="703">
        <f>6000*12</f>
        <v/>
      </c>
      <c r="W146" s="700">
        <f>(V146)</f>
        <v/>
      </c>
      <c r="X146" s="700">
        <f>((W146)*((1)+($X$63)))</f>
        <v/>
      </c>
      <c r="Y146" s="700">
        <f>((X146)*((1)+($Y$63)))</f>
        <v/>
      </c>
      <c r="Z146" s="700">
        <f>((Y146)*((1)+($Z$63)))</f>
        <v/>
      </c>
      <c r="AA146" s="700">
        <f>((Z146)*((1)+($AA$63)))</f>
        <v/>
      </c>
      <c r="AB146" s="726" t="n"/>
      <c r="AC146" s="702" t="n">
        <v>0</v>
      </c>
      <c r="AD146" s="702" t="n">
        <v>0</v>
      </c>
      <c r="AE146" s="702" t="n">
        <v>0</v>
      </c>
      <c r="AF146" s="702" t="n">
        <v>0</v>
      </c>
      <c r="AG146" s="702" t="n">
        <v>0</v>
      </c>
      <c r="AH146" s="702" t="n">
        <v>0</v>
      </c>
      <c r="AI146" s="702" t="n">
        <v>0</v>
      </c>
      <c r="AJ146" s="702" t="n">
        <v>0</v>
      </c>
      <c r="AK146" s="702" t="n">
        <v>0</v>
      </c>
      <c r="AL146" s="702" t="n">
        <v>0</v>
      </c>
      <c r="AM146" s="702">
        <f>(($V146)/(12))</f>
        <v/>
      </c>
      <c r="AN146" s="702">
        <f>(($V146)/(12))</f>
        <v/>
      </c>
      <c r="AO146" s="765">
        <f>SUM(AC146:AN146)</f>
        <v/>
      </c>
      <c r="AP146" s="462" t="n"/>
      <c r="AQ146" s="702">
        <f>IF($P146&gt;0,(($W146)/(12)),0)</f>
        <v/>
      </c>
      <c r="AR146" s="702">
        <f>IF($P146&gt;0,(($W146)/(12)),0)</f>
        <v/>
      </c>
      <c r="AS146" s="702">
        <f>IF($P146&gt;0,(($W146)/(12)),0)</f>
        <v/>
      </c>
      <c r="AT146" s="702">
        <f>IF($P146&gt;0,(($W146)/(12)),0)</f>
        <v/>
      </c>
      <c r="AU146" s="702">
        <f>IF($P146&gt;0,(($W146)/(12)),0)</f>
        <v/>
      </c>
      <c r="AV146" s="702">
        <f>IF($P146&gt;0,(($W146)/(12)),0)</f>
        <v/>
      </c>
      <c r="AW146" s="702">
        <f>IF($P146&gt;0,(($W146)/(12)),0)</f>
        <v/>
      </c>
      <c r="AX146" s="702">
        <f>IF($P146&gt;0,(($W146)/(12)),0)</f>
        <v/>
      </c>
      <c r="AY146" s="702">
        <f>IF($P146&gt;0,(($W146)/(12)),0)</f>
        <v/>
      </c>
      <c r="AZ146" s="702">
        <f>IF($P146&gt;0,(($W146)/(12)),0)</f>
        <v/>
      </c>
      <c r="BA146" s="702">
        <f>IF($P146&gt;0,(($W146)/(12)),0)</f>
        <v/>
      </c>
      <c r="BB146" s="702">
        <f>IF($P146&gt;0,(($W146)/(12)),0)</f>
        <v/>
      </c>
      <c r="BC146" s="765">
        <f>SUM(AQ146:BB146)</f>
        <v/>
      </c>
      <c r="BD146" s="462" t="n"/>
      <c r="BE146" s="702">
        <f>IF($Q146&gt;0,(($X146)/(12)),0)</f>
        <v/>
      </c>
      <c r="BF146" s="702">
        <f>IF($Q146&gt;0,(($X146)/(12)),0)</f>
        <v/>
      </c>
      <c r="BG146" s="702">
        <f>IF($Q146&gt;0,(($X146)/(12)),0)</f>
        <v/>
      </c>
      <c r="BH146" s="702">
        <f>IF($Q146&gt;0,(($X146)/(12)),0)</f>
        <v/>
      </c>
      <c r="BI146" s="702">
        <f>IF($Q146&gt;0,(($X146)/(12)),0)</f>
        <v/>
      </c>
      <c r="BJ146" s="702">
        <f>IF($Q146&gt;0,(($X146)/(12)),0)</f>
        <v/>
      </c>
      <c r="BK146" s="702">
        <f>IF($Q146&gt;0,(($X146)/(12)),0)</f>
        <v/>
      </c>
      <c r="BL146" s="702">
        <f>IF($Q146&gt;0,(($X146)/(12)),0)</f>
        <v/>
      </c>
      <c r="BM146" s="702">
        <f>IF($Q146&gt;0,(($X146)/(12)),0)</f>
        <v/>
      </c>
      <c r="BN146" s="702">
        <f>IF($Q146&gt;0,(($X146)/(12)),0)</f>
        <v/>
      </c>
      <c r="BO146" s="702">
        <f>IF($Q146&gt;0,(($X146)/(12)),0)</f>
        <v/>
      </c>
      <c r="BP146" s="702">
        <f>IF($Q146&gt;0,(($X146)/(12)),0)</f>
        <v/>
      </c>
      <c r="BQ146" s="765">
        <f>SUM(BE146:BP146)</f>
        <v/>
      </c>
      <c r="BR146" s="507" t="n"/>
      <c r="BS146" s="702">
        <f>IF($R146&gt;0,(($Y146)/(12)),0)</f>
        <v/>
      </c>
      <c r="BT146" s="702">
        <f>IF($R146&gt;0,(($Y146)/(12)),0)</f>
        <v/>
      </c>
      <c r="BU146" s="702">
        <f>IF($R146&gt;0,(($Y146)/(12)),0)</f>
        <v/>
      </c>
      <c r="BV146" s="702">
        <f>IF($R146&gt;0,(($Y146)/(12)),0)</f>
        <v/>
      </c>
      <c r="BW146" s="702">
        <f>IF($R146&gt;0,(($Y146)/(12)),0)</f>
        <v/>
      </c>
      <c r="BX146" s="702">
        <f>IF($R146&gt;0,(($Y146)/(12)),0)</f>
        <v/>
      </c>
      <c r="BY146" s="702">
        <f>IF($R146&gt;0,(($Y146)/(12)),0)</f>
        <v/>
      </c>
      <c r="BZ146" s="702">
        <f>IF($R146&gt;0,(($Y146)/(12)),0)</f>
        <v/>
      </c>
      <c r="CA146" s="702">
        <f>IF($R146&gt;0,(($Y146)/(12)),0)</f>
        <v/>
      </c>
      <c r="CB146" s="702">
        <f>IF($R146&gt;0,(($Y146)/(12)),0)</f>
        <v/>
      </c>
      <c r="CC146" s="702">
        <f>IF($R146&gt;0,(($Y146)/(12)),0)</f>
        <v/>
      </c>
      <c r="CD146" s="702">
        <f>IF($R146&gt;0,(($Y146)/(12)),0)</f>
        <v/>
      </c>
      <c r="CE146" s="765">
        <f>SUM(BS146:CD146)</f>
        <v/>
      </c>
      <c r="CF146" s="507" t="n"/>
      <c r="CG146" s="702">
        <f>IF($S146&gt;0,(($Z146)/(12)),0)</f>
        <v/>
      </c>
      <c r="CH146" s="702">
        <f>IF($S146&gt;0,(($Z146)/(12)),0)</f>
        <v/>
      </c>
      <c r="CI146" s="702">
        <f>IF($S146&gt;0,(($Z146)/(12)),0)</f>
        <v/>
      </c>
      <c r="CJ146" s="702">
        <f>IF($S146&gt;0,(($Z146)/(12)),0)</f>
        <v/>
      </c>
      <c r="CK146" s="702">
        <f>IF($S146&gt;0,(($Z146)/(12)),0)</f>
        <v/>
      </c>
      <c r="CL146" s="702">
        <f>IF($S146&gt;0,(($Z146)/(12)),0)</f>
        <v/>
      </c>
      <c r="CM146" s="702">
        <f>IF($S146&gt;0,(($Z146)/(12)),0)</f>
        <v/>
      </c>
      <c r="CN146" s="702">
        <f>IF($S146&gt;0,(($Z146)/(12)),0)</f>
        <v/>
      </c>
      <c r="CO146" s="702">
        <f>IF($S146&gt;0,(($Z146)/(12)),0)</f>
        <v/>
      </c>
      <c r="CP146" s="702">
        <f>IF($S146&gt;0,(($Z146)/(12)),0)</f>
        <v/>
      </c>
      <c r="CQ146" s="702">
        <f>IF($S146&gt;0,(($Z146)/(12)),0)</f>
        <v/>
      </c>
      <c r="CR146" s="702">
        <f>IF($S146&gt;0,(($Z146)/(12)),0)</f>
        <v/>
      </c>
      <c r="CS146" s="765">
        <f>SUM(CG146:CR146)</f>
        <v/>
      </c>
      <c r="CU146" s="702">
        <f>IF($T146&gt;0,(($AA146)/(12)),0)</f>
        <v/>
      </c>
      <c r="CV146" s="702">
        <f>IF($T146&gt;0,(($AA146)/(12)),0)</f>
        <v/>
      </c>
      <c r="CW146" s="702">
        <f>IF($T146&gt;0,(($AA146)/(12)),0)</f>
        <v/>
      </c>
      <c r="CX146" s="702">
        <f>IF($T146&gt;0,(($AA146)/(12)),0)</f>
        <v/>
      </c>
      <c r="CY146" s="702">
        <f>IF($T146&gt;0,(($AA146)/(12)),0)</f>
        <v/>
      </c>
      <c r="CZ146" s="702">
        <f>IF($T146&gt;0,(($AA146)/(12)),0)</f>
        <v/>
      </c>
      <c r="DA146" s="702">
        <f>IF($T146&gt;0,(($AA146)/(12)),0)</f>
        <v/>
      </c>
      <c r="DB146" s="702">
        <f>IF($T146&gt;0,(($AA146)/(12)),0)</f>
        <v/>
      </c>
      <c r="DC146" s="702">
        <f>IF($T146&gt;0,(($AA146)/(12)),0)</f>
        <v/>
      </c>
      <c r="DD146" s="702">
        <f>IF($T146&gt;0,(($AA146)/(12)),0)</f>
        <v/>
      </c>
      <c r="DE146" s="702">
        <f>IF($T146&gt;0,(($AA146)/(12)),0)</f>
        <v/>
      </c>
      <c r="DF146" s="702">
        <f>IF($T146&gt;0,(($AA146)/(12)),0)</f>
        <v/>
      </c>
      <c r="DG146" s="765">
        <f>SUM(CU146:DF146)</f>
        <v/>
      </c>
    </row>
    <row r="147" ht="15" customHeight="1" s="1883">
      <c r="B147" s="752">
        <f>((B146)+(1))</f>
        <v/>
      </c>
      <c r="C147" s="726" t="n"/>
      <c r="D147" s="730" t="inlineStr">
        <is>
          <t>●</t>
        </is>
      </c>
      <c r="E147" s="737" t="inlineStr">
        <is>
          <t xml:space="preserve">Ashley Tom </t>
        </is>
      </c>
      <c r="F147" s="737" t="n"/>
      <c r="G147" s="737" t="n"/>
      <c r="H147" s="737" t="n"/>
      <c r="I147" s="737" t="inlineStr">
        <is>
          <t>Influencer Marketing</t>
        </is>
      </c>
      <c r="J147" s="746" t="inlineStr">
        <is>
          <t>OCONUS</t>
        </is>
      </c>
      <c r="K147" s="737" t="n"/>
      <c r="L147" s="738" t="inlineStr">
        <is>
          <t>-12</t>
        </is>
      </c>
      <c r="M147" s="738" t="n">
        <v>-12</v>
      </c>
      <c r="N147" s="738" t="n"/>
      <c r="O147" s="754" t="n">
        <v>1</v>
      </c>
      <c r="P147" s="755" t="n">
        <v>1</v>
      </c>
      <c r="Q147" s="755" t="n">
        <v>1</v>
      </c>
      <c r="R147" s="755" t="n">
        <v>1</v>
      </c>
      <c r="S147" s="755" t="n">
        <v>1</v>
      </c>
      <c r="T147" s="755" t="n">
        <v>1</v>
      </c>
      <c r="U147" s="737" t="n"/>
      <c r="V147" s="702" t="n">
        <v>45000</v>
      </c>
      <c r="W147" s="700">
        <f>(V147)</f>
        <v/>
      </c>
      <c r="X147" s="700">
        <f>((W147)*((1)+($X$63)))</f>
        <v/>
      </c>
      <c r="Y147" s="700">
        <f>((X147)*((1)+($Y$63)))</f>
        <v/>
      </c>
      <c r="Z147" s="700">
        <f>((Y147)*((1)+($Z$63)))</f>
        <v/>
      </c>
      <c r="AA147" s="700">
        <f>((Z147)*((1)+($AA$63)))</f>
        <v/>
      </c>
      <c r="AB147" s="726" t="n"/>
      <c r="AC147" s="702">
        <f>(($V147)/(12)*0.7)</f>
        <v/>
      </c>
      <c r="AD147" s="702">
        <f>(($V147)/(12))</f>
        <v/>
      </c>
      <c r="AE147" s="702">
        <f>(($V147)/(12))</f>
        <v/>
      </c>
      <c r="AF147" s="702">
        <f>(($V147)/(12))</f>
        <v/>
      </c>
      <c r="AG147" s="702">
        <f>(($V147)/(12))</f>
        <v/>
      </c>
      <c r="AH147" s="702">
        <f>(($V147)/(12))</f>
        <v/>
      </c>
      <c r="AI147" s="702">
        <f>(($V147)/(12))</f>
        <v/>
      </c>
      <c r="AJ147" s="702">
        <f>(($V147)/(12))</f>
        <v/>
      </c>
      <c r="AK147" s="702">
        <f>(($V147)/(12))</f>
        <v/>
      </c>
      <c r="AL147" s="702">
        <f>(($V147)/(12))</f>
        <v/>
      </c>
      <c r="AM147" s="702">
        <f>(($V147)/(12))</f>
        <v/>
      </c>
      <c r="AN147" s="702">
        <f>(($V147)/(12))</f>
        <v/>
      </c>
      <c r="AO147" s="765">
        <f>SUM(AC147:AN147)</f>
        <v/>
      </c>
      <c r="AP147" s="462" t="n"/>
      <c r="AQ147" s="702">
        <f>IF($P147&gt;0,(($W147)/(12)),0)</f>
        <v/>
      </c>
      <c r="AR147" s="702">
        <f>IF($P147&gt;0,(($W147)/(12)),0)</f>
        <v/>
      </c>
      <c r="AS147" s="702">
        <f>IF($P147&gt;0,(($W147)/(12)),0)</f>
        <v/>
      </c>
      <c r="AT147" s="702">
        <f>IF($P147&gt;0,(($W147)/(12)),0)</f>
        <v/>
      </c>
      <c r="AU147" s="702">
        <f>IF($P147&gt;0,(($W147)/(12)),0)</f>
        <v/>
      </c>
      <c r="AV147" s="702">
        <f>IF($P147&gt;0,(($W147)/(12)),0)</f>
        <v/>
      </c>
      <c r="AW147" s="702">
        <f>IF($P147&gt;0,(($W147)/(12)),0)</f>
        <v/>
      </c>
      <c r="AX147" s="702">
        <f>IF($P147&gt;0,(($W147)/(12)),0)</f>
        <v/>
      </c>
      <c r="AY147" s="702">
        <f>IF($P147&gt;0,(($W147)/(12)),0)</f>
        <v/>
      </c>
      <c r="AZ147" s="702">
        <f>IF($P147&gt;0,(($W147)/(12)),0)</f>
        <v/>
      </c>
      <c r="BA147" s="702">
        <f>IF($P147&gt;0,(($W147)/(12)),0)</f>
        <v/>
      </c>
      <c r="BB147" s="702">
        <f>IF($P147&gt;0,(($W147)/(12)),0)</f>
        <v/>
      </c>
      <c r="BC147" s="765">
        <f>SUM(AQ147:BB147)</f>
        <v/>
      </c>
      <c r="BD147" s="462" t="n"/>
      <c r="BE147" s="702">
        <f>IF($Q147&gt;0,(($X147)/(12)),0)</f>
        <v/>
      </c>
      <c r="BF147" s="702">
        <f>IF($Q147&gt;0,(($X147)/(12)),0)</f>
        <v/>
      </c>
      <c r="BG147" s="702">
        <f>IF($Q147&gt;0,(($X147)/(12)),0)</f>
        <v/>
      </c>
      <c r="BH147" s="702">
        <f>IF($Q147&gt;0,(($X147)/(12)),0)</f>
        <v/>
      </c>
      <c r="BI147" s="702">
        <f>IF($Q147&gt;0,(($X147)/(12)),0)</f>
        <v/>
      </c>
      <c r="BJ147" s="702">
        <f>IF($Q147&gt;0,(($X147)/(12)),0)</f>
        <v/>
      </c>
      <c r="BK147" s="702">
        <f>IF($Q147&gt;0,(($X147)/(12)),0)</f>
        <v/>
      </c>
      <c r="BL147" s="702">
        <f>IF($Q147&gt;0,(($X147)/(12)),0)</f>
        <v/>
      </c>
      <c r="BM147" s="702">
        <f>IF($Q147&gt;0,(($X147)/(12)),0)</f>
        <v/>
      </c>
      <c r="BN147" s="702">
        <f>IF($Q147&gt;0,(($X147)/(12)),0)</f>
        <v/>
      </c>
      <c r="BO147" s="702">
        <f>IF($Q147&gt;0,(($X147)/(12)),0)</f>
        <v/>
      </c>
      <c r="BP147" s="702">
        <f>IF($Q147&gt;0,(($X147)/(12)),0)</f>
        <v/>
      </c>
      <c r="BQ147" s="765">
        <f>SUM(BE147:BP147)</f>
        <v/>
      </c>
      <c r="BR147" s="507" t="n"/>
      <c r="BS147" s="702">
        <f>IF($R147&gt;0,(($Y147)/(12)),0)</f>
        <v/>
      </c>
      <c r="BT147" s="702">
        <f>IF($R147&gt;0,(($Y147)/(12)),0)</f>
        <v/>
      </c>
      <c r="BU147" s="702">
        <f>IF($R147&gt;0,(($Y147)/(12)),0)</f>
        <v/>
      </c>
      <c r="BV147" s="702">
        <f>IF($R147&gt;0,(($Y147)/(12)),0)</f>
        <v/>
      </c>
      <c r="BW147" s="702">
        <f>IF($R147&gt;0,(($Y147)/(12)),0)</f>
        <v/>
      </c>
      <c r="BX147" s="702">
        <f>IF($R147&gt;0,(($Y147)/(12)),0)</f>
        <v/>
      </c>
      <c r="BY147" s="702">
        <f>IF($R147&gt;0,(($Y147)/(12)),0)</f>
        <v/>
      </c>
      <c r="BZ147" s="702">
        <f>IF($R147&gt;0,(($Y147)/(12)),0)</f>
        <v/>
      </c>
      <c r="CA147" s="702">
        <f>IF($R147&gt;0,(($Y147)/(12)),0)</f>
        <v/>
      </c>
      <c r="CB147" s="702">
        <f>IF($R147&gt;0,(($Y147)/(12)),0)</f>
        <v/>
      </c>
      <c r="CC147" s="702">
        <f>IF($R147&gt;0,(($Y147)/(12)),0)</f>
        <v/>
      </c>
      <c r="CD147" s="702">
        <f>IF($R147&gt;0,(($Y147)/(12)),0)</f>
        <v/>
      </c>
      <c r="CE147" s="765">
        <f>SUM(BS147:CD147)</f>
        <v/>
      </c>
      <c r="CF147" s="507" t="n"/>
      <c r="CG147" s="702">
        <f>IF($S147&gt;0,(($Z147)/(12)),0)</f>
        <v/>
      </c>
      <c r="CH147" s="702">
        <f>IF($S147&gt;0,(($Z147)/(12)),0)</f>
        <v/>
      </c>
      <c r="CI147" s="702">
        <f>IF($S147&gt;0,(($Z147)/(12)),0)</f>
        <v/>
      </c>
      <c r="CJ147" s="702">
        <f>IF($S147&gt;0,(($Z147)/(12)),0)</f>
        <v/>
      </c>
      <c r="CK147" s="702">
        <f>IF($S147&gt;0,(($Z147)/(12)),0)</f>
        <v/>
      </c>
      <c r="CL147" s="702">
        <f>IF($S147&gt;0,(($Z147)/(12)),0)</f>
        <v/>
      </c>
      <c r="CM147" s="702">
        <f>IF($S147&gt;0,(($Z147)/(12)),0)</f>
        <v/>
      </c>
      <c r="CN147" s="702">
        <f>IF($S147&gt;0,(($Z147)/(12)),0)</f>
        <v/>
      </c>
      <c r="CO147" s="702">
        <f>IF($S147&gt;0,(($Z147)/(12)),0)</f>
        <v/>
      </c>
      <c r="CP147" s="702">
        <f>IF($S147&gt;0,(($Z147)/(12)),0)</f>
        <v/>
      </c>
      <c r="CQ147" s="702">
        <f>IF($S147&gt;0,(($Z147)/(12)),0)</f>
        <v/>
      </c>
      <c r="CR147" s="702">
        <f>IF($S147&gt;0,(($Z147)/(12)),0)</f>
        <v/>
      </c>
      <c r="CS147" s="765">
        <f>SUM(CG147:CR147)</f>
        <v/>
      </c>
      <c r="CU147" s="702">
        <f>IF($T147&gt;0,(($AA147)/(12)),0)</f>
        <v/>
      </c>
      <c r="CV147" s="702">
        <f>IF($T147&gt;0,(($AA147)/(12)),0)</f>
        <v/>
      </c>
      <c r="CW147" s="702">
        <f>IF($T147&gt;0,(($AA147)/(12)),0)</f>
        <v/>
      </c>
      <c r="CX147" s="702">
        <f>IF($T147&gt;0,(($AA147)/(12)),0)</f>
        <v/>
      </c>
      <c r="CY147" s="702">
        <f>IF($T147&gt;0,(($AA147)/(12)),0)</f>
        <v/>
      </c>
      <c r="CZ147" s="702">
        <f>IF($T147&gt;0,(($AA147)/(12)),0)</f>
        <v/>
      </c>
      <c r="DA147" s="702">
        <f>IF($T147&gt;0,(($AA147)/(12)),0)</f>
        <v/>
      </c>
      <c r="DB147" s="702">
        <f>IF($T147&gt;0,(($AA147)/(12)),0)</f>
        <v/>
      </c>
      <c r="DC147" s="702">
        <f>IF($T147&gt;0,(($AA147)/(12)),0)</f>
        <v/>
      </c>
      <c r="DD147" s="702">
        <f>IF($T147&gt;0,(($AA147)/(12)),0)</f>
        <v/>
      </c>
      <c r="DE147" s="702">
        <f>IF($T147&gt;0,(($AA147)/(12)),0)</f>
        <v/>
      </c>
      <c r="DF147" s="702">
        <f>IF($T147&gt;0,(($AA147)/(12)),0)</f>
        <v/>
      </c>
      <c r="DG147" s="765">
        <f>SUM(CU147:DF147)</f>
        <v/>
      </c>
    </row>
    <row r="148" ht="13.5" customHeight="1" s="1883">
      <c r="B148" s="752">
        <f>((B147)+(1))</f>
        <v/>
      </c>
      <c r="C148" s="726" t="n"/>
      <c r="D148" s="730" t="inlineStr">
        <is>
          <t>●</t>
        </is>
      </c>
      <c r="E148" s="737" t="inlineStr">
        <is>
          <t>Moises Guerra</t>
        </is>
      </c>
      <c r="F148" s="737" t="n"/>
      <c r="G148" s="737" t="n"/>
      <c r="H148" s="737" t="n"/>
      <c r="I148" s="737" t="inlineStr">
        <is>
          <t>Social Media Strategist</t>
        </is>
      </c>
      <c r="J148" s="745" t="inlineStr">
        <is>
          <t>CONUS</t>
        </is>
      </c>
      <c r="L148" s="738" t="n">
        <v>-11</v>
      </c>
      <c r="M148" s="738" t="n">
        <v>-11</v>
      </c>
      <c r="O148" s="754" t="n">
        <v>1</v>
      </c>
      <c r="P148" s="755" t="n">
        <v>1</v>
      </c>
      <c r="Q148" s="755" t="n">
        <v>1</v>
      </c>
      <c r="R148" s="755" t="n">
        <v>1</v>
      </c>
      <c r="S148" s="755" t="n">
        <v>1</v>
      </c>
      <c r="T148" s="755" t="n">
        <v>1</v>
      </c>
      <c r="U148" s="737" t="n"/>
      <c r="V148" s="702">
        <f>5833.33*12</f>
        <v/>
      </c>
      <c r="W148" s="700">
        <f>(V148)</f>
        <v/>
      </c>
      <c r="X148" s="700">
        <f>((W148)*((1)+($X$63)))</f>
        <v/>
      </c>
      <c r="Y148" s="700">
        <f>((X148)*((1)+($Y$63)))</f>
        <v/>
      </c>
      <c r="Z148" s="700">
        <f>((Y148)*((1)+($Z$63)))</f>
        <v/>
      </c>
      <c r="AA148" s="700">
        <f>((Z148)*((1)+($AA$63)))</f>
        <v/>
      </c>
      <c r="AB148" s="726" t="n"/>
      <c r="AC148" s="702" t="n">
        <v>0</v>
      </c>
      <c r="AD148" s="702" t="n">
        <v>0</v>
      </c>
      <c r="AE148" s="702">
        <f>(($V148)/(12))</f>
        <v/>
      </c>
      <c r="AF148" s="702">
        <f>(($V148)/(12))</f>
        <v/>
      </c>
      <c r="AG148" s="702">
        <f>(($V148)/(12))</f>
        <v/>
      </c>
      <c r="AH148" s="702">
        <f>(($V148)/(12))</f>
        <v/>
      </c>
      <c r="AI148" s="702">
        <f>(($V148)/(12))</f>
        <v/>
      </c>
      <c r="AJ148" s="702">
        <f>(($V148)/(12))</f>
        <v/>
      </c>
      <c r="AK148" s="702">
        <f>(($V148)/(12))</f>
        <v/>
      </c>
      <c r="AL148" s="702">
        <f>(($V148)/(12))</f>
        <v/>
      </c>
      <c r="AM148" s="702">
        <f>(($V148)/(12))</f>
        <v/>
      </c>
      <c r="AN148" s="702">
        <f>(($V148)/(12))</f>
        <v/>
      </c>
      <c r="AO148" s="765">
        <f>SUM(AC148:AN148)</f>
        <v/>
      </c>
      <c r="AP148" s="462" t="n"/>
      <c r="AQ148" s="702">
        <f>IF($P148&gt;0,(($W148)/(12)),0)</f>
        <v/>
      </c>
      <c r="AR148" s="702">
        <f>IF($P148&gt;0,(($W148)/(12)),0)</f>
        <v/>
      </c>
      <c r="AS148" s="702">
        <f>IF($P148&gt;0,(($W148)/(12)),0)</f>
        <v/>
      </c>
      <c r="AT148" s="702">
        <f>IF($P148&gt;0,(($W148)/(12)),0)</f>
        <v/>
      </c>
      <c r="AU148" s="702">
        <f>IF($P148&gt;0,(($W148)/(12)),0)</f>
        <v/>
      </c>
      <c r="AV148" s="702">
        <f>IF($P148&gt;0,(($W148)/(12)),0)</f>
        <v/>
      </c>
      <c r="AW148" s="702">
        <f>IF($P148&gt;0,(($W148)/(12)),0)</f>
        <v/>
      </c>
      <c r="AX148" s="702">
        <f>IF($P148&gt;0,(($W148)/(12)),0)</f>
        <v/>
      </c>
      <c r="AY148" s="702">
        <f>IF($P148&gt;0,(($W148)/(12)),0)</f>
        <v/>
      </c>
      <c r="AZ148" s="702">
        <f>IF($P148&gt;0,(($W148)/(12)),0)</f>
        <v/>
      </c>
      <c r="BA148" s="702">
        <f>IF($P148&gt;0,(($W148)/(12)),0)</f>
        <v/>
      </c>
      <c r="BB148" s="702">
        <f>IF($P148&gt;0,(($W148)/(12)),0)</f>
        <v/>
      </c>
      <c r="BC148" s="765">
        <f>SUM(AQ148:BB148)</f>
        <v/>
      </c>
      <c r="BD148" s="462" t="n"/>
      <c r="BE148" s="702">
        <f>IF($Q148&gt;0,(($X148)/(12)),0)</f>
        <v/>
      </c>
      <c r="BF148" s="702">
        <f>IF($Q148&gt;0,(($X148)/(12)),0)</f>
        <v/>
      </c>
      <c r="BG148" s="702">
        <f>IF($Q148&gt;0,(($X148)/(12)),0)</f>
        <v/>
      </c>
      <c r="BH148" s="702">
        <f>IF($Q148&gt;0,(($X148)/(12)),0)</f>
        <v/>
      </c>
      <c r="BI148" s="702">
        <f>IF($Q148&gt;0,(($X148)/(12)),0)</f>
        <v/>
      </c>
      <c r="BJ148" s="702">
        <f>IF($Q148&gt;0,(($X148)/(12)),0)</f>
        <v/>
      </c>
      <c r="BK148" s="702">
        <f>IF($Q148&gt;0,(($X148)/(12)),0)</f>
        <v/>
      </c>
      <c r="BL148" s="702">
        <f>IF($Q148&gt;0,(($X148)/(12)),0)</f>
        <v/>
      </c>
      <c r="BM148" s="702">
        <f>IF($Q148&gt;0,(($X148)/(12)),0)</f>
        <v/>
      </c>
      <c r="BN148" s="702">
        <f>IF($Q148&gt;0,(($X148)/(12)),0)</f>
        <v/>
      </c>
      <c r="BO148" s="702">
        <f>IF($Q148&gt;0,(($X148)/(12)),0)</f>
        <v/>
      </c>
      <c r="BP148" s="702">
        <f>IF($Q148&gt;0,(($X148)/(12)),0)</f>
        <v/>
      </c>
      <c r="BQ148" s="765">
        <f>SUM(BE148:BP148)</f>
        <v/>
      </c>
      <c r="BR148" s="507" t="n"/>
      <c r="BS148" s="702">
        <f>IF($R148&gt;0,(($Y148)/(12)),0)</f>
        <v/>
      </c>
      <c r="BT148" s="702">
        <f>IF($R148&gt;0,(($Y148)/(12)),0)</f>
        <v/>
      </c>
      <c r="BU148" s="702">
        <f>IF($R148&gt;0,(($Y148)/(12)),0)</f>
        <v/>
      </c>
      <c r="BV148" s="702">
        <f>IF($R148&gt;0,(($Y148)/(12)),0)</f>
        <v/>
      </c>
      <c r="BW148" s="702">
        <f>IF($R148&gt;0,(($Y148)/(12)),0)</f>
        <v/>
      </c>
      <c r="BX148" s="702">
        <f>IF($R148&gt;0,(($Y148)/(12)),0)</f>
        <v/>
      </c>
      <c r="BY148" s="702">
        <f>IF($R148&gt;0,(($Y148)/(12)),0)</f>
        <v/>
      </c>
      <c r="BZ148" s="702">
        <f>IF($R148&gt;0,(($Y148)/(12)),0)</f>
        <v/>
      </c>
      <c r="CA148" s="702">
        <f>IF($R148&gt;0,(($Y148)/(12)),0)</f>
        <v/>
      </c>
      <c r="CB148" s="702">
        <f>IF($R148&gt;0,(($Y148)/(12)),0)</f>
        <v/>
      </c>
      <c r="CC148" s="702">
        <f>IF($R148&gt;0,(($Y148)/(12)),0)</f>
        <v/>
      </c>
      <c r="CD148" s="702">
        <f>IF($R148&gt;0,(($Y148)/(12)),0)</f>
        <v/>
      </c>
      <c r="CE148" s="765">
        <f>SUM(BS148:CD148)</f>
        <v/>
      </c>
      <c r="CF148" s="507" t="n"/>
      <c r="CG148" s="702">
        <f>IF($S148&gt;0,(($Z148)/(12)),0)</f>
        <v/>
      </c>
      <c r="CH148" s="702">
        <f>IF($S148&gt;0,(($Z148)/(12)),0)</f>
        <v/>
      </c>
      <c r="CI148" s="702">
        <f>IF($S148&gt;0,(($Z148)/(12)),0)</f>
        <v/>
      </c>
      <c r="CJ148" s="702">
        <f>IF($S148&gt;0,(($Z148)/(12)),0)</f>
        <v/>
      </c>
      <c r="CK148" s="702">
        <f>IF($S148&gt;0,(($Z148)/(12)),0)</f>
        <v/>
      </c>
      <c r="CL148" s="702">
        <f>IF($S148&gt;0,(($Z148)/(12)),0)</f>
        <v/>
      </c>
      <c r="CM148" s="702">
        <f>IF($S148&gt;0,(($Z148)/(12)),0)</f>
        <v/>
      </c>
      <c r="CN148" s="702">
        <f>IF($S148&gt;0,(($Z148)/(12)),0)</f>
        <v/>
      </c>
      <c r="CO148" s="702">
        <f>IF($S148&gt;0,(($Z148)/(12)),0)</f>
        <v/>
      </c>
      <c r="CP148" s="702">
        <f>IF($S148&gt;0,(($Z148)/(12)),0)</f>
        <v/>
      </c>
      <c r="CQ148" s="702">
        <f>IF($S148&gt;0,(($Z148)/(12)),0)</f>
        <v/>
      </c>
      <c r="CR148" s="702">
        <f>IF($S148&gt;0,(($Z148)/(12)),0)</f>
        <v/>
      </c>
      <c r="CS148" s="765">
        <f>SUM(CG148:CR148)</f>
        <v/>
      </c>
      <c r="CU148" s="702">
        <f>IF($T148&gt;0,(($AA148)/(12)),0)</f>
        <v/>
      </c>
      <c r="CV148" s="702">
        <f>IF($T148&gt;0,(($AA148)/(12)),0)</f>
        <v/>
      </c>
      <c r="CW148" s="702">
        <f>IF($T148&gt;0,(($AA148)/(12)),0)</f>
        <v/>
      </c>
      <c r="CX148" s="702">
        <f>IF($T148&gt;0,(($AA148)/(12)),0)</f>
        <v/>
      </c>
      <c r="CY148" s="702">
        <f>IF($T148&gt;0,(($AA148)/(12)),0)</f>
        <v/>
      </c>
      <c r="CZ148" s="702">
        <f>IF($T148&gt;0,(($AA148)/(12)),0)</f>
        <v/>
      </c>
      <c r="DA148" s="702">
        <f>IF($T148&gt;0,(($AA148)/(12)),0)</f>
        <v/>
      </c>
      <c r="DB148" s="702">
        <f>IF($T148&gt;0,(($AA148)/(12)),0)</f>
        <v/>
      </c>
      <c r="DC148" s="702">
        <f>IF($T148&gt;0,(($AA148)/(12)),0)</f>
        <v/>
      </c>
      <c r="DD148" s="702">
        <f>IF($T148&gt;0,(($AA148)/(12)),0)</f>
        <v/>
      </c>
      <c r="DE148" s="702">
        <f>IF($T148&gt;0,(($AA148)/(12)),0)</f>
        <v/>
      </c>
      <c r="DF148" s="702">
        <f>IF($T148&gt;0,(($AA148)/(12)),0)</f>
        <v/>
      </c>
      <c r="DG148" s="765">
        <f>SUM(CU148:DF148)</f>
        <v/>
      </c>
    </row>
    <row r="149" ht="13.5" customHeight="1" s="1883">
      <c r="B149" s="752">
        <f>((B148)+(1))</f>
        <v/>
      </c>
      <c r="C149" s="726" t="n"/>
      <c r="D149" s="730" t="inlineStr">
        <is>
          <t>●</t>
        </is>
      </c>
      <c r="E149" s="737" t="inlineStr">
        <is>
          <t>Cora Salvador</t>
        </is>
      </c>
      <c r="F149" s="737" t="n"/>
      <c r="G149" s="737" t="n"/>
      <c r="H149" s="737" t="n"/>
      <c r="I149" s="737" t="inlineStr">
        <is>
          <t>CFO - PT Canada</t>
        </is>
      </c>
      <c r="J149" s="746" t="inlineStr">
        <is>
          <t>OCONUS</t>
        </is>
      </c>
      <c r="L149" s="738" t="n">
        <v>-11</v>
      </c>
      <c r="M149" s="738" t="n">
        <v>-11</v>
      </c>
      <c r="O149" s="754" t="n">
        <v>1</v>
      </c>
      <c r="P149" s="755" t="n">
        <v>1</v>
      </c>
      <c r="Q149" s="755" t="n">
        <v>1</v>
      </c>
      <c r="R149" s="755" t="n">
        <v>1</v>
      </c>
      <c r="S149" s="755" t="n">
        <v>1</v>
      </c>
      <c r="T149" s="755" t="n">
        <v>1</v>
      </c>
      <c r="U149" s="737" t="n"/>
      <c r="V149" s="702">
        <f>6250*12</f>
        <v/>
      </c>
      <c r="W149" s="700">
        <f>(V149)</f>
        <v/>
      </c>
      <c r="X149" s="700">
        <f>((W149)*((1)+($X$63)))</f>
        <v/>
      </c>
      <c r="Y149" s="700">
        <f>((X149)*((1)+($Y$63)))</f>
        <v/>
      </c>
      <c r="Z149" s="700">
        <f>((Y149)*((1)+($Z$63)))</f>
        <v/>
      </c>
      <c r="AA149" s="700">
        <f>((Z149)*((1)+($AA$63)))</f>
        <v/>
      </c>
      <c r="AB149" s="726" t="n"/>
      <c r="AC149" s="702" t="n">
        <v>0</v>
      </c>
      <c r="AD149" s="702" t="n">
        <v>0</v>
      </c>
      <c r="AE149" s="702">
        <f>(($V149)/(12))/2</f>
        <v/>
      </c>
      <c r="AF149" s="702">
        <f>(($V149)/(12))/2</f>
        <v/>
      </c>
      <c r="AG149" s="702">
        <f>(($V149)/(12))</f>
        <v/>
      </c>
      <c r="AH149" s="702">
        <f>(($V149)/(12))</f>
        <v/>
      </c>
      <c r="AI149" s="702">
        <f>(($V149)/(12))</f>
        <v/>
      </c>
      <c r="AJ149" s="702">
        <f>(($V149)/(12))</f>
        <v/>
      </c>
      <c r="AK149" s="702">
        <f>(($V149)/(12))</f>
        <v/>
      </c>
      <c r="AL149" s="702">
        <f>(($V149)/(12))</f>
        <v/>
      </c>
      <c r="AM149" s="702">
        <f>(($V149)/(12))</f>
        <v/>
      </c>
      <c r="AN149" s="702">
        <f>(($V149)/(12))</f>
        <v/>
      </c>
      <c r="AO149" s="765">
        <f>SUM(AC149:AN149)</f>
        <v/>
      </c>
      <c r="AP149" s="462" t="n"/>
      <c r="AQ149" s="702">
        <f>IF($P149&gt;0,(($W149)/(12)),0)</f>
        <v/>
      </c>
      <c r="AR149" s="702">
        <f>IF($P149&gt;0,(($W149)/(12)),0)</f>
        <v/>
      </c>
      <c r="AS149" s="702">
        <f>IF($P149&gt;0,(($W149)/(12)),0)</f>
        <v/>
      </c>
      <c r="AT149" s="702">
        <f>IF($P149&gt;0,(($W149)/(12)),0)</f>
        <v/>
      </c>
      <c r="AU149" s="702">
        <f>IF($P149&gt;0,(($W149)/(12)),0)</f>
        <v/>
      </c>
      <c r="AV149" s="702">
        <f>IF($P149&gt;0,(($W149)/(12)),0)</f>
        <v/>
      </c>
      <c r="AW149" s="702">
        <f>IF($P149&gt;0,(($W149)/(12)),0)</f>
        <v/>
      </c>
      <c r="AX149" s="702">
        <f>IF($P149&gt;0,(($W149)/(12)),0)</f>
        <v/>
      </c>
      <c r="AY149" s="702">
        <f>IF($P149&gt;0,(($W149)/(12)),0)</f>
        <v/>
      </c>
      <c r="AZ149" s="702">
        <f>IF($P149&gt;0,(($W149)/(12)),0)</f>
        <v/>
      </c>
      <c r="BA149" s="702">
        <f>IF($P149&gt;0,(($W149)/(12)),0)</f>
        <v/>
      </c>
      <c r="BB149" s="702">
        <f>IF($P149&gt;0,(($W149)/(12)),0)</f>
        <v/>
      </c>
      <c r="BC149" s="765">
        <f>SUM(AQ149:BB149)</f>
        <v/>
      </c>
      <c r="BD149" s="462" t="n"/>
      <c r="BE149" s="702">
        <f>IF($Q149&gt;0,(($X149)/(12)),0)</f>
        <v/>
      </c>
      <c r="BF149" s="702">
        <f>IF($Q149&gt;0,(($X149)/(12)),0)</f>
        <v/>
      </c>
      <c r="BG149" s="702">
        <f>IF($Q149&gt;0,(($X149)/(12)),0)</f>
        <v/>
      </c>
      <c r="BH149" s="702">
        <f>IF($Q149&gt;0,(($X149)/(12)),0)</f>
        <v/>
      </c>
      <c r="BI149" s="702">
        <f>IF($Q149&gt;0,(($X149)/(12)),0)</f>
        <v/>
      </c>
      <c r="BJ149" s="702">
        <f>IF($Q149&gt;0,(($X149)/(12)),0)</f>
        <v/>
      </c>
      <c r="BK149" s="702">
        <f>IF($Q149&gt;0,(($X149)/(12)),0)</f>
        <v/>
      </c>
      <c r="BL149" s="702">
        <f>IF($Q149&gt;0,(($X149)/(12)),0)</f>
        <v/>
      </c>
      <c r="BM149" s="702">
        <f>IF($Q149&gt;0,(($X149)/(12)),0)</f>
        <v/>
      </c>
      <c r="BN149" s="702">
        <f>IF($Q149&gt;0,(($X149)/(12)),0)</f>
        <v/>
      </c>
      <c r="BO149" s="702">
        <f>IF($Q149&gt;0,(($X149)/(12)),0)</f>
        <v/>
      </c>
      <c r="BP149" s="702">
        <f>IF($Q149&gt;0,(($X149)/(12)),0)</f>
        <v/>
      </c>
      <c r="BQ149" s="765">
        <f>SUM(BE149:BP149)</f>
        <v/>
      </c>
      <c r="BR149" s="507" t="n"/>
      <c r="BS149" s="702">
        <f>IF($R149&gt;0,(($Y149)/(12)),0)</f>
        <v/>
      </c>
      <c r="BT149" s="702">
        <f>IF($R149&gt;0,(($Y149)/(12)),0)</f>
        <v/>
      </c>
      <c r="BU149" s="702">
        <f>IF($R149&gt;0,(($Y149)/(12)),0)</f>
        <v/>
      </c>
      <c r="BV149" s="702">
        <f>IF($R149&gt;0,(($Y149)/(12)),0)</f>
        <v/>
      </c>
      <c r="BW149" s="702">
        <f>IF($R149&gt;0,(($Y149)/(12)),0)</f>
        <v/>
      </c>
      <c r="BX149" s="702">
        <f>IF($R149&gt;0,(($Y149)/(12)),0)</f>
        <v/>
      </c>
      <c r="BY149" s="702">
        <f>IF($R149&gt;0,(($Y149)/(12)),0)</f>
        <v/>
      </c>
      <c r="BZ149" s="702">
        <f>IF($R149&gt;0,(($Y149)/(12)),0)</f>
        <v/>
      </c>
      <c r="CA149" s="702">
        <f>IF($R149&gt;0,(($Y149)/(12)),0)</f>
        <v/>
      </c>
      <c r="CB149" s="702">
        <f>IF($R149&gt;0,(($Y149)/(12)),0)</f>
        <v/>
      </c>
      <c r="CC149" s="702">
        <f>IF($R149&gt;0,(($Y149)/(12)),0)</f>
        <v/>
      </c>
      <c r="CD149" s="702">
        <f>IF($R149&gt;0,(($Y149)/(12)),0)</f>
        <v/>
      </c>
      <c r="CE149" s="765">
        <f>SUM(BS149:CD149)</f>
        <v/>
      </c>
      <c r="CF149" s="507" t="n"/>
      <c r="CG149" s="702">
        <f>IF($S149&gt;0,(($Z149)/(12)),0)</f>
        <v/>
      </c>
      <c r="CH149" s="702">
        <f>IF($S149&gt;0,(($Z149)/(12)),0)</f>
        <v/>
      </c>
      <c r="CI149" s="702">
        <f>IF($S149&gt;0,(($Z149)/(12)),0)</f>
        <v/>
      </c>
      <c r="CJ149" s="702">
        <f>IF($S149&gt;0,(($Z149)/(12)),0)</f>
        <v/>
      </c>
      <c r="CK149" s="702">
        <f>IF($S149&gt;0,(($Z149)/(12)),0)</f>
        <v/>
      </c>
      <c r="CL149" s="702">
        <f>IF($S149&gt;0,(($Z149)/(12)),0)</f>
        <v/>
      </c>
      <c r="CM149" s="702">
        <f>IF($S149&gt;0,(($Z149)/(12)),0)</f>
        <v/>
      </c>
      <c r="CN149" s="702">
        <f>IF($S149&gt;0,(($Z149)/(12)),0)</f>
        <v/>
      </c>
      <c r="CO149" s="702">
        <f>IF($S149&gt;0,(($Z149)/(12)),0)</f>
        <v/>
      </c>
      <c r="CP149" s="702">
        <f>IF($S149&gt;0,(($Z149)/(12)),0)</f>
        <v/>
      </c>
      <c r="CQ149" s="702">
        <f>IF($S149&gt;0,(($Z149)/(12)),0)</f>
        <v/>
      </c>
      <c r="CR149" s="702">
        <f>IF($S149&gt;0,(($Z149)/(12)),0)</f>
        <v/>
      </c>
      <c r="CS149" s="765">
        <f>SUM(CG149:CR149)</f>
        <v/>
      </c>
      <c r="CU149" s="702">
        <f>IF($T149&gt;0,(($AA149)/(12)),0)</f>
        <v/>
      </c>
      <c r="CV149" s="702">
        <f>IF($T149&gt;0,(($AA149)/(12)),0)</f>
        <v/>
      </c>
      <c r="CW149" s="702">
        <f>IF($T149&gt;0,(($AA149)/(12)),0)</f>
        <v/>
      </c>
      <c r="CX149" s="702">
        <f>IF($T149&gt;0,(($AA149)/(12)),0)</f>
        <v/>
      </c>
      <c r="CY149" s="702">
        <f>IF($T149&gt;0,(($AA149)/(12)),0)</f>
        <v/>
      </c>
      <c r="CZ149" s="702">
        <f>IF($T149&gt;0,(($AA149)/(12)),0)</f>
        <v/>
      </c>
      <c r="DA149" s="702">
        <f>IF($T149&gt;0,(($AA149)/(12)),0)</f>
        <v/>
      </c>
      <c r="DB149" s="702">
        <f>IF($T149&gt;0,(($AA149)/(12)),0)</f>
        <v/>
      </c>
      <c r="DC149" s="702">
        <f>IF($T149&gt;0,(($AA149)/(12)),0)</f>
        <v/>
      </c>
      <c r="DD149" s="702">
        <f>IF($T149&gt;0,(($AA149)/(12)),0)</f>
        <v/>
      </c>
      <c r="DE149" s="702">
        <f>IF($T149&gt;0,(($AA149)/(12)),0)</f>
        <v/>
      </c>
      <c r="DF149" s="702">
        <f>IF($T149&gt;0,(($AA149)/(12)),0)</f>
        <v/>
      </c>
      <c r="DG149" s="765">
        <f>SUM(CU149:DF149)</f>
        <v/>
      </c>
    </row>
    <row r="150" ht="13.5" customHeight="1" s="1883">
      <c r="B150" s="752">
        <f>((B149)+(1))</f>
        <v/>
      </c>
      <c r="C150" s="726" t="n"/>
      <c r="D150" s="730" t="inlineStr">
        <is>
          <t>●</t>
        </is>
      </c>
      <c r="E150" s="737" t="inlineStr">
        <is>
          <t>TBD</t>
        </is>
      </c>
      <c r="F150" s="737" t="n"/>
      <c r="G150" s="737" t="n"/>
      <c r="H150" s="737" t="n"/>
      <c r="I150" s="737" t="inlineStr">
        <is>
          <t>Hardware Director</t>
        </is>
      </c>
      <c r="J150" s="746" t="inlineStr">
        <is>
          <t>OCONUS</t>
        </is>
      </c>
      <c r="L150" s="738" t="n">
        <v>-11</v>
      </c>
      <c r="M150" s="738" t="n">
        <v>-11</v>
      </c>
      <c r="O150" s="754" t="n">
        <v>0</v>
      </c>
      <c r="P150" s="755" t="n">
        <v>0</v>
      </c>
      <c r="Q150" s="755" t="n">
        <v>0</v>
      </c>
      <c r="R150" s="755" t="n">
        <v>0</v>
      </c>
      <c r="S150" s="755" t="n">
        <v>0</v>
      </c>
      <c r="T150" s="755" t="n">
        <v>0</v>
      </c>
      <c r="U150" s="737" t="n"/>
      <c r="V150" s="702">
        <f>9000*12</f>
        <v/>
      </c>
      <c r="W150" s="700">
        <f>(V150)</f>
        <v/>
      </c>
      <c r="X150" s="700">
        <f>((W150)*((1)+($X$63)))</f>
        <v/>
      </c>
      <c r="Y150" s="700">
        <f>((X150)*((1)+($Y$63)))</f>
        <v/>
      </c>
      <c r="Z150" s="700">
        <f>((Y150)*((1)+($Z$63)))</f>
        <v/>
      </c>
      <c r="AA150" s="700">
        <f>((Z150)*((1)+($AA$63)))</f>
        <v/>
      </c>
      <c r="AB150" s="726" t="n"/>
      <c r="AC150" s="702" t="n">
        <v>0</v>
      </c>
      <c r="AD150" s="702" t="n">
        <v>0</v>
      </c>
      <c r="AE150" s="702">
        <f>(($V150)/(12))</f>
        <v/>
      </c>
      <c r="AF150" s="702">
        <f>(($V150)/(12))</f>
        <v/>
      </c>
      <c r="AG150" s="702">
        <f>(($V150)/(12))</f>
        <v/>
      </c>
      <c r="AH150" s="702">
        <f>(($V150)/(12))</f>
        <v/>
      </c>
      <c r="AI150" s="702">
        <f>(($V150)/(12))</f>
        <v/>
      </c>
      <c r="AJ150" s="702">
        <f>(($V150)/(12))</f>
        <v/>
      </c>
      <c r="AK150" s="702">
        <f>(($V150)/(12))</f>
        <v/>
      </c>
      <c r="AL150" s="702">
        <f>(($V150)/(12))</f>
        <v/>
      </c>
      <c r="AM150" s="702">
        <f>(($V150)/(12))</f>
        <v/>
      </c>
      <c r="AN150" s="702">
        <f>(($V150)/(12))</f>
        <v/>
      </c>
      <c r="AO150" s="765">
        <f>SUM(AC150:AN150)</f>
        <v/>
      </c>
      <c r="AP150" s="462" t="n"/>
      <c r="AQ150" s="702">
        <f>IF($P150&gt;0,(($W150)/(12)),0)</f>
        <v/>
      </c>
      <c r="AR150" s="702">
        <f>IF($P150&gt;0,(($W150)/(12)),0)</f>
        <v/>
      </c>
      <c r="AS150" s="702">
        <f>IF($P150&gt;0,(($W150)/(12)),0)</f>
        <v/>
      </c>
      <c r="AT150" s="702">
        <f>IF($P150&gt;0,(($W150)/(12)),0)</f>
        <v/>
      </c>
      <c r="AU150" s="702">
        <f>IF($P150&gt;0,(($W150)/(12)),0)</f>
        <v/>
      </c>
      <c r="AV150" s="702">
        <f>IF($P150&gt;0,(($W150)/(12)),0)</f>
        <v/>
      </c>
      <c r="AW150" s="702">
        <f>IF($P150&gt;0,(($W150)/(12)),0)</f>
        <v/>
      </c>
      <c r="AX150" s="702">
        <f>IF($P150&gt;0,(($W150)/(12)),0)</f>
        <v/>
      </c>
      <c r="AY150" s="702">
        <f>IF($P150&gt;0,(($W150)/(12)),0)</f>
        <v/>
      </c>
      <c r="AZ150" s="702">
        <f>IF($P150&gt;0,(($W150)/(12)),0)</f>
        <v/>
      </c>
      <c r="BA150" s="702">
        <f>IF($P150&gt;0,(($W150)/(12)),0)</f>
        <v/>
      </c>
      <c r="BB150" s="702">
        <f>IF($P150&gt;0,(($W150)/(12)),0)</f>
        <v/>
      </c>
      <c r="BC150" s="765">
        <f>SUM(AQ150:BB150)</f>
        <v/>
      </c>
      <c r="BD150" s="462" t="n"/>
      <c r="BE150" s="702">
        <f>IF($Q150&gt;0,(($X150)/(12)),0)</f>
        <v/>
      </c>
      <c r="BF150" s="702">
        <f>IF($Q150&gt;0,(($X150)/(12)),0)</f>
        <v/>
      </c>
      <c r="BG150" s="702">
        <f>IF($Q150&gt;0,(($X150)/(12)),0)</f>
        <v/>
      </c>
      <c r="BH150" s="702">
        <f>IF($Q150&gt;0,(($X150)/(12)),0)</f>
        <v/>
      </c>
      <c r="BI150" s="702">
        <f>IF($Q150&gt;0,(($X150)/(12)),0)</f>
        <v/>
      </c>
      <c r="BJ150" s="702">
        <f>IF($Q150&gt;0,(($X150)/(12)),0)</f>
        <v/>
      </c>
      <c r="BK150" s="702">
        <f>IF($Q150&gt;0,(($X150)/(12)),0)</f>
        <v/>
      </c>
      <c r="BL150" s="702">
        <f>IF($Q150&gt;0,(($X150)/(12)),0)</f>
        <v/>
      </c>
      <c r="BM150" s="702">
        <f>IF($Q150&gt;0,(($X150)/(12)),0)</f>
        <v/>
      </c>
      <c r="BN150" s="702">
        <f>IF($Q150&gt;0,(($X150)/(12)),0)</f>
        <v/>
      </c>
      <c r="BO150" s="702">
        <f>IF($Q150&gt;0,(($X150)/(12)),0)</f>
        <v/>
      </c>
      <c r="BP150" s="702">
        <f>IF($Q150&gt;0,(($X150)/(12)),0)</f>
        <v/>
      </c>
      <c r="BQ150" s="765">
        <f>SUM(BE150:BP150)</f>
        <v/>
      </c>
      <c r="BR150" s="507" t="n"/>
      <c r="BS150" s="702">
        <f>IF($R150&gt;0,(($Y150)/(12)),0)</f>
        <v/>
      </c>
      <c r="BT150" s="702">
        <f>IF($R150&gt;0,(($Y150)/(12)),0)</f>
        <v/>
      </c>
      <c r="BU150" s="702">
        <f>IF($R150&gt;0,(($Y150)/(12)),0)</f>
        <v/>
      </c>
      <c r="BV150" s="702">
        <f>IF($R150&gt;0,(($Y150)/(12)),0)</f>
        <v/>
      </c>
      <c r="BW150" s="702">
        <f>IF($R150&gt;0,(($Y150)/(12)),0)</f>
        <v/>
      </c>
      <c r="BX150" s="702">
        <f>IF($R150&gt;0,(($Y150)/(12)),0)</f>
        <v/>
      </c>
      <c r="BY150" s="702">
        <f>IF($R150&gt;0,(($Y150)/(12)),0)</f>
        <v/>
      </c>
      <c r="BZ150" s="702">
        <f>IF($R150&gt;0,(($Y150)/(12)),0)</f>
        <v/>
      </c>
      <c r="CA150" s="702">
        <f>IF($R150&gt;0,(($Y150)/(12)),0)</f>
        <v/>
      </c>
      <c r="CB150" s="702">
        <f>IF($R150&gt;0,(($Y150)/(12)),0)</f>
        <v/>
      </c>
      <c r="CC150" s="702">
        <f>IF($R150&gt;0,(($Y150)/(12)),0)</f>
        <v/>
      </c>
      <c r="CD150" s="702">
        <f>IF($R150&gt;0,(($Y150)/(12)),0)</f>
        <v/>
      </c>
      <c r="CE150" s="765">
        <f>SUM(BS150:CD150)</f>
        <v/>
      </c>
      <c r="CF150" s="507" t="n"/>
      <c r="CG150" s="702">
        <f>IF($S150&gt;0,(($Z150)/(12)),0)</f>
        <v/>
      </c>
      <c r="CH150" s="702">
        <f>IF($S150&gt;0,(($Z150)/(12)),0)</f>
        <v/>
      </c>
      <c r="CI150" s="702">
        <f>IF($S150&gt;0,(($Z150)/(12)),0)</f>
        <v/>
      </c>
      <c r="CJ150" s="702">
        <f>IF($S150&gt;0,(($Z150)/(12)),0)</f>
        <v/>
      </c>
      <c r="CK150" s="702">
        <f>IF($S150&gt;0,(($Z150)/(12)),0)</f>
        <v/>
      </c>
      <c r="CL150" s="702">
        <f>IF($S150&gt;0,(($Z150)/(12)),0)</f>
        <v/>
      </c>
      <c r="CM150" s="702">
        <f>IF($S150&gt;0,(($Z150)/(12)),0)</f>
        <v/>
      </c>
      <c r="CN150" s="702">
        <f>IF($S150&gt;0,(($Z150)/(12)),0)</f>
        <v/>
      </c>
      <c r="CO150" s="702">
        <f>IF($S150&gt;0,(($Z150)/(12)),0)</f>
        <v/>
      </c>
      <c r="CP150" s="702">
        <f>IF($S150&gt;0,(($Z150)/(12)),0)</f>
        <v/>
      </c>
      <c r="CQ150" s="702">
        <f>IF($S150&gt;0,(($Z150)/(12)),0)</f>
        <v/>
      </c>
      <c r="CR150" s="702">
        <f>IF($S150&gt;0,(($Z150)/(12)),0)</f>
        <v/>
      </c>
      <c r="CS150" s="765">
        <f>SUM(CG150:CR150)</f>
        <v/>
      </c>
      <c r="CU150" s="702">
        <f>IF($T150&gt;0,(($AA150)/(12)),0)</f>
        <v/>
      </c>
      <c r="CV150" s="702">
        <f>IF($T150&gt;0,(($AA150)/(12)),0)</f>
        <v/>
      </c>
      <c r="CW150" s="702">
        <f>IF($T150&gt;0,(($AA150)/(12)),0)</f>
        <v/>
      </c>
      <c r="CX150" s="702">
        <f>IF($T150&gt;0,(($AA150)/(12)),0)</f>
        <v/>
      </c>
      <c r="CY150" s="702">
        <f>IF($T150&gt;0,(($AA150)/(12)),0)</f>
        <v/>
      </c>
      <c r="CZ150" s="702">
        <f>IF($T150&gt;0,(($AA150)/(12)),0)</f>
        <v/>
      </c>
      <c r="DA150" s="702">
        <f>IF($T150&gt;0,(($AA150)/(12)),0)</f>
        <v/>
      </c>
      <c r="DB150" s="702">
        <f>IF($T150&gt;0,(($AA150)/(12)),0)</f>
        <v/>
      </c>
      <c r="DC150" s="702">
        <f>IF($T150&gt;0,(($AA150)/(12)),0)</f>
        <v/>
      </c>
      <c r="DD150" s="702">
        <f>IF($T150&gt;0,(($AA150)/(12)),0)</f>
        <v/>
      </c>
      <c r="DE150" s="702">
        <f>IF($T150&gt;0,(($AA150)/(12)),0)</f>
        <v/>
      </c>
      <c r="DF150" s="702">
        <f>IF($T150&gt;0,(($AA150)/(12)),0)</f>
        <v/>
      </c>
      <c r="DG150" s="765">
        <f>SUM(CU150:DF150)</f>
        <v/>
      </c>
    </row>
    <row r="151" ht="3" customHeight="1" s="1883">
      <c r="B151" s="726" t="n"/>
      <c r="C151" s="726" t="n"/>
      <c r="O151" s="405" t="n"/>
      <c r="P151" s="405" t="n"/>
      <c r="Q151" s="405" t="n"/>
      <c r="R151" s="405" t="n"/>
      <c r="S151" s="405" t="n"/>
      <c r="T151" s="405" t="n"/>
      <c r="X151" s="726" t="n"/>
      <c r="Y151" s="726" t="n"/>
      <c r="Z151" s="726" t="n"/>
      <c r="AA151" s="726" t="n"/>
      <c r="AB151" s="726" t="n"/>
      <c r="AC151" s="462" t="n"/>
      <c r="AD151" s="462" t="n"/>
      <c r="AE151" s="462" t="n"/>
      <c r="AF151" s="462" t="n"/>
      <c r="AG151" s="462" t="n"/>
      <c r="AH151" s="462" t="n"/>
      <c r="AI151" s="462" t="n"/>
      <c r="AJ151" s="462" t="n"/>
      <c r="AK151" s="462" t="n"/>
      <c r="AL151" s="462" t="n"/>
      <c r="AM151" s="462" t="n"/>
      <c r="AN151" s="462" t="n"/>
      <c r="AO151" s="462" t="n"/>
      <c r="AP151" s="462" t="n"/>
      <c r="AQ151" s="462" t="n"/>
      <c r="AR151" s="462" t="n"/>
      <c r="AS151" s="462" t="n"/>
      <c r="AT151" s="462" t="n"/>
      <c r="AU151" s="462" t="n"/>
      <c r="AV151" s="462" t="n"/>
      <c r="AW151" s="462" t="n"/>
      <c r="AX151" s="462" t="n"/>
      <c r="AY151" s="462" t="n"/>
      <c r="AZ151" s="462" t="n"/>
      <c r="BA151" s="462" t="n"/>
      <c r="BB151" s="462" t="n"/>
      <c r="BC151" s="462" t="n"/>
      <c r="BD151" s="462" t="n"/>
      <c r="BE151" s="462" t="n"/>
      <c r="BF151" s="462" t="n"/>
      <c r="BG151" s="462" t="n"/>
      <c r="BH151" s="462" t="n"/>
      <c r="BI151" s="462" t="n"/>
      <c r="BJ151" s="462" t="n"/>
      <c r="BK151" s="462" t="n"/>
      <c r="BL151" s="462" t="n"/>
      <c r="BM151" s="462" t="n"/>
      <c r="BN151" s="462" t="n"/>
      <c r="BO151" s="462" t="n"/>
      <c r="BP151" s="462" t="n"/>
      <c r="BQ151" s="462" t="n"/>
      <c r="BR151" s="507" t="n"/>
      <c r="BS151" s="462" t="n"/>
      <c r="BT151" s="462" t="n"/>
      <c r="BU151" s="462" t="n"/>
      <c r="BV151" s="462" t="n"/>
      <c r="BW151" s="462" t="n"/>
      <c r="BX151" s="462" t="n"/>
      <c r="BY151" s="462" t="n"/>
      <c r="BZ151" s="462" t="n"/>
      <c r="CA151" s="462" t="n"/>
      <c r="CB151" s="462" t="n"/>
      <c r="CC151" s="462" t="n"/>
      <c r="CD151" s="462" t="n"/>
      <c r="CE151" s="462" t="n"/>
      <c r="CF151" s="507" t="n"/>
      <c r="CG151" s="462" t="n"/>
      <c r="CH151" s="462" t="n"/>
      <c r="CI151" s="462" t="n"/>
      <c r="CJ151" s="462" t="n"/>
      <c r="CK151" s="462" t="n"/>
      <c r="CL151" s="462" t="n"/>
      <c r="CM151" s="462" t="n"/>
      <c r="CN151" s="462" t="n"/>
      <c r="CO151" s="462" t="n"/>
      <c r="CP151" s="462" t="n"/>
      <c r="CQ151" s="462" t="n"/>
      <c r="CR151" s="462" t="n"/>
      <c r="CS151" s="462" t="n"/>
      <c r="CU151" s="462" t="n"/>
      <c r="CV151" s="462" t="n"/>
      <c r="CW151" s="462" t="n"/>
      <c r="CX151" s="462" t="n"/>
      <c r="CY151" s="462" t="n"/>
      <c r="CZ151" s="462" t="n"/>
      <c r="DA151" s="462" t="n"/>
      <c r="DB151" s="462" t="n"/>
      <c r="DC151" s="462" t="n"/>
      <c r="DD151" s="462" t="n"/>
      <c r="DE151" s="462" t="n"/>
      <c r="DF151" s="462" t="n"/>
      <c r="DG151" s="462" t="n"/>
    </row>
    <row r="152" ht="15" customHeight="1" s="1883">
      <c r="B152" s="726" t="n"/>
      <c r="C152" s="726" t="n"/>
      <c r="J152" s="732" t="inlineStr">
        <is>
          <t>Sub-Total, Middle Management</t>
        </is>
      </c>
      <c r="K152" s="726" t="n"/>
      <c r="L152" s="726" t="n"/>
      <c r="M152" s="726" t="n"/>
      <c r="N152" s="726" t="n"/>
      <c r="O152" s="763">
        <f>SUM(O71:O147)</f>
        <v/>
      </c>
      <c r="P152" s="763">
        <f>SUM(P71:P147)</f>
        <v/>
      </c>
      <c r="Q152" s="763">
        <f>SUM(Q71:Q147)</f>
        <v/>
      </c>
      <c r="R152" s="763">
        <f>SUM(R71:R147)</f>
        <v/>
      </c>
      <c r="S152" s="763">
        <f>SUM(S71:S147)</f>
        <v/>
      </c>
      <c r="T152" s="763">
        <f>SUM(T71:T147)</f>
        <v/>
      </c>
      <c r="U152" s="726" t="n"/>
      <c r="V152" s="726" t="n"/>
      <c r="W152" s="726" t="n"/>
      <c r="X152" s="726" t="n"/>
      <c r="Y152" s="726" t="n"/>
      <c r="Z152" s="726" t="n"/>
      <c r="AA152" s="726" t="n"/>
      <c r="AB152" s="726" t="n"/>
      <c r="AC152" s="765">
        <f>SUM(AC71:AC150)</f>
        <v/>
      </c>
      <c r="AD152" s="765">
        <f>SUM(AD71:AD150)</f>
        <v/>
      </c>
      <c r="AE152" s="765">
        <f>SUM(AE71:AE150)</f>
        <v/>
      </c>
      <c r="AF152" s="765">
        <f>SUM(AF71:AF150)</f>
        <v/>
      </c>
      <c r="AG152" s="765">
        <f>SUM(AG71:AG150)</f>
        <v/>
      </c>
      <c r="AH152" s="765">
        <f>SUM(AH71:AH150)</f>
        <v/>
      </c>
      <c r="AI152" s="765">
        <f>SUM(AI71:AI150)</f>
        <v/>
      </c>
      <c r="AJ152" s="765">
        <f>SUM(AJ71:AJ150)</f>
        <v/>
      </c>
      <c r="AK152" s="765">
        <f>SUM(AK71:AK150)</f>
        <v/>
      </c>
      <c r="AL152" s="765">
        <f>SUM(AL71:AL150)</f>
        <v/>
      </c>
      <c r="AM152" s="765">
        <f>SUM(AM71:AM150)</f>
        <v/>
      </c>
      <c r="AN152" s="765">
        <f>SUM(AN71:AN150)</f>
        <v/>
      </c>
      <c r="AO152" s="765">
        <f>SUM(AO71:AO150)</f>
        <v/>
      </c>
      <c r="AP152" s="462" t="n"/>
      <c r="AQ152" s="765">
        <f>SUM(AQ71:AQ150)</f>
        <v/>
      </c>
      <c r="AR152" s="765">
        <f>SUM(AR71:AR150)</f>
        <v/>
      </c>
      <c r="AS152" s="765">
        <f>SUM(AS71:AS150)</f>
        <v/>
      </c>
      <c r="AT152" s="765">
        <f>SUM(AT71:AT150)</f>
        <v/>
      </c>
      <c r="AU152" s="765">
        <f>SUM(AU71:AU150)</f>
        <v/>
      </c>
      <c r="AV152" s="765">
        <f>SUM(AV71:AV150)</f>
        <v/>
      </c>
      <c r="AW152" s="765">
        <f>SUM(AW71:AW150)</f>
        <v/>
      </c>
      <c r="AX152" s="765">
        <f>SUM(AX71:AX150)</f>
        <v/>
      </c>
      <c r="AY152" s="765">
        <f>SUM(AY71:AY150)</f>
        <v/>
      </c>
      <c r="AZ152" s="765">
        <f>SUM(AZ71:AZ150)</f>
        <v/>
      </c>
      <c r="BA152" s="765">
        <f>SUM(BA71:BA150)</f>
        <v/>
      </c>
      <c r="BB152" s="765">
        <f>SUM(BB71:BB150)</f>
        <v/>
      </c>
      <c r="BC152" s="765">
        <f>SUM(BC71:BC150)</f>
        <v/>
      </c>
      <c r="BD152" s="462" t="n"/>
      <c r="BE152" s="765">
        <f>SUM(BE71:BE150)</f>
        <v/>
      </c>
      <c r="BF152" s="765">
        <f>SUM(BF71:BF150)</f>
        <v/>
      </c>
      <c r="BG152" s="765">
        <f>SUM(BG71:BG150)</f>
        <v/>
      </c>
      <c r="BH152" s="765">
        <f>SUM(BH71:BH150)</f>
        <v/>
      </c>
      <c r="BI152" s="765">
        <f>SUM(BI71:BI150)</f>
        <v/>
      </c>
      <c r="BJ152" s="765">
        <f>SUM(BJ71:BJ150)</f>
        <v/>
      </c>
      <c r="BK152" s="765">
        <f>SUM(BK71:BK150)</f>
        <v/>
      </c>
      <c r="BL152" s="765">
        <f>SUM(BL71:BL150)</f>
        <v/>
      </c>
      <c r="BM152" s="765">
        <f>SUM(BM71:BM150)</f>
        <v/>
      </c>
      <c r="BN152" s="765">
        <f>SUM(BN71:BN150)</f>
        <v/>
      </c>
      <c r="BO152" s="765">
        <f>SUM(BO71:BO150)</f>
        <v/>
      </c>
      <c r="BP152" s="765">
        <f>SUM(BP71:BP150)</f>
        <v/>
      </c>
      <c r="BQ152" s="765">
        <f>SUM(BQ71:BQ150)</f>
        <v/>
      </c>
      <c r="BR152" s="507" t="n"/>
      <c r="BS152" s="765">
        <f>SUM(BS71:BS150)</f>
        <v/>
      </c>
      <c r="BT152" s="765">
        <f>SUM(BT71:BT150)</f>
        <v/>
      </c>
      <c r="BU152" s="765">
        <f>SUM(BU71:BU150)</f>
        <v/>
      </c>
      <c r="BV152" s="765">
        <f>SUM(BV71:BV150)</f>
        <v/>
      </c>
      <c r="BW152" s="765">
        <f>SUM(BW71:BW150)</f>
        <v/>
      </c>
      <c r="BX152" s="765">
        <f>SUM(BX71:BX150)</f>
        <v/>
      </c>
      <c r="BY152" s="765">
        <f>SUM(BY71:BY150)</f>
        <v/>
      </c>
      <c r="BZ152" s="765">
        <f>SUM(BZ71:BZ150)</f>
        <v/>
      </c>
      <c r="CA152" s="765">
        <f>SUM(CA71:CA150)</f>
        <v/>
      </c>
      <c r="CB152" s="765">
        <f>SUM(CB71:CB150)</f>
        <v/>
      </c>
      <c r="CC152" s="765">
        <f>SUM(CC71:CC150)</f>
        <v/>
      </c>
      <c r="CD152" s="765">
        <f>SUM(CD71:CD150)</f>
        <v/>
      </c>
      <c r="CE152" s="765">
        <f>SUM(CE71:CE150)</f>
        <v/>
      </c>
      <c r="CF152" s="507" t="n"/>
      <c r="CG152" s="765">
        <f>SUM(CG71:CG150)</f>
        <v/>
      </c>
      <c r="CH152" s="765">
        <f>SUM(CH71:CH150)</f>
        <v/>
      </c>
      <c r="CI152" s="765">
        <f>SUM(CI71:CI150)</f>
        <v/>
      </c>
      <c r="CJ152" s="765">
        <f>SUM(CJ71:CJ150)</f>
        <v/>
      </c>
      <c r="CK152" s="765">
        <f>SUM(CK71:CK150)</f>
        <v/>
      </c>
      <c r="CL152" s="765">
        <f>SUM(CL71:CL150)</f>
        <v/>
      </c>
      <c r="CM152" s="765">
        <f>SUM(CM71:CM150)</f>
        <v/>
      </c>
      <c r="CN152" s="765">
        <f>SUM(CN71:CN150)</f>
        <v/>
      </c>
      <c r="CO152" s="765">
        <f>SUM(CO71:CO150)</f>
        <v/>
      </c>
      <c r="CP152" s="765">
        <f>SUM(CP71:CP150)</f>
        <v/>
      </c>
      <c r="CQ152" s="765">
        <f>SUM(CQ71:CQ150)</f>
        <v/>
      </c>
      <c r="CR152" s="765">
        <f>SUM(CR71:CR150)</f>
        <v/>
      </c>
      <c r="CS152" s="765">
        <f>SUM(CS71:CS150)</f>
        <v/>
      </c>
      <c r="CU152" s="765">
        <f>SUM(CU71:CU150)</f>
        <v/>
      </c>
      <c r="CV152" s="765">
        <f>SUM(CV71:CV150)</f>
        <v/>
      </c>
      <c r="CW152" s="765">
        <f>SUM(CW71:CW150)</f>
        <v/>
      </c>
      <c r="CX152" s="765">
        <f>SUM(CX71:CX150)</f>
        <v/>
      </c>
      <c r="CY152" s="765">
        <f>SUM(CY71:CY150)</f>
        <v/>
      </c>
      <c r="CZ152" s="765">
        <f>SUM(CZ71:CZ150)</f>
        <v/>
      </c>
      <c r="DA152" s="765">
        <f>SUM(DA71:DA150)</f>
        <v/>
      </c>
      <c r="DB152" s="765">
        <f>SUM(DB71:DB150)</f>
        <v/>
      </c>
      <c r="DC152" s="765">
        <f>SUM(DC71:DC150)</f>
        <v/>
      </c>
      <c r="DD152" s="765">
        <f>SUM(DD71:DD150)</f>
        <v/>
      </c>
      <c r="DE152" s="765">
        <f>SUM(DE71:DE150)</f>
        <v/>
      </c>
      <c r="DF152" s="765">
        <f>SUM(DF71:DF150)</f>
        <v/>
      </c>
      <c r="DG152" s="765">
        <f>SUM(DG71:DG150)</f>
        <v/>
      </c>
    </row>
    <row r="153" ht="3" customHeight="1" s="1883">
      <c r="B153" s="726" t="n"/>
      <c r="C153" s="726" t="n"/>
      <c r="I153" s="726" t="n"/>
      <c r="J153" s="726" t="n"/>
      <c r="K153" s="726" t="n"/>
      <c r="L153" s="726" t="n"/>
      <c r="M153" s="726" t="n"/>
      <c r="N153" s="726" t="n"/>
      <c r="O153" s="757" t="n"/>
      <c r="P153" s="757" t="n"/>
      <c r="Q153" s="757" t="n"/>
      <c r="R153" s="757" t="n"/>
      <c r="S153" s="757" t="n"/>
      <c r="T153" s="757" t="n"/>
      <c r="U153" s="726" t="n"/>
      <c r="V153" s="726" t="n"/>
      <c r="W153" s="726" t="n"/>
      <c r="X153" s="726" t="n"/>
      <c r="Y153" s="726" t="n"/>
      <c r="Z153" s="726" t="n"/>
      <c r="AA153" s="726" t="n"/>
      <c r="AB153" s="726" t="n"/>
      <c r="AC153" s="508" t="n"/>
      <c r="AD153" s="508" t="n"/>
      <c r="AE153" s="508" t="n"/>
      <c r="AF153" s="508" t="n"/>
      <c r="AG153" s="508" t="n"/>
      <c r="AH153" s="508" t="n"/>
      <c r="AI153" s="508" t="n"/>
      <c r="AJ153" s="508" t="n"/>
      <c r="AK153" s="508" t="n"/>
      <c r="AL153" s="508" t="n"/>
      <c r="AM153" s="508" t="n"/>
      <c r="AN153" s="508" t="n"/>
      <c r="AO153" s="508" t="n"/>
      <c r="AP153" s="462" t="n"/>
      <c r="AQ153" s="508" t="n"/>
      <c r="AR153" s="508" t="n"/>
      <c r="AS153" s="508" t="n"/>
      <c r="AT153" s="508" t="n"/>
      <c r="AU153" s="508" t="n"/>
      <c r="AV153" s="508" t="n"/>
      <c r="AW153" s="508" t="n"/>
      <c r="AX153" s="508" t="n"/>
      <c r="AY153" s="508" t="n"/>
      <c r="AZ153" s="508" t="n"/>
      <c r="BA153" s="508" t="n"/>
      <c r="BB153" s="508" t="n"/>
      <c r="BC153" s="508" t="n"/>
      <c r="BD153" s="462" t="n"/>
      <c r="BE153" s="508" t="n"/>
      <c r="BF153" s="508" t="n"/>
      <c r="BG153" s="508" t="n"/>
      <c r="BH153" s="508" t="n"/>
      <c r="BI153" s="508" t="n"/>
      <c r="BJ153" s="508" t="n"/>
      <c r="BK153" s="508" t="n"/>
      <c r="BL153" s="508" t="n"/>
      <c r="BM153" s="508" t="n"/>
      <c r="BN153" s="508" t="n"/>
      <c r="BO153" s="508" t="n"/>
      <c r="BP153" s="508" t="n"/>
      <c r="BQ153" s="508" t="n"/>
      <c r="BR153" s="507" t="n"/>
      <c r="BS153" s="508" t="n"/>
      <c r="BT153" s="508" t="n"/>
      <c r="BU153" s="508" t="n"/>
      <c r="BV153" s="508" t="n"/>
      <c r="BW153" s="508" t="n"/>
      <c r="BX153" s="508" t="n"/>
      <c r="BY153" s="508" t="n"/>
      <c r="BZ153" s="508" t="n"/>
      <c r="CA153" s="508" t="n"/>
      <c r="CB153" s="508" t="n"/>
      <c r="CC153" s="508" t="n"/>
      <c r="CD153" s="508" t="n"/>
      <c r="CE153" s="508" t="n"/>
      <c r="CF153" s="507" t="n"/>
      <c r="CG153" s="508" t="n"/>
      <c r="CH153" s="508" t="n"/>
      <c r="CI153" s="508" t="n"/>
      <c r="CJ153" s="508" t="n"/>
      <c r="CK153" s="508" t="n"/>
      <c r="CL153" s="508" t="n"/>
      <c r="CM153" s="508" t="n"/>
      <c r="CN153" s="508" t="n"/>
      <c r="CO153" s="508" t="n"/>
      <c r="CP153" s="508" t="n"/>
      <c r="CQ153" s="508" t="n"/>
      <c r="CR153" s="508" t="n"/>
      <c r="CS153" s="508" t="n"/>
      <c r="CU153" s="508" t="n"/>
      <c r="CV153" s="508" t="n"/>
      <c r="CW153" s="508" t="n"/>
      <c r="CX153" s="508" t="n"/>
      <c r="CY153" s="508" t="n"/>
      <c r="CZ153" s="508" t="n"/>
      <c r="DA153" s="508" t="n"/>
      <c r="DB153" s="508" t="n"/>
      <c r="DC153" s="508" t="n"/>
      <c r="DD153" s="508" t="n"/>
      <c r="DE153" s="508" t="n"/>
      <c r="DF153" s="508" t="n"/>
      <c r="DG153" s="508" t="n"/>
    </row>
    <row r="154" ht="3" customHeight="1" s="1883">
      <c r="B154" s="726" t="n"/>
      <c r="C154" s="726" t="n"/>
      <c r="I154" s="726" t="n"/>
      <c r="J154" s="726" t="n"/>
      <c r="K154" s="726" t="n"/>
      <c r="L154" s="726" t="n"/>
      <c r="M154" s="726" t="n"/>
      <c r="N154" s="726" t="n"/>
      <c r="O154" s="737" t="n"/>
      <c r="P154" s="737" t="n"/>
      <c r="Q154" s="737" t="n"/>
      <c r="R154" s="737" t="n"/>
      <c r="S154" s="737" t="n"/>
      <c r="T154" s="737" t="n"/>
      <c r="U154" s="726" t="n"/>
      <c r="V154" s="726" t="n"/>
      <c r="W154" s="726" t="n"/>
      <c r="X154" s="726" t="n"/>
      <c r="Y154" s="726" t="n"/>
      <c r="Z154" s="726" t="n"/>
      <c r="AA154" s="726" t="n"/>
      <c r="AB154" s="726" t="n"/>
      <c r="AC154" s="702" t="n"/>
      <c r="AD154" s="702" t="n"/>
      <c r="AE154" s="702" t="n"/>
      <c r="AF154" s="702" t="n"/>
      <c r="AG154" s="702" t="n"/>
      <c r="AH154" s="702" t="n"/>
      <c r="AI154" s="462" t="n"/>
      <c r="AJ154" s="462" t="n"/>
      <c r="AK154" s="462" t="n"/>
      <c r="AL154" s="462" t="n"/>
      <c r="AM154" s="462" t="n"/>
      <c r="AN154" s="462" t="n"/>
      <c r="AO154" s="462" t="n"/>
      <c r="AP154" s="462" t="n"/>
      <c r="AQ154" s="462" t="n"/>
      <c r="AR154" s="462" t="n"/>
      <c r="AS154" s="462" t="n"/>
      <c r="AT154" s="462" t="n"/>
      <c r="AU154" s="462" t="n"/>
      <c r="AV154" s="462" t="n"/>
      <c r="AW154" s="462" t="n"/>
      <c r="AX154" s="462" t="n"/>
      <c r="AY154" s="462" t="n"/>
      <c r="AZ154" s="462" t="n"/>
      <c r="BA154" s="462" t="n"/>
      <c r="BB154" s="462" t="n"/>
      <c r="BC154" s="462" t="n"/>
      <c r="BD154" s="462" t="n"/>
      <c r="BE154" s="462" t="n"/>
      <c r="BF154" s="462" t="n"/>
      <c r="BG154" s="462" t="n"/>
      <c r="BH154" s="462" t="n"/>
      <c r="BI154" s="462" t="n"/>
      <c r="BJ154" s="462" t="n"/>
      <c r="BK154" s="462" t="n"/>
      <c r="BL154" s="462" t="n"/>
      <c r="BM154" s="462" t="n"/>
      <c r="BN154" s="462" t="n"/>
      <c r="BO154" s="462" t="n"/>
      <c r="BP154" s="462" t="n"/>
      <c r="BQ154" s="462" t="n"/>
      <c r="BR154" s="507" t="n"/>
      <c r="BS154" s="462" t="n"/>
      <c r="BT154" s="462" t="n"/>
      <c r="BU154" s="462" t="n"/>
      <c r="BV154" s="462" t="n"/>
      <c r="BW154" s="462" t="n"/>
      <c r="BX154" s="462" t="n"/>
      <c r="BY154" s="462" t="n"/>
      <c r="BZ154" s="462" t="n"/>
      <c r="CA154" s="462" t="n"/>
      <c r="CB154" s="462" t="n"/>
      <c r="CC154" s="462" t="n"/>
      <c r="CD154" s="462" t="n"/>
      <c r="CE154" s="462" t="n"/>
      <c r="CF154" s="507" t="n"/>
      <c r="CG154" s="462" t="n"/>
      <c r="CH154" s="462" t="n"/>
      <c r="CI154" s="462" t="n"/>
      <c r="CJ154" s="462" t="n"/>
      <c r="CK154" s="462" t="n"/>
      <c r="CL154" s="462" t="n"/>
      <c r="CM154" s="462" t="n"/>
      <c r="CN154" s="462" t="n"/>
      <c r="CO154" s="462" t="n"/>
      <c r="CP154" s="462" t="n"/>
      <c r="CQ154" s="462" t="n"/>
      <c r="CR154" s="462" t="n"/>
      <c r="CS154" s="462" t="n"/>
      <c r="CU154" s="462" t="n"/>
      <c r="CV154" s="462" t="n"/>
      <c r="CW154" s="462" t="n"/>
      <c r="CX154" s="462" t="n"/>
      <c r="CY154" s="462" t="n"/>
      <c r="CZ154" s="462" t="n"/>
      <c r="DA154" s="462" t="n"/>
      <c r="DB154" s="462" t="n"/>
      <c r="DC154" s="462" t="n"/>
      <c r="DD154" s="462" t="n"/>
      <c r="DE154" s="462" t="n"/>
      <c r="DF154" s="462" t="n"/>
      <c r="DG154" s="462" t="n"/>
    </row>
    <row r="155" ht="15" customHeight="1" s="1883">
      <c r="B155" s="726" t="n"/>
      <c r="C155" s="726" t="n"/>
      <c r="I155" s="726" t="n"/>
      <c r="J155" s="726" t="n"/>
      <c r="K155" s="726" t="n"/>
      <c r="L155" s="726" t="n"/>
      <c r="M155" s="726" t="n"/>
      <c r="N155" s="726" t="n"/>
      <c r="O155" s="737" t="n"/>
      <c r="P155" s="737" t="n"/>
      <c r="Q155" s="737" t="n"/>
      <c r="R155" s="737" t="n"/>
      <c r="S155" s="737" t="n"/>
      <c r="T155" s="737" t="n"/>
      <c r="U155" s="726" t="n"/>
      <c r="V155" s="726" t="n"/>
      <c r="W155" s="726" t="n"/>
      <c r="X155" s="726" t="n"/>
      <c r="Y155" s="726" t="n"/>
      <c r="Z155" s="726" t="n"/>
      <c r="AA155" s="726" t="n"/>
      <c r="AB155" s="726" t="n"/>
      <c r="AC155" s="702" t="n"/>
      <c r="AD155" s="702" t="n"/>
      <c r="AE155" s="702" t="n"/>
      <c r="AF155" s="702" t="n"/>
      <c r="AG155" s="702" t="n"/>
      <c r="AH155" s="702" t="n"/>
      <c r="AI155" s="462" t="n"/>
      <c r="AJ155" s="462" t="n"/>
      <c r="AK155" s="462" t="n"/>
      <c r="AL155" s="462" t="n"/>
      <c r="AM155" s="462" t="n"/>
      <c r="AN155" s="462" t="n"/>
      <c r="AO155" s="462" t="n"/>
      <c r="AP155" s="462" t="n"/>
      <c r="AQ155" s="462" t="n"/>
      <c r="AR155" s="462" t="n"/>
      <c r="AS155" s="462" t="n"/>
      <c r="AT155" s="462" t="n"/>
      <c r="AU155" s="462" t="n"/>
      <c r="AV155" s="462" t="n"/>
      <c r="AW155" s="462" t="n"/>
      <c r="AX155" s="462" t="n"/>
      <c r="AY155" s="462" t="n"/>
      <c r="AZ155" s="462" t="n"/>
      <c r="BA155" s="462" t="n"/>
      <c r="BB155" s="462" t="n"/>
      <c r="BC155" s="462" t="n"/>
      <c r="BD155" s="462" t="n"/>
      <c r="BE155" s="462" t="n"/>
      <c r="BF155" s="462" t="n"/>
      <c r="BG155" s="462" t="n"/>
      <c r="BH155" s="462" t="n"/>
      <c r="BI155" s="462" t="n"/>
      <c r="BJ155" s="462" t="n"/>
      <c r="BK155" s="462" t="n"/>
      <c r="BL155" s="462" t="n"/>
      <c r="BM155" s="462" t="n"/>
      <c r="BN155" s="462" t="n"/>
      <c r="BO155" s="462" t="n"/>
      <c r="BP155" s="462" t="n"/>
      <c r="BQ155" s="462" t="n"/>
      <c r="BR155" s="507" t="n"/>
      <c r="BS155" s="462" t="n"/>
      <c r="BT155" s="462" t="n"/>
      <c r="BU155" s="462" t="n"/>
      <c r="BV155" s="462" t="n"/>
      <c r="BW155" s="462" t="n"/>
      <c r="BX155" s="462" t="n"/>
      <c r="BY155" s="462" t="n"/>
      <c r="BZ155" s="462" t="n"/>
      <c r="CA155" s="462" t="n"/>
      <c r="CB155" s="462" t="n"/>
      <c r="CC155" s="462" t="n"/>
      <c r="CD155" s="462" t="n"/>
      <c r="CE155" s="462" t="n"/>
      <c r="CF155" s="507" t="n"/>
      <c r="CG155" s="462" t="n"/>
      <c r="CH155" s="462" t="n"/>
      <c r="CI155" s="462" t="n"/>
      <c r="CJ155" s="462" t="n"/>
      <c r="CK155" s="462" t="n"/>
      <c r="CL155" s="462" t="n"/>
      <c r="CM155" s="462" t="n"/>
      <c r="CN155" s="462" t="n"/>
      <c r="CO155" s="462" t="n"/>
      <c r="CP155" s="462" t="n"/>
      <c r="CQ155" s="462" t="n"/>
      <c r="CR155" s="462" t="n"/>
      <c r="CS155" s="462" t="n"/>
      <c r="CU155" s="462" t="n"/>
      <c r="CV155" s="462" t="n"/>
      <c r="CW155" s="462" t="n"/>
      <c r="CX155" s="462" t="n"/>
      <c r="CY155" s="462" t="n"/>
      <c r="CZ155" s="462" t="n"/>
      <c r="DA155" s="462" t="n"/>
      <c r="DB155" s="462" t="n"/>
      <c r="DC155" s="462" t="n"/>
      <c r="DD155" s="462" t="n"/>
      <c r="DE155" s="462" t="n"/>
      <c r="DF155" s="462" t="n"/>
      <c r="DG155" s="462" t="n"/>
    </row>
    <row r="156" ht="15" customHeight="1" s="1883">
      <c r="B156" s="726" t="n"/>
      <c r="C156" s="726" t="n"/>
      <c r="I156" s="726" t="n"/>
      <c r="J156" s="1932" t="inlineStr">
        <is>
          <t>∑, CONUS</t>
        </is>
      </c>
      <c r="N156" s="726" t="n"/>
      <c r="O156" s="760">
        <f>SUMIF($J71:$J147,"CONUS",O71:O147)</f>
        <v/>
      </c>
      <c r="P156" s="760">
        <f>SUMIF($J71:$J147,"CONUS",P71:P147)</f>
        <v/>
      </c>
      <c r="Q156" s="760">
        <f>SUMIF($J71:$J147,"CONUS",Q71:Q147)</f>
        <v/>
      </c>
      <c r="R156" s="760">
        <f>SUMIF($J71:$J147,"CONUS",R71:R147)</f>
        <v/>
      </c>
      <c r="S156" s="760">
        <f>SUMIF($J71:$J147,"CONUS",S71:S147)</f>
        <v/>
      </c>
      <c r="T156" s="760">
        <f>SUMIF($J71:$J147,"CONUS",T71:T147)</f>
        <v/>
      </c>
      <c r="U156" s="726" t="n"/>
      <c r="V156" s="726" t="n"/>
      <c r="W156" s="726" t="n"/>
      <c r="X156" s="726" t="n"/>
      <c r="Y156" s="726" t="n"/>
      <c r="Z156" s="1932" t="inlineStr">
        <is>
          <t>∑, CONUS</t>
        </is>
      </c>
      <c r="AB156" s="726" t="n"/>
      <c r="AC156" s="833">
        <f>SUMIF($J71:$J150,"CONUS",AC71:AC150)</f>
        <v/>
      </c>
      <c r="AD156" s="833">
        <f>SUMIF($J71:$J150,"CONUS",AD71:AD150)</f>
        <v/>
      </c>
      <c r="AE156" s="833">
        <f>SUMIF($J71:$J150,"CONUS",AE71:AE150)</f>
        <v/>
      </c>
      <c r="AF156" s="833">
        <f>SUMIF($J71:$J150,"CONUS",AF71:AF150)</f>
        <v/>
      </c>
      <c r="AG156" s="833">
        <f>SUMIF($J71:$J150,"CONUS",AG71:AG150)</f>
        <v/>
      </c>
      <c r="AH156" s="833">
        <f>SUMIF($J71:$J150,"CONUS",AH71:AH150)</f>
        <v/>
      </c>
      <c r="AI156" s="833">
        <f>SUMIF($J71:$J150,"CONUS",AI71:AI150)</f>
        <v/>
      </c>
      <c r="AJ156" s="833">
        <f>SUMIF($J71:$J150,"CONUS",AJ71:AJ150)</f>
        <v/>
      </c>
      <c r="AK156" s="833">
        <f>SUMIF($J71:$J150,"CONUS",AK71:AK150)</f>
        <v/>
      </c>
      <c r="AL156" s="833">
        <f>SUMIF($J71:$J150,"CONUS",AL71:AL150)</f>
        <v/>
      </c>
      <c r="AM156" s="833">
        <f>SUMIF($J71:$J150,"CONUS",AM71:AM150)</f>
        <v/>
      </c>
      <c r="AN156" s="833">
        <f>SUMIF($J71:$J150,"CONUS",AN71:AN150)</f>
        <v/>
      </c>
      <c r="AO156" s="833">
        <f>SUMIF($J71:$J150,"CONUS",AO71:AO150)</f>
        <v/>
      </c>
      <c r="AP156" s="462" t="n"/>
      <c r="AQ156" s="833">
        <f>SUMIF($J71:$J147,"CONUS",AQ71:AQ147)</f>
        <v/>
      </c>
      <c r="AR156" s="833">
        <f>SUMIF($J71:$J147,"CONUS",AR71:AR147)</f>
        <v/>
      </c>
      <c r="AS156" s="833">
        <f>SUMIF($J71:$J147,"CONUS",AS71:AS147)</f>
        <v/>
      </c>
      <c r="AT156" s="833">
        <f>SUMIF($J71:$J147,"CONUS",AT71:AT147)</f>
        <v/>
      </c>
      <c r="AU156" s="833">
        <f>SUMIF($J71:$J147,"CONUS",AU71:AU147)</f>
        <v/>
      </c>
      <c r="AV156" s="833">
        <f>SUMIF($J71:$J147,"CONUS",AV71:AV147)</f>
        <v/>
      </c>
      <c r="AW156" s="833">
        <f>SUMIF($J71:$J147,"CONUS",AW71:AW147)</f>
        <v/>
      </c>
      <c r="AX156" s="833">
        <f>SUMIF($J71:$J147,"CONUS",AX71:AX147)</f>
        <v/>
      </c>
      <c r="AY156" s="833">
        <f>SUMIF($J71:$J147,"CONUS",AY71:AY147)</f>
        <v/>
      </c>
      <c r="AZ156" s="833">
        <f>SUMIF($J71:$J147,"CONUS",AZ71:AZ147)</f>
        <v/>
      </c>
      <c r="BA156" s="833">
        <f>SUMIF($J71:$J147,"CONUS",BA71:BA147)</f>
        <v/>
      </c>
      <c r="BB156" s="833">
        <f>SUMIF($J71:$J147,"CONUS",BB71:BB147)</f>
        <v/>
      </c>
      <c r="BC156" s="833">
        <f>SUMIF($J71:$J147,"CONUS",BC71:BC147)</f>
        <v/>
      </c>
      <c r="BD156" s="462" t="n"/>
      <c r="BE156" s="833">
        <f>SUMIF($J71:$J147,"CONUS",BE71:BE147)</f>
        <v/>
      </c>
      <c r="BF156" s="833">
        <f>SUMIF($J71:$J147,"CONUS",BF71:BF147)</f>
        <v/>
      </c>
      <c r="BG156" s="833">
        <f>SUMIF($J71:$J147,"CONUS",BG71:BG147)</f>
        <v/>
      </c>
      <c r="BH156" s="833">
        <f>SUMIF($J71:$J147,"CONUS",BH71:BH147)</f>
        <v/>
      </c>
      <c r="BI156" s="833">
        <f>SUMIF($J71:$J147,"CONUS",BI71:BI147)</f>
        <v/>
      </c>
      <c r="BJ156" s="833">
        <f>SUMIF($J71:$J147,"CONUS",BJ71:BJ147)</f>
        <v/>
      </c>
      <c r="BK156" s="833">
        <f>SUMIF($J71:$J147,"CONUS",BK71:BK147)</f>
        <v/>
      </c>
      <c r="BL156" s="833">
        <f>SUMIF($J71:$J147,"CONUS",BL71:BL147)</f>
        <v/>
      </c>
      <c r="BM156" s="833">
        <f>SUMIF($J71:$J147,"CONUS",BM71:BM147)</f>
        <v/>
      </c>
      <c r="BN156" s="833">
        <f>SUMIF($J71:$J147,"CONUS",BN71:BN147)</f>
        <v/>
      </c>
      <c r="BO156" s="833">
        <f>SUMIF($J71:$J147,"CONUS",BO71:BO147)</f>
        <v/>
      </c>
      <c r="BP156" s="833">
        <f>SUMIF($J71:$J147,"CONUS",BP71:BP147)</f>
        <v/>
      </c>
      <c r="BQ156" s="833">
        <f>SUMIF($J71:$J147,"CONUS",BQ71:BQ147)</f>
        <v/>
      </c>
      <c r="BR156" s="507" t="n"/>
      <c r="BS156" s="833">
        <f>SUMIF($J71:$J147,"CONUS",BS71:BS147)</f>
        <v/>
      </c>
      <c r="BT156" s="833">
        <f>SUMIF($J71:$J147,"CONUS",BT71:BT147)</f>
        <v/>
      </c>
      <c r="BU156" s="833">
        <f>SUMIF($J71:$J147,"CONUS",BU71:BU147)</f>
        <v/>
      </c>
      <c r="BV156" s="833">
        <f>SUMIF($J71:$J147,"CONUS",BV71:BV147)</f>
        <v/>
      </c>
      <c r="BW156" s="833">
        <f>SUMIF($J71:$J147,"CONUS",BW71:BW147)</f>
        <v/>
      </c>
      <c r="BX156" s="833">
        <f>SUMIF($J71:$J147,"CONUS",BX71:BX147)</f>
        <v/>
      </c>
      <c r="BY156" s="833">
        <f>SUMIF($J71:$J147,"CONUS",BY71:BY147)</f>
        <v/>
      </c>
      <c r="BZ156" s="833">
        <f>SUMIF($J71:$J147,"CONUS",BZ71:BZ147)</f>
        <v/>
      </c>
      <c r="CA156" s="833">
        <f>SUMIF($J71:$J147,"CONUS",CA71:CA147)</f>
        <v/>
      </c>
      <c r="CB156" s="833">
        <f>SUMIF($J71:$J147,"CONUS",CB71:CB147)</f>
        <v/>
      </c>
      <c r="CC156" s="833">
        <f>SUMIF($J71:$J147,"CONUS",CC71:CC147)</f>
        <v/>
      </c>
      <c r="CD156" s="833">
        <f>SUMIF($J71:$J147,"CONUS",CD71:CD147)</f>
        <v/>
      </c>
      <c r="CE156" s="833">
        <f>SUMIF($J71:$J147,"CONUS",CE71:CE147)</f>
        <v/>
      </c>
      <c r="CF156" s="507" t="n"/>
      <c r="CG156" s="833">
        <f>SUMIF($J71:$J147,"CONUS",CG71:CG147)</f>
        <v/>
      </c>
      <c r="CH156" s="833">
        <f>SUMIF($J71:$J147,"CONUS",CH71:CH147)</f>
        <v/>
      </c>
      <c r="CI156" s="833">
        <f>SUMIF($J71:$J147,"CONUS",CI71:CI147)</f>
        <v/>
      </c>
      <c r="CJ156" s="833">
        <f>SUMIF($J71:$J147,"CONUS",CJ71:CJ147)</f>
        <v/>
      </c>
      <c r="CK156" s="833">
        <f>SUMIF($J71:$J147,"CONUS",CK71:CK147)</f>
        <v/>
      </c>
      <c r="CL156" s="833">
        <f>SUMIF($J71:$J147,"CONUS",CL71:CL147)</f>
        <v/>
      </c>
      <c r="CM156" s="833">
        <f>SUMIF($J71:$J147,"CONUS",CM71:CM147)</f>
        <v/>
      </c>
      <c r="CN156" s="833">
        <f>SUMIF($J71:$J147,"CONUS",CN71:CN147)</f>
        <v/>
      </c>
      <c r="CO156" s="833">
        <f>SUMIF($J71:$J147,"CONUS",CO71:CO147)</f>
        <v/>
      </c>
      <c r="CP156" s="833">
        <f>SUMIF($J71:$J147,"CONUS",CP71:CP147)</f>
        <v/>
      </c>
      <c r="CQ156" s="833">
        <f>SUMIF($J71:$J147,"CONUS",CQ71:CQ147)</f>
        <v/>
      </c>
      <c r="CR156" s="833">
        <f>SUMIF($J71:$J147,"CONUS",CR71:CR147)</f>
        <v/>
      </c>
      <c r="CS156" s="833">
        <f>SUMIF($J71:$J147,"CONUS",CS71:CS147)</f>
        <v/>
      </c>
      <c r="CU156" s="833">
        <f>SUMIF($J71:$J147,"CONUS",CU71:CU147)</f>
        <v/>
      </c>
      <c r="CV156" s="833">
        <f>SUMIF($J71:$J147,"CONUS",CV71:CV147)</f>
        <v/>
      </c>
      <c r="CW156" s="833">
        <f>SUMIF($J71:$J147,"CONUS",CW71:CW147)</f>
        <v/>
      </c>
      <c r="CX156" s="833">
        <f>SUMIF($J71:$J147,"CONUS",CX71:CX147)</f>
        <v/>
      </c>
      <c r="CY156" s="833">
        <f>SUMIF($J71:$J147,"CONUS",CY71:CY147)</f>
        <v/>
      </c>
      <c r="CZ156" s="833">
        <f>SUMIF($J71:$J147,"CONUS",CZ71:CZ147)</f>
        <v/>
      </c>
      <c r="DA156" s="833">
        <f>SUMIF($J71:$J147,"CONUS",DA71:DA147)</f>
        <v/>
      </c>
      <c r="DB156" s="833">
        <f>SUMIF($J71:$J147,"CONUS",DB71:DB147)</f>
        <v/>
      </c>
      <c r="DC156" s="833">
        <f>SUMIF($J71:$J147,"CONUS",DC71:DC147)</f>
        <v/>
      </c>
      <c r="DD156" s="833">
        <f>SUMIF($J71:$J147,"CONUS",DD71:DD147)</f>
        <v/>
      </c>
      <c r="DE156" s="833">
        <f>SUMIF($J71:$J147,"CONUS",DE71:DE147)</f>
        <v/>
      </c>
      <c r="DF156" s="833">
        <f>SUMIF($J71:$J147,"CONUS",DF71:DF147)</f>
        <v/>
      </c>
      <c r="DG156" s="833">
        <f>SUMIF($J71:$J147,"CONUS",DG71:DG147)</f>
        <v/>
      </c>
    </row>
    <row r="157" ht="15" customHeight="1" s="1883">
      <c r="B157" s="726" t="n"/>
      <c r="C157" s="726" t="n"/>
      <c r="I157" s="726" t="n"/>
      <c r="J157" s="1931" t="inlineStr">
        <is>
          <t>∑, OCONUS</t>
        </is>
      </c>
      <c r="N157" s="726" t="n"/>
      <c r="O157" s="788">
        <f>SUMIF($J71:$J147,"OCONUS",O71:O147)</f>
        <v/>
      </c>
      <c r="P157" s="788">
        <f>SUMIF($J71:$J147,"OCONUS",P71:P147)</f>
        <v/>
      </c>
      <c r="Q157" s="788">
        <f>SUMIF($J71:$J147,"OCONUS",Q71:Q147)</f>
        <v/>
      </c>
      <c r="R157" s="788">
        <f>SUMIF($J71:$J147,"OCONUS",R71:R147)</f>
        <v/>
      </c>
      <c r="S157" s="788">
        <f>SUMIF($J71:$J147,"OCONUS",S71:S147)</f>
        <v/>
      </c>
      <c r="T157" s="788">
        <f>SUMIF($J71:$J147,"OCONUS",T71:T147)</f>
        <v/>
      </c>
      <c r="U157" s="726" t="n"/>
      <c r="V157" s="726" t="n"/>
      <c r="W157" s="726" t="n"/>
      <c r="X157" s="726" t="n"/>
      <c r="Y157" s="726" t="n"/>
      <c r="Z157" s="1931" t="inlineStr">
        <is>
          <t>∑, OCONUS</t>
        </is>
      </c>
      <c r="AB157" s="726" t="n"/>
      <c r="AC157" s="834">
        <f>SUMIF($J71:$J150,"OCONUS",AC71:AC150)</f>
        <v/>
      </c>
      <c r="AD157" s="834">
        <f>SUMIF($J71:$J150,"OCONUS",AD71:AD150)</f>
        <v/>
      </c>
      <c r="AE157" s="834">
        <f>SUMIF($J71:$J150,"OCONUS",AE71:AE150)</f>
        <v/>
      </c>
      <c r="AF157" s="834">
        <f>SUMIF($J71:$J150,"OCONUS",AF71:AF150)</f>
        <v/>
      </c>
      <c r="AG157" s="834">
        <f>SUMIF($J71:$J150,"OCONUS",AG71:AG150)</f>
        <v/>
      </c>
      <c r="AH157" s="834">
        <f>SUMIF($J71:$J150,"OCONUS",AH71:AH150)</f>
        <v/>
      </c>
      <c r="AI157" s="834">
        <f>SUMIF($J71:$J150,"OCONUS",AI71:AI150)</f>
        <v/>
      </c>
      <c r="AJ157" s="834">
        <f>SUMIF($J71:$J150,"OCONUS",AJ71:AJ150)</f>
        <v/>
      </c>
      <c r="AK157" s="834">
        <f>SUMIF($J71:$J150,"OCONUS",AK71:AK150)</f>
        <v/>
      </c>
      <c r="AL157" s="834">
        <f>SUMIF($J71:$J150,"OCONUS",AL71:AL150)</f>
        <v/>
      </c>
      <c r="AM157" s="834">
        <f>SUMIF($J71:$J150,"OCONUS",AM71:AM150)</f>
        <v/>
      </c>
      <c r="AN157" s="834">
        <f>SUMIF($J71:$J150,"OCONUS",AN71:AN150)</f>
        <v/>
      </c>
      <c r="AO157" s="834">
        <f>SUMIF($J71:$J150,"OCONUS",AO71:AO150)</f>
        <v/>
      </c>
      <c r="AP157" s="462" t="n"/>
      <c r="AQ157" s="834">
        <f>SUMIF($J71:$J147,"OCONUS",AQ71:AQ147)</f>
        <v/>
      </c>
      <c r="AR157" s="834">
        <f>SUMIF($J71:$J147,"OCONUS",AR71:AR147)</f>
        <v/>
      </c>
      <c r="AS157" s="834">
        <f>SUMIF($J71:$J147,"OCONUS",AS71:AS147)</f>
        <v/>
      </c>
      <c r="AT157" s="834">
        <f>SUMIF($J71:$J147,"OCONUS",AT71:AT147)</f>
        <v/>
      </c>
      <c r="AU157" s="834">
        <f>SUMIF($J71:$J147,"OCONUS",AU71:AU147)</f>
        <v/>
      </c>
      <c r="AV157" s="834">
        <f>SUMIF($J71:$J147,"OCONUS",AV71:AV147)</f>
        <v/>
      </c>
      <c r="AW157" s="834">
        <f>SUMIF($J71:$J147,"OCONUS",AW71:AW147)</f>
        <v/>
      </c>
      <c r="AX157" s="834">
        <f>SUMIF($J71:$J147,"OCONUS",AX71:AX147)</f>
        <v/>
      </c>
      <c r="AY157" s="834">
        <f>SUMIF($J71:$J147,"OCONUS",AY71:AY147)</f>
        <v/>
      </c>
      <c r="AZ157" s="834">
        <f>SUMIF($J71:$J147,"OCONUS",AZ71:AZ147)</f>
        <v/>
      </c>
      <c r="BA157" s="834">
        <f>SUMIF($J71:$J147,"OCONUS",BA71:BA147)</f>
        <v/>
      </c>
      <c r="BB157" s="834">
        <f>SUMIF($J71:$J147,"OCONUS",BB71:BB147)</f>
        <v/>
      </c>
      <c r="BC157" s="834">
        <f>SUMIF($J71:$J147,"OCONUS",BC71:BC147)</f>
        <v/>
      </c>
      <c r="BD157" s="462" t="n"/>
      <c r="BE157" s="834">
        <f>SUMIF($J71:$J147,"OCONUS",BE71:BE147)</f>
        <v/>
      </c>
      <c r="BF157" s="834">
        <f>SUMIF($J71:$J147,"OCONUS",BF71:BF147)</f>
        <v/>
      </c>
      <c r="BG157" s="834">
        <f>SUMIF($J71:$J147,"OCONUS",BG71:BG147)</f>
        <v/>
      </c>
      <c r="BH157" s="834">
        <f>SUMIF($J71:$J147,"OCONUS",BH71:BH147)</f>
        <v/>
      </c>
      <c r="BI157" s="834">
        <f>SUMIF($J71:$J147,"OCONUS",BI71:BI147)</f>
        <v/>
      </c>
      <c r="BJ157" s="834">
        <f>SUMIF($J71:$J147,"OCONUS",BJ71:BJ147)</f>
        <v/>
      </c>
      <c r="BK157" s="834">
        <f>SUMIF($J71:$J147,"OCONUS",BK71:BK147)</f>
        <v/>
      </c>
      <c r="BL157" s="834">
        <f>SUMIF($J71:$J147,"OCONUS",BL71:BL147)</f>
        <v/>
      </c>
      <c r="BM157" s="834">
        <f>SUMIF($J71:$J147,"OCONUS",BM71:BM147)</f>
        <v/>
      </c>
      <c r="BN157" s="834">
        <f>SUMIF($J71:$J147,"OCONUS",BN71:BN147)</f>
        <v/>
      </c>
      <c r="BO157" s="834">
        <f>SUMIF($J71:$J147,"OCONUS",BO71:BO147)</f>
        <v/>
      </c>
      <c r="BP157" s="834">
        <f>SUMIF($J71:$J147,"OCONUS",BP71:BP147)</f>
        <v/>
      </c>
      <c r="BQ157" s="834">
        <f>SUMIF($J71:$J147,"OCONUS",BQ71:BQ147)</f>
        <v/>
      </c>
      <c r="BR157" s="507" t="n"/>
      <c r="BS157" s="834">
        <f>SUMIF($J71:$J147,"OCONUS",BS71:BS147)</f>
        <v/>
      </c>
      <c r="BT157" s="834">
        <f>SUMIF($J71:$J147,"OCONUS",BT71:BT147)</f>
        <v/>
      </c>
      <c r="BU157" s="834">
        <f>SUMIF($J71:$J147,"OCONUS",BU71:BU147)</f>
        <v/>
      </c>
      <c r="BV157" s="834">
        <f>SUMIF($J71:$J147,"OCONUS",BV71:BV147)</f>
        <v/>
      </c>
      <c r="BW157" s="834">
        <f>SUMIF($J71:$J147,"OCONUS",BW71:BW147)</f>
        <v/>
      </c>
      <c r="BX157" s="834">
        <f>SUMIF($J71:$J147,"OCONUS",BX71:BX147)</f>
        <v/>
      </c>
      <c r="BY157" s="834">
        <f>SUMIF($J71:$J147,"OCONUS",BY71:BY147)</f>
        <v/>
      </c>
      <c r="BZ157" s="834">
        <f>SUMIF($J71:$J147,"OCONUS",BZ71:BZ147)</f>
        <v/>
      </c>
      <c r="CA157" s="834">
        <f>SUMIF($J71:$J147,"OCONUS",CA71:CA147)</f>
        <v/>
      </c>
      <c r="CB157" s="834">
        <f>SUMIF($J71:$J147,"OCONUS",CB71:CB147)</f>
        <v/>
      </c>
      <c r="CC157" s="834">
        <f>SUMIF($J71:$J147,"OCONUS",CC71:CC147)</f>
        <v/>
      </c>
      <c r="CD157" s="834">
        <f>SUMIF($J71:$J147,"OCONUS",CD71:CD147)</f>
        <v/>
      </c>
      <c r="CE157" s="834">
        <f>SUMIF($J71:$J147,"OCONUS",CE71:CE147)</f>
        <v/>
      </c>
      <c r="CF157" s="507" t="n"/>
      <c r="CG157" s="834">
        <f>SUMIF($J71:$J147,"OCONUS",CG71:CG147)</f>
        <v/>
      </c>
      <c r="CH157" s="834">
        <f>SUMIF($J71:$J147,"OCONUS",CH71:CH147)</f>
        <v/>
      </c>
      <c r="CI157" s="834">
        <f>SUMIF($J71:$J147,"OCONUS",CI71:CI147)</f>
        <v/>
      </c>
      <c r="CJ157" s="834">
        <f>SUMIF($J71:$J147,"OCONUS",CJ71:CJ147)</f>
        <v/>
      </c>
      <c r="CK157" s="834">
        <f>SUMIF($J71:$J147,"OCONUS",CK71:CK147)</f>
        <v/>
      </c>
      <c r="CL157" s="834">
        <f>SUMIF($J71:$J147,"OCONUS",CL71:CL147)</f>
        <v/>
      </c>
      <c r="CM157" s="834">
        <f>SUMIF($J71:$J147,"OCONUS",CM71:CM147)</f>
        <v/>
      </c>
      <c r="CN157" s="834">
        <f>SUMIF($J71:$J147,"OCONUS",CN71:CN147)</f>
        <v/>
      </c>
      <c r="CO157" s="834">
        <f>SUMIF($J71:$J147,"OCONUS",CO71:CO147)</f>
        <v/>
      </c>
      <c r="CP157" s="834">
        <f>SUMIF($J71:$J147,"OCONUS",CP71:CP147)</f>
        <v/>
      </c>
      <c r="CQ157" s="834">
        <f>SUMIF($J71:$J147,"OCONUS",CQ71:CQ147)</f>
        <v/>
      </c>
      <c r="CR157" s="834">
        <f>SUMIF($J71:$J147,"OCONUS",CR71:CR147)</f>
        <v/>
      </c>
      <c r="CS157" s="834">
        <f>SUMIF($J71:$J147,"OCONUS",CS71:CS147)</f>
        <v/>
      </c>
      <c r="CU157" s="834">
        <f>SUMIF($J71:$J147,"OCONUS",CU71:CU147)</f>
        <v/>
      </c>
      <c r="CV157" s="834">
        <f>SUMIF($J71:$J147,"OCONUS",CV71:CV147)</f>
        <v/>
      </c>
      <c r="CW157" s="834">
        <f>SUMIF($J71:$J147,"OCONUS",CW71:CW147)</f>
        <v/>
      </c>
      <c r="CX157" s="834">
        <f>SUMIF($J71:$J147,"OCONUS",CX71:CX147)</f>
        <v/>
      </c>
      <c r="CY157" s="834">
        <f>SUMIF($J71:$J147,"OCONUS",CY71:CY147)</f>
        <v/>
      </c>
      <c r="CZ157" s="834">
        <f>SUMIF($J71:$J147,"OCONUS",CZ71:CZ147)</f>
        <v/>
      </c>
      <c r="DA157" s="834">
        <f>SUMIF($J71:$J147,"OCONUS",DA71:DA147)</f>
        <v/>
      </c>
      <c r="DB157" s="834">
        <f>SUMIF($J71:$J147,"OCONUS",DB71:DB147)</f>
        <v/>
      </c>
      <c r="DC157" s="834">
        <f>SUMIF($J71:$J147,"OCONUS",DC71:DC147)</f>
        <v/>
      </c>
      <c r="DD157" s="834">
        <f>SUMIF($J71:$J147,"OCONUS",DD71:DD147)</f>
        <v/>
      </c>
      <c r="DE157" s="834">
        <f>SUMIF($J71:$J147,"OCONUS",DE71:DE147)</f>
        <v/>
      </c>
      <c r="DF157" s="834">
        <f>SUMIF($J71:$J147,"OCONUS",DF71:DF147)</f>
        <v/>
      </c>
      <c r="DG157" s="834">
        <f>SUMIF($J71:$J147,"OCONUS",DG71:DG147)</f>
        <v/>
      </c>
    </row>
    <row r="158" ht="3" customHeight="1" s="1883">
      <c r="B158" s="726" t="n"/>
      <c r="C158" s="726" t="n"/>
      <c r="I158" s="726" t="n"/>
      <c r="J158" s="736" t="n"/>
      <c r="K158" s="1931" t="n"/>
      <c r="L158" s="1931" t="n"/>
      <c r="N158" s="726" t="n"/>
      <c r="O158" s="757" t="n"/>
      <c r="P158" s="757" t="n"/>
      <c r="Q158" s="757" t="n"/>
      <c r="R158" s="757" t="n"/>
      <c r="S158" s="757" t="n"/>
      <c r="T158" s="757" t="n"/>
      <c r="U158" s="726" t="n"/>
      <c r="V158" s="726" t="n"/>
      <c r="W158" s="726" t="n"/>
      <c r="X158" s="726" t="n"/>
      <c r="Y158" s="726" t="n"/>
      <c r="Z158" s="726" t="n"/>
      <c r="AA158" s="726" t="n"/>
      <c r="AB158" s="726" t="n"/>
      <c r="AC158" s="735" t="n"/>
      <c r="AD158" s="735" t="n"/>
      <c r="AE158" s="735" t="n"/>
      <c r="AF158" s="735" t="n"/>
      <c r="AG158" s="735" t="n"/>
      <c r="AH158" s="735" t="n"/>
      <c r="AI158" s="508" t="n"/>
      <c r="AJ158" s="508" t="n"/>
      <c r="AK158" s="508" t="n"/>
      <c r="AL158" s="508" t="n"/>
      <c r="AM158" s="508" t="n"/>
      <c r="AN158" s="508" t="n"/>
      <c r="AO158" s="508" t="n"/>
      <c r="AP158" s="462" t="n"/>
      <c r="AQ158" s="508" t="n"/>
      <c r="AR158" s="508" t="n"/>
      <c r="AS158" s="508" t="n"/>
      <c r="AT158" s="508" t="n"/>
      <c r="AU158" s="508" t="n"/>
      <c r="AV158" s="508" t="n"/>
      <c r="AW158" s="508" t="n"/>
      <c r="AX158" s="508" t="n"/>
      <c r="AY158" s="508" t="n"/>
      <c r="AZ158" s="508" t="n"/>
      <c r="BA158" s="508" t="n"/>
      <c r="BB158" s="508" t="n"/>
      <c r="BC158" s="508" t="n"/>
      <c r="BD158" s="462" t="n"/>
      <c r="BE158" s="508" t="n"/>
      <c r="BF158" s="508" t="n"/>
      <c r="BG158" s="508" t="n"/>
      <c r="BH158" s="508" t="n"/>
      <c r="BI158" s="508" t="n"/>
      <c r="BJ158" s="508" t="n"/>
      <c r="BK158" s="508" t="n"/>
      <c r="BL158" s="508" t="n"/>
      <c r="BM158" s="508" t="n"/>
      <c r="BN158" s="508" t="n"/>
      <c r="BO158" s="508" t="n"/>
      <c r="BP158" s="508" t="n"/>
      <c r="BQ158" s="508" t="n"/>
      <c r="BR158" s="507" t="n"/>
      <c r="BS158" s="508" t="n"/>
      <c r="BT158" s="508" t="n"/>
      <c r="BU158" s="508" t="n"/>
      <c r="BV158" s="508" t="n"/>
      <c r="BW158" s="508" t="n"/>
      <c r="BX158" s="508" t="n"/>
      <c r="BY158" s="508" t="n"/>
      <c r="BZ158" s="508" t="n"/>
      <c r="CA158" s="508" t="n"/>
      <c r="CB158" s="508" t="n"/>
      <c r="CC158" s="508" t="n"/>
      <c r="CD158" s="508" t="n"/>
      <c r="CE158" s="508" t="n"/>
      <c r="CF158" s="507" t="n"/>
      <c r="CG158" s="508" t="n"/>
      <c r="CH158" s="508" t="n"/>
      <c r="CI158" s="508" t="n"/>
      <c r="CJ158" s="508" t="n"/>
      <c r="CK158" s="508" t="n"/>
      <c r="CL158" s="508" t="n"/>
      <c r="CM158" s="508" t="n"/>
      <c r="CN158" s="508" t="n"/>
      <c r="CO158" s="508" t="n"/>
      <c r="CP158" s="508" t="n"/>
      <c r="CQ158" s="508" t="n"/>
      <c r="CR158" s="508" t="n"/>
      <c r="CS158" s="508" t="n"/>
      <c r="CU158" s="508" t="n"/>
      <c r="CV158" s="508" t="n"/>
      <c r="CW158" s="508" t="n"/>
      <c r="CX158" s="508" t="n"/>
      <c r="CY158" s="508" t="n"/>
      <c r="CZ158" s="508" t="n"/>
      <c r="DA158" s="508" t="n"/>
      <c r="DB158" s="508" t="n"/>
      <c r="DC158" s="508" t="n"/>
      <c r="DD158" s="508" t="n"/>
      <c r="DE158" s="508" t="n"/>
      <c r="DF158" s="508" t="n"/>
      <c r="DG158" s="508" t="n"/>
    </row>
    <row r="159" ht="3" customHeight="1" s="1883">
      <c r="B159" s="726" t="n"/>
      <c r="C159" s="726" t="n"/>
      <c r="I159" s="726" t="n"/>
      <c r="J159" s="736" t="n"/>
      <c r="K159" s="1931" t="n"/>
      <c r="L159" s="1931" t="n"/>
      <c r="N159" s="726" t="n"/>
      <c r="O159" s="737" t="n"/>
      <c r="P159" s="737" t="n"/>
      <c r="Q159" s="737" t="n"/>
      <c r="R159" s="737" t="n"/>
      <c r="S159" s="737" t="n"/>
      <c r="T159" s="737" t="n"/>
      <c r="U159" s="726" t="n"/>
      <c r="V159" s="726" t="n"/>
      <c r="W159" s="726" t="n"/>
      <c r="X159" s="726" t="n"/>
      <c r="Y159" s="726" t="n"/>
    </row>
    <row r="160" ht="15" customHeight="1" s="1883">
      <c r="B160" s="726" t="n"/>
      <c r="C160" s="726" t="n"/>
      <c r="D160" s="726" t="n"/>
      <c r="E160" s="726" t="n"/>
      <c r="F160" s="726" t="n"/>
      <c r="G160" s="726" t="n"/>
      <c r="H160" s="726" t="n"/>
      <c r="I160" s="726" t="n"/>
      <c r="J160" s="1932" t="inlineStr">
        <is>
          <t>∑, CONUS + ∑, OCONUS</t>
        </is>
      </c>
      <c r="N160" s="726" t="n"/>
      <c r="O160" s="759">
        <f>SUM(O156:O157)</f>
        <v/>
      </c>
      <c r="P160" s="759">
        <f>SUM(P156:P157)</f>
        <v/>
      </c>
      <c r="Q160" s="759">
        <f>SUM(Q156:Q157)</f>
        <v/>
      </c>
      <c r="R160" s="759">
        <f>SUM(R156:R157)</f>
        <v/>
      </c>
      <c r="S160" s="759">
        <f>SUM(S156:S157)</f>
        <v/>
      </c>
      <c r="T160" s="759">
        <f>SUM(T156:T157)</f>
        <v/>
      </c>
      <c r="U160" s="726" t="n"/>
      <c r="V160" s="726" t="n"/>
      <c r="W160" s="726" t="n"/>
      <c r="X160" s="726" t="n"/>
      <c r="Y160" s="726" t="n"/>
      <c r="Z160" s="1932" t="inlineStr">
        <is>
          <t>∑, CONUS + ∑, OCONUS</t>
        </is>
      </c>
      <c r="AB160" s="726" t="n"/>
      <c r="AC160" s="765">
        <f>SUM(AC156:AC157)</f>
        <v/>
      </c>
      <c r="AD160" s="765">
        <f>SUM(AD156:AD157)</f>
        <v/>
      </c>
      <c r="AE160" s="765">
        <f>SUM(AE156:AE157)</f>
        <v/>
      </c>
      <c r="AF160" s="765">
        <f>SUM(AF156:AF157)</f>
        <v/>
      </c>
      <c r="AG160" s="765">
        <f>SUM(AG156:AG157)</f>
        <v/>
      </c>
      <c r="AH160" s="765">
        <f>SUM(AH156:AH157)</f>
        <v/>
      </c>
      <c r="AI160" s="765">
        <f>SUM(AI156:AI157)</f>
        <v/>
      </c>
      <c r="AJ160" s="765">
        <f>SUM(AJ156:AJ157)</f>
        <v/>
      </c>
      <c r="AK160" s="765">
        <f>SUM(AK156:AK157)</f>
        <v/>
      </c>
      <c r="AL160" s="765">
        <f>SUM(AL156:AL157)</f>
        <v/>
      </c>
      <c r="AM160" s="765">
        <f>SUM(AM156:AM157)</f>
        <v/>
      </c>
      <c r="AN160" s="765">
        <f>SUM(AN156:AN157)</f>
        <v/>
      </c>
      <c r="AO160" s="765">
        <f>SUM(AO156:AO157)</f>
        <v/>
      </c>
      <c r="AP160" s="462" t="n"/>
      <c r="AQ160" s="765">
        <f>SUM(AQ156:AQ157)</f>
        <v/>
      </c>
      <c r="AR160" s="765">
        <f>SUM(AR156:AR157)</f>
        <v/>
      </c>
      <c r="AS160" s="765">
        <f>SUM(AS156:AS157)</f>
        <v/>
      </c>
      <c r="AT160" s="765">
        <f>SUM(AT156:AT157)</f>
        <v/>
      </c>
      <c r="AU160" s="765">
        <f>SUM(AU156:AU157)</f>
        <v/>
      </c>
      <c r="AV160" s="765">
        <f>SUM(AV156:AV157)</f>
        <v/>
      </c>
      <c r="AW160" s="765">
        <f>SUM(AW156:AW157)</f>
        <v/>
      </c>
      <c r="AX160" s="765">
        <f>SUM(AX156:AX157)</f>
        <v/>
      </c>
      <c r="AY160" s="765">
        <f>SUM(AY156:AY157)</f>
        <v/>
      </c>
      <c r="AZ160" s="765">
        <f>SUM(AZ156:AZ157)</f>
        <v/>
      </c>
      <c r="BA160" s="765">
        <f>SUM(BA156:BA157)</f>
        <v/>
      </c>
      <c r="BB160" s="765">
        <f>SUM(BB156:BB157)</f>
        <v/>
      </c>
      <c r="BC160" s="765">
        <f>SUM(BC156:BC157)</f>
        <v/>
      </c>
      <c r="BD160" s="462" t="n"/>
      <c r="BE160" s="765">
        <f>SUM(BE156:BE157)</f>
        <v/>
      </c>
      <c r="BF160" s="765">
        <f>SUM(BF156:BF157)</f>
        <v/>
      </c>
      <c r="BG160" s="765">
        <f>SUM(BG156:BG157)</f>
        <v/>
      </c>
      <c r="BH160" s="765">
        <f>SUM(BH156:BH157)</f>
        <v/>
      </c>
      <c r="BI160" s="765">
        <f>SUM(BI156:BI157)</f>
        <v/>
      </c>
      <c r="BJ160" s="765">
        <f>SUM(BJ156:BJ157)</f>
        <v/>
      </c>
      <c r="BK160" s="765">
        <f>SUM(BK156:BK157)</f>
        <v/>
      </c>
      <c r="BL160" s="765">
        <f>SUM(BL156:BL157)</f>
        <v/>
      </c>
      <c r="BM160" s="765">
        <f>SUM(BM156:BM157)</f>
        <v/>
      </c>
      <c r="BN160" s="765">
        <f>SUM(BN156:BN157)</f>
        <v/>
      </c>
      <c r="BO160" s="765">
        <f>SUM(BO156:BO157)</f>
        <v/>
      </c>
      <c r="BP160" s="765">
        <f>SUM(BP156:BP157)</f>
        <v/>
      </c>
      <c r="BQ160" s="765">
        <f>SUM(BQ156:BQ157)</f>
        <v/>
      </c>
      <c r="BR160" s="507" t="n"/>
      <c r="BS160" s="765">
        <f>SUM(BS156:BS157)</f>
        <v/>
      </c>
      <c r="BT160" s="765">
        <f>SUM(BT156:BT157)</f>
        <v/>
      </c>
      <c r="BU160" s="765">
        <f>SUM(BU156:BU157)</f>
        <v/>
      </c>
      <c r="BV160" s="765">
        <f>SUM(BV156:BV157)</f>
        <v/>
      </c>
      <c r="BW160" s="765">
        <f>SUM(BW156:BW157)</f>
        <v/>
      </c>
      <c r="BX160" s="765">
        <f>SUM(BX156:BX157)</f>
        <v/>
      </c>
      <c r="BY160" s="765">
        <f>SUM(BY156:BY157)</f>
        <v/>
      </c>
      <c r="BZ160" s="765">
        <f>SUM(BZ156:BZ157)</f>
        <v/>
      </c>
      <c r="CA160" s="765">
        <f>SUM(CA156:CA157)</f>
        <v/>
      </c>
      <c r="CB160" s="765">
        <f>SUM(CB156:CB157)</f>
        <v/>
      </c>
      <c r="CC160" s="765">
        <f>SUM(CC156:CC157)</f>
        <v/>
      </c>
      <c r="CD160" s="765">
        <f>SUM(CD156:CD157)</f>
        <v/>
      </c>
      <c r="CE160" s="765">
        <f>SUM(CE156:CE157)</f>
        <v/>
      </c>
      <c r="CF160" s="507" t="n"/>
      <c r="CG160" s="765">
        <f>SUM(CG156:CG157)</f>
        <v/>
      </c>
      <c r="CH160" s="765">
        <f>SUM(CH156:CH157)</f>
        <v/>
      </c>
      <c r="CI160" s="765">
        <f>SUM(CI156:CI157)</f>
        <v/>
      </c>
      <c r="CJ160" s="765">
        <f>SUM(CJ156:CJ157)</f>
        <v/>
      </c>
      <c r="CK160" s="765">
        <f>SUM(CK156:CK157)</f>
        <v/>
      </c>
      <c r="CL160" s="765">
        <f>SUM(CL156:CL157)</f>
        <v/>
      </c>
      <c r="CM160" s="765">
        <f>SUM(CM156:CM157)</f>
        <v/>
      </c>
      <c r="CN160" s="765">
        <f>SUM(CN156:CN157)</f>
        <v/>
      </c>
      <c r="CO160" s="765">
        <f>SUM(CO156:CO157)</f>
        <v/>
      </c>
      <c r="CP160" s="765">
        <f>SUM(CP156:CP157)</f>
        <v/>
      </c>
      <c r="CQ160" s="765">
        <f>SUM(CQ156:CQ157)</f>
        <v/>
      </c>
      <c r="CR160" s="765">
        <f>SUM(CR156:CR157)</f>
        <v/>
      </c>
      <c r="CS160" s="765">
        <f>SUM(CS156:CS157)</f>
        <v/>
      </c>
      <c r="CU160" s="765">
        <f>SUM(CU156:CU157)</f>
        <v/>
      </c>
      <c r="CV160" s="765">
        <f>SUM(CV156:CV157)</f>
        <v/>
      </c>
      <c r="CW160" s="765">
        <f>SUM(CW156:CW157)</f>
        <v/>
      </c>
      <c r="CX160" s="765">
        <f>SUM(CX156:CX157)</f>
        <v/>
      </c>
      <c r="CY160" s="765">
        <f>SUM(CY156:CY157)</f>
        <v/>
      </c>
      <c r="CZ160" s="765">
        <f>SUM(CZ156:CZ157)</f>
        <v/>
      </c>
      <c r="DA160" s="765">
        <f>SUM(DA156:DA157)</f>
        <v/>
      </c>
      <c r="DB160" s="765">
        <f>SUM(DB156:DB157)</f>
        <v/>
      </c>
      <c r="DC160" s="765">
        <f>SUM(DC156:DC157)</f>
        <v/>
      </c>
      <c r="DD160" s="765">
        <f>SUM(DD156:DD157)</f>
        <v/>
      </c>
      <c r="DE160" s="765">
        <f>SUM(DE156:DE157)</f>
        <v/>
      </c>
      <c r="DF160" s="765">
        <f>SUM(DF156:DF157)</f>
        <v/>
      </c>
      <c r="DG160" s="765">
        <f>SUM(DG156:DG157)</f>
        <v/>
      </c>
    </row>
    <row r="167" ht="15" customHeight="1" s="1883">
      <c r="J167" s="732" t="inlineStr">
        <is>
          <t>Sub-Total, Senior Management + Middle Management</t>
        </is>
      </c>
      <c r="K167" s="726" t="n"/>
      <c r="L167" s="726" t="n"/>
      <c r="M167" s="726" t="n"/>
      <c r="N167" s="726" t="n"/>
      <c r="O167" s="764">
        <f>((O50)+(O152))</f>
        <v/>
      </c>
      <c r="P167" s="764">
        <f>((P50)+(P152))</f>
        <v/>
      </c>
      <c r="Q167" s="764">
        <f>((Q50)+(Q152))</f>
        <v/>
      </c>
      <c r="R167" s="764">
        <f>((R50)+(R152))</f>
        <v/>
      </c>
      <c r="S167" s="764">
        <f>((S50)+(S152))</f>
        <v/>
      </c>
      <c r="T167" s="764">
        <f>((T50)+(T152))</f>
        <v/>
      </c>
      <c r="U167" s="726" t="n"/>
      <c r="V167" s="726" t="n"/>
      <c r="W167" s="726" t="n"/>
      <c r="X167" s="726" t="n"/>
      <c r="Y167" s="726" t="n"/>
      <c r="AC167" s="765">
        <f>((AC50)+(AC152))</f>
        <v/>
      </c>
      <c r="AD167" s="765">
        <f>((AD50)+(AD152))</f>
        <v/>
      </c>
      <c r="AE167" s="765">
        <f>((AE50)+(AE152))</f>
        <v/>
      </c>
      <c r="AF167" s="765">
        <f>((AF50)+(AF152))</f>
        <v/>
      </c>
      <c r="AG167" s="765">
        <f>((AG50)+(AG152))</f>
        <v/>
      </c>
      <c r="AH167" s="765">
        <f>((AH50)+(AH152))</f>
        <v/>
      </c>
      <c r="AI167" s="765">
        <f>((AI50)+(AI152))</f>
        <v/>
      </c>
      <c r="AJ167" s="765">
        <f>((AJ50)+(AJ152))</f>
        <v/>
      </c>
      <c r="AK167" s="765">
        <f>((AK50)+(AK152))</f>
        <v/>
      </c>
      <c r="AL167" s="765">
        <f>((AL50)+(AL152))</f>
        <v/>
      </c>
      <c r="AM167" s="765">
        <f>((AM50)+(AM152))</f>
        <v/>
      </c>
      <c r="AN167" s="765">
        <f>((AN50)+(AN152))</f>
        <v/>
      </c>
      <c r="AO167" s="765">
        <f>((AO50)+(AO152))</f>
        <v/>
      </c>
      <c r="AQ167" s="765">
        <f>((AQ50)+(AQ152))</f>
        <v/>
      </c>
      <c r="AR167" s="765">
        <f>((AR50)+(AR152))</f>
        <v/>
      </c>
      <c r="AS167" s="765">
        <f>((AS50)+(AS152))</f>
        <v/>
      </c>
      <c r="AT167" s="765">
        <f>((AT50)+(AT152))</f>
        <v/>
      </c>
      <c r="AU167" s="765">
        <f>((AU50)+(AU152))</f>
        <v/>
      </c>
      <c r="AV167" s="765">
        <f>((AV50)+(AV152))</f>
        <v/>
      </c>
      <c r="AW167" s="765">
        <f>((AW50)+(AW152))</f>
        <v/>
      </c>
      <c r="AX167" s="765">
        <f>((AX50)+(AX152))</f>
        <v/>
      </c>
      <c r="AY167" s="765">
        <f>((AY50)+(AY152))</f>
        <v/>
      </c>
      <c r="AZ167" s="765">
        <f>((AZ50)+(AZ152))</f>
        <v/>
      </c>
      <c r="BA167" s="765">
        <f>((BA50)+(BA152))</f>
        <v/>
      </c>
      <c r="BB167" s="765">
        <f>((BB50)+(BB152))</f>
        <v/>
      </c>
      <c r="BC167" s="765">
        <f>((BC50)+(BC152))</f>
        <v/>
      </c>
      <c r="BE167" s="765">
        <f>((BE50)+(BE152))</f>
        <v/>
      </c>
      <c r="BF167" s="765">
        <f>((BF50)+(BF152))</f>
        <v/>
      </c>
      <c r="BG167" s="765">
        <f>((BG50)+(BG152))</f>
        <v/>
      </c>
      <c r="BH167" s="765">
        <f>((BH50)+(BH152))</f>
        <v/>
      </c>
      <c r="BI167" s="765">
        <f>((BI50)+(BI152))</f>
        <v/>
      </c>
      <c r="BJ167" s="765">
        <f>((BJ50)+(BJ152))</f>
        <v/>
      </c>
      <c r="BK167" s="765">
        <f>((BK50)+(BK152))</f>
        <v/>
      </c>
      <c r="BL167" s="765">
        <f>((BL50)+(BL152))</f>
        <v/>
      </c>
      <c r="BM167" s="765">
        <f>((BM50)+(BM152))</f>
        <v/>
      </c>
      <c r="BN167" s="765">
        <f>((BN50)+(BN152))</f>
        <v/>
      </c>
      <c r="BO167" s="765">
        <f>((BO50)+(BO152))</f>
        <v/>
      </c>
      <c r="BP167" s="765">
        <f>((BP50)+(BP152))</f>
        <v/>
      </c>
      <c r="BQ167" s="765">
        <f>((BQ50)+(BQ152))</f>
        <v/>
      </c>
      <c r="BS167" s="765">
        <f>((BS50)+(BS152))</f>
        <v/>
      </c>
      <c r="BT167" s="765">
        <f>((BT50)+(BT152))</f>
        <v/>
      </c>
      <c r="BU167" s="765">
        <f>((BU50)+(BU152))</f>
        <v/>
      </c>
      <c r="BV167" s="765">
        <f>((BV50)+(BV152))</f>
        <v/>
      </c>
      <c r="BW167" s="765">
        <f>((BW50)+(BW152))</f>
        <v/>
      </c>
      <c r="BX167" s="765">
        <f>((BX50)+(BX152))</f>
        <v/>
      </c>
      <c r="BY167" s="765">
        <f>((BY50)+(BY152))</f>
        <v/>
      </c>
      <c r="BZ167" s="765">
        <f>((BZ50)+(BZ152))</f>
        <v/>
      </c>
      <c r="CA167" s="765">
        <f>((CA50)+(CA152))</f>
        <v/>
      </c>
      <c r="CB167" s="765">
        <f>((CB50)+(CB152))</f>
        <v/>
      </c>
      <c r="CC167" s="765">
        <f>((CC50)+(CC152))</f>
        <v/>
      </c>
      <c r="CD167" s="765">
        <f>((CD50)+(CD152))</f>
        <v/>
      </c>
      <c r="CE167" s="765">
        <f>((CE50)+(CE152))</f>
        <v/>
      </c>
      <c r="CG167" s="765">
        <f>((CG50)+(CG152))</f>
        <v/>
      </c>
      <c r="CH167" s="765">
        <f>((CH50)+(CH152))</f>
        <v/>
      </c>
      <c r="CI167" s="765">
        <f>((CI50)+(CI152))</f>
        <v/>
      </c>
      <c r="CJ167" s="765">
        <f>((CJ50)+(CJ152))</f>
        <v/>
      </c>
      <c r="CK167" s="765">
        <f>((CK50)+(CK152))</f>
        <v/>
      </c>
      <c r="CL167" s="765">
        <f>((CL50)+(CL152))</f>
        <v/>
      </c>
      <c r="CM167" s="765">
        <f>((CM50)+(CM152))</f>
        <v/>
      </c>
      <c r="CN167" s="765">
        <f>((CN50)+(CN152))</f>
        <v/>
      </c>
      <c r="CO167" s="765">
        <f>((CO50)+(CO152))</f>
        <v/>
      </c>
      <c r="CP167" s="765">
        <f>((CP50)+(CP152))</f>
        <v/>
      </c>
      <c r="CQ167" s="765">
        <f>((CQ50)+(CQ152))</f>
        <v/>
      </c>
      <c r="CR167" s="765">
        <f>((CR50)+(CR152))</f>
        <v/>
      </c>
      <c r="CS167" s="765">
        <f>((CS50)+(CS152))</f>
        <v/>
      </c>
      <c r="CU167" s="765">
        <f>((CU50)+(CU152))</f>
        <v/>
      </c>
      <c r="CV167" s="765">
        <f>((CV50)+(CV152))</f>
        <v/>
      </c>
      <c r="CW167" s="765">
        <f>((CW50)+(CW152))</f>
        <v/>
      </c>
      <c r="CX167" s="765">
        <f>((CX50)+(CX152))</f>
        <v/>
      </c>
      <c r="CY167" s="765">
        <f>((CY50)+(CY152))</f>
        <v/>
      </c>
      <c r="CZ167" s="765">
        <f>((CZ50)+(CZ152))</f>
        <v/>
      </c>
      <c r="DA167" s="765">
        <f>((DA50)+(DA152))</f>
        <v/>
      </c>
      <c r="DB167" s="765">
        <f>((DB50)+(DB152))</f>
        <v/>
      </c>
      <c r="DC167" s="765">
        <f>((DC50)+(DC152))</f>
        <v/>
      </c>
      <c r="DD167" s="765">
        <f>((DD50)+(DD152))</f>
        <v/>
      </c>
      <c r="DE167" s="765">
        <f>((DE50)+(DE152))</f>
        <v/>
      </c>
      <c r="DF167" s="765">
        <f>((DF50)+(DF152))</f>
        <v/>
      </c>
      <c r="DG167" s="765">
        <f>((DG50)+(DG152))</f>
        <v/>
      </c>
    </row>
    <row r="168" ht="3" customHeight="1" s="1883">
      <c r="I168" s="726" t="n"/>
      <c r="J168" s="726" t="n"/>
      <c r="K168" s="726" t="n"/>
      <c r="L168" s="726" t="n"/>
      <c r="M168" s="726" t="n"/>
      <c r="N168" s="726" t="n"/>
      <c r="O168" s="757" t="n"/>
      <c r="P168" s="757" t="n"/>
      <c r="Q168" s="757" t="n"/>
      <c r="R168" s="757" t="n"/>
      <c r="S168" s="757" t="n"/>
      <c r="T168" s="757" t="n"/>
      <c r="U168" s="726" t="n"/>
      <c r="V168" s="726" t="n"/>
      <c r="W168" s="726" t="n"/>
      <c r="X168" s="726" t="n"/>
      <c r="Y168" s="726" t="n"/>
      <c r="Z168" s="726" t="n"/>
      <c r="AA168" s="726" t="n"/>
      <c r="AB168" s="726" t="n"/>
      <c r="AC168" s="735" t="n"/>
      <c r="AD168" s="735" t="n"/>
      <c r="AE168" s="735" t="n"/>
      <c r="AF168" s="735" t="n"/>
      <c r="AG168" s="735" t="n"/>
      <c r="AH168" s="735" t="n"/>
      <c r="AI168" s="735" t="n"/>
      <c r="AJ168" s="735" t="n"/>
      <c r="AK168" s="735" t="n"/>
      <c r="AL168" s="735" t="n"/>
      <c r="AM168" s="735" t="n"/>
      <c r="AN168" s="735" t="n"/>
      <c r="AO168" s="735" t="n"/>
      <c r="AP168" s="462" t="n"/>
      <c r="AQ168" s="735" t="n"/>
      <c r="AR168" s="735" t="n"/>
      <c r="AS168" s="735" t="n"/>
      <c r="AT168" s="735" t="n"/>
      <c r="AU168" s="735" t="n"/>
      <c r="AV168" s="735" t="n"/>
      <c r="AW168" s="735" t="n"/>
      <c r="AX168" s="735" t="n"/>
      <c r="AY168" s="735" t="n"/>
      <c r="AZ168" s="735" t="n"/>
      <c r="BA168" s="735" t="n"/>
      <c r="BB168" s="735" t="n"/>
      <c r="BC168" s="735" t="n"/>
      <c r="BD168" s="462" t="n"/>
      <c r="BE168" s="735" t="n"/>
      <c r="BF168" s="735" t="n"/>
      <c r="BG168" s="735" t="n"/>
      <c r="BH168" s="735" t="n"/>
      <c r="BI168" s="735" t="n"/>
      <c r="BJ168" s="735" t="n"/>
      <c r="BK168" s="735" t="n"/>
      <c r="BL168" s="735" t="n"/>
      <c r="BM168" s="735" t="n"/>
      <c r="BN168" s="735" t="n"/>
      <c r="BO168" s="735" t="n"/>
      <c r="BP168" s="735" t="n"/>
      <c r="BQ168" s="735" t="n"/>
      <c r="BR168" s="507" t="n"/>
      <c r="BS168" s="735" t="n"/>
      <c r="BT168" s="735" t="n"/>
      <c r="BU168" s="735" t="n"/>
      <c r="BV168" s="735" t="n"/>
      <c r="BW168" s="735" t="n"/>
      <c r="BX168" s="735" t="n"/>
      <c r="BY168" s="735" t="n"/>
      <c r="BZ168" s="735" t="n"/>
      <c r="CA168" s="735" t="n"/>
      <c r="CB168" s="735" t="n"/>
      <c r="CC168" s="735" t="n"/>
      <c r="CD168" s="735" t="n"/>
      <c r="CE168" s="735" t="n"/>
      <c r="CF168" s="507" t="n"/>
      <c r="CG168" s="735" t="n"/>
      <c r="CH168" s="735" t="n"/>
      <c r="CI168" s="735" t="n"/>
      <c r="CJ168" s="735" t="n"/>
      <c r="CK168" s="735" t="n"/>
      <c r="CL168" s="735" t="n"/>
      <c r="CM168" s="735" t="n"/>
      <c r="CN168" s="735" t="n"/>
      <c r="CO168" s="735" t="n"/>
      <c r="CP168" s="735" t="n"/>
      <c r="CQ168" s="735" t="n"/>
      <c r="CR168" s="735" t="n"/>
      <c r="CS168" s="735" t="n"/>
      <c r="CU168" s="735" t="n"/>
      <c r="CV168" s="735" t="n"/>
      <c r="CW168" s="735" t="n"/>
      <c r="CX168" s="735" t="n"/>
      <c r="CY168" s="735" t="n"/>
      <c r="CZ168" s="735" t="n"/>
      <c r="DA168" s="735" t="n"/>
      <c r="DB168" s="735" t="n"/>
      <c r="DC168" s="735" t="n"/>
      <c r="DD168" s="735" t="n"/>
      <c r="DE168" s="735" t="n"/>
      <c r="DF168" s="735" t="n"/>
      <c r="DG168" s="735" t="n"/>
    </row>
    <row r="169" ht="3" customHeight="1" s="1883">
      <c r="I169" s="726" t="n"/>
      <c r="J169" s="726" t="n"/>
      <c r="K169" s="726" t="n"/>
      <c r="L169" s="726" t="n"/>
      <c r="M169" s="726" t="n"/>
      <c r="N169" s="726" t="n"/>
      <c r="O169" s="737" t="n"/>
      <c r="P169" s="737" t="n"/>
      <c r="Q169" s="737" t="n"/>
      <c r="R169" s="737" t="n"/>
      <c r="S169" s="737" t="n"/>
      <c r="T169" s="737" t="n"/>
      <c r="U169" s="726" t="n"/>
      <c r="V169" s="726" t="n"/>
      <c r="W169" s="726" t="n"/>
      <c r="X169" s="726" t="n"/>
      <c r="Y169" s="726" t="n"/>
      <c r="Z169" s="726" t="n"/>
      <c r="AA169" s="726" t="n"/>
      <c r="AB169" s="726" t="n"/>
      <c r="AC169" s="702" t="n"/>
      <c r="AD169" s="702" t="n"/>
      <c r="AE169" s="702" t="n"/>
      <c r="AF169" s="702" t="n"/>
      <c r="AG169" s="702" t="n"/>
      <c r="AH169" s="702" t="n"/>
      <c r="AI169" s="702" t="n"/>
      <c r="AJ169" s="702" t="n"/>
      <c r="AK169" s="702" t="n"/>
      <c r="AL169" s="702" t="n"/>
      <c r="AM169" s="702" t="n"/>
      <c r="AN169" s="702" t="n"/>
      <c r="AO169" s="702" t="n"/>
      <c r="AP169" s="462" t="n"/>
      <c r="AQ169" s="702" t="n"/>
      <c r="AR169" s="702" t="n"/>
      <c r="AS169" s="702" t="n"/>
      <c r="AT169" s="702" t="n"/>
      <c r="AU169" s="702" t="n"/>
      <c r="AV169" s="702" t="n"/>
      <c r="AW169" s="702" t="n"/>
      <c r="AX169" s="702" t="n"/>
      <c r="AY169" s="702" t="n"/>
      <c r="AZ169" s="702" t="n"/>
      <c r="BA169" s="702" t="n"/>
      <c r="BB169" s="702" t="n"/>
      <c r="BC169" s="702" t="n"/>
      <c r="BD169" s="462" t="n"/>
      <c r="BE169" s="702" t="n"/>
      <c r="BF169" s="702" t="n"/>
      <c r="BG169" s="702" t="n"/>
      <c r="BH169" s="702" t="n"/>
      <c r="BI169" s="702" t="n"/>
      <c r="BJ169" s="702" t="n"/>
      <c r="BK169" s="702" t="n"/>
      <c r="BL169" s="702" t="n"/>
      <c r="BM169" s="702" t="n"/>
      <c r="BN169" s="702" t="n"/>
      <c r="BO169" s="702" t="n"/>
      <c r="BP169" s="702" t="n"/>
      <c r="BQ169" s="702" t="n"/>
      <c r="BR169" s="507" t="n"/>
      <c r="BS169" s="702" t="n"/>
      <c r="BT169" s="702" t="n"/>
      <c r="BU169" s="702" t="n"/>
      <c r="BV169" s="702" t="n"/>
      <c r="BW169" s="702" t="n"/>
      <c r="BX169" s="702" t="n"/>
      <c r="BY169" s="702" t="n"/>
      <c r="BZ169" s="702" t="n"/>
      <c r="CA169" s="702" t="n"/>
      <c r="CB169" s="702" t="n"/>
      <c r="CC169" s="702" t="n"/>
      <c r="CD169" s="702" t="n"/>
      <c r="CE169" s="702" t="n"/>
      <c r="CF169" s="507" t="n"/>
      <c r="CG169" s="702" t="n"/>
      <c r="CH169" s="702" t="n"/>
      <c r="CI169" s="702" t="n"/>
      <c r="CJ169" s="702" t="n"/>
      <c r="CK169" s="702" t="n"/>
      <c r="CL169" s="702" t="n"/>
      <c r="CM169" s="702" t="n"/>
      <c r="CN169" s="702" t="n"/>
      <c r="CO169" s="702" t="n"/>
      <c r="CP169" s="702" t="n"/>
      <c r="CQ169" s="702" t="n"/>
      <c r="CR169" s="702" t="n"/>
      <c r="CS169" s="702" t="n"/>
      <c r="CU169" s="702" t="n"/>
      <c r="CV169" s="702" t="n"/>
      <c r="CW169" s="702" t="n"/>
      <c r="CX169" s="702" t="n"/>
      <c r="CY169" s="702" t="n"/>
      <c r="CZ169" s="702" t="n"/>
      <c r="DA169" s="702" t="n"/>
      <c r="DB169" s="702" t="n"/>
      <c r="DC169" s="702" t="n"/>
      <c r="DD169" s="702" t="n"/>
      <c r="DE169" s="702" t="n"/>
      <c r="DF169" s="702" t="n"/>
      <c r="DG169" s="702" t="n"/>
    </row>
    <row r="170" ht="15" customHeight="1" s="1883">
      <c r="I170" s="726" t="n"/>
      <c r="J170" s="726" t="n"/>
      <c r="K170" s="726" t="n"/>
      <c r="L170" s="726" t="n"/>
      <c r="M170" s="726" t="n"/>
      <c r="N170" s="726" t="n"/>
      <c r="O170" s="737" t="n"/>
      <c r="P170" s="737" t="n"/>
      <c r="Q170" s="737" t="n"/>
      <c r="R170" s="737" t="n"/>
      <c r="S170" s="737" t="n"/>
      <c r="T170" s="737" t="n"/>
      <c r="U170" s="726" t="n"/>
      <c r="V170" s="726" t="n"/>
      <c r="W170" s="726" t="n"/>
      <c r="X170" s="726" t="n"/>
      <c r="Y170" s="726" t="n"/>
      <c r="Z170" s="726" t="n"/>
      <c r="AA170" s="726" t="n"/>
      <c r="AB170" s="726" t="n"/>
      <c r="AC170" s="702" t="n"/>
      <c r="AD170" s="702" t="n"/>
      <c r="AE170" s="702" t="n"/>
      <c r="AF170" s="702" t="n"/>
      <c r="AG170" s="702" t="n"/>
      <c r="AH170" s="702" t="n"/>
      <c r="AI170" s="702" t="n"/>
      <c r="AJ170" s="702" t="n"/>
      <c r="AK170" s="702" t="n"/>
      <c r="AL170" s="702" t="n"/>
      <c r="AM170" s="702" t="n"/>
      <c r="AN170" s="702" t="n"/>
      <c r="AO170" s="462">
        <f>AO167+'5C. HC and Salaries - Support'!AN112</f>
        <v/>
      </c>
      <c r="AP170" s="462" t="n"/>
      <c r="AQ170" s="702" t="n"/>
      <c r="AR170" s="702" t="n"/>
      <c r="AS170" s="702" t="n"/>
      <c r="AT170" s="702" t="n"/>
      <c r="AU170" s="702" t="n"/>
      <c r="AV170" s="702" t="n"/>
      <c r="AW170" s="702" t="n"/>
      <c r="AX170" s="702" t="n"/>
      <c r="AY170" s="702" t="n"/>
      <c r="AZ170" s="702" t="n"/>
      <c r="BA170" s="702" t="n"/>
      <c r="BB170" s="702" t="n"/>
      <c r="BC170" s="702" t="n"/>
      <c r="BD170" s="462" t="n"/>
      <c r="BE170" s="702" t="n"/>
      <c r="BF170" s="702" t="n"/>
      <c r="BG170" s="702" t="n"/>
      <c r="BH170" s="702" t="n"/>
      <c r="BI170" s="702" t="n"/>
      <c r="BJ170" s="702" t="n"/>
      <c r="BK170" s="702" t="n"/>
      <c r="BL170" s="702" t="n"/>
      <c r="BM170" s="702" t="n"/>
      <c r="BN170" s="702" t="n"/>
      <c r="BO170" s="702" t="n"/>
      <c r="BP170" s="702" t="n"/>
      <c r="BQ170" s="702" t="n"/>
      <c r="BR170" s="507" t="n"/>
      <c r="BS170" s="702" t="n"/>
      <c r="BT170" s="702" t="n"/>
      <c r="BU170" s="702" t="n"/>
      <c r="BV170" s="702" t="n"/>
      <c r="BW170" s="702" t="n"/>
      <c r="BX170" s="702" t="n"/>
      <c r="BY170" s="702" t="n"/>
      <c r="BZ170" s="702" t="n"/>
      <c r="CA170" s="702" t="n"/>
      <c r="CB170" s="702" t="n"/>
      <c r="CC170" s="702" t="n"/>
      <c r="CD170" s="702" t="n"/>
      <c r="CE170" s="702" t="n"/>
      <c r="CF170" s="507" t="n"/>
      <c r="CG170" s="702" t="n"/>
      <c r="CH170" s="702" t="n"/>
      <c r="CI170" s="702" t="n"/>
      <c r="CJ170" s="702" t="n"/>
      <c r="CK170" s="702" t="n"/>
      <c r="CL170" s="702" t="n"/>
      <c r="CM170" s="702" t="n"/>
      <c r="CN170" s="702" t="n"/>
      <c r="CO170" s="702" t="n"/>
      <c r="CP170" s="702" t="n"/>
      <c r="CQ170" s="702" t="n"/>
      <c r="CR170" s="702" t="n"/>
      <c r="CS170" s="702" t="n"/>
      <c r="CU170" s="702" t="n"/>
      <c r="CV170" s="702" t="n"/>
      <c r="CW170" s="702" t="n"/>
      <c r="CX170" s="702" t="n"/>
      <c r="CY170" s="702" t="n"/>
      <c r="CZ170" s="702" t="n"/>
      <c r="DA170" s="702" t="n"/>
      <c r="DB170" s="702" t="n"/>
      <c r="DC170" s="702" t="n"/>
      <c r="DD170" s="702" t="n"/>
      <c r="DE170" s="702" t="n"/>
      <c r="DF170" s="702" t="n"/>
      <c r="DG170" s="702" t="n"/>
    </row>
    <row r="171" ht="15" customHeight="1" s="1883">
      <c r="I171" s="726" t="n"/>
      <c r="J171" s="726" t="n"/>
      <c r="K171" s="726" t="n"/>
      <c r="L171" s="726" t="n"/>
      <c r="M171" s="726" t="n"/>
      <c r="N171" s="726" t="n"/>
      <c r="O171" s="737" t="n"/>
      <c r="P171" s="737" t="n"/>
      <c r="Q171" s="737" t="n"/>
      <c r="R171" s="737" t="n"/>
      <c r="S171" s="737" t="n"/>
      <c r="T171" s="737" t="n"/>
      <c r="U171" s="726" t="n"/>
      <c r="V171" s="726" t="n"/>
      <c r="W171" s="726" t="n"/>
      <c r="X171" s="726" t="n"/>
      <c r="Y171" s="726" t="n"/>
      <c r="Z171" s="726" t="n"/>
      <c r="AA171" s="726" t="inlineStr">
        <is>
          <t xml:space="preserve">MGMT + Support </t>
        </is>
      </c>
      <c r="AB171" s="726" t="n"/>
      <c r="AC171" s="702">
        <f>AC167+'5C. HC and Salaries - Support'!AB112</f>
        <v/>
      </c>
      <c r="AD171" s="702">
        <f>AD167+'5C. HC and Salaries - Support'!AC112</f>
        <v/>
      </c>
      <c r="AE171" s="702">
        <f>AE167+'5C. HC and Salaries - Support'!AD112</f>
        <v/>
      </c>
      <c r="AF171" s="702">
        <f>AF167+'5C. HC and Salaries - Support'!AE112</f>
        <v/>
      </c>
      <c r="AG171" s="702">
        <f>AG167+'5C. HC and Salaries - Support'!AF112</f>
        <v/>
      </c>
      <c r="AH171" s="702">
        <f>AH167+'5C. HC and Salaries - Support'!AG112</f>
        <v/>
      </c>
      <c r="AI171" s="702">
        <f>AI167+'5C. HC and Salaries - Support'!AH112</f>
        <v/>
      </c>
      <c r="AJ171" s="702">
        <f>AJ167+'5C. HC and Salaries - Support'!AI112</f>
        <v/>
      </c>
      <c r="AK171" s="702">
        <f>AK167+'5C. HC and Salaries - Support'!AJ112</f>
        <v/>
      </c>
      <c r="AL171" s="702">
        <f>AL167+'5C. HC and Salaries - Support'!AK112</f>
        <v/>
      </c>
      <c r="AM171" s="702">
        <f>AM167+'5C. HC and Salaries - Support'!AL112</f>
        <v/>
      </c>
      <c r="AN171" s="702">
        <f>AN167+'5C. HC and Salaries - Support'!AM112</f>
        <v/>
      </c>
      <c r="AO171" s="462">
        <f>SUM(AC171:AN171)</f>
        <v/>
      </c>
      <c r="AP171" s="462" t="n"/>
      <c r="AQ171" s="462" t="n"/>
      <c r="AR171" s="462" t="n"/>
      <c r="AS171" s="462" t="n"/>
      <c r="AT171" s="462" t="n"/>
      <c r="AU171" s="462" t="n"/>
      <c r="AV171" s="462" t="n"/>
      <c r="AW171" s="462" t="n"/>
      <c r="AX171" s="462" t="n"/>
      <c r="AY171" s="462" t="n"/>
      <c r="AZ171" s="462" t="n"/>
      <c r="BA171" s="462" t="n"/>
      <c r="BB171" s="462" t="n"/>
      <c r="BC171" s="462" t="n"/>
      <c r="BD171" s="462" t="n"/>
      <c r="BE171" s="462" t="n"/>
      <c r="BF171" s="462" t="n"/>
      <c r="BG171" s="462" t="n"/>
      <c r="BH171" s="462" t="n"/>
      <c r="BI171" s="462" t="n"/>
      <c r="BJ171" s="462" t="n"/>
      <c r="BK171" s="462" t="n"/>
      <c r="BL171" s="462" t="n"/>
      <c r="BM171" s="462" t="n"/>
      <c r="BN171" s="462" t="n"/>
      <c r="BO171" s="462" t="n"/>
      <c r="BP171" s="507" t="n"/>
      <c r="BQ171" s="507" t="n"/>
      <c r="BR171" s="507" t="n"/>
      <c r="BS171" s="507" t="n"/>
      <c r="BT171" s="507" t="n"/>
      <c r="BU171" s="507" t="n"/>
      <c r="BV171" s="507" t="n"/>
      <c r="BW171" s="507" t="n"/>
      <c r="BX171" s="507" t="n"/>
      <c r="BY171" s="507" t="n"/>
      <c r="BZ171" s="507" t="n"/>
      <c r="CA171" s="507" t="n"/>
      <c r="CB171" s="507" t="n"/>
      <c r="CC171" s="507" t="n"/>
      <c r="CD171" s="507" t="n"/>
      <c r="CE171" s="507" t="n"/>
      <c r="CF171" s="507" t="n"/>
      <c r="CG171" s="507" t="n"/>
      <c r="CH171" s="507" t="n"/>
      <c r="CI171" s="507" t="n"/>
      <c r="CJ171" s="507" t="n"/>
      <c r="CK171" s="507" t="n"/>
      <c r="CL171" s="507" t="n"/>
    </row>
    <row r="172" ht="15" customHeight="1" s="1883">
      <c r="I172" s="1930" t="inlineStr">
        <is>
          <t>Headcount, Sales and Marketing</t>
        </is>
      </c>
      <c r="K172" s="726" t="n"/>
      <c r="L172" s="726" t="n"/>
      <c r="M172" s="726" t="n"/>
      <c r="N172" s="726" t="n"/>
      <c r="O172" s="803">
        <f>(O25+O26+O32+O34+O35+O40+O72+O78+O79+O107+O108+O109+O110+O111+O112+O113+O114+O148)</f>
        <v/>
      </c>
      <c r="P172" s="803">
        <f>(P25+P26+P32+P34+P35+P40+P72+P78+P79+P107+P108+P109+P110+P111+P112+P113+P114+P148)</f>
        <v/>
      </c>
      <c r="Q172" s="803">
        <f>(Q25+Q26+Q32+Q34+Q35+Q40+Q72+Q78+Q79+Q107+Q108+Q109+Q110+Q111+Q112+Q113+Q114+Q148)</f>
        <v/>
      </c>
      <c r="R172" s="803">
        <f>(R25+R26+R32+R34+R35+R40+R72+R78+R79+R107+R108+R109+R110+R111+R112+R113+R114+R148)</f>
        <v/>
      </c>
      <c r="S172" s="803">
        <f>(S25+S26+S32+S34+S35+S40+S72+S78+S79+S107+S108+S109+S110+S111+S112+S113+S114+S148)</f>
        <v/>
      </c>
      <c r="T172" s="803">
        <f>(T25+T26+T32+T34+T35+T40+T72+T78+T79+T107+T108+T109+T110+T111+T112+T113+T114+T148)</f>
        <v/>
      </c>
      <c r="U172" s="726" t="n"/>
      <c r="V172" s="726" t="n"/>
      <c r="W172" s="726" t="n"/>
      <c r="X172" s="726" t="n"/>
      <c r="Y172" s="726" t="n"/>
      <c r="Z172" s="726" t="n"/>
      <c r="AA172" s="726" t="inlineStr">
        <is>
          <t>Double Checked</t>
        </is>
      </c>
      <c r="AB172" s="726" t="n"/>
      <c r="AC172" s="702" t="n"/>
      <c r="AD172" s="702" t="n"/>
      <c r="AE172" s="702" t="n"/>
      <c r="AF172" s="702" t="n"/>
      <c r="AG172" s="702" t="n"/>
      <c r="AH172" s="702" t="n"/>
      <c r="AI172" s="462" t="n"/>
      <c r="AJ172" s="462" t="n"/>
      <c r="AK172" s="462" t="n"/>
      <c r="AL172" s="462" t="n"/>
      <c r="AM172" s="462" t="n"/>
      <c r="AN172" s="462" t="n"/>
      <c r="AP172" s="462" t="n"/>
      <c r="AQ172" s="462" t="n"/>
      <c r="AR172" s="462" t="n"/>
      <c r="AS172" s="462" t="n"/>
      <c r="AT172" s="462" t="n"/>
      <c r="AU172" s="462" t="n"/>
      <c r="AV172" s="462" t="n"/>
      <c r="AW172" s="462" t="n"/>
      <c r="AX172" s="462" t="n"/>
      <c r="AY172" s="462" t="n"/>
      <c r="AZ172" s="462" t="n"/>
      <c r="BA172" s="462" t="n"/>
      <c r="BB172" s="462" t="n"/>
      <c r="BC172" s="462" t="n"/>
      <c r="BD172" s="462" t="n"/>
      <c r="BE172" s="462" t="n"/>
      <c r="BF172" s="462" t="n"/>
      <c r="BG172" s="462" t="n"/>
      <c r="BH172" s="462" t="n"/>
      <c r="BI172" s="462" t="n"/>
      <c r="BJ172" s="462" t="n"/>
      <c r="BK172" s="462" t="n"/>
      <c r="BL172" s="462" t="n"/>
      <c r="BM172" s="462" t="n"/>
      <c r="BN172" s="462" t="n"/>
      <c r="BO172" s="462" t="n"/>
      <c r="BP172" s="507" t="n"/>
      <c r="BQ172" s="507" t="n"/>
      <c r="BR172" s="507" t="n"/>
      <c r="BS172" s="507" t="n"/>
      <c r="BT172" s="507" t="n"/>
      <c r="BU172" s="507" t="n"/>
      <c r="BV172" s="507" t="n"/>
      <c r="BW172" s="507" t="n"/>
      <c r="BX172" s="507" t="n"/>
      <c r="BY172" s="507" t="n"/>
      <c r="BZ172" s="507" t="n"/>
      <c r="CA172" s="507" t="n"/>
      <c r="CB172" s="507" t="n"/>
      <c r="CC172" s="507" t="n"/>
      <c r="CD172" s="507" t="n"/>
      <c r="CE172" s="507" t="n"/>
      <c r="CF172" s="507" t="n"/>
      <c r="CG172" s="507" t="n"/>
      <c r="CH172" s="507" t="n"/>
      <c r="CI172" s="507" t="n"/>
      <c r="CJ172" s="507" t="n"/>
      <c r="CK172" s="507" t="n"/>
      <c r="CL172" s="507" t="n"/>
    </row>
    <row r="174">
      <c r="AD174" s="507" t="n"/>
    </row>
    <row r="183">
      <c r="H183" s="1917" t="n"/>
    </row>
    <row r="184">
      <c r="H184" s="1917" t="n"/>
    </row>
  </sheetData>
  <mergeCells count="31">
    <mergeCell ref="Z55:AA55"/>
    <mergeCell ref="Z160:AA160"/>
    <mergeCell ref="Z54:AA54"/>
    <mergeCell ref="O16:T16"/>
    <mergeCell ref="J160:M160"/>
    <mergeCell ref="J58:M58"/>
    <mergeCell ref="BS16:CE16"/>
    <mergeCell ref="Z156:AA156"/>
    <mergeCell ref="V63:W63"/>
    <mergeCell ref="X12:AA12"/>
    <mergeCell ref="J156:M156"/>
    <mergeCell ref="O64:T64"/>
    <mergeCell ref="Z58:AA58"/>
    <mergeCell ref="V16:AA16"/>
    <mergeCell ref="BE64:BQ64"/>
    <mergeCell ref="CU64:DG64"/>
    <mergeCell ref="CG16:CS16"/>
    <mergeCell ref="Z157:AA157"/>
    <mergeCell ref="CU16:DG16"/>
    <mergeCell ref="J157:M157"/>
    <mergeCell ref="AQ16:BC16"/>
    <mergeCell ref="AF64:AO64"/>
    <mergeCell ref="BS64:CE64"/>
    <mergeCell ref="AF16:AO16"/>
    <mergeCell ref="BE16:BQ16"/>
    <mergeCell ref="I172:J172"/>
    <mergeCell ref="J55:M55"/>
    <mergeCell ref="V64:AA64"/>
    <mergeCell ref="J54:M54"/>
    <mergeCell ref="CG64:CS64"/>
    <mergeCell ref="AQ64:BC64"/>
  </mergeCells>
  <pageMargins left="0.7" right="0.7" top="0.75" bottom="0.75" header="0.3" footer="0.3"/>
  <pageSetup orientation="portrait" horizontalDpi="0" verticalDpi="0"/>
  <legacyDrawing xmlns:r="http://schemas.openxmlformats.org/officeDocument/2006/relationships" r:id="anysvml"/>
</worksheet>
</file>

<file path=xl/worksheets/sheet17.xml><?xml version="1.0" encoding="utf-8"?>
<worksheet xmlns="http://schemas.openxmlformats.org/spreadsheetml/2006/main">
  <sheetPr>
    <tabColor rgb="FFCCFFCC"/>
    <outlinePr summaryBelow="1" summaryRight="1"/>
    <pageSetUpPr/>
  </sheetPr>
  <dimension ref="A2:DF116"/>
  <sheetViews>
    <sheetView tabSelected="1" zoomScaleNormal="100" workbookViewId="0">
      <selection activeCell="AC94" sqref="AC94"/>
    </sheetView>
  </sheetViews>
  <sheetFormatPr baseColWidth="10" defaultColWidth="9.1640625" defaultRowHeight="13"/>
  <cols>
    <col width="2.6640625" customWidth="1" style="1883" min="1" max="1"/>
    <col width="4.6640625" customWidth="1" style="1883" min="2" max="2"/>
    <col width="0.6640625" customWidth="1" style="1883" min="3" max="3"/>
    <col width="2.6640625" customWidth="1" style="1883" min="4" max="7"/>
    <col width="15.6640625" customWidth="1" style="1883" min="8" max="8"/>
    <col width="45.6640625" customWidth="1" style="1883" min="9" max="9"/>
    <col width="15.6640625" customWidth="1" style="1883" min="10" max="10"/>
    <col width="1.5" customWidth="1" style="1883" min="11" max="11"/>
    <col width="15.6640625" customWidth="1" style="1883" min="12" max="17"/>
    <col width="1.6640625" customWidth="1" style="1883" min="18" max="18"/>
    <col width="15.6640625" customWidth="1" style="1883" min="19" max="19"/>
    <col width="1.5" customWidth="1" style="1883" min="20" max="20"/>
    <col width="4.6640625" customWidth="1" style="1883" min="21" max="26"/>
    <col width="2.6640625" customWidth="1" style="1883" min="27" max="27"/>
    <col width="15.6640625" customWidth="1" style="1883" min="28" max="40"/>
    <col width="1.6640625" customWidth="1" style="1883" min="41" max="41"/>
    <col width="15.6640625" customWidth="1" style="1883" min="42" max="54"/>
    <col width="1.5" customWidth="1" style="1883" min="55" max="55"/>
    <col width="15.6640625" customWidth="1" style="1883" min="56" max="68"/>
    <col width="1.6640625" customWidth="1" style="1883" min="69" max="69"/>
    <col width="15.6640625" customWidth="1" style="1883" min="70" max="82"/>
    <col width="1.6640625" customWidth="1" style="1883" min="83" max="83"/>
    <col width="15.6640625" customWidth="1" style="1883" min="84" max="96"/>
    <col width="1.6640625" customWidth="1" style="1883" min="97" max="97"/>
    <col width="15.6640625" customWidth="1" style="1883" min="98" max="110"/>
    <col width="2.6640625" customWidth="1" style="1883" min="111" max="111"/>
  </cols>
  <sheetData>
    <row r="2" ht="15" customHeight="1" s="1883">
      <c r="B2" s="385" t="inlineStr">
        <is>
          <t>PURE TECHNOLOGY</t>
        </is>
      </c>
      <c r="C2" s="726" t="n"/>
      <c r="D2" s="726" t="n"/>
      <c r="E2" s="726" t="n"/>
      <c r="F2" s="726" t="n"/>
      <c r="G2" s="726" t="n"/>
      <c r="H2" s="726" t="n"/>
      <c r="I2" s="726" t="n"/>
      <c r="J2" s="726" t="n"/>
      <c r="K2" s="726" t="n"/>
      <c r="L2" s="726" t="n"/>
      <c r="M2" s="726" t="n"/>
      <c r="N2" s="726" t="n"/>
      <c r="O2" s="726" t="n"/>
      <c r="P2" s="726" t="n"/>
      <c r="Q2" s="726" t="n"/>
      <c r="R2" s="726" t="n"/>
      <c r="S2" s="726" t="n"/>
      <c r="T2" s="726" t="n"/>
      <c r="U2" s="726" t="n"/>
      <c r="V2" s="726" t="n"/>
      <c r="W2" s="726" t="n"/>
      <c r="X2" s="726" t="n"/>
      <c r="Y2" s="726" t="n"/>
      <c r="Z2" s="726" t="n"/>
      <c r="AA2" s="726" t="n"/>
      <c r="AB2" s="726" t="n"/>
      <c r="AC2" s="726" t="n"/>
      <c r="AD2" s="726" t="n"/>
      <c r="AE2" s="726" t="n"/>
      <c r="AF2" s="726" t="n"/>
      <c r="AG2" s="726" t="n"/>
      <c r="AH2" s="726" t="n"/>
      <c r="AI2" s="726" t="n"/>
      <c r="AJ2" s="726" t="n"/>
      <c r="AK2" s="726" t="n"/>
      <c r="AL2" s="726" t="n"/>
      <c r="AM2" s="726" t="n"/>
      <c r="AN2" s="726" t="n"/>
      <c r="AO2" s="726" t="n"/>
      <c r="AP2" s="726" t="n"/>
      <c r="AQ2" s="726" t="n"/>
      <c r="AR2" s="726" t="n"/>
      <c r="AS2" s="726" t="n"/>
      <c r="AT2" s="726" t="n"/>
      <c r="AU2" s="726" t="n"/>
      <c r="AV2" s="726" t="n"/>
      <c r="AW2" s="726" t="n"/>
      <c r="AX2" s="726" t="n"/>
      <c r="AY2" s="726" t="n"/>
      <c r="AZ2" s="726" t="n"/>
      <c r="BA2" s="726" t="n"/>
      <c r="BB2" s="726" t="n"/>
      <c r="BC2" s="726" t="n"/>
      <c r="BD2" s="726" t="n"/>
      <c r="BE2" s="726" t="n"/>
      <c r="BF2" s="726" t="n"/>
      <c r="BG2" s="726" t="n"/>
      <c r="BH2" s="726" t="n"/>
      <c r="BI2" s="726" t="n"/>
      <c r="BJ2" s="726" t="n"/>
      <c r="BK2" s="726" t="n"/>
      <c r="BL2" s="726" t="n"/>
      <c r="BM2" s="1917" t="n"/>
      <c r="BN2" s="1917" t="n"/>
      <c r="BO2" s="1917" t="n"/>
      <c r="BP2" s="1917" t="n"/>
      <c r="BQ2" s="1917" t="n"/>
      <c r="BR2" s="1917" t="n"/>
      <c r="BS2" s="1917" t="n"/>
      <c r="BT2" s="1917" t="n"/>
      <c r="BU2" s="1917" t="n"/>
      <c r="BV2" s="1917" t="n"/>
      <c r="BW2" s="1917" t="n"/>
      <c r="BX2" s="1917" t="n"/>
      <c r="BY2" s="1917" t="n"/>
      <c r="BZ2" s="1917" t="n"/>
      <c r="CA2" s="1917" t="n"/>
      <c r="CB2" s="1917" t="n"/>
      <c r="CC2" s="1917" t="n"/>
      <c r="CD2" s="1917" t="n"/>
      <c r="CE2" s="1917" t="n"/>
      <c r="CF2" s="1917" t="n"/>
      <c r="CG2" s="1917" t="n"/>
      <c r="CH2" s="1917" t="n"/>
      <c r="CI2" s="1917" t="n"/>
      <c r="CJ2" s="1917" t="n"/>
      <c r="CK2" s="1917" t="n"/>
      <c r="CL2" s="1917" t="n"/>
      <c r="CM2" s="1917" t="n"/>
      <c r="CN2" s="1917" t="n"/>
      <c r="CO2" s="1917" t="n"/>
      <c r="CP2" s="1917" t="n"/>
      <c r="CQ2" s="1917" t="n"/>
      <c r="CR2" s="1917" t="n"/>
      <c r="CS2" s="1917" t="n"/>
      <c r="CT2" s="1917" t="n"/>
      <c r="CU2" s="1917" t="n"/>
      <c r="CV2" s="1917" t="n"/>
      <c r="CW2" s="1917" t="n"/>
      <c r="CX2" s="1917" t="n"/>
      <c r="CY2" s="1917" t="n"/>
      <c r="CZ2" s="1917" t="n"/>
      <c r="DA2" s="1917" t="n"/>
      <c r="DB2" s="1917" t="n"/>
      <c r="DC2" s="1917" t="n"/>
      <c r="DD2" s="1917" t="n"/>
      <c r="DE2" s="1917" t="n"/>
      <c r="DF2" s="1917" t="n"/>
    </row>
    <row r="3" ht="4.5" customHeight="1" s="1883">
      <c r="B3" s="383" t="n"/>
      <c r="C3" s="726" t="n"/>
      <c r="D3" s="726" t="n"/>
      <c r="E3" s="726" t="n"/>
      <c r="F3" s="726" t="n"/>
      <c r="G3" s="726" t="n"/>
      <c r="H3" s="726" t="n"/>
      <c r="I3" s="726" t="n"/>
      <c r="J3" s="726" t="n"/>
      <c r="K3" s="726" t="n"/>
      <c r="L3" s="726" t="n"/>
      <c r="M3" s="726" t="n"/>
      <c r="N3" s="726" t="n"/>
      <c r="O3" s="726" t="n"/>
      <c r="P3" s="726" t="n"/>
      <c r="Q3" s="726" t="n"/>
      <c r="R3" s="726" t="n"/>
      <c r="S3" s="726" t="n"/>
      <c r="T3" s="726" t="n"/>
      <c r="U3" s="726" t="n"/>
      <c r="V3" s="726" t="n"/>
      <c r="W3" s="726" t="n"/>
      <c r="X3" s="726" t="n"/>
      <c r="Y3" s="726" t="n"/>
      <c r="Z3" s="726" t="n"/>
      <c r="AA3" s="726" t="n"/>
      <c r="AB3" s="726" t="n"/>
      <c r="AC3" s="726" t="n"/>
      <c r="AD3" s="726" t="n"/>
      <c r="AE3" s="726" t="n"/>
      <c r="AF3" s="726" t="n"/>
      <c r="AG3" s="726" t="n"/>
      <c r="AH3" s="726" t="n"/>
      <c r="AI3" s="726" t="n"/>
      <c r="AJ3" s="726" t="n"/>
      <c r="AK3" s="726" t="n"/>
      <c r="AL3" s="726" t="n"/>
      <c r="AM3" s="726" t="n"/>
      <c r="AN3" s="726" t="n"/>
      <c r="AO3" s="726" t="n"/>
      <c r="AP3" s="726" t="n"/>
      <c r="AQ3" s="726" t="n"/>
      <c r="AR3" s="726" t="n"/>
      <c r="AS3" s="726" t="n"/>
      <c r="AT3" s="726" t="n"/>
      <c r="AU3" s="726" t="n"/>
      <c r="AV3" s="726" t="n"/>
      <c r="AW3" s="726" t="n"/>
      <c r="AX3" s="726" t="n"/>
      <c r="AY3" s="726" t="n"/>
      <c r="AZ3" s="726" t="n"/>
      <c r="BA3" s="726" t="n"/>
      <c r="BB3" s="726" t="n"/>
      <c r="BC3" s="726" t="n"/>
      <c r="BD3" s="726" t="n"/>
      <c r="BE3" s="726" t="n"/>
      <c r="BF3" s="726" t="n"/>
      <c r="BG3" s="726" t="n"/>
      <c r="BH3" s="726" t="n"/>
      <c r="BI3" s="726" t="n"/>
      <c r="BJ3" s="726" t="n"/>
      <c r="BK3" s="726" t="n"/>
      <c r="BL3" s="726" t="n"/>
      <c r="BM3" s="1917" t="n"/>
      <c r="BN3" s="1917" t="n"/>
      <c r="BO3" s="1917" t="n"/>
      <c r="BP3" s="1917" t="n"/>
      <c r="BQ3" s="1917" t="n"/>
      <c r="BR3" s="1917" t="n"/>
      <c r="BS3" s="1917" t="n"/>
      <c r="BT3" s="1917" t="n"/>
      <c r="BU3" s="1917" t="n"/>
      <c r="BV3" s="1917" t="n"/>
      <c r="BW3" s="1917" t="n"/>
      <c r="BX3" s="1917" t="n"/>
      <c r="BY3" s="1917" t="n"/>
      <c r="BZ3" s="1917" t="n"/>
      <c r="CA3" s="1917" t="n"/>
      <c r="CB3" s="1917" t="n"/>
      <c r="CC3" s="1917" t="n"/>
      <c r="CD3" s="1917" t="n"/>
      <c r="CE3" s="1917" t="n"/>
      <c r="CF3" s="1917" t="n"/>
      <c r="CG3" s="1917" t="n"/>
      <c r="CH3" s="1917" t="n"/>
      <c r="CI3" s="1917" t="n"/>
      <c r="CJ3" s="1917" t="n"/>
      <c r="CK3" s="1917" t="n"/>
      <c r="CL3" s="1917" t="n"/>
      <c r="CM3" s="1917" t="n"/>
      <c r="CN3" s="1917" t="n"/>
      <c r="CO3" s="1917" t="n"/>
      <c r="CP3" s="1917" t="n"/>
      <c r="CQ3" s="1917" t="n"/>
      <c r="CR3" s="1917" t="n"/>
      <c r="CS3" s="1917" t="n"/>
      <c r="CT3" s="1917" t="n"/>
      <c r="CU3" s="1917" t="n"/>
      <c r="CV3" s="1917" t="n"/>
      <c r="CW3" s="1917" t="n"/>
      <c r="CX3" s="1917" t="n"/>
      <c r="CY3" s="1917" t="n"/>
      <c r="CZ3" s="1917" t="n"/>
      <c r="DA3" s="1917" t="n"/>
      <c r="DB3" s="1917" t="n"/>
      <c r="DC3" s="1917" t="n"/>
      <c r="DD3" s="1917" t="n"/>
      <c r="DE3" s="1917" t="n"/>
      <c r="DF3" s="1917" t="n"/>
    </row>
    <row r="4" ht="15" customHeight="1" s="1883">
      <c r="B4" s="423" t="inlineStr">
        <is>
          <t>ADMINISTRATION AND SUPPORT HEADCOUNT AND SALARIES</t>
        </is>
      </c>
      <c r="C4" s="726" t="n"/>
      <c r="D4" s="726" t="n"/>
      <c r="E4" s="726" t="n"/>
      <c r="F4" s="726" t="n"/>
      <c r="G4" s="726" t="n"/>
      <c r="H4" s="726" t="n"/>
      <c r="I4" s="726" t="n"/>
      <c r="J4" s="726" t="n"/>
      <c r="K4" s="726" t="n"/>
      <c r="L4" s="726" t="n"/>
      <c r="M4" s="726" t="n"/>
      <c r="N4" s="726" t="n"/>
      <c r="O4" s="726" t="n"/>
      <c r="P4" s="726" t="n"/>
      <c r="Q4" s="726" t="n"/>
      <c r="R4" s="726" t="n"/>
      <c r="S4" s="726" t="n"/>
      <c r="T4" s="726" t="n"/>
      <c r="U4" s="726" t="n"/>
      <c r="V4" s="726" t="n"/>
      <c r="W4" s="726" t="n"/>
      <c r="X4" s="726" t="n"/>
      <c r="Y4" s="726" t="n"/>
      <c r="Z4" s="726" t="n"/>
      <c r="AA4" s="726" t="n"/>
      <c r="AB4" s="726" t="n"/>
      <c r="AC4" s="726" t="n"/>
      <c r="AD4" s="726" t="n"/>
      <c r="AE4" s="726" t="n"/>
      <c r="AF4" s="726" t="n"/>
      <c r="AG4" s="726" t="n"/>
      <c r="AH4" s="726" t="n"/>
      <c r="AI4" s="726" t="n"/>
      <c r="AJ4" s="726" t="n"/>
      <c r="AK4" s="726" t="n"/>
      <c r="AL4" s="726" t="n"/>
      <c r="AM4" s="726" t="n"/>
      <c r="AN4" s="726" t="n"/>
      <c r="AO4" s="726" t="n"/>
      <c r="AP4" s="726" t="n"/>
      <c r="AQ4" s="726" t="n"/>
      <c r="AR4" s="726" t="n"/>
      <c r="AS4" s="726" t="n"/>
      <c r="AT4" s="726" t="n"/>
      <c r="AU4" s="726" t="n"/>
      <c r="AV4" s="726" t="n"/>
      <c r="AW4" s="726" t="n"/>
      <c r="AX4" s="726" t="n"/>
      <c r="AY4" s="726" t="n"/>
      <c r="AZ4" s="726" t="n"/>
      <c r="BA4" s="726" t="n"/>
      <c r="BB4" s="726" t="n"/>
      <c r="BC4" s="726" t="n"/>
      <c r="BD4" s="726" t="n"/>
      <c r="BE4" s="726" t="n"/>
      <c r="BF4" s="726" t="n"/>
      <c r="BG4" s="726" t="n"/>
      <c r="BH4" s="726" t="n"/>
      <c r="BI4" s="726" t="n"/>
      <c r="BJ4" s="726" t="n"/>
      <c r="BK4" s="726" t="n"/>
      <c r="BL4" s="726" t="n"/>
      <c r="BM4" s="1917" t="n"/>
      <c r="BN4" s="1917" t="n"/>
      <c r="BO4" s="1917" t="n"/>
      <c r="BP4" s="1917" t="n"/>
      <c r="BQ4" s="1917" t="n"/>
      <c r="BR4" s="1917" t="n"/>
      <c r="BS4" s="1917" t="n"/>
      <c r="BT4" s="1917" t="n"/>
      <c r="BU4" s="1917" t="n"/>
      <c r="BV4" s="1917" t="n"/>
      <c r="BW4" s="1917" t="n"/>
      <c r="BX4" s="1917" t="n"/>
      <c r="BY4" s="1917" t="n"/>
      <c r="BZ4" s="1917" t="n"/>
      <c r="CA4" s="1917" t="n"/>
      <c r="CB4" s="1917" t="n"/>
      <c r="CC4" s="1917" t="n"/>
      <c r="CD4" s="1917" t="n"/>
      <c r="CE4" s="1917" t="n"/>
      <c r="CF4" s="1917" t="n"/>
      <c r="CG4" s="1917" t="n"/>
      <c r="CH4" s="1917" t="n"/>
      <c r="CI4" s="1917" t="n"/>
      <c r="CJ4" s="1917" t="n"/>
      <c r="CK4" s="1917" t="n"/>
      <c r="CL4" s="1917" t="n"/>
      <c r="CM4" s="1917" t="n"/>
      <c r="CN4" s="1917" t="n"/>
      <c r="CO4" s="1917" t="n"/>
      <c r="CP4" s="1917" t="n"/>
      <c r="CQ4" s="1917" t="n"/>
      <c r="CR4" s="1917" t="n"/>
      <c r="CS4" s="1917" t="n"/>
      <c r="CT4" s="1917" t="n"/>
      <c r="CU4" s="1917" t="n"/>
      <c r="CV4" s="1917" t="n"/>
      <c r="CW4" s="1917" t="n"/>
      <c r="CX4" s="1917" t="n"/>
      <c r="CY4" s="1917" t="n"/>
      <c r="CZ4" s="1917" t="n"/>
      <c r="DA4" s="1917" t="n"/>
      <c r="DB4" s="1917" t="n"/>
      <c r="DC4" s="1917" t="n"/>
      <c r="DD4" s="1917" t="n"/>
      <c r="DE4" s="1917" t="n"/>
      <c r="DF4" s="1917" t="n"/>
    </row>
    <row r="5" ht="4.5" customHeight="1" s="1883">
      <c r="B5" s="422" t="n"/>
      <c r="C5" s="726" t="n"/>
      <c r="D5" s="726" t="n"/>
      <c r="E5" s="726" t="n"/>
      <c r="F5" s="726" t="n"/>
      <c r="G5" s="726" t="n"/>
      <c r="H5" s="726" t="n"/>
      <c r="I5" s="726" t="n"/>
      <c r="J5" s="726" t="n"/>
      <c r="K5" s="726" t="n"/>
      <c r="L5" s="726" t="n"/>
      <c r="M5" s="726" t="n"/>
      <c r="N5" s="726" t="n"/>
      <c r="O5" s="726" t="n"/>
      <c r="P5" s="726" t="n"/>
      <c r="Q5" s="726" t="n"/>
      <c r="R5" s="726" t="n"/>
      <c r="S5" s="726" t="n"/>
      <c r="T5" s="726" t="n"/>
      <c r="U5" s="726" t="n"/>
      <c r="V5" s="726" t="n"/>
      <c r="W5" s="726" t="n"/>
      <c r="X5" s="726" t="n"/>
      <c r="Y5" s="726" t="n"/>
      <c r="Z5" s="726" t="n"/>
      <c r="AA5" s="726" t="n"/>
      <c r="AB5" s="726" t="n"/>
      <c r="AC5" s="726" t="n"/>
      <c r="AD5" s="726" t="n"/>
      <c r="AE5" s="726" t="n"/>
      <c r="AF5" s="726" t="n"/>
      <c r="AG5" s="726" t="n"/>
      <c r="AH5" s="726" t="n"/>
      <c r="AI5" s="726" t="n"/>
      <c r="AJ5" s="726" t="n"/>
      <c r="AK5" s="726" t="n"/>
      <c r="AL5" s="726" t="n"/>
      <c r="AM5" s="726" t="n"/>
      <c r="AN5" s="726" t="n"/>
      <c r="AO5" s="726" t="n"/>
      <c r="AP5" s="726" t="n"/>
      <c r="AQ5" s="726" t="n"/>
      <c r="AR5" s="726" t="n"/>
      <c r="AS5" s="726" t="n"/>
      <c r="AT5" s="726" t="n"/>
      <c r="AU5" s="726" t="n"/>
      <c r="AV5" s="726" t="n"/>
      <c r="AW5" s="726" t="n"/>
      <c r="AX5" s="726" t="n"/>
      <c r="AY5" s="726" t="n"/>
      <c r="AZ5" s="726" t="n"/>
      <c r="BA5" s="726" t="n"/>
      <c r="BB5" s="726" t="n"/>
      <c r="BC5" s="726" t="n"/>
      <c r="BD5" s="726" t="n"/>
      <c r="BE5" s="726" t="n"/>
      <c r="BF5" s="726" t="n"/>
      <c r="BG5" s="726" t="n"/>
      <c r="BH5" s="726" t="n"/>
      <c r="BI5" s="726" t="n"/>
      <c r="BJ5" s="726" t="n"/>
      <c r="BK5" s="726" t="n"/>
      <c r="BL5" s="726" t="n"/>
      <c r="BM5" s="1917" t="n"/>
      <c r="BN5" s="1917" t="n"/>
      <c r="BO5" s="1917" t="n"/>
      <c r="BP5" s="1917" t="n"/>
      <c r="BQ5" s="1917" t="n"/>
      <c r="BR5" s="1917" t="n"/>
      <c r="BS5" s="1917" t="n"/>
      <c r="BT5" s="1917" t="n"/>
      <c r="BU5" s="1917" t="n"/>
      <c r="BV5" s="1917" t="n"/>
      <c r="BW5" s="1917" t="n"/>
      <c r="BX5" s="1917" t="n"/>
      <c r="BY5" s="1917" t="n"/>
      <c r="BZ5" s="1917" t="n"/>
      <c r="CA5" s="1917" t="n"/>
      <c r="CB5" s="1917" t="n"/>
      <c r="CC5" s="1917" t="n"/>
      <c r="CD5" s="1917" t="n"/>
      <c r="CE5" s="1917" t="n"/>
      <c r="CF5" s="1917" t="n"/>
      <c r="CG5" s="1917" t="n"/>
      <c r="CH5" s="1917" t="n"/>
      <c r="CI5" s="1917" t="n"/>
      <c r="CJ5" s="1917" t="n"/>
      <c r="CK5" s="1917" t="n"/>
      <c r="CL5" s="1917" t="n"/>
      <c r="CM5" s="1917" t="n"/>
      <c r="CN5" s="1917" t="n"/>
      <c r="CO5" s="1917" t="n"/>
      <c r="CP5" s="1917" t="n"/>
      <c r="CQ5" s="1917" t="n"/>
      <c r="CR5" s="1917" t="n"/>
      <c r="CS5" s="1917" t="n"/>
      <c r="CT5" s="1917" t="n"/>
      <c r="CU5" s="1917" t="n"/>
      <c r="CV5" s="1917" t="n"/>
      <c r="CW5" s="1917" t="n"/>
      <c r="CX5" s="1917" t="n"/>
      <c r="CY5" s="1917" t="n"/>
      <c r="CZ5" s="1917" t="n"/>
      <c r="DA5" s="1917" t="n"/>
      <c r="DB5" s="1917" t="n"/>
      <c r="DC5" s="1917" t="n"/>
      <c r="DD5" s="1917" t="n"/>
      <c r="DE5" s="1917" t="n"/>
      <c r="DF5" s="1917" t="n"/>
    </row>
    <row r="6" ht="15" customHeight="1" s="1883">
      <c r="B6" s="423" t="inlineStr">
        <is>
          <t>BY MONTH, MONTHS 1 - 60</t>
        </is>
      </c>
      <c r="C6" s="726" t="n"/>
      <c r="D6" s="726" t="n"/>
      <c r="E6" s="726" t="n"/>
      <c r="F6" s="726" t="n"/>
      <c r="G6" s="726" t="n"/>
      <c r="H6" s="726" t="n"/>
      <c r="I6" s="726" t="n"/>
      <c r="J6" s="726" t="n"/>
      <c r="K6" s="726" t="n"/>
      <c r="L6" s="726" t="n"/>
      <c r="M6" s="726" t="n"/>
      <c r="N6" s="726" t="n"/>
      <c r="O6" s="726" t="n"/>
      <c r="P6" s="726" t="n"/>
      <c r="Q6" s="726" t="n"/>
      <c r="R6" s="726" t="n"/>
      <c r="S6" s="726" t="n"/>
      <c r="T6" s="726" t="n"/>
      <c r="U6" s="726" t="n"/>
      <c r="V6" s="726" t="n"/>
      <c r="W6" s="726" t="n"/>
      <c r="X6" s="726" t="n"/>
      <c r="Y6" s="726" t="n"/>
      <c r="Z6" s="726" t="n"/>
      <c r="AA6" s="726" t="n"/>
      <c r="AB6" s="726" t="n"/>
      <c r="AC6" s="726" t="n"/>
      <c r="AD6" s="726" t="n"/>
      <c r="AE6" s="726" t="n"/>
      <c r="AF6" s="726" t="n"/>
      <c r="AG6" s="726" t="n"/>
      <c r="AH6" s="726" t="n"/>
      <c r="AI6" s="726" t="n"/>
      <c r="AJ6" s="726" t="n"/>
      <c r="AK6" s="726" t="n"/>
      <c r="AL6" s="726" t="n"/>
      <c r="AM6" s="726" t="n"/>
      <c r="AN6" s="726" t="n"/>
      <c r="AO6" s="726" t="n"/>
      <c r="AP6" s="726" t="n"/>
      <c r="AQ6" s="726" t="n"/>
      <c r="AR6" s="726" t="n"/>
      <c r="AS6" s="726" t="n"/>
      <c r="AT6" s="726" t="n"/>
      <c r="AU6" s="726" t="n"/>
      <c r="AV6" s="726" t="n"/>
      <c r="AW6" s="726" t="n"/>
      <c r="AX6" s="726" t="n"/>
      <c r="AY6" s="726" t="n"/>
      <c r="AZ6" s="726" t="n"/>
      <c r="BA6" s="726" t="n"/>
      <c r="BB6" s="726" t="n"/>
      <c r="BC6" s="726" t="n"/>
      <c r="BD6" s="726" t="n"/>
      <c r="BE6" s="726" t="n"/>
      <c r="BF6" s="726" t="n"/>
      <c r="BG6" s="726" t="n"/>
      <c r="BH6" s="726" t="n"/>
      <c r="BI6" s="726" t="n"/>
      <c r="BJ6" s="726" t="n"/>
      <c r="BK6" s="726" t="n"/>
      <c r="BL6" s="726" t="n"/>
      <c r="BM6" s="1917" t="n"/>
      <c r="BN6" s="1917" t="n"/>
      <c r="BO6" s="1917" t="n"/>
      <c r="BP6" s="1917" t="n"/>
      <c r="BQ6" s="1917" t="n"/>
      <c r="BR6" s="1917" t="n"/>
      <c r="BS6" s="1917" t="n"/>
      <c r="BT6" s="1917" t="n"/>
      <c r="BU6" s="1917" t="n"/>
      <c r="BV6" s="1917" t="n"/>
      <c r="BW6" s="1917" t="n"/>
      <c r="BX6" s="1917" t="n"/>
      <c r="BY6" s="1917" t="n"/>
      <c r="BZ6" s="1917" t="n"/>
      <c r="CA6" s="1917" t="n"/>
      <c r="CB6" s="1917" t="n"/>
      <c r="CC6" s="1917" t="n"/>
      <c r="CD6" s="1917" t="n"/>
      <c r="CE6" s="1917" t="n"/>
      <c r="CF6" s="1917" t="n"/>
      <c r="CG6" s="1917" t="n"/>
      <c r="CH6" s="1917" t="n"/>
      <c r="CI6" s="1917" t="n"/>
      <c r="CJ6" s="1917" t="n"/>
      <c r="CK6" s="1917" t="n"/>
      <c r="CL6" s="1917" t="n"/>
      <c r="CM6" s="1917" t="n"/>
      <c r="CN6" s="1917" t="n"/>
      <c r="CO6" s="1917" t="n"/>
      <c r="CP6" s="1917" t="n"/>
      <c r="CQ6" s="1917" t="n"/>
      <c r="CR6" s="1917" t="n"/>
      <c r="CS6" s="1917" t="n"/>
      <c r="CT6" s="1917" t="n"/>
      <c r="CU6" s="1917" t="n"/>
      <c r="CV6" s="1917" t="n"/>
      <c r="CW6" s="1917" t="n"/>
      <c r="CX6" s="1917" t="n"/>
      <c r="CY6" s="1917" t="n"/>
      <c r="CZ6" s="1917" t="n"/>
      <c r="DA6" s="1917" t="n"/>
      <c r="DB6" s="1917" t="n"/>
      <c r="DC6" s="1917" t="n"/>
      <c r="DD6" s="1917" t="n"/>
      <c r="DE6" s="1917" t="n"/>
      <c r="DF6" s="1917" t="n"/>
    </row>
    <row r="7" ht="15" customHeight="1" s="1883">
      <c r="C7" s="726" t="n"/>
      <c r="D7" s="726" t="n"/>
      <c r="E7" s="726" t="n"/>
      <c r="F7" s="726" t="n"/>
      <c r="G7" s="726" t="n"/>
      <c r="H7" s="726" t="n"/>
      <c r="I7" s="726" t="n"/>
      <c r="J7" s="726" t="n"/>
      <c r="K7" s="726" t="n"/>
      <c r="L7" s="726" t="n"/>
      <c r="M7" s="726" t="n"/>
      <c r="N7" s="726" t="n"/>
      <c r="O7" s="726" t="n"/>
      <c r="P7" s="726" t="n"/>
      <c r="Q7" s="726" t="n"/>
      <c r="R7" s="726" t="n"/>
      <c r="S7" s="726" t="n"/>
      <c r="T7" s="726" t="n"/>
      <c r="U7" s="726" t="n"/>
      <c r="V7" s="726" t="n"/>
      <c r="W7" s="726" t="n"/>
      <c r="X7" s="726" t="n"/>
      <c r="Y7" s="726" t="n"/>
      <c r="Z7" s="726" t="n"/>
      <c r="AA7" s="726" t="n"/>
      <c r="AB7" s="726" t="n"/>
      <c r="AC7" s="726" t="n"/>
      <c r="AD7" s="726" t="n"/>
      <c r="AE7" s="726" t="n"/>
      <c r="AF7" s="726" t="n"/>
      <c r="AG7" s="726" t="n"/>
      <c r="AH7" s="726" t="n"/>
      <c r="AI7" s="726" t="n"/>
      <c r="AJ7" s="726" t="n"/>
      <c r="AK7" s="726" t="n"/>
      <c r="AL7" s="726" t="n"/>
      <c r="AM7" s="726" t="n"/>
      <c r="AN7" s="726" t="n"/>
      <c r="AO7" s="726" t="n"/>
      <c r="AP7" s="726" t="n"/>
      <c r="AQ7" s="726" t="n"/>
      <c r="AR7" s="726" t="n"/>
      <c r="AS7" s="726" t="n"/>
      <c r="AT7" s="726" t="n"/>
      <c r="AU7" s="726" t="n"/>
      <c r="AV7" s="726" t="n"/>
      <c r="AW7" s="726" t="n"/>
      <c r="AX7" s="726" t="n"/>
      <c r="AY7" s="726" t="n"/>
      <c r="AZ7" s="726" t="n"/>
      <c r="BA7" s="726" t="n"/>
      <c r="BB7" s="726" t="n"/>
      <c r="BC7" s="726" t="n"/>
      <c r="BD7" s="726" t="n"/>
      <c r="BE7" s="726" t="n"/>
      <c r="BF7" s="726" t="n"/>
      <c r="BG7" s="726" t="n"/>
      <c r="BH7" s="726" t="n"/>
      <c r="BI7" s="726" t="n"/>
      <c r="BJ7" s="726" t="n"/>
      <c r="BK7" s="726" t="n"/>
      <c r="BL7" s="726" t="n"/>
      <c r="BM7" s="1917" t="n"/>
      <c r="BN7" s="1917" t="n"/>
      <c r="BO7" s="1917" t="n"/>
      <c r="BP7" s="1917" t="n"/>
      <c r="BQ7" s="1917" t="n"/>
      <c r="BR7" s="1917" t="n"/>
      <c r="BS7" s="1917" t="n"/>
      <c r="BT7" s="1917" t="n"/>
      <c r="BU7" s="1917" t="n"/>
      <c r="BV7" s="1917" t="n"/>
      <c r="BW7" s="1917" t="n"/>
      <c r="BX7" s="1917" t="n"/>
      <c r="BY7" s="1917" t="n"/>
      <c r="BZ7" s="1917" t="n"/>
      <c r="CA7" s="1917" t="n"/>
      <c r="CB7" s="1917" t="n"/>
      <c r="CC7" s="1917" t="n"/>
      <c r="CD7" s="1917" t="n"/>
      <c r="CE7" s="1917" t="n"/>
      <c r="CF7" s="1917" t="n"/>
      <c r="CG7" s="1917" t="n"/>
      <c r="CH7" s="1917" t="n"/>
      <c r="CI7" s="1917" t="n"/>
      <c r="CJ7" s="1917" t="n"/>
      <c r="CK7" s="1917" t="n"/>
      <c r="CL7" s="1917" t="n"/>
      <c r="CM7" s="1917" t="n"/>
      <c r="CN7" s="1917" t="n"/>
      <c r="CO7" s="1917" t="n"/>
      <c r="CP7" s="1917" t="n"/>
      <c r="CQ7" s="1917" t="n"/>
      <c r="CR7" s="1917" t="n"/>
      <c r="CS7" s="1917" t="n"/>
      <c r="CT7" s="1917" t="n"/>
      <c r="CU7" s="1917" t="n"/>
      <c r="CV7" s="1917" t="n"/>
      <c r="CW7" s="1917" t="n"/>
      <c r="CX7" s="1917" t="n"/>
      <c r="CY7" s="1917" t="n"/>
      <c r="CZ7" s="1917" t="n"/>
      <c r="DA7" s="1917" t="n"/>
      <c r="DB7" s="1917" t="n"/>
      <c r="DC7" s="1917" t="n"/>
      <c r="DD7" s="1917" t="n"/>
      <c r="DE7" s="1917" t="n"/>
      <c r="DF7" s="1917" t="n"/>
    </row>
    <row r="8" ht="3" customHeight="1" s="1883" thickBot="1">
      <c r="B8" s="1886" t="n"/>
      <c r="C8" s="819" t="n"/>
      <c r="D8" s="819" t="n"/>
      <c r="E8" s="819" t="n"/>
      <c r="F8" s="819" t="n"/>
      <c r="G8" s="819" t="n"/>
      <c r="H8" s="819" t="n"/>
      <c r="I8" s="819" t="n"/>
      <c r="J8" s="726" t="n"/>
      <c r="K8" s="726" t="n"/>
      <c r="L8" s="726" t="n"/>
      <c r="M8" s="726" t="n"/>
      <c r="N8" s="726" t="n"/>
      <c r="O8" s="726" t="n"/>
      <c r="P8" s="726" t="n"/>
      <c r="Q8" s="726" t="n"/>
      <c r="R8" s="726" t="n"/>
      <c r="Y8" s="726" t="n"/>
      <c r="Z8" s="726" t="n"/>
      <c r="AA8" s="726" t="n"/>
      <c r="AB8" s="726" t="n"/>
      <c r="AC8" s="726" t="n"/>
      <c r="AD8" s="726" t="n"/>
      <c r="AE8" s="726" t="n"/>
      <c r="AF8" s="726" t="n"/>
      <c r="AG8" s="726" t="n"/>
      <c r="AH8" s="726" t="n"/>
      <c r="AI8" s="726" t="n"/>
      <c r="AJ8" s="726" t="n"/>
      <c r="AK8" s="726" t="n"/>
      <c r="AL8" s="726" t="n"/>
      <c r="AM8" s="726" t="n"/>
      <c r="AN8" s="726" t="n"/>
      <c r="AO8" s="726" t="n"/>
      <c r="AP8" s="726" t="n"/>
      <c r="AQ8" s="726" t="n"/>
      <c r="AR8" s="726" t="n"/>
      <c r="AS8" s="726" t="n"/>
      <c r="AT8" s="726" t="n"/>
      <c r="AU8" s="726" t="n"/>
      <c r="AV8" s="726" t="n"/>
      <c r="AW8" s="726" t="n"/>
      <c r="AX8" s="726" t="n"/>
      <c r="AY8" s="726" t="n"/>
      <c r="AZ8" s="726" t="n"/>
      <c r="BA8" s="726" t="n"/>
      <c r="BB8" s="726" t="n"/>
      <c r="BC8" s="726" t="n"/>
      <c r="BD8" s="726" t="n"/>
      <c r="BE8" s="726" t="n"/>
      <c r="BF8" s="726" t="n"/>
      <c r="BG8" s="726" t="n"/>
      <c r="BH8" s="726" t="n"/>
      <c r="BI8" s="726" t="n"/>
      <c r="BJ8" s="726" t="n"/>
      <c r="BK8" s="726" t="n"/>
      <c r="BL8" s="726" t="n"/>
      <c r="BM8" s="1917" t="n"/>
      <c r="BN8" s="1917" t="n"/>
      <c r="BO8" s="1917" t="n"/>
      <c r="BP8" s="1917" t="n"/>
      <c r="BQ8" s="1917" t="n"/>
      <c r="BR8" s="1917" t="n"/>
      <c r="BS8" s="1917" t="n"/>
      <c r="BT8" s="1917" t="n"/>
      <c r="BU8" s="1917" t="n"/>
      <c r="BV8" s="1917" t="n"/>
      <c r="BW8" s="1917" t="n"/>
      <c r="BX8" s="1917" t="n"/>
      <c r="BY8" s="1917" t="n"/>
      <c r="BZ8" s="1917" t="n"/>
      <c r="CA8" s="1917" t="n"/>
      <c r="CB8" s="1917" t="n"/>
      <c r="CC8" s="1917" t="n"/>
      <c r="CD8" s="1917" t="n"/>
      <c r="CE8" s="1917" t="n"/>
      <c r="CF8" s="1917" t="n"/>
      <c r="CG8" s="1917" t="n"/>
      <c r="CH8" s="1917" t="n"/>
      <c r="CI8" s="1917" t="n"/>
      <c r="CJ8" s="1917" t="n"/>
      <c r="CK8" s="1917" t="n"/>
      <c r="CL8" s="1917" t="n"/>
      <c r="CM8" s="1917" t="n"/>
      <c r="CN8" s="1917" t="n"/>
      <c r="CO8" s="1917" t="n"/>
      <c r="CP8" s="1917" t="n"/>
      <c r="CQ8" s="1917" t="n"/>
      <c r="CR8" s="1917" t="n"/>
      <c r="CS8" s="1917" t="n"/>
      <c r="CT8" s="1917" t="n"/>
      <c r="CU8" s="1917" t="n"/>
      <c r="CV8" s="1917" t="n"/>
      <c r="CW8" s="1917" t="n"/>
      <c r="CX8" s="1917" t="n"/>
      <c r="CY8" s="1917" t="n"/>
      <c r="CZ8" s="1917" t="n"/>
      <c r="DA8" s="1917" t="n"/>
      <c r="DB8" s="1917" t="n"/>
      <c r="DC8" s="1917" t="n"/>
      <c r="DD8" s="1917" t="n"/>
      <c r="DE8" s="1917" t="n"/>
      <c r="DF8" s="1917" t="n"/>
    </row>
    <row r="9" ht="3" customHeight="1" s="1883" thickTop="1">
      <c r="B9" s="726" t="n"/>
      <c r="C9" s="726" t="n"/>
      <c r="D9" s="726" t="n"/>
      <c r="E9" s="726" t="n"/>
      <c r="F9" s="726" t="n"/>
      <c r="G9" s="726" t="n"/>
      <c r="H9" s="726" t="n"/>
      <c r="I9" s="726" t="n"/>
      <c r="J9" s="726" t="n"/>
      <c r="K9" s="726" t="n"/>
      <c r="L9" s="726" t="n"/>
      <c r="M9" s="726" t="n"/>
      <c r="N9" s="726" t="n"/>
      <c r="O9" s="726" t="n"/>
      <c r="P9" s="726" t="n"/>
      <c r="Q9" s="726" t="n"/>
      <c r="R9" s="726" t="n"/>
      <c r="S9" s="726" t="n"/>
      <c r="T9" s="726" t="n"/>
      <c r="U9" s="726" t="n"/>
      <c r="V9" s="726" t="n"/>
      <c r="W9" s="726" t="n"/>
      <c r="X9" s="726" t="n"/>
      <c r="Y9" s="726" t="n"/>
      <c r="Z9" s="726" t="n"/>
      <c r="AA9" s="726" t="n"/>
      <c r="AB9" s="726" t="n"/>
      <c r="AC9" s="726" t="n"/>
      <c r="AD9" s="726" t="n"/>
      <c r="AE9" s="726" t="n"/>
      <c r="AF9" s="726" t="n"/>
      <c r="AG9" s="726" t="n"/>
      <c r="AH9" s="726" t="n"/>
      <c r="AI9" s="726" t="n"/>
      <c r="AJ9" s="726" t="n"/>
      <c r="AK9" s="726" t="n"/>
      <c r="AL9" s="726" t="n"/>
      <c r="AM9" s="726" t="n"/>
      <c r="AN9" s="726" t="n"/>
      <c r="AO9" s="726" t="n"/>
      <c r="AP9" s="726" t="n"/>
      <c r="AQ9" s="726" t="n"/>
      <c r="AR9" s="726" t="n"/>
      <c r="AS9" s="726" t="n"/>
      <c r="AT9" s="726" t="n"/>
      <c r="AU9" s="726" t="n"/>
      <c r="AV9" s="726" t="n"/>
      <c r="AW9" s="726" t="n"/>
      <c r="AX9" s="726" t="n"/>
      <c r="AY9" s="726" t="n"/>
      <c r="AZ9" s="726" t="n"/>
      <c r="BA9" s="726" t="n"/>
      <c r="BB9" s="726" t="n"/>
      <c r="BC9" s="726" t="n"/>
      <c r="BD9" s="726" t="n"/>
      <c r="BE9" s="726" t="n"/>
      <c r="BF9" s="726" t="n"/>
      <c r="BG9" s="726" t="n"/>
      <c r="BH9" s="726" t="n"/>
      <c r="BI9" s="726" t="n"/>
      <c r="BJ9" s="726" t="n"/>
      <c r="BK9" s="726" t="n"/>
      <c r="BL9" s="726" t="n"/>
      <c r="BM9" s="1917" t="n"/>
      <c r="BN9" s="1917" t="n"/>
      <c r="BO9" s="1917" t="n"/>
      <c r="BP9" s="1917" t="n"/>
      <c r="BQ9" s="1917" t="n"/>
      <c r="BR9" s="1917" t="n"/>
      <c r="BS9" s="1917" t="n"/>
      <c r="BT9" s="1917" t="n"/>
      <c r="BU9" s="1917" t="n"/>
      <c r="BV9" s="1917" t="n"/>
      <c r="BW9" s="1917" t="n"/>
      <c r="BX9" s="1917" t="n"/>
      <c r="BY9" s="1917" t="n"/>
      <c r="BZ9" s="1917" t="n"/>
      <c r="CA9" s="1917" t="n"/>
      <c r="CB9" s="1917" t="n"/>
      <c r="CC9" s="1917" t="n"/>
      <c r="CD9" s="1917" t="n"/>
      <c r="CE9" s="1917" t="n"/>
      <c r="CF9" s="1917" t="n"/>
      <c r="CG9" s="1917" t="n"/>
      <c r="CH9" s="1917" t="n"/>
      <c r="CI9" s="1917" t="n"/>
      <c r="CJ9" s="1917" t="n"/>
      <c r="CK9" s="1917" t="n"/>
      <c r="CL9" s="1917" t="n"/>
      <c r="CM9" s="1917" t="n"/>
      <c r="CN9" s="1917" t="n"/>
      <c r="CO9" s="1917" t="n"/>
      <c r="CP9" s="1917" t="n"/>
      <c r="CQ9" s="1917" t="n"/>
      <c r="CR9" s="1917" t="n"/>
      <c r="CS9" s="1917" t="n"/>
      <c r="CT9" s="1917" t="n"/>
      <c r="CU9" s="1917" t="n"/>
      <c r="CV9" s="1917" t="n"/>
      <c r="CW9" s="1917" t="n"/>
      <c r="CX9" s="1917" t="n"/>
      <c r="CY9" s="1917" t="n"/>
      <c r="CZ9" s="1917" t="n"/>
      <c r="DA9" s="1917" t="n"/>
      <c r="DB9" s="1917" t="n"/>
      <c r="DC9" s="1917" t="n"/>
      <c r="DD9" s="1917" t="n"/>
      <c r="DE9" s="1917" t="n"/>
      <c r="DF9" s="1917" t="n"/>
    </row>
    <row r="10" ht="15" customHeight="1" s="1883">
      <c r="B10" s="726" t="n"/>
      <c r="C10" s="726" t="n"/>
      <c r="D10" s="726" t="n"/>
      <c r="E10" s="726" t="n"/>
      <c r="F10" s="726" t="n"/>
      <c r="G10" s="726" t="n"/>
      <c r="H10" s="726" t="n"/>
      <c r="I10" s="726" t="n"/>
      <c r="J10" s="726" t="n"/>
      <c r="K10" s="726" t="n"/>
      <c r="L10" s="726" t="n"/>
      <c r="M10" s="726" t="n"/>
      <c r="N10" s="726" t="n"/>
      <c r="O10" s="726" t="n"/>
      <c r="P10" s="726" t="n"/>
      <c r="Q10" s="726" t="n"/>
      <c r="R10" s="726" t="n"/>
      <c r="S10" s="742" t="n"/>
      <c r="T10" s="742" t="n"/>
      <c r="U10" s="1929" t="n"/>
      <c r="Y10" s="742" t="n"/>
      <c r="Z10" s="742" t="n"/>
      <c r="AA10" s="726" t="n"/>
      <c r="AB10" s="1917" t="n"/>
      <c r="AC10" s="1917" t="n"/>
      <c r="AD10" s="1917" t="n"/>
      <c r="AE10" s="1917" t="n"/>
      <c r="AF10" s="1917" t="n"/>
      <c r="AG10" s="1917" t="n"/>
      <c r="AH10" s="1917" t="n"/>
      <c r="AI10" s="1917" t="n"/>
      <c r="AJ10" s="1917" t="n"/>
      <c r="AK10" s="1917" t="n"/>
      <c r="AL10" s="1917" t="n"/>
      <c r="AM10" s="1917" t="n"/>
      <c r="AN10" s="1917" t="n"/>
      <c r="AO10" s="726" t="n"/>
      <c r="AP10" s="726" t="n"/>
      <c r="AQ10" s="726" t="n"/>
      <c r="AR10" s="726" t="n"/>
      <c r="AS10" s="726" t="n"/>
      <c r="AT10" s="726" t="n"/>
      <c r="AU10" s="726" t="n"/>
      <c r="AV10" s="726" t="n"/>
      <c r="AW10" s="726" t="n"/>
      <c r="AX10" s="726" t="n"/>
      <c r="AY10" s="726" t="n"/>
      <c r="AZ10" s="726" t="n"/>
      <c r="BA10" s="726" t="n"/>
      <c r="BB10" s="726" t="n"/>
      <c r="BC10" s="726" t="n"/>
      <c r="BD10" s="726" t="n"/>
      <c r="BE10" s="726" t="n"/>
      <c r="BF10" s="726" t="n"/>
      <c r="BG10" s="726" t="n"/>
      <c r="BH10" s="726" t="n"/>
      <c r="BI10" s="726" t="n"/>
      <c r="BJ10" s="726" t="n"/>
      <c r="BK10" s="726" t="n"/>
      <c r="BL10" s="726" t="n"/>
      <c r="BM10" s="1917" t="n"/>
      <c r="BN10" s="1917" t="n"/>
      <c r="BO10" s="1917" t="n"/>
      <c r="BP10" s="1917" t="n"/>
      <c r="BQ10" s="1917" t="n"/>
      <c r="BR10" s="1917" t="n"/>
      <c r="BS10" s="1917" t="n"/>
      <c r="BT10" s="1917" t="n"/>
      <c r="BU10" s="1917" t="n"/>
      <c r="BV10" s="1917" t="n"/>
      <c r="BW10" s="1917" t="n"/>
      <c r="BX10" s="1917" t="n"/>
      <c r="BY10" s="1917" t="n"/>
      <c r="BZ10" s="1917" t="n"/>
      <c r="CA10" s="1917" t="n"/>
      <c r="CB10" s="1917" t="n"/>
      <c r="CC10" s="1917" t="n"/>
      <c r="CD10" s="1917" t="n"/>
      <c r="CE10" s="1917" t="n"/>
      <c r="CF10" s="1917" t="n"/>
      <c r="CG10" s="1917" t="n"/>
      <c r="CH10" s="1917" t="n"/>
      <c r="CI10" s="1917" t="n"/>
      <c r="CJ10" s="1917" t="n"/>
      <c r="CK10" s="1917" t="n"/>
      <c r="CL10" s="1917" t="n"/>
      <c r="CM10" s="1917" t="n"/>
      <c r="CN10" s="1917" t="n"/>
      <c r="CO10" s="1917" t="n"/>
      <c r="CP10" s="1917" t="n"/>
      <c r="CQ10" s="1917" t="n"/>
      <c r="CR10" s="1917" t="n"/>
      <c r="CS10" s="1917" t="n"/>
      <c r="CT10" s="1917" t="n"/>
      <c r="CU10" s="1917" t="n"/>
      <c r="CV10" s="1917" t="n"/>
      <c r="CW10" s="1917" t="n"/>
      <c r="CX10" s="1917" t="n"/>
      <c r="CY10" s="1917" t="n"/>
      <c r="CZ10" s="1917" t="n"/>
      <c r="DA10" s="1917" t="n"/>
      <c r="DB10" s="1917" t="n"/>
      <c r="DC10" s="1917" t="n"/>
      <c r="DD10" s="1917" t="n"/>
      <c r="DE10" s="1917" t="n"/>
      <c r="DF10" s="1917" t="n"/>
    </row>
    <row r="11" ht="15" customHeight="1" s="1883">
      <c r="B11" s="726" t="n"/>
      <c r="C11" s="726" t="n"/>
      <c r="D11" s="726" t="n"/>
      <c r="E11" s="726" t="n"/>
      <c r="F11" s="726" t="n"/>
      <c r="G11" s="726" t="n"/>
      <c r="H11" s="726" t="n"/>
      <c r="I11" s="726" t="n"/>
      <c r="J11" s="726" t="n"/>
      <c r="K11" s="726" t="n"/>
      <c r="L11" s="726" t="n"/>
      <c r="M11" s="726" t="n"/>
      <c r="N11" s="726" t="n"/>
      <c r="O11" s="726" t="n"/>
      <c r="P11" s="726" t="n"/>
      <c r="Q11" s="726" t="n"/>
      <c r="R11" s="726" t="n"/>
      <c r="S11" s="742" t="n"/>
      <c r="T11" s="742" t="n"/>
      <c r="U11" s="1929" t="n"/>
      <c r="V11" s="1929" t="n"/>
      <c r="W11" s="1929" t="n"/>
      <c r="X11" s="1929" t="n"/>
      <c r="Y11" s="742" t="n"/>
      <c r="Z11" s="742" t="n"/>
      <c r="AA11" s="726" t="n"/>
      <c r="AB11" s="1917" t="n"/>
      <c r="AC11" s="1917" t="n"/>
      <c r="AD11" s="1917" t="n"/>
      <c r="AE11" s="1917" t="n"/>
      <c r="AF11" s="1917" t="n"/>
      <c r="AG11" s="1917" t="n"/>
      <c r="AH11" s="1917" t="n"/>
      <c r="AI11" s="1917" t="n"/>
      <c r="AJ11" s="1917" t="n"/>
      <c r="AK11" s="1917" t="n"/>
      <c r="AL11" s="1917" t="n"/>
      <c r="AM11" s="1917" t="n"/>
      <c r="AN11" s="1917" t="n"/>
      <c r="AO11" s="726" t="n"/>
      <c r="AP11" s="726" t="n"/>
      <c r="AQ11" s="726" t="n"/>
      <c r="AR11" s="726" t="n"/>
      <c r="AS11" s="726" t="n"/>
      <c r="AT11" s="726" t="n"/>
      <c r="AU11" s="726" t="n"/>
      <c r="AV11" s="726" t="n"/>
      <c r="AW11" s="726" t="n"/>
      <c r="AX11" s="726" t="n"/>
      <c r="AY11" s="726" t="n"/>
      <c r="AZ11" s="726" t="n"/>
      <c r="BA11" s="726" t="n"/>
      <c r="BB11" s="726" t="n"/>
      <c r="BC11" s="726" t="n"/>
      <c r="BD11" s="726" t="n"/>
      <c r="BE11" s="726" t="n"/>
      <c r="BF11" s="726" t="n"/>
      <c r="BG11" s="726" t="n"/>
      <c r="BH11" s="726" t="n"/>
      <c r="BI11" s="726" t="n"/>
      <c r="BJ11" s="726" t="n"/>
      <c r="BK11" s="726" t="n"/>
      <c r="BL11" s="726" t="n"/>
      <c r="BM11" s="1917" t="n"/>
      <c r="BN11" s="1917" t="n"/>
      <c r="BO11" s="1917" t="n"/>
      <c r="BP11" s="1917" t="n"/>
      <c r="BQ11" s="1917" t="n"/>
      <c r="BR11" s="1917" t="n"/>
      <c r="BS11" s="1917" t="n"/>
      <c r="BT11" s="1917" t="n"/>
      <c r="BU11" s="1917" t="n"/>
      <c r="BV11" s="1917" t="n"/>
      <c r="BW11" s="1917" t="n"/>
      <c r="BX11" s="1917" t="n"/>
      <c r="BY11" s="1917" t="n"/>
      <c r="BZ11" s="1917" t="n"/>
      <c r="CA11" s="1917" t="n"/>
      <c r="CB11" s="1917" t="n"/>
      <c r="CC11" s="1917" t="n"/>
      <c r="CD11" s="1917" t="n"/>
      <c r="CE11" s="1917" t="n"/>
      <c r="CF11" s="1917" t="n"/>
      <c r="CG11" s="1917" t="n"/>
      <c r="CH11" s="1917" t="n"/>
      <c r="CI11" s="1917" t="n"/>
      <c r="CJ11" s="1917" t="n"/>
      <c r="CK11" s="1917" t="n"/>
      <c r="CL11" s="1917" t="n"/>
      <c r="CM11" s="1917" t="n"/>
      <c r="CN11" s="1917" t="n"/>
      <c r="CO11" s="1917" t="n"/>
      <c r="CP11" s="1917" t="n"/>
      <c r="CQ11" s="1917" t="n"/>
      <c r="CR11" s="1917" t="n"/>
      <c r="CS11" s="1917" t="n"/>
      <c r="CT11" s="1917" t="n"/>
      <c r="CU11" s="1917" t="n"/>
      <c r="CV11" s="1917" t="n"/>
      <c r="CW11" s="1917" t="n"/>
      <c r="CX11" s="1917" t="n"/>
      <c r="CY11" s="1917" t="n"/>
      <c r="CZ11" s="1917" t="n"/>
      <c r="DA11" s="1917" t="n"/>
      <c r="DB11" s="1917" t="n"/>
      <c r="DC11" s="1917" t="n"/>
      <c r="DD11" s="1917" t="n"/>
      <c r="DE11" s="1917" t="n"/>
      <c r="DF11" s="1917" t="n"/>
    </row>
    <row r="12" ht="3" customHeight="1" s="1883">
      <c r="B12" s="726" t="n"/>
      <c r="C12" s="726" t="n"/>
      <c r="D12" s="726" t="n"/>
      <c r="E12" s="726" t="n"/>
      <c r="F12" s="726" t="n"/>
      <c r="G12" s="726" t="n"/>
      <c r="H12" s="726" t="n"/>
      <c r="I12" s="726" t="n"/>
      <c r="J12" s="726" t="n"/>
      <c r="K12" s="726" t="n"/>
      <c r="L12" s="726" t="n"/>
      <c r="M12" s="726" t="n"/>
      <c r="N12" s="726" t="n"/>
      <c r="O12" s="726" t="n"/>
      <c r="P12" s="726" t="n"/>
      <c r="Q12" s="726" t="n"/>
      <c r="R12" s="726" t="n"/>
      <c r="S12" s="742" t="n"/>
      <c r="T12" s="742" t="n"/>
      <c r="U12" s="742" t="n"/>
      <c r="V12" s="742" t="n"/>
      <c r="W12" s="742" t="n"/>
      <c r="X12" s="742" t="n"/>
      <c r="Y12" s="742" t="n"/>
      <c r="Z12" s="742" t="n"/>
      <c r="AA12" s="726" t="n"/>
      <c r="AB12" s="1917" t="n"/>
      <c r="AC12" s="1917" t="n"/>
      <c r="AD12" s="1917" t="n"/>
      <c r="AE12" s="1917" t="n"/>
      <c r="AF12" s="1917" t="n"/>
      <c r="AG12" s="1917" t="n"/>
      <c r="AH12" s="1917" t="n"/>
      <c r="AI12" s="1917" t="n"/>
      <c r="AJ12" s="1917" t="n"/>
      <c r="AK12" s="1917" t="n"/>
      <c r="AL12" s="1917" t="n"/>
      <c r="AM12" s="1917" t="n"/>
      <c r="AN12" s="1917" t="n"/>
      <c r="AO12" s="726" t="n"/>
      <c r="AP12" s="726" t="n"/>
      <c r="AQ12" s="726" t="n"/>
      <c r="AR12" s="726" t="n"/>
      <c r="AS12" s="726" t="n"/>
      <c r="AT12" s="726" t="n"/>
      <c r="AU12" s="726" t="n"/>
      <c r="AV12" s="726" t="n"/>
      <c r="AW12" s="726" t="n"/>
      <c r="AX12" s="726" t="n"/>
      <c r="AY12" s="726" t="n"/>
      <c r="AZ12" s="726" t="n"/>
      <c r="BA12" s="726" t="n"/>
      <c r="BB12" s="726" t="n"/>
      <c r="BC12" s="726" t="n"/>
      <c r="BD12" s="726" t="n"/>
      <c r="BE12" s="726" t="n"/>
      <c r="BF12" s="726" t="n"/>
      <c r="BG12" s="726" t="n"/>
      <c r="BH12" s="726" t="n"/>
      <c r="BI12" s="726" t="n"/>
      <c r="BJ12" s="726" t="n"/>
      <c r="BK12" s="726" t="n"/>
      <c r="BL12" s="726" t="n"/>
      <c r="BM12" s="1917" t="n"/>
      <c r="BN12" s="1917" t="n"/>
      <c r="BO12" s="1917" t="n"/>
      <c r="BP12" s="1917" t="n"/>
      <c r="BQ12" s="1917" t="n"/>
      <c r="BR12" s="1917" t="n"/>
      <c r="BS12" s="1917" t="n"/>
      <c r="BT12" s="1917" t="n"/>
      <c r="BU12" s="1917" t="n"/>
      <c r="BV12" s="1917" t="n"/>
      <c r="BW12" s="1917" t="n"/>
      <c r="BX12" s="1917" t="n"/>
      <c r="BY12" s="1917" t="n"/>
      <c r="BZ12" s="1917" t="n"/>
      <c r="CA12" s="1917" t="n"/>
      <c r="CB12" s="1917" t="n"/>
      <c r="CC12" s="1917" t="n"/>
      <c r="CD12" s="1917" t="n"/>
      <c r="CE12" s="1917" t="n"/>
      <c r="CF12" s="1917" t="n"/>
      <c r="CG12" s="1917" t="n"/>
      <c r="CH12" s="1917" t="n"/>
      <c r="CI12" s="1917" t="n"/>
      <c r="CJ12" s="1917" t="n"/>
      <c r="CK12" s="1917" t="n"/>
      <c r="CL12" s="1917" t="n"/>
      <c r="CM12" s="1917" t="n"/>
      <c r="CN12" s="1917" t="n"/>
      <c r="CO12" s="1917" t="n"/>
      <c r="CP12" s="1917" t="n"/>
      <c r="CQ12" s="1917" t="n"/>
      <c r="CR12" s="1917" t="n"/>
      <c r="CS12" s="1917" t="n"/>
      <c r="CT12" s="1917" t="n"/>
      <c r="CU12" s="1917" t="n"/>
      <c r="CV12" s="1917" t="n"/>
      <c r="CW12" s="1917" t="n"/>
      <c r="CX12" s="1917" t="n"/>
      <c r="CY12" s="1917" t="n"/>
      <c r="CZ12" s="1917" t="n"/>
      <c r="DA12" s="1917" t="n"/>
      <c r="DB12" s="1917" t="n"/>
      <c r="DC12" s="1917" t="n"/>
      <c r="DD12" s="1917" t="n"/>
      <c r="DE12" s="1917" t="n"/>
      <c r="DF12" s="1917" t="n"/>
    </row>
    <row r="13" ht="3" customHeight="1" s="1883">
      <c r="B13" s="726" t="n"/>
      <c r="C13" s="726" t="n"/>
      <c r="D13" s="726" t="n"/>
      <c r="E13" s="726" t="n"/>
      <c r="F13" s="726" t="n"/>
      <c r="G13" s="726" t="n"/>
      <c r="H13" s="726" t="n"/>
      <c r="I13" s="726" t="n"/>
      <c r="J13" s="726" t="n"/>
      <c r="K13" s="726" t="n"/>
      <c r="L13" s="726" t="n"/>
      <c r="M13" s="726" t="n"/>
      <c r="N13" s="726" t="n"/>
      <c r="O13" s="726" t="n"/>
      <c r="P13" s="726" t="n"/>
      <c r="Q13" s="726" t="n"/>
      <c r="R13" s="726" t="n"/>
      <c r="S13" s="742" t="n"/>
      <c r="T13" s="742" t="n"/>
      <c r="U13" s="742" t="n"/>
      <c r="V13" s="742" t="n"/>
      <c r="W13" s="742" t="n"/>
      <c r="X13" s="742" t="n"/>
      <c r="Y13" s="742" t="n"/>
      <c r="Z13" s="742" t="n"/>
      <c r="AA13" s="726" t="n"/>
      <c r="AB13" s="1917" t="n"/>
      <c r="AC13" s="1917" t="n"/>
      <c r="AD13" s="1917" t="n"/>
      <c r="AE13" s="1917" t="n"/>
      <c r="AF13" s="1917" t="n"/>
      <c r="AG13" s="1917" t="n"/>
      <c r="AH13" s="1917" t="n"/>
      <c r="AI13" s="1917" t="n"/>
      <c r="AJ13" s="1917" t="n"/>
      <c r="AK13" s="1917" t="n"/>
      <c r="AL13" s="1917" t="n"/>
      <c r="AM13" s="1917" t="n"/>
      <c r="AN13" s="1917" t="n"/>
      <c r="AO13" s="726" t="n"/>
      <c r="AP13" s="726" t="n"/>
      <c r="AQ13" s="726" t="n"/>
      <c r="AR13" s="726" t="n"/>
      <c r="AS13" s="726" t="n"/>
      <c r="AT13" s="726" t="n"/>
      <c r="AU13" s="726" t="n"/>
      <c r="AV13" s="726" t="n"/>
      <c r="AW13" s="726" t="n"/>
      <c r="AX13" s="726" t="n"/>
      <c r="AY13" s="726" t="n"/>
      <c r="AZ13" s="726" t="n"/>
      <c r="BA13" s="726" t="n"/>
      <c r="BB13" s="726" t="n"/>
      <c r="BC13" s="726" t="n"/>
      <c r="BD13" s="726" t="n"/>
      <c r="BE13" s="726" t="n"/>
      <c r="BF13" s="726" t="n"/>
      <c r="BG13" s="726" t="n"/>
      <c r="BH13" s="726" t="n"/>
      <c r="BI13" s="726" t="n"/>
      <c r="BJ13" s="726" t="n"/>
      <c r="BK13" s="726" t="n"/>
      <c r="BL13" s="726" t="n"/>
      <c r="BM13" s="1917" t="n"/>
      <c r="BN13" s="1917" t="n"/>
      <c r="BO13" s="1917" t="n"/>
      <c r="BP13" s="1917" t="n"/>
      <c r="BQ13" s="1917" t="n"/>
      <c r="BR13" s="1917" t="n"/>
      <c r="BS13" s="1917" t="n"/>
      <c r="BT13" s="1917" t="n"/>
      <c r="BU13" s="1917" t="n"/>
      <c r="BV13" s="1917" t="n"/>
      <c r="BW13" s="1917" t="n"/>
      <c r="BX13" s="1917" t="n"/>
      <c r="BY13" s="1917" t="n"/>
      <c r="BZ13" s="1917" t="n"/>
      <c r="CA13" s="1917" t="n"/>
      <c r="CB13" s="1917" t="n"/>
      <c r="CC13" s="1917" t="n"/>
      <c r="CD13" s="1917" t="n"/>
      <c r="CE13" s="1917" t="n"/>
      <c r="CF13" s="1917" t="n"/>
      <c r="CG13" s="1917" t="n"/>
      <c r="CH13" s="1917" t="n"/>
      <c r="CI13" s="1917" t="n"/>
      <c r="CJ13" s="1917" t="n"/>
      <c r="CK13" s="1917" t="n"/>
      <c r="CL13" s="1917" t="n"/>
      <c r="CM13" s="1917" t="n"/>
      <c r="CN13" s="1917" t="n"/>
      <c r="CO13" s="1917" t="n"/>
      <c r="CP13" s="1917" t="n"/>
      <c r="CQ13" s="1917" t="n"/>
      <c r="CR13" s="1917" t="n"/>
      <c r="CS13" s="1917" t="n"/>
      <c r="CT13" s="1917" t="n"/>
      <c r="CU13" s="1917" t="n"/>
      <c r="CV13" s="1917" t="n"/>
      <c r="CW13" s="1917" t="n"/>
      <c r="CX13" s="1917" t="n"/>
      <c r="CY13" s="1917" t="n"/>
      <c r="CZ13" s="1917" t="n"/>
      <c r="DA13" s="1917" t="n"/>
      <c r="DB13" s="1917" t="n"/>
      <c r="DC13" s="1917" t="n"/>
      <c r="DD13" s="1917" t="n"/>
      <c r="DE13" s="1917" t="n"/>
      <c r="DF13" s="1917" t="n"/>
    </row>
    <row r="14" ht="14" customHeight="1" s="1883">
      <c r="B14" s="726" t="n"/>
      <c r="C14" s="726" t="n"/>
      <c r="D14" s="726" t="n"/>
      <c r="E14" s="726" t="n"/>
      <c r="F14" s="726" t="n"/>
      <c r="G14" s="726" t="n"/>
      <c r="H14" s="726" t="n"/>
      <c r="I14" s="726" t="n"/>
      <c r="J14" s="726" t="n"/>
      <c r="K14" s="726" t="n"/>
      <c r="L14" s="726" t="n"/>
      <c r="M14" s="726" t="n"/>
      <c r="N14" s="726" t="n"/>
      <c r="O14" s="726" t="n"/>
      <c r="P14" s="726" t="n"/>
      <c r="Q14" s="726" t="n"/>
      <c r="R14" s="726" t="n"/>
      <c r="S14" s="1884" t="n"/>
      <c r="T14" s="1884" t="n"/>
      <c r="U14" s="771" t="n"/>
      <c r="V14" s="771" t="n"/>
      <c r="W14" s="771" t="n"/>
      <c r="X14" s="771" t="n"/>
      <c r="Y14" s="742" t="n"/>
      <c r="Z14" s="766" t="n"/>
      <c r="AA14" s="702" t="n"/>
      <c r="AB14" s="1917" t="n"/>
      <c r="AC14" s="1917" t="n"/>
      <c r="AD14" s="1917" t="n"/>
      <c r="AE14" s="1917" t="n"/>
      <c r="AF14" s="1917" t="n"/>
      <c r="AG14" s="1917" t="n"/>
      <c r="AH14" s="1917" t="n"/>
      <c r="AI14" s="1917" t="n"/>
      <c r="AJ14" s="1917" t="n"/>
      <c r="AK14" s="1917" t="n"/>
      <c r="AL14" s="1917" t="n"/>
      <c r="AM14" s="1917" t="n"/>
      <c r="AN14" s="1917" t="n"/>
      <c r="AO14" s="702" t="n"/>
      <c r="AP14" s="702" t="n"/>
      <c r="AQ14" s="702" t="n"/>
      <c r="AR14" s="702" t="n"/>
      <c r="AS14" s="702" t="n"/>
      <c r="AT14" s="702" t="n"/>
      <c r="AU14" s="702" t="n"/>
      <c r="AV14" s="702" t="n"/>
      <c r="AW14" s="702" t="n"/>
      <c r="AX14" s="702" t="n"/>
      <c r="AY14" s="702" t="n"/>
      <c r="AZ14" s="702" t="n"/>
      <c r="BA14" s="702" t="n"/>
      <c r="BB14" s="702" t="n"/>
      <c r="BC14" s="702" t="n"/>
      <c r="BD14" s="702" t="n"/>
      <c r="BE14" s="702" t="n"/>
      <c r="BF14" s="702" t="n"/>
      <c r="BG14" s="702" t="n"/>
      <c r="BH14" s="702" t="n"/>
      <c r="BI14" s="702" t="n"/>
      <c r="BJ14" s="702" t="n"/>
      <c r="BK14" s="702" t="n"/>
      <c r="BL14" s="702" t="n"/>
      <c r="BM14" s="713" t="n"/>
      <c r="BN14" s="713" t="n"/>
      <c r="BO14" s="713" t="n"/>
      <c r="BP14" s="713" t="n"/>
      <c r="BQ14" s="713" t="n"/>
      <c r="BR14" s="713" t="n"/>
      <c r="BS14" s="713" t="n"/>
      <c r="BT14" s="713" t="n"/>
      <c r="BU14" s="713" t="n"/>
      <c r="BV14" s="713" t="n"/>
      <c r="BW14" s="713" t="n"/>
      <c r="BX14" s="713" t="n"/>
      <c r="BY14" s="713" t="n"/>
      <c r="BZ14" s="713" t="n"/>
      <c r="CA14" s="713" t="n"/>
      <c r="CB14" s="713" t="n"/>
      <c r="CC14" s="713" t="n"/>
      <c r="CD14" s="713" t="n"/>
      <c r="CE14" s="713" t="n"/>
      <c r="CF14" s="713" t="n"/>
      <c r="CG14" s="713" t="n"/>
      <c r="CH14" s="713" t="n"/>
      <c r="CI14" s="713" t="n"/>
      <c r="CJ14" s="1917" t="n"/>
      <c r="CK14" s="1917" t="n"/>
      <c r="CL14" s="1917" t="n"/>
      <c r="CM14" s="1917" t="n"/>
      <c r="CN14" s="1917" t="n"/>
      <c r="CO14" s="1917" t="n"/>
      <c r="CP14" s="1917" t="n"/>
      <c r="CQ14" s="1917" t="n"/>
      <c r="CR14" s="1917" t="n"/>
      <c r="CS14" s="1917" t="n"/>
      <c r="CT14" s="1917" t="n"/>
      <c r="CU14" s="1917" t="n"/>
      <c r="CV14" s="1917" t="n"/>
      <c r="CW14" s="1917" t="n"/>
      <c r="CX14" s="1917" t="n"/>
      <c r="CY14" s="1917" t="n"/>
      <c r="CZ14" s="1917" t="n"/>
      <c r="DA14" s="1917" t="n"/>
      <c r="DB14" s="1917" t="n"/>
      <c r="DC14" s="1917" t="n"/>
      <c r="DD14" s="1917" t="n"/>
      <c r="DE14" s="1917" t="n"/>
      <c r="DF14" s="1917" t="n"/>
    </row>
    <row r="15" ht="14" customHeight="1" s="1883">
      <c r="B15" s="732" t="inlineStr">
        <is>
          <t>I.</t>
        </is>
      </c>
      <c r="C15" s="726" t="n"/>
      <c r="D15" s="733" t="inlineStr">
        <is>
          <t>Administration and Support - Headcount</t>
        </is>
      </c>
      <c r="E15" s="726" t="n"/>
      <c r="F15" s="726" t="n"/>
      <c r="G15" s="726" t="n"/>
      <c r="H15" s="726" t="n"/>
      <c r="I15" s="726" t="n"/>
      <c r="J15" s="726" t="n"/>
      <c r="K15" s="726" t="n"/>
      <c r="L15" s="1929" t="n"/>
      <c r="R15" s="726" t="n"/>
      <c r="S15" s="1929" t="n"/>
      <c r="Y15" s="742" t="n"/>
      <c r="Z15" s="766" t="n"/>
      <c r="AA15" s="702" t="n"/>
      <c r="AB15" s="702" t="n"/>
      <c r="AC15" s="702" t="n"/>
      <c r="AD15" s="702" t="n"/>
      <c r="AE15" s="1935" t="inlineStr">
        <is>
          <t>Pre-Launch: Months -12 through -1</t>
        </is>
      </c>
      <c r="AO15" s="702" t="n"/>
      <c r="AP15" s="1929" t="inlineStr">
        <is>
          <t xml:space="preserve">Post-Launch, Year 1: Months 1 - 12 </t>
        </is>
      </c>
      <c r="BC15" s="726" t="n"/>
      <c r="BD15" s="1929" t="inlineStr">
        <is>
          <t>Post-Launch, Year 2: Months 13 - 24</t>
        </is>
      </c>
      <c r="BQ15" s="1917" t="n"/>
      <c r="BR15" s="1929" t="inlineStr">
        <is>
          <t>Post-Launch, Year 3: Months 25 - 36</t>
        </is>
      </c>
      <c r="CE15" s="1917" t="n"/>
      <c r="CF15" s="1929" t="inlineStr">
        <is>
          <t>Post-Launch, Year 4: Months 37 - 48</t>
        </is>
      </c>
      <c r="CS15" s="1917" t="n"/>
      <c r="CT15" s="1929" t="inlineStr">
        <is>
          <t>Post-Launch, Year 5: Months 49 - 60</t>
        </is>
      </c>
    </row>
    <row r="18" ht="14" customHeight="1" s="1883">
      <c r="D18" s="726" t="n"/>
      <c r="E18" s="726" t="n"/>
      <c r="F18" s="726" t="n"/>
      <c r="G18" s="726" t="n"/>
      <c r="H18" s="726" t="n"/>
      <c r="I18" s="726" t="n"/>
      <c r="J18" s="728" t="inlineStr">
        <is>
          <t>Position</t>
        </is>
      </c>
      <c r="K18" s="726" t="n"/>
      <c r="L18" s="776" t="n"/>
      <c r="M18" s="776" t="n"/>
      <c r="N18" s="776" t="n"/>
      <c r="O18" s="776" t="n"/>
      <c r="P18" s="776" t="n"/>
      <c r="Q18" s="776" t="n"/>
      <c r="R18" s="778" t="n"/>
      <c r="S18" s="779" t="n"/>
      <c r="T18" s="779" t="n"/>
      <c r="U18" s="779" t="n"/>
      <c r="V18" s="779" t="n"/>
      <c r="W18" s="779" t="n"/>
      <c r="X18" s="779" t="n"/>
      <c r="Y18" s="776" t="n"/>
      <c r="Z18" s="777" t="n"/>
      <c r="AA18" s="702" t="n"/>
      <c r="AB18" s="804" t="n"/>
      <c r="AC18" s="804" t="n"/>
      <c r="AD18" s="804" t="n"/>
      <c r="AE18" s="804" t="n"/>
      <c r="AF18" s="804" t="n"/>
      <c r="AG18" s="804" t="n"/>
      <c r="AH18" s="804" t="n"/>
      <c r="AI18" s="804" t="n"/>
      <c r="AJ18" s="804" t="n"/>
      <c r="AK18" s="804" t="n"/>
      <c r="AL18" s="804" t="n"/>
      <c r="AM18" s="804" t="n"/>
      <c r="AN18" s="812" t="inlineStr">
        <is>
          <t>∑ Headcount</t>
        </is>
      </c>
      <c r="AO18" s="702" t="n"/>
      <c r="AP18" s="726" t="n"/>
      <c r="AQ18" s="726" t="n"/>
      <c r="AR18" s="726" t="n"/>
      <c r="AS18" s="726" t="n"/>
      <c r="AT18" s="726" t="n"/>
      <c r="AU18" s="726" t="n"/>
      <c r="AV18" s="726" t="n"/>
      <c r="AW18" s="726" t="n"/>
      <c r="AX18" s="726" t="n"/>
      <c r="AY18" s="726" t="n"/>
      <c r="AZ18" s="726" t="n"/>
      <c r="BA18" s="726" t="n"/>
      <c r="BB18" s="62" t="inlineStr">
        <is>
          <t>∑ Headcount</t>
        </is>
      </c>
      <c r="BC18" s="726" t="n"/>
      <c r="BD18" s="726" t="n"/>
      <c r="BE18" s="726" t="n"/>
      <c r="BF18" s="726" t="n"/>
      <c r="BG18" s="726" t="n"/>
      <c r="BH18" s="726" t="n"/>
      <c r="BI18" s="726" t="n"/>
      <c r="BJ18" s="726" t="n"/>
      <c r="BK18" s="726" t="n"/>
      <c r="BL18" s="726" t="n"/>
      <c r="BM18" s="726" t="n"/>
      <c r="BN18" s="726" t="n"/>
      <c r="BO18" s="726" t="n"/>
      <c r="BP18" s="62" t="inlineStr">
        <is>
          <t>∑ Headcount</t>
        </is>
      </c>
      <c r="BQ18" s="1917" t="n"/>
      <c r="BR18" s="726" t="n"/>
      <c r="BS18" s="726" t="n"/>
      <c r="BT18" s="726" t="n"/>
      <c r="BU18" s="726" t="n"/>
      <c r="BV18" s="726" t="n"/>
      <c r="BW18" s="726" t="n"/>
      <c r="BX18" s="726" t="n"/>
      <c r="BY18" s="726" t="n"/>
      <c r="BZ18" s="726" t="n"/>
      <c r="CA18" s="726" t="n"/>
      <c r="CB18" s="726" t="n"/>
      <c r="CC18" s="726" t="n"/>
      <c r="CD18" s="62" t="inlineStr">
        <is>
          <t>∑ Headcount</t>
        </is>
      </c>
      <c r="CE18" s="1917" t="n"/>
      <c r="CF18" s="726" t="n"/>
      <c r="CG18" s="726" t="n"/>
      <c r="CH18" s="726" t="n"/>
      <c r="CI18" s="726" t="n"/>
      <c r="CJ18" s="726" t="n"/>
      <c r="CK18" s="726" t="n"/>
      <c r="CL18" s="726" t="n"/>
      <c r="CM18" s="726" t="n"/>
      <c r="CN18" s="726" t="n"/>
      <c r="CO18" s="726" t="n"/>
      <c r="CP18" s="726" t="n"/>
      <c r="CQ18" s="726" t="n"/>
      <c r="CR18" s="62" t="inlineStr">
        <is>
          <t>∑ Headcount</t>
        </is>
      </c>
      <c r="CS18" s="1917" t="n"/>
      <c r="CT18" s="726" t="n"/>
      <c r="CU18" s="726" t="n"/>
      <c r="CV18" s="726" t="n"/>
      <c r="CW18" s="726" t="n"/>
      <c r="CX18" s="726" t="n"/>
      <c r="CY18" s="726" t="n"/>
      <c r="CZ18" s="726" t="n"/>
      <c r="DA18" s="726" t="n"/>
      <c r="DB18" s="726" t="n"/>
      <c r="DC18" s="726" t="n"/>
      <c r="DD18" s="726" t="n"/>
      <c r="DE18" s="726" t="n"/>
      <c r="DF18" s="62" t="inlineStr">
        <is>
          <t>∑ Headcount</t>
        </is>
      </c>
    </row>
    <row r="19" ht="14" customHeight="1" s="1883">
      <c r="D19" s="733" t="inlineStr">
        <is>
          <t xml:space="preserve">Employee Name </t>
        </is>
      </c>
      <c r="E19" s="726" t="n"/>
      <c r="F19" s="726" t="n"/>
      <c r="G19" s="726" t="n"/>
      <c r="H19" s="726" t="n"/>
      <c r="I19" s="733" t="inlineStr">
        <is>
          <t>Position</t>
        </is>
      </c>
      <c r="J19" s="728" t="inlineStr">
        <is>
          <t>Location</t>
        </is>
      </c>
      <c r="K19" s="726" t="n"/>
      <c r="L19" s="779" t="n"/>
      <c r="M19" s="779" t="n"/>
      <c r="N19" s="779" t="n"/>
      <c r="O19" s="779" t="n"/>
      <c r="P19" s="779" t="n"/>
      <c r="Q19" s="779" t="n"/>
      <c r="R19" s="778" t="n"/>
      <c r="S19" s="779" t="n"/>
      <c r="T19" s="779" t="n"/>
      <c r="U19" s="779" t="n"/>
      <c r="V19" s="779" t="n"/>
      <c r="W19" s="779" t="n"/>
      <c r="X19" s="779" t="n"/>
      <c r="Y19" s="776" t="n"/>
      <c r="Z19" s="777" t="n"/>
      <c r="AA19" s="702" t="n"/>
      <c r="AB19" s="813" t="n">
        <v>-12</v>
      </c>
      <c r="AC19" s="813" t="n">
        <v>-11</v>
      </c>
      <c r="AD19" s="813" t="n">
        <v>-10</v>
      </c>
      <c r="AE19" s="813" t="n">
        <v>-9</v>
      </c>
      <c r="AF19" s="813">
        <f>((AE19)+(1))</f>
        <v/>
      </c>
      <c r="AG19" s="813">
        <f>((AF19)+(1))</f>
        <v/>
      </c>
      <c r="AH19" s="813">
        <f>((AG19)+(1))</f>
        <v/>
      </c>
      <c r="AI19" s="813">
        <f>((AH19)+(1))</f>
        <v/>
      </c>
      <c r="AJ19" s="813">
        <f>((AI19)+(1))</f>
        <v/>
      </c>
      <c r="AK19" s="813">
        <f>((AJ19)+(1))</f>
        <v/>
      </c>
      <c r="AL19" s="813">
        <f>((AK19)+(1))</f>
        <v/>
      </c>
      <c r="AM19" s="813">
        <f>((AL19)+(1))</f>
        <v/>
      </c>
      <c r="AN19" s="813" t="inlineStr">
        <is>
          <t>Month -1</t>
        </is>
      </c>
      <c r="AO19" s="702" t="n"/>
      <c r="AP19" s="728" t="n">
        <v>1</v>
      </c>
      <c r="AQ19" s="728">
        <f>((AP19)+(1))</f>
        <v/>
      </c>
      <c r="AR19" s="728">
        <f>((AQ19)+(1))</f>
        <v/>
      </c>
      <c r="AS19" s="728">
        <f>((AR19)+(1))</f>
        <v/>
      </c>
      <c r="AT19" s="728">
        <f>((AS19)+(1))</f>
        <v/>
      </c>
      <c r="AU19" s="728">
        <f>((AT19)+(1))</f>
        <v/>
      </c>
      <c r="AV19" s="728">
        <f>((AU19)+(1))</f>
        <v/>
      </c>
      <c r="AW19" s="728">
        <f>((AV19)+(1))</f>
        <v/>
      </c>
      <c r="AX19" s="728">
        <f>((AW19)+(1))</f>
        <v/>
      </c>
      <c r="AY19" s="728">
        <f>((AX19)+(1))</f>
        <v/>
      </c>
      <c r="AZ19" s="728">
        <f>((AY19)+(1))</f>
        <v/>
      </c>
      <c r="BA19" s="728">
        <f>((AZ19)+(1))</f>
        <v/>
      </c>
      <c r="BB19" s="728" t="inlineStr">
        <is>
          <t>Month 12</t>
        </is>
      </c>
      <c r="BC19" s="726" t="n"/>
      <c r="BD19" s="728" t="n">
        <v>13</v>
      </c>
      <c r="BE19" s="728">
        <f>((BD19)+(1))</f>
        <v/>
      </c>
      <c r="BF19" s="728">
        <f>((BE19)+(1))</f>
        <v/>
      </c>
      <c r="BG19" s="728">
        <f>((BF19)+(1))</f>
        <v/>
      </c>
      <c r="BH19" s="728">
        <f>((BG19)+(1))</f>
        <v/>
      </c>
      <c r="BI19" s="728">
        <f>((BH19)+(1))</f>
        <v/>
      </c>
      <c r="BJ19" s="728">
        <f>((BI19)+(1))</f>
        <v/>
      </c>
      <c r="BK19" s="728">
        <f>((BJ19)+(1))</f>
        <v/>
      </c>
      <c r="BL19" s="728">
        <f>((BK19)+(1))</f>
        <v/>
      </c>
      <c r="BM19" s="728">
        <f>((BL19)+(1))</f>
        <v/>
      </c>
      <c r="BN19" s="728">
        <f>((BM19)+(1))</f>
        <v/>
      </c>
      <c r="BO19" s="728">
        <f>((BN19)+(1))</f>
        <v/>
      </c>
      <c r="BP19" s="728" t="inlineStr">
        <is>
          <t>Month 24</t>
        </is>
      </c>
      <c r="BQ19" s="1917" t="n"/>
      <c r="BR19" s="728" t="n">
        <v>25</v>
      </c>
      <c r="BS19" s="728">
        <f>((BR19)+(1))</f>
        <v/>
      </c>
      <c r="BT19" s="728">
        <f>((BS19)+(1))</f>
        <v/>
      </c>
      <c r="BU19" s="728">
        <f>((BT19)+(1))</f>
        <v/>
      </c>
      <c r="BV19" s="728">
        <f>((BU19)+(1))</f>
        <v/>
      </c>
      <c r="BW19" s="728">
        <f>((BV19)+(1))</f>
        <v/>
      </c>
      <c r="BX19" s="728">
        <f>((BW19)+(1))</f>
        <v/>
      </c>
      <c r="BY19" s="728">
        <f>((BX19)+(1))</f>
        <v/>
      </c>
      <c r="BZ19" s="728">
        <f>((BY19)+(1))</f>
        <v/>
      </c>
      <c r="CA19" s="728">
        <f>((BZ19)+(1))</f>
        <v/>
      </c>
      <c r="CB19" s="728">
        <f>((CA19)+(1))</f>
        <v/>
      </c>
      <c r="CC19" s="728">
        <f>((CB19)+(1))</f>
        <v/>
      </c>
      <c r="CD19" s="728" t="inlineStr">
        <is>
          <t>Month 36</t>
        </is>
      </c>
      <c r="CE19" s="1917" t="n"/>
      <c r="CF19" s="728" t="n">
        <v>37</v>
      </c>
      <c r="CG19" s="728">
        <f>((CF19)+(1))</f>
        <v/>
      </c>
      <c r="CH19" s="728">
        <f>((CG19)+(1))</f>
        <v/>
      </c>
      <c r="CI19" s="728">
        <f>((CH19)+(1))</f>
        <v/>
      </c>
      <c r="CJ19" s="728">
        <f>((CI19)+(1))</f>
        <v/>
      </c>
      <c r="CK19" s="728">
        <f>((CJ19)+(1))</f>
        <v/>
      </c>
      <c r="CL19" s="728">
        <f>((CK19)+(1))</f>
        <v/>
      </c>
      <c r="CM19" s="728">
        <f>((CL19)+(1))</f>
        <v/>
      </c>
      <c r="CN19" s="728">
        <f>((CM19)+(1))</f>
        <v/>
      </c>
      <c r="CO19" s="728">
        <f>((CN19)+(1))</f>
        <v/>
      </c>
      <c r="CP19" s="728">
        <f>((CO19)+(1))</f>
        <v/>
      </c>
      <c r="CQ19" s="728">
        <f>((CP19)+(1))</f>
        <v/>
      </c>
      <c r="CR19" s="728" t="inlineStr">
        <is>
          <t>Month 48</t>
        </is>
      </c>
      <c r="CS19" s="1917" t="n"/>
      <c r="CT19" s="728" t="n">
        <v>49</v>
      </c>
      <c r="CU19" s="728">
        <f>((CT19)+(1))</f>
        <v/>
      </c>
      <c r="CV19" s="728">
        <f>((CU19)+(1))</f>
        <v/>
      </c>
      <c r="CW19" s="728">
        <f>((CV19)+(1))</f>
        <v/>
      </c>
      <c r="CX19" s="728">
        <f>((CW19)+(1))</f>
        <v/>
      </c>
      <c r="CY19" s="728">
        <f>((CX19)+(1))</f>
        <v/>
      </c>
      <c r="CZ19" s="728">
        <f>((CY19)+(1))</f>
        <v/>
      </c>
      <c r="DA19" s="728">
        <f>((CZ19)+(1))</f>
        <v/>
      </c>
      <c r="DB19" s="728">
        <f>((DA19)+(1))</f>
        <v/>
      </c>
      <c r="DC19" s="728">
        <f>((DB19)+(1))</f>
        <v/>
      </c>
      <c r="DD19" s="728">
        <f>((DC19)+(1))</f>
        <v/>
      </c>
      <c r="DE19" s="728">
        <f>((DD19)+(1))</f>
        <v/>
      </c>
      <c r="DF19" s="728" t="inlineStr">
        <is>
          <t>Month 60</t>
        </is>
      </c>
    </row>
    <row r="20" ht="3" customHeight="1" s="1883">
      <c r="D20" s="734" t="n"/>
      <c r="E20" s="734" t="n"/>
      <c r="F20" s="734" t="n"/>
      <c r="G20" s="734" t="n"/>
      <c r="H20" s="734" t="n"/>
      <c r="I20" s="734" t="n"/>
      <c r="J20" s="734" t="n"/>
      <c r="K20" s="726" t="n"/>
      <c r="L20" s="776" t="n"/>
      <c r="M20" s="776" t="n"/>
      <c r="N20" s="776" t="n"/>
      <c r="O20" s="776" t="n"/>
      <c r="P20" s="776" t="n"/>
      <c r="Q20" s="776" t="n"/>
      <c r="R20" s="778" t="n"/>
      <c r="S20" s="776" t="n"/>
      <c r="T20" s="777" t="n"/>
      <c r="U20" s="776" t="n"/>
      <c r="V20" s="776" t="n"/>
      <c r="W20" s="776" t="n"/>
      <c r="X20" s="776" t="n"/>
      <c r="Y20" s="776" t="n"/>
      <c r="Z20" s="777" t="n"/>
      <c r="AA20" s="702" t="n"/>
      <c r="AB20" s="734" t="n"/>
      <c r="AC20" s="734" t="n"/>
      <c r="AD20" s="734" t="n"/>
      <c r="AE20" s="734" t="n"/>
      <c r="AF20" s="734" t="n"/>
      <c r="AG20" s="734" t="n"/>
      <c r="AH20" s="734" t="n"/>
      <c r="AI20" s="734" t="n"/>
      <c r="AJ20" s="734" t="n"/>
      <c r="AK20" s="734" t="n"/>
      <c r="AL20" s="734" t="n"/>
      <c r="AM20" s="734" t="n"/>
      <c r="AN20" s="734" t="n"/>
      <c r="AO20" s="702" t="n"/>
      <c r="AP20" s="734" t="n"/>
      <c r="AQ20" s="734" t="n"/>
      <c r="AR20" s="734" t="n"/>
      <c r="AS20" s="734" t="n"/>
      <c r="AT20" s="734" t="n"/>
      <c r="AU20" s="734" t="n"/>
      <c r="AV20" s="734" t="n"/>
      <c r="AW20" s="734" t="n"/>
      <c r="AX20" s="734" t="n"/>
      <c r="AY20" s="734" t="n"/>
      <c r="AZ20" s="734" t="n"/>
      <c r="BA20" s="734" t="n"/>
      <c r="BB20" s="734" t="n"/>
      <c r="BC20" s="726" t="n"/>
      <c r="BD20" s="734" t="n"/>
      <c r="BE20" s="734" t="n"/>
      <c r="BF20" s="734" t="n"/>
      <c r="BG20" s="734" t="n"/>
      <c r="BH20" s="734" t="n"/>
      <c r="BI20" s="734" t="n"/>
      <c r="BJ20" s="734" t="n"/>
      <c r="BK20" s="734" t="n"/>
      <c r="BL20" s="734" t="n"/>
      <c r="BM20" s="734" t="n"/>
      <c r="BN20" s="734" t="n"/>
      <c r="BO20" s="734" t="n"/>
      <c r="BP20" s="734" t="n"/>
      <c r="BQ20" s="1917" t="n"/>
      <c r="BR20" s="734" t="n"/>
      <c r="BS20" s="734" t="n"/>
      <c r="BT20" s="734" t="n"/>
      <c r="BU20" s="734" t="n"/>
      <c r="BV20" s="734" t="n"/>
      <c r="BW20" s="734" t="n"/>
      <c r="BX20" s="734" t="n"/>
      <c r="BY20" s="734" t="n"/>
      <c r="BZ20" s="734" t="n"/>
      <c r="CA20" s="734" t="n"/>
      <c r="CB20" s="734" t="n"/>
      <c r="CC20" s="734" t="n"/>
      <c r="CD20" s="734" t="n"/>
      <c r="CE20" s="1917" t="n"/>
      <c r="CF20" s="734" t="n"/>
      <c r="CG20" s="734" t="n"/>
      <c r="CH20" s="734" t="n"/>
      <c r="CI20" s="734" t="n"/>
      <c r="CJ20" s="734" t="n"/>
      <c r="CK20" s="734" t="n"/>
      <c r="CL20" s="734" t="n"/>
      <c r="CM20" s="734" t="n"/>
      <c r="CN20" s="734" t="n"/>
      <c r="CO20" s="734" t="n"/>
      <c r="CP20" s="734" t="n"/>
      <c r="CQ20" s="734" t="n"/>
      <c r="CR20" s="734" t="n"/>
      <c r="CS20" s="1917" t="n"/>
      <c r="CT20" s="734" t="n"/>
      <c r="CU20" s="734" t="n"/>
      <c r="CV20" s="734" t="n"/>
      <c r="CW20" s="734" t="n"/>
      <c r="CX20" s="734" t="n"/>
      <c r="CY20" s="734" t="n"/>
      <c r="CZ20" s="734" t="n"/>
      <c r="DA20" s="734" t="n"/>
      <c r="DB20" s="734" t="n"/>
      <c r="DC20" s="734" t="n"/>
      <c r="DD20" s="734" t="n"/>
      <c r="DE20" s="734" t="n"/>
      <c r="DF20" s="734" t="n"/>
    </row>
    <row r="21" ht="3" customHeight="1" s="1883">
      <c r="D21" s="726" t="n"/>
      <c r="E21" s="726" t="n"/>
      <c r="F21" s="726" t="n"/>
      <c r="G21" s="726" t="n"/>
      <c r="H21" s="726" t="n"/>
      <c r="I21" s="726" t="n"/>
      <c r="J21" s="726" t="n"/>
      <c r="K21" s="726" t="n"/>
      <c r="L21" s="776" t="n"/>
      <c r="M21" s="776" t="n"/>
      <c r="N21" s="776" t="n"/>
      <c r="O21" s="776" t="n"/>
      <c r="P21" s="776" t="n"/>
      <c r="Q21" s="776" t="n"/>
      <c r="R21" s="778" t="n"/>
      <c r="S21" s="776" t="n"/>
      <c r="T21" s="777" t="n"/>
      <c r="U21" s="776" t="n"/>
      <c r="V21" s="776" t="n"/>
      <c r="W21" s="776" t="n"/>
      <c r="X21" s="776" t="n"/>
      <c r="Y21" s="776" t="n"/>
      <c r="Z21" s="777" t="n"/>
      <c r="AA21" s="702" t="n"/>
      <c r="AB21" s="726" t="n"/>
      <c r="AC21" s="726" t="n"/>
      <c r="AD21" s="726" t="n"/>
      <c r="AE21" s="726" t="n"/>
      <c r="AF21" s="726" t="n"/>
      <c r="AG21" s="726" t="n"/>
      <c r="AH21" s="726" t="n"/>
      <c r="AI21" s="726" t="n"/>
      <c r="AJ21" s="726" t="n"/>
      <c r="AK21" s="726" t="n"/>
      <c r="AL21" s="726" t="n"/>
      <c r="AM21" s="726" t="n"/>
      <c r="AN21" s="726" t="n"/>
      <c r="AO21" s="702" t="n"/>
      <c r="AP21" s="726" t="n"/>
      <c r="AQ21" s="726" t="n"/>
      <c r="AR21" s="726" t="n"/>
      <c r="AS21" s="726" t="n"/>
      <c r="AT21" s="726" t="n"/>
      <c r="AU21" s="726" t="n"/>
      <c r="AV21" s="726" t="n"/>
      <c r="AW21" s="726" t="n"/>
      <c r="AX21" s="726" t="n"/>
      <c r="AY21" s="726" t="n"/>
      <c r="AZ21" s="726" t="n"/>
      <c r="BA21" s="726" t="n"/>
      <c r="BB21" s="726" t="n"/>
      <c r="BC21" s="726" t="n"/>
      <c r="BD21" s="726" t="n"/>
      <c r="BE21" s="726" t="n"/>
      <c r="BF21" s="726" t="n"/>
      <c r="BG21" s="726" t="n"/>
      <c r="BH21" s="726" t="n"/>
      <c r="BI21" s="726" t="n"/>
      <c r="BJ21" s="726" t="n"/>
      <c r="BK21" s="726" t="n"/>
      <c r="BL21" s="726" t="n"/>
      <c r="BM21" s="726" t="n"/>
      <c r="BN21" s="726" t="n"/>
      <c r="BO21" s="726" t="n"/>
      <c r="BP21" s="726" t="n"/>
      <c r="BQ21" s="1917" t="n"/>
      <c r="BR21" s="726" t="n"/>
      <c r="BS21" s="726" t="n"/>
      <c r="BT21" s="726" t="n"/>
      <c r="BU21" s="726" t="n"/>
      <c r="BV21" s="726" t="n"/>
      <c r="BW21" s="726" t="n"/>
      <c r="BX21" s="726" t="n"/>
      <c r="BY21" s="726" t="n"/>
      <c r="BZ21" s="726" t="n"/>
      <c r="CA21" s="726" t="n"/>
      <c r="CB21" s="726" t="n"/>
      <c r="CC21" s="726" t="n"/>
      <c r="CD21" s="726" t="n"/>
      <c r="CE21" s="1917" t="n"/>
      <c r="CF21" s="726" t="n"/>
      <c r="CG21" s="726" t="n"/>
      <c r="CH21" s="726" t="n"/>
      <c r="CI21" s="726" t="n"/>
      <c r="CJ21" s="726" t="n"/>
      <c r="CK21" s="726" t="n"/>
      <c r="CL21" s="726" t="n"/>
      <c r="CM21" s="726" t="n"/>
      <c r="CN21" s="726" t="n"/>
      <c r="CO21" s="726" t="n"/>
      <c r="CP21" s="726" t="n"/>
      <c r="CQ21" s="726" t="n"/>
      <c r="CR21" s="726" t="n"/>
      <c r="CS21" s="1917" t="n"/>
      <c r="CT21" s="726" t="n"/>
      <c r="CU21" s="726" t="n"/>
      <c r="CV21" s="726" t="n"/>
      <c r="CW21" s="726" t="n"/>
      <c r="CX21" s="726" t="n"/>
      <c r="CY21" s="726" t="n"/>
      <c r="CZ21" s="726" t="n"/>
      <c r="DA21" s="726" t="n"/>
      <c r="DB21" s="726" t="n"/>
      <c r="DC21" s="726" t="n"/>
      <c r="DD21" s="726" t="n"/>
      <c r="DE21" s="726" t="n"/>
      <c r="DF21" s="726" t="n"/>
    </row>
    <row r="22" ht="15" customHeight="1" s="1883">
      <c r="D22" s="730" t="inlineStr">
        <is>
          <t>●</t>
        </is>
      </c>
      <c r="E22" s="726" t="inlineStr">
        <is>
          <t>TBD</t>
        </is>
      </c>
      <c r="F22" s="726" t="n"/>
      <c r="G22" s="726" t="n"/>
      <c r="H22" s="726" t="n"/>
      <c r="I22" s="743" t="inlineStr">
        <is>
          <t>Executive Assistants</t>
        </is>
      </c>
      <c r="J22" s="727" t="inlineStr">
        <is>
          <t>CONUS</t>
        </is>
      </c>
      <c r="K22" s="726" t="n"/>
      <c r="L22" s="780" t="n"/>
      <c r="M22" s="781" t="n"/>
      <c r="N22" s="782" t="n"/>
      <c r="O22" s="776" t="n"/>
      <c r="P22" s="776" t="n"/>
      <c r="Q22" s="776" t="n"/>
      <c r="R22" s="778" t="n"/>
      <c r="S22" s="777" t="n"/>
      <c r="T22" s="777" t="n"/>
      <c r="U22" s="775" t="n"/>
      <c r="V22" s="775" t="n"/>
      <c r="W22" s="775" t="n"/>
      <c r="X22" s="775" t="n"/>
      <c r="Y22" s="776" t="n"/>
      <c r="Z22" s="777" t="n"/>
      <c r="AA22" s="702" t="n"/>
      <c r="AB22" s="751" t="n">
        <v>0</v>
      </c>
      <c r="AC22" s="751" t="n">
        <v>0</v>
      </c>
      <c r="AD22" s="751" t="n">
        <v>0</v>
      </c>
      <c r="AE22" s="751" t="n">
        <v>0</v>
      </c>
      <c r="AF22" s="751" t="n">
        <v>0</v>
      </c>
      <c r="AG22" s="751" t="n">
        <v>0</v>
      </c>
      <c r="AH22" s="751" t="n">
        <v>0</v>
      </c>
      <c r="AI22" s="751" t="n">
        <v>0</v>
      </c>
      <c r="AJ22" s="751" t="n">
        <v>0</v>
      </c>
      <c r="AK22" s="751" t="n">
        <v>0</v>
      </c>
      <c r="AL22" s="751" t="n">
        <v>0</v>
      </c>
      <c r="AM22" s="751" t="n">
        <v>0</v>
      </c>
      <c r="AN22" s="752">
        <f>(AM22)</f>
        <v/>
      </c>
      <c r="AO22" s="750" t="n"/>
      <c r="AP22" s="751" t="n">
        <v>2</v>
      </c>
      <c r="AQ22" s="751" t="n">
        <v>2</v>
      </c>
      <c r="AR22" s="751" t="n">
        <v>2</v>
      </c>
      <c r="AS22" s="751" t="n">
        <v>2</v>
      </c>
      <c r="AT22" s="751" t="n">
        <v>2</v>
      </c>
      <c r="AU22" s="751" t="n">
        <v>2</v>
      </c>
      <c r="AV22" s="751" t="n">
        <v>2</v>
      </c>
      <c r="AW22" s="751" t="n">
        <v>2</v>
      </c>
      <c r="AX22" s="751" t="n">
        <v>2</v>
      </c>
      <c r="AY22" s="751" t="n">
        <v>2</v>
      </c>
      <c r="AZ22" s="751" t="n">
        <v>2</v>
      </c>
      <c r="BA22" s="751" t="n">
        <v>2</v>
      </c>
      <c r="BB22" s="752">
        <f>(BA22)</f>
        <v/>
      </c>
      <c r="BC22" s="750" t="n"/>
      <c r="BD22" s="751" t="n">
        <v>1</v>
      </c>
      <c r="BE22" s="751" t="n">
        <v>1</v>
      </c>
      <c r="BF22" s="751" t="n">
        <v>1</v>
      </c>
      <c r="BG22" s="751" t="n">
        <v>1</v>
      </c>
      <c r="BH22" s="751" t="n">
        <v>1</v>
      </c>
      <c r="BI22" s="751" t="n">
        <v>1</v>
      </c>
      <c r="BJ22" s="751" t="n">
        <v>1</v>
      </c>
      <c r="BK22" s="751" t="n">
        <v>1</v>
      </c>
      <c r="BL22" s="751" t="n">
        <v>1</v>
      </c>
      <c r="BM22" s="751" t="n">
        <v>1</v>
      </c>
      <c r="BN22" s="751" t="n">
        <v>1</v>
      </c>
      <c r="BO22" s="751" t="n">
        <v>1</v>
      </c>
      <c r="BP22" s="752">
        <f>(BO22)</f>
        <v/>
      </c>
      <c r="BQ22" s="786" t="n"/>
      <c r="BR22" s="751" t="n">
        <v>1</v>
      </c>
      <c r="BS22" s="751" t="n">
        <v>1</v>
      </c>
      <c r="BT22" s="751" t="n">
        <v>1</v>
      </c>
      <c r="BU22" s="751" t="n">
        <v>1</v>
      </c>
      <c r="BV22" s="751" t="n">
        <v>1</v>
      </c>
      <c r="BW22" s="751" t="n">
        <v>1</v>
      </c>
      <c r="BX22" s="751" t="n">
        <v>1</v>
      </c>
      <c r="BY22" s="751" t="n">
        <v>1</v>
      </c>
      <c r="BZ22" s="751" t="n">
        <v>1</v>
      </c>
      <c r="CA22" s="751" t="n">
        <v>1</v>
      </c>
      <c r="CB22" s="751" t="n">
        <v>1</v>
      </c>
      <c r="CC22" s="751" t="n">
        <v>1</v>
      </c>
      <c r="CD22" s="752">
        <f>(CC22)</f>
        <v/>
      </c>
      <c r="CE22" s="786" t="n"/>
      <c r="CF22" s="751" t="n">
        <v>1</v>
      </c>
      <c r="CG22" s="751" t="n">
        <v>1</v>
      </c>
      <c r="CH22" s="751" t="n">
        <v>1</v>
      </c>
      <c r="CI22" s="751" t="n">
        <v>1</v>
      </c>
      <c r="CJ22" s="751" t="n">
        <v>1</v>
      </c>
      <c r="CK22" s="751" t="n">
        <v>1</v>
      </c>
      <c r="CL22" s="751" t="n">
        <v>1</v>
      </c>
      <c r="CM22" s="751" t="n">
        <v>1</v>
      </c>
      <c r="CN22" s="751" t="n">
        <v>1</v>
      </c>
      <c r="CO22" s="751" t="n">
        <v>1</v>
      </c>
      <c r="CP22" s="751" t="n">
        <v>1</v>
      </c>
      <c r="CQ22" s="751" t="n">
        <v>1</v>
      </c>
      <c r="CR22" s="752">
        <f>(CQ22)</f>
        <v/>
      </c>
      <c r="CS22" s="786" t="n"/>
      <c r="CT22" s="751" t="n">
        <v>1</v>
      </c>
      <c r="CU22" s="751" t="n">
        <v>1</v>
      </c>
      <c r="CV22" s="751" t="n">
        <v>1</v>
      </c>
      <c r="CW22" s="751" t="n">
        <v>1</v>
      </c>
      <c r="CX22" s="751" t="n">
        <v>1</v>
      </c>
      <c r="CY22" s="751" t="n">
        <v>1</v>
      </c>
      <c r="CZ22" s="751" t="n">
        <v>1</v>
      </c>
      <c r="DA22" s="751" t="n">
        <v>1</v>
      </c>
      <c r="DB22" s="751" t="n">
        <v>1</v>
      </c>
      <c r="DC22" s="751" t="n">
        <v>1</v>
      </c>
      <c r="DD22" s="751" t="n">
        <v>1</v>
      </c>
      <c r="DE22" s="751" t="n">
        <v>1</v>
      </c>
      <c r="DF22" s="752">
        <f>(DE22)</f>
        <v/>
      </c>
    </row>
    <row r="23" ht="15" customHeight="1" s="1883">
      <c r="D23" s="730" t="n"/>
      <c r="E23" s="726" t="n"/>
      <c r="F23" s="726" t="n"/>
      <c r="G23" s="726" t="n"/>
      <c r="H23" s="726" t="n"/>
      <c r="I23" s="743" t="inlineStr">
        <is>
          <t>Executive Assistants</t>
        </is>
      </c>
      <c r="J23" s="774" t="inlineStr">
        <is>
          <t>OCONUS</t>
        </is>
      </c>
      <c r="K23" s="726" t="n"/>
      <c r="L23" s="780" t="n"/>
      <c r="M23" s="781" t="n"/>
      <c r="N23" s="782" t="n"/>
      <c r="O23" s="776" t="n"/>
      <c r="P23" s="776" t="n"/>
      <c r="Q23" s="776" t="n"/>
      <c r="R23" s="778" t="n"/>
      <c r="S23" s="777" t="n"/>
      <c r="T23" s="777" t="n"/>
      <c r="U23" s="775" t="n"/>
      <c r="V23" s="775" t="n"/>
      <c r="W23" s="775" t="n"/>
      <c r="X23" s="775" t="n"/>
      <c r="Y23" s="776" t="n"/>
      <c r="Z23" s="777" t="n"/>
      <c r="AA23" s="702" t="n"/>
      <c r="AB23" s="785" t="n">
        <v>0</v>
      </c>
      <c r="AC23" s="785" t="n">
        <v>0</v>
      </c>
      <c r="AD23" s="785" t="n">
        <v>0</v>
      </c>
      <c r="AE23" s="785" t="n">
        <v>0</v>
      </c>
      <c r="AF23" s="785" t="n">
        <v>0</v>
      </c>
      <c r="AG23" s="785" t="n">
        <v>0</v>
      </c>
      <c r="AH23" s="785" t="n">
        <v>0</v>
      </c>
      <c r="AI23" s="785" t="n">
        <v>0</v>
      </c>
      <c r="AJ23" s="785" t="n">
        <v>0</v>
      </c>
      <c r="AK23" s="785" t="n">
        <v>0</v>
      </c>
      <c r="AL23" s="785" t="n">
        <v>0</v>
      </c>
      <c r="AM23" s="785" t="n">
        <v>0</v>
      </c>
      <c r="AN23" s="752">
        <f>(AM23)</f>
        <v/>
      </c>
      <c r="AO23" s="750" t="n"/>
      <c r="AP23" s="751" t="n">
        <v>1</v>
      </c>
      <c r="AQ23" s="751" t="n">
        <v>1</v>
      </c>
      <c r="AR23" s="751" t="n">
        <v>1</v>
      </c>
      <c r="AS23" s="751" t="n">
        <v>1</v>
      </c>
      <c r="AT23" s="751" t="n">
        <v>1</v>
      </c>
      <c r="AU23" s="751" t="n">
        <v>1</v>
      </c>
      <c r="AV23" s="751" t="n">
        <v>1</v>
      </c>
      <c r="AW23" s="751" t="n">
        <v>1</v>
      </c>
      <c r="AX23" s="751" t="n">
        <v>1</v>
      </c>
      <c r="AY23" s="751" t="n">
        <v>1</v>
      </c>
      <c r="AZ23" s="751" t="n">
        <v>1</v>
      </c>
      <c r="BA23" s="751" t="n">
        <v>1</v>
      </c>
      <c r="BB23" s="752">
        <f>(BA23)</f>
        <v/>
      </c>
      <c r="BC23" s="750" t="n"/>
      <c r="BD23" s="751" t="n">
        <v>1</v>
      </c>
      <c r="BE23" s="751" t="n">
        <v>1</v>
      </c>
      <c r="BF23" s="751" t="n">
        <v>1</v>
      </c>
      <c r="BG23" s="751" t="n">
        <v>1</v>
      </c>
      <c r="BH23" s="751" t="n">
        <v>1</v>
      </c>
      <c r="BI23" s="751" t="n">
        <v>1</v>
      </c>
      <c r="BJ23" s="751" t="n">
        <v>1</v>
      </c>
      <c r="BK23" s="751" t="n">
        <v>1</v>
      </c>
      <c r="BL23" s="751" t="n">
        <v>1</v>
      </c>
      <c r="BM23" s="751" t="n">
        <v>1</v>
      </c>
      <c r="BN23" s="751" t="n">
        <v>1</v>
      </c>
      <c r="BO23" s="751" t="n">
        <v>1</v>
      </c>
      <c r="BP23" s="752">
        <f>(BO23)</f>
        <v/>
      </c>
      <c r="BQ23" s="786" t="n"/>
      <c r="BR23" s="751" t="n">
        <v>1</v>
      </c>
      <c r="BS23" s="751" t="n">
        <v>1</v>
      </c>
      <c r="BT23" s="751" t="n">
        <v>1</v>
      </c>
      <c r="BU23" s="751" t="n">
        <v>1</v>
      </c>
      <c r="BV23" s="751" t="n">
        <v>1</v>
      </c>
      <c r="BW23" s="751" t="n">
        <v>1</v>
      </c>
      <c r="BX23" s="751" t="n">
        <v>1</v>
      </c>
      <c r="BY23" s="751" t="n">
        <v>1</v>
      </c>
      <c r="BZ23" s="751" t="n">
        <v>1</v>
      </c>
      <c r="CA23" s="751" t="n">
        <v>1</v>
      </c>
      <c r="CB23" s="751" t="n">
        <v>1</v>
      </c>
      <c r="CC23" s="751" t="n">
        <v>1</v>
      </c>
      <c r="CD23" s="752">
        <f>(CC23)</f>
        <v/>
      </c>
      <c r="CE23" s="786" t="n"/>
      <c r="CF23" s="751" t="n">
        <v>1</v>
      </c>
      <c r="CG23" s="751" t="n">
        <v>1</v>
      </c>
      <c r="CH23" s="751" t="n">
        <v>1</v>
      </c>
      <c r="CI23" s="751" t="n">
        <v>1</v>
      </c>
      <c r="CJ23" s="751" t="n">
        <v>1</v>
      </c>
      <c r="CK23" s="751" t="n">
        <v>1</v>
      </c>
      <c r="CL23" s="751" t="n">
        <v>1</v>
      </c>
      <c r="CM23" s="751" t="n">
        <v>1</v>
      </c>
      <c r="CN23" s="751" t="n">
        <v>1</v>
      </c>
      <c r="CO23" s="751" t="n">
        <v>1</v>
      </c>
      <c r="CP23" s="751" t="n">
        <v>1</v>
      </c>
      <c r="CQ23" s="751" t="n">
        <v>1</v>
      </c>
      <c r="CR23" s="752">
        <f>(CQ23)</f>
        <v/>
      </c>
      <c r="CS23" s="786" t="n"/>
      <c r="CT23" s="751" t="n">
        <v>1</v>
      </c>
      <c r="CU23" s="751" t="n">
        <v>1</v>
      </c>
      <c r="CV23" s="751" t="n">
        <v>1</v>
      </c>
      <c r="CW23" s="751" t="n">
        <v>1</v>
      </c>
      <c r="CX23" s="751" t="n">
        <v>1</v>
      </c>
      <c r="CY23" s="751" t="n">
        <v>1</v>
      </c>
      <c r="CZ23" s="751" t="n">
        <v>1</v>
      </c>
      <c r="DA23" s="751" t="n">
        <v>1</v>
      </c>
      <c r="DB23" s="751" t="n">
        <v>1</v>
      </c>
      <c r="DC23" s="751" t="n">
        <v>1</v>
      </c>
      <c r="DD23" s="751" t="n">
        <v>1</v>
      </c>
      <c r="DE23" s="751" t="n">
        <v>1</v>
      </c>
      <c r="DF23" s="752">
        <f>(DE23)</f>
        <v/>
      </c>
    </row>
    <row r="24" ht="15" customHeight="1" s="1883">
      <c r="D24" s="730" t="inlineStr">
        <is>
          <t>●</t>
        </is>
      </c>
      <c r="E24" s="726" t="inlineStr">
        <is>
          <t>TBD</t>
        </is>
      </c>
      <c r="F24" s="726" t="n"/>
      <c r="G24" s="726" t="n"/>
      <c r="H24" s="726" t="n"/>
      <c r="I24" s="743" t="inlineStr">
        <is>
          <t>Admin &amp; Office Managers</t>
        </is>
      </c>
      <c r="J24" s="727" t="inlineStr">
        <is>
          <t>CONUS</t>
        </is>
      </c>
      <c r="K24" s="726" t="n"/>
      <c r="L24" s="631" t="n"/>
      <c r="M24" s="783" t="n"/>
      <c r="N24" s="784" t="n"/>
      <c r="O24" s="778" t="n"/>
      <c r="P24" s="778" t="n"/>
      <c r="Q24" s="778" t="n"/>
      <c r="R24" s="778" t="n"/>
      <c r="S24" s="777" t="n"/>
      <c r="T24" s="777" t="n"/>
      <c r="U24" s="775" t="n"/>
      <c r="V24" s="775" t="n"/>
      <c r="W24" s="775" t="n"/>
      <c r="X24" s="775" t="n"/>
      <c r="Y24" s="776" t="n"/>
      <c r="Z24" s="777" t="n"/>
      <c r="AA24" s="702" t="n"/>
      <c r="AB24" s="751" t="n">
        <v>0</v>
      </c>
      <c r="AC24" s="751" t="n">
        <v>0</v>
      </c>
      <c r="AD24" s="751" t="n">
        <v>0</v>
      </c>
      <c r="AE24" s="751" t="n">
        <v>0</v>
      </c>
      <c r="AF24" s="751" t="n">
        <v>0</v>
      </c>
      <c r="AG24" s="751" t="n">
        <v>0</v>
      </c>
      <c r="AH24" s="751" t="n">
        <v>0</v>
      </c>
      <c r="AI24" s="751" t="n">
        <v>0</v>
      </c>
      <c r="AJ24" s="751" t="n">
        <v>0</v>
      </c>
      <c r="AK24" s="751" t="n">
        <v>0</v>
      </c>
      <c r="AL24" s="751" t="n">
        <v>0</v>
      </c>
      <c r="AM24" s="751" t="n">
        <v>0</v>
      </c>
      <c r="AN24" s="752">
        <f>(AM24)</f>
        <v/>
      </c>
      <c r="AO24" s="750" t="n"/>
      <c r="AP24" s="751" t="n">
        <v>1</v>
      </c>
      <c r="AQ24" s="751" t="n">
        <v>1</v>
      </c>
      <c r="AR24" s="751" t="n">
        <v>1</v>
      </c>
      <c r="AS24" s="751" t="n">
        <v>1</v>
      </c>
      <c r="AT24" s="751" t="n">
        <v>1</v>
      </c>
      <c r="AU24" s="751" t="n">
        <v>1</v>
      </c>
      <c r="AV24" s="751" t="n">
        <v>1</v>
      </c>
      <c r="AW24" s="751" t="n">
        <v>1</v>
      </c>
      <c r="AX24" s="751" t="n">
        <v>1</v>
      </c>
      <c r="AY24" s="751" t="n">
        <v>1</v>
      </c>
      <c r="AZ24" s="751" t="n">
        <v>1</v>
      </c>
      <c r="BA24" s="751" t="n">
        <v>1</v>
      </c>
      <c r="BB24" s="752">
        <f>(BA24)</f>
        <v/>
      </c>
      <c r="BC24" s="750" t="n"/>
      <c r="BD24" s="751" t="n">
        <v>1</v>
      </c>
      <c r="BE24" s="751" t="n">
        <v>1</v>
      </c>
      <c r="BF24" s="751" t="n">
        <v>1</v>
      </c>
      <c r="BG24" s="751" t="n">
        <v>1</v>
      </c>
      <c r="BH24" s="751" t="n">
        <v>1</v>
      </c>
      <c r="BI24" s="751" t="n">
        <v>1</v>
      </c>
      <c r="BJ24" s="751" t="n">
        <v>1</v>
      </c>
      <c r="BK24" s="751" t="n">
        <v>1</v>
      </c>
      <c r="BL24" s="751" t="n">
        <v>1</v>
      </c>
      <c r="BM24" s="751" t="n">
        <v>1</v>
      </c>
      <c r="BN24" s="751" t="n">
        <v>1</v>
      </c>
      <c r="BO24" s="751" t="n">
        <v>1</v>
      </c>
      <c r="BP24" s="752">
        <f>(BO24)</f>
        <v/>
      </c>
      <c r="BQ24" s="786" t="n"/>
      <c r="BR24" s="751" t="n">
        <v>1</v>
      </c>
      <c r="BS24" s="751" t="n">
        <v>1</v>
      </c>
      <c r="BT24" s="751" t="n">
        <v>1</v>
      </c>
      <c r="BU24" s="751" t="n">
        <v>1</v>
      </c>
      <c r="BV24" s="751" t="n">
        <v>1</v>
      </c>
      <c r="BW24" s="751" t="n">
        <v>1</v>
      </c>
      <c r="BX24" s="751" t="n">
        <v>1</v>
      </c>
      <c r="BY24" s="751" t="n">
        <v>1</v>
      </c>
      <c r="BZ24" s="751" t="n">
        <v>1</v>
      </c>
      <c r="CA24" s="751" t="n">
        <v>1</v>
      </c>
      <c r="CB24" s="751" t="n">
        <v>1</v>
      </c>
      <c r="CC24" s="751" t="n">
        <v>1</v>
      </c>
      <c r="CD24" s="752">
        <f>(CC24)</f>
        <v/>
      </c>
      <c r="CE24" s="786" t="n"/>
      <c r="CF24" s="751" t="n">
        <v>1</v>
      </c>
      <c r="CG24" s="751" t="n">
        <v>1</v>
      </c>
      <c r="CH24" s="751" t="n">
        <v>1</v>
      </c>
      <c r="CI24" s="751" t="n">
        <v>1</v>
      </c>
      <c r="CJ24" s="751" t="n">
        <v>1</v>
      </c>
      <c r="CK24" s="751" t="n">
        <v>1</v>
      </c>
      <c r="CL24" s="751" t="n">
        <v>1</v>
      </c>
      <c r="CM24" s="751" t="n">
        <v>1</v>
      </c>
      <c r="CN24" s="751" t="n">
        <v>1</v>
      </c>
      <c r="CO24" s="751" t="n">
        <v>1</v>
      </c>
      <c r="CP24" s="751" t="n">
        <v>1</v>
      </c>
      <c r="CQ24" s="751" t="n">
        <v>1</v>
      </c>
      <c r="CR24" s="752">
        <f>(CQ24)</f>
        <v/>
      </c>
      <c r="CS24" s="786" t="n"/>
      <c r="CT24" s="751" t="n">
        <v>1</v>
      </c>
      <c r="CU24" s="751" t="n">
        <v>1</v>
      </c>
      <c r="CV24" s="751" t="n">
        <v>1</v>
      </c>
      <c r="CW24" s="751" t="n">
        <v>1</v>
      </c>
      <c r="CX24" s="751" t="n">
        <v>1</v>
      </c>
      <c r="CY24" s="751" t="n">
        <v>1</v>
      </c>
      <c r="CZ24" s="751" t="n">
        <v>1</v>
      </c>
      <c r="DA24" s="751" t="n">
        <v>1</v>
      </c>
      <c r="DB24" s="751" t="n">
        <v>1</v>
      </c>
      <c r="DC24" s="751" t="n">
        <v>1</v>
      </c>
      <c r="DD24" s="751" t="n">
        <v>1</v>
      </c>
      <c r="DE24" s="751" t="n">
        <v>1</v>
      </c>
      <c r="DF24" s="752">
        <f>(DE24)</f>
        <v/>
      </c>
    </row>
    <row r="25" ht="15" customHeight="1" s="1883">
      <c r="D25" s="730" t="n"/>
      <c r="E25" s="726" t="n"/>
      <c r="F25" s="726" t="n"/>
      <c r="G25" s="726" t="n"/>
      <c r="H25" s="726" t="n"/>
      <c r="I25" s="743" t="inlineStr">
        <is>
          <t>Admin &amp; Office Managers</t>
        </is>
      </c>
      <c r="J25" s="774" t="inlineStr">
        <is>
          <t>OCONUS</t>
        </is>
      </c>
      <c r="K25" s="726" t="n"/>
      <c r="L25" s="631" t="n"/>
      <c r="M25" s="783" t="n"/>
      <c r="N25" s="784" t="n"/>
      <c r="O25" s="778" t="n"/>
      <c r="P25" s="778" t="n"/>
      <c r="Q25" s="778" t="n"/>
      <c r="R25" s="778" t="n"/>
      <c r="S25" s="777" t="n"/>
      <c r="T25" s="777" t="n"/>
      <c r="U25" s="775" t="n"/>
      <c r="V25" s="775" t="n"/>
      <c r="W25" s="775" t="n"/>
      <c r="X25" s="775" t="n"/>
      <c r="Y25" s="776" t="n"/>
      <c r="Z25" s="777" t="n"/>
      <c r="AA25" s="702" t="n"/>
      <c r="AB25" s="785" t="n">
        <v>0</v>
      </c>
      <c r="AC25" s="785" t="n">
        <v>0</v>
      </c>
      <c r="AD25" s="785" t="n">
        <v>0</v>
      </c>
      <c r="AE25" s="785" t="n">
        <v>0</v>
      </c>
      <c r="AF25" s="785" t="n">
        <v>0</v>
      </c>
      <c r="AG25" s="785" t="n">
        <v>0</v>
      </c>
      <c r="AH25" s="785" t="n">
        <v>0</v>
      </c>
      <c r="AI25" s="785" t="n">
        <v>0</v>
      </c>
      <c r="AJ25" s="785" t="n">
        <v>0</v>
      </c>
      <c r="AK25" s="785" t="n">
        <v>0</v>
      </c>
      <c r="AL25" s="785" t="n">
        <v>0</v>
      </c>
      <c r="AM25" s="785" t="n">
        <v>0</v>
      </c>
      <c r="AN25" s="752">
        <f>(AM25)</f>
        <v/>
      </c>
      <c r="AO25" s="750" t="n"/>
      <c r="AP25" s="751" t="n">
        <v>1</v>
      </c>
      <c r="AQ25" s="751" t="n">
        <v>1</v>
      </c>
      <c r="AR25" s="751" t="n">
        <v>1</v>
      </c>
      <c r="AS25" s="751" t="n">
        <v>1</v>
      </c>
      <c r="AT25" s="751" t="n">
        <v>1</v>
      </c>
      <c r="AU25" s="751" t="n">
        <v>1</v>
      </c>
      <c r="AV25" s="751" t="n">
        <v>1</v>
      </c>
      <c r="AW25" s="751" t="n">
        <v>1</v>
      </c>
      <c r="AX25" s="751" t="n">
        <v>1</v>
      </c>
      <c r="AY25" s="751" t="n">
        <v>1</v>
      </c>
      <c r="AZ25" s="751" t="n">
        <v>1</v>
      </c>
      <c r="BA25" s="751" t="n">
        <v>1</v>
      </c>
      <c r="BB25" s="752">
        <f>(BA25)</f>
        <v/>
      </c>
      <c r="BC25" s="750" t="n"/>
      <c r="BD25" s="751" t="n">
        <v>1</v>
      </c>
      <c r="BE25" s="751" t="n">
        <v>1</v>
      </c>
      <c r="BF25" s="751" t="n">
        <v>1</v>
      </c>
      <c r="BG25" s="751" t="n">
        <v>1</v>
      </c>
      <c r="BH25" s="751" t="n">
        <v>1</v>
      </c>
      <c r="BI25" s="751" t="n">
        <v>1</v>
      </c>
      <c r="BJ25" s="751" t="n">
        <v>1</v>
      </c>
      <c r="BK25" s="751" t="n">
        <v>1</v>
      </c>
      <c r="BL25" s="751" t="n">
        <v>1</v>
      </c>
      <c r="BM25" s="751" t="n">
        <v>1</v>
      </c>
      <c r="BN25" s="751" t="n">
        <v>1</v>
      </c>
      <c r="BO25" s="751" t="n">
        <v>1</v>
      </c>
      <c r="BP25" s="752">
        <f>(BO25)</f>
        <v/>
      </c>
      <c r="BQ25" s="786" t="n"/>
      <c r="BR25" s="751" t="n">
        <v>1</v>
      </c>
      <c r="BS25" s="751" t="n">
        <v>1</v>
      </c>
      <c r="BT25" s="751" t="n">
        <v>1</v>
      </c>
      <c r="BU25" s="751" t="n">
        <v>1</v>
      </c>
      <c r="BV25" s="751" t="n">
        <v>1</v>
      </c>
      <c r="BW25" s="751" t="n">
        <v>1</v>
      </c>
      <c r="BX25" s="751" t="n">
        <v>1</v>
      </c>
      <c r="BY25" s="751" t="n">
        <v>1</v>
      </c>
      <c r="BZ25" s="751" t="n">
        <v>1</v>
      </c>
      <c r="CA25" s="751" t="n">
        <v>1</v>
      </c>
      <c r="CB25" s="751" t="n">
        <v>1</v>
      </c>
      <c r="CC25" s="751" t="n">
        <v>1</v>
      </c>
      <c r="CD25" s="752">
        <f>(CC25)</f>
        <v/>
      </c>
      <c r="CE25" s="786" t="n"/>
      <c r="CF25" s="751" t="n">
        <v>1</v>
      </c>
      <c r="CG25" s="751" t="n">
        <v>1</v>
      </c>
      <c r="CH25" s="751" t="n">
        <v>1</v>
      </c>
      <c r="CI25" s="751" t="n">
        <v>1</v>
      </c>
      <c r="CJ25" s="751" t="n">
        <v>1</v>
      </c>
      <c r="CK25" s="751" t="n">
        <v>1</v>
      </c>
      <c r="CL25" s="751" t="n">
        <v>1</v>
      </c>
      <c r="CM25" s="751" t="n">
        <v>1</v>
      </c>
      <c r="CN25" s="751" t="n">
        <v>1</v>
      </c>
      <c r="CO25" s="751" t="n">
        <v>1</v>
      </c>
      <c r="CP25" s="751" t="n">
        <v>1</v>
      </c>
      <c r="CQ25" s="751" t="n">
        <v>1</v>
      </c>
      <c r="CR25" s="752">
        <f>(CQ25)</f>
        <v/>
      </c>
      <c r="CS25" s="786" t="n"/>
      <c r="CT25" s="751" t="n">
        <v>1</v>
      </c>
      <c r="CU25" s="751" t="n">
        <v>1</v>
      </c>
      <c r="CV25" s="751" t="n">
        <v>1</v>
      </c>
      <c r="CW25" s="751" t="n">
        <v>1</v>
      </c>
      <c r="CX25" s="751" t="n">
        <v>1</v>
      </c>
      <c r="CY25" s="751" t="n">
        <v>1</v>
      </c>
      <c r="CZ25" s="751" t="n">
        <v>1</v>
      </c>
      <c r="DA25" s="751" t="n">
        <v>1</v>
      </c>
      <c r="DB25" s="751" t="n">
        <v>1</v>
      </c>
      <c r="DC25" s="751" t="n">
        <v>1</v>
      </c>
      <c r="DD25" s="751" t="n">
        <v>1</v>
      </c>
      <c r="DE25" s="751" t="n">
        <v>1</v>
      </c>
      <c r="DF25" s="752">
        <f>(DE25)</f>
        <v/>
      </c>
    </row>
    <row r="26" ht="15" customHeight="1" s="1883">
      <c r="D26" s="730" t="inlineStr">
        <is>
          <t>●</t>
        </is>
      </c>
      <c r="E26" s="726" t="inlineStr">
        <is>
          <t>TBD</t>
        </is>
      </c>
      <c r="F26" s="726" t="n"/>
      <c r="G26" s="726" t="n"/>
      <c r="H26" s="726" t="n"/>
      <c r="I26" s="772" t="inlineStr">
        <is>
          <t>Administrative Team</t>
        </is>
      </c>
      <c r="J26" s="727" t="inlineStr">
        <is>
          <t>CONUS</t>
        </is>
      </c>
      <c r="K26" s="726" t="n"/>
      <c r="L26" s="631" t="n"/>
      <c r="M26" s="783" t="n"/>
      <c r="N26" s="784" t="n"/>
      <c r="O26" s="778" t="n"/>
      <c r="P26" s="778" t="n"/>
      <c r="Q26" s="778" t="n"/>
      <c r="R26" s="778" t="n"/>
      <c r="S26" s="777" t="n"/>
      <c r="T26" s="777" t="n"/>
      <c r="U26" s="775" t="n"/>
      <c r="V26" s="775" t="n"/>
      <c r="W26" s="775" t="n"/>
      <c r="X26" s="775" t="n"/>
      <c r="Y26" s="776" t="n"/>
      <c r="Z26" s="777" t="n"/>
      <c r="AA26" s="702" t="n"/>
      <c r="AB26" s="751" t="n">
        <v>0</v>
      </c>
      <c r="AC26" s="751" t="n">
        <v>0</v>
      </c>
      <c r="AD26" s="751" t="n">
        <v>0</v>
      </c>
      <c r="AE26" s="751" t="n">
        <v>0</v>
      </c>
      <c r="AF26" s="751" t="n">
        <v>0</v>
      </c>
      <c r="AG26" s="751" t="n">
        <v>0</v>
      </c>
      <c r="AH26" s="751" t="n">
        <v>0</v>
      </c>
      <c r="AI26" s="751" t="n">
        <v>0</v>
      </c>
      <c r="AJ26" s="751" t="n">
        <v>0</v>
      </c>
      <c r="AK26" s="751" t="n">
        <v>0</v>
      </c>
      <c r="AL26" s="751" t="n">
        <v>0</v>
      </c>
      <c r="AM26" s="751" t="n">
        <v>0</v>
      </c>
      <c r="AN26" s="752">
        <f>(AM26)</f>
        <v/>
      </c>
      <c r="AO26" s="750" t="n"/>
      <c r="AP26" s="751" t="n">
        <v>2</v>
      </c>
      <c r="AQ26" s="751" t="n">
        <v>2</v>
      </c>
      <c r="AR26" s="751" t="n">
        <v>2</v>
      </c>
      <c r="AS26" s="751" t="n">
        <v>2</v>
      </c>
      <c r="AT26" s="751" t="n">
        <v>2</v>
      </c>
      <c r="AU26" s="751" t="n">
        <v>2</v>
      </c>
      <c r="AV26" s="751" t="n">
        <v>2</v>
      </c>
      <c r="AW26" s="751" t="n">
        <v>2</v>
      </c>
      <c r="AX26" s="751" t="n">
        <v>2</v>
      </c>
      <c r="AY26" s="751" t="n">
        <v>2</v>
      </c>
      <c r="AZ26" s="751" t="n">
        <v>2</v>
      </c>
      <c r="BA26" s="751" t="n">
        <v>2</v>
      </c>
      <c r="BB26" s="752">
        <f>(BA26)</f>
        <v/>
      </c>
      <c r="BC26" s="750" t="n"/>
      <c r="BD26" s="751" t="n">
        <v>4</v>
      </c>
      <c r="BE26" s="751" t="n">
        <v>4</v>
      </c>
      <c r="BF26" s="751" t="n">
        <v>4</v>
      </c>
      <c r="BG26" s="751" t="n">
        <v>4</v>
      </c>
      <c r="BH26" s="751" t="n">
        <v>4</v>
      </c>
      <c r="BI26" s="751" t="n">
        <v>4</v>
      </c>
      <c r="BJ26" s="751" t="n">
        <v>4</v>
      </c>
      <c r="BK26" s="751" t="n">
        <v>4</v>
      </c>
      <c r="BL26" s="751" t="n">
        <v>4</v>
      </c>
      <c r="BM26" s="751" t="n">
        <v>4</v>
      </c>
      <c r="BN26" s="751" t="n">
        <v>4</v>
      </c>
      <c r="BO26" s="751" t="n">
        <v>4</v>
      </c>
      <c r="BP26" s="752">
        <f>(BO26)</f>
        <v/>
      </c>
      <c r="BQ26" s="786" t="n"/>
      <c r="BR26" s="751" t="n">
        <v>4</v>
      </c>
      <c r="BS26" s="751" t="n">
        <v>4</v>
      </c>
      <c r="BT26" s="751" t="n">
        <v>4</v>
      </c>
      <c r="BU26" s="751" t="n">
        <v>4</v>
      </c>
      <c r="BV26" s="751" t="n">
        <v>4</v>
      </c>
      <c r="BW26" s="751" t="n">
        <v>4</v>
      </c>
      <c r="BX26" s="751" t="n">
        <v>4</v>
      </c>
      <c r="BY26" s="751" t="n">
        <v>4</v>
      </c>
      <c r="BZ26" s="751" t="n">
        <v>4</v>
      </c>
      <c r="CA26" s="751" t="n">
        <v>4</v>
      </c>
      <c r="CB26" s="751" t="n">
        <v>4</v>
      </c>
      <c r="CC26" s="751" t="n">
        <v>4</v>
      </c>
      <c r="CD26" s="752">
        <f>(CC26)</f>
        <v/>
      </c>
      <c r="CE26" s="786" t="n"/>
      <c r="CF26" s="751" t="n">
        <v>5</v>
      </c>
      <c r="CG26" s="751" t="n">
        <v>5</v>
      </c>
      <c r="CH26" s="751" t="n">
        <v>5</v>
      </c>
      <c r="CI26" s="751" t="n">
        <v>5</v>
      </c>
      <c r="CJ26" s="751" t="n">
        <v>5</v>
      </c>
      <c r="CK26" s="751" t="n">
        <v>5</v>
      </c>
      <c r="CL26" s="751" t="n">
        <v>5</v>
      </c>
      <c r="CM26" s="751" t="n">
        <v>5</v>
      </c>
      <c r="CN26" s="751" t="n">
        <v>5</v>
      </c>
      <c r="CO26" s="751" t="n">
        <v>5</v>
      </c>
      <c r="CP26" s="751" t="n">
        <v>5</v>
      </c>
      <c r="CQ26" s="751" t="n">
        <v>5</v>
      </c>
      <c r="CR26" s="752">
        <f>(CQ26)</f>
        <v/>
      </c>
      <c r="CS26" s="786" t="n"/>
      <c r="CT26" s="751" t="n">
        <v>7</v>
      </c>
      <c r="CU26" s="751" t="n">
        <v>7</v>
      </c>
      <c r="CV26" s="751" t="n">
        <v>7</v>
      </c>
      <c r="CW26" s="751" t="n">
        <v>7</v>
      </c>
      <c r="CX26" s="751" t="n">
        <v>7</v>
      </c>
      <c r="CY26" s="751" t="n">
        <v>7</v>
      </c>
      <c r="CZ26" s="751" t="n">
        <v>7</v>
      </c>
      <c r="DA26" s="751" t="n">
        <v>7</v>
      </c>
      <c r="DB26" s="751" t="n">
        <v>7</v>
      </c>
      <c r="DC26" s="751" t="n">
        <v>7</v>
      </c>
      <c r="DD26" s="751" t="n">
        <v>7</v>
      </c>
      <c r="DE26" s="751" t="n">
        <v>7</v>
      </c>
      <c r="DF26" s="752">
        <f>(DE26)</f>
        <v/>
      </c>
    </row>
    <row r="27" ht="15" customHeight="1" s="1883">
      <c r="D27" s="730" t="n"/>
      <c r="E27" s="726" t="n"/>
      <c r="F27" s="726" t="n"/>
      <c r="G27" s="726" t="n"/>
      <c r="H27" s="726" t="n"/>
      <c r="I27" s="772" t="inlineStr">
        <is>
          <t>Administrative Team</t>
        </is>
      </c>
      <c r="J27" s="774" t="inlineStr">
        <is>
          <t>OCONUS</t>
        </is>
      </c>
      <c r="K27" s="726" t="n"/>
      <c r="L27" s="631" t="n"/>
      <c r="M27" s="783" t="n"/>
      <c r="N27" s="784" t="n"/>
      <c r="O27" s="778" t="n"/>
      <c r="P27" s="778" t="n"/>
      <c r="Q27" s="778" t="n"/>
      <c r="R27" s="778" t="n"/>
      <c r="S27" s="777" t="n"/>
      <c r="T27" s="777" t="n"/>
      <c r="U27" s="775" t="n"/>
      <c r="V27" s="775" t="n"/>
      <c r="W27" s="775" t="n"/>
      <c r="X27" s="775" t="n"/>
      <c r="Y27" s="776" t="n"/>
      <c r="Z27" s="777" t="n"/>
      <c r="AA27" s="702" t="n"/>
      <c r="AB27" s="785" t="n">
        <v>0</v>
      </c>
      <c r="AC27" s="785" t="n">
        <v>0</v>
      </c>
      <c r="AD27" s="785" t="n">
        <v>0</v>
      </c>
      <c r="AE27" s="785" t="n">
        <v>0</v>
      </c>
      <c r="AF27" s="785" t="n">
        <v>0</v>
      </c>
      <c r="AG27" s="785" t="n">
        <v>0</v>
      </c>
      <c r="AH27" s="751" t="n">
        <v>0</v>
      </c>
      <c r="AI27" s="751" t="n">
        <v>0</v>
      </c>
      <c r="AJ27" s="751" t="n">
        <v>0</v>
      </c>
      <c r="AK27" s="751" t="n">
        <v>0</v>
      </c>
      <c r="AL27" s="751" t="n">
        <v>0</v>
      </c>
      <c r="AM27" s="751" t="n">
        <v>0</v>
      </c>
      <c r="AN27" s="752">
        <f>(AM27)</f>
        <v/>
      </c>
      <c r="AO27" s="750" t="n"/>
      <c r="AP27" s="751" t="n">
        <v>1</v>
      </c>
      <c r="AQ27" s="751" t="n">
        <v>1</v>
      </c>
      <c r="AR27" s="751" t="n">
        <v>1</v>
      </c>
      <c r="AS27" s="751" t="n">
        <v>1</v>
      </c>
      <c r="AT27" s="751" t="n">
        <v>1</v>
      </c>
      <c r="AU27" s="751" t="n">
        <v>1</v>
      </c>
      <c r="AV27" s="751" t="n">
        <v>1</v>
      </c>
      <c r="AW27" s="751" t="n">
        <v>1</v>
      </c>
      <c r="AX27" s="751" t="n">
        <v>1</v>
      </c>
      <c r="AY27" s="751" t="n">
        <v>1</v>
      </c>
      <c r="AZ27" s="751" t="n">
        <v>1</v>
      </c>
      <c r="BA27" s="751" t="n">
        <v>1</v>
      </c>
      <c r="BB27" s="752">
        <f>(BA27)</f>
        <v/>
      </c>
      <c r="BC27" s="750" t="n"/>
      <c r="BD27" s="751" t="n">
        <v>4</v>
      </c>
      <c r="BE27" s="751" t="n">
        <v>4</v>
      </c>
      <c r="BF27" s="751" t="n">
        <v>4</v>
      </c>
      <c r="BG27" s="751" t="n">
        <v>4</v>
      </c>
      <c r="BH27" s="751" t="n">
        <v>4</v>
      </c>
      <c r="BI27" s="751" t="n">
        <v>4</v>
      </c>
      <c r="BJ27" s="751" t="n">
        <v>4</v>
      </c>
      <c r="BK27" s="751" t="n">
        <v>4</v>
      </c>
      <c r="BL27" s="751" t="n">
        <v>4</v>
      </c>
      <c r="BM27" s="751" t="n">
        <v>4</v>
      </c>
      <c r="BN27" s="751" t="n">
        <v>4</v>
      </c>
      <c r="BO27" s="751" t="n">
        <v>4</v>
      </c>
      <c r="BP27" s="752">
        <f>(BO27)</f>
        <v/>
      </c>
      <c r="BQ27" s="786" t="n"/>
      <c r="BR27" s="751" t="n">
        <v>7</v>
      </c>
      <c r="BS27" s="751" t="n">
        <v>7</v>
      </c>
      <c r="BT27" s="751" t="n">
        <v>7</v>
      </c>
      <c r="BU27" s="751" t="n">
        <v>7</v>
      </c>
      <c r="BV27" s="751" t="n">
        <v>7</v>
      </c>
      <c r="BW27" s="751" t="n">
        <v>7</v>
      </c>
      <c r="BX27" s="751" t="n">
        <v>7</v>
      </c>
      <c r="BY27" s="751" t="n">
        <v>7</v>
      </c>
      <c r="BZ27" s="751" t="n">
        <v>7</v>
      </c>
      <c r="CA27" s="751" t="n">
        <v>7</v>
      </c>
      <c r="CB27" s="751" t="n">
        <v>7</v>
      </c>
      <c r="CC27" s="751" t="n">
        <v>7</v>
      </c>
      <c r="CD27" s="752">
        <f>(CC27)</f>
        <v/>
      </c>
      <c r="CE27" s="786" t="n"/>
      <c r="CF27" s="751" t="n">
        <v>9</v>
      </c>
      <c r="CG27" s="751" t="n">
        <v>9</v>
      </c>
      <c r="CH27" s="751" t="n">
        <v>9</v>
      </c>
      <c r="CI27" s="751" t="n">
        <v>9</v>
      </c>
      <c r="CJ27" s="751" t="n">
        <v>9</v>
      </c>
      <c r="CK27" s="751" t="n">
        <v>9</v>
      </c>
      <c r="CL27" s="751" t="n">
        <v>9</v>
      </c>
      <c r="CM27" s="751" t="n">
        <v>9</v>
      </c>
      <c r="CN27" s="751" t="n">
        <v>9</v>
      </c>
      <c r="CO27" s="751" t="n">
        <v>9</v>
      </c>
      <c r="CP27" s="751" t="n">
        <v>9</v>
      </c>
      <c r="CQ27" s="751" t="n">
        <v>9</v>
      </c>
      <c r="CR27" s="752">
        <f>(CQ27)</f>
        <v/>
      </c>
      <c r="CS27" s="786" t="n"/>
      <c r="CT27" s="751" t="n">
        <v>12</v>
      </c>
      <c r="CU27" s="751" t="n">
        <v>12</v>
      </c>
      <c r="CV27" s="751" t="n">
        <v>12</v>
      </c>
      <c r="CW27" s="751" t="n">
        <v>12</v>
      </c>
      <c r="CX27" s="751" t="n">
        <v>12</v>
      </c>
      <c r="CY27" s="751" t="n">
        <v>12</v>
      </c>
      <c r="CZ27" s="751" t="n">
        <v>12</v>
      </c>
      <c r="DA27" s="751" t="n">
        <v>12</v>
      </c>
      <c r="DB27" s="751" t="n">
        <v>12</v>
      </c>
      <c r="DC27" s="751" t="n">
        <v>12</v>
      </c>
      <c r="DD27" s="751" t="n">
        <v>12</v>
      </c>
      <c r="DE27" s="751" t="n">
        <v>12</v>
      </c>
      <c r="DF27" s="752">
        <f>(DE27)</f>
        <v/>
      </c>
    </row>
    <row r="28" ht="15" customHeight="1" s="1883">
      <c r="D28" s="730" t="inlineStr">
        <is>
          <t>●</t>
        </is>
      </c>
      <c r="E28" s="726" t="inlineStr">
        <is>
          <t>TBD</t>
        </is>
      </c>
      <c r="F28" s="726" t="n"/>
      <c r="G28" s="726" t="n"/>
      <c r="H28" s="726" t="n"/>
      <c r="I28" s="772" t="inlineStr">
        <is>
          <t>Advisor</t>
        </is>
      </c>
      <c r="J28" s="727" t="inlineStr">
        <is>
          <t>CONUS</t>
        </is>
      </c>
      <c r="K28" s="726" t="n"/>
      <c r="L28" s="631" t="n"/>
      <c r="M28" s="783" t="n"/>
      <c r="N28" s="784" t="n"/>
      <c r="O28" s="778" t="n"/>
      <c r="P28" s="778" t="n"/>
      <c r="Q28" s="778" t="n"/>
      <c r="R28" s="778" t="n"/>
      <c r="S28" s="777" t="n"/>
      <c r="T28" s="777" t="n"/>
      <c r="U28" s="775" t="n"/>
      <c r="V28" s="775" t="n"/>
      <c r="W28" s="775" t="n"/>
      <c r="X28" s="775" t="n"/>
      <c r="Y28" s="776" t="n"/>
      <c r="Z28" s="777" t="n"/>
      <c r="AA28" s="702" t="n"/>
      <c r="AB28" s="785" t="n">
        <v>0</v>
      </c>
      <c r="AC28" s="785" t="n">
        <v>0</v>
      </c>
      <c r="AD28" s="785" t="n">
        <v>0</v>
      </c>
      <c r="AE28" s="785" t="n">
        <v>0</v>
      </c>
      <c r="AF28" s="785" t="n">
        <v>0</v>
      </c>
      <c r="AG28" s="785" t="n">
        <v>0</v>
      </c>
      <c r="AH28" s="785" t="n">
        <v>0</v>
      </c>
      <c r="AI28" s="785" t="n">
        <v>0</v>
      </c>
      <c r="AJ28" s="785" t="n">
        <v>0</v>
      </c>
      <c r="AK28" s="751" t="n">
        <v>0</v>
      </c>
      <c r="AL28" s="751" t="n">
        <v>0</v>
      </c>
      <c r="AM28" s="751" t="n">
        <v>0</v>
      </c>
      <c r="AN28" s="752">
        <f>(AM28)</f>
        <v/>
      </c>
      <c r="AO28" s="750" t="n"/>
      <c r="AP28" s="751" t="n">
        <v>1</v>
      </c>
      <c r="AQ28" s="751" t="n">
        <v>1</v>
      </c>
      <c r="AR28" s="751" t="n">
        <v>1</v>
      </c>
      <c r="AS28" s="751" t="n">
        <v>1</v>
      </c>
      <c r="AT28" s="751" t="n">
        <v>1</v>
      </c>
      <c r="AU28" s="751" t="n">
        <v>1</v>
      </c>
      <c r="AV28" s="751" t="n">
        <v>1</v>
      </c>
      <c r="AW28" s="751" t="n">
        <v>1</v>
      </c>
      <c r="AX28" s="751" t="n">
        <v>1</v>
      </c>
      <c r="AY28" s="751" t="n">
        <v>1</v>
      </c>
      <c r="AZ28" s="751" t="n">
        <v>1</v>
      </c>
      <c r="BA28" s="751" t="n">
        <v>1</v>
      </c>
      <c r="BB28" s="752">
        <f>(BA28)</f>
        <v/>
      </c>
      <c r="BC28" s="750" t="n"/>
      <c r="BD28" s="751" t="n">
        <v>4</v>
      </c>
      <c r="BE28" s="751" t="n">
        <v>4</v>
      </c>
      <c r="BF28" s="751" t="n">
        <v>4</v>
      </c>
      <c r="BG28" s="751" t="n">
        <v>4</v>
      </c>
      <c r="BH28" s="751" t="n">
        <v>4</v>
      </c>
      <c r="BI28" s="751" t="n">
        <v>4</v>
      </c>
      <c r="BJ28" s="751" t="n">
        <v>4</v>
      </c>
      <c r="BK28" s="751" t="n">
        <v>4</v>
      </c>
      <c r="BL28" s="751" t="n">
        <v>4</v>
      </c>
      <c r="BM28" s="751" t="n">
        <v>4</v>
      </c>
      <c r="BN28" s="751" t="n">
        <v>4</v>
      </c>
      <c r="BO28" s="751" t="n">
        <v>4</v>
      </c>
      <c r="BP28" s="752">
        <f>(BO28)</f>
        <v/>
      </c>
      <c r="BQ28" s="786" t="n"/>
      <c r="BR28" s="751" t="n">
        <v>5</v>
      </c>
      <c r="BS28" s="751" t="n">
        <v>5</v>
      </c>
      <c r="BT28" s="751" t="n">
        <v>5</v>
      </c>
      <c r="BU28" s="751" t="n">
        <v>5</v>
      </c>
      <c r="BV28" s="751" t="n">
        <v>5</v>
      </c>
      <c r="BW28" s="751" t="n">
        <v>5</v>
      </c>
      <c r="BX28" s="751" t="n">
        <v>5</v>
      </c>
      <c r="BY28" s="751" t="n">
        <v>5</v>
      </c>
      <c r="BZ28" s="751" t="n">
        <v>5</v>
      </c>
      <c r="CA28" s="751" t="n">
        <v>5</v>
      </c>
      <c r="CB28" s="751" t="n">
        <v>5</v>
      </c>
      <c r="CC28" s="751" t="n">
        <v>5</v>
      </c>
      <c r="CD28" s="752">
        <f>(CC28)</f>
        <v/>
      </c>
      <c r="CE28" s="786" t="n"/>
      <c r="CF28" s="751" t="n">
        <v>6</v>
      </c>
      <c r="CG28" s="751" t="n">
        <v>6</v>
      </c>
      <c r="CH28" s="751" t="n">
        <v>6</v>
      </c>
      <c r="CI28" s="751" t="n">
        <v>6</v>
      </c>
      <c r="CJ28" s="751" t="n">
        <v>6</v>
      </c>
      <c r="CK28" s="751" t="n">
        <v>6</v>
      </c>
      <c r="CL28" s="751" t="n">
        <v>6</v>
      </c>
      <c r="CM28" s="751" t="n">
        <v>6</v>
      </c>
      <c r="CN28" s="751" t="n">
        <v>6</v>
      </c>
      <c r="CO28" s="751" t="n">
        <v>6</v>
      </c>
      <c r="CP28" s="751" t="n">
        <v>6</v>
      </c>
      <c r="CQ28" s="751" t="n">
        <v>6</v>
      </c>
      <c r="CR28" s="752">
        <f>(CQ28)</f>
        <v/>
      </c>
      <c r="CS28" s="786" t="n"/>
      <c r="CT28" s="751" t="n">
        <v>11</v>
      </c>
      <c r="CU28" s="751" t="n">
        <v>11</v>
      </c>
      <c r="CV28" s="751" t="n">
        <v>11</v>
      </c>
      <c r="CW28" s="751" t="n">
        <v>11</v>
      </c>
      <c r="CX28" s="751" t="n">
        <v>11</v>
      </c>
      <c r="CY28" s="751" t="n">
        <v>11</v>
      </c>
      <c r="CZ28" s="751" t="n">
        <v>11</v>
      </c>
      <c r="DA28" s="751" t="n">
        <v>11</v>
      </c>
      <c r="DB28" s="751" t="n">
        <v>11</v>
      </c>
      <c r="DC28" s="751" t="n">
        <v>11</v>
      </c>
      <c r="DD28" s="751" t="n">
        <v>11</v>
      </c>
      <c r="DE28" s="751" t="n">
        <v>11</v>
      </c>
      <c r="DF28" s="752">
        <f>(DE28)</f>
        <v/>
      </c>
    </row>
    <row r="29" ht="15" customHeight="1" s="1883">
      <c r="D29" s="730" t="n"/>
      <c r="E29" s="726" t="n"/>
      <c r="F29" s="726" t="n"/>
      <c r="G29" s="726" t="n"/>
      <c r="H29" s="726" t="n"/>
      <c r="I29" s="772" t="inlineStr">
        <is>
          <t>Advisor</t>
        </is>
      </c>
      <c r="J29" s="774" t="inlineStr">
        <is>
          <t>OCONUS</t>
        </is>
      </c>
      <c r="K29" s="726" t="n"/>
      <c r="L29" s="631" t="n"/>
      <c r="M29" s="783" t="n"/>
      <c r="N29" s="784" t="n"/>
      <c r="O29" s="778" t="n"/>
      <c r="P29" s="778" t="n"/>
      <c r="Q29" s="778" t="n"/>
      <c r="R29" s="778" t="n"/>
      <c r="S29" s="777" t="n"/>
      <c r="T29" s="777" t="n"/>
      <c r="U29" s="775" t="n"/>
      <c r="V29" s="775" t="n"/>
      <c r="W29" s="775" t="n"/>
      <c r="X29" s="775" t="n"/>
      <c r="Y29" s="776" t="n"/>
      <c r="Z29" s="777" t="n"/>
      <c r="AA29" s="702" t="n"/>
      <c r="AB29" s="785" t="n">
        <v>0</v>
      </c>
      <c r="AC29" s="785" t="n">
        <v>0</v>
      </c>
      <c r="AD29" s="785" t="n">
        <v>0</v>
      </c>
      <c r="AE29" s="785" t="n">
        <v>0</v>
      </c>
      <c r="AF29" s="785" t="n">
        <v>0</v>
      </c>
      <c r="AG29" s="785" t="n">
        <v>0</v>
      </c>
      <c r="AH29" s="785" t="n">
        <v>0</v>
      </c>
      <c r="AI29" s="785" t="n">
        <v>0</v>
      </c>
      <c r="AJ29" s="785" t="n">
        <v>0</v>
      </c>
      <c r="AK29" s="785" t="n">
        <v>0</v>
      </c>
      <c r="AL29" s="785" t="n">
        <v>0</v>
      </c>
      <c r="AM29" s="785" t="n">
        <v>0</v>
      </c>
      <c r="AN29" s="752">
        <f>(AM29)</f>
        <v/>
      </c>
      <c r="AO29" s="750" t="n"/>
      <c r="AP29" s="751" t="n">
        <v>0</v>
      </c>
      <c r="AQ29" s="751" t="n">
        <v>0</v>
      </c>
      <c r="AR29" s="751" t="n">
        <v>0</v>
      </c>
      <c r="AS29" s="751" t="n">
        <v>0</v>
      </c>
      <c r="AT29" s="751" t="n">
        <v>0</v>
      </c>
      <c r="AU29" s="751" t="n">
        <v>0</v>
      </c>
      <c r="AV29" s="751" t="n">
        <v>0</v>
      </c>
      <c r="AW29" s="751" t="n">
        <v>0</v>
      </c>
      <c r="AX29" s="751" t="n">
        <v>0</v>
      </c>
      <c r="AY29" s="751" t="n">
        <v>0</v>
      </c>
      <c r="AZ29" s="751" t="n">
        <v>0</v>
      </c>
      <c r="BA29" s="751" t="n">
        <v>0</v>
      </c>
      <c r="BB29" s="752">
        <f>(BA29)</f>
        <v/>
      </c>
      <c r="BC29" s="750" t="n"/>
      <c r="BD29" s="751" t="n">
        <v>4</v>
      </c>
      <c r="BE29" s="751" t="n">
        <v>4</v>
      </c>
      <c r="BF29" s="751" t="n">
        <v>4</v>
      </c>
      <c r="BG29" s="751" t="n">
        <v>4</v>
      </c>
      <c r="BH29" s="751" t="n">
        <v>4</v>
      </c>
      <c r="BI29" s="751" t="n">
        <v>4</v>
      </c>
      <c r="BJ29" s="751" t="n">
        <v>4</v>
      </c>
      <c r="BK29" s="751" t="n">
        <v>4</v>
      </c>
      <c r="BL29" s="751" t="n">
        <v>4</v>
      </c>
      <c r="BM29" s="751" t="n">
        <v>4</v>
      </c>
      <c r="BN29" s="751" t="n">
        <v>4</v>
      </c>
      <c r="BO29" s="751" t="n">
        <v>4</v>
      </c>
      <c r="BP29" s="752">
        <f>(BO29)</f>
        <v/>
      </c>
      <c r="BQ29" s="786" t="n"/>
      <c r="BR29" s="751" t="n">
        <v>7</v>
      </c>
      <c r="BS29" s="751" t="n">
        <v>7</v>
      </c>
      <c r="BT29" s="751" t="n">
        <v>7</v>
      </c>
      <c r="BU29" s="751" t="n">
        <v>7</v>
      </c>
      <c r="BV29" s="751" t="n">
        <v>7</v>
      </c>
      <c r="BW29" s="751" t="n">
        <v>7</v>
      </c>
      <c r="BX29" s="751" t="n">
        <v>7</v>
      </c>
      <c r="BY29" s="751" t="n">
        <v>7</v>
      </c>
      <c r="BZ29" s="751" t="n">
        <v>7</v>
      </c>
      <c r="CA29" s="751" t="n">
        <v>7</v>
      </c>
      <c r="CB29" s="751" t="n">
        <v>7</v>
      </c>
      <c r="CC29" s="751" t="n">
        <v>7</v>
      </c>
      <c r="CD29" s="752">
        <f>(CC29)</f>
        <v/>
      </c>
      <c r="CE29" s="786" t="n"/>
      <c r="CF29" s="751" t="n">
        <v>8</v>
      </c>
      <c r="CG29" s="751" t="n">
        <v>8</v>
      </c>
      <c r="CH29" s="751" t="n">
        <v>8</v>
      </c>
      <c r="CI29" s="751" t="n">
        <v>8</v>
      </c>
      <c r="CJ29" s="751" t="n">
        <v>8</v>
      </c>
      <c r="CK29" s="751" t="n">
        <v>8</v>
      </c>
      <c r="CL29" s="751" t="n">
        <v>8</v>
      </c>
      <c r="CM29" s="751" t="n">
        <v>8</v>
      </c>
      <c r="CN29" s="751" t="n">
        <v>8</v>
      </c>
      <c r="CO29" s="751" t="n">
        <v>8</v>
      </c>
      <c r="CP29" s="751" t="n">
        <v>8</v>
      </c>
      <c r="CQ29" s="751" t="n">
        <v>8</v>
      </c>
      <c r="CR29" s="752">
        <f>(CQ29)</f>
        <v/>
      </c>
      <c r="CS29" s="786" t="n"/>
      <c r="CT29" s="751" t="n">
        <v>5</v>
      </c>
      <c r="CU29" s="751" t="n">
        <v>5</v>
      </c>
      <c r="CV29" s="751" t="n">
        <v>5</v>
      </c>
      <c r="CW29" s="751" t="n">
        <v>5</v>
      </c>
      <c r="CX29" s="751" t="n">
        <v>5</v>
      </c>
      <c r="CY29" s="751" t="n">
        <v>5</v>
      </c>
      <c r="CZ29" s="751" t="n">
        <v>5</v>
      </c>
      <c r="DA29" s="751" t="n">
        <v>5</v>
      </c>
      <c r="DB29" s="751" t="n">
        <v>5</v>
      </c>
      <c r="DC29" s="751" t="n">
        <v>5</v>
      </c>
      <c r="DD29" s="751" t="n">
        <v>5</v>
      </c>
      <c r="DE29" s="751" t="n">
        <v>5</v>
      </c>
      <c r="DF29" s="752">
        <f>(DE29)</f>
        <v/>
      </c>
    </row>
    <row r="30" ht="15" customHeight="1" s="1883">
      <c r="D30" s="730" t="inlineStr">
        <is>
          <t>●</t>
        </is>
      </c>
      <c r="E30" s="726" t="inlineStr">
        <is>
          <t>TBD</t>
        </is>
      </c>
      <c r="F30" s="726" t="n"/>
      <c r="G30" s="726" t="n"/>
      <c r="H30" s="726" t="n"/>
      <c r="I30" s="916" t="inlineStr">
        <is>
          <t>Sales Team</t>
        </is>
      </c>
      <c r="J30" s="727" t="inlineStr">
        <is>
          <t>CONUS</t>
        </is>
      </c>
      <c r="K30" s="726" t="n"/>
      <c r="L30" s="631" t="n"/>
      <c r="M30" s="783" t="n"/>
      <c r="N30" s="784" t="n"/>
      <c r="O30" s="778" t="n"/>
      <c r="P30" s="778" t="n"/>
      <c r="Q30" s="778" t="n"/>
      <c r="R30" s="778" t="n"/>
      <c r="S30" s="777" t="n"/>
      <c r="T30" s="777" t="n"/>
      <c r="U30" s="775" t="n"/>
      <c r="V30" s="775" t="n"/>
      <c r="W30" s="775" t="n"/>
      <c r="X30" s="775" t="n"/>
      <c r="Y30" s="776" t="n"/>
      <c r="Z30" s="777" t="n"/>
      <c r="AA30" s="702" t="n"/>
      <c r="AB30" s="751" t="n">
        <v>0</v>
      </c>
      <c r="AC30" s="751" t="n">
        <v>0</v>
      </c>
      <c r="AD30" s="751" t="n">
        <v>0</v>
      </c>
      <c r="AE30" s="751" t="n">
        <v>0</v>
      </c>
      <c r="AF30" s="751" t="n">
        <v>0</v>
      </c>
      <c r="AG30" s="751" t="n">
        <v>0</v>
      </c>
      <c r="AH30" s="751" t="n">
        <v>0</v>
      </c>
      <c r="AI30" s="751" t="n">
        <v>0</v>
      </c>
      <c r="AJ30" s="751" t="n">
        <v>0</v>
      </c>
      <c r="AK30" s="751" t="n">
        <v>0</v>
      </c>
      <c r="AL30" s="751" t="n">
        <v>0</v>
      </c>
      <c r="AM30" s="751" t="n">
        <v>0</v>
      </c>
      <c r="AN30" s="752">
        <f>(AM30)</f>
        <v/>
      </c>
      <c r="AO30" s="750" t="n"/>
      <c r="AP30" s="751" t="n">
        <v>9</v>
      </c>
      <c r="AQ30" s="751" t="n">
        <v>9</v>
      </c>
      <c r="AR30" s="751" t="n">
        <v>9</v>
      </c>
      <c r="AS30" s="751" t="n">
        <v>9</v>
      </c>
      <c r="AT30" s="751" t="n">
        <v>9</v>
      </c>
      <c r="AU30" s="751" t="n">
        <v>9</v>
      </c>
      <c r="AV30" s="751" t="n">
        <v>9</v>
      </c>
      <c r="AW30" s="751" t="n">
        <v>9</v>
      </c>
      <c r="AX30" s="751" t="n">
        <v>9</v>
      </c>
      <c r="AY30" s="751" t="n">
        <v>9</v>
      </c>
      <c r="AZ30" s="751" t="n">
        <v>9</v>
      </c>
      <c r="BA30" s="751" t="n">
        <v>9</v>
      </c>
      <c r="BB30" s="752">
        <f>(BA30)</f>
        <v/>
      </c>
      <c r="BC30" s="750" t="n"/>
      <c r="BD30" s="751" t="n">
        <v>8</v>
      </c>
      <c r="BE30" s="751" t="n">
        <v>8</v>
      </c>
      <c r="BF30" s="751" t="n">
        <v>8</v>
      </c>
      <c r="BG30" s="751" t="n">
        <v>8</v>
      </c>
      <c r="BH30" s="751" t="n">
        <v>8</v>
      </c>
      <c r="BI30" s="751" t="n">
        <v>8</v>
      </c>
      <c r="BJ30" s="751" t="n">
        <v>8</v>
      </c>
      <c r="BK30" s="751" t="n">
        <v>8</v>
      </c>
      <c r="BL30" s="751" t="n">
        <v>8</v>
      </c>
      <c r="BM30" s="751" t="n">
        <v>8</v>
      </c>
      <c r="BN30" s="751" t="n">
        <v>8</v>
      </c>
      <c r="BO30" s="751" t="n">
        <v>8</v>
      </c>
      <c r="BP30" s="752">
        <f>(BO30)</f>
        <v/>
      </c>
      <c r="BQ30" s="786" t="n"/>
      <c r="BR30" s="751" t="n">
        <v>9</v>
      </c>
      <c r="BS30" s="751" t="n">
        <v>9</v>
      </c>
      <c r="BT30" s="751" t="n">
        <v>9</v>
      </c>
      <c r="BU30" s="751" t="n">
        <v>9</v>
      </c>
      <c r="BV30" s="751" t="n">
        <v>9</v>
      </c>
      <c r="BW30" s="751" t="n">
        <v>9</v>
      </c>
      <c r="BX30" s="751" t="n">
        <v>9</v>
      </c>
      <c r="BY30" s="751" t="n">
        <v>9</v>
      </c>
      <c r="BZ30" s="751" t="n">
        <v>9</v>
      </c>
      <c r="CA30" s="751" t="n">
        <v>9</v>
      </c>
      <c r="CB30" s="751" t="n">
        <v>9</v>
      </c>
      <c r="CC30" s="751" t="n">
        <v>9</v>
      </c>
      <c r="CD30" s="752">
        <f>(CC30)</f>
        <v/>
      </c>
      <c r="CE30" s="786" t="n"/>
      <c r="CF30" s="751" t="n">
        <v>11</v>
      </c>
      <c r="CG30" s="751" t="n">
        <v>11</v>
      </c>
      <c r="CH30" s="751" t="n">
        <v>11</v>
      </c>
      <c r="CI30" s="751" t="n">
        <v>11</v>
      </c>
      <c r="CJ30" s="751" t="n">
        <v>11</v>
      </c>
      <c r="CK30" s="751" t="n">
        <v>11</v>
      </c>
      <c r="CL30" s="751" t="n">
        <v>11</v>
      </c>
      <c r="CM30" s="751" t="n">
        <v>11</v>
      </c>
      <c r="CN30" s="751" t="n">
        <v>11</v>
      </c>
      <c r="CO30" s="751" t="n">
        <v>11</v>
      </c>
      <c r="CP30" s="751" t="n">
        <v>11</v>
      </c>
      <c r="CQ30" s="751" t="n">
        <v>11</v>
      </c>
      <c r="CR30" s="752">
        <f>(CQ30)</f>
        <v/>
      </c>
      <c r="CS30" s="786" t="n"/>
      <c r="CT30" s="751" t="n">
        <v>15</v>
      </c>
      <c r="CU30" s="751" t="n">
        <v>15</v>
      </c>
      <c r="CV30" s="751" t="n">
        <v>15</v>
      </c>
      <c r="CW30" s="751" t="n">
        <v>15</v>
      </c>
      <c r="CX30" s="751" t="n">
        <v>15</v>
      </c>
      <c r="CY30" s="751" t="n">
        <v>15</v>
      </c>
      <c r="CZ30" s="751" t="n">
        <v>15</v>
      </c>
      <c r="DA30" s="751" t="n">
        <v>15</v>
      </c>
      <c r="DB30" s="751" t="n">
        <v>15</v>
      </c>
      <c r="DC30" s="751" t="n">
        <v>15</v>
      </c>
      <c r="DD30" s="751" t="n">
        <v>15</v>
      </c>
      <c r="DE30" s="751" t="n">
        <v>15</v>
      </c>
      <c r="DF30" s="752">
        <f>(DE30)</f>
        <v/>
      </c>
    </row>
    <row r="31" ht="15" customHeight="1" s="1883">
      <c r="D31" s="730" t="n"/>
      <c r="E31" s="726" t="n"/>
      <c r="F31" s="726" t="n"/>
      <c r="G31" s="726" t="n"/>
      <c r="H31" s="726" t="n"/>
      <c r="I31" s="916" t="inlineStr">
        <is>
          <t>Sales Team</t>
        </is>
      </c>
      <c r="J31" s="774" t="inlineStr">
        <is>
          <t>OCONUS</t>
        </is>
      </c>
      <c r="K31" s="726" t="n"/>
      <c r="L31" s="631" t="n"/>
      <c r="M31" s="783" t="n"/>
      <c r="N31" s="784" t="n"/>
      <c r="O31" s="778" t="n"/>
      <c r="P31" s="778" t="n"/>
      <c r="Q31" s="778" t="n"/>
      <c r="R31" s="778" t="n"/>
      <c r="S31" s="777" t="n"/>
      <c r="T31" s="777" t="n"/>
      <c r="U31" s="775" t="n"/>
      <c r="V31" s="775" t="n"/>
      <c r="W31" s="775" t="n"/>
      <c r="X31" s="775" t="n"/>
      <c r="Y31" s="776" t="n"/>
      <c r="Z31" s="777" t="n"/>
      <c r="AA31" s="702" t="n"/>
      <c r="AB31" s="785" t="n">
        <v>0</v>
      </c>
      <c r="AC31" s="785" t="n">
        <v>0</v>
      </c>
      <c r="AD31" s="785" t="n">
        <v>0</v>
      </c>
      <c r="AE31" s="785" t="n">
        <v>0</v>
      </c>
      <c r="AF31" s="785" t="n">
        <v>0</v>
      </c>
      <c r="AG31" s="785" t="n">
        <v>0</v>
      </c>
      <c r="AH31" s="785" t="n">
        <v>0</v>
      </c>
      <c r="AI31" s="785" t="n">
        <v>0</v>
      </c>
      <c r="AJ31" s="785" t="n">
        <v>0</v>
      </c>
      <c r="AK31" s="785" t="n">
        <v>0</v>
      </c>
      <c r="AL31" s="785" t="n">
        <v>0</v>
      </c>
      <c r="AM31" s="785" t="n">
        <v>0</v>
      </c>
      <c r="AN31" s="752">
        <f>(AM31)</f>
        <v/>
      </c>
      <c r="AO31" s="750" t="n"/>
      <c r="AP31" s="751" t="n">
        <v>6</v>
      </c>
      <c r="AQ31" s="751" t="n">
        <v>6</v>
      </c>
      <c r="AR31" s="751" t="n">
        <v>6</v>
      </c>
      <c r="AS31" s="751" t="n">
        <v>6</v>
      </c>
      <c r="AT31" s="751" t="n">
        <v>6</v>
      </c>
      <c r="AU31" s="751" t="n">
        <v>6</v>
      </c>
      <c r="AV31" s="751" t="n">
        <v>6</v>
      </c>
      <c r="AW31" s="751" t="n">
        <v>6</v>
      </c>
      <c r="AX31" s="751" t="n">
        <v>6</v>
      </c>
      <c r="AY31" s="751" t="n">
        <v>6</v>
      </c>
      <c r="AZ31" s="751" t="n">
        <v>6</v>
      </c>
      <c r="BA31" s="751" t="n">
        <v>6</v>
      </c>
      <c r="BB31" s="752">
        <f>(BA31)</f>
        <v/>
      </c>
      <c r="BC31" s="750" t="n"/>
      <c r="BD31" s="751" t="n">
        <v>9</v>
      </c>
      <c r="BE31" s="751" t="n">
        <v>9</v>
      </c>
      <c r="BF31" s="751" t="n">
        <v>9</v>
      </c>
      <c r="BG31" s="751" t="n">
        <v>9</v>
      </c>
      <c r="BH31" s="751" t="n">
        <v>9</v>
      </c>
      <c r="BI31" s="751" t="n">
        <v>9</v>
      </c>
      <c r="BJ31" s="751" t="n">
        <v>9</v>
      </c>
      <c r="BK31" s="751" t="n">
        <v>9</v>
      </c>
      <c r="BL31" s="751" t="n">
        <v>9</v>
      </c>
      <c r="BM31" s="751" t="n">
        <v>9</v>
      </c>
      <c r="BN31" s="751" t="n">
        <v>9</v>
      </c>
      <c r="BO31" s="751" t="n">
        <v>9</v>
      </c>
      <c r="BP31" s="752">
        <f>(BO31)</f>
        <v/>
      </c>
      <c r="BQ31" s="786" t="n"/>
      <c r="BR31" s="751" t="n">
        <v>9</v>
      </c>
      <c r="BS31" s="751" t="n">
        <v>9</v>
      </c>
      <c r="BT31" s="751" t="n">
        <v>9</v>
      </c>
      <c r="BU31" s="751" t="n">
        <v>9</v>
      </c>
      <c r="BV31" s="751" t="n">
        <v>9</v>
      </c>
      <c r="BW31" s="751" t="n">
        <v>9</v>
      </c>
      <c r="BX31" s="751" t="n">
        <v>9</v>
      </c>
      <c r="BY31" s="751" t="n">
        <v>9</v>
      </c>
      <c r="BZ31" s="751" t="n">
        <v>9</v>
      </c>
      <c r="CA31" s="751" t="n">
        <v>9</v>
      </c>
      <c r="CB31" s="751" t="n">
        <v>9</v>
      </c>
      <c r="CC31" s="751" t="n">
        <v>9</v>
      </c>
      <c r="CD31" s="752">
        <f>(CC31)</f>
        <v/>
      </c>
      <c r="CE31" s="786" t="n"/>
      <c r="CF31" s="751" t="n">
        <v>11</v>
      </c>
      <c r="CG31" s="751" t="n">
        <v>11</v>
      </c>
      <c r="CH31" s="751" t="n">
        <v>11</v>
      </c>
      <c r="CI31" s="751" t="n">
        <v>11</v>
      </c>
      <c r="CJ31" s="751" t="n">
        <v>11</v>
      </c>
      <c r="CK31" s="751" t="n">
        <v>11</v>
      </c>
      <c r="CL31" s="751" t="n">
        <v>11</v>
      </c>
      <c r="CM31" s="751" t="n">
        <v>11</v>
      </c>
      <c r="CN31" s="751" t="n">
        <v>11</v>
      </c>
      <c r="CO31" s="751" t="n">
        <v>11</v>
      </c>
      <c r="CP31" s="751" t="n">
        <v>11</v>
      </c>
      <c r="CQ31" s="751" t="n">
        <v>11</v>
      </c>
      <c r="CR31" s="752">
        <f>(CQ31)</f>
        <v/>
      </c>
      <c r="CS31" s="786" t="n"/>
      <c r="CT31" s="751" t="n">
        <v>15</v>
      </c>
      <c r="CU31" s="751" t="n">
        <v>15</v>
      </c>
      <c r="CV31" s="751" t="n">
        <v>15</v>
      </c>
      <c r="CW31" s="751" t="n">
        <v>15</v>
      </c>
      <c r="CX31" s="751" t="n">
        <v>15</v>
      </c>
      <c r="CY31" s="751" t="n">
        <v>15</v>
      </c>
      <c r="CZ31" s="751" t="n">
        <v>15</v>
      </c>
      <c r="DA31" s="751" t="n">
        <v>15</v>
      </c>
      <c r="DB31" s="751" t="n">
        <v>15</v>
      </c>
      <c r="DC31" s="751" t="n">
        <v>15</v>
      </c>
      <c r="DD31" s="751" t="n">
        <v>15</v>
      </c>
      <c r="DE31" s="751" t="n">
        <v>15</v>
      </c>
      <c r="DF31" s="752">
        <f>(DE31)</f>
        <v/>
      </c>
    </row>
    <row r="32" ht="15" customHeight="1" s="1883">
      <c r="D32" s="730" t="inlineStr">
        <is>
          <t>●</t>
        </is>
      </c>
      <c r="E32" s="726" t="inlineStr">
        <is>
          <t>TBD</t>
        </is>
      </c>
      <c r="F32" s="726" t="n"/>
      <c r="G32" s="726" t="n"/>
      <c r="H32" s="743" t="n"/>
      <c r="I32" s="804" t="inlineStr">
        <is>
          <t>Pure Marketing Group - Marketing Team</t>
        </is>
      </c>
      <c r="J32" s="727" t="inlineStr">
        <is>
          <t>CONUS</t>
        </is>
      </c>
      <c r="K32" s="726" t="n"/>
      <c r="L32" s="631" t="n"/>
      <c r="M32" s="783" t="n"/>
      <c r="N32" s="784" t="n"/>
      <c r="O32" s="778" t="n"/>
      <c r="P32" s="778" t="n"/>
      <c r="Q32" s="778" t="n"/>
      <c r="R32" s="778" t="n"/>
      <c r="S32" s="777" t="n"/>
      <c r="T32" s="777" t="n"/>
      <c r="U32" s="775" t="n"/>
      <c r="V32" s="775" t="n"/>
      <c r="W32" s="775" t="n"/>
      <c r="X32" s="775" t="n"/>
      <c r="Y32" s="776" t="n"/>
      <c r="Z32" s="777" t="n"/>
      <c r="AA32" s="702" t="n"/>
      <c r="AB32" s="751" t="n">
        <v>0</v>
      </c>
      <c r="AC32" s="751" t="n">
        <v>0</v>
      </c>
      <c r="AD32" s="751" t="n">
        <v>0</v>
      </c>
      <c r="AE32" s="751" t="n">
        <v>0</v>
      </c>
      <c r="AF32" s="751" t="n">
        <v>0</v>
      </c>
      <c r="AG32" s="751" t="n">
        <v>0</v>
      </c>
      <c r="AH32" s="751" t="n">
        <v>0</v>
      </c>
      <c r="AI32" s="751" t="n">
        <v>0</v>
      </c>
      <c r="AJ32" s="751" t="n">
        <v>0</v>
      </c>
      <c r="AK32" s="751" t="n">
        <v>0</v>
      </c>
      <c r="AL32" s="751" t="n">
        <v>0</v>
      </c>
      <c r="AM32" s="751" t="n">
        <v>0</v>
      </c>
      <c r="AN32" s="752">
        <f>(AM32)</f>
        <v/>
      </c>
      <c r="AO32" s="750" t="n"/>
      <c r="AP32" s="751" t="n">
        <v>11</v>
      </c>
      <c r="AQ32" s="751" t="n">
        <v>11</v>
      </c>
      <c r="AR32" s="751" t="n">
        <v>11</v>
      </c>
      <c r="AS32" s="751" t="n">
        <v>11</v>
      </c>
      <c r="AT32" s="751" t="n">
        <v>11</v>
      </c>
      <c r="AU32" s="751" t="n">
        <v>11</v>
      </c>
      <c r="AV32" s="751" t="n">
        <v>11</v>
      </c>
      <c r="AW32" s="751" t="n">
        <v>11</v>
      </c>
      <c r="AX32" s="751" t="n">
        <v>11</v>
      </c>
      <c r="AY32" s="751" t="n">
        <v>11</v>
      </c>
      <c r="AZ32" s="751" t="n">
        <v>11</v>
      </c>
      <c r="BA32" s="751" t="n">
        <v>11</v>
      </c>
      <c r="BB32" s="752">
        <f>(BA32)</f>
        <v/>
      </c>
      <c r="BC32" s="750" t="n"/>
      <c r="BD32" s="751" t="n">
        <v>8</v>
      </c>
      <c r="BE32" s="751" t="n">
        <v>8</v>
      </c>
      <c r="BF32" s="751" t="n">
        <v>8</v>
      </c>
      <c r="BG32" s="751" t="n">
        <v>8</v>
      </c>
      <c r="BH32" s="751" t="n">
        <v>8</v>
      </c>
      <c r="BI32" s="751" t="n">
        <v>8</v>
      </c>
      <c r="BJ32" s="751" t="n">
        <v>8</v>
      </c>
      <c r="BK32" s="751" t="n">
        <v>8</v>
      </c>
      <c r="BL32" s="751" t="n">
        <v>8</v>
      </c>
      <c r="BM32" s="751" t="n">
        <v>8</v>
      </c>
      <c r="BN32" s="751" t="n">
        <v>8</v>
      </c>
      <c r="BO32" s="751" t="n">
        <v>8</v>
      </c>
      <c r="BP32" s="752">
        <f>(BO32)</f>
        <v/>
      </c>
      <c r="BQ32" s="786" t="n"/>
      <c r="BR32" s="751" t="n">
        <v>7</v>
      </c>
      <c r="BS32" s="751" t="n">
        <v>7</v>
      </c>
      <c r="BT32" s="751" t="n">
        <v>7</v>
      </c>
      <c r="BU32" s="751" t="n">
        <v>7</v>
      </c>
      <c r="BV32" s="751" t="n">
        <v>7</v>
      </c>
      <c r="BW32" s="751" t="n">
        <v>7</v>
      </c>
      <c r="BX32" s="751" t="n">
        <v>7</v>
      </c>
      <c r="BY32" s="751" t="n">
        <v>7</v>
      </c>
      <c r="BZ32" s="751" t="n">
        <v>7</v>
      </c>
      <c r="CA32" s="751" t="n">
        <v>7</v>
      </c>
      <c r="CB32" s="751" t="n">
        <v>7</v>
      </c>
      <c r="CC32" s="751" t="n">
        <v>7</v>
      </c>
      <c r="CD32" s="752">
        <f>(CC32)</f>
        <v/>
      </c>
      <c r="CE32" s="786" t="n"/>
      <c r="CF32" s="751" t="n">
        <v>10</v>
      </c>
      <c r="CG32" s="751" t="n">
        <v>10</v>
      </c>
      <c r="CH32" s="751" t="n">
        <v>10</v>
      </c>
      <c r="CI32" s="751" t="n">
        <v>10</v>
      </c>
      <c r="CJ32" s="751" t="n">
        <v>10</v>
      </c>
      <c r="CK32" s="751" t="n">
        <v>10</v>
      </c>
      <c r="CL32" s="751" t="n">
        <v>10</v>
      </c>
      <c r="CM32" s="751" t="n">
        <v>10</v>
      </c>
      <c r="CN32" s="751" t="n">
        <v>10</v>
      </c>
      <c r="CO32" s="751" t="n">
        <v>10</v>
      </c>
      <c r="CP32" s="751" t="n">
        <v>10</v>
      </c>
      <c r="CQ32" s="751" t="n">
        <v>10</v>
      </c>
      <c r="CR32" s="752">
        <f>(CQ32)</f>
        <v/>
      </c>
      <c r="CS32" s="786" t="n"/>
      <c r="CT32" s="751" t="n">
        <v>12</v>
      </c>
      <c r="CU32" s="751" t="n">
        <v>12</v>
      </c>
      <c r="CV32" s="751" t="n">
        <v>12</v>
      </c>
      <c r="CW32" s="751" t="n">
        <v>12</v>
      </c>
      <c r="CX32" s="751" t="n">
        <v>12</v>
      </c>
      <c r="CY32" s="751" t="n">
        <v>12</v>
      </c>
      <c r="CZ32" s="751" t="n">
        <v>12</v>
      </c>
      <c r="DA32" s="751" t="n">
        <v>12</v>
      </c>
      <c r="DB32" s="751" t="n">
        <v>12</v>
      </c>
      <c r="DC32" s="751" t="n">
        <v>12</v>
      </c>
      <c r="DD32" s="751" t="n">
        <v>12</v>
      </c>
      <c r="DE32" s="751" t="n">
        <v>12</v>
      </c>
      <c r="DF32" s="752">
        <f>(DE32)</f>
        <v/>
      </c>
    </row>
    <row r="33" ht="15" customHeight="1" s="1883">
      <c r="D33" s="730" t="n"/>
      <c r="E33" s="726" t="n"/>
      <c r="F33" s="726" t="n"/>
      <c r="G33" s="726" t="n"/>
      <c r="H33" s="743" t="n"/>
      <c r="I33" s="804" t="inlineStr">
        <is>
          <t>Pure Marketing Group - Marketing Team</t>
        </is>
      </c>
      <c r="J33" s="774" t="inlineStr">
        <is>
          <t>OCONUS</t>
        </is>
      </c>
      <c r="K33" s="726" t="n"/>
      <c r="L33" s="631" t="n"/>
      <c r="M33" s="783" t="n"/>
      <c r="N33" s="784" t="n"/>
      <c r="O33" s="778" t="n"/>
      <c r="P33" s="778" t="n"/>
      <c r="Q33" s="778" t="n"/>
      <c r="R33" s="778" t="n"/>
      <c r="S33" s="777" t="n"/>
      <c r="T33" s="777" t="n"/>
      <c r="U33" s="775" t="n"/>
      <c r="V33" s="775" t="n"/>
      <c r="W33" s="775" t="n"/>
      <c r="X33" s="775" t="n"/>
      <c r="Y33" s="776" t="n"/>
      <c r="Z33" s="777" t="n"/>
      <c r="AA33" s="702" t="n"/>
      <c r="AB33" s="751" t="n">
        <v>0</v>
      </c>
      <c r="AC33" s="751" t="n">
        <v>0</v>
      </c>
      <c r="AD33" s="751" t="n">
        <v>0</v>
      </c>
      <c r="AE33" s="751" t="n">
        <v>0</v>
      </c>
      <c r="AF33" s="751" t="n">
        <v>0</v>
      </c>
      <c r="AG33" s="751" t="n">
        <v>0</v>
      </c>
      <c r="AH33" s="751" t="n">
        <v>0</v>
      </c>
      <c r="AI33" s="751" t="n">
        <v>0</v>
      </c>
      <c r="AJ33" s="751" t="n">
        <v>0</v>
      </c>
      <c r="AK33" s="751" t="n">
        <v>0</v>
      </c>
      <c r="AL33" s="751" t="n">
        <v>0</v>
      </c>
      <c r="AM33" s="751" t="n">
        <v>0</v>
      </c>
      <c r="AN33" s="752">
        <f>(AM33)</f>
        <v/>
      </c>
      <c r="AO33" s="750" t="n"/>
      <c r="AP33" s="751" t="n">
        <v>14</v>
      </c>
      <c r="AQ33" s="751" t="n">
        <v>14</v>
      </c>
      <c r="AR33" s="751" t="n">
        <v>14</v>
      </c>
      <c r="AS33" s="751" t="n">
        <v>14</v>
      </c>
      <c r="AT33" s="751" t="n">
        <v>14</v>
      </c>
      <c r="AU33" s="751" t="n">
        <v>14</v>
      </c>
      <c r="AV33" s="751" t="n">
        <v>14</v>
      </c>
      <c r="AW33" s="751" t="n">
        <v>14</v>
      </c>
      <c r="AX33" s="751" t="n">
        <v>14</v>
      </c>
      <c r="AY33" s="751" t="n">
        <v>14</v>
      </c>
      <c r="AZ33" s="751" t="n">
        <v>14</v>
      </c>
      <c r="BA33" s="751" t="n">
        <v>14</v>
      </c>
      <c r="BB33" s="752">
        <f>(BA33)</f>
        <v/>
      </c>
      <c r="BC33" s="750" t="n"/>
      <c r="BD33" s="751" t="n">
        <v>10</v>
      </c>
      <c r="BE33" s="751" t="n">
        <v>10</v>
      </c>
      <c r="BF33" s="751" t="n">
        <v>10</v>
      </c>
      <c r="BG33" s="751" t="n">
        <v>10</v>
      </c>
      <c r="BH33" s="751" t="n">
        <v>10</v>
      </c>
      <c r="BI33" s="751" t="n">
        <v>10</v>
      </c>
      <c r="BJ33" s="751" t="n">
        <v>10</v>
      </c>
      <c r="BK33" s="751" t="n">
        <v>10</v>
      </c>
      <c r="BL33" s="751" t="n">
        <v>10</v>
      </c>
      <c r="BM33" s="751" t="n">
        <v>10</v>
      </c>
      <c r="BN33" s="751" t="n">
        <v>10</v>
      </c>
      <c r="BO33" s="751" t="n">
        <v>10</v>
      </c>
      <c r="BP33" s="752">
        <f>(BO33)</f>
        <v/>
      </c>
      <c r="BQ33" s="786" t="n"/>
      <c r="BR33" s="751" t="n">
        <v>13</v>
      </c>
      <c r="BS33" s="751" t="n">
        <v>13</v>
      </c>
      <c r="BT33" s="751" t="n">
        <v>13</v>
      </c>
      <c r="BU33" s="751" t="n">
        <v>13</v>
      </c>
      <c r="BV33" s="751" t="n">
        <v>13</v>
      </c>
      <c r="BW33" s="751" t="n">
        <v>13</v>
      </c>
      <c r="BX33" s="751" t="n">
        <v>13</v>
      </c>
      <c r="BY33" s="751" t="n">
        <v>13</v>
      </c>
      <c r="BZ33" s="751" t="n">
        <v>13</v>
      </c>
      <c r="CA33" s="751" t="n">
        <v>13</v>
      </c>
      <c r="CB33" s="751" t="n">
        <v>13</v>
      </c>
      <c r="CC33" s="751" t="n">
        <v>13</v>
      </c>
      <c r="CD33" s="752">
        <f>(CC33)</f>
        <v/>
      </c>
      <c r="CE33" s="786" t="n"/>
      <c r="CF33" s="751" t="n">
        <v>13</v>
      </c>
      <c r="CG33" s="751" t="n">
        <v>13</v>
      </c>
      <c r="CH33" s="751" t="n">
        <v>13</v>
      </c>
      <c r="CI33" s="751" t="n">
        <v>13</v>
      </c>
      <c r="CJ33" s="751" t="n">
        <v>13</v>
      </c>
      <c r="CK33" s="751" t="n">
        <v>13</v>
      </c>
      <c r="CL33" s="751" t="n">
        <v>13</v>
      </c>
      <c r="CM33" s="751" t="n">
        <v>13</v>
      </c>
      <c r="CN33" s="751" t="n">
        <v>13</v>
      </c>
      <c r="CO33" s="751" t="n">
        <v>13</v>
      </c>
      <c r="CP33" s="751" t="n">
        <v>13</v>
      </c>
      <c r="CQ33" s="751" t="n">
        <v>13</v>
      </c>
      <c r="CR33" s="752">
        <f>(CQ33)</f>
        <v/>
      </c>
      <c r="CS33" s="786" t="n"/>
      <c r="CT33" s="751" t="n">
        <v>18</v>
      </c>
      <c r="CU33" s="751" t="n">
        <v>18</v>
      </c>
      <c r="CV33" s="751" t="n">
        <v>18</v>
      </c>
      <c r="CW33" s="751" t="n">
        <v>18</v>
      </c>
      <c r="CX33" s="751" t="n">
        <v>18</v>
      </c>
      <c r="CY33" s="751" t="n">
        <v>18</v>
      </c>
      <c r="CZ33" s="751" t="n">
        <v>18</v>
      </c>
      <c r="DA33" s="751" t="n">
        <v>18</v>
      </c>
      <c r="DB33" s="751" t="n">
        <v>18</v>
      </c>
      <c r="DC33" s="751" t="n">
        <v>18</v>
      </c>
      <c r="DD33" s="751" t="n">
        <v>18</v>
      </c>
      <c r="DE33" s="751" t="n">
        <v>18</v>
      </c>
      <c r="DF33" s="752">
        <f>(DE33)</f>
        <v/>
      </c>
    </row>
    <row r="34" ht="15" customHeight="1" s="1883">
      <c r="D34" s="730" t="inlineStr">
        <is>
          <t>●</t>
        </is>
      </c>
      <c r="E34" s="726" t="inlineStr">
        <is>
          <t>TBD</t>
        </is>
      </c>
      <c r="F34" s="726" t="n"/>
      <c r="G34" s="726" t="n"/>
      <c r="H34" s="726" t="n"/>
      <c r="I34" s="743" t="inlineStr">
        <is>
          <t>Pure Tech Marketing Team</t>
        </is>
      </c>
      <c r="J34" s="727" t="inlineStr">
        <is>
          <t>CONUS</t>
        </is>
      </c>
      <c r="K34" s="726" t="n"/>
      <c r="L34" s="631" t="n"/>
      <c r="M34" s="783" t="n"/>
      <c r="N34" s="784" t="n"/>
      <c r="O34" s="778" t="n"/>
      <c r="P34" s="778" t="n"/>
      <c r="Q34" s="778" t="n"/>
      <c r="R34" s="778" t="n"/>
      <c r="S34" s="777" t="n"/>
      <c r="T34" s="777" t="n"/>
      <c r="U34" s="775" t="n"/>
      <c r="V34" s="775" t="n"/>
      <c r="W34" s="775" t="n"/>
      <c r="X34" s="775" t="n"/>
      <c r="Y34" s="776" t="n"/>
      <c r="Z34" s="777" t="n"/>
      <c r="AA34" s="702" t="n"/>
      <c r="AB34" s="751" t="n">
        <v>0</v>
      </c>
      <c r="AC34" s="751" t="n">
        <v>0</v>
      </c>
      <c r="AD34" s="751" t="n">
        <v>0</v>
      </c>
      <c r="AE34" s="751" t="n">
        <v>0</v>
      </c>
      <c r="AF34" s="751" t="n">
        <v>0</v>
      </c>
      <c r="AG34" s="751" t="n">
        <v>0</v>
      </c>
      <c r="AH34" s="751" t="n">
        <v>0</v>
      </c>
      <c r="AI34" s="751" t="n">
        <v>0</v>
      </c>
      <c r="AJ34" s="751" t="n">
        <v>0</v>
      </c>
      <c r="AK34" s="751" t="n">
        <v>0</v>
      </c>
      <c r="AL34" s="751" t="n">
        <v>0</v>
      </c>
      <c r="AM34" s="751" t="n">
        <v>0</v>
      </c>
      <c r="AN34" s="752">
        <f>(AM34)</f>
        <v/>
      </c>
      <c r="AO34" s="750" t="n"/>
      <c r="AP34" s="751" t="n">
        <v>5</v>
      </c>
      <c r="AQ34" s="751" t="n">
        <v>5</v>
      </c>
      <c r="AR34" s="751" t="n">
        <v>5</v>
      </c>
      <c r="AS34" s="751" t="n">
        <v>5</v>
      </c>
      <c r="AT34" s="751" t="n">
        <v>5</v>
      </c>
      <c r="AU34" s="751" t="n">
        <v>5</v>
      </c>
      <c r="AV34" s="751" t="n">
        <v>5</v>
      </c>
      <c r="AW34" s="751" t="n">
        <v>5</v>
      </c>
      <c r="AX34" s="751" t="n">
        <v>5</v>
      </c>
      <c r="AY34" s="751" t="n">
        <v>5</v>
      </c>
      <c r="AZ34" s="751" t="n">
        <v>5</v>
      </c>
      <c r="BA34" s="751" t="n">
        <v>5</v>
      </c>
      <c r="BB34" s="752">
        <f>(BA34)</f>
        <v/>
      </c>
      <c r="BC34" s="750" t="n"/>
      <c r="BD34" s="751" t="n">
        <v>5</v>
      </c>
      <c r="BE34" s="751" t="n">
        <v>5</v>
      </c>
      <c r="BF34" s="751" t="n">
        <v>5</v>
      </c>
      <c r="BG34" s="751" t="n">
        <v>5</v>
      </c>
      <c r="BH34" s="751" t="n">
        <v>5</v>
      </c>
      <c r="BI34" s="751" t="n">
        <v>5</v>
      </c>
      <c r="BJ34" s="751" t="n">
        <v>5</v>
      </c>
      <c r="BK34" s="751" t="n">
        <v>5</v>
      </c>
      <c r="BL34" s="751" t="n">
        <v>5</v>
      </c>
      <c r="BM34" s="751" t="n">
        <v>5</v>
      </c>
      <c r="BN34" s="751" t="n">
        <v>5</v>
      </c>
      <c r="BO34" s="751" t="n">
        <v>5</v>
      </c>
      <c r="BP34" s="752">
        <f>(BO34)</f>
        <v/>
      </c>
      <c r="BQ34" s="786" t="n"/>
      <c r="BR34" s="751" t="n">
        <v>6</v>
      </c>
      <c r="BS34" s="751" t="n">
        <v>6</v>
      </c>
      <c r="BT34" s="751" t="n">
        <v>6</v>
      </c>
      <c r="BU34" s="751" t="n">
        <v>6</v>
      </c>
      <c r="BV34" s="751" t="n">
        <v>6</v>
      </c>
      <c r="BW34" s="751" t="n">
        <v>6</v>
      </c>
      <c r="BX34" s="751" t="n">
        <v>6</v>
      </c>
      <c r="BY34" s="751" t="n">
        <v>6</v>
      </c>
      <c r="BZ34" s="751" t="n">
        <v>6</v>
      </c>
      <c r="CA34" s="751" t="n">
        <v>6</v>
      </c>
      <c r="CB34" s="751" t="n">
        <v>6</v>
      </c>
      <c r="CC34" s="751" t="n">
        <v>6</v>
      </c>
      <c r="CD34" s="752">
        <f>(CC34)</f>
        <v/>
      </c>
      <c r="CE34" s="786" t="n"/>
      <c r="CF34" s="751" t="n">
        <v>7</v>
      </c>
      <c r="CG34" s="751" t="n">
        <v>7</v>
      </c>
      <c r="CH34" s="751" t="n">
        <v>7</v>
      </c>
      <c r="CI34" s="751" t="n">
        <v>7</v>
      </c>
      <c r="CJ34" s="751" t="n">
        <v>7</v>
      </c>
      <c r="CK34" s="751" t="n">
        <v>7</v>
      </c>
      <c r="CL34" s="751" t="n">
        <v>7</v>
      </c>
      <c r="CM34" s="751" t="n">
        <v>7</v>
      </c>
      <c r="CN34" s="751" t="n">
        <v>7</v>
      </c>
      <c r="CO34" s="751" t="n">
        <v>7</v>
      </c>
      <c r="CP34" s="751" t="n">
        <v>7</v>
      </c>
      <c r="CQ34" s="751" t="n">
        <v>7</v>
      </c>
      <c r="CR34" s="752">
        <f>(CQ34)</f>
        <v/>
      </c>
      <c r="CS34" s="786" t="n"/>
      <c r="CT34" s="751" t="n">
        <v>10</v>
      </c>
      <c r="CU34" s="751" t="n">
        <v>10</v>
      </c>
      <c r="CV34" s="751" t="n">
        <v>10</v>
      </c>
      <c r="CW34" s="751" t="n">
        <v>10</v>
      </c>
      <c r="CX34" s="751" t="n">
        <v>10</v>
      </c>
      <c r="CY34" s="751" t="n">
        <v>10</v>
      </c>
      <c r="CZ34" s="751" t="n">
        <v>10</v>
      </c>
      <c r="DA34" s="751" t="n">
        <v>10</v>
      </c>
      <c r="DB34" s="751" t="n">
        <v>10</v>
      </c>
      <c r="DC34" s="751" t="n">
        <v>10</v>
      </c>
      <c r="DD34" s="751" t="n">
        <v>10</v>
      </c>
      <c r="DE34" s="751" t="n">
        <v>10</v>
      </c>
      <c r="DF34" s="752">
        <f>(DE34)</f>
        <v/>
      </c>
    </row>
    <row r="35" ht="15" customHeight="1" s="1883">
      <c r="D35" s="730" t="n"/>
      <c r="E35" s="726" t="n"/>
      <c r="F35" s="726" t="n"/>
      <c r="G35" s="726" t="n"/>
      <c r="H35" s="726" t="n"/>
      <c r="I35" s="743" t="inlineStr">
        <is>
          <t>Pure Tech Marketing Team</t>
        </is>
      </c>
      <c r="J35" s="774" t="inlineStr">
        <is>
          <t>OCONUS</t>
        </is>
      </c>
      <c r="K35" s="726" t="n"/>
      <c r="L35" s="631" t="n"/>
      <c r="M35" s="783" t="n"/>
      <c r="N35" s="784" t="n"/>
      <c r="O35" s="778" t="n"/>
      <c r="P35" s="778" t="n"/>
      <c r="Q35" s="778" t="n"/>
      <c r="R35" s="778" t="n"/>
      <c r="S35" s="777" t="n"/>
      <c r="T35" s="777" t="n"/>
      <c r="U35" s="775" t="n"/>
      <c r="V35" s="775" t="n"/>
      <c r="W35" s="775" t="n"/>
      <c r="X35" s="775" t="n"/>
      <c r="Y35" s="776" t="n"/>
      <c r="Z35" s="777" t="n"/>
      <c r="AA35" s="702" t="n"/>
      <c r="AB35" s="785" t="n">
        <v>0</v>
      </c>
      <c r="AC35" s="785" t="n">
        <v>0</v>
      </c>
      <c r="AD35" s="785" t="n">
        <v>0</v>
      </c>
      <c r="AE35" s="785" t="n">
        <v>0</v>
      </c>
      <c r="AF35" s="785" t="n">
        <v>0</v>
      </c>
      <c r="AG35" s="785" t="n">
        <v>0</v>
      </c>
      <c r="AH35" s="785" t="n">
        <v>0</v>
      </c>
      <c r="AI35" s="785" t="n">
        <v>0</v>
      </c>
      <c r="AJ35" s="785" t="n">
        <v>0</v>
      </c>
      <c r="AK35" s="785" t="n">
        <v>0</v>
      </c>
      <c r="AL35" s="785" t="n">
        <v>0</v>
      </c>
      <c r="AM35" s="785" t="n">
        <v>0</v>
      </c>
      <c r="AN35" s="752">
        <f>(AM35)</f>
        <v/>
      </c>
      <c r="AO35" s="750" t="n"/>
      <c r="AP35" s="751" t="n">
        <v>1</v>
      </c>
      <c r="AQ35" s="751" t="n">
        <v>1</v>
      </c>
      <c r="AR35" s="751" t="n">
        <v>1</v>
      </c>
      <c r="AS35" s="751" t="n">
        <v>1</v>
      </c>
      <c r="AT35" s="751" t="n">
        <v>1</v>
      </c>
      <c r="AU35" s="751" t="n">
        <v>1</v>
      </c>
      <c r="AV35" s="751" t="n">
        <v>1</v>
      </c>
      <c r="AW35" s="751" t="n">
        <v>1</v>
      </c>
      <c r="AX35" s="751" t="n">
        <v>1</v>
      </c>
      <c r="AY35" s="751" t="n">
        <v>1</v>
      </c>
      <c r="AZ35" s="751" t="n">
        <v>1</v>
      </c>
      <c r="BA35" s="751" t="n">
        <v>1</v>
      </c>
      <c r="BB35" s="752">
        <f>(BA35)</f>
        <v/>
      </c>
      <c r="BC35" s="750" t="n"/>
      <c r="BD35" s="751" t="n">
        <v>3</v>
      </c>
      <c r="BE35" s="751" t="n">
        <v>3</v>
      </c>
      <c r="BF35" s="751" t="n">
        <v>3</v>
      </c>
      <c r="BG35" s="751" t="n">
        <v>3</v>
      </c>
      <c r="BH35" s="751" t="n">
        <v>3</v>
      </c>
      <c r="BI35" s="751" t="n">
        <v>3</v>
      </c>
      <c r="BJ35" s="751" t="n">
        <v>3</v>
      </c>
      <c r="BK35" s="751" t="n">
        <v>3</v>
      </c>
      <c r="BL35" s="751" t="n">
        <v>3</v>
      </c>
      <c r="BM35" s="751" t="n">
        <v>3</v>
      </c>
      <c r="BN35" s="751" t="n">
        <v>3</v>
      </c>
      <c r="BO35" s="751" t="n">
        <v>3</v>
      </c>
      <c r="BP35" s="752">
        <f>(BO35)</f>
        <v/>
      </c>
      <c r="BQ35" s="786" t="n"/>
      <c r="BR35" s="751" t="n">
        <v>6</v>
      </c>
      <c r="BS35" s="751" t="n">
        <v>6</v>
      </c>
      <c r="BT35" s="751" t="n">
        <v>6</v>
      </c>
      <c r="BU35" s="751" t="n">
        <v>6</v>
      </c>
      <c r="BV35" s="751" t="n">
        <v>6</v>
      </c>
      <c r="BW35" s="751" t="n">
        <v>6</v>
      </c>
      <c r="BX35" s="751" t="n">
        <v>6</v>
      </c>
      <c r="BY35" s="751" t="n">
        <v>6</v>
      </c>
      <c r="BZ35" s="751" t="n">
        <v>6</v>
      </c>
      <c r="CA35" s="751" t="n">
        <v>6</v>
      </c>
      <c r="CB35" s="751" t="n">
        <v>6</v>
      </c>
      <c r="CC35" s="751" t="n">
        <v>6</v>
      </c>
      <c r="CD35" s="752">
        <f>(CC35)</f>
        <v/>
      </c>
      <c r="CE35" s="786" t="n"/>
      <c r="CF35" s="751" t="n">
        <v>7</v>
      </c>
      <c r="CG35" s="751" t="n">
        <v>7</v>
      </c>
      <c r="CH35" s="751" t="n">
        <v>7</v>
      </c>
      <c r="CI35" s="751" t="n">
        <v>7</v>
      </c>
      <c r="CJ35" s="751" t="n">
        <v>7</v>
      </c>
      <c r="CK35" s="751" t="n">
        <v>7</v>
      </c>
      <c r="CL35" s="751" t="n">
        <v>7</v>
      </c>
      <c r="CM35" s="751" t="n">
        <v>7</v>
      </c>
      <c r="CN35" s="751" t="n">
        <v>7</v>
      </c>
      <c r="CO35" s="751" t="n">
        <v>7</v>
      </c>
      <c r="CP35" s="751" t="n">
        <v>7</v>
      </c>
      <c r="CQ35" s="751" t="n">
        <v>7</v>
      </c>
      <c r="CR35" s="752">
        <f>(CQ35)</f>
        <v/>
      </c>
      <c r="CS35" s="786" t="n"/>
      <c r="CT35" s="751" t="n">
        <v>10</v>
      </c>
      <c r="CU35" s="751" t="n">
        <v>10</v>
      </c>
      <c r="CV35" s="751" t="n">
        <v>10</v>
      </c>
      <c r="CW35" s="751" t="n">
        <v>10</v>
      </c>
      <c r="CX35" s="751" t="n">
        <v>10</v>
      </c>
      <c r="CY35" s="751" t="n">
        <v>10</v>
      </c>
      <c r="CZ35" s="751" t="n">
        <v>10</v>
      </c>
      <c r="DA35" s="751" t="n">
        <v>10</v>
      </c>
      <c r="DB35" s="751" t="n">
        <v>10</v>
      </c>
      <c r="DC35" s="751" t="n">
        <v>10</v>
      </c>
      <c r="DD35" s="751" t="n">
        <v>10</v>
      </c>
      <c r="DE35" s="751" t="n">
        <v>10</v>
      </c>
      <c r="DF35" s="752">
        <f>(DE35)</f>
        <v/>
      </c>
    </row>
    <row r="36" ht="15" customHeight="1" s="1883">
      <c r="D36" s="730" t="inlineStr">
        <is>
          <t>●</t>
        </is>
      </c>
      <c r="E36" s="726" t="inlineStr">
        <is>
          <t>TBD</t>
        </is>
      </c>
      <c r="F36" s="726" t="n"/>
      <c r="G36" s="726" t="n"/>
      <c r="H36" s="726" t="n"/>
      <c r="I36" s="743" t="inlineStr">
        <is>
          <t>Operations Team</t>
        </is>
      </c>
      <c r="J36" s="727" t="inlineStr">
        <is>
          <t>CONUS</t>
        </is>
      </c>
      <c r="K36" s="726" t="n"/>
      <c r="L36" s="631" t="n"/>
      <c r="M36" s="783" t="n"/>
      <c r="N36" s="784" t="n"/>
      <c r="O36" s="778" t="n"/>
      <c r="P36" s="778" t="n"/>
      <c r="Q36" s="778" t="n"/>
      <c r="R36" s="778" t="n"/>
      <c r="S36" s="777" t="n"/>
      <c r="T36" s="777" t="n"/>
      <c r="U36" s="775" t="n"/>
      <c r="V36" s="775" t="n"/>
      <c r="W36" s="775" t="n"/>
      <c r="X36" s="775" t="n"/>
      <c r="Y36" s="776" t="n"/>
      <c r="Z36" s="777" t="n"/>
      <c r="AA36" s="702" t="n"/>
      <c r="AB36" s="751" t="n">
        <v>0</v>
      </c>
      <c r="AC36" s="751" t="n">
        <v>0</v>
      </c>
      <c r="AD36" s="751" t="n">
        <v>0</v>
      </c>
      <c r="AE36" s="751" t="n">
        <v>0</v>
      </c>
      <c r="AF36" s="751" t="n">
        <v>0</v>
      </c>
      <c r="AG36" s="751" t="n">
        <v>0</v>
      </c>
      <c r="AH36" s="751" t="n">
        <v>0</v>
      </c>
      <c r="AI36" s="751" t="n">
        <v>0</v>
      </c>
      <c r="AJ36" s="751" t="n">
        <v>0</v>
      </c>
      <c r="AK36" s="751" t="n">
        <v>0</v>
      </c>
      <c r="AL36" s="751" t="n">
        <v>0</v>
      </c>
      <c r="AM36" s="751" t="n">
        <v>0</v>
      </c>
      <c r="AN36" s="752">
        <f>(AM36)</f>
        <v/>
      </c>
      <c r="AO36" s="750" t="n"/>
      <c r="AP36" s="751" t="n">
        <v>2</v>
      </c>
      <c r="AQ36" s="751" t="n">
        <v>2</v>
      </c>
      <c r="AR36" s="751" t="n">
        <v>2</v>
      </c>
      <c r="AS36" s="751" t="n">
        <v>2</v>
      </c>
      <c r="AT36" s="751" t="n">
        <v>2</v>
      </c>
      <c r="AU36" s="751" t="n">
        <v>2</v>
      </c>
      <c r="AV36" s="751" t="n">
        <v>2</v>
      </c>
      <c r="AW36" s="751" t="n">
        <v>2</v>
      </c>
      <c r="AX36" s="751" t="n">
        <v>2</v>
      </c>
      <c r="AY36" s="751" t="n">
        <v>2</v>
      </c>
      <c r="AZ36" s="751" t="n">
        <v>2</v>
      </c>
      <c r="BA36" s="751" t="n">
        <v>2</v>
      </c>
      <c r="BB36" s="752">
        <f>(BA36)</f>
        <v/>
      </c>
      <c r="BC36" s="750" t="n"/>
      <c r="BD36" s="751" t="n">
        <v>4</v>
      </c>
      <c r="BE36" s="751" t="n">
        <v>4</v>
      </c>
      <c r="BF36" s="751" t="n">
        <v>4</v>
      </c>
      <c r="BG36" s="751" t="n">
        <v>4</v>
      </c>
      <c r="BH36" s="751" t="n">
        <v>4</v>
      </c>
      <c r="BI36" s="751" t="n">
        <v>4</v>
      </c>
      <c r="BJ36" s="751" t="n">
        <v>4</v>
      </c>
      <c r="BK36" s="751" t="n">
        <v>4</v>
      </c>
      <c r="BL36" s="751" t="n">
        <v>4</v>
      </c>
      <c r="BM36" s="751" t="n">
        <v>4</v>
      </c>
      <c r="BN36" s="751" t="n">
        <v>4</v>
      </c>
      <c r="BO36" s="751" t="n">
        <v>4</v>
      </c>
      <c r="BP36" s="752">
        <f>(BO36)</f>
        <v/>
      </c>
      <c r="BQ36" s="786" t="n"/>
      <c r="BR36" s="751" t="n">
        <v>5</v>
      </c>
      <c r="BS36" s="751" t="n">
        <v>5</v>
      </c>
      <c r="BT36" s="751" t="n">
        <v>5</v>
      </c>
      <c r="BU36" s="751" t="n">
        <v>5</v>
      </c>
      <c r="BV36" s="751" t="n">
        <v>5</v>
      </c>
      <c r="BW36" s="751" t="n">
        <v>5</v>
      </c>
      <c r="BX36" s="751" t="n">
        <v>5</v>
      </c>
      <c r="BY36" s="751" t="n">
        <v>5</v>
      </c>
      <c r="BZ36" s="751" t="n">
        <v>5</v>
      </c>
      <c r="CA36" s="751" t="n">
        <v>5</v>
      </c>
      <c r="CB36" s="751" t="n">
        <v>5</v>
      </c>
      <c r="CC36" s="751" t="n">
        <v>5</v>
      </c>
      <c r="CD36" s="752">
        <f>(CC36)</f>
        <v/>
      </c>
      <c r="CE36" s="786" t="n"/>
      <c r="CF36" s="751" t="n">
        <v>6</v>
      </c>
      <c r="CG36" s="751" t="n">
        <v>6</v>
      </c>
      <c r="CH36" s="751" t="n">
        <v>6</v>
      </c>
      <c r="CI36" s="751" t="n">
        <v>6</v>
      </c>
      <c r="CJ36" s="751" t="n">
        <v>6</v>
      </c>
      <c r="CK36" s="751" t="n">
        <v>6</v>
      </c>
      <c r="CL36" s="751" t="n">
        <v>6</v>
      </c>
      <c r="CM36" s="751" t="n">
        <v>6</v>
      </c>
      <c r="CN36" s="751" t="n">
        <v>6</v>
      </c>
      <c r="CO36" s="751" t="n">
        <v>6</v>
      </c>
      <c r="CP36" s="751" t="n">
        <v>6</v>
      </c>
      <c r="CQ36" s="751" t="n">
        <v>6</v>
      </c>
      <c r="CR36" s="752">
        <f>(CQ36)</f>
        <v/>
      </c>
      <c r="CS36" s="786" t="n"/>
      <c r="CT36" s="751" t="n">
        <v>8</v>
      </c>
      <c r="CU36" s="751" t="n">
        <v>8</v>
      </c>
      <c r="CV36" s="751" t="n">
        <v>8</v>
      </c>
      <c r="CW36" s="751" t="n">
        <v>8</v>
      </c>
      <c r="CX36" s="751" t="n">
        <v>8</v>
      </c>
      <c r="CY36" s="751" t="n">
        <v>8</v>
      </c>
      <c r="CZ36" s="751" t="n">
        <v>8</v>
      </c>
      <c r="DA36" s="751" t="n">
        <v>8</v>
      </c>
      <c r="DB36" s="751" t="n">
        <v>8</v>
      </c>
      <c r="DC36" s="751" t="n">
        <v>8</v>
      </c>
      <c r="DD36" s="751" t="n">
        <v>8</v>
      </c>
      <c r="DE36" s="751" t="n">
        <v>8</v>
      </c>
      <c r="DF36" s="752">
        <f>(DE36)</f>
        <v/>
      </c>
    </row>
    <row r="37" ht="15" customHeight="1" s="1883">
      <c r="D37" s="730" t="n"/>
      <c r="E37" s="726" t="n"/>
      <c r="F37" s="726" t="n"/>
      <c r="G37" s="726" t="n"/>
      <c r="H37" s="726" t="n"/>
      <c r="I37" s="743" t="inlineStr">
        <is>
          <t>Operations Team</t>
        </is>
      </c>
      <c r="J37" s="774" t="inlineStr">
        <is>
          <t>OCONUS</t>
        </is>
      </c>
      <c r="K37" s="726" t="n"/>
      <c r="L37" s="631" t="n"/>
      <c r="M37" s="783" t="n"/>
      <c r="N37" s="784" t="n"/>
      <c r="O37" s="778" t="n"/>
      <c r="P37" s="778" t="n"/>
      <c r="Q37" s="778" t="n"/>
      <c r="R37" s="778" t="n"/>
      <c r="S37" s="777" t="n"/>
      <c r="T37" s="777" t="n"/>
      <c r="U37" s="775" t="n"/>
      <c r="V37" s="775" t="n"/>
      <c r="W37" s="775" t="n"/>
      <c r="X37" s="775" t="n"/>
      <c r="Y37" s="776" t="n"/>
      <c r="Z37" s="777" t="n"/>
      <c r="AA37" s="702" t="n"/>
      <c r="AB37" s="784" t="n">
        <v>0</v>
      </c>
      <c r="AC37" s="784" t="n">
        <v>0</v>
      </c>
      <c r="AD37" s="784" t="n">
        <v>0</v>
      </c>
      <c r="AE37" s="784" t="n">
        <v>0</v>
      </c>
      <c r="AF37" s="784" t="n">
        <v>0</v>
      </c>
      <c r="AG37" s="784" t="n">
        <v>0</v>
      </c>
      <c r="AH37" s="751" t="n">
        <v>0</v>
      </c>
      <c r="AI37" s="751" t="n">
        <v>0</v>
      </c>
      <c r="AJ37" s="751" t="n">
        <v>0</v>
      </c>
      <c r="AK37" s="751" t="n">
        <v>0</v>
      </c>
      <c r="AL37" s="751" t="n">
        <v>0</v>
      </c>
      <c r="AM37" s="751" t="n">
        <v>0</v>
      </c>
      <c r="AN37" s="752">
        <f>(AM37)</f>
        <v/>
      </c>
      <c r="AO37" s="750" t="n"/>
      <c r="AP37" s="751" t="n">
        <v>1</v>
      </c>
      <c r="AQ37" s="751" t="n">
        <v>1</v>
      </c>
      <c r="AR37" s="751" t="n">
        <v>1</v>
      </c>
      <c r="AS37" s="751" t="n">
        <v>1</v>
      </c>
      <c r="AT37" s="751" t="n">
        <v>1</v>
      </c>
      <c r="AU37" s="751" t="n">
        <v>1</v>
      </c>
      <c r="AV37" s="751" t="n">
        <v>1</v>
      </c>
      <c r="AW37" s="751" t="n">
        <v>1</v>
      </c>
      <c r="AX37" s="751" t="n">
        <v>1</v>
      </c>
      <c r="AY37" s="751" t="n">
        <v>1</v>
      </c>
      <c r="AZ37" s="751" t="n">
        <v>1</v>
      </c>
      <c r="BA37" s="751" t="n">
        <v>1</v>
      </c>
      <c r="BB37" s="752">
        <f>(BA37)</f>
        <v/>
      </c>
      <c r="BC37" s="750" t="n"/>
      <c r="BD37" s="751" t="n">
        <v>4</v>
      </c>
      <c r="BE37" s="751" t="n">
        <v>4</v>
      </c>
      <c r="BF37" s="751" t="n">
        <v>4</v>
      </c>
      <c r="BG37" s="751" t="n">
        <v>4</v>
      </c>
      <c r="BH37" s="751" t="n">
        <v>4</v>
      </c>
      <c r="BI37" s="751" t="n">
        <v>4</v>
      </c>
      <c r="BJ37" s="751" t="n">
        <v>4</v>
      </c>
      <c r="BK37" s="751" t="n">
        <v>4</v>
      </c>
      <c r="BL37" s="751" t="n">
        <v>4</v>
      </c>
      <c r="BM37" s="751" t="n">
        <v>4</v>
      </c>
      <c r="BN37" s="751" t="n">
        <v>4</v>
      </c>
      <c r="BO37" s="751" t="n">
        <v>4</v>
      </c>
      <c r="BP37" s="752">
        <f>(BO37)</f>
        <v/>
      </c>
      <c r="BQ37" s="786" t="n"/>
      <c r="BR37" s="751" t="n">
        <v>7</v>
      </c>
      <c r="BS37" s="751" t="n">
        <v>7</v>
      </c>
      <c r="BT37" s="751" t="n">
        <v>7</v>
      </c>
      <c r="BU37" s="751" t="n">
        <v>7</v>
      </c>
      <c r="BV37" s="751" t="n">
        <v>7</v>
      </c>
      <c r="BW37" s="751" t="n">
        <v>7</v>
      </c>
      <c r="BX37" s="751" t="n">
        <v>7</v>
      </c>
      <c r="BY37" s="751" t="n">
        <v>7</v>
      </c>
      <c r="BZ37" s="751" t="n">
        <v>7</v>
      </c>
      <c r="CA37" s="751" t="n">
        <v>7</v>
      </c>
      <c r="CB37" s="751" t="n">
        <v>7</v>
      </c>
      <c r="CC37" s="751" t="n">
        <v>7</v>
      </c>
      <c r="CD37" s="752">
        <f>(CC37)</f>
        <v/>
      </c>
      <c r="CE37" s="786" t="n"/>
      <c r="CF37" s="751" t="n">
        <v>9</v>
      </c>
      <c r="CG37" s="751" t="n">
        <v>9</v>
      </c>
      <c r="CH37" s="751" t="n">
        <v>9</v>
      </c>
      <c r="CI37" s="751" t="n">
        <v>9</v>
      </c>
      <c r="CJ37" s="751" t="n">
        <v>9</v>
      </c>
      <c r="CK37" s="751" t="n">
        <v>9</v>
      </c>
      <c r="CL37" s="751" t="n">
        <v>9</v>
      </c>
      <c r="CM37" s="751" t="n">
        <v>9</v>
      </c>
      <c r="CN37" s="751" t="n">
        <v>9</v>
      </c>
      <c r="CO37" s="751" t="n">
        <v>9</v>
      </c>
      <c r="CP37" s="751" t="n">
        <v>9</v>
      </c>
      <c r="CQ37" s="751" t="n">
        <v>9</v>
      </c>
      <c r="CR37" s="752">
        <f>(CQ37)</f>
        <v/>
      </c>
      <c r="CS37" s="786" t="n"/>
      <c r="CT37" s="751" t="n">
        <v>12</v>
      </c>
      <c r="CU37" s="751" t="n">
        <v>12</v>
      </c>
      <c r="CV37" s="751" t="n">
        <v>12</v>
      </c>
      <c r="CW37" s="751" t="n">
        <v>12</v>
      </c>
      <c r="CX37" s="751" t="n">
        <v>12</v>
      </c>
      <c r="CY37" s="751" t="n">
        <v>12</v>
      </c>
      <c r="CZ37" s="751" t="n">
        <v>12</v>
      </c>
      <c r="DA37" s="751" t="n">
        <v>12</v>
      </c>
      <c r="DB37" s="751" t="n">
        <v>12</v>
      </c>
      <c r="DC37" s="751" t="n">
        <v>12</v>
      </c>
      <c r="DD37" s="751" t="n">
        <v>12</v>
      </c>
      <c r="DE37" s="751" t="n">
        <v>12</v>
      </c>
      <c r="DF37" s="752">
        <f>(DE37)</f>
        <v/>
      </c>
    </row>
    <row r="38" ht="15" customHeight="1" s="1883">
      <c r="D38" s="730" t="inlineStr">
        <is>
          <t>●</t>
        </is>
      </c>
      <c r="E38" s="726" t="inlineStr">
        <is>
          <t>TBD</t>
        </is>
      </c>
      <c r="F38" s="726" t="n"/>
      <c r="G38" s="726" t="n"/>
      <c r="H38" s="726" t="n"/>
      <c r="I38" s="743" t="inlineStr">
        <is>
          <t xml:space="preserve">Finance Team </t>
        </is>
      </c>
      <c r="J38" s="727" t="inlineStr">
        <is>
          <t>CONUS</t>
        </is>
      </c>
      <c r="K38" s="726" t="n"/>
      <c r="L38" s="631" t="n"/>
      <c r="M38" s="783" t="n"/>
      <c r="N38" s="784" t="n"/>
      <c r="O38" s="778" t="n"/>
      <c r="P38" s="778" t="n"/>
      <c r="Q38" s="778" t="n"/>
      <c r="R38" s="778" t="n"/>
      <c r="S38" s="777" t="n"/>
      <c r="T38" s="777" t="n"/>
      <c r="U38" s="775" t="n"/>
      <c r="V38" s="775" t="n"/>
      <c r="W38" s="775" t="n"/>
      <c r="X38" s="775" t="n"/>
      <c r="Y38" s="776" t="n"/>
      <c r="Z38" s="777" t="n"/>
      <c r="AA38" s="702" t="n"/>
      <c r="AB38" s="751" t="n">
        <v>0</v>
      </c>
      <c r="AC38" s="751" t="n">
        <v>0</v>
      </c>
      <c r="AD38" s="751" t="n">
        <v>0</v>
      </c>
      <c r="AE38" s="751" t="n">
        <v>0</v>
      </c>
      <c r="AF38" s="751" t="n">
        <v>0</v>
      </c>
      <c r="AG38" s="751" t="n">
        <v>0</v>
      </c>
      <c r="AH38" s="751" t="n">
        <v>0</v>
      </c>
      <c r="AI38" s="751" t="n">
        <v>0</v>
      </c>
      <c r="AJ38" s="751" t="n">
        <v>0</v>
      </c>
      <c r="AK38" s="751" t="n">
        <v>0</v>
      </c>
      <c r="AL38" s="751" t="n">
        <v>0</v>
      </c>
      <c r="AM38" s="751" t="n">
        <v>0</v>
      </c>
      <c r="AN38" s="752">
        <f>(AM38)</f>
        <v/>
      </c>
      <c r="AO38" s="750" t="n"/>
      <c r="AP38" s="751" t="n">
        <v>2</v>
      </c>
      <c r="AQ38" s="751" t="n">
        <v>2</v>
      </c>
      <c r="AR38" s="751" t="n">
        <v>2</v>
      </c>
      <c r="AS38" s="751" t="n">
        <v>2</v>
      </c>
      <c r="AT38" s="751" t="n">
        <v>2</v>
      </c>
      <c r="AU38" s="751" t="n">
        <v>2</v>
      </c>
      <c r="AV38" s="751" t="n">
        <v>2</v>
      </c>
      <c r="AW38" s="751" t="n">
        <v>2</v>
      </c>
      <c r="AX38" s="751" t="n">
        <v>2</v>
      </c>
      <c r="AY38" s="751" t="n">
        <v>2</v>
      </c>
      <c r="AZ38" s="751" t="n">
        <v>2</v>
      </c>
      <c r="BA38" s="751" t="n">
        <v>2</v>
      </c>
      <c r="BB38" s="752">
        <f>(BA38)</f>
        <v/>
      </c>
      <c r="BC38" s="750" t="n"/>
      <c r="BD38" s="751" t="n">
        <v>3</v>
      </c>
      <c r="BE38" s="751" t="n">
        <v>3</v>
      </c>
      <c r="BF38" s="751" t="n">
        <v>3</v>
      </c>
      <c r="BG38" s="751" t="n">
        <v>3</v>
      </c>
      <c r="BH38" s="751" t="n">
        <v>3</v>
      </c>
      <c r="BI38" s="751" t="n">
        <v>3</v>
      </c>
      <c r="BJ38" s="751" t="n">
        <v>3</v>
      </c>
      <c r="BK38" s="751" t="n">
        <v>3</v>
      </c>
      <c r="BL38" s="751" t="n">
        <v>3</v>
      </c>
      <c r="BM38" s="751" t="n">
        <v>3</v>
      </c>
      <c r="BN38" s="751" t="n">
        <v>3</v>
      </c>
      <c r="BO38" s="751" t="n">
        <v>3</v>
      </c>
      <c r="BP38" s="752">
        <f>(BO38)</f>
        <v/>
      </c>
      <c r="BQ38" s="786" t="n"/>
      <c r="BR38" s="751" t="n">
        <v>4</v>
      </c>
      <c r="BS38" s="751" t="n">
        <v>4</v>
      </c>
      <c r="BT38" s="751" t="n">
        <v>4</v>
      </c>
      <c r="BU38" s="751" t="n">
        <v>4</v>
      </c>
      <c r="BV38" s="751" t="n">
        <v>4</v>
      </c>
      <c r="BW38" s="751" t="n">
        <v>4</v>
      </c>
      <c r="BX38" s="751" t="n">
        <v>4</v>
      </c>
      <c r="BY38" s="751" t="n">
        <v>4</v>
      </c>
      <c r="BZ38" s="751" t="n">
        <v>4</v>
      </c>
      <c r="CA38" s="751" t="n">
        <v>4</v>
      </c>
      <c r="CB38" s="751" t="n">
        <v>4</v>
      </c>
      <c r="CC38" s="751" t="n">
        <v>4</v>
      </c>
      <c r="CD38" s="752">
        <f>(CC38)</f>
        <v/>
      </c>
      <c r="CE38" s="786" t="n"/>
      <c r="CF38" s="751" t="n">
        <v>4</v>
      </c>
      <c r="CG38" s="751" t="n">
        <v>4</v>
      </c>
      <c r="CH38" s="751" t="n">
        <v>4</v>
      </c>
      <c r="CI38" s="751" t="n">
        <v>4</v>
      </c>
      <c r="CJ38" s="751" t="n">
        <v>4</v>
      </c>
      <c r="CK38" s="751" t="n">
        <v>4</v>
      </c>
      <c r="CL38" s="751" t="n">
        <v>4</v>
      </c>
      <c r="CM38" s="751" t="n">
        <v>4</v>
      </c>
      <c r="CN38" s="751" t="n">
        <v>4</v>
      </c>
      <c r="CO38" s="751" t="n">
        <v>4</v>
      </c>
      <c r="CP38" s="751" t="n">
        <v>4</v>
      </c>
      <c r="CQ38" s="751" t="n">
        <v>4</v>
      </c>
      <c r="CR38" s="752">
        <f>(CQ38)</f>
        <v/>
      </c>
      <c r="CS38" s="786" t="n"/>
      <c r="CT38" s="751" t="n">
        <v>7</v>
      </c>
      <c r="CU38" s="751" t="n">
        <v>7</v>
      </c>
      <c r="CV38" s="751" t="n">
        <v>7</v>
      </c>
      <c r="CW38" s="751" t="n">
        <v>7</v>
      </c>
      <c r="CX38" s="751" t="n">
        <v>7</v>
      </c>
      <c r="CY38" s="751" t="n">
        <v>7</v>
      </c>
      <c r="CZ38" s="751" t="n">
        <v>7</v>
      </c>
      <c r="DA38" s="751" t="n">
        <v>7</v>
      </c>
      <c r="DB38" s="751" t="n">
        <v>7</v>
      </c>
      <c r="DC38" s="751" t="n">
        <v>7</v>
      </c>
      <c r="DD38" s="751" t="n">
        <v>7</v>
      </c>
      <c r="DE38" s="751" t="n">
        <v>7</v>
      </c>
      <c r="DF38" s="752">
        <f>(DE38)</f>
        <v/>
      </c>
    </row>
    <row r="39" ht="15" customHeight="1" s="1883">
      <c r="D39" s="730" t="n"/>
      <c r="E39" s="726" t="n"/>
      <c r="F39" s="726" t="n"/>
      <c r="G39" s="726" t="n"/>
      <c r="H39" s="726" t="n"/>
      <c r="I39" s="743" t="inlineStr">
        <is>
          <t xml:space="preserve">Finance Team </t>
        </is>
      </c>
      <c r="J39" s="774" t="inlineStr">
        <is>
          <t>OCONUS</t>
        </is>
      </c>
      <c r="K39" s="726" t="n"/>
      <c r="L39" s="631" t="n"/>
      <c r="M39" s="783" t="n"/>
      <c r="N39" s="784" t="n"/>
      <c r="O39" s="778" t="n"/>
      <c r="P39" s="778" t="n"/>
      <c r="Q39" s="778" t="n"/>
      <c r="R39" s="778" t="n"/>
      <c r="S39" s="777" t="n"/>
      <c r="T39" s="777" t="n"/>
      <c r="U39" s="775" t="n"/>
      <c r="V39" s="775" t="n"/>
      <c r="W39" s="775" t="n"/>
      <c r="X39" s="775" t="n"/>
      <c r="Y39" s="776" t="n"/>
      <c r="Z39" s="777" t="n"/>
      <c r="AA39" s="702" t="n"/>
      <c r="AB39" s="785" t="n">
        <v>0</v>
      </c>
      <c r="AC39" s="785" t="n">
        <v>0</v>
      </c>
      <c r="AD39" s="785" t="n">
        <v>0</v>
      </c>
      <c r="AE39" s="785" t="n">
        <v>0</v>
      </c>
      <c r="AF39" s="785" t="n">
        <v>0</v>
      </c>
      <c r="AG39" s="785" t="n">
        <v>0</v>
      </c>
      <c r="AH39" s="785" t="n">
        <v>0</v>
      </c>
      <c r="AI39" s="785" t="n">
        <v>0</v>
      </c>
      <c r="AJ39" s="785" t="n">
        <v>0</v>
      </c>
      <c r="AK39" s="785" t="n">
        <v>0</v>
      </c>
      <c r="AL39" s="785" t="n">
        <v>0</v>
      </c>
      <c r="AM39" s="785" t="n">
        <v>0</v>
      </c>
      <c r="AN39" s="752">
        <f>(AM39)</f>
        <v/>
      </c>
      <c r="AO39" s="750" t="n"/>
      <c r="AP39" s="751" t="n">
        <v>0</v>
      </c>
      <c r="AQ39" s="751" t="n">
        <v>0</v>
      </c>
      <c r="AR39" s="751" t="n">
        <v>0</v>
      </c>
      <c r="AS39" s="751" t="n">
        <v>0</v>
      </c>
      <c r="AT39" s="751" t="n">
        <v>0</v>
      </c>
      <c r="AU39" s="751" t="n">
        <v>0</v>
      </c>
      <c r="AV39" s="751" t="n">
        <v>0</v>
      </c>
      <c r="AW39" s="751" t="n">
        <v>0</v>
      </c>
      <c r="AX39" s="751" t="n">
        <v>0</v>
      </c>
      <c r="AY39" s="751" t="n">
        <v>0</v>
      </c>
      <c r="AZ39" s="751" t="n">
        <v>0</v>
      </c>
      <c r="BA39" s="751" t="n">
        <v>0</v>
      </c>
      <c r="BB39" s="752">
        <f>(BA39)</f>
        <v/>
      </c>
      <c r="BC39" s="750" t="n"/>
      <c r="BD39" s="751" t="n">
        <v>1</v>
      </c>
      <c r="BE39" s="751" t="n">
        <v>1</v>
      </c>
      <c r="BF39" s="751" t="n">
        <v>1</v>
      </c>
      <c r="BG39" s="751" t="n">
        <v>1</v>
      </c>
      <c r="BH39" s="751" t="n">
        <v>1</v>
      </c>
      <c r="BI39" s="751" t="n">
        <v>1</v>
      </c>
      <c r="BJ39" s="751" t="n">
        <v>1</v>
      </c>
      <c r="BK39" s="751" t="n">
        <v>1</v>
      </c>
      <c r="BL39" s="751" t="n">
        <v>1</v>
      </c>
      <c r="BM39" s="751" t="n">
        <v>1</v>
      </c>
      <c r="BN39" s="751" t="n">
        <v>1</v>
      </c>
      <c r="BO39" s="751" t="n">
        <v>1</v>
      </c>
      <c r="BP39" s="752">
        <f>(BO39)</f>
        <v/>
      </c>
      <c r="BQ39" s="786" t="n"/>
      <c r="BR39" s="751" t="n">
        <v>1</v>
      </c>
      <c r="BS39" s="751" t="n">
        <v>1</v>
      </c>
      <c r="BT39" s="751" t="n">
        <v>1</v>
      </c>
      <c r="BU39" s="751" t="n">
        <v>1</v>
      </c>
      <c r="BV39" s="751" t="n">
        <v>1</v>
      </c>
      <c r="BW39" s="751" t="n">
        <v>1</v>
      </c>
      <c r="BX39" s="751" t="n">
        <v>1</v>
      </c>
      <c r="BY39" s="751" t="n">
        <v>1</v>
      </c>
      <c r="BZ39" s="751" t="n">
        <v>1</v>
      </c>
      <c r="CA39" s="751" t="n">
        <v>1</v>
      </c>
      <c r="CB39" s="751" t="n">
        <v>1</v>
      </c>
      <c r="CC39" s="751" t="n">
        <v>1</v>
      </c>
      <c r="CD39" s="752">
        <f>(CC39)</f>
        <v/>
      </c>
      <c r="CE39" s="786" t="n"/>
      <c r="CF39" s="751" t="n">
        <v>1</v>
      </c>
      <c r="CG39" s="751" t="n">
        <v>1</v>
      </c>
      <c r="CH39" s="751" t="n">
        <v>1</v>
      </c>
      <c r="CI39" s="751" t="n">
        <v>1</v>
      </c>
      <c r="CJ39" s="751" t="n">
        <v>1</v>
      </c>
      <c r="CK39" s="751" t="n">
        <v>1</v>
      </c>
      <c r="CL39" s="751" t="n">
        <v>1</v>
      </c>
      <c r="CM39" s="751" t="n">
        <v>1</v>
      </c>
      <c r="CN39" s="751" t="n">
        <v>1</v>
      </c>
      <c r="CO39" s="751" t="n">
        <v>1</v>
      </c>
      <c r="CP39" s="751" t="n">
        <v>1</v>
      </c>
      <c r="CQ39" s="751" t="n">
        <v>1</v>
      </c>
      <c r="CR39" s="752">
        <f>(CQ39)</f>
        <v/>
      </c>
      <c r="CS39" s="786" t="n"/>
      <c r="CT39" s="751" t="n">
        <v>2</v>
      </c>
      <c r="CU39" s="751" t="n">
        <v>2</v>
      </c>
      <c r="CV39" s="751" t="n">
        <v>2</v>
      </c>
      <c r="CW39" s="751" t="n">
        <v>2</v>
      </c>
      <c r="CX39" s="751" t="n">
        <v>2</v>
      </c>
      <c r="CY39" s="751" t="n">
        <v>2</v>
      </c>
      <c r="CZ39" s="751" t="n">
        <v>2</v>
      </c>
      <c r="DA39" s="751" t="n">
        <v>2</v>
      </c>
      <c r="DB39" s="751" t="n">
        <v>2</v>
      </c>
      <c r="DC39" s="751" t="n">
        <v>2</v>
      </c>
      <c r="DD39" s="751" t="n">
        <v>2</v>
      </c>
      <c r="DE39" s="751" t="n">
        <v>2</v>
      </c>
      <c r="DF39" s="752">
        <f>(DE39)</f>
        <v/>
      </c>
    </row>
    <row r="40" ht="15" customHeight="1" s="1883">
      <c r="D40" s="730" t="inlineStr">
        <is>
          <t>●</t>
        </is>
      </c>
      <c r="E40" s="726" t="inlineStr">
        <is>
          <t>TBD</t>
        </is>
      </c>
      <c r="F40" s="726" t="n"/>
      <c r="G40" s="726" t="n"/>
      <c r="H40" s="726" t="n"/>
      <c r="I40" s="743" t="inlineStr">
        <is>
          <t>Product Development Team + Mechanical Engineer</t>
        </is>
      </c>
      <c r="J40" s="727" t="inlineStr">
        <is>
          <t>CONUS</t>
        </is>
      </c>
      <c r="K40" s="726" t="n"/>
      <c r="L40" s="631" t="n"/>
      <c r="M40" s="783" t="n"/>
      <c r="N40" s="784" t="n"/>
      <c r="O40" s="778" t="n"/>
      <c r="P40" s="778" t="n"/>
      <c r="Q40" s="778" t="n"/>
      <c r="R40" s="778" t="n"/>
      <c r="S40" s="777" t="n"/>
      <c r="T40" s="777" t="n"/>
      <c r="U40" s="775" t="n"/>
      <c r="V40" s="775" t="n"/>
      <c r="W40" s="775" t="n"/>
      <c r="X40" s="775" t="n"/>
      <c r="Y40" s="776" t="n"/>
      <c r="Z40" s="777" t="n"/>
      <c r="AA40" s="702" t="n"/>
      <c r="AB40" s="751" t="n">
        <v>58</v>
      </c>
      <c r="AC40" s="751" t="n">
        <v>58</v>
      </c>
      <c r="AD40" s="751" t="n">
        <v>58</v>
      </c>
      <c r="AE40" s="751" t="n">
        <v>58</v>
      </c>
      <c r="AF40" s="751" t="n">
        <v>58</v>
      </c>
      <c r="AG40" s="751" t="n">
        <v>58</v>
      </c>
      <c r="AH40" s="751" t="n">
        <v>58</v>
      </c>
      <c r="AI40" s="751" t="n">
        <v>58</v>
      </c>
      <c r="AJ40" s="751" t="n">
        <v>58</v>
      </c>
      <c r="AK40" s="751" t="n">
        <v>58</v>
      </c>
      <c r="AL40" s="751" t="n">
        <v>58</v>
      </c>
      <c r="AM40" s="751" t="n">
        <v>58</v>
      </c>
      <c r="AN40" s="752">
        <f>(AM40)</f>
        <v/>
      </c>
      <c r="AO40" s="750" t="n"/>
      <c r="AP40" s="751" t="n">
        <v>2</v>
      </c>
      <c r="AQ40" s="751" t="n">
        <v>2</v>
      </c>
      <c r="AR40" s="751" t="n">
        <v>2</v>
      </c>
      <c r="AS40" s="751" t="n">
        <v>2</v>
      </c>
      <c r="AT40" s="751" t="n">
        <v>2</v>
      </c>
      <c r="AU40" s="751" t="n">
        <v>2</v>
      </c>
      <c r="AV40" s="751" t="n">
        <v>2</v>
      </c>
      <c r="AW40" s="751" t="n">
        <v>2</v>
      </c>
      <c r="AX40" s="751" t="n">
        <v>2</v>
      </c>
      <c r="AY40" s="751" t="n">
        <v>2</v>
      </c>
      <c r="AZ40" s="751" t="n">
        <v>2</v>
      </c>
      <c r="BA40" s="751" t="n">
        <v>2</v>
      </c>
      <c r="BB40" s="752">
        <f>(BA40)</f>
        <v/>
      </c>
      <c r="BC40" s="750" t="n"/>
      <c r="BD40" s="751" t="n">
        <v>4</v>
      </c>
      <c r="BE40" s="751" t="n">
        <v>4</v>
      </c>
      <c r="BF40" s="751" t="n">
        <v>4</v>
      </c>
      <c r="BG40" s="751" t="n">
        <v>4</v>
      </c>
      <c r="BH40" s="751" t="n">
        <v>4</v>
      </c>
      <c r="BI40" s="751" t="n">
        <v>4</v>
      </c>
      <c r="BJ40" s="751" t="n">
        <v>4</v>
      </c>
      <c r="BK40" s="751" t="n">
        <v>4</v>
      </c>
      <c r="BL40" s="751" t="n">
        <v>4</v>
      </c>
      <c r="BM40" s="751" t="n">
        <v>4</v>
      </c>
      <c r="BN40" s="751" t="n">
        <v>4</v>
      </c>
      <c r="BO40" s="751" t="n">
        <v>4</v>
      </c>
      <c r="BP40" s="752">
        <f>(BO40)</f>
        <v/>
      </c>
      <c r="BQ40" s="786" t="n"/>
      <c r="BR40" s="751" t="n">
        <v>5</v>
      </c>
      <c r="BS40" s="751" t="n">
        <v>5</v>
      </c>
      <c r="BT40" s="751" t="n">
        <v>5</v>
      </c>
      <c r="BU40" s="751" t="n">
        <v>5</v>
      </c>
      <c r="BV40" s="751" t="n">
        <v>5</v>
      </c>
      <c r="BW40" s="751" t="n">
        <v>5</v>
      </c>
      <c r="BX40" s="751" t="n">
        <v>5</v>
      </c>
      <c r="BY40" s="751" t="n">
        <v>5</v>
      </c>
      <c r="BZ40" s="751" t="n">
        <v>5</v>
      </c>
      <c r="CA40" s="751" t="n">
        <v>5</v>
      </c>
      <c r="CB40" s="751" t="n">
        <v>5</v>
      </c>
      <c r="CC40" s="751" t="n">
        <v>5</v>
      </c>
      <c r="CD40" s="752">
        <f>(CC40)</f>
        <v/>
      </c>
      <c r="CE40" s="786" t="n"/>
      <c r="CF40" s="751" t="n">
        <v>6</v>
      </c>
      <c r="CG40" s="751" t="n">
        <v>6</v>
      </c>
      <c r="CH40" s="751" t="n">
        <v>6</v>
      </c>
      <c r="CI40" s="751" t="n">
        <v>6</v>
      </c>
      <c r="CJ40" s="751" t="n">
        <v>6</v>
      </c>
      <c r="CK40" s="751" t="n">
        <v>6</v>
      </c>
      <c r="CL40" s="751" t="n">
        <v>6</v>
      </c>
      <c r="CM40" s="751" t="n">
        <v>6</v>
      </c>
      <c r="CN40" s="751" t="n">
        <v>6</v>
      </c>
      <c r="CO40" s="751" t="n">
        <v>6</v>
      </c>
      <c r="CP40" s="751" t="n">
        <v>6</v>
      </c>
      <c r="CQ40" s="751" t="n">
        <v>6</v>
      </c>
      <c r="CR40" s="752">
        <f>(CQ40)</f>
        <v/>
      </c>
      <c r="CS40" s="786" t="n"/>
      <c r="CT40" s="751" t="n">
        <v>8</v>
      </c>
      <c r="CU40" s="751" t="n">
        <v>8</v>
      </c>
      <c r="CV40" s="751" t="n">
        <v>8</v>
      </c>
      <c r="CW40" s="751" t="n">
        <v>8</v>
      </c>
      <c r="CX40" s="751" t="n">
        <v>8</v>
      </c>
      <c r="CY40" s="751" t="n">
        <v>8</v>
      </c>
      <c r="CZ40" s="751" t="n">
        <v>8</v>
      </c>
      <c r="DA40" s="751" t="n">
        <v>8</v>
      </c>
      <c r="DB40" s="751" t="n">
        <v>8</v>
      </c>
      <c r="DC40" s="751" t="n">
        <v>8</v>
      </c>
      <c r="DD40" s="751" t="n">
        <v>8</v>
      </c>
      <c r="DE40" s="751" t="n">
        <v>8</v>
      </c>
      <c r="DF40" s="752">
        <f>(DE40)</f>
        <v/>
      </c>
    </row>
    <row r="41" ht="15" customHeight="1" s="1883">
      <c r="D41" s="730" t="n"/>
      <c r="E41" s="726" t="n"/>
      <c r="F41" s="726" t="n"/>
      <c r="G41" s="726" t="n"/>
      <c r="H41" s="726" t="n"/>
      <c r="I41" s="743" t="inlineStr">
        <is>
          <t>Product Development Team + Mechanical Engineer</t>
        </is>
      </c>
      <c r="J41" s="774" t="inlineStr">
        <is>
          <t>OCONUS</t>
        </is>
      </c>
      <c r="K41" s="726" t="n"/>
      <c r="L41" s="631" t="n"/>
      <c r="M41" s="783" t="n"/>
      <c r="N41" s="784" t="n"/>
      <c r="O41" s="778" t="n"/>
      <c r="P41" s="778" t="n"/>
      <c r="Q41" s="778" t="n"/>
      <c r="R41" s="778" t="n"/>
      <c r="S41" s="777" t="n"/>
      <c r="T41" s="777" t="n"/>
      <c r="U41" s="775" t="n"/>
      <c r="V41" s="775" t="n"/>
      <c r="W41" s="775" t="n"/>
      <c r="X41" s="775" t="n"/>
      <c r="Y41" s="776" t="n"/>
      <c r="Z41" s="777" t="n"/>
      <c r="AA41" s="702" t="n"/>
      <c r="AB41" s="751" t="n">
        <v>0</v>
      </c>
      <c r="AC41" s="751" t="n">
        <v>0</v>
      </c>
      <c r="AD41" s="751" t="n">
        <v>0</v>
      </c>
      <c r="AE41" s="751" t="n">
        <v>0</v>
      </c>
      <c r="AF41" s="751" t="n">
        <v>0</v>
      </c>
      <c r="AG41" s="751" t="n">
        <v>0</v>
      </c>
      <c r="AH41" s="751" t="n">
        <v>0</v>
      </c>
      <c r="AI41" s="751" t="n">
        <v>0</v>
      </c>
      <c r="AJ41" s="751" t="n">
        <v>0</v>
      </c>
      <c r="AK41" s="751" t="n">
        <v>0</v>
      </c>
      <c r="AL41" s="751" t="n">
        <v>0</v>
      </c>
      <c r="AM41" s="751" t="n">
        <v>0</v>
      </c>
      <c r="AN41" s="752">
        <f>(AM41)</f>
        <v/>
      </c>
      <c r="AO41" s="750" t="n"/>
      <c r="AP41" s="751" t="n">
        <v>1</v>
      </c>
      <c r="AQ41" s="751" t="n">
        <v>1</v>
      </c>
      <c r="AR41" s="751" t="n">
        <v>1</v>
      </c>
      <c r="AS41" s="751" t="n">
        <v>1</v>
      </c>
      <c r="AT41" s="751" t="n">
        <v>1</v>
      </c>
      <c r="AU41" s="751" t="n">
        <v>1</v>
      </c>
      <c r="AV41" s="751" t="n">
        <v>1</v>
      </c>
      <c r="AW41" s="751" t="n">
        <v>1</v>
      </c>
      <c r="AX41" s="751" t="n">
        <v>1</v>
      </c>
      <c r="AY41" s="751" t="n">
        <v>1</v>
      </c>
      <c r="AZ41" s="751" t="n">
        <v>1</v>
      </c>
      <c r="BA41" s="751" t="n">
        <v>1</v>
      </c>
      <c r="BB41" s="752">
        <f>(BA41)</f>
        <v/>
      </c>
      <c r="BC41" s="750" t="n"/>
      <c r="BD41" s="751" t="n">
        <v>4</v>
      </c>
      <c r="BE41" s="751" t="n">
        <v>4</v>
      </c>
      <c r="BF41" s="751" t="n">
        <v>4</v>
      </c>
      <c r="BG41" s="751" t="n">
        <v>4</v>
      </c>
      <c r="BH41" s="751" t="n">
        <v>4</v>
      </c>
      <c r="BI41" s="751" t="n">
        <v>4</v>
      </c>
      <c r="BJ41" s="751" t="n">
        <v>4</v>
      </c>
      <c r="BK41" s="751" t="n">
        <v>4</v>
      </c>
      <c r="BL41" s="751" t="n">
        <v>4</v>
      </c>
      <c r="BM41" s="751" t="n">
        <v>4</v>
      </c>
      <c r="BN41" s="751" t="n">
        <v>4</v>
      </c>
      <c r="BO41" s="751" t="n">
        <v>4</v>
      </c>
      <c r="BP41" s="752">
        <f>(BO41)</f>
        <v/>
      </c>
      <c r="BQ41" s="786" t="n"/>
      <c r="BR41" s="751" t="n">
        <v>7</v>
      </c>
      <c r="BS41" s="751" t="n">
        <v>7</v>
      </c>
      <c r="BT41" s="751" t="n">
        <v>7</v>
      </c>
      <c r="BU41" s="751" t="n">
        <v>7</v>
      </c>
      <c r="BV41" s="751" t="n">
        <v>7</v>
      </c>
      <c r="BW41" s="751" t="n">
        <v>7</v>
      </c>
      <c r="BX41" s="751" t="n">
        <v>7</v>
      </c>
      <c r="BY41" s="751" t="n">
        <v>7</v>
      </c>
      <c r="BZ41" s="751" t="n">
        <v>7</v>
      </c>
      <c r="CA41" s="751" t="n">
        <v>7</v>
      </c>
      <c r="CB41" s="751" t="n">
        <v>7</v>
      </c>
      <c r="CC41" s="751" t="n">
        <v>7</v>
      </c>
      <c r="CD41" s="752">
        <f>(CC41)</f>
        <v/>
      </c>
      <c r="CE41" s="786" t="n"/>
      <c r="CF41" s="751" t="n">
        <v>8</v>
      </c>
      <c r="CG41" s="751" t="n">
        <v>8</v>
      </c>
      <c r="CH41" s="751" t="n">
        <v>8</v>
      </c>
      <c r="CI41" s="751" t="n">
        <v>8</v>
      </c>
      <c r="CJ41" s="751" t="n">
        <v>8</v>
      </c>
      <c r="CK41" s="751" t="n">
        <v>8</v>
      </c>
      <c r="CL41" s="751" t="n">
        <v>8</v>
      </c>
      <c r="CM41" s="751" t="n">
        <v>8</v>
      </c>
      <c r="CN41" s="751" t="n">
        <v>8</v>
      </c>
      <c r="CO41" s="751" t="n">
        <v>8</v>
      </c>
      <c r="CP41" s="751" t="n">
        <v>8</v>
      </c>
      <c r="CQ41" s="751" t="n">
        <v>8</v>
      </c>
      <c r="CR41" s="752">
        <f>(CQ41)</f>
        <v/>
      </c>
      <c r="CS41" s="786" t="n"/>
      <c r="CT41" s="751" t="n">
        <v>12</v>
      </c>
      <c r="CU41" s="751" t="n">
        <v>12</v>
      </c>
      <c r="CV41" s="751" t="n">
        <v>12</v>
      </c>
      <c r="CW41" s="751" t="n">
        <v>12</v>
      </c>
      <c r="CX41" s="751" t="n">
        <v>12</v>
      </c>
      <c r="CY41" s="751" t="n">
        <v>12</v>
      </c>
      <c r="CZ41" s="751" t="n">
        <v>12</v>
      </c>
      <c r="DA41" s="751" t="n">
        <v>12</v>
      </c>
      <c r="DB41" s="751" t="n">
        <v>12</v>
      </c>
      <c r="DC41" s="751" t="n">
        <v>12</v>
      </c>
      <c r="DD41" s="751" t="n">
        <v>12</v>
      </c>
      <c r="DE41" s="751" t="n">
        <v>12</v>
      </c>
      <c r="DF41" s="752">
        <f>(DE41)</f>
        <v/>
      </c>
    </row>
    <row r="42" ht="15" customHeight="1" s="1883">
      <c r="D42" s="730" t="inlineStr">
        <is>
          <t>●</t>
        </is>
      </c>
      <c r="E42" s="726" t="inlineStr">
        <is>
          <t>TBD</t>
        </is>
      </c>
      <c r="F42" s="726" t="n"/>
      <c r="G42" s="726" t="n"/>
      <c r="H42" s="726" t="n"/>
      <c r="I42" s="772" t="inlineStr">
        <is>
          <t>Software Development Team + Data Scientists/Engineers</t>
        </is>
      </c>
      <c r="J42" s="727" t="inlineStr">
        <is>
          <t>CONUS</t>
        </is>
      </c>
      <c r="K42" s="726" t="n"/>
      <c r="L42" s="631" t="n"/>
      <c r="M42" s="783" t="n"/>
      <c r="N42" s="784" t="n"/>
      <c r="O42" s="778" t="n"/>
      <c r="P42" s="778" t="n"/>
      <c r="Q42" s="778" t="n"/>
      <c r="R42" s="778" t="n"/>
      <c r="S42" s="777" t="n"/>
      <c r="T42" s="777" t="n"/>
      <c r="U42" s="775" t="n"/>
      <c r="V42" s="775" t="n"/>
      <c r="W42" s="775" t="n"/>
      <c r="X42" s="775" t="n"/>
      <c r="Y42" s="776" t="n"/>
      <c r="Z42" s="777" t="n"/>
      <c r="AA42" s="702" t="n"/>
      <c r="AB42" s="751" t="n">
        <v>0</v>
      </c>
      <c r="AC42" s="751" t="n">
        <v>0</v>
      </c>
      <c r="AD42" s="751" t="n">
        <v>0</v>
      </c>
      <c r="AE42" s="751" t="n">
        <v>0</v>
      </c>
      <c r="AF42" s="751" t="n">
        <v>0</v>
      </c>
      <c r="AG42" s="751" t="n">
        <v>0</v>
      </c>
      <c r="AH42" s="751" t="n">
        <v>0</v>
      </c>
      <c r="AI42" s="751" t="n">
        <v>0</v>
      </c>
      <c r="AJ42" s="751" t="n">
        <v>0</v>
      </c>
      <c r="AK42" s="751" t="n">
        <v>0</v>
      </c>
      <c r="AL42" s="751" t="n">
        <v>0</v>
      </c>
      <c r="AM42" s="751" t="n">
        <v>0</v>
      </c>
      <c r="AN42" s="752">
        <f>(AM42)</f>
        <v/>
      </c>
      <c r="AO42" s="750" t="n"/>
      <c r="AP42" s="751" t="n">
        <v>2</v>
      </c>
      <c r="AQ42" s="751" t="n">
        <v>2</v>
      </c>
      <c r="AR42" s="751" t="n">
        <v>2</v>
      </c>
      <c r="AS42" s="751" t="n">
        <v>2</v>
      </c>
      <c r="AT42" s="751" t="n">
        <v>2</v>
      </c>
      <c r="AU42" s="751" t="n">
        <v>2</v>
      </c>
      <c r="AV42" s="751" t="n">
        <v>2</v>
      </c>
      <c r="AW42" s="751" t="n">
        <v>2</v>
      </c>
      <c r="AX42" s="751" t="n">
        <v>2</v>
      </c>
      <c r="AY42" s="751" t="n">
        <v>2</v>
      </c>
      <c r="AZ42" s="751" t="n">
        <v>2</v>
      </c>
      <c r="BA42" s="751" t="n">
        <v>2</v>
      </c>
      <c r="BB42" s="752">
        <f>(BA42)</f>
        <v/>
      </c>
      <c r="BC42" s="750" t="n"/>
      <c r="BD42" s="751" t="n">
        <v>2</v>
      </c>
      <c r="BE42" s="751" t="n">
        <v>2</v>
      </c>
      <c r="BF42" s="751" t="n">
        <v>2</v>
      </c>
      <c r="BG42" s="751" t="n">
        <v>2</v>
      </c>
      <c r="BH42" s="751" t="n">
        <v>2</v>
      </c>
      <c r="BI42" s="751" t="n">
        <v>2</v>
      </c>
      <c r="BJ42" s="751" t="n">
        <v>2</v>
      </c>
      <c r="BK42" s="751" t="n">
        <v>2</v>
      </c>
      <c r="BL42" s="751" t="n">
        <v>2</v>
      </c>
      <c r="BM42" s="751" t="n">
        <v>2</v>
      </c>
      <c r="BN42" s="751" t="n">
        <v>2</v>
      </c>
      <c r="BO42" s="751" t="n">
        <v>2</v>
      </c>
      <c r="BP42" s="752">
        <f>(BO42)</f>
        <v/>
      </c>
      <c r="BQ42" s="786" t="n"/>
      <c r="BR42" s="751" t="n">
        <v>4</v>
      </c>
      <c r="BS42" s="751" t="n">
        <v>4</v>
      </c>
      <c r="BT42" s="751" t="n">
        <v>4</v>
      </c>
      <c r="BU42" s="751" t="n">
        <v>4</v>
      </c>
      <c r="BV42" s="751" t="n">
        <v>4</v>
      </c>
      <c r="BW42" s="751" t="n">
        <v>4</v>
      </c>
      <c r="BX42" s="751" t="n">
        <v>4</v>
      </c>
      <c r="BY42" s="751" t="n">
        <v>4</v>
      </c>
      <c r="BZ42" s="751" t="n">
        <v>4</v>
      </c>
      <c r="CA42" s="751" t="n">
        <v>4</v>
      </c>
      <c r="CB42" s="751" t="n">
        <v>4</v>
      </c>
      <c r="CC42" s="751" t="n">
        <v>4</v>
      </c>
      <c r="CD42" s="752">
        <f>(CC42)</f>
        <v/>
      </c>
      <c r="CE42" s="786" t="n"/>
      <c r="CF42" s="751" t="n">
        <v>6</v>
      </c>
      <c r="CG42" s="751" t="n">
        <v>6</v>
      </c>
      <c r="CH42" s="751" t="n">
        <v>6</v>
      </c>
      <c r="CI42" s="751" t="n">
        <v>6</v>
      </c>
      <c r="CJ42" s="751" t="n">
        <v>6</v>
      </c>
      <c r="CK42" s="751" t="n">
        <v>6</v>
      </c>
      <c r="CL42" s="751" t="n">
        <v>6</v>
      </c>
      <c r="CM42" s="751" t="n">
        <v>6</v>
      </c>
      <c r="CN42" s="751" t="n">
        <v>6</v>
      </c>
      <c r="CO42" s="751" t="n">
        <v>6</v>
      </c>
      <c r="CP42" s="751" t="n">
        <v>6</v>
      </c>
      <c r="CQ42" s="751" t="n">
        <v>6</v>
      </c>
      <c r="CR42" s="752">
        <f>(CQ42)</f>
        <v/>
      </c>
      <c r="CS42" s="786" t="n"/>
      <c r="CT42" s="751" t="n">
        <v>8</v>
      </c>
      <c r="CU42" s="751" t="n">
        <v>8</v>
      </c>
      <c r="CV42" s="751" t="n">
        <v>8</v>
      </c>
      <c r="CW42" s="751" t="n">
        <v>8</v>
      </c>
      <c r="CX42" s="751" t="n">
        <v>8</v>
      </c>
      <c r="CY42" s="751" t="n">
        <v>8</v>
      </c>
      <c r="CZ42" s="751" t="n">
        <v>8</v>
      </c>
      <c r="DA42" s="751" t="n">
        <v>8</v>
      </c>
      <c r="DB42" s="751" t="n">
        <v>8</v>
      </c>
      <c r="DC42" s="751" t="n">
        <v>8</v>
      </c>
      <c r="DD42" s="751" t="n">
        <v>8</v>
      </c>
      <c r="DE42" s="751" t="n">
        <v>8</v>
      </c>
      <c r="DF42" s="752">
        <f>(DE42)</f>
        <v/>
      </c>
    </row>
    <row r="43" ht="15" customHeight="1" s="1883">
      <c r="D43" s="730" t="n"/>
      <c r="E43" s="726" t="n"/>
      <c r="F43" s="726" t="n"/>
      <c r="G43" s="726" t="n"/>
      <c r="H43" s="726" t="n"/>
      <c r="I43" s="772" t="inlineStr">
        <is>
          <t>Software Development Team + Data Scientists/Engineers</t>
        </is>
      </c>
      <c r="J43" s="774" t="inlineStr">
        <is>
          <t>OCONUS</t>
        </is>
      </c>
      <c r="K43" s="726" t="n"/>
      <c r="L43" s="631" t="n"/>
      <c r="M43" s="783" t="n"/>
      <c r="N43" s="784" t="n"/>
      <c r="O43" s="778" t="n"/>
      <c r="P43" s="778" t="n"/>
      <c r="Q43" s="778" t="n"/>
      <c r="R43" s="778" t="n"/>
      <c r="S43" s="777" t="n"/>
      <c r="T43" s="777" t="n"/>
      <c r="U43" s="775" t="n"/>
      <c r="V43" s="775" t="n"/>
      <c r="W43" s="775" t="n"/>
      <c r="X43" s="775" t="n"/>
      <c r="Y43" s="776" t="n"/>
      <c r="Z43" s="777" t="n"/>
      <c r="AA43" s="702" t="n"/>
      <c r="AB43" s="751" t="n">
        <v>0</v>
      </c>
      <c r="AC43" s="751" t="n">
        <v>0</v>
      </c>
      <c r="AD43" s="751" t="n">
        <v>0</v>
      </c>
      <c r="AE43" s="751" t="n">
        <v>0</v>
      </c>
      <c r="AF43" s="751" t="n">
        <v>0</v>
      </c>
      <c r="AG43" s="751" t="n">
        <v>0</v>
      </c>
      <c r="AH43" s="751" t="n">
        <v>0</v>
      </c>
      <c r="AI43" s="751" t="n">
        <v>0</v>
      </c>
      <c r="AJ43" s="751" t="n">
        <v>0</v>
      </c>
      <c r="AK43" s="751" t="n">
        <v>0</v>
      </c>
      <c r="AL43" s="751" t="n">
        <v>0</v>
      </c>
      <c r="AM43" s="751" t="n">
        <v>0</v>
      </c>
      <c r="AN43" s="752">
        <f>(AM43)</f>
        <v/>
      </c>
      <c r="AO43" s="750" t="n"/>
      <c r="AP43" s="751" t="n">
        <v>1</v>
      </c>
      <c r="AQ43" s="751" t="n">
        <v>1</v>
      </c>
      <c r="AR43" s="751" t="n">
        <v>1</v>
      </c>
      <c r="AS43" s="751" t="n">
        <v>1</v>
      </c>
      <c r="AT43" s="751" t="n">
        <v>1</v>
      </c>
      <c r="AU43" s="751" t="n">
        <v>1</v>
      </c>
      <c r="AV43" s="751" t="n">
        <v>1</v>
      </c>
      <c r="AW43" s="751" t="n">
        <v>1</v>
      </c>
      <c r="AX43" s="751" t="n">
        <v>1</v>
      </c>
      <c r="AY43" s="751" t="n">
        <v>1</v>
      </c>
      <c r="AZ43" s="751" t="n">
        <v>1</v>
      </c>
      <c r="BA43" s="751" t="n">
        <v>1</v>
      </c>
      <c r="BB43" s="752">
        <f>(BA43)</f>
        <v/>
      </c>
      <c r="BC43" s="750" t="n"/>
      <c r="BD43" s="751" t="n">
        <v>6</v>
      </c>
      <c r="BE43" s="751" t="n">
        <v>6</v>
      </c>
      <c r="BF43" s="751" t="n">
        <v>6</v>
      </c>
      <c r="BG43" s="751" t="n">
        <v>6</v>
      </c>
      <c r="BH43" s="751" t="n">
        <v>6</v>
      </c>
      <c r="BI43" s="751" t="n">
        <v>6</v>
      </c>
      <c r="BJ43" s="751" t="n">
        <v>6</v>
      </c>
      <c r="BK43" s="751" t="n">
        <v>6</v>
      </c>
      <c r="BL43" s="751" t="n">
        <v>6</v>
      </c>
      <c r="BM43" s="751" t="n">
        <v>6</v>
      </c>
      <c r="BN43" s="751" t="n">
        <v>6</v>
      </c>
      <c r="BO43" s="751" t="n">
        <v>6</v>
      </c>
      <c r="BP43" s="752">
        <f>(BO43)</f>
        <v/>
      </c>
      <c r="BQ43" s="786" t="n"/>
      <c r="BR43" s="751" t="n">
        <v>8</v>
      </c>
      <c r="BS43" s="751" t="n">
        <v>8</v>
      </c>
      <c r="BT43" s="751" t="n">
        <v>8</v>
      </c>
      <c r="BU43" s="751" t="n">
        <v>8</v>
      </c>
      <c r="BV43" s="751" t="n">
        <v>8</v>
      </c>
      <c r="BW43" s="751" t="n">
        <v>8</v>
      </c>
      <c r="BX43" s="751" t="n">
        <v>8</v>
      </c>
      <c r="BY43" s="751" t="n">
        <v>8</v>
      </c>
      <c r="BZ43" s="751" t="n">
        <v>8</v>
      </c>
      <c r="CA43" s="751" t="n">
        <v>8</v>
      </c>
      <c r="CB43" s="751" t="n">
        <v>8</v>
      </c>
      <c r="CC43" s="751" t="n">
        <v>8</v>
      </c>
      <c r="CD43" s="752">
        <f>(CC43)</f>
        <v/>
      </c>
      <c r="CE43" s="786" t="n"/>
      <c r="CF43" s="751" t="n">
        <v>9</v>
      </c>
      <c r="CG43" s="751" t="n">
        <v>9</v>
      </c>
      <c r="CH43" s="751" t="n">
        <v>9</v>
      </c>
      <c r="CI43" s="751" t="n">
        <v>9</v>
      </c>
      <c r="CJ43" s="751" t="n">
        <v>9</v>
      </c>
      <c r="CK43" s="751" t="n">
        <v>9</v>
      </c>
      <c r="CL43" s="751" t="n">
        <v>9</v>
      </c>
      <c r="CM43" s="751" t="n">
        <v>9</v>
      </c>
      <c r="CN43" s="751" t="n">
        <v>9</v>
      </c>
      <c r="CO43" s="751" t="n">
        <v>9</v>
      </c>
      <c r="CP43" s="751" t="n">
        <v>9</v>
      </c>
      <c r="CQ43" s="751" t="n">
        <v>9</v>
      </c>
      <c r="CR43" s="752">
        <f>(CQ43)</f>
        <v/>
      </c>
      <c r="CS43" s="786" t="n"/>
      <c r="CT43" s="751" t="n">
        <v>12</v>
      </c>
      <c r="CU43" s="751" t="n">
        <v>12</v>
      </c>
      <c r="CV43" s="751" t="n">
        <v>12</v>
      </c>
      <c r="CW43" s="751" t="n">
        <v>12</v>
      </c>
      <c r="CX43" s="751" t="n">
        <v>12</v>
      </c>
      <c r="CY43" s="751" t="n">
        <v>12</v>
      </c>
      <c r="CZ43" s="751" t="n">
        <v>12</v>
      </c>
      <c r="DA43" s="751" t="n">
        <v>12</v>
      </c>
      <c r="DB43" s="751" t="n">
        <v>12</v>
      </c>
      <c r="DC43" s="751" t="n">
        <v>12</v>
      </c>
      <c r="DD43" s="751" t="n">
        <v>12</v>
      </c>
      <c r="DE43" s="751" t="n">
        <v>12</v>
      </c>
      <c r="DF43" s="752">
        <f>(DE43)</f>
        <v/>
      </c>
    </row>
    <row r="44" ht="15" customHeight="1" s="1883">
      <c r="D44" s="730" t="inlineStr">
        <is>
          <t>●</t>
        </is>
      </c>
      <c r="E44" s="726" t="inlineStr">
        <is>
          <t>TBD</t>
        </is>
      </c>
      <c r="F44" s="726" t="n"/>
      <c r="G44" s="726" t="n"/>
      <c r="H44" s="726" t="n"/>
      <c r="I44" s="743" t="inlineStr">
        <is>
          <t>Economist + Crypto Tokenomics</t>
        </is>
      </c>
      <c r="J44" s="727" t="inlineStr">
        <is>
          <t>CONUS</t>
        </is>
      </c>
      <c r="K44" s="726" t="n"/>
      <c r="L44" s="631" t="n"/>
      <c r="M44" s="783" t="n"/>
      <c r="N44" s="784" t="n"/>
      <c r="O44" s="778" t="n"/>
      <c r="P44" s="778" t="n"/>
      <c r="Q44" s="778" t="n"/>
      <c r="R44" s="778" t="n"/>
      <c r="S44" s="777" t="n"/>
      <c r="T44" s="777" t="n"/>
      <c r="U44" s="775" t="n"/>
      <c r="V44" s="775" t="n"/>
      <c r="W44" s="775" t="n"/>
      <c r="X44" s="775" t="n"/>
      <c r="Y44" s="776" t="n"/>
      <c r="Z44" s="777" t="n"/>
      <c r="AA44" s="702" t="n"/>
      <c r="AB44" s="751" t="n">
        <v>0</v>
      </c>
      <c r="AC44" s="751" t="n">
        <v>0</v>
      </c>
      <c r="AD44" s="751" t="n">
        <v>0</v>
      </c>
      <c r="AE44" s="751" t="n">
        <v>0</v>
      </c>
      <c r="AF44" s="751" t="n">
        <v>0</v>
      </c>
      <c r="AG44" s="751" t="n">
        <v>0</v>
      </c>
      <c r="AH44" s="751" t="n">
        <v>0</v>
      </c>
      <c r="AI44" s="751" t="n">
        <v>0</v>
      </c>
      <c r="AJ44" s="751" t="n">
        <v>0</v>
      </c>
      <c r="AK44" s="751" t="n">
        <v>0</v>
      </c>
      <c r="AL44" s="751" t="n">
        <v>0</v>
      </c>
      <c r="AM44" s="751" t="n">
        <v>0</v>
      </c>
      <c r="AN44" s="752">
        <f>(AM44)</f>
        <v/>
      </c>
      <c r="AO44" s="750" t="n"/>
      <c r="AP44" s="751" t="n">
        <v>1</v>
      </c>
      <c r="AQ44" s="751" t="n">
        <v>1</v>
      </c>
      <c r="AR44" s="751" t="n">
        <v>1</v>
      </c>
      <c r="AS44" s="751" t="n">
        <v>1</v>
      </c>
      <c r="AT44" s="751" t="n">
        <v>1</v>
      </c>
      <c r="AU44" s="751" t="n">
        <v>1</v>
      </c>
      <c r="AV44" s="751" t="n">
        <v>1</v>
      </c>
      <c r="AW44" s="751" t="n">
        <v>1</v>
      </c>
      <c r="AX44" s="751" t="n">
        <v>1</v>
      </c>
      <c r="AY44" s="751" t="n">
        <v>1</v>
      </c>
      <c r="AZ44" s="751" t="n">
        <v>1</v>
      </c>
      <c r="BA44" s="751" t="n">
        <v>1</v>
      </c>
      <c r="BB44" s="752">
        <f>(BA44)</f>
        <v/>
      </c>
      <c r="BC44" s="750" t="n"/>
      <c r="BD44" s="751" t="n">
        <v>1</v>
      </c>
      <c r="BE44" s="751" t="n">
        <v>1</v>
      </c>
      <c r="BF44" s="751" t="n">
        <v>1</v>
      </c>
      <c r="BG44" s="751" t="n">
        <v>1</v>
      </c>
      <c r="BH44" s="751" t="n">
        <v>1</v>
      </c>
      <c r="BI44" s="751" t="n">
        <v>1</v>
      </c>
      <c r="BJ44" s="751" t="n">
        <v>1</v>
      </c>
      <c r="BK44" s="751" t="n">
        <v>1</v>
      </c>
      <c r="BL44" s="751" t="n">
        <v>1</v>
      </c>
      <c r="BM44" s="751" t="n">
        <v>1</v>
      </c>
      <c r="BN44" s="751" t="n">
        <v>1</v>
      </c>
      <c r="BO44" s="751" t="n">
        <v>1</v>
      </c>
      <c r="BP44" s="752">
        <f>(BO44)</f>
        <v/>
      </c>
      <c r="BQ44" s="786" t="n"/>
      <c r="BR44" s="751" t="n">
        <v>1</v>
      </c>
      <c r="BS44" s="751" t="n">
        <v>1</v>
      </c>
      <c r="BT44" s="751" t="n">
        <v>1</v>
      </c>
      <c r="BU44" s="751" t="n">
        <v>1</v>
      </c>
      <c r="BV44" s="751" t="n">
        <v>1</v>
      </c>
      <c r="BW44" s="751" t="n">
        <v>1</v>
      </c>
      <c r="BX44" s="751" t="n">
        <v>1</v>
      </c>
      <c r="BY44" s="751" t="n">
        <v>1</v>
      </c>
      <c r="BZ44" s="751" t="n">
        <v>1</v>
      </c>
      <c r="CA44" s="751" t="n">
        <v>1</v>
      </c>
      <c r="CB44" s="751" t="n">
        <v>1</v>
      </c>
      <c r="CC44" s="751" t="n">
        <v>1</v>
      </c>
      <c r="CD44" s="752">
        <f>(CC44)</f>
        <v/>
      </c>
      <c r="CE44" s="786" t="n"/>
      <c r="CF44" s="751" t="n">
        <v>1</v>
      </c>
      <c r="CG44" s="751" t="n">
        <v>1</v>
      </c>
      <c r="CH44" s="751" t="n">
        <v>1</v>
      </c>
      <c r="CI44" s="751" t="n">
        <v>1</v>
      </c>
      <c r="CJ44" s="751" t="n">
        <v>1</v>
      </c>
      <c r="CK44" s="751" t="n">
        <v>1</v>
      </c>
      <c r="CL44" s="751" t="n">
        <v>1</v>
      </c>
      <c r="CM44" s="751" t="n">
        <v>1</v>
      </c>
      <c r="CN44" s="751" t="n">
        <v>1</v>
      </c>
      <c r="CO44" s="751" t="n">
        <v>1</v>
      </c>
      <c r="CP44" s="751" t="n">
        <v>1</v>
      </c>
      <c r="CQ44" s="751" t="n">
        <v>1</v>
      </c>
      <c r="CR44" s="752">
        <f>(CQ44)</f>
        <v/>
      </c>
      <c r="CS44" s="786" t="n"/>
      <c r="CT44" s="751" t="n">
        <v>1</v>
      </c>
      <c r="CU44" s="751" t="n">
        <v>1</v>
      </c>
      <c r="CV44" s="751" t="n">
        <v>1</v>
      </c>
      <c r="CW44" s="751" t="n">
        <v>1</v>
      </c>
      <c r="CX44" s="751" t="n">
        <v>1</v>
      </c>
      <c r="CY44" s="751" t="n">
        <v>1</v>
      </c>
      <c r="CZ44" s="751" t="n">
        <v>1</v>
      </c>
      <c r="DA44" s="751" t="n">
        <v>1</v>
      </c>
      <c r="DB44" s="751" t="n">
        <v>1</v>
      </c>
      <c r="DC44" s="751" t="n">
        <v>1</v>
      </c>
      <c r="DD44" s="751" t="n">
        <v>1</v>
      </c>
      <c r="DE44" s="751" t="n">
        <v>1</v>
      </c>
      <c r="DF44" s="752">
        <f>(DE44)</f>
        <v/>
      </c>
    </row>
    <row r="45" ht="15" customHeight="1" s="1883">
      <c r="D45" s="730" t="n"/>
      <c r="E45" s="726" t="n"/>
      <c r="F45" s="726" t="n"/>
      <c r="G45" s="726" t="n"/>
      <c r="H45" s="726" t="n"/>
      <c r="I45" s="743" t="inlineStr">
        <is>
          <t>Economist + Crypto Tokenomics</t>
        </is>
      </c>
      <c r="J45" s="774" t="inlineStr">
        <is>
          <t>OCONUS</t>
        </is>
      </c>
      <c r="K45" s="726" t="n"/>
      <c r="L45" s="631" t="n"/>
      <c r="M45" s="783" t="n"/>
      <c r="N45" s="784" t="n"/>
      <c r="O45" s="778" t="n"/>
      <c r="P45" s="778" t="n"/>
      <c r="Q45" s="778" t="n"/>
      <c r="R45" s="778" t="n"/>
      <c r="S45" s="777" t="n"/>
      <c r="T45" s="777" t="n"/>
      <c r="U45" s="775" t="n"/>
      <c r="V45" s="775" t="n"/>
      <c r="W45" s="775" t="n"/>
      <c r="X45" s="775" t="n"/>
      <c r="Y45" s="776" t="n"/>
      <c r="Z45" s="777" t="n"/>
      <c r="AA45" s="702" t="n"/>
      <c r="AB45" s="751" t="n">
        <v>0</v>
      </c>
      <c r="AC45" s="751" t="n">
        <v>0</v>
      </c>
      <c r="AD45" s="751" t="n">
        <v>0</v>
      </c>
      <c r="AE45" s="751" t="n">
        <v>0</v>
      </c>
      <c r="AF45" s="751" t="n">
        <v>0</v>
      </c>
      <c r="AG45" s="751" t="n">
        <v>0</v>
      </c>
      <c r="AH45" s="751" t="n">
        <v>0</v>
      </c>
      <c r="AI45" s="751" t="n">
        <v>0</v>
      </c>
      <c r="AJ45" s="751" t="n">
        <v>0</v>
      </c>
      <c r="AK45" s="751" t="n">
        <v>0</v>
      </c>
      <c r="AL45" s="751" t="n">
        <v>0</v>
      </c>
      <c r="AM45" s="751" t="n">
        <v>0</v>
      </c>
      <c r="AN45" s="752">
        <f>(AM45)</f>
        <v/>
      </c>
      <c r="AO45" s="750" t="n"/>
      <c r="AP45" s="751" t="n">
        <v>0</v>
      </c>
      <c r="AQ45" s="751" t="n">
        <v>0</v>
      </c>
      <c r="AR45" s="751" t="n">
        <v>0</v>
      </c>
      <c r="AS45" s="751" t="n">
        <v>0</v>
      </c>
      <c r="AT45" s="751" t="n">
        <v>0</v>
      </c>
      <c r="AU45" s="751" t="n">
        <v>0</v>
      </c>
      <c r="AV45" s="751" t="n">
        <v>0</v>
      </c>
      <c r="AW45" s="751" t="n">
        <v>0</v>
      </c>
      <c r="AX45" s="751" t="n">
        <v>0</v>
      </c>
      <c r="AY45" s="751" t="n">
        <v>0</v>
      </c>
      <c r="AZ45" s="751" t="n">
        <v>0</v>
      </c>
      <c r="BA45" s="751" t="n">
        <v>0</v>
      </c>
      <c r="BB45" s="752">
        <f>(BA45)</f>
        <v/>
      </c>
      <c r="BC45" s="750" t="n"/>
      <c r="BD45" s="751" t="n">
        <v>1</v>
      </c>
      <c r="BE45" s="751" t="n">
        <v>1</v>
      </c>
      <c r="BF45" s="751" t="n">
        <v>1</v>
      </c>
      <c r="BG45" s="751" t="n">
        <v>1</v>
      </c>
      <c r="BH45" s="751" t="n">
        <v>1</v>
      </c>
      <c r="BI45" s="751" t="n">
        <v>1</v>
      </c>
      <c r="BJ45" s="751" t="n">
        <v>1</v>
      </c>
      <c r="BK45" s="751" t="n">
        <v>1</v>
      </c>
      <c r="BL45" s="751" t="n">
        <v>1</v>
      </c>
      <c r="BM45" s="751" t="n">
        <v>1</v>
      </c>
      <c r="BN45" s="751" t="n">
        <v>1</v>
      </c>
      <c r="BO45" s="751" t="n">
        <v>1</v>
      </c>
      <c r="BP45" s="752">
        <f>(BO45)</f>
        <v/>
      </c>
      <c r="BQ45" s="786" t="n"/>
      <c r="BR45" s="751" t="n">
        <v>1</v>
      </c>
      <c r="BS45" s="751" t="n">
        <v>1</v>
      </c>
      <c r="BT45" s="751" t="n">
        <v>1</v>
      </c>
      <c r="BU45" s="751" t="n">
        <v>1</v>
      </c>
      <c r="BV45" s="751" t="n">
        <v>1</v>
      </c>
      <c r="BW45" s="751" t="n">
        <v>1</v>
      </c>
      <c r="BX45" s="751" t="n">
        <v>1</v>
      </c>
      <c r="BY45" s="751" t="n">
        <v>1</v>
      </c>
      <c r="BZ45" s="751" t="n">
        <v>1</v>
      </c>
      <c r="CA45" s="751" t="n">
        <v>1</v>
      </c>
      <c r="CB45" s="751" t="n">
        <v>1</v>
      </c>
      <c r="CC45" s="751" t="n">
        <v>1</v>
      </c>
      <c r="CD45" s="752">
        <f>(CC45)</f>
        <v/>
      </c>
      <c r="CE45" s="786" t="n"/>
      <c r="CF45" s="751" t="n">
        <v>1</v>
      </c>
      <c r="CG45" s="751" t="n">
        <v>1</v>
      </c>
      <c r="CH45" s="751" t="n">
        <v>1</v>
      </c>
      <c r="CI45" s="751" t="n">
        <v>1</v>
      </c>
      <c r="CJ45" s="751" t="n">
        <v>1</v>
      </c>
      <c r="CK45" s="751" t="n">
        <v>1</v>
      </c>
      <c r="CL45" s="751" t="n">
        <v>1</v>
      </c>
      <c r="CM45" s="751" t="n">
        <v>1</v>
      </c>
      <c r="CN45" s="751" t="n">
        <v>1</v>
      </c>
      <c r="CO45" s="751" t="n">
        <v>1</v>
      </c>
      <c r="CP45" s="751" t="n">
        <v>1</v>
      </c>
      <c r="CQ45" s="751" t="n">
        <v>1</v>
      </c>
      <c r="CR45" s="752">
        <f>(CQ45)</f>
        <v/>
      </c>
      <c r="CS45" s="786" t="n"/>
      <c r="CT45" s="751" t="n">
        <v>1</v>
      </c>
      <c r="CU45" s="751" t="n">
        <v>1</v>
      </c>
      <c r="CV45" s="751" t="n">
        <v>1</v>
      </c>
      <c r="CW45" s="751" t="n">
        <v>1</v>
      </c>
      <c r="CX45" s="751" t="n">
        <v>1</v>
      </c>
      <c r="CY45" s="751" t="n">
        <v>1</v>
      </c>
      <c r="CZ45" s="751" t="n">
        <v>1</v>
      </c>
      <c r="DA45" s="751" t="n">
        <v>1</v>
      </c>
      <c r="DB45" s="751" t="n">
        <v>1</v>
      </c>
      <c r="DC45" s="751" t="n">
        <v>1</v>
      </c>
      <c r="DD45" s="751" t="n">
        <v>1</v>
      </c>
      <c r="DE45" s="751" t="n">
        <v>1</v>
      </c>
      <c r="DF45" s="752">
        <f>(DE45)</f>
        <v/>
      </c>
    </row>
    <row r="46" ht="15" customHeight="1" s="1883">
      <c r="D46" s="730" t="inlineStr">
        <is>
          <t>●</t>
        </is>
      </c>
      <c r="E46" s="726" t="inlineStr">
        <is>
          <t>TBD</t>
        </is>
      </c>
      <c r="F46" s="726" t="n"/>
      <c r="G46" s="726" t="n"/>
      <c r="H46" s="726" t="n"/>
      <c r="I46" s="743" t="inlineStr">
        <is>
          <t>IT &amp; Tech Team</t>
        </is>
      </c>
      <c r="J46" s="727" t="inlineStr">
        <is>
          <t>CONUS</t>
        </is>
      </c>
      <c r="K46" s="726" t="n"/>
      <c r="L46" s="631" t="n"/>
      <c r="M46" s="783" t="n"/>
      <c r="N46" s="784" t="n"/>
      <c r="O46" s="778" t="n"/>
      <c r="P46" s="778" t="n"/>
      <c r="Q46" s="778" t="n"/>
      <c r="R46" s="778" t="n"/>
      <c r="S46" s="777" t="n"/>
      <c r="T46" s="777" t="n"/>
      <c r="U46" s="775" t="n"/>
      <c r="V46" s="775" t="n"/>
      <c r="W46" s="775" t="n"/>
      <c r="X46" s="775" t="n"/>
      <c r="Y46" s="776" t="n"/>
      <c r="Z46" s="777" t="n"/>
      <c r="AA46" s="702" t="n"/>
      <c r="AB46" s="751" t="n">
        <v>0</v>
      </c>
      <c r="AC46" s="751" t="n">
        <v>0</v>
      </c>
      <c r="AD46" s="751" t="n">
        <v>0</v>
      </c>
      <c r="AE46" s="751" t="n">
        <v>0</v>
      </c>
      <c r="AF46" s="751" t="n">
        <v>0</v>
      </c>
      <c r="AG46" s="751" t="n">
        <v>0</v>
      </c>
      <c r="AH46" s="751" t="n">
        <v>0</v>
      </c>
      <c r="AI46" s="751" t="n">
        <v>0</v>
      </c>
      <c r="AJ46" s="751" t="n">
        <v>0</v>
      </c>
      <c r="AK46" s="751" t="n">
        <v>0</v>
      </c>
      <c r="AL46" s="751" t="n">
        <v>0</v>
      </c>
      <c r="AM46" s="751" t="n">
        <v>0</v>
      </c>
      <c r="AN46" s="752">
        <f>(AM46)</f>
        <v/>
      </c>
      <c r="AO46" s="750" t="n"/>
      <c r="AP46" s="751" t="n">
        <v>2</v>
      </c>
      <c r="AQ46" s="751" t="n">
        <v>2</v>
      </c>
      <c r="AR46" s="751" t="n">
        <v>2</v>
      </c>
      <c r="AS46" s="751" t="n">
        <v>2</v>
      </c>
      <c r="AT46" s="751" t="n">
        <v>2</v>
      </c>
      <c r="AU46" s="751" t="n">
        <v>2</v>
      </c>
      <c r="AV46" s="751" t="n">
        <v>2</v>
      </c>
      <c r="AW46" s="751" t="n">
        <v>2</v>
      </c>
      <c r="AX46" s="751" t="n">
        <v>2</v>
      </c>
      <c r="AY46" s="751" t="n">
        <v>2</v>
      </c>
      <c r="AZ46" s="751" t="n">
        <v>2</v>
      </c>
      <c r="BA46" s="751" t="n">
        <v>2</v>
      </c>
      <c r="BB46" s="752">
        <f>(BA46)</f>
        <v/>
      </c>
      <c r="BC46" s="750" t="n"/>
      <c r="BD46" s="751" t="n">
        <v>2</v>
      </c>
      <c r="BE46" s="751" t="n">
        <v>2</v>
      </c>
      <c r="BF46" s="751" t="n">
        <v>2</v>
      </c>
      <c r="BG46" s="751" t="n">
        <v>2</v>
      </c>
      <c r="BH46" s="751" t="n">
        <v>2</v>
      </c>
      <c r="BI46" s="751" t="n">
        <v>2</v>
      </c>
      <c r="BJ46" s="751" t="n">
        <v>2</v>
      </c>
      <c r="BK46" s="751" t="n">
        <v>2</v>
      </c>
      <c r="BL46" s="751" t="n">
        <v>2</v>
      </c>
      <c r="BM46" s="751" t="n">
        <v>2</v>
      </c>
      <c r="BN46" s="751" t="n">
        <v>2</v>
      </c>
      <c r="BO46" s="751" t="n">
        <v>2</v>
      </c>
      <c r="BP46" s="752">
        <f>(BO46)</f>
        <v/>
      </c>
      <c r="BQ46" s="786" t="n"/>
      <c r="BR46" s="751" t="n">
        <v>2</v>
      </c>
      <c r="BS46" s="751" t="n">
        <v>2</v>
      </c>
      <c r="BT46" s="751" t="n">
        <v>2</v>
      </c>
      <c r="BU46" s="751" t="n">
        <v>2</v>
      </c>
      <c r="BV46" s="751" t="n">
        <v>2</v>
      </c>
      <c r="BW46" s="751" t="n">
        <v>2</v>
      </c>
      <c r="BX46" s="751" t="n">
        <v>2</v>
      </c>
      <c r="BY46" s="751" t="n">
        <v>2</v>
      </c>
      <c r="BZ46" s="751" t="n">
        <v>2</v>
      </c>
      <c r="CA46" s="751" t="n">
        <v>2</v>
      </c>
      <c r="CB46" s="751" t="n">
        <v>2</v>
      </c>
      <c r="CC46" s="751" t="n">
        <v>2</v>
      </c>
      <c r="CD46" s="752">
        <f>(CC46)</f>
        <v/>
      </c>
      <c r="CE46" s="786" t="n"/>
      <c r="CF46" s="751" t="n">
        <v>3</v>
      </c>
      <c r="CG46" s="751" t="n">
        <v>3</v>
      </c>
      <c r="CH46" s="751" t="n">
        <v>3</v>
      </c>
      <c r="CI46" s="751" t="n">
        <v>3</v>
      </c>
      <c r="CJ46" s="751" t="n">
        <v>3</v>
      </c>
      <c r="CK46" s="751" t="n">
        <v>3</v>
      </c>
      <c r="CL46" s="751" t="n">
        <v>3</v>
      </c>
      <c r="CM46" s="751" t="n">
        <v>3</v>
      </c>
      <c r="CN46" s="751" t="n">
        <v>3</v>
      </c>
      <c r="CO46" s="751" t="n">
        <v>3</v>
      </c>
      <c r="CP46" s="751" t="n">
        <v>3</v>
      </c>
      <c r="CQ46" s="751" t="n">
        <v>3</v>
      </c>
      <c r="CR46" s="752">
        <f>(CQ46)</f>
        <v/>
      </c>
      <c r="CS46" s="786" t="n"/>
      <c r="CT46" s="751" t="n">
        <v>4</v>
      </c>
      <c r="CU46" s="751" t="n">
        <v>4</v>
      </c>
      <c r="CV46" s="751" t="n">
        <v>4</v>
      </c>
      <c r="CW46" s="751" t="n">
        <v>4</v>
      </c>
      <c r="CX46" s="751" t="n">
        <v>4</v>
      </c>
      <c r="CY46" s="751" t="n">
        <v>4</v>
      </c>
      <c r="CZ46" s="751" t="n">
        <v>4</v>
      </c>
      <c r="DA46" s="751" t="n">
        <v>4</v>
      </c>
      <c r="DB46" s="751" t="n">
        <v>4</v>
      </c>
      <c r="DC46" s="751" t="n">
        <v>4</v>
      </c>
      <c r="DD46" s="751" t="n">
        <v>4</v>
      </c>
      <c r="DE46" s="751" t="n">
        <v>4</v>
      </c>
      <c r="DF46" s="752">
        <f>(DE46)</f>
        <v/>
      </c>
    </row>
    <row r="47" ht="15" customHeight="1" s="1883">
      <c r="D47" s="730" t="n"/>
      <c r="E47" s="726" t="n"/>
      <c r="F47" s="726" t="n"/>
      <c r="G47" s="726" t="n"/>
      <c r="H47" s="726" t="n"/>
      <c r="I47" s="743" t="inlineStr">
        <is>
          <t>IT &amp; Tech Team</t>
        </is>
      </c>
      <c r="J47" s="774" t="inlineStr">
        <is>
          <t>OCONUS</t>
        </is>
      </c>
      <c r="K47" s="726" t="n"/>
      <c r="L47" s="631" t="n"/>
      <c r="M47" s="783" t="n"/>
      <c r="N47" s="784" t="n"/>
      <c r="O47" s="778" t="n"/>
      <c r="P47" s="778" t="n"/>
      <c r="Q47" s="778" t="n"/>
      <c r="R47" s="778" t="n"/>
      <c r="S47" s="777" t="n"/>
      <c r="T47" s="777" t="n"/>
      <c r="U47" s="775" t="n"/>
      <c r="V47" s="775" t="n"/>
      <c r="W47" s="775" t="n"/>
      <c r="X47" s="775" t="n"/>
      <c r="Y47" s="776" t="n"/>
      <c r="Z47" s="777" t="n"/>
      <c r="AA47" s="702" t="n"/>
      <c r="AB47" s="751" t="n">
        <v>0</v>
      </c>
      <c r="AC47" s="751" t="n">
        <v>0</v>
      </c>
      <c r="AD47" s="751" t="n">
        <v>0</v>
      </c>
      <c r="AE47" s="751" t="n">
        <v>0</v>
      </c>
      <c r="AF47" s="751" t="n">
        <v>0</v>
      </c>
      <c r="AG47" s="751" t="n">
        <v>0</v>
      </c>
      <c r="AH47" s="751" t="n">
        <v>0</v>
      </c>
      <c r="AI47" s="751" t="n">
        <v>0</v>
      </c>
      <c r="AJ47" s="751" t="n">
        <v>0</v>
      </c>
      <c r="AK47" s="751" t="n">
        <v>0</v>
      </c>
      <c r="AL47" s="751" t="n">
        <v>0</v>
      </c>
      <c r="AM47" s="751" t="n">
        <v>0</v>
      </c>
      <c r="AN47" s="752">
        <f>(AM47)</f>
        <v/>
      </c>
      <c r="AO47" s="750" t="n"/>
      <c r="AP47" s="751" t="n">
        <v>0</v>
      </c>
      <c r="AQ47" s="751" t="n">
        <v>0</v>
      </c>
      <c r="AR47" s="751" t="n">
        <v>0</v>
      </c>
      <c r="AS47" s="751" t="n">
        <v>0</v>
      </c>
      <c r="AT47" s="751" t="n">
        <v>0</v>
      </c>
      <c r="AU47" s="751" t="n">
        <v>0</v>
      </c>
      <c r="AV47" s="751" t="n">
        <v>0</v>
      </c>
      <c r="AW47" s="751" t="n">
        <v>0</v>
      </c>
      <c r="AX47" s="751" t="n">
        <v>0</v>
      </c>
      <c r="AY47" s="751" t="n">
        <v>0</v>
      </c>
      <c r="AZ47" s="751" t="n">
        <v>0</v>
      </c>
      <c r="BA47" s="751" t="n">
        <v>0</v>
      </c>
      <c r="BB47" s="752">
        <f>(BA47)</f>
        <v/>
      </c>
      <c r="BC47" s="750" t="n"/>
      <c r="BD47" s="751" t="n">
        <v>3</v>
      </c>
      <c r="BE47" s="751" t="n">
        <v>3</v>
      </c>
      <c r="BF47" s="751" t="n">
        <v>3</v>
      </c>
      <c r="BG47" s="751" t="n">
        <v>3</v>
      </c>
      <c r="BH47" s="751" t="n">
        <v>3</v>
      </c>
      <c r="BI47" s="751" t="n">
        <v>3</v>
      </c>
      <c r="BJ47" s="751" t="n">
        <v>3</v>
      </c>
      <c r="BK47" s="751" t="n">
        <v>3</v>
      </c>
      <c r="BL47" s="751" t="n">
        <v>3</v>
      </c>
      <c r="BM47" s="751" t="n">
        <v>3</v>
      </c>
      <c r="BN47" s="751" t="n">
        <v>3</v>
      </c>
      <c r="BO47" s="751" t="n">
        <v>3</v>
      </c>
      <c r="BP47" s="752">
        <f>(BO47)</f>
        <v/>
      </c>
      <c r="BQ47" s="786" t="n"/>
      <c r="BR47" s="751" t="n">
        <v>4</v>
      </c>
      <c r="BS47" s="751" t="n">
        <v>4</v>
      </c>
      <c r="BT47" s="751" t="n">
        <v>4</v>
      </c>
      <c r="BU47" s="751" t="n">
        <v>4</v>
      </c>
      <c r="BV47" s="751" t="n">
        <v>4</v>
      </c>
      <c r="BW47" s="751" t="n">
        <v>4</v>
      </c>
      <c r="BX47" s="751" t="n">
        <v>4</v>
      </c>
      <c r="BY47" s="751" t="n">
        <v>4</v>
      </c>
      <c r="BZ47" s="751" t="n">
        <v>4</v>
      </c>
      <c r="CA47" s="751" t="n">
        <v>4</v>
      </c>
      <c r="CB47" s="751" t="n">
        <v>4</v>
      </c>
      <c r="CC47" s="751" t="n">
        <v>4</v>
      </c>
      <c r="CD47" s="752">
        <f>(CC47)</f>
        <v/>
      </c>
      <c r="CE47" s="786" t="n"/>
      <c r="CF47" s="751" t="n">
        <v>6</v>
      </c>
      <c r="CG47" s="751" t="n">
        <v>6</v>
      </c>
      <c r="CH47" s="751" t="n">
        <v>6</v>
      </c>
      <c r="CI47" s="751" t="n">
        <v>6</v>
      </c>
      <c r="CJ47" s="751" t="n">
        <v>6</v>
      </c>
      <c r="CK47" s="751" t="n">
        <v>6</v>
      </c>
      <c r="CL47" s="751" t="n">
        <v>6</v>
      </c>
      <c r="CM47" s="751" t="n">
        <v>6</v>
      </c>
      <c r="CN47" s="751" t="n">
        <v>6</v>
      </c>
      <c r="CO47" s="751" t="n">
        <v>6</v>
      </c>
      <c r="CP47" s="751" t="n">
        <v>6</v>
      </c>
      <c r="CQ47" s="751" t="n">
        <v>6</v>
      </c>
      <c r="CR47" s="752">
        <f>(CQ47)</f>
        <v/>
      </c>
      <c r="CS47" s="786" t="n"/>
      <c r="CT47" s="751" t="n">
        <v>7</v>
      </c>
      <c r="CU47" s="751" t="n">
        <v>7</v>
      </c>
      <c r="CV47" s="751" t="n">
        <v>7</v>
      </c>
      <c r="CW47" s="751" t="n">
        <v>7</v>
      </c>
      <c r="CX47" s="751" t="n">
        <v>7</v>
      </c>
      <c r="CY47" s="751" t="n">
        <v>7</v>
      </c>
      <c r="CZ47" s="751" t="n">
        <v>7</v>
      </c>
      <c r="DA47" s="751" t="n">
        <v>7</v>
      </c>
      <c r="DB47" s="751" t="n">
        <v>7</v>
      </c>
      <c r="DC47" s="751" t="n">
        <v>7</v>
      </c>
      <c r="DD47" s="751" t="n">
        <v>7</v>
      </c>
      <c r="DE47" s="751" t="n">
        <v>7</v>
      </c>
      <c r="DF47" s="752">
        <f>(DE47)</f>
        <v/>
      </c>
    </row>
    <row r="48" ht="15" customHeight="1" s="1883">
      <c r="D48" s="730" t="inlineStr">
        <is>
          <t>●</t>
        </is>
      </c>
      <c r="E48" s="726" t="inlineStr">
        <is>
          <t>TBD</t>
        </is>
      </c>
      <c r="F48" s="726" t="n"/>
      <c r="G48" s="726" t="n"/>
      <c r="H48" s="726" t="n"/>
      <c r="I48" s="743" t="inlineStr">
        <is>
          <t>Virtual Assistants</t>
        </is>
      </c>
      <c r="J48" s="727" t="inlineStr">
        <is>
          <t>CONUS</t>
        </is>
      </c>
      <c r="K48" s="726" t="n"/>
      <c r="L48" s="631" t="n"/>
      <c r="M48" s="783" t="n"/>
      <c r="N48" s="784" t="n"/>
      <c r="O48" s="778" t="n"/>
      <c r="P48" s="778" t="n"/>
      <c r="Q48" s="778" t="n"/>
      <c r="R48" s="778" t="n"/>
      <c r="S48" s="777" t="n"/>
      <c r="T48" s="777" t="n"/>
      <c r="U48" s="775" t="n"/>
      <c r="V48" s="775" t="n"/>
      <c r="W48" s="775" t="n"/>
      <c r="X48" s="775" t="n"/>
      <c r="Y48" s="776" t="n"/>
      <c r="Z48" s="777" t="n"/>
      <c r="AA48" s="702" t="n"/>
      <c r="AB48" s="751" t="n">
        <v>0</v>
      </c>
      <c r="AC48" s="751" t="n">
        <v>0</v>
      </c>
      <c r="AD48" s="751" t="n">
        <v>0</v>
      </c>
      <c r="AE48" s="751" t="n">
        <v>0</v>
      </c>
      <c r="AF48" s="751" t="n">
        <v>0</v>
      </c>
      <c r="AG48" s="751" t="n">
        <v>0</v>
      </c>
      <c r="AH48" s="751" t="n">
        <v>0</v>
      </c>
      <c r="AI48" s="751" t="n">
        <v>0</v>
      </c>
      <c r="AJ48" s="751" t="n">
        <v>0</v>
      </c>
      <c r="AK48" s="751" t="n">
        <v>0</v>
      </c>
      <c r="AL48" s="751" t="n">
        <v>0</v>
      </c>
      <c r="AM48" s="751" t="n">
        <v>0</v>
      </c>
      <c r="AN48" s="752">
        <f>(AM48)</f>
        <v/>
      </c>
      <c r="AO48" s="750" t="n"/>
      <c r="AP48" s="751" t="n">
        <v>3</v>
      </c>
      <c r="AQ48" s="751" t="n">
        <v>3</v>
      </c>
      <c r="AR48" s="751" t="n">
        <v>3</v>
      </c>
      <c r="AS48" s="751" t="n">
        <v>3</v>
      </c>
      <c r="AT48" s="751" t="n">
        <v>3</v>
      </c>
      <c r="AU48" s="751" t="n">
        <v>3</v>
      </c>
      <c r="AV48" s="751" t="n">
        <v>3</v>
      </c>
      <c r="AW48" s="751" t="n">
        <v>3</v>
      </c>
      <c r="AX48" s="751" t="n">
        <v>3</v>
      </c>
      <c r="AY48" s="751" t="n">
        <v>3</v>
      </c>
      <c r="AZ48" s="751" t="n">
        <v>3</v>
      </c>
      <c r="BA48" s="751" t="n">
        <v>3</v>
      </c>
      <c r="BB48" s="752">
        <f>(BA48)</f>
        <v/>
      </c>
      <c r="BC48" s="750" t="n"/>
      <c r="BD48" s="751" t="n">
        <v>2</v>
      </c>
      <c r="BE48" s="751" t="n">
        <v>2</v>
      </c>
      <c r="BF48" s="751" t="n">
        <v>2</v>
      </c>
      <c r="BG48" s="751" t="n">
        <v>2</v>
      </c>
      <c r="BH48" s="751" t="n">
        <v>2</v>
      </c>
      <c r="BI48" s="751" t="n">
        <v>2</v>
      </c>
      <c r="BJ48" s="751" t="n">
        <v>2</v>
      </c>
      <c r="BK48" s="751" t="n">
        <v>2</v>
      </c>
      <c r="BL48" s="751" t="n">
        <v>2</v>
      </c>
      <c r="BM48" s="751" t="n">
        <v>2</v>
      </c>
      <c r="BN48" s="751" t="n">
        <v>2</v>
      </c>
      <c r="BO48" s="751" t="n">
        <v>2</v>
      </c>
      <c r="BP48" s="752">
        <f>(BO48)</f>
        <v/>
      </c>
      <c r="BQ48" s="786" t="n"/>
      <c r="BR48" s="751" t="n">
        <v>1</v>
      </c>
      <c r="BS48" s="751" t="n">
        <v>1</v>
      </c>
      <c r="BT48" s="751" t="n">
        <v>1</v>
      </c>
      <c r="BU48" s="751" t="n">
        <v>1</v>
      </c>
      <c r="BV48" s="751" t="n">
        <v>1</v>
      </c>
      <c r="BW48" s="751" t="n">
        <v>1</v>
      </c>
      <c r="BX48" s="751" t="n">
        <v>1</v>
      </c>
      <c r="BY48" s="751" t="n">
        <v>1</v>
      </c>
      <c r="BZ48" s="751" t="n">
        <v>1</v>
      </c>
      <c r="CA48" s="751" t="n">
        <v>1</v>
      </c>
      <c r="CB48" s="751" t="n">
        <v>1</v>
      </c>
      <c r="CC48" s="751" t="n">
        <v>1</v>
      </c>
      <c r="CD48" s="752">
        <f>(CC48)</f>
        <v/>
      </c>
      <c r="CE48" s="786" t="n"/>
      <c r="CF48" s="751" t="n">
        <v>1</v>
      </c>
      <c r="CG48" s="751" t="n">
        <v>1</v>
      </c>
      <c r="CH48" s="751" t="n">
        <v>1</v>
      </c>
      <c r="CI48" s="751" t="n">
        <v>1</v>
      </c>
      <c r="CJ48" s="751" t="n">
        <v>1</v>
      </c>
      <c r="CK48" s="751" t="n">
        <v>1</v>
      </c>
      <c r="CL48" s="751" t="n">
        <v>1</v>
      </c>
      <c r="CM48" s="751" t="n">
        <v>1</v>
      </c>
      <c r="CN48" s="751" t="n">
        <v>1</v>
      </c>
      <c r="CO48" s="751" t="n">
        <v>1</v>
      </c>
      <c r="CP48" s="751" t="n">
        <v>1</v>
      </c>
      <c r="CQ48" s="751" t="n">
        <v>1</v>
      </c>
      <c r="CR48" s="752">
        <f>(CQ48)</f>
        <v/>
      </c>
      <c r="CS48" s="786" t="n"/>
      <c r="CT48" s="751" t="n">
        <v>1</v>
      </c>
      <c r="CU48" s="751" t="n">
        <v>1</v>
      </c>
      <c r="CV48" s="751" t="n">
        <v>1</v>
      </c>
      <c r="CW48" s="751" t="n">
        <v>1</v>
      </c>
      <c r="CX48" s="751" t="n">
        <v>1</v>
      </c>
      <c r="CY48" s="751" t="n">
        <v>1</v>
      </c>
      <c r="CZ48" s="751" t="n">
        <v>1</v>
      </c>
      <c r="DA48" s="751" t="n">
        <v>1</v>
      </c>
      <c r="DB48" s="751" t="n">
        <v>1</v>
      </c>
      <c r="DC48" s="751" t="n">
        <v>1</v>
      </c>
      <c r="DD48" s="751" t="n">
        <v>1</v>
      </c>
      <c r="DE48" s="751" t="n">
        <v>1</v>
      </c>
      <c r="DF48" s="752">
        <f>(DE48)</f>
        <v/>
      </c>
    </row>
    <row r="49" ht="15" customHeight="1" s="1883">
      <c r="I49" s="743" t="inlineStr">
        <is>
          <t>Virtual Assistants</t>
        </is>
      </c>
      <c r="J49" s="774" t="inlineStr">
        <is>
          <t>OCONUS</t>
        </is>
      </c>
      <c r="K49" s="726" t="n"/>
      <c r="L49" s="778" t="n"/>
      <c r="M49" s="778" t="n"/>
      <c r="N49" s="778" t="n"/>
      <c r="O49" s="778" t="n"/>
      <c r="P49" s="778" t="n"/>
      <c r="Q49" s="778" t="n"/>
      <c r="R49" s="778" t="n"/>
      <c r="S49" s="778" t="n"/>
      <c r="T49" s="778" t="n"/>
      <c r="U49" s="778" t="n"/>
      <c r="V49" s="778" t="n"/>
      <c r="W49" s="778" t="n"/>
      <c r="X49" s="778" t="n"/>
      <c r="Y49" s="778" t="n"/>
      <c r="Z49" s="768" t="n"/>
      <c r="AA49" s="702" t="n"/>
      <c r="AB49" s="751" t="n">
        <v>0</v>
      </c>
      <c r="AC49" s="751" t="n">
        <v>0</v>
      </c>
      <c r="AD49" s="751" t="n">
        <v>0</v>
      </c>
      <c r="AE49" s="751" t="n">
        <v>0</v>
      </c>
      <c r="AF49" s="751" t="n">
        <v>0</v>
      </c>
      <c r="AG49" s="751" t="n">
        <v>0</v>
      </c>
      <c r="AH49" s="751" t="n">
        <v>0</v>
      </c>
      <c r="AI49" s="751" t="n">
        <v>0</v>
      </c>
      <c r="AJ49" s="751" t="n">
        <v>0</v>
      </c>
      <c r="AK49" s="751" t="n">
        <v>0</v>
      </c>
      <c r="AL49" s="751" t="n">
        <v>0</v>
      </c>
      <c r="AM49" s="751" t="n">
        <v>0</v>
      </c>
      <c r="AN49" s="752">
        <f>(AM49)</f>
        <v/>
      </c>
      <c r="AO49" s="750" t="n"/>
      <c r="AP49" s="751" t="n">
        <v>7</v>
      </c>
      <c r="AQ49" s="751" t="n">
        <v>7</v>
      </c>
      <c r="AR49" s="751" t="n">
        <v>7</v>
      </c>
      <c r="AS49" s="751" t="n">
        <v>7</v>
      </c>
      <c r="AT49" s="751" t="n">
        <v>7</v>
      </c>
      <c r="AU49" s="751" t="n">
        <v>7</v>
      </c>
      <c r="AV49" s="751" t="n">
        <v>7</v>
      </c>
      <c r="AW49" s="751" t="n">
        <v>7</v>
      </c>
      <c r="AX49" s="751" t="n">
        <v>7</v>
      </c>
      <c r="AY49" s="751" t="n">
        <v>7</v>
      </c>
      <c r="AZ49" s="751" t="n">
        <v>7</v>
      </c>
      <c r="BA49" s="751" t="n">
        <v>7</v>
      </c>
      <c r="BB49" s="752">
        <f>(BA49)</f>
        <v/>
      </c>
      <c r="BC49" s="750" t="n"/>
      <c r="BD49" s="751" t="n">
        <v>4</v>
      </c>
      <c r="BE49" s="751" t="n">
        <v>4</v>
      </c>
      <c r="BF49" s="751" t="n">
        <v>4</v>
      </c>
      <c r="BG49" s="751" t="n">
        <v>4</v>
      </c>
      <c r="BH49" s="751" t="n">
        <v>4</v>
      </c>
      <c r="BI49" s="751" t="n">
        <v>4</v>
      </c>
      <c r="BJ49" s="751" t="n">
        <v>4</v>
      </c>
      <c r="BK49" s="751" t="n">
        <v>4</v>
      </c>
      <c r="BL49" s="751" t="n">
        <v>4</v>
      </c>
      <c r="BM49" s="751" t="n">
        <v>4</v>
      </c>
      <c r="BN49" s="751" t="n">
        <v>4</v>
      </c>
      <c r="BO49" s="751" t="n">
        <v>4</v>
      </c>
      <c r="BP49" s="752">
        <f>(BO49)</f>
        <v/>
      </c>
      <c r="BQ49" s="786" t="n"/>
      <c r="BR49" s="751" t="n">
        <v>2</v>
      </c>
      <c r="BS49" s="751" t="n">
        <v>2</v>
      </c>
      <c r="BT49" s="751" t="n">
        <v>2</v>
      </c>
      <c r="BU49" s="751" t="n">
        <v>2</v>
      </c>
      <c r="BV49" s="751" t="n">
        <v>2</v>
      </c>
      <c r="BW49" s="751" t="n">
        <v>2</v>
      </c>
      <c r="BX49" s="751" t="n">
        <v>2</v>
      </c>
      <c r="BY49" s="751" t="n">
        <v>2</v>
      </c>
      <c r="BZ49" s="751" t="n">
        <v>2</v>
      </c>
      <c r="CA49" s="751" t="n">
        <v>2</v>
      </c>
      <c r="CB49" s="751" t="n">
        <v>2</v>
      </c>
      <c r="CC49" s="751" t="n">
        <v>2</v>
      </c>
      <c r="CD49" s="752">
        <f>(CC49)</f>
        <v/>
      </c>
      <c r="CE49" s="786" t="n"/>
      <c r="CF49" s="751" t="n">
        <v>2</v>
      </c>
      <c r="CG49" s="751" t="n">
        <v>2</v>
      </c>
      <c r="CH49" s="751" t="n">
        <v>2</v>
      </c>
      <c r="CI49" s="751" t="n">
        <v>2</v>
      </c>
      <c r="CJ49" s="751" t="n">
        <v>2</v>
      </c>
      <c r="CK49" s="751" t="n">
        <v>2</v>
      </c>
      <c r="CL49" s="751" t="n">
        <v>2</v>
      </c>
      <c r="CM49" s="751" t="n">
        <v>2</v>
      </c>
      <c r="CN49" s="751" t="n">
        <v>2</v>
      </c>
      <c r="CO49" s="751" t="n">
        <v>2</v>
      </c>
      <c r="CP49" s="751" t="n">
        <v>2</v>
      </c>
      <c r="CQ49" s="751" t="n">
        <v>2</v>
      </c>
      <c r="CR49" s="752">
        <f>(CQ49)</f>
        <v/>
      </c>
      <c r="CS49" s="786" t="n"/>
      <c r="CT49" s="751" t="n">
        <v>2</v>
      </c>
      <c r="CU49" s="751" t="n">
        <v>2</v>
      </c>
      <c r="CV49" s="751" t="n">
        <v>2</v>
      </c>
      <c r="CW49" s="751" t="n">
        <v>2</v>
      </c>
      <c r="CX49" s="751" t="n">
        <v>2</v>
      </c>
      <c r="CY49" s="751" t="n">
        <v>2</v>
      </c>
      <c r="CZ49" s="751" t="n">
        <v>2</v>
      </c>
      <c r="DA49" s="751" t="n">
        <v>2</v>
      </c>
      <c r="DB49" s="751" t="n">
        <v>2</v>
      </c>
      <c r="DC49" s="751" t="n">
        <v>2</v>
      </c>
      <c r="DD49" s="751" t="n">
        <v>2</v>
      </c>
      <c r="DE49" s="751" t="n">
        <v>2</v>
      </c>
      <c r="DF49" s="752">
        <f>(DE49)</f>
        <v/>
      </c>
    </row>
    <row r="50" ht="3" customHeight="1" s="1883">
      <c r="I50" s="726" t="n"/>
      <c r="J50" s="726" t="n"/>
      <c r="K50" s="726" t="n"/>
      <c r="L50" s="726" t="n"/>
      <c r="M50" s="726" t="n"/>
      <c r="N50" s="726" t="n"/>
      <c r="O50" s="726" t="n"/>
      <c r="P50" s="726" t="n"/>
      <c r="Q50" s="726" t="n"/>
      <c r="R50" s="726" t="n"/>
      <c r="S50" s="726" t="n"/>
      <c r="T50" s="726" t="n"/>
      <c r="U50" s="726" t="n"/>
      <c r="V50" s="726" t="n"/>
      <c r="W50" s="726" t="n"/>
      <c r="X50" s="726" t="n"/>
      <c r="Y50" s="726" t="n"/>
      <c r="Z50" s="702" t="n"/>
      <c r="AA50" s="702" t="n"/>
      <c r="AB50" s="735" t="n"/>
      <c r="AC50" s="735" t="n"/>
      <c r="AD50" s="735" t="n"/>
      <c r="AE50" s="735" t="n"/>
      <c r="AF50" s="735" t="n"/>
      <c r="AG50" s="735" t="n"/>
      <c r="AH50" s="735" t="n"/>
      <c r="AI50" s="735" t="n"/>
      <c r="AJ50" s="735" t="n"/>
      <c r="AK50" s="735" t="n"/>
      <c r="AL50" s="735" t="n"/>
      <c r="AM50" s="735" t="n"/>
      <c r="AN50" s="735" t="n"/>
      <c r="AO50" s="702" t="n"/>
      <c r="AP50" s="735" t="n"/>
      <c r="AQ50" s="735" t="n"/>
      <c r="AR50" s="735" t="n"/>
      <c r="AS50" s="735" t="n"/>
      <c r="AT50" s="735" t="n"/>
      <c r="AU50" s="735" t="n"/>
      <c r="AV50" s="735" t="n"/>
      <c r="AW50" s="735" t="n"/>
      <c r="AX50" s="735" t="n"/>
      <c r="AY50" s="735" t="n"/>
      <c r="AZ50" s="735" t="n"/>
      <c r="BA50" s="735" t="n"/>
      <c r="BB50" s="735" t="n"/>
      <c r="BC50" s="702" t="n"/>
      <c r="BD50" s="735" t="n"/>
      <c r="BE50" s="735" t="n"/>
      <c r="BF50" s="735" t="n"/>
      <c r="BG50" s="735" t="n"/>
      <c r="BH50" s="735" t="n"/>
      <c r="BI50" s="735" t="n"/>
      <c r="BJ50" s="735" t="n"/>
      <c r="BK50" s="735" t="n"/>
      <c r="BL50" s="735" t="n"/>
      <c r="BM50" s="735" t="n"/>
      <c r="BN50" s="735" t="n"/>
      <c r="BO50" s="735" t="n"/>
      <c r="BP50" s="735" t="n"/>
      <c r="BQ50" s="713" t="n"/>
      <c r="BR50" s="735" t="n"/>
      <c r="BS50" s="735" t="n"/>
      <c r="BT50" s="735" t="n"/>
      <c r="BU50" s="735" t="n"/>
      <c r="BV50" s="735" t="n"/>
      <c r="BW50" s="735" t="n"/>
      <c r="BX50" s="735" t="n"/>
      <c r="BY50" s="735" t="n"/>
      <c r="BZ50" s="735" t="n"/>
      <c r="CA50" s="735" t="n"/>
      <c r="CB50" s="735" t="n"/>
      <c r="CC50" s="735" t="n"/>
      <c r="CD50" s="735" t="n"/>
      <c r="CE50" s="713" t="n"/>
      <c r="CF50" s="735" t="n"/>
      <c r="CG50" s="735" t="n"/>
      <c r="CH50" s="735" t="n"/>
      <c r="CI50" s="735" t="n"/>
      <c r="CJ50" s="735" t="n"/>
      <c r="CK50" s="735" t="n"/>
      <c r="CL50" s="735" t="n"/>
      <c r="CM50" s="735" t="n"/>
      <c r="CN50" s="735" t="n"/>
      <c r="CO50" s="735" t="n"/>
      <c r="CP50" s="735" t="n"/>
      <c r="CQ50" s="735" t="n"/>
      <c r="CR50" s="735" t="n"/>
      <c r="CS50" s="1917" t="n"/>
      <c r="CT50" s="735" t="n"/>
      <c r="CU50" s="735" t="n"/>
      <c r="CV50" s="735" t="n"/>
      <c r="CW50" s="735" t="n"/>
      <c r="CX50" s="735" t="n"/>
      <c r="CY50" s="735" t="n"/>
      <c r="CZ50" s="735" t="n"/>
      <c r="DA50" s="735" t="n"/>
      <c r="DB50" s="735" t="n"/>
      <c r="DC50" s="735" t="n"/>
      <c r="DD50" s="735" t="n"/>
      <c r="DE50" s="735" t="n"/>
      <c r="DF50" s="735" t="n"/>
    </row>
    <row r="51" ht="3" customHeight="1" s="1883">
      <c r="I51" s="726" t="n"/>
      <c r="J51" s="726" t="n"/>
      <c r="K51" s="726" t="n"/>
      <c r="L51" s="726" t="n"/>
      <c r="M51" s="726" t="n"/>
      <c r="N51" s="726" t="n"/>
      <c r="O51" s="726" t="n"/>
      <c r="P51" s="726" t="n"/>
      <c r="Q51" s="726" t="n"/>
      <c r="R51" s="726" t="n"/>
      <c r="S51" s="726" t="n"/>
      <c r="T51" s="726" t="n"/>
      <c r="U51" s="726" t="n"/>
      <c r="V51" s="726" t="n"/>
      <c r="W51" s="726" t="n"/>
      <c r="X51" s="726" t="n"/>
      <c r="Y51" s="726" t="n"/>
      <c r="Z51" s="702" t="n"/>
      <c r="AA51" s="702" t="n"/>
      <c r="AB51" s="702" t="n"/>
      <c r="AC51" s="702" t="n"/>
      <c r="AD51" s="702" t="n"/>
      <c r="AE51" s="702" t="n"/>
      <c r="AF51" s="702" t="n"/>
      <c r="AG51" s="702" t="n"/>
      <c r="AH51" s="702" t="n"/>
      <c r="AI51" s="702" t="n"/>
      <c r="AJ51" s="702" t="n"/>
      <c r="AK51" s="702" t="n"/>
      <c r="AL51" s="702" t="n"/>
      <c r="AM51" s="702" t="n"/>
      <c r="AN51" s="702" t="n"/>
      <c r="AO51" s="702" t="n"/>
      <c r="AP51" s="702" t="n"/>
      <c r="AQ51" s="702" t="n"/>
      <c r="AR51" s="702" t="n"/>
      <c r="AS51" s="702" t="n"/>
      <c r="AT51" s="702" t="n"/>
      <c r="AU51" s="702" t="n"/>
      <c r="AV51" s="702" t="n"/>
      <c r="AW51" s="702" t="n"/>
      <c r="AX51" s="702" t="n"/>
      <c r="AY51" s="702" t="n"/>
      <c r="AZ51" s="702" t="n"/>
      <c r="BA51" s="702" t="n"/>
      <c r="BB51" s="702" t="n"/>
      <c r="BC51" s="702" t="n"/>
      <c r="BD51" s="702" t="n"/>
      <c r="BE51" s="702" t="n"/>
      <c r="BF51" s="702" t="n"/>
      <c r="BG51" s="702" t="n"/>
      <c r="BH51" s="702" t="n"/>
      <c r="BI51" s="702" t="n"/>
      <c r="BJ51" s="702" t="n"/>
      <c r="BK51" s="702" t="n"/>
      <c r="BL51" s="702" t="n"/>
      <c r="BM51" s="702" t="n"/>
      <c r="BN51" s="702" t="n"/>
      <c r="BO51" s="702" t="n"/>
      <c r="BP51" s="702" t="n"/>
      <c r="BQ51" s="713" t="n"/>
      <c r="BR51" s="702" t="n"/>
      <c r="BS51" s="702" t="n"/>
      <c r="BT51" s="702" t="n"/>
      <c r="BU51" s="702" t="n"/>
      <c r="BV51" s="702" t="n"/>
      <c r="BW51" s="702" t="n"/>
      <c r="BX51" s="702" t="n"/>
      <c r="BY51" s="702" t="n"/>
      <c r="BZ51" s="702" t="n"/>
      <c r="CA51" s="702" t="n"/>
      <c r="CB51" s="702" t="n"/>
      <c r="CC51" s="702" t="n"/>
      <c r="CD51" s="702" t="n"/>
      <c r="CE51" s="713" t="n"/>
      <c r="CF51" s="702" t="n"/>
      <c r="CG51" s="702" t="n"/>
      <c r="CH51" s="702" t="n"/>
      <c r="CI51" s="702" t="n"/>
      <c r="CJ51" s="702" t="n"/>
      <c r="CK51" s="702" t="n"/>
      <c r="CL51" s="702" t="n"/>
      <c r="CM51" s="702" t="n"/>
      <c r="CN51" s="702" t="n"/>
      <c r="CO51" s="702" t="n"/>
      <c r="CP51" s="702" t="n"/>
      <c r="CQ51" s="702" t="n"/>
      <c r="CR51" s="702" t="n"/>
      <c r="CS51" s="1917" t="n"/>
      <c r="CT51" s="702" t="n"/>
      <c r="CU51" s="702" t="n"/>
      <c r="CV51" s="702" t="n"/>
      <c r="CW51" s="702" t="n"/>
      <c r="CX51" s="702" t="n"/>
      <c r="CY51" s="702" t="n"/>
      <c r="CZ51" s="702" t="n"/>
      <c r="DA51" s="702" t="n"/>
      <c r="DB51" s="702" t="n"/>
      <c r="DC51" s="702" t="n"/>
      <c r="DD51" s="702" t="n"/>
      <c r="DE51" s="702" t="n"/>
      <c r="DF51" s="702" t="n"/>
    </row>
    <row r="52" ht="15" customHeight="1" s="1883">
      <c r="I52" s="726" t="n"/>
      <c r="J52" s="726" t="n"/>
      <c r="K52" s="726" t="n"/>
      <c r="L52" s="726" t="n"/>
      <c r="M52" s="726" t="n"/>
      <c r="N52" s="726" t="n"/>
      <c r="O52" s="726" t="n"/>
      <c r="P52" s="726" t="n"/>
      <c r="Q52" s="726" t="n"/>
      <c r="R52" s="726" t="n"/>
      <c r="S52" s="726" t="n"/>
      <c r="T52" s="726" t="n"/>
      <c r="U52" s="726" t="n"/>
      <c r="V52" s="726" t="n"/>
      <c r="W52" s="1932" t="inlineStr">
        <is>
          <t>∑, CONUS</t>
        </is>
      </c>
      <c r="AA52" s="702" t="n"/>
      <c r="AB52" s="760">
        <f>SUMIF($J22:$J49,"CONUS",AB22:AB49)</f>
        <v/>
      </c>
      <c r="AC52" s="760">
        <f>SUMIF($J22:$J49,"CONUS",AC22:AC49)</f>
        <v/>
      </c>
      <c r="AD52" s="760">
        <f>SUMIF($J22:$J49,"CONUS",AD22:AD49)</f>
        <v/>
      </c>
      <c r="AE52" s="760">
        <f>SUMIF($J22:$J49,"CONUS",AE22:AE49)</f>
        <v/>
      </c>
      <c r="AF52" s="760">
        <f>SUMIF($J22:$J49,"CONUS",AF22:AF49)</f>
        <v/>
      </c>
      <c r="AG52" s="760">
        <f>SUMIF($J22:$J49,"CONUS",AG22:AG49)</f>
        <v/>
      </c>
      <c r="AH52" s="760">
        <f>SUMIF($J22:$J49,"CONUS",AH22:AH49)</f>
        <v/>
      </c>
      <c r="AI52" s="760">
        <f>SUMIF($J22:$J49,"CONUS",AI22:AI49)</f>
        <v/>
      </c>
      <c r="AJ52" s="760">
        <f>SUMIF($J22:$J49,"CONUS",AJ22:AJ49)</f>
        <v/>
      </c>
      <c r="AK52" s="760">
        <f>SUMIF($J22:$J49,"CONUS",AK22:AK49)</f>
        <v/>
      </c>
      <c r="AL52" s="760">
        <f>SUMIF($J22:$J49,"CONUS",AL22:AL49)</f>
        <v/>
      </c>
      <c r="AM52" s="760">
        <f>SUMIF($J22:$J49,"CONUS",AM22:AM49)</f>
        <v/>
      </c>
      <c r="AN52" s="760">
        <f>SUMIF($J22:$J49,"CONUS",AN22:AN49)</f>
        <v/>
      </c>
      <c r="AO52" s="702" t="n"/>
      <c r="AP52" s="760">
        <f>SUMIF($J22:$J49,"CONUS",AP22:AP49)</f>
        <v/>
      </c>
      <c r="AQ52" s="760">
        <f>SUMIF($J22:$J49,"CONUS",AQ22:AQ49)</f>
        <v/>
      </c>
      <c r="AR52" s="760">
        <f>SUMIF($J22:$J49,"CONUS",AR22:AR49)</f>
        <v/>
      </c>
      <c r="AS52" s="760">
        <f>SUMIF($J22:$J49,"CONUS",AS22:AS49)</f>
        <v/>
      </c>
      <c r="AT52" s="760">
        <f>SUMIF($J22:$J49,"CONUS",AT22:AT49)</f>
        <v/>
      </c>
      <c r="AU52" s="760">
        <f>SUMIF($J22:$J49,"CONUS",AU22:AU49)</f>
        <v/>
      </c>
      <c r="AV52" s="760">
        <f>SUMIF($J22:$J49,"CONUS",AV22:AV49)</f>
        <v/>
      </c>
      <c r="AW52" s="760">
        <f>SUMIF($J22:$J49,"CONUS",AW22:AW49)</f>
        <v/>
      </c>
      <c r="AX52" s="760">
        <f>SUMIF($J22:$J49,"CONUS",AX22:AX49)</f>
        <v/>
      </c>
      <c r="AY52" s="760">
        <f>SUMIF($J22:$J49,"CONUS",AY22:AY49)</f>
        <v/>
      </c>
      <c r="AZ52" s="760">
        <f>SUMIF($J22:$J49,"CONUS",AZ22:AZ49)</f>
        <v/>
      </c>
      <c r="BA52" s="760">
        <f>SUMIF($J22:$J49,"CONUS",BA22:BA49)</f>
        <v/>
      </c>
      <c r="BB52" s="760">
        <f>SUMIF($J22:$J49,"CONUS",BB22:BB49)</f>
        <v/>
      </c>
      <c r="BC52" s="702" t="n"/>
      <c r="BD52" s="760">
        <f>SUMIF($J22:$J49,"CONUS",BD22:BD49)</f>
        <v/>
      </c>
      <c r="BE52" s="760">
        <f>SUMIF($J22:$J49,"CONUS",BE22:BE49)</f>
        <v/>
      </c>
      <c r="BF52" s="760">
        <f>SUMIF($J22:$J49,"CONUS",BF22:BF49)</f>
        <v/>
      </c>
      <c r="BG52" s="760">
        <f>SUMIF($J22:$J49,"CONUS",BG22:BG49)</f>
        <v/>
      </c>
      <c r="BH52" s="760">
        <f>SUMIF($J22:$J49,"CONUS",BH22:BH49)</f>
        <v/>
      </c>
      <c r="BI52" s="760">
        <f>SUMIF($J22:$J49,"CONUS",BI22:BI49)</f>
        <v/>
      </c>
      <c r="BJ52" s="760">
        <f>SUMIF($J22:$J49,"CONUS",BJ22:BJ49)</f>
        <v/>
      </c>
      <c r="BK52" s="760">
        <f>SUMIF($J22:$J49,"CONUS",BK22:BK49)</f>
        <v/>
      </c>
      <c r="BL52" s="760">
        <f>SUMIF($J22:$J49,"CONUS",BL22:BL49)</f>
        <v/>
      </c>
      <c r="BM52" s="760">
        <f>SUMIF($J22:$J49,"CONUS",BM22:BM49)</f>
        <v/>
      </c>
      <c r="BN52" s="760">
        <f>SUMIF($J22:$J49,"CONUS",BN22:BN49)</f>
        <v/>
      </c>
      <c r="BO52" s="760">
        <f>SUMIF($J22:$J49,"CONUS",BO22:BO49)</f>
        <v/>
      </c>
      <c r="BP52" s="760">
        <f>SUMIF($J22:$J49,"CONUS",BP22:BP49)</f>
        <v/>
      </c>
      <c r="BQ52" s="713" t="n"/>
      <c r="BR52" s="760">
        <f>SUMIF($J22:$J49,"CONUS",BR22:BR49)</f>
        <v/>
      </c>
      <c r="BS52" s="760">
        <f>SUMIF($J22:$J49,"CONUS",BS22:BS49)</f>
        <v/>
      </c>
      <c r="BT52" s="760">
        <f>SUMIF($J22:$J49,"CONUS",BT22:BT49)</f>
        <v/>
      </c>
      <c r="BU52" s="760">
        <f>SUMIF($J22:$J49,"CONUS",BU22:BU49)</f>
        <v/>
      </c>
      <c r="BV52" s="760">
        <f>SUMIF($J22:$J49,"CONUS",BV22:BV49)</f>
        <v/>
      </c>
      <c r="BW52" s="760">
        <f>SUMIF($J22:$J49,"CONUS",BW22:BW49)</f>
        <v/>
      </c>
      <c r="BX52" s="760">
        <f>SUMIF($J22:$J49,"CONUS",BX22:BX49)</f>
        <v/>
      </c>
      <c r="BY52" s="760">
        <f>SUMIF($J22:$J49,"CONUS",BY22:BY49)</f>
        <v/>
      </c>
      <c r="BZ52" s="760">
        <f>SUMIF($J22:$J49,"CONUS",BZ22:BZ49)</f>
        <v/>
      </c>
      <c r="CA52" s="760">
        <f>SUMIF($J22:$J49,"CONUS",CA22:CA49)</f>
        <v/>
      </c>
      <c r="CB52" s="760">
        <f>SUMIF($J22:$J49,"CONUS",CB22:CB49)</f>
        <v/>
      </c>
      <c r="CC52" s="760">
        <f>SUMIF($J22:$J49,"CONUS",CC22:CC49)</f>
        <v/>
      </c>
      <c r="CD52" s="760">
        <f>SUMIF($J22:$J49,"CONUS",CD22:CD49)</f>
        <v/>
      </c>
      <c r="CE52" s="713" t="n"/>
      <c r="CF52" s="760">
        <f>SUMIF($J22:$J49,"CONUS",CF22:CF49)</f>
        <v/>
      </c>
      <c r="CG52" s="760">
        <f>SUMIF($J22:$J49,"CONUS",CG22:CG49)</f>
        <v/>
      </c>
      <c r="CH52" s="760">
        <f>SUMIF($J22:$J49,"CONUS",CH22:CH49)</f>
        <v/>
      </c>
      <c r="CI52" s="760">
        <f>SUMIF($J22:$J49,"CONUS",CI22:CI49)</f>
        <v/>
      </c>
      <c r="CJ52" s="760">
        <f>SUMIF($J22:$J49,"CONUS",CJ22:CJ49)</f>
        <v/>
      </c>
      <c r="CK52" s="760">
        <f>SUMIF($J22:$J49,"CONUS",CK22:CK49)</f>
        <v/>
      </c>
      <c r="CL52" s="760">
        <f>SUMIF($J22:$J49,"CONUS",CL22:CL49)</f>
        <v/>
      </c>
      <c r="CM52" s="760">
        <f>SUMIF($J22:$J49,"CONUS",CM22:CM49)</f>
        <v/>
      </c>
      <c r="CN52" s="760">
        <f>SUMIF($J22:$J49,"CONUS",CN22:CN49)</f>
        <v/>
      </c>
      <c r="CO52" s="760">
        <f>SUMIF($J22:$J49,"CONUS",CO22:CO49)</f>
        <v/>
      </c>
      <c r="CP52" s="760">
        <f>SUMIF($J22:$J49,"CONUS",CP22:CP49)</f>
        <v/>
      </c>
      <c r="CQ52" s="760">
        <f>SUMIF($J22:$J49,"CONUS",CQ22:CQ49)</f>
        <v/>
      </c>
      <c r="CR52" s="760">
        <f>SUMIF($J22:$J49,"CONUS",CR22:CR49)</f>
        <v/>
      </c>
      <c r="CS52" s="1917" t="n"/>
      <c r="CT52" s="760">
        <f>SUMIF($J22:$J49,"CONUS",CT22:CT49)</f>
        <v/>
      </c>
      <c r="CU52" s="760">
        <f>SUMIF($J22:$J49,"CONUS",CU22:CU49)</f>
        <v/>
      </c>
      <c r="CV52" s="760">
        <f>SUMIF($J22:$J49,"CONUS",CV22:CV49)</f>
        <v/>
      </c>
      <c r="CW52" s="760">
        <f>SUMIF($J22:$J49,"CONUS",CW22:CW49)</f>
        <v/>
      </c>
      <c r="CX52" s="760">
        <f>SUMIF($J22:$J49,"CONUS",CX22:CX49)</f>
        <v/>
      </c>
      <c r="CY52" s="760">
        <f>SUMIF($J22:$J49,"CONUS",CY22:CY49)</f>
        <v/>
      </c>
      <c r="CZ52" s="760">
        <f>SUMIF($J22:$J49,"CONUS",CZ22:CZ49)</f>
        <v/>
      </c>
      <c r="DA52" s="760">
        <f>SUMIF($J22:$J49,"CONUS",DA22:DA49)</f>
        <v/>
      </c>
      <c r="DB52" s="760">
        <f>SUMIF($J22:$J49,"CONUS",DB22:DB49)</f>
        <v/>
      </c>
      <c r="DC52" s="760">
        <f>SUMIF($J22:$J49,"CONUS",DC22:DC49)</f>
        <v/>
      </c>
      <c r="DD52" s="760">
        <f>SUMIF($J22:$J49,"CONUS",DD22:DD49)</f>
        <v/>
      </c>
      <c r="DE52" s="760">
        <f>SUMIF($J22:$J49,"CONUS",DE22:DE49)</f>
        <v/>
      </c>
      <c r="DF52" s="760">
        <f>SUMIF($J22:$J49,"CONUS",DF22:DF49)</f>
        <v/>
      </c>
    </row>
    <row r="53" ht="15" customHeight="1" s="1883">
      <c r="I53" s="726" t="n"/>
      <c r="J53" s="726" t="n"/>
      <c r="K53" s="726" t="n"/>
      <c r="L53" s="726" t="n"/>
      <c r="M53" s="726" t="n"/>
      <c r="N53" s="726" t="n"/>
      <c r="O53" s="726" t="n"/>
      <c r="P53" s="726" t="n"/>
      <c r="Q53" s="726" t="n"/>
      <c r="R53" s="726" t="n"/>
      <c r="S53" s="726" t="n"/>
      <c r="T53" s="726" t="n"/>
      <c r="U53" s="726" t="n"/>
      <c r="V53" s="726" t="n"/>
      <c r="W53" s="1931" t="inlineStr">
        <is>
          <t>∑, OCONUS</t>
        </is>
      </c>
      <c r="AA53" s="702" t="n"/>
      <c r="AB53" s="788">
        <f>SUMIF($J22:$J49,"OCONUS",AB22:AB49)</f>
        <v/>
      </c>
      <c r="AC53" s="788">
        <f>SUMIF($J22:$J49,"OCONUS",AC22:AC49)</f>
        <v/>
      </c>
      <c r="AD53" s="788">
        <f>SUMIF($J22:$J49,"OCONUS",AD22:AD49)</f>
        <v/>
      </c>
      <c r="AE53" s="788">
        <f>SUMIF($J22:$J49,"OCONUS",AE22:AE49)</f>
        <v/>
      </c>
      <c r="AF53" s="788">
        <f>SUMIF($J22:$J49,"OCONUS",AF22:AF49)</f>
        <v/>
      </c>
      <c r="AG53" s="788">
        <f>SUMIF($J22:$J49,"OCONUS",AG22:AG49)</f>
        <v/>
      </c>
      <c r="AH53" s="788">
        <f>SUMIF($J22:$J49,"OCONUS",AH22:AH49)</f>
        <v/>
      </c>
      <c r="AI53" s="788">
        <f>SUMIF($J22:$J49,"OCONUS",AI22:AI49)</f>
        <v/>
      </c>
      <c r="AJ53" s="788">
        <f>SUMIF($J22:$J49,"OCONUS",AJ22:AJ49)</f>
        <v/>
      </c>
      <c r="AK53" s="788">
        <f>SUMIF($J22:$J49,"OCONUS",AK22:AK49)</f>
        <v/>
      </c>
      <c r="AL53" s="788">
        <f>SUMIF($J22:$J49,"OCONUS",AL22:AL49)</f>
        <v/>
      </c>
      <c r="AM53" s="788">
        <f>SUMIF($J22:$J49,"OCONUS",AM22:AM49)</f>
        <v/>
      </c>
      <c r="AN53" s="788">
        <f>SUMIF($J22:$J49,"OCONUS",AN22:AN49)</f>
        <v/>
      </c>
      <c r="AO53" s="702" t="n"/>
      <c r="AP53" s="788">
        <f>SUMIF($J22:$J49,"OCONUS",AP22:AP49)</f>
        <v/>
      </c>
      <c r="AQ53" s="788">
        <f>SUMIF($J22:$J49,"OCONUS",AQ22:AQ49)</f>
        <v/>
      </c>
      <c r="AR53" s="788">
        <f>SUMIF($J22:$J49,"OCONUS",AR22:AR49)</f>
        <v/>
      </c>
      <c r="AS53" s="788">
        <f>SUMIF($J22:$J49,"OCONUS",AS22:AS49)</f>
        <v/>
      </c>
      <c r="AT53" s="788">
        <f>SUMIF($J22:$J49,"OCONUS",AT22:AT49)</f>
        <v/>
      </c>
      <c r="AU53" s="788">
        <f>SUMIF($J22:$J49,"OCONUS",AU22:AU49)</f>
        <v/>
      </c>
      <c r="AV53" s="788">
        <f>SUMIF($J22:$J49,"OCONUS",AV22:AV49)</f>
        <v/>
      </c>
      <c r="AW53" s="788">
        <f>SUMIF($J22:$J49,"OCONUS",AW22:AW49)</f>
        <v/>
      </c>
      <c r="AX53" s="788">
        <f>SUMIF($J22:$J49,"OCONUS",AX22:AX49)</f>
        <v/>
      </c>
      <c r="AY53" s="788">
        <f>SUMIF($J22:$J49,"OCONUS",AY22:AY49)</f>
        <v/>
      </c>
      <c r="AZ53" s="788">
        <f>SUMIF($J22:$J49,"OCONUS",AZ22:AZ49)</f>
        <v/>
      </c>
      <c r="BA53" s="788">
        <f>SUMIF($J22:$J49,"OCONUS",BA22:BA49)</f>
        <v/>
      </c>
      <c r="BB53" s="788">
        <f>SUMIF($J22:$J49,"OCONUS",BB22:BB49)</f>
        <v/>
      </c>
      <c r="BC53" s="702" t="n"/>
      <c r="BD53" s="788">
        <f>SUMIF($J22:$J49,"OCONUS",BD22:BD49)</f>
        <v/>
      </c>
      <c r="BE53" s="788">
        <f>SUMIF($J22:$J49,"OCONUS",BE22:BE49)</f>
        <v/>
      </c>
      <c r="BF53" s="788">
        <f>SUMIF($J22:$J49,"OCONUS",BF22:BF49)</f>
        <v/>
      </c>
      <c r="BG53" s="788">
        <f>SUMIF($J22:$J49,"OCONUS",BG22:BG49)</f>
        <v/>
      </c>
      <c r="BH53" s="788">
        <f>SUMIF($J22:$J49,"OCONUS",BH22:BH49)</f>
        <v/>
      </c>
      <c r="BI53" s="788">
        <f>SUMIF($J22:$J49,"OCONUS",BI22:BI49)</f>
        <v/>
      </c>
      <c r="BJ53" s="788">
        <f>SUMIF($J22:$J49,"OCONUS",BJ22:BJ49)</f>
        <v/>
      </c>
      <c r="BK53" s="788">
        <f>SUMIF($J22:$J49,"OCONUS",BK22:BK49)</f>
        <v/>
      </c>
      <c r="BL53" s="788">
        <f>SUMIF($J22:$J49,"OCONUS",BL22:BL49)</f>
        <v/>
      </c>
      <c r="BM53" s="788">
        <f>SUMIF($J22:$J49,"OCONUS",BM22:BM49)</f>
        <v/>
      </c>
      <c r="BN53" s="788">
        <f>SUMIF($J22:$J49,"OCONUS",BN22:BN49)</f>
        <v/>
      </c>
      <c r="BO53" s="788">
        <f>SUMIF($J22:$J49,"OCONUS",BO22:BO49)</f>
        <v/>
      </c>
      <c r="BP53" s="788">
        <f>SUMIF($J22:$J49,"OCONUS",BP22:BP49)</f>
        <v/>
      </c>
      <c r="BQ53" s="713" t="n"/>
      <c r="BR53" s="788">
        <f>SUMIF($J22:$J49,"OCONUS",BR22:BR49)</f>
        <v/>
      </c>
      <c r="BS53" s="788">
        <f>SUMIF($J22:$J49,"OCONUS",BS22:BS49)</f>
        <v/>
      </c>
      <c r="BT53" s="788">
        <f>SUMIF($J22:$J49,"OCONUS",BT22:BT49)</f>
        <v/>
      </c>
      <c r="BU53" s="788">
        <f>SUMIF($J22:$J49,"OCONUS",BU22:BU49)</f>
        <v/>
      </c>
      <c r="BV53" s="788">
        <f>SUMIF($J22:$J49,"OCONUS",BV22:BV49)</f>
        <v/>
      </c>
      <c r="BW53" s="788">
        <f>SUMIF($J22:$J49,"OCONUS",BW22:BW49)</f>
        <v/>
      </c>
      <c r="BX53" s="788">
        <f>SUMIF($J22:$J49,"OCONUS",BX22:BX49)</f>
        <v/>
      </c>
      <c r="BY53" s="788">
        <f>SUMIF($J22:$J49,"OCONUS",BY22:BY49)</f>
        <v/>
      </c>
      <c r="BZ53" s="788">
        <f>SUMIF($J22:$J49,"OCONUS",BZ22:BZ49)</f>
        <v/>
      </c>
      <c r="CA53" s="788">
        <f>SUMIF($J22:$J49,"OCONUS",CA22:CA49)</f>
        <v/>
      </c>
      <c r="CB53" s="788">
        <f>SUMIF($J22:$J49,"OCONUS",CB22:CB49)</f>
        <v/>
      </c>
      <c r="CC53" s="788">
        <f>SUMIF($J22:$J49,"OCONUS",CC22:CC49)</f>
        <v/>
      </c>
      <c r="CD53" s="788">
        <f>SUMIF($J22:$J49,"OCONUS",CD22:CD49)</f>
        <v/>
      </c>
      <c r="CE53" s="713" t="n"/>
      <c r="CF53" s="788">
        <f>SUMIF($J22:$J49,"OCONUS",CF22:CF49)</f>
        <v/>
      </c>
      <c r="CG53" s="788">
        <f>SUMIF($J22:$J49,"OCONUS",CG22:CG49)</f>
        <v/>
      </c>
      <c r="CH53" s="788">
        <f>SUMIF($J22:$J49,"OCONUS",CH22:CH49)</f>
        <v/>
      </c>
      <c r="CI53" s="788">
        <f>SUMIF($J22:$J49,"OCONUS",CI22:CI49)</f>
        <v/>
      </c>
      <c r="CJ53" s="788">
        <f>SUMIF($J22:$J49,"OCONUS",CJ22:CJ49)</f>
        <v/>
      </c>
      <c r="CK53" s="788">
        <f>SUMIF($J22:$J49,"OCONUS",CK22:CK49)</f>
        <v/>
      </c>
      <c r="CL53" s="788">
        <f>SUMIF($J22:$J49,"OCONUS",CL22:CL49)</f>
        <v/>
      </c>
      <c r="CM53" s="788">
        <f>SUMIF($J22:$J49,"OCONUS",CM22:CM49)</f>
        <v/>
      </c>
      <c r="CN53" s="788">
        <f>SUMIF($J22:$J49,"OCONUS",CN22:CN49)</f>
        <v/>
      </c>
      <c r="CO53" s="788">
        <f>SUMIF($J22:$J49,"OCONUS",CO22:CO49)</f>
        <v/>
      </c>
      <c r="CP53" s="788">
        <f>SUMIF($J22:$J49,"OCONUS",CP22:CP49)</f>
        <v/>
      </c>
      <c r="CQ53" s="788">
        <f>SUMIF($J22:$J49,"OCONUS",CQ22:CQ49)</f>
        <v/>
      </c>
      <c r="CR53" s="788">
        <f>SUMIF($J22:$J49,"OCONUS",CR22:CR49)</f>
        <v/>
      </c>
      <c r="CS53" s="1917" t="n"/>
      <c r="CT53" s="788">
        <f>SUMIF($J22:$J49,"OCONUS",CT22:CT49)</f>
        <v/>
      </c>
      <c r="CU53" s="788">
        <f>SUMIF($J22:$J49,"OCONUS",CU22:CU49)</f>
        <v/>
      </c>
      <c r="CV53" s="788">
        <f>SUMIF($J22:$J49,"OCONUS",CV22:CV49)</f>
        <v/>
      </c>
      <c r="CW53" s="788">
        <f>SUMIF($J22:$J49,"OCONUS",CW22:CW49)</f>
        <v/>
      </c>
      <c r="CX53" s="788">
        <f>SUMIF($J22:$J49,"OCONUS",CX22:CX49)</f>
        <v/>
      </c>
      <c r="CY53" s="788">
        <f>SUMIF($J22:$J49,"OCONUS",CY22:CY49)</f>
        <v/>
      </c>
      <c r="CZ53" s="788">
        <f>SUMIF($J22:$J49,"OCONUS",CZ22:CZ49)</f>
        <v/>
      </c>
      <c r="DA53" s="788">
        <f>SUMIF($J22:$J49,"OCONUS",DA22:DA49)</f>
        <v/>
      </c>
      <c r="DB53" s="788">
        <f>SUMIF($J22:$J49,"OCONUS",DB22:DB49)</f>
        <v/>
      </c>
      <c r="DC53" s="788">
        <f>SUMIF($J22:$J49,"OCONUS",DC22:DC49)</f>
        <v/>
      </c>
      <c r="DD53" s="788">
        <f>SUMIF($J22:$J49,"OCONUS",DD22:DD49)</f>
        <v/>
      </c>
      <c r="DE53" s="788">
        <f>SUMIF($J22:$J49,"OCONUS",DE22:DE49)</f>
        <v/>
      </c>
      <c r="DF53" s="788">
        <f>SUMIF($J22:$J49,"OCONUS",DF22:DF49)</f>
        <v/>
      </c>
    </row>
    <row r="54" ht="3" customHeight="1" s="1883">
      <c r="I54" s="726" t="n"/>
      <c r="J54" s="726" t="n"/>
      <c r="K54" s="726" t="n"/>
      <c r="L54" s="726" t="n"/>
      <c r="M54" s="726" t="n"/>
      <c r="N54" s="726" t="n"/>
      <c r="O54" s="726" t="n"/>
      <c r="P54" s="726" t="n"/>
      <c r="Q54" s="726" t="n"/>
      <c r="R54" s="726" t="n"/>
      <c r="S54" s="726" t="n"/>
      <c r="T54" s="726" t="n"/>
      <c r="U54" s="726" t="n"/>
      <c r="V54" s="726" t="n"/>
      <c r="W54" s="1931" t="n"/>
      <c r="X54" s="1931" t="n"/>
      <c r="Y54" s="1931" t="n"/>
      <c r="Z54" s="1931" t="n"/>
      <c r="AA54" s="702" t="n"/>
      <c r="AB54" s="735" t="n"/>
      <c r="AC54" s="735" t="n"/>
      <c r="AD54" s="735" t="n"/>
      <c r="AE54" s="735" t="n"/>
      <c r="AF54" s="735" t="n"/>
      <c r="AG54" s="735" t="n"/>
      <c r="AH54" s="735" t="n"/>
      <c r="AI54" s="735" t="n"/>
      <c r="AJ54" s="735" t="n"/>
      <c r="AK54" s="735" t="n"/>
      <c r="AL54" s="735" t="n"/>
      <c r="AM54" s="735" t="n"/>
      <c r="AN54" s="735" t="n"/>
      <c r="AO54" s="702" t="n"/>
      <c r="AP54" s="735" t="n"/>
      <c r="AQ54" s="735" t="n"/>
      <c r="AR54" s="735" t="n"/>
      <c r="AS54" s="735" t="n"/>
      <c r="AT54" s="735" t="n"/>
      <c r="AU54" s="735" t="n"/>
      <c r="AV54" s="735" t="n"/>
      <c r="AW54" s="735" t="n"/>
      <c r="AX54" s="735" t="n"/>
      <c r="AY54" s="735" t="n"/>
      <c r="AZ54" s="735" t="n"/>
      <c r="BA54" s="735" t="n"/>
      <c r="BB54" s="735" t="n"/>
      <c r="BC54" s="702" t="n"/>
      <c r="BD54" s="735" t="n"/>
      <c r="BE54" s="735" t="n"/>
      <c r="BF54" s="735" t="n"/>
      <c r="BG54" s="735" t="n"/>
      <c r="BH54" s="735" t="n"/>
      <c r="BI54" s="735" t="n"/>
      <c r="BJ54" s="735" t="n"/>
      <c r="BK54" s="735" t="n"/>
      <c r="BL54" s="735" t="n"/>
      <c r="BM54" s="735" t="n"/>
      <c r="BN54" s="735" t="n"/>
      <c r="BO54" s="735" t="n"/>
      <c r="BP54" s="735" t="n"/>
      <c r="BQ54" s="713" t="n"/>
      <c r="BR54" s="735" t="n"/>
      <c r="BS54" s="735" t="n"/>
      <c r="BT54" s="735" t="n"/>
      <c r="BU54" s="735" t="n"/>
      <c r="BV54" s="735" t="n"/>
      <c r="BW54" s="735" t="n"/>
      <c r="BX54" s="735" t="n"/>
      <c r="BY54" s="735" t="n"/>
      <c r="BZ54" s="735" t="n"/>
      <c r="CA54" s="735" t="n"/>
      <c r="CB54" s="735" t="n"/>
      <c r="CC54" s="735" t="n"/>
      <c r="CD54" s="735" t="n"/>
      <c r="CE54" s="713" t="n"/>
      <c r="CF54" s="735" t="n"/>
      <c r="CG54" s="735" t="n"/>
      <c r="CH54" s="735" t="n"/>
      <c r="CI54" s="735" t="n"/>
      <c r="CJ54" s="735" t="n"/>
      <c r="CK54" s="735" t="n"/>
      <c r="CL54" s="735" t="n"/>
      <c r="CM54" s="735" t="n"/>
      <c r="CN54" s="735" t="n"/>
      <c r="CO54" s="735" t="n"/>
      <c r="CP54" s="735" t="n"/>
      <c r="CQ54" s="735" t="n"/>
      <c r="CR54" s="735" t="n"/>
      <c r="CS54" s="1917" t="n"/>
      <c r="CT54" s="735" t="n"/>
      <c r="CU54" s="735" t="n"/>
      <c r="CV54" s="735" t="n"/>
      <c r="CW54" s="735" t="n"/>
      <c r="CX54" s="735" t="n"/>
      <c r="CY54" s="735" t="n"/>
      <c r="CZ54" s="735" t="n"/>
      <c r="DA54" s="735" t="n"/>
      <c r="DB54" s="735" t="n"/>
      <c r="DC54" s="735" t="n"/>
      <c r="DD54" s="735" t="n"/>
      <c r="DE54" s="735" t="n"/>
      <c r="DF54" s="735" t="n"/>
    </row>
    <row r="55" ht="3" customHeight="1" s="1883">
      <c r="I55" s="726" t="n"/>
      <c r="J55" s="726" t="n"/>
      <c r="K55" s="726" t="n"/>
      <c r="L55" s="726" t="n"/>
      <c r="M55" s="726" t="n"/>
      <c r="N55" s="726" t="n"/>
      <c r="O55" s="726" t="n"/>
      <c r="P55" s="726" t="n"/>
      <c r="Q55" s="726" t="n"/>
      <c r="R55" s="726" t="n"/>
      <c r="S55" s="726" t="n"/>
      <c r="T55" s="726" t="n"/>
      <c r="U55" s="726" t="n"/>
      <c r="V55" s="726" t="n"/>
      <c r="W55" s="1931" t="n"/>
      <c r="X55" s="1931" t="n"/>
      <c r="Y55" s="1931" t="n"/>
      <c r="Z55" s="1931" t="n"/>
      <c r="AA55" s="702" t="n"/>
      <c r="AB55" s="702" t="n"/>
      <c r="AC55" s="702" t="n"/>
      <c r="AD55" s="702" t="n"/>
      <c r="AE55" s="702" t="n"/>
      <c r="AF55" s="702" t="n"/>
      <c r="AG55" s="702" t="n"/>
      <c r="AH55" s="702" t="n"/>
      <c r="AI55" s="702" t="n"/>
      <c r="AJ55" s="702" t="n"/>
      <c r="AK55" s="702" t="n"/>
      <c r="AL55" s="702" t="n"/>
      <c r="AM55" s="702" t="n"/>
      <c r="AN55" s="702" t="n"/>
      <c r="AO55" s="702" t="n"/>
      <c r="AP55" s="702" t="n"/>
      <c r="AQ55" s="702" t="n"/>
      <c r="AR55" s="702" t="n"/>
      <c r="AS55" s="702" t="n"/>
      <c r="AT55" s="702" t="n"/>
      <c r="AU55" s="702" t="n"/>
      <c r="AV55" s="702" t="n"/>
      <c r="AW55" s="702" t="n"/>
      <c r="AX55" s="702" t="n"/>
      <c r="AY55" s="702" t="n"/>
      <c r="AZ55" s="702" t="n"/>
      <c r="BA55" s="702" t="n"/>
      <c r="BB55" s="702" t="n"/>
      <c r="BC55" s="702" t="n"/>
      <c r="BD55" s="702" t="n"/>
      <c r="BE55" s="702" t="n"/>
      <c r="BF55" s="702" t="n"/>
      <c r="BG55" s="702" t="n"/>
      <c r="BH55" s="702" t="n"/>
      <c r="BI55" s="702" t="n"/>
      <c r="BJ55" s="702" t="n"/>
      <c r="BK55" s="702" t="n"/>
      <c r="BL55" s="702" t="n"/>
      <c r="BM55" s="702" t="n"/>
      <c r="BN55" s="702" t="n"/>
      <c r="BO55" s="702" t="n"/>
      <c r="BP55" s="702" t="n"/>
      <c r="BQ55" s="713" t="n"/>
      <c r="BR55" s="702" t="n"/>
      <c r="BS55" s="702" t="n"/>
      <c r="BT55" s="702" t="n"/>
      <c r="BU55" s="702" t="n"/>
      <c r="BV55" s="702" t="n"/>
      <c r="BW55" s="702" t="n"/>
      <c r="BX55" s="702" t="n"/>
      <c r="BY55" s="702" t="n"/>
      <c r="BZ55" s="702" t="n"/>
      <c r="CA55" s="702" t="n"/>
      <c r="CB55" s="702" t="n"/>
      <c r="CC55" s="702" t="n"/>
      <c r="CD55" s="702" t="n"/>
      <c r="CE55" s="713" t="n"/>
      <c r="CF55" s="702" t="n"/>
      <c r="CG55" s="702" t="n"/>
      <c r="CH55" s="702" t="n"/>
      <c r="CI55" s="702" t="n"/>
      <c r="CJ55" s="702" t="n"/>
      <c r="CK55" s="702" t="n"/>
      <c r="CL55" s="702" t="n"/>
      <c r="CM55" s="702" t="n"/>
      <c r="CN55" s="702" t="n"/>
      <c r="CO55" s="702" t="n"/>
      <c r="CP55" s="702" t="n"/>
      <c r="CQ55" s="702" t="n"/>
      <c r="CR55" s="702" t="n"/>
      <c r="CS55" s="1917" t="n"/>
      <c r="CT55" s="702" t="n"/>
      <c r="CU55" s="702" t="n"/>
      <c r="CV55" s="702" t="n"/>
      <c r="CW55" s="702" t="n"/>
      <c r="CX55" s="702" t="n"/>
      <c r="CY55" s="702" t="n"/>
      <c r="CZ55" s="702" t="n"/>
      <c r="DA55" s="702" t="n"/>
      <c r="DB55" s="702" t="n"/>
      <c r="DC55" s="702" t="n"/>
      <c r="DD55" s="702" t="n"/>
      <c r="DE55" s="702" t="n"/>
      <c r="DF55" s="702" t="n"/>
    </row>
    <row r="56" ht="15" customHeight="1" s="1883">
      <c r="I56" s="726" t="n"/>
      <c r="J56" s="726" t="n"/>
      <c r="K56" s="726" t="n"/>
      <c r="L56" s="726" t="n"/>
      <c r="M56" s="726" t="n"/>
      <c r="N56" s="726" t="n"/>
      <c r="O56" s="726" t="n"/>
      <c r="P56" s="726" t="n"/>
      <c r="Q56" s="726" t="n"/>
      <c r="R56" s="726" t="n"/>
      <c r="S56" s="726" t="n"/>
      <c r="T56" s="726" t="n"/>
      <c r="U56" s="726" t="n"/>
      <c r="V56" s="726" t="n"/>
      <c r="W56" s="1932" t="inlineStr">
        <is>
          <t>∑, CONUS + ∑, OCONUS</t>
        </is>
      </c>
      <c r="AA56" s="702" t="n"/>
      <c r="AB56" s="752">
        <f>((AB52)+(AB53))</f>
        <v/>
      </c>
      <c r="AC56" s="752">
        <f>((AC52)+(AC53))</f>
        <v/>
      </c>
      <c r="AD56" s="752">
        <f>((AD52)+(AD53))</f>
        <v/>
      </c>
      <c r="AE56" s="752">
        <f>((AE52)+(AE53))</f>
        <v/>
      </c>
      <c r="AF56" s="752">
        <f>((AF52)+(AF53))</f>
        <v/>
      </c>
      <c r="AG56" s="752">
        <f>((AG52)+(AG53))</f>
        <v/>
      </c>
      <c r="AH56" s="752">
        <f>((AH52)+(AH53))</f>
        <v/>
      </c>
      <c r="AI56" s="752">
        <f>((AI52)+(AI53))</f>
        <v/>
      </c>
      <c r="AJ56" s="752">
        <f>((AJ52)+(AJ53))</f>
        <v/>
      </c>
      <c r="AK56" s="752">
        <f>((AK52)+(AK53))</f>
        <v/>
      </c>
      <c r="AL56" s="752">
        <f>((AL52)+(AL53))</f>
        <v/>
      </c>
      <c r="AM56" s="752">
        <f>((AM52)+(AM53))</f>
        <v/>
      </c>
      <c r="AN56" s="752">
        <f>((AN52)+(AN53))</f>
        <v/>
      </c>
      <c r="AO56" s="702" t="n"/>
      <c r="AP56" s="752">
        <f>((AP52)+(AP53))</f>
        <v/>
      </c>
      <c r="AQ56" s="752">
        <f>((AQ52)+(AQ53))</f>
        <v/>
      </c>
      <c r="AR56" s="752">
        <f>((AR52)+(AR53))</f>
        <v/>
      </c>
      <c r="AS56" s="752">
        <f>((AS52)+(AS53))</f>
        <v/>
      </c>
      <c r="AT56" s="752">
        <f>((AT52)+(AT53))</f>
        <v/>
      </c>
      <c r="AU56" s="752">
        <f>((AU52)+(AU53))</f>
        <v/>
      </c>
      <c r="AV56" s="752">
        <f>((AV52)+(AV53))</f>
        <v/>
      </c>
      <c r="AW56" s="752">
        <f>((AW52)+(AW53))</f>
        <v/>
      </c>
      <c r="AX56" s="752">
        <f>((AX52)+(AX53))</f>
        <v/>
      </c>
      <c r="AY56" s="752">
        <f>((AY52)+(AY53))</f>
        <v/>
      </c>
      <c r="AZ56" s="752">
        <f>((AZ52)+(AZ53))</f>
        <v/>
      </c>
      <c r="BA56" s="752">
        <f>((BA52)+(BA53))</f>
        <v/>
      </c>
      <c r="BB56" s="752">
        <f>((BB52)+(BB53))</f>
        <v/>
      </c>
      <c r="BC56" s="702" t="n"/>
      <c r="BD56" s="752">
        <f>((BD52)+(BD53))</f>
        <v/>
      </c>
      <c r="BE56" s="752">
        <f>((BE52)+(BE53))</f>
        <v/>
      </c>
      <c r="BF56" s="752">
        <f>((BF52)+(BF53))</f>
        <v/>
      </c>
      <c r="BG56" s="752">
        <f>((BG52)+(BG53))</f>
        <v/>
      </c>
      <c r="BH56" s="752">
        <f>((BH52)+(BH53))</f>
        <v/>
      </c>
      <c r="BI56" s="752">
        <f>((BI52)+(BI53))</f>
        <v/>
      </c>
      <c r="BJ56" s="752">
        <f>((BJ52)+(BJ53))</f>
        <v/>
      </c>
      <c r="BK56" s="752">
        <f>((BK52)+(BK53))</f>
        <v/>
      </c>
      <c r="BL56" s="752">
        <f>((BL52)+(BL53))</f>
        <v/>
      </c>
      <c r="BM56" s="752">
        <f>((BM52)+(BM53))</f>
        <v/>
      </c>
      <c r="BN56" s="752">
        <f>((BN52)+(BN53))</f>
        <v/>
      </c>
      <c r="BO56" s="752">
        <f>((BO52)+(BO53))</f>
        <v/>
      </c>
      <c r="BP56" s="752">
        <f>((BP52)+(BP53))</f>
        <v/>
      </c>
      <c r="BQ56" s="713" t="n"/>
      <c r="BR56" s="752">
        <f>((BR52)+(BR53))</f>
        <v/>
      </c>
      <c r="BS56" s="752">
        <f>((BS52)+(BS53))</f>
        <v/>
      </c>
      <c r="BT56" s="752">
        <f>((BT52)+(BT53))</f>
        <v/>
      </c>
      <c r="BU56" s="752">
        <f>((BU52)+(BU53))</f>
        <v/>
      </c>
      <c r="BV56" s="752">
        <f>((BV52)+(BV53))</f>
        <v/>
      </c>
      <c r="BW56" s="752">
        <f>((BW52)+(BW53))</f>
        <v/>
      </c>
      <c r="BX56" s="752">
        <f>((BX52)+(BX53))</f>
        <v/>
      </c>
      <c r="BY56" s="752">
        <f>((BY52)+(BY53))</f>
        <v/>
      </c>
      <c r="BZ56" s="752">
        <f>((BZ52)+(BZ53))</f>
        <v/>
      </c>
      <c r="CA56" s="752">
        <f>((CA52)+(CA53))</f>
        <v/>
      </c>
      <c r="CB56" s="752">
        <f>((CB52)+(CB53))</f>
        <v/>
      </c>
      <c r="CC56" s="752">
        <f>((CC52)+(CC53))</f>
        <v/>
      </c>
      <c r="CD56" s="752">
        <f>((CD52)+(CD53))</f>
        <v/>
      </c>
      <c r="CE56" s="713" t="n"/>
      <c r="CF56" s="752">
        <f>((CF52)+(CF53))</f>
        <v/>
      </c>
      <c r="CG56" s="752">
        <f>((CG52)+(CG53))</f>
        <v/>
      </c>
      <c r="CH56" s="752">
        <f>((CH52)+(CH53))</f>
        <v/>
      </c>
      <c r="CI56" s="752">
        <f>((CI52)+(CI53))</f>
        <v/>
      </c>
      <c r="CJ56" s="752">
        <f>((CJ52)+(CJ53))</f>
        <v/>
      </c>
      <c r="CK56" s="752">
        <f>((CK52)+(CK53))</f>
        <v/>
      </c>
      <c r="CL56" s="752">
        <f>((CL52)+(CL53))</f>
        <v/>
      </c>
      <c r="CM56" s="752">
        <f>((CM52)+(CM53))</f>
        <v/>
      </c>
      <c r="CN56" s="752">
        <f>((CN52)+(CN53))</f>
        <v/>
      </c>
      <c r="CO56" s="752">
        <f>((CO52)+(CO53))</f>
        <v/>
      </c>
      <c r="CP56" s="752">
        <f>((CP52)+(CP53))</f>
        <v/>
      </c>
      <c r="CQ56" s="752">
        <f>((CQ52)+(CQ53))</f>
        <v/>
      </c>
      <c r="CR56" s="752">
        <f>((CR52)+(CR53))</f>
        <v/>
      </c>
      <c r="CS56" s="1917" t="n"/>
      <c r="CT56" s="752">
        <f>((CT52)+(CT53))</f>
        <v/>
      </c>
      <c r="CU56" s="752">
        <f>((CU52)+(CU53))</f>
        <v/>
      </c>
      <c r="CV56" s="752">
        <f>((CV52)+(CV53))</f>
        <v/>
      </c>
      <c r="CW56" s="752">
        <f>((CW52)+(CW53))</f>
        <v/>
      </c>
      <c r="CX56" s="752">
        <f>((CX52)+(CX53))</f>
        <v/>
      </c>
      <c r="CY56" s="752">
        <f>((CY52)+(CY53))</f>
        <v/>
      </c>
      <c r="CZ56" s="752">
        <f>((CZ52)+(CZ53))</f>
        <v/>
      </c>
      <c r="DA56" s="752">
        <f>((DA52)+(DA53))</f>
        <v/>
      </c>
      <c r="DB56" s="752">
        <f>((DB52)+(DB53))</f>
        <v/>
      </c>
      <c r="DC56" s="752">
        <f>((DC52)+(DC53))</f>
        <v/>
      </c>
      <c r="DD56" s="752">
        <f>((DD52)+(DD53))</f>
        <v/>
      </c>
      <c r="DE56" s="752">
        <f>((DE52)+(DE53))</f>
        <v/>
      </c>
      <c r="DF56" s="752">
        <f>((DF52)+(DF53))</f>
        <v/>
      </c>
    </row>
    <row r="57" ht="3" customHeight="1" s="1883">
      <c r="I57" s="726" t="n"/>
      <c r="J57" s="726" t="n"/>
      <c r="K57" s="726" t="n"/>
      <c r="L57" s="726" t="n"/>
      <c r="M57" s="726" t="n"/>
      <c r="N57" s="726" t="n"/>
      <c r="O57" s="726" t="n"/>
      <c r="P57" s="726" t="n"/>
      <c r="Q57" s="726" t="n"/>
      <c r="R57" s="726" t="n"/>
      <c r="S57" s="726" t="n"/>
      <c r="T57" s="726" t="n"/>
      <c r="U57" s="726" t="n"/>
      <c r="V57" s="726" t="n"/>
      <c r="W57" s="726" t="n"/>
      <c r="X57" s="726" t="n"/>
      <c r="Y57" s="726" t="n"/>
      <c r="Z57" s="702" t="n"/>
      <c r="AA57" s="702" t="n"/>
      <c r="AB57" s="735" t="n"/>
      <c r="AC57" s="735" t="n"/>
      <c r="AD57" s="735" t="n"/>
      <c r="AE57" s="735" t="n"/>
      <c r="AF57" s="735" t="n"/>
      <c r="AG57" s="735" t="n"/>
      <c r="AH57" s="735" t="n"/>
      <c r="AI57" s="735" t="n"/>
      <c r="AJ57" s="735" t="n"/>
      <c r="AK57" s="735" t="n"/>
      <c r="AL57" s="735" t="n"/>
      <c r="AM57" s="735" t="n"/>
      <c r="AN57" s="735" t="n"/>
      <c r="AO57" s="702" t="n"/>
      <c r="AP57" s="735" t="n"/>
      <c r="AQ57" s="735" t="n"/>
      <c r="AR57" s="735" t="n"/>
      <c r="AS57" s="735" t="n"/>
      <c r="AT57" s="735" t="n"/>
      <c r="AU57" s="735" t="n"/>
      <c r="AV57" s="735" t="n"/>
      <c r="AW57" s="735" t="n"/>
      <c r="AX57" s="735" t="n"/>
      <c r="AY57" s="735" t="n"/>
      <c r="AZ57" s="735" t="n"/>
      <c r="BA57" s="735" t="n"/>
      <c r="BB57" s="735" t="n"/>
      <c r="BC57" s="702" t="n"/>
      <c r="BD57" s="735" t="n"/>
      <c r="BE57" s="735" t="n"/>
      <c r="BF57" s="735" t="n"/>
      <c r="BG57" s="735" t="n"/>
      <c r="BH57" s="735" t="n"/>
      <c r="BI57" s="735" t="n"/>
      <c r="BJ57" s="735" t="n"/>
      <c r="BK57" s="735" t="n"/>
      <c r="BL57" s="735" t="n"/>
      <c r="BM57" s="735" t="n"/>
      <c r="BN57" s="735" t="n"/>
      <c r="BO57" s="735" t="n"/>
      <c r="BP57" s="735" t="n"/>
      <c r="BQ57" s="713" t="n"/>
      <c r="BR57" s="735" t="n"/>
      <c r="BS57" s="735" t="n"/>
      <c r="BT57" s="735" t="n"/>
      <c r="BU57" s="735" t="n"/>
      <c r="BV57" s="735" t="n"/>
      <c r="BW57" s="735" t="n"/>
      <c r="BX57" s="735" t="n"/>
      <c r="BY57" s="735" t="n"/>
      <c r="BZ57" s="735" t="n"/>
      <c r="CA57" s="735" t="n"/>
      <c r="CB57" s="735" t="n"/>
      <c r="CC57" s="735" t="n"/>
      <c r="CD57" s="735" t="n"/>
      <c r="CE57" s="713" t="n"/>
      <c r="CF57" s="735" t="n"/>
      <c r="CG57" s="735" t="n"/>
      <c r="CH57" s="735" t="n"/>
      <c r="CI57" s="735" t="n"/>
      <c r="CJ57" s="735" t="n"/>
      <c r="CK57" s="735" t="n"/>
      <c r="CL57" s="735" t="n"/>
      <c r="CM57" s="735" t="n"/>
      <c r="CN57" s="735" t="n"/>
      <c r="CO57" s="735" t="n"/>
      <c r="CP57" s="735" t="n"/>
      <c r="CQ57" s="735" t="n"/>
      <c r="CR57" s="735" t="n"/>
      <c r="CS57" s="1917" t="n"/>
      <c r="CT57" s="735" t="n"/>
      <c r="CU57" s="735" t="n"/>
      <c r="CV57" s="735" t="n"/>
      <c r="CW57" s="735" t="n"/>
      <c r="CX57" s="735" t="n"/>
      <c r="CY57" s="735" t="n"/>
      <c r="CZ57" s="735" t="n"/>
      <c r="DA57" s="735" t="n"/>
      <c r="DB57" s="735" t="n"/>
      <c r="DC57" s="735" t="n"/>
      <c r="DD57" s="735" t="n"/>
      <c r="DE57" s="735" t="n"/>
      <c r="DF57" s="735" t="n"/>
    </row>
    <row r="58" ht="3" customHeight="1" s="1883">
      <c r="I58" s="726" t="n"/>
      <c r="J58" s="726" t="n"/>
      <c r="K58" s="726" t="n"/>
      <c r="L58" s="726" t="n"/>
      <c r="M58" s="726" t="n"/>
      <c r="N58" s="726" t="n"/>
      <c r="O58" s="726" t="n"/>
      <c r="P58" s="726" t="n"/>
      <c r="Q58" s="726" t="n"/>
      <c r="R58" s="726" t="n"/>
      <c r="S58" s="726" t="n"/>
      <c r="T58" s="726" t="n"/>
      <c r="U58" s="726" t="n"/>
      <c r="V58" s="726" t="n"/>
      <c r="W58" s="726" t="n"/>
      <c r="X58" s="726" t="n"/>
      <c r="Y58" s="726" t="n"/>
      <c r="Z58" s="702" t="n"/>
      <c r="AA58" s="702" t="n"/>
      <c r="AB58" s="702" t="n"/>
      <c r="AC58" s="702" t="n"/>
      <c r="AD58" s="702" t="n"/>
      <c r="AE58" s="702" t="n"/>
      <c r="AF58" s="702" t="n"/>
      <c r="AG58" s="702" t="n"/>
      <c r="AH58" s="702" t="n"/>
      <c r="AI58" s="702" t="n"/>
      <c r="AJ58" s="702" t="n"/>
      <c r="AK58" s="702" t="n"/>
      <c r="AL58" s="702" t="n"/>
      <c r="AM58" s="702" t="n"/>
      <c r="AN58" s="702" t="n"/>
      <c r="AO58" s="702" t="n"/>
      <c r="AP58" s="702" t="n"/>
      <c r="AQ58" s="702" t="n"/>
      <c r="AR58" s="702" t="n"/>
      <c r="AS58" s="702" t="n"/>
      <c r="AT58" s="702" t="n"/>
      <c r="AU58" s="702" t="n"/>
      <c r="AV58" s="702" t="n"/>
      <c r="AW58" s="702" t="n"/>
      <c r="AX58" s="702" t="n"/>
      <c r="AY58" s="702" t="n"/>
      <c r="AZ58" s="702" t="n"/>
      <c r="BA58" s="702" t="n"/>
      <c r="BB58" s="702" t="n"/>
      <c r="BC58" s="702" t="n"/>
      <c r="BD58" s="702" t="n"/>
      <c r="BE58" s="702" t="n"/>
      <c r="BF58" s="702" t="n"/>
      <c r="BG58" s="702" t="n"/>
      <c r="BH58" s="702" t="n"/>
      <c r="BI58" s="702" t="n"/>
      <c r="BJ58" s="702" t="n"/>
      <c r="BK58" s="702" t="n"/>
      <c r="BL58" s="702" t="n"/>
      <c r="BM58" s="702" t="n"/>
      <c r="BN58" s="702" t="n"/>
      <c r="BO58" s="702" t="n"/>
      <c r="BP58" s="702" t="n"/>
      <c r="BQ58" s="713" t="n"/>
      <c r="BR58" s="702" t="n"/>
      <c r="BS58" s="702" t="n"/>
      <c r="BT58" s="702" t="n"/>
      <c r="BU58" s="702" t="n"/>
      <c r="BV58" s="702" t="n"/>
      <c r="BW58" s="702" t="n"/>
      <c r="BX58" s="702" t="n"/>
      <c r="BY58" s="702" t="n"/>
      <c r="BZ58" s="702" t="n"/>
      <c r="CA58" s="702" t="n"/>
      <c r="CB58" s="702" t="n"/>
      <c r="CC58" s="702" t="n"/>
      <c r="CD58" s="702" t="n"/>
      <c r="CE58" s="713" t="n"/>
      <c r="CF58" s="702" t="n"/>
      <c r="CG58" s="702" t="n"/>
      <c r="CH58" s="702" t="n"/>
      <c r="CI58" s="702" t="n"/>
      <c r="CJ58" s="702" t="n"/>
      <c r="CK58" s="702" t="n"/>
      <c r="CL58" s="702" t="n"/>
      <c r="CM58" s="702" t="n"/>
      <c r="CN58" s="702" t="n"/>
      <c r="CO58" s="702" t="n"/>
      <c r="CP58" s="702" t="n"/>
      <c r="CQ58" s="702" t="n"/>
      <c r="CR58" s="1917" t="n"/>
      <c r="CS58" s="1917" t="n"/>
      <c r="CT58" s="1917" t="n"/>
      <c r="CU58" s="1917" t="n"/>
      <c r="CV58" s="1917" t="n"/>
      <c r="CW58" s="1917" t="n"/>
      <c r="CX58" s="1917" t="n"/>
      <c r="CY58" s="1917" t="n"/>
      <c r="CZ58" s="1917" t="n"/>
      <c r="DA58" s="1917" t="n"/>
      <c r="DB58" s="1917" t="n"/>
      <c r="DC58" s="1917" t="n"/>
      <c r="DD58" s="1917" t="n"/>
      <c r="DE58" s="1917" t="n"/>
      <c r="DF58" s="1917" t="n"/>
    </row>
    <row r="59" ht="15" customHeight="1" s="1883">
      <c r="I59" s="726" t="n"/>
      <c r="J59" s="726" t="n"/>
      <c r="K59" s="726" t="n"/>
      <c r="L59" s="726" t="n"/>
      <c r="M59" s="726" t="n"/>
      <c r="N59" s="726" t="n"/>
      <c r="O59" s="726" t="n"/>
      <c r="P59" s="726" t="n"/>
      <c r="Q59" s="726" t="n"/>
      <c r="R59" s="726" t="n"/>
      <c r="S59" s="726" t="n"/>
      <c r="T59" s="726" t="n"/>
      <c r="U59" s="726" t="n"/>
      <c r="V59" s="726" t="n"/>
      <c r="W59" s="726" t="n"/>
      <c r="X59" s="726" t="n"/>
      <c r="Y59" s="726" t="n"/>
      <c r="Z59" s="702" t="n"/>
      <c r="AA59" s="702" t="n"/>
      <c r="AB59" s="702" t="n"/>
      <c r="AC59" s="702" t="n"/>
      <c r="AD59" s="702" t="n"/>
      <c r="AE59" s="702" t="n"/>
      <c r="AF59" s="702" t="n"/>
      <c r="AG59" s="702" t="n"/>
      <c r="AH59" s="702" t="n"/>
      <c r="AI59" s="702" t="n"/>
      <c r="AJ59" s="702" t="n"/>
      <c r="AK59" s="702" t="n"/>
      <c r="AL59" s="702" t="n"/>
      <c r="AM59" s="702" t="n"/>
      <c r="AN59" s="702" t="n"/>
      <c r="AO59" s="702" t="n"/>
      <c r="AP59" s="702" t="n"/>
      <c r="AQ59" s="702" t="n"/>
      <c r="AR59" s="702" t="n"/>
      <c r="AS59" s="702" t="n"/>
      <c r="AT59" s="702" t="n"/>
      <c r="AU59" s="702" t="n"/>
      <c r="AV59" s="702" t="n"/>
      <c r="AW59" s="702" t="n"/>
      <c r="AX59" s="702" t="n"/>
      <c r="AY59" s="702" t="n"/>
      <c r="AZ59" s="702" t="n"/>
      <c r="BA59" s="702" t="n"/>
      <c r="BB59" s="702" t="n"/>
      <c r="BC59" s="702" t="n"/>
      <c r="BD59" s="702" t="n"/>
      <c r="BE59" s="702" t="n"/>
      <c r="BF59" s="702" t="n"/>
      <c r="BG59" s="702" t="n"/>
      <c r="BH59" s="702" t="n"/>
      <c r="BI59" s="702" t="n"/>
      <c r="BJ59" s="702" t="n"/>
      <c r="BK59" s="702" t="n"/>
      <c r="BL59" s="702" t="n"/>
      <c r="BM59" s="702" t="n"/>
      <c r="BN59" s="702" t="n"/>
      <c r="BO59" s="702" t="n"/>
      <c r="BP59" s="713" t="n"/>
      <c r="BQ59" s="713" t="n"/>
      <c r="BR59" s="713" t="n"/>
      <c r="BS59" s="713" t="n"/>
      <c r="BT59" s="713" t="n"/>
      <c r="BU59" s="713" t="n"/>
      <c r="BV59" s="713" t="n"/>
      <c r="BW59" s="713" t="n"/>
      <c r="BX59" s="713" t="n"/>
      <c r="BY59" s="713" t="n"/>
      <c r="BZ59" s="713" t="n"/>
      <c r="CA59" s="713" t="n"/>
      <c r="CB59" s="713" t="n"/>
      <c r="CC59" s="713" t="n"/>
      <c r="CD59" s="713" t="n"/>
      <c r="CE59" s="713" t="n"/>
      <c r="CF59" s="713" t="n"/>
      <c r="CG59" s="713" t="n"/>
      <c r="CH59" s="713" t="n"/>
      <c r="CI59" s="713" t="n"/>
      <c r="CJ59" s="713" t="n"/>
      <c r="CK59" s="713" t="n"/>
      <c r="CL59" s="713" t="n"/>
      <c r="CM59" s="713" t="n"/>
      <c r="CN59" s="713" t="n"/>
      <c r="CO59" s="713" t="n"/>
      <c r="CP59" s="713" t="n"/>
      <c r="CQ59" s="713" t="n"/>
      <c r="CR59" s="1917" t="n"/>
      <c r="CS59" s="1917" t="n"/>
      <c r="CT59" s="1917" t="n"/>
      <c r="CU59" s="1917" t="n"/>
      <c r="CV59" s="1917" t="n"/>
      <c r="CW59" s="1917" t="n"/>
      <c r="CX59" s="1917" t="n"/>
      <c r="CY59" s="1917" t="n"/>
      <c r="CZ59" s="1917" t="n"/>
      <c r="DA59" s="1917" t="n"/>
      <c r="DB59" s="1917" t="n"/>
      <c r="DC59" s="1917" t="n"/>
      <c r="DD59" s="1917" t="n"/>
      <c r="DE59" s="1917" t="n"/>
      <c r="DF59" s="1917" t="n"/>
    </row>
    <row r="60" ht="15" customHeight="1" s="1883">
      <c r="I60" s="726" t="n"/>
      <c r="J60" s="726" t="n"/>
      <c r="K60" s="726" t="n"/>
      <c r="L60" s="726" t="n"/>
      <c r="M60" s="726" t="n"/>
      <c r="N60" s="726" t="n"/>
      <c r="O60" s="726" t="n"/>
      <c r="P60" s="726" t="n"/>
      <c r="Q60" s="726" t="n"/>
      <c r="R60" s="726" t="n"/>
      <c r="S60" s="1930" t="inlineStr">
        <is>
          <t>Sales and Marketing Headcount</t>
        </is>
      </c>
      <c r="AA60" s="702" t="n"/>
      <c r="AB60" s="803">
        <f>SUM(AB30:AB35)</f>
        <v/>
      </c>
      <c r="AC60" s="803">
        <f>SUM(AC30:AC35)</f>
        <v/>
      </c>
      <c r="AD60" s="803">
        <f>SUM(AD30:AD35)</f>
        <v/>
      </c>
      <c r="AE60" s="803">
        <f>SUM(AE30:AE35)</f>
        <v/>
      </c>
      <c r="AF60" s="803">
        <f>SUM(AF30:AF35)</f>
        <v/>
      </c>
      <c r="AG60" s="803">
        <f>SUM(AG30:AG35)</f>
        <v/>
      </c>
      <c r="AH60" s="803">
        <f>SUM(AH30:AH35)</f>
        <v/>
      </c>
      <c r="AI60" s="803">
        <f>SUM(AI30:AI35)</f>
        <v/>
      </c>
      <c r="AJ60" s="803">
        <f>SUM(AJ30:AJ35)</f>
        <v/>
      </c>
      <c r="AK60" s="803">
        <f>SUM(AK30:AK35)</f>
        <v/>
      </c>
      <c r="AL60" s="803">
        <f>SUM(AL30:AL35)</f>
        <v/>
      </c>
      <c r="AM60" s="803">
        <f>SUM(AM30:AM35)</f>
        <v/>
      </c>
      <c r="AN60" s="803">
        <f>SUM(AN30:AN35)</f>
        <v/>
      </c>
      <c r="AO60" s="803">
        <f>SUM(AO30:AO35)</f>
        <v/>
      </c>
      <c r="AP60" s="803">
        <f>SUM(AP30:AP35)</f>
        <v/>
      </c>
      <c r="AQ60" s="803">
        <f>SUM(AQ30:AQ35)</f>
        <v/>
      </c>
      <c r="AR60" s="803">
        <f>SUM(AR30:AR35)</f>
        <v/>
      </c>
      <c r="AS60" s="803">
        <f>SUM(AS30:AS35)</f>
        <v/>
      </c>
      <c r="AT60" s="803">
        <f>SUM(AT30:AT35)</f>
        <v/>
      </c>
      <c r="AU60" s="803">
        <f>SUM(AU30:AU35)</f>
        <v/>
      </c>
      <c r="AV60" s="803">
        <f>SUM(AV30:AV35)</f>
        <v/>
      </c>
      <c r="AW60" s="803">
        <f>SUM(AW30:AW35)</f>
        <v/>
      </c>
      <c r="AX60" s="803">
        <f>SUM(AX30:AX35)</f>
        <v/>
      </c>
      <c r="AY60" s="803">
        <f>SUM(AY30:AY35)</f>
        <v/>
      </c>
      <c r="AZ60" s="803">
        <f>SUM(AZ30:AZ35)</f>
        <v/>
      </c>
      <c r="BA60" s="803">
        <f>SUM(BA30:BA35)</f>
        <v/>
      </c>
      <c r="BB60" s="803">
        <f>SUM(BB30:BB35)</f>
        <v/>
      </c>
      <c r="BC60" s="803">
        <f>SUM(BC30:BC35)</f>
        <v/>
      </c>
      <c r="BD60" s="803">
        <f>SUM(BD30:BD35)</f>
        <v/>
      </c>
      <c r="BE60" s="803">
        <f>SUM(BE30:BE35)</f>
        <v/>
      </c>
      <c r="BF60" s="803">
        <f>SUM(BF30:BF35)</f>
        <v/>
      </c>
      <c r="BG60" s="803">
        <f>SUM(BG30:BG35)</f>
        <v/>
      </c>
      <c r="BH60" s="803">
        <f>SUM(BH30:BH35)</f>
        <v/>
      </c>
      <c r="BI60" s="803">
        <f>SUM(BI30:BI35)</f>
        <v/>
      </c>
      <c r="BJ60" s="803">
        <f>SUM(BJ30:BJ35)</f>
        <v/>
      </c>
      <c r="BK60" s="803">
        <f>SUM(BK30:BK35)</f>
        <v/>
      </c>
      <c r="BL60" s="803">
        <f>SUM(BL30:BL35)</f>
        <v/>
      </c>
      <c r="BM60" s="803">
        <f>SUM(BM30:BM35)</f>
        <v/>
      </c>
      <c r="BN60" s="803">
        <f>SUM(BN30:BN35)</f>
        <v/>
      </c>
      <c r="BO60" s="803">
        <f>SUM(BO30:BO35)</f>
        <v/>
      </c>
      <c r="BP60" s="803">
        <f>SUM(BP30:BP35)</f>
        <v/>
      </c>
      <c r="BQ60" s="803">
        <f>SUM(BQ30:BQ35)</f>
        <v/>
      </c>
      <c r="BR60" s="803">
        <f>SUM(BR30:BR35)</f>
        <v/>
      </c>
      <c r="BS60" s="803">
        <f>SUM(BS30:BS35)</f>
        <v/>
      </c>
      <c r="BT60" s="803">
        <f>SUM(BT30:BT35)</f>
        <v/>
      </c>
      <c r="BU60" s="803">
        <f>SUM(BU30:BU35)</f>
        <v/>
      </c>
      <c r="BV60" s="803">
        <f>SUM(BV30:BV35)</f>
        <v/>
      </c>
      <c r="BW60" s="803">
        <f>SUM(BW30:BW35)</f>
        <v/>
      </c>
      <c r="BX60" s="803">
        <f>SUM(BX30:BX35)</f>
        <v/>
      </c>
      <c r="BY60" s="803">
        <f>SUM(BY30:BY35)</f>
        <v/>
      </c>
      <c r="BZ60" s="803">
        <f>SUM(BZ30:BZ35)</f>
        <v/>
      </c>
      <c r="CA60" s="803">
        <f>SUM(CA30:CA35)</f>
        <v/>
      </c>
      <c r="CB60" s="803">
        <f>SUM(CB30:CB35)</f>
        <v/>
      </c>
      <c r="CC60" s="803">
        <f>SUM(CC30:CC35)</f>
        <v/>
      </c>
      <c r="CD60" s="803">
        <f>SUM(CD30:CD35)</f>
        <v/>
      </c>
      <c r="CE60" s="803">
        <f>SUM(CE30:CE35)</f>
        <v/>
      </c>
      <c r="CF60" s="803">
        <f>SUM(CF30:CF35)</f>
        <v/>
      </c>
      <c r="CG60" s="803">
        <f>SUM(CG30:CG35)</f>
        <v/>
      </c>
      <c r="CH60" s="803">
        <f>SUM(CH30:CH35)</f>
        <v/>
      </c>
      <c r="CI60" s="803">
        <f>SUM(CI30:CI35)</f>
        <v/>
      </c>
      <c r="CJ60" s="803">
        <f>SUM(CJ30:CJ35)</f>
        <v/>
      </c>
      <c r="CK60" s="803">
        <f>SUM(CK30:CK35)</f>
        <v/>
      </c>
      <c r="CL60" s="803">
        <f>SUM(CL30:CL35)</f>
        <v/>
      </c>
      <c r="CM60" s="803">
        <f>SUM(CM30:CM35)</f>
        <v/>
      </c>
      <c r="CN60" s="803">
        <f>SUM(CN30:CN35)</f>
        <v/>
      </c>
      <c r="CO60" s="803">
        <f>SUM(CO30:CO35)</f>
        <v/>
      </c>
      <c r="CP60" s="803">
        <f>SUM(CP30:CP35)</f>
        <v/>
      </c>
      <c r="CQ60" s="803">
        <f>SUM(CQ30:CQ35)</f>
        <v/>
      </c>
      <c r="CR60" s="803">
        <f>SUM(CR30:CR35)</f>
        <v/>
      </c>
      <c r="CS60" s="803">
        <f>SUM(CS30:CS35)</f>
        <v/>
      </c>
      <c r="CT60" s="803">
        <f>SUM(CT30:CT35)</f>
        <v/>
      </c>
      <c r="CU60" s="803">
        <f>SUM(CU30:CU35)</f>
        <v/>
      </c>
      <c r="CV60" s="803">
        <f>SUM(CV30:CV35)</f>
        <v/>
      </c>
      <c r="CW60" s="803">
        <f>SUM(CW30:CW35)</f>
        <v/>
      </c>
      <c r="CX60" s="803">
        <f>SUM(CX30:CX35)</f>
        <v/>
      </c>
      <c r="CY60" s="803">
        <f>SUM(CY30:CY35)</f>
        <v/>
      </c>
      <c r="CZ60" s="803">
        <f>SUM(CZ30:CZ35)</f>
        <v/>
      </c>
      <c r="DA60" s="803">
        <f>SUM(DA30:DA35)</f>
        <v/>
      </c>
      <c r="DB60" s="803">
        <f>SUM(DB30:DB35)</f>
        <v/>
      </c>
      <c r="DC60" s="803">
        <f>SUM(DC30:DC35)</f>
        <v/>
      </c>
      <c r="DD60" s="803">
        <f>SUM(DD30:DD35)</f>
        <v/>
      </c>
      <c r="DE60" s="803">
        <f>SUM(DE30:DE35)</f>
        <v/>
      </c>
      <c r="DF60" s="803">
        <f>SUM(DF30:DF35)</f>
        <v/>
      </c>
    </row>
    <row r="61" ht="15" customHeight="1" s="1883">
      <c r="I61" s="726" t="n"/>
      <c r="J61" s="726" t="n"/>
      <c r="K61" s="726" t="n"/>
      <c r="L61" s="726" t="n"/>
      <c r="M61" s="726" t="n"/>
      <c r="N61" s="726" t="n"/>
      <c r="O61" s="726" t="n"/>
      <c r="P61" s="726" t="n"/>
      <c r="Q61" s="726" t="n"/>
      <c r="R61" s="726" t="n"/>
      <c r="S61" s="726" t="n"/>
      <c r="T61" s="726" t="n"/>
      <c r="U61" s="726" t="n"/>
      <c r="V61" s="726" t="n"/>
      <c r="W61" s="726" t="n"/>
      <c r="X61" s="726" t="n"/>
      <c r="Y61" s="726" t="n"/>
      <c r="Z61" s="702" t="n"/>
      <c r="AA61" s="702" t="n"/>
      <c r="AB61" s="702" t="n"/>
      <c r="AC61" s="702" t="n"/>
      <c r="AD61" s="702" t="n"/>
      <c r="AE61" s="702" t="n"/>
      <c r="AF61" s="702" t="n"/>
      <c r="AG61" s="702" t="n"/>
      <c r="AH61" s="702" t="n"/>
      <c r="AI61" s="702" t="n"/>
      <c r="AJ61" s="702" t="n"/>
      <c r="AK61" s="702" t="n"/>
      <c r="AL61" s="702" t="n"/>
      <c r="AM61" s="702" t="n"/>
      <c r="AN61" s="702" t="n"/>
      <c r="AO61" s="702" t="n"/>
      <c r="AP61" s="702" t="n"/>
      <c r="AQ61" s="702" t="n"/>
      <c r="AR61" s="702" t="n"/>
      <c r="AS61" s="702" t="n"/>
      <c r="AT61" s="702" t="n"/>
      <c r="AU61" s="702" t="n"/>
      <c r="AV61" s="702" t="n"/>
      <c r="AW61" s="702" t="n"/>
      <c r="AX61" s="702" t="n"/>
      <c r="AY61" s="702" t="n"/>
      <c r="AZ61" s="702" t="n"/>
      <c r="BA61" s="702" t="n"/>
      <c r="BB61" s="702" t="n"/>
      <c r="BC61" s="702" t="n"/>
      <c r="BD61" s="702" t="n"/>
      <c r="BE61" s="702" t="n"/>
      <c r="BF61" s="702" t="n"/>
      <c r="BG61" s="702" t="n"/>
      <c r="BH61" s="702" t="n"/>
      <c r="BI61" s="702" t="n"/>
      <c r="BJ61" s="702" t="n"/>
      <c r="BK61" s="702" t="n"/>
      <c r="BL61" s="702" t="n"/>
      <c r="BM61" s="713" t="n"/>
      <c r="BN61" s="713" t="n"/>
      <c r="BO61" s="713" t="n"/>
      <c r="BP61" s="713" t="n"/>
      <c r="BQ61" s="713" t="n"/>
      <c r="BR61" s="713" t="n"/>
      <c r="BS61" s="713" t="n"/>
      <c r="BT61" s="713" t="n"/>
      <c r="BU61" s="713" t="n"/>
      <c r="BV61" s="713" t="n"/>
      <c r="BW61" s="713" t="n"/>
      <c r="BX61" s="713" t="n"/>
      <c r="BY61" s="713" t="n"/>
      <c r="BZ61" s="713" t="n"/>
      <c r="CA61" s="713" t="n"/>
      <c r="CB61" s="713" t="n"/>
      <c r="CC61" s="713" t="n"/>
      <c r="CD61" s="713" t="n"/>
      <c r="CE61" s="713" t="n"/>
      <c r="CF61" s="713" t="n"/>
      <c r="CG61" s="713" t="n"/>
      <c r="CH61" s="713" t="n"/>
      <c r="CI61" s="713" t="n"/>
      <c r="CJ61" s="1917" t="n"/>
      <c r="CK61" s="1917" t="n"/>
      <c r="CL61" s="1917" t="n"/>
      <c r="CM61" s="1917" t="n"/>
      <c r="CN61" s="1917" t="n"/>
      <c r="CO61" s="1917" t="n"/>
      <c r="CP61" s="1917" t="n"/>
      <c r="CQ61" s="1917" t="n"/>
      <c r="CR61" s="1917" t="n"/>
      <c r="CS61" s="1917" t="n"/>
      <c r="CT61" s="1917" t="n"/>
      <c r="CU61" s="1917" t="n"/>
      <c r="CV61" s="1917" t="n"/>
      <c r="CW61" s="1917" t="n"/>
      <c r="CX61" s="1917" t="n"/>
      <c r="CY61" s="1917" t="n"/>
      <c r="CZ61" s="1917" t="n"/>
      <c r="DA61" s="1917" t="n"/>
      <c r="DB61" s="1917" t="n"/>
      <c r="DC61" s="1917" t="n"/>
      <c r="DD61" s="1917" t="n"/>
      <c r="DE61" s="1917" t="n"/>
      <c r="DF61" s="1917" t="n"/>
    </row>
    <row r="62" ht="15" customHeight="1" s="1883">
      <c r="I62" s="726" t="n"/>
      <c r="J62" s="726" t="n"/>
      <c r="K62" s="726" t="n"/>
      <c r="L62" s="726" t="n"/>
      <c r="M62" s="726" t="n"/>
      <c r="N62" s="726" t="n"/>
      <c r="O62" s="726" t="n"/>
      <c r="P62" s="726" t="n"/>
      <c r="Q62" s="726" t="n"/>
      <c r="R62" s="726" t="n"/>
      <c r="S62" s="726" t="n"/>
      <c r="T62" s="726" t="n"/>
      <c r="U62" s="726" t="n"/>
      <c r="V62" s="726" t="n"/>
      <c r="W62" s="726" t="n"/>
      <c r="X62" s="726" t="n"/>
      <c r="Y62" s="726" t="n"/>
      <c r="Z62" s="702" t="n"/>
      <c r="AA62" s="702" t="n"/>
      <c r="AB62" s="702" t="n"/>
      <c r="AC62" s="702" t="n"/>
      <c r="AD62" s="702" t="n"/>
      <c r="AE62" s="702" t="n"/>
      <c r="AF62" s="702" t="n"/>
      <c r="AG62" s="702" t="n"/>
      <c r="AH62" s="702" t="n"/>
      <c r="AI62" s="702" t="n"/>
      <c r="AJ62" s="702" t="n"/>
      <c r="AK62" s="702" t="n"/>
      <c r="AL62" s="702" t="n"/>
      <c r="AM62" s="702" t="n"/>
      <c r="AN62" s="702" t="n"/>
      <c r="AO62" s="702" t="n"/>
      <c r="AP62" s="702" t="n"/>
      <c r="AQ62" s="702" t="n"/>
      <c r="AR62" s="702" t="n"/>
      <c r="AS62" s="702" t="n"/>
      <c r="AT62" s="702" t="n"/>
      <c r="AU62" s="702" t="n"/>
      <c r="AV62" s="702" t="n"/>
      <c r="AW62" s="702" t="n"/>
      <c r="AX62" s="702" t="n"/>
      <c r="AY62" s="702" t="n"/>
      <c r="AZ62" s="702" t="n"/>
      <c r="BA62" s="702" t="n"/>
      <c r="BB62" s="702" t="n"/>
      <c r="BC62" s="702" t="n"/>
      <c r="BD62" s="702" t="n"/>
      <c r="BE62" s="702" t="n"/>
      <c r="BF62" s="702" t="n"/>
      <c r="BG62" s="702" t="n"/>
      <c r="BH62" s="702" t="n"/>
      <c r="BI62" s="702" t="n"/>
      <c r="BJ62" s="702" t="n"/>
      <c r="BK62" s="702" t="n"/>
      <c r="BL62" s="702" t="n"/>
      <c r="BM62" s="713" t="n"/>
      <c r="BN62" s="713" t="n"/>
      <c r="BO62" s="713" t="n"/>
      <c r="BP62" s="713" t="n"/>
      <c r="BQ62" s="713" t="n"/>
      <c r="BR62" s="713" t="n"/>
      <c r="BS62" s="713" t="n"/>
      <c r="BT62" s="713" t="n"/>
      <c r="BU62" s="713" t="n"/>
      <c r="BV62" s="713" t="n"/>
      <c r="BW62" s="713" t="n"/>
      <c r="BX62" s="713" t="n"/>
      <c r="BY62" s="713" t="n"/>
      <c r="BZ62" s="713" t="n"/>
      <c r="CA62" s="713" t="n"/>
      <c r="CB62" s="713" t="n"/>
      <c r="CC62" s="713" t="n"/>
      <c r="CD62" s="713" t="n"/>
      <c r="CE62" s="713" t="n"/>
      <c r="CF62" s="713" t="n"/>
      <c r="CG62" s="713" t="n"/>
      <c r="CH62" s="713" t="n"/>
      <c r="CI62" s="713" t="n"/>
      <c r="CJ62" s="1917" t="n"/>
      <c r="CK62" s="1917" t="n"/>
      <c r="CL62" s="1917" t="n"/>
      <c r="CM62" s="1917" t="n"/>
      <c r="CN62" s="1917" t="n"/>
      <c r="CO62" s="1917" t="n"/>
      <c r="CP62" s="1917" t="n"/>
      <c r="CQ62" s="1917" t="n"/>
      <c r="CR62" s="1917" t="n"/>
      <c r="CS62" s="1917" t="n"/>
      <c r="CT62" s="1917" t="n"/>
      <c r="CU62" s="1917" t="n"/>
      <c r="CV62" s="1917" t="n"/>
      <c r="CW62" s="1917" t="n"/>
      <c r="CX62" s="1917" t="n"/>
      <c r="CY62" s="1917" t="n"/>
      <c r="CZ62" s="1917" t="n"/>
      <c r="DA62" s="1917" t="n"/>
      <c r="DB62" s="1917" t="n"/>
      <c r="DC62" s="1917" t="n"/>
      <c r="DD62" s="1917" t="n"/>
      <c r="DE62" s="1917" t="n"/>
      <c r="DF62" s="1917" t="n"/>
    </row>
    <row r="63" ht="15" customHeight="1" s="1883">
      <c r="I63" s="726" t="n"/>
      <c r="J63" s="726" t="n"/>
      <c r="K63" s="726" t="n"/>
      <c r="L63" s="726" t="n"/>
      <c r="M63" s="726" t="n"/>
      <c r="N63" s="1934" t="inlineStr">
        <is>
          <t>COLA, Years 2 - 5</t>
        </is>
      </c>
      <c r="R63" s="726" t="n"/>
      <c r="S63" s="778" t="n"/>
      <c r="T63" s="778" t="n"/>
      <c r="U63" s="778" t="n"/>
      <c r="V63" s="778" t="n"/>
      <c r="W63" s="778" t="n"/>
      <c r="X63" s="778" t="n"/>
      <c r="Y63" s="778" t="n"/>
      <c r="Z63" s="768" t="n"/>
      <c r="AA63" s="702" t="n"/>
      <c r="AB63" s="702" t="n"/>
      <c r="AC63" s="702" t="n"/>
      <c r="AD63" s="702" t="n"/>
      <c r="AE63" s="702" t="n"/>
      <c r="AF63" s="702" t="n"/>
      <c r="AG63" s="702" t="n"/>
      <c r="AH63" s="702" t="n"/>
      <c r="AI63" s="702" t="n"/>
      <c r="AJ63" s="702" t="n"/>
      <c r="AK63" s="702" t="n"/>
      <c r="AL63" s="702" t="n"/>
      <c r="AM63" s="702" t="n"/>
      <c r="AN63" s="702" t="n"/>
      <c r="AO63" s="702" t="n"/>
      <c r="AP63" s="702" t="n"/>
      <c r="AQ63" s="702" t="n"/>
      <c r="AR63" s="702" t="n"/>
      <c r="AS63" s="702" t="n"/>
      <c r="AT63" s="702" t="n"/>
      <c r="AU63" s="702" t="n"/>
      <c r="AV63" s="702" t="n"/>
      <c r="AW63" s="702" t="n"/>
      <c r="AX63" s="702" t="n"/>
      <c r="AY63" s="702" t="n"/>
      <c r="AZ63" s="702" t="n"/>
      <c r="BA63" s="702" t="n"/>
      <c r="BB63" s="702" t="n"/>
      <c r="BC63" s="702" t="n"/>
      <c r="BD63" s="702" t="n"/>
      <c r="BE63" s="702" t="n"/>
      <c r="BF63" s="702" t="n"/>
      <c r="BG63" s="702" t="n"/>
      <c r="BH63" s="702" t="n"/>
      <c r="BI63" s="702" t="n"/>
      <c r="BJ63" s="702" t="n"/>
      <c r="BK63" s="702" t="n"/>
      <c r="BL63" s="702" t="n"/>
      <c r="BM63" s="713" t="n"/>
      <c r="BN63" s="713" t="n"/>
      <c r="BO63" s="713" t="n"/>
      <c r="BP63" s="713" t="n"/>
      <c r="BQ63" s="713" t="n"/>
      <c r="BR63" s="713" t="n"/>
      <c r="BS63" s="713" t="n"/>
      <c r="BT63" s="713" t="n"/>
      <c r="BU63" s="713" t="n"/>
      <c r="BV63" s="713" t="n"/>
      <c r="BW63" s="713" t="n"/>
      <c r="BX63" s="713" t="n"/>
      <c r="BY63" s="713" t="n"/>
      <c r="BZ63" s="713" t="n"/>
      <c r="CA63" s="713" t="n"/>
      <c r="CB63" s="713" t="n"/>
      <c r="CC63" s="713" t="n"/>
      <c r="CD63" s="713" t="n"/>
      <c r="CE63" s="713" t="n"/>
      <c r="CF63" s="713" t="n"/>
      <c r="CG63" s="713" t="n"/>
      <c r="CH63" s="713" t="n"/>
      <c r="CI63" s="713" t="n"/>
      <c r="CJ63" s="1917" t="n"/>
      <c r="CK63" s="1917" t="n"/>
      <c r="CL63" s="1917" t="n"/>
      <c r="CM63" s="1917" t="n"/>
      <c r="CN63" s="1917" t="n"/>
      <c r="CO63" s="1917" t="n"/>
      <c r="CP63" s="1917" t="n"/>
      <c r="CQ63" s="1917" t="n"/>
      <c r="CR63" s="1917" t="n"/>
      <c r="CS63" s="1917" t="n"/>
      <c r="CT63" s="1917" t="n"/>
      <c r="CU63" s="1917" t="n"/>
      <c r="CV63" s="1917" t="n"/>
      <c r="CW63" s="1917" t="n"/>
      <c r="CX63" s="1917" t="n"/>
      <c r="CY63" s="1917" t="n"/>
      <c r="CZ63" s="1917" t="n"/>
      <c r="DA63" s="1917" t="n"/>
      <c r="DB63" s="1917" t="n"/>
      <c r="DC63" s="1917" t="n"/>
      <c r="DD63" s="1917" t="n"/>
      <c r="DE63" s="1917" t="n"/>
      <c r="DF63" s="1917" t="n"/>
    </row>
    <row r="66" ht="15" customHeight="1" s="1883">
      <c r="B66" s="726" t="n"/>
      <c r="C66" s="726" t="n"/>
      <c r="D66" s="726" t="n"/>
      <c r="E66" s="726" t="n"/>
      <c r="F66" s="726" t="n"/>
      <c r="G66" s="726" t="n"/>
      <c r="H66" s="726" t="n"/>
      <c r="I66" s="726" t="n"/>
      <c r="J66" s="726" t="n"/>
      <c r="K66" s="726" t="n"/>
      <c r="N66" s="731" t="n">
        <v>0.03</v>
      </c>
      <c r="O66" s="731" t="n">
        <v>0.03</v>
      </c>
      <c r="P66" s="731" t="n">
        <v>0.03</v>
      </c>
      <c r="Q66" s="731" t="n">
        <v>0.03</v>
      </c>
      <c r="R66" s="726" t="n"/>
      <c r="S66" s="778" t="n"/>
      <c r="T66" s="778" t="n"/>
      <c r="U66" s="778" t="n"/>
      <c r="V66" s="778" t="n"/>
      <c r="W66" s="778" t="n"/>
      <c r="X66" s="778" t="n"/>
      <c r="Y66" s="778" t="n"/>
      <c r="Z66" s="768" t="n"/>
      <c r="AA66" s="702" t="n"/>
      <c r="AB66" s="702" t="n"/>
      <c r="AC66" s="702" t="n"/>
      <c r="AD66" s="702" t="n"/>
      <c r="AE66" s="702" t="n"/>
      <c r="AF66" s="702" t="n"/>
      <c r="AG66" s="702" t="n"/>
      <c r="AH66" s="702" t="n"/>
      <c r="AI66" s="702" t="n"/>
      <c r="AJ66" s="702" t="n"/>
      <c r="AK66" s="702" t="n"/>
      <c r="AL66" s="702" t="n"/>
      <c r="AM66" s="702" t="n"/>
      <c r="AN66" s="702" t="n"/>
      <c r="AO66" s="702" t="n"/>
      <c r="AP66" s="702" t="n"/>
      <c r="AQ66" s="702" t="n"/>
      <c r="AR66" s="702" t="n"/>
      <c r="AS66" s="702" t="n"/>
      <c r="AT66" s="702" t="n"/>
      <c r="AU66" s="702" t="n"/>
      <c r="AV66" s="702" t="n"/>
      <c r="AW66" s="702" t="n"/>
      <c r="AX66" s="702" t="n"/>
      <c r="AY66" s="702" t="n"/>
      <c r="AZ66" s="702" t="n"/>
      <c r="BA66" s="702" t="n"/>
      <c r="BB66" s="702" t="n"/>
      <c r="BC66" s="702" t="n"/>
      <c r="BD66" s="702" t="n"/>
      <c r="BE66" s="702" t="n"/>
      <c r="BF66" s="702" t="n"/>
      <c r="BG66" s="702" t="n"/>
      <c r="BH66" s="702" t="n"/>
      <c r="BI66" s="702" t="n"/>
      <c r="BJ66" s="702" t="n"/>
      <c r="BK66" s="702" t="n"/>
      <c r="BL66" s="702" t="n"/>
      <c r="BM66" s="713" t="n"/>
      <c r="BN66" s="713" t="n"/>
      <c r="BO66" s="713" t="n"/>
      <c r="BP66" s="713" t="n"/>
      <c r="BQ66" s="713" t="n"/>
      <c r="BR66" s="713" t="n"/>
      <c r="BS66" s="713" t="n"/>
      <c r="BT66" s="713" t="n"/>
      <c r="BU66" s="713" t="n"/>
      <c r="BV66" s="713" t="n"/>
      <c r="BW66" s="713" t="n"/>
      <c r="BX66" s="713" t="n"/>
      <c r="BY66" s="713" t="n"/>
      <c r="BZ66" s="713" t="n"/>
      <c r="CA66" s="713" t="n"/>
      <c r="CB66" s="713" t="n"/>
      <c r="CC66" s="713" t="n"/>
      <c r="CD66" s="713" t="n"/>
      <c r="CE66" s="713" t="n"/>
      <c r="CF66" s="713" t="n"/>
      <c r="CG66" s="713" t="n"/>
      <c r="CH66" s="713" t="n"/>
      <c r="CI66" s="713" t="n"/>
      <c r="CJ66" s="1917" t="n"/>
      <c r="CK66" s="1917" t="n"/>
      <c r="CL66" s="1917" t="n"/>
      <c r="CM66" s="1917" t="n"/>
      <c r="CN66" s="1917" t="n"/>
      <c r="CO66" s="1917" t="n"/>
      <c r="CP66" s="1917" t="n"/>
      <c r="CQ66" s="1917" t="n"/>
      <c r="CR66" s="1917" t="n"/>
      <c r="CS66" s="1917" t="n"/>
      <c r="CT66" s="1917" t="n"/>
      <c r="CU66" s="1917" t="n"/>
      <c r="CV66" s="1917" t="n"/>
      <c r="CW66" s="1917" t="n"/>
      <c r="CX66" s="1917" t="n"/>
      <c r="CY66" s="1917" t="n"/>
      <c r="CZ66" s="1917" t="n"/>
      <c r="DA66" s="1917" t="n"/>
      <c r="DB66" s="1917" t="n"/>
      <c r="DC66" s="1917" t="n"/>
      <c r="DD66" s="1917" t="n"/>
      <c r="DE66" s="1917" t="n"/>
      <c r="DF66" s="1917" t="n"/>
    </row>
    <row r="67" ht="15" customHeight="1" s="1883">
      <c r="B67" s="732" t="inlineStr">
        <is>
          <t>II.</t>
        </is>
      </c>
      <c r="C67" s="726" t="n"/>
      <c r="D67" s="733" t="inlineStr">
        <is>
          <t>Administration and Support - Salaries</t>
        </is>
      </c>
      <c r="E67" s="726" t="n"/>
      <c r="F67" s="726" t="n"/>
      <c r="G67" s="726" t="n"/>
      <c r="H67" s="726" t="n"/>
      <c r="I67" s="726" t="n"/>
      <c r="J67" s="726" t="n"/>
      <c r="K67" s="726" t="n"/>
      <c r="L67" s="1929" t="n">
        <v>6</v>
      </c>
      <c r="R67" s="726" t="n"/>
      <c r="S67" s="778" t="n"/>
      <c r="T67" s="778" t="n"/>
      <c r="U67" s="778" t="n"/>
      <c r="V67" s="778" t="n"/>
      <c r="W67" s="778" t="n"/>
      <c r="X67" s="778" t="n"/>
      <c r="Y67" s="778" t="n"/>
      <c r="Z67" s="768" t="n"/>
      <c r="AA67" s="702" t="n"/>
      <c r="AB67" s="702" t="n"/>
      <c r="AC67" s="702" t="n"/>
      <c r="AD67" s="702" t="n"/>
      <c r="AE67" s="1929" t="inlineStr">
        <is>
          <t>Pre-Launch: Months -12 through -1</t>
        </is>
      </c>
      <c r="AO67" s="702" t="n"/>
      <c r="AP67" s="1929" t="inlineStr">
        <is>
          <t xml:space="preserve">Post-Launch, Year 1: Months 1 - 12 </t>
        </is>
      </c>
      <c r="BC67" s="726" t="n"/>
      <c r="BD67" s="1929" t="inlineStr">
        <is>
          <t>Post-Launch, Year 2: Months 13 - 24</t>
        </is>
      </c>
      <c r="BQ67" s="1917" t="n"/>
      <c r="BR67" s="1929" t="inlineStr">
        <is>
          <t>Post-Launch, Year 3: Months 25 - 36</t>
        </is>
      </c>
      <c r="CE67" s="1917" t="n"/>
      <c r="CF67" s="1929" t="inlineStr">
        <is>
          <t>Post-Launch, Year 4: Months 37 - 48</t>
        </is>
      </c>
      <c r="CS67" s="1917" t="n"/>
      <c r="CT67" s="1929" t="inlineStr">
        <is>
          <t>Post-Launch, Year 5: Months 49 - 60</t>
        </is>
      </c>
    </row>
    <row r="68" ht="3" customHeight="1" s="1883">
      <c r="B68" s="726" t="n"/>
      <c r="C68" s="726" t="n"/>
      <c r="D68" s="734" t="n"/>
      <c r="E68" s="734" t="n"/>
      <c r="F68" s="734" t="n"/>
      <c r="G68" s="734" t="n"/>
      <c r="H68" s="734" t="n"/>
      <c r="I68" s="734" t="n"/>
      <c r="J68" s="734" t="n"/>
      <c r="K68" s="726" t="n"/>
      <c r="L68" s="734" t="n"/>
      <c r="M68" s="734" t="n"/>
      <c r="N68" s="734" t="n"/>
      <c r="O68" s="734" t="n"/>
      <c r="P68" s="734" t="n"/>
      <c r="Q68" s="734" t="n"/>
      <c r="R68" s="726" t="n"/>
      <c r="S68" s="778" t="n"/>
      <c r="T68" s="778" t="n"/>
      <c r="U68" s="778" t="n"/>
      <c r="V68" s="778" t="n"/>
      <c r="W68" s="778" t="n"/>
      <c r="X68" s="778" t="n"/>
      <c r="Y68" s="778" t="n"/>
      <c r="Z68" s="768" t="n"/>
      <c r="AA68" s="702" t="n"/>
      <c r="AB68" s="734" t="n"/>
      <c r="AC68" s="734" t="n"/>
      <c r="AD68" s="734" t="n"/>
      <c r="AE68" s="734" t="n"/>
      <c r="AF68" s="734" t="n"/>
      <c r="AG68" s="734" t="n"/>
      <c r="AH68" s="734" t="n"/>
      <c r="AI68" s="734" t="n"/>
      <c r="AJ68" s="734" t="n"/>
      <c r="AK68" s="734" t="n"/>
      <c r="AL68" s="734" t="n"/>
      <c r="AM68" s="734" t="n"/>
      <c r="AN68" s="734" t="n"/>
      <c r="AO68" s="702" t="n"/>
      <c r="AP68" s="734" t="n"/>
      <c r="AQ68" s="734" t="n"/>
      <c r="AR68" s="734" t="n"/>
      <c r="AS68" s="734" t="n"/>
      <c r="AT68" s="734" t="n"/>
      <c r="AU68" s="734" t="n"/>
      <c r="AV68" s="734" t="n"/>
      <c r="AW68" s="734" t="n"/>
      <c r="AX68" s="734" t="n"/>
      <c r="AY68" s="734" t="n"/>
      <c r="AZ68" s="734" t="n"/>
      <c r="BA68" s="734" t="n"/>
      <c r="BB68" s="734" t="n"/>
      <c r="BC68" s="726" t="n"/>
      <c r="BD68" s="734" t="n"/>
      <c r="BE68" s="734" t="n"/>
      <c r="BF68" s="734" t="n"/>
      <c r="BG68" s="734" t="n"/>
      <c r="BH68" s="734" t="n"/>
      <c r="BI68" s="734" t="n"/>
      <c r="BJ68" s="734" t="n"/>
      <c r="BK68" s="734" t="n"/>
      <c r="BL68" s="734" t="n"/>
      <c r="BM68" s="734" t="n"/>
      <c r="BN68" s="734" t="n"/>
      <c r="BO68" s="734" t="n"/>
      <c r="BP68" s="734" t="n"/>
      <c r="BQ68" s="1917" t="n"/>
      <c r="BR68" s="734" t="n"/>
      <c r="BS68" s="734" t="n"/>
      <c r="BT68" s="734" t="n"/>
      <c r="BU68" s="734" t="n"/>
      <c r="BV68" s="734" t="n"/>
      <c r="BW68" s="734" t="n"/>
      <c r="BX68" s="734" t="n"/>
      <c r="BY68" s="734" t="n"/>
      <c r="BZ68" s="734" t="n"/>
      <c r="CA68" s="734" t="n"/>
      <c r="CB68" s="734" t="n"/>
      <c r="CC68" s="734" t="n"/>
      <c r="CD68" s="734" t="n"/>
      <c r="CE68" s="1917" t="n"/>
      <c r="CF68" s="734" t="n"/>
      <c r="CG68" s="734" t="n"/>
      <c r="CH68" s="734" t="n"/>
      <c r="CI68" s="734" t="n"/>
      <c r="CJ68" s="734" t="n"/>
      <c r="CK68" s="734" t="n"/>
      <c r="CL68" s="734" t="n"/>
      <c r="CM68" s="734" t="n"/>
      <c r="CN68" s="734" t="n"/>
      <c r="CO68" s="734" t="n"/>
      <c r="CP68" s="734" t="n"/>
      <c r="CQ68" s="734" t="n"/>
      <c r="CR68" s="734" t="n"/>
      <c r="CS68" s="1917" t="n"/>
      <c r="CT68" s="734" t="n"/>
      <c r="CU68" s="734" t="n"/>
      <c r="CV68" s="734" t="n"/>
      <c r="CW68" s="734" t="n"/>
      <c r="CX68" s="734" t="n"/>
      <c r="CY68" s="734" t="n"/>
      <c r="CZ68" s="734" t="n"/>
      <c r="DA68" s="734" t="n"/>
      <c r="DB68" s="734" t="n"/>
      <c r="DC68" s="734" t="n"/>
      <c r="DD68" s="734" t="n"/>
      <c r="DE68" s="734" t="n"/>
      <c r="DF68" s="734" t="n"/>
    </row>
    <row r="69" ht="3" customHeight="1" s="1883">
      <c r="B69" s="726" t="n"/>
      <c r="C69" s="726" t="n"/>
      <c r="D69" s="726" t="n"/>
      <c r="E69" s="726" t="n"/>
      <c r="F69" s="726" t="n"/>
      <c r="G69" s="726" t="n"/>
      <c r="H69" s="726" t="n"/>
      <c r="I69" s="726" t="n"/>
      <c r="J69" s="726" t="n"/>
      <c r="K69" s="726" t="n"/>
      <c r="L69" s="726" t="n"/>
      <c r="M69" s="726" t="n"/>
      <c r="N69" s="726" t="n"/>
      <c r="O69" s="726" t="n"/>
      <c r="P69" s="726" t="n"/>
      <c r="Q69" s="726" t="n"/>
      <c r="R69" s="726" t="n"/>
      <c r="S69" s="778" t="n"/>
      <c r="T69" s="778" t="n"/>
      <c r="U69" s="778" t="n"/>
      <c r="V69" s="778" t="n"/>
      <c r="W69" s="778" t="n"/>
      <c r="X69" s="778" t="n"/>
      <c r="Y69" s="778" t="n"/>
      <c r="Z69" s="768" t="n"/>
      <c r="AA69" s="702" t="n"/>
      <c r="AB69" s="726" t="n"/>
      <c r="AC69" s="726" t="n"/>
      <c r="AD69" s="726" t="n"/>
      <c r="AE69" s="726" t="n"/>
      <c r="AF69" s="726" t="n"/>
      <c r="AG69" s="726" t="n"/>
      <c r="AH69" s="726" t="n"/>
      <c r="AI69" s="726" t="n"/>
      <c r="AJ69" s="726" t="n"/>
      <c r="AK69" s="726" t="n"/>
      <c r="AL69" s="726" t="n"/>
      <c r="AM69" s="726" t="n"/>
      <c r="AN69" s="726" t="n"/>
      <c r="AO69" s="702" t="n"/>
      <c r="AP69" s="726" t="n"/>
      <c r="AQ69" s="726" t="n"/>
      <c r="AR69" s="726" t="n"/>
      <c r="AS69" s="726" t="n"/>
      <c r="AT69" s="726" t="n"/>
      <c r="AU69" s="726" t="n"/>
      <c r="AV69" s="726" t="n"/>
      <c r="AW69" s="726" t="n"/>
      <c r="AX69" s="726" t="n"/>
      <c r="AY69" s="726" t="n"/>
      <c r="AZ69" s="726" t="n"/>
      <c r="BA69" s="726" t="n"/>
      <c r="BB69" s="726" t="n"/>
      <c r="BC69" s="726" t="n"/>
      <c r="BD69" s="726" t="n"/>
      <c r="BE69" s="726" t="n"/>
      <c r="BF69" s="726" t="n"/>
      <c r="BG69" s="726" t="n"/>
      <c r="BH69" s="726" t="n"/>
      <c r="BI69" s="726" t="n"/>
      <c r="BJ69" s="726" t="n"/>
      <c r="BK69" s="726" t="n"/>
      <c r="BL69" s="726" t="n"/>
      <c r="BM69" s="726" t="n"/>
      <c r="BN69" s="726" t="n"/>
      <c r="BO69" s="726" t="n"/>
      <c r="BP69" s="726" t="n"/>
      <c r="BQ69" s="1917" t="n"/>
      <c r="BR69" s="726" t="n"/>
      <c r="BS69" s="726" t="n"/>
      <c r="BT69" s="726" t="n"/>
      <c r="BU69" s="726" t="n"/>
      <c r="BV69" s="726" t="n"/>
      <c r="BW69" s="726" t="n"/>
      <c r="BX69" s="726" t="n"/>
      <c r="BY69" s="726" t="n"/>
      <c r="BZ69" s="726" t="n"/>
      <c r="CA69" s="726" t="n"/>
      <c r="CB69" s="726" t="n"/>
      <c r="CC69" s="726" t="n"/>
      <c r="CD69" s="726" t="n"/>
      <c r="CE69" s="1917" t="n"/>
      <c r="CF69" s="726" t="n"/>
      <c r="CG69" s="726" t="n"/>
      <c r="CH69" s="726" t="n"/>
      <c r="CI69" s="726" t="n"/>
      <c r="CJ69" s="726" t="n"/>
      <c r="CK69" s="726" t="n"/>
      <c r="CL69" s="726" t="n"/>
      <c r="CM69" s="726" t="n"/>
      <c r="CN69" s="726" t="n"/>
      <c r="CO69" s="726" t="n"/>
      <c r="CP69" s="726" t="n"/>
      <c r="CQ69" s="726" t="n"/>
      <c r="CR69" s="726" t="n"/>
      <c r="CS69" s="1917" t="n"/>
      <c r="CT69" s="726" t="n"/>
      <c r="CU69" s="726" t="n"/>
      <c r="CV69" s="726" t="n"/>
      <c r="CW69" s="726" t="n"/>
      <c r="CX69" s="726" t="n"/>
      <c r="CY69" s="726" t="n"/>
      <c r="CZ69" s="726" t="n"/>
      <c r="DA69" s="726" t="n"/>
      <c r="DB69" s="726" t="n"/>
      <c r="DC69" s="726" t="n"/>
      <c r="DD69" s="726" t="n"/>
      <c r="DE69" s="726" t="n"/>
      <c r="DF69" s="726" t="n"/>
    </row>
    <row r="70" ht="15" customHeight="1" s="1883">
      <c r="B70" s="726" t="n"/>
      <c r="C70" s="726" t="n"/>
      <c r="D70" s="726" t="n"/>
      <c r="E70" s="726" t="n"/>
      <c r="F70" s="726" t="n"/>
      <c r="G70" s="726" t="n"/>
      <c r="H70" s="726" t="n"/>
      <c r="I70" s="726" t="n"/>
      <c r="J70" s="728" t="inlineStr">
        <is>
          <t>Position</t>
        </is>
      </c>
      <c r="K70" s="726" t="n"/>
      <c r="L70" s="728" t="inlineStr">
        <is>
          <t>Pre-Launch</t>
        </is>
      </c>
      <c r="M70" s="728" t="inlineStr">
        <is>
          <t>Base Salary</t>
        </is>
      </c>
      <c r="N70" s="728" t="inlineStr">
        <is>
          <t>Base Salary</t>
        </is>
      </c>
      <c r="O70" s="728" t="inlineStr">
        <is>
          <t>Base Salary</t>
        </is>
      </c>
      <c r="P70" s="728" t="inlineStr">
        <is>
          <t>Base Salary</t>
        </is>
      </c>
      <c r="Q70" s="728" t="inlineStr">
        <is>
          <t>Base Salary</t>
        </is>
      </c>
      <c r="R70" s="726" t="n"/>
      <c r="S70" s="778" t="n"/>
      <c r="T70" s="778" t="n"/>
      <c r="U70" s="778" t="n"/>
      <c r="V70" s="778" t="n"/>
      <c r="W70" s="778" t="n"/>
      <c r="X70" s="778" t="n"/>
      <c r="Y70" s="778" t="n"/>
      <c r="Z70" s="768" t="n"/>
      <c r="AA70" s="702" t="n"/>
      <c r="AB70" s="726" t="n"/>
      <c r="AC70" s="726" t="n"/>
      <c r="AD70" s="726" t="n"/>
      <c r="AE70" s="726" t="n"/>
      <c r="AF70" s="726" t="n"/>
      <c r="AG70" s="726" t="n"/>
      <c r="AH70" s="726" t="n"/>
      <c r="AI70" s="726" t="n"/>
      <c r="AJ70" s="726" t="n"/>
      <c r="AK70" s="726" t="n"/>
      <c r="AL70" s="726" t="n"/>
      <c r="AM70" s="726" t="n"/>
      <c r="AN70" s="728" t="inlineStr">
        <is>
          <t>Total,</t>
        </is>
      </c>
      <c r="AO70" s="702" t="n"/>
      <c r="AP70" s="726" t="n"/>
      <c r="AQ70" s="726" t="n"/>
      <c r="AR70" s="726" t="n"/>
      <c r="AS70" s="726" t="n"/>
      <c r="AT70" s="726" t="n"/>
      <c r="AU70" s="726" t="n"/>
      <c r="AV70" s="726" t="n"/>
      <c r="AW70" s="726" t="n"/>
      <c r="AX70" s="726" t="n"/>
      <c r="AY70" s="726" t="n"/>
      <c r="AZ70" s="726" t="n"/>
      <c r="BA70" s="726" t="n"/>
      <c r="BB70" s="62" t="inlineStr">
        <is>
          <t>∑ Headcount</t>
        </is>
      </c>
      <c r="BC70" s="726" t="n"/>
      <c r="BD70" s="726" t="n"/>
      <c r="BE70" s="726" t="n"/>
      <c r="BF70" s="726" t="n"/>
      <c r="BG70" s="726" t="n"/>
      <c r="BH70" s="726" t="n"/>
      <c r="BI70" s="726" t="n"/>
      <c r="BJ70" s="726" t="n"/>
      <c r="BK70" s="726" t="n"/>
      <c r="BL70" s="726" t="n"/>
      <c r="BM70" s="726" t="n"/>
      <c r="BN70" s="726" t="n"/>
      <c r="BO70" s="726" t="n"/>
      <c r="BP70" s="62" t="inlineStr">
        <is>
          <t>∑ Headcount</t>
        </is>
      </c>
      <c r="BQ70" s="1917" t="n"/>
      <c r="BR70" s="726" t="n"/>
      <c r="BS70" s="726" t="n"/>
      <c r="BT70" s="726" t="n"/>
      <c r="BU70" s="726" t="n"/>
      <c r="BV70" s="726" t="n"/>
      <c r="BW70" s="726" t="n"/>
      <c r="BX70" s="726" t="n"/>
      <c r="BY70" s="726" t="n"/>
      <c r="BZ70" s="726" t="n"/>
      <c r="CA70" s="726" t="n"/>
      <c r="CB70" s="726" t="n"/>
      <c r="CC70" s="726" t="n"/>
      <c r="CD70" s="62" t="inlineStr">
        <is>
          <t>∑ Headcount</t>
        </is>
      </c>
      <c r="CE70" s="1917" t="n"/>
      <c r="CF70" s="726" t="n"/>
      <c r="CG70" s="726" t="n"/>
      <c r="CH70" s="726" t="n"/>
      <c r="CI70" s="726" t="n"/>
      <c r="CJ70" s="726" t="n"/>
      <c r="CK70" s="726" t="n"/>
      <c r="CL70" s="726" t="n"/>
      <c r="CM70" s="726" t="n"/>
      <c r="CN70" s="726" t="n"/>
      <c r="CO70" s="726" t="n"/>
      <c r="CP70" s="726" t="n"/>
      <c r="CQ70" s="726" t="n"/>
      <c r="CR70" s="62" t="inlineStr">
        <is>
          <t>∑ Headcount</t>
        </is>
      </c>
      <c r="CS70" s="1917" t="n"/>
      <c r="CT70" s="726" t="n"/>
      <c r="CU70" s="726" t="n"/>
      <c r="CV70" s="726" t="n"/>
      <c r="CW70" s="726" t="n"/>
      <c r="CX70" s="726" t="n"/>
      <c r="CY70" s="726" t="n"/>
      <c r="CZ70" s="726" t="n"/>
      <c r="DA70" s="726" t="n"/>
      <c r="DB70" s="726" t="n"/>
      <c r="DC70" s="726" t="n"/>
      <c r="DD70" s="726" t="n"/>
      <c r="DE70" s="726" t="n"/>
      <c r="DF70" s="62" t="inlineStr">
        <is>
          <t>∑ Headcount</t>
        </is>
      </c>
    </row>
    <row r="71" ht="15" customHeight="1" s="1883">
      <c r="B71" s="726" t="n"/>
      <c r="C71" s="726" t="n"/>
      <c r="D71" s="733" t="inlineStr">
        <is>
          <t xml:space="preserve">Employee Name </t>
        </is>
      </c>
      <c r="E71" s="726" t="n"/>
      <c r="F71" s="726" t="n"/>
      <c r="G71" s="726" t="n"/>
      <c r="H71" s="726" t="n"/>
      <c r="I71" s="733" t="inlineStr">
        <is>
          <t>Position</t>
        </is>
      </c>
      <c r="J71" s="728" t="inlineStr">
        <is>
          <t>Location</t>
        </is>
      </c>
      <c r="K71" s="726" t="n"/>
      <c r="L71" s="728" t="inlineStr">
        <is>
          <t>Months -9 to -1</t>
        </is>
      </c>
      <c r="M71" s="728" t="inlineStr">
        <is>
          <t>Year 1</t>
        </is>
      </c>
      <c r="N71" s="728" t="inlineStr">
        <is>
          <t>Year 2</t>
        </is>
      </c>
      <c r="O71" s="728" t="inlineStr">
        <is>
          <t>Year 3</t>
        </is>
      </c>
      <c r="P71" s="728" t="inlineStr">
        <is>
          <t>Year 4</t>
        </is>
      </c>
      <c r="Q71" s="728" t="inlineStr">
        <is>
          <t>Year 5</t>
        </is>
      </c>
      <c r="R71" s="726" t="n"/>
      <c r="S71" s="778" t="n"/>
      <c r="T71" s="778" t="n"/>
      <c r="U71" s="778" t="n"/>
      <c r="V71" s="778" t="n"/>
      <c r="W71" s="778" t="n"/>
      <c r="X71" s="778" t="n"/>
      <c r="Y71" s="778" t="n"/>
      <c r="Z71" s="768" t="n"/>
      <c r="AA71" s="702" t="n"/>
      <c r="AB71" s="759" t="n">
        <v>-12</v>
      </c>
      <c r="AC71" s="759" t="n">
        <v>-11</v>
      </c>
      <c r="AD71" s="759" t="n">
        <v>-10</v>
      </c>
      <c r="AE71" s="728" t="n">
        <v>-9</v>
      </c>
      <c r="AF71" s="728">
        <f>((AE71)+(1))</f>
        <v/>
      </c>
      <c r="AG71" s="728">
        <f>((AF71)+(1))</f>
        <v/>
      </c>
      <c r="AH71" s="728">
        <f>((AG71)+(1))</f>
        <v/>
      </c>
      <c r="AI71" s="728">
        <f>((AH71)+(1))</f>
        <v/>
      </c>
      <c r="AJ71" s="728">
        <f>((AI71)+(1))</f>
        <v/>
      </c>
      <c r="AK71" s="728">
        <f>((AJ71)+(1))</f>
        <v/>
      </c>
      <c r="AL71" s="728">
        <f>((AK71)+(1))</f>
        <v/>
      </c>
      <c r="AM71" s="728">
        <f>((AL71)+(1))</f>
        <v/>
      </c>
      <c r="AN71" s="728" t="inlineStr">
        <is>
          <t>Pre-Launch</t>
        </is>
      </c>
      <c r="AO71" s="702" t="n"/>
      <c r="AP71" s="728" t="n">
        <v>1</v>
      </c>
      <c r="AQ71" s="728">
        <f>((AP71)+(1))</f>
        <v/>
      </c>
      <c r="AR71" s="728">
        <f>((AQ71)+(1))</f>
        <v/>
      </c>
      <c r="AS71" s="728">
        <f>((AR71)+(1))</f>
        <v/>
      </c>
      <c r="AT71" s="728">
        <f>((AS71)+(1))</f>
        <v/>
      </c>
      <c r="AU71" s="728">
        <f>((AT71)+(1))</f>
        <v/>
      </c>
      <c r="AV71" s="728">
        <f>((AU71)+(1))</f>
        <v/>
      </c>
      <c r="AW71" s="728">
        <f>((AV71)+(1))</f>
        <v/>
      </c>
      <c r="AX71" s="728">
        <f>((AW71)+(1))</f>
        <v/>
      </c>
      <c r="AY71" s="728">
        <f>((AX71)+(1))</f>
        <v/>
      </c>
      <c r="AZ71" s="728">
        <f>((AY71)+(1))</f>
        <v/>
      </c>
      <c r="BA71" s="728">
        <f>((AZ71)+(1))</f>
        <v/>
      </c>
      <c r="BB71" s="728" t="inlineStr">
        <is>
          <t>Month 12</t>
        </is>
      </c>
      <c r="BC71" s="726" t="n"/>
      <c r="BD71" s="728" t="n">
        <v>13</v>
      </c>
      <c r="BE71" s="728">
        <f>((BD71)+(1))</f>
        <v/>
      </c>
      <c r="BF71" s="728">
        <f>((BE71)+(1))</f>
        <v/>
      </c>
      <c r="BG71" s="728">
        <f>((BF71)+(1))</f>
        <v/>
      </c>
      <c r="BH71" s="728">
        <f>((BG71)+(1))</f>
        <v/>
      </c>
      <c r="BI71" s="728">
        <f>((BH71)+(1))</f>
        <v/>
      </c>
      <c r="BJ71" s="728">
        <f>((BI71)+(1))</f>
        <v/>
      </c>
      <c r="BK71" s="728">
        <f>((BJ71)+(1))</f>
        <v/>
      </c>
      <c r="BL71" s="728">
        <f>((BK71)+(1))</f>
        <v/>
      </c>
      <c r="BM71" s="728">
        <f>((BL71)+(1))</f>
        <v/>
      </c>
      <c r="BN71" s="728">
        <f>((BM71)+(1))</f>
        <v/>
      </c>
      <c r="BO71" s="728">
        <f>((BN71)+(1))</f>
        <v/>
      </c>
      <c r="BP71" s="728" t="inlineStr">
        <is>
          <t>Month 24</t>
        </is>
      </c>
      <c r="BQ71" s="1917" t="n"/>
      <c r="BR71" s="728" t="n">
        <v>25</v>
      </c>
      <c r="BS71" s="728">
        <f>((BR71)+(1))</f>
        <v/>
      </c>
      <c r="BT71" s="728">
        <f>((BS71)+(1))</f>
        <v/>
      </c>
      <c r="BU71" s="728">
        <f>((BT71)+(1))</f>
        <v/>
      </c>
      <c r="BV71" s="728">
        <f>((BU71)+(1))</f>
        <v/>
      </c>
      <c r="BW71" s="728">
        <f>((BV71)+(1))</f>
        <v/>
      </c>
      <c r="BX71" s="728">
        <f>((BW71)+(1))</f>
        <v/>
      </c>
      <c r="BY71" s="728">
        <f>((BX71)+(1))</f>
        <v/>
      </c>
      <c r="BZ71" s="728">
        <f>((BY71)+(1))</f>
        <v/>
      </c>
      <c r="CA71" s="728">
        <f>((BZ71)+(1))</f>
        <v/>
      </c>
      <c r="CB71" s="728">
        <f>((CA71)+(1))</f>
        <v/>
      </c>
      <c r="CC71" s="728">
        <f>((CB71)+(1))</f>
        <v/>
      </c>
      <c r="CD71" s="728" t="inlineStr">
        <is>
          <t>Month 36</t>
        </is>
      </c>
      <c r="CE71" s="1917" t="n"/>
      <c r="CF71" s="728" t="n">
        <v>37</v>
      </c>
      <c r="CG71" s="728">
        <f>((CF71)+(1))</f>
        <v/>
      </c>
      <c r="CH71" s="728">
        <f>((CG71)+(1))</f>
        <v/>
      </c>
      <c r="CI71" s="728">
        <f>((CH71)+(1))</f>
        <v/>
      </c>
      <c r="CJ71" s="728">
        <f>((CI71)+(1))</f>
        <v/>
      </c>
      <c r="CK71" s="728">
        <f>((CJ71)+(1))</f>
        <v/>
      </c>
      <c r="CL71" s="728">
        <f>((CK71)+(1))</f>
        <v/>
      </c>
      <c r="CM71" s="728">
        <f>((CL71)+(1))</f>
        <v/>
      </c>
      <c r="CN71" s="728">
        <f>((CM71)+(1))</f>
        <v/>
      </c>
      <c r="CO71" s="728">
        <f>((CN71)+(1))</f>
        <v/>
      </c>
      <c r="CP71" s="728">
        <f>((CO71)+(1))</f>
        <v/>
      </c>
      <c r="CQ71" s="728">
        <f>((CP71)+(1))</f>
        <v/>
      </c>
      <c r="CR71" s="728" t="inlineStr">
        <is>
          <t>Month 48</t>
        </is>
      </c>
      <c r="CS71" s="1917" t="n"/>
      <c r="CT71" s="728" t="n">
        <v>49</v>
      </c>
      <c r="CU71" s="728">
        <f>((CT71)+(1))</f>
        <v/>
      </c>
      <c r="CV71" s="728">
        <f>((CU71)+(1))</f>
        <v/>
      </c>
      <c r="CW71" s="728">
        <f>((CV71)+(1))</f>
        <v/>
      </c>
      <c r="CX71" s="728">
        <f>((CW71)+(1))</f>
        <v/>
      </c>
      <c r="CY71" s="728">
        <f>((CX71)+(1))</f>
        <v/>
      </c>
      <c r="CZ71" s="728">
        <f>((CY71)+(1))</f>
        <v/>
      </c>
      <c r="DA71" s="728">
        <f>((CZ71)+(1))</f>
        <v/>
      </c>
      <c r="DB71" s="728">
        <f>((DA71)+(1))</f>
        <v/>
      </c>
      <c r="DC71" s="728">
        <f>((DB71)+(1))</f>
        <v/>
      </c>
      <c r="DD71" s="728">
        <f>((DC71)+(1))</f>
        <v/>
      </c>
      <c r="DE71" s="728">
        <f>((DD71)+(1))</f>
        <v/>
      </c>
      <c r="DF71" s="728" t="inlineStr">
        <is>
          <t>Month 60</t>
        </is>
      </c>
    </row>
    <row r="72" ht="3" customHeight="1" s="1883">
      <c r="B72" s="726" t="n"/>
      <c r="C72" s="726" t="n"/>
      <c r="D72" s="734" t="n"/>
      <c r="E72" s="734" t="n"/>
      <c r="F72" s="734" t="n"/>
      <c r="G72" s="734" t="n"/>
      <c r="H72" s="734" t="n"/>
      <c r="I72" s="734" t="n"/>
      <c r="J72" s="734" t="n"/>
      <c r="K72" s="726" t="n"/>
      <c r="L72" s="734" t="n"/>
      <c r="M72" s="735" t="n"/>
      <c r="N72" s="734" t="n"/>
      <c r="O72" s="734" t="n"/>
      <c r="P72" s="734" t="n"/>
      <c r="Q72" s="734" t="n"/>
      <c r="R72" s="726" t="n"/>
      <c r="S72" s="778" t="n"/>
      <c r="T72" s="778" t="n"/>
      <c r="U72" s="778" t="n"/>
      <c r="V72" s="778" t="n"/>
      <c r="W72" s="778" t="n"/>
      <c r="X72" s="778" t="n"/>
      <c r="Y72" s="778" t="n"/>
      <c r="Z72" s="768" t="n"/>
      <c r="AA72" s="702" t="n"/>
      <c r="AB72" s="734" t="n"/>
      <c r="AC72" s="734" t="n"/>
      <c r="AD72" s="734" t="n"/>
      <c r="AE72" s="734" t="n"/>
      <c r="AF72" s="734" t="n"/>
      <c r="AG72" s="734" t="n"/>
      <c r="AH72" s="734" t="n"/>
      <c r="AI72" s="734" t="n"/>
      <c r="AJ72" s="734" t="n"/>
      <c r="AK72" s="734" t="n"/>
      <c r="AL72" s="734" t="n"/>
      <c r="AM72" s="734" t="n"/>
      <c r="AN72" s="734" t="n"/>
      <c r="AO72" s="702" t="n"/>
      <c r="AP72" s="734" t="n"/>
      <c r="AQ72" s="734" t="n"/>
      <c r="AR72" s="734" t="n"/>
      <c r="AS72" s="734" t="n"/>
      <c r="AT72" s="734" t="n"/>
      <c r="AU72" s="734" t="n"/>
      <c r="AV72" s="734" t="n"/>
      <c r="AW72" s="734" t="n"/>
      <c r="AX72" s="734" t="n"/>
      <c r="AY72" s="734" t="n"/>
      <c r="AZ72" s="734" t="n"/>
      <c r="BA72" s="734" t="n"/>
      <c r="BB72" s="734" t="n"/>
      <c r="BC72" s="726" t="n"/>
      <c r="BD72" s="734" t="n"/>
      <c r="BE72" s="734" t="n"/>
      <c r="BF72" s="734" t="n"/>
      <c r="BG72" s="734" t="n"/>
      <c r="BH72" s="734" t="n"/>
      <c r="BI72" s="734" t="n"/>
      <c r="BJ72" s="734" t="n"/>
      <c r="BK72" s="734" t="n"/>
      <c r="BL72" s="734" t="n"/>
      <c r="BM72" s="734" t="n"/>
      <c r="BN72" s="734" t="n"/>
      <c r="BO72" s="734" t="n"/>
      <c r="BP72" s="734" t="n"/>
      <c r="BQ72" s="1917" t="n"/>
      <c r="BR72" s="734" t="n"/>
      <c r="BS72" s="734" t="n"/>
      <c r="BT72" s="734" t="n"/>
      <c r="BU72" s="734" t="n"/>
      <c r="BV72" s="734" t="n"/>
      <c r="BW72" s="734" t="n"/>
      <c r="BX72" s="734" t="n"/>
      <c r="BY72" s="734" t="n"/>
      <c r="BZ72" s="734" t="n"/>
      <c r="CA72" s="734" t="n"/>
      <c r="CB72" s="734" t="n"/>
      <c r="CC72" s="734" t="n"/>
      <c r="CD72" s="734" t="n"/>
      <c r="CE72" s="1917" t="n"/>
      <c r="CF72" s="734" t="n"/>
      <c r="CG72" s="734" t="n"/>
      <c r="CH72" s="734" t="n"/>
      <c r="CI72" s="734" t="n"/>
      <c r="CJ72" s="734" t="n"/>
      <c r="CK72" s="734" t="n"/>
      <c r="CL72" s="734" t="n"/>
      <c r="CM72" s="734" t="n"/>
      <c r="CN72" s="734" t="n"/>
      <c r="CO72" s="734" t="n"/>
      <c r="CP72" s="734" t="n"/>
      <c r="CQ72" s="734" t="n"/>
      <c r="CR72" s="734" t="n"/>
      <c r="CS72" s="1917" t="n"/>
      <c r="CT72" s="734" t="n"/>
      <c r="CU72" s="734" t="n"/>
      <c r="CV72" s="734" t="n"/>
      <c r="CW72" s="734" t="n"/>
      <c r="CX72" s="734" t="n"/>
      <c r="CY72" s="734" t="n"/>
      <c r="CZ72" s="734" t="n"/>
      <c r="DA72" s="734" t="n"/>
      <c r="DB72" s="734" t="n"/>
      <c r="DC72" s="734" t="n"/>
      <c r="DD72" s="734" t="n"/>
      <c r="DE72" s="734" t="n"/>
      <c r="DF72" s="734" t="n"/>
    </row>
    <row r="73" ht="3" customHeight="1" s="1883">
      <c r="B73" s="726" t="n"/>
      <c r="C73" s="726" t="n"/>
      <c r="D73" s="726" t="n"/>
      <c r="E73" s="726" t="n"/>
      <c r="F73" s="726" t="n"/>
      <c r="G73" s="726" t="n"/>
      <c r="H73" s="726" t="n"/>
      <c r="I73" s="726" t="n"/>
      <c r="J73" s="726" t="n"/>
      <c r="K73" s="726" t="n"/>
      <c r="L73" s="726" t="n"/>
      <c r="M73" s="702" t="n"/>
      <c r="N73" s="726" t="n"/>
      <c r="O73" s="726" t="n"/>
      <c r="P73" s="726" t="n"/>
      <c r="Q73" s="726" t="n"/>
      <c r="R73" s="726" t="n"/>
      <c r="S73" s="778" t="n"/>
      <c r="T73" s="778" t="n"/>
      <c r="U73" s="778" t="n"/>
      <c r="V73" s="778" t="n"/>
      <c r="W73" s="778" t="n"/>
      <c r="X73" s="778" t="n"/>
      <c r="Y73" s="778" t="n"/>
      <c r="Z73" s="768" t="n"/>
      <c r="AA73" s="702" t="n"/>
      <c r="AB73" s="726" t="n"/>
      <c r="AC73" s="726" t="n"/>
      <c r="AD73" s="726" t="n"/>
      <c r="AE73" s="726" t="n"/>
      <c r="AF73" s="726" t="n"/>
      <c r="AG73" s="726" t="n"/>
      <c r="AH73" s="726" t="n"/>
      <c r="AI73" s="726" t="n"/>
      <c r="AJ73" s="726" t="n"/>
      <c r="AK73" s="726" t="n"/>
      <c r="AL73" s="726" t="n"/>
      <c r="AM73" s="726" t="n"/>
      <c r="AN73" s="726" t="n"/>
      <c r="AO73" s="702" t="n"/>
      <c r="AP73" s="726" t="n"/>
      <c r="AQ73" s="726" t="n"/>
      <c r="AR73" s="726" t="n"/>
      <c r="AS73" s="726" t="n"/>
      <c r="AT73" s="726" t="n"/>
      <c r="AU73" s="726" t="n"/>
      <c r="AV73" s="726" t="n"/>
      <c r="AW73" s="726" t="n"/>
      <c r="AX73" s="726" t="n"/>
      <c r="AY73" s="726" t="n"/>
      <c r="AZ73" s="726" t="n"/>
      <c r="BA73" s="726" t="n"/>
      <c r="BB73" s="726" t="n"/>
      <c r="BC73" s="726" t="n"/>
      <c r="BD73" s="726" t="n"/>
      <c r="BE73" s="726" t="n"/>
      <c r="BF73" s="726" t="n"/>
      <c r="BG73" s="726" t="n"/>
      <c r="BH73" s="726" t="n"/>
      <c r="BI73" s="726" t="n"/>
      <c r="BJ73" s="726" t="n"/>
      <c r="BK73" s="726" t="n"/>
      <c r="BL73" s="726" t="n"/>
      <c r="BM73" s="726" t="n"/>
      <c r="BN73" s="726" t="n"/>
      <c r="BO73" s="726" t="n"/>
      <c r="BP73" s="726" t="n"/>
      <c r="BQ73" s="1917" t="n"/>
      <c r="BR73" s="726" t="n"/>
      <c r="BS73" s="726" t="n"/>
      <c r="BT73" s="726" t="n"/>
      <c r="BU73" s="726" t="n"/>
      <c r="BV73" s="726" t="n"/>
      <c r="BW73" s="726" t="n"/>
      <c r="BX73" s="726" t="n"/>
      <c r="BY73" s="726" t="n"/>
      <c r="BZ73" s="726" t="n"/>
      <c r="CA73" s="726" t="n"/>
      <c r="CB73" s="726" t="n"/>
      <c r="CC73" s="726" t="n"/>
      <c r="CD73" s="726" t="n"/>
      <c r="CE73" s="1917" t="n"/>
      <c r="CF73" s="726" t="n"/>
      <c r="CG73" s="726" t="n"/>
      <c r="CH73" s="726" t="n"/>
      <c r="CI73" s="726" t="n"/>
      <c r="CJ73" s="726" t="n"/>
      <c r="CK73" s="726" t="n"/>
      <c r="CL73" s="726" t="n"/>
      <c r="CM73" s="726" t="n"/>
      <c r="CN73" s="726" t="n"/>
      <c r="CO73" s="726" t="n"/>
      <c r="CP73" s="726" t="n"/>
      <c r="CQ73" s="726" t="n"/>
      <c r="CR73" s="726" t="n"/>
      <c r="CS73" s="1917" t="n"/>
      <c r="CT73" s="726" t="n"/>
      <c r="CU73" s="726" t="n"/>
      <c r="CV73" s="726" t="n"/>
      <c r="CW73" s="726" t="n"/>
      <c r="CX73" s="726" t="n"/>
      <c r="CY73" s="726" t="n"/>
      <c r="CZ73" s="726" t="n"/>
      <c r="DA73" s="726" t="n"/>
      <c r="DB73" s="726" t="n"/>
      <c r="DC73" s="726" t="n"/>
      <c r="DD73" s="726" t="n"/>
      <c r="DE73" s="726" t="n"/>
      <c r="DF73" s="726" t="n"/>
    </row>
    <row r="74" ht="15" customHeight="1" s="1883">
      <c r="B74" s="726" t="n"/>
      <c r="C74" s="726" t="n"/>
      <c r="D74" s="730" t="inlineStr">
        <is>
          <t>●</t>
        </is>
      </c>
      <c r="E74" s="726" t="inlineStr">
        <is>
          <t>TBD</t>
        </is>
      </c>
      <c r="F74" s="726" t="n"/>
      <c r="G74" s="726" t="n"/>
      <c r="H74" s="726" t="n"/>
      <c r="I74" s="743" t="inlineStr">
        <is>
          <t>Executive Assistants</t>
        </is>
      </c>
      <c r="J74" s="727" t="inlineStr">
        <is>
          <t>CONUS</t>
        </is>
      </c>
      <c r="K74" s="726" t="n"/>
      <c r="L74" s="702">
        <f>5000*12</f>
        <v/>
      </c>
      <c r="M74" s="702" t="n">
        <v>65000</v>
      </c>
      <c r="N74" s="700">
        <f>((M74)*((1)+($N$66)))</f>
        <v/>
      </c>
      <c r="O74" s="700">
        <f>((N74)*((1)+($O$66)))</f>
        <v/>
      </c>
      <c r="P74" s="700">
        <f>((O74)*((1)+($P$66)))</f>
        <v/>
      </c>
      <c r="Q74" s="700">
        <f>((P74)*((1)+($Q$66)))</f>
        <v/>
      </c>
      <c r="R74" s="726" t="n"/>
      <c r="S74" s="778" t="n"/>
      <c r="T74" s="778" t="n"/>
      <c r="U74" s="778" t="n"/>
      <c r="V74" s="778" t="n"/>
      <c r="W74" s="778" t="n"/>
      <c r="X74" s="778" t="n"/>
      <c r="Y74" s="778" t="n"/>
      <c r="Z74" s="768" t="n"/>
      <c r="AA74" s="702" t="n"/>
      <c r="AB74" s="702">
        <f>((($L74)*(AB22))/(12))</f>
        <v/>
      </c>
      <c r="AC74" s="702">
        <f>((($L74)*(AC22))/(12))</f>
        <v/>
      </c>
      <c r="AD74" s="702">
        <f>((($L74)*(AD22))/(12))</f>
        <v/>
      </c>
      <c r="AE74" s="702">
        <f>((($L74)*(AE22))/(12))</f>
        <v/>
      </c>
      <c r="AF74" s="702">
        <f>((($L74)*(AF22))/(12))</f>
        <v/>
      </c>
      <c r="AG74" s="702">
        <f>((($L74)*(AG22))/(12))</f>
        <v/>
      </c>
      <c r="AH74" s="702">
        <f>((($L74)*(AH22))/(12))</f>
        <v/>
      </c>
      <c r="AI74" s="702">
        <f>((($L74)*(AI22))/(12))</f>
        <v/>
      </c>
      <c r="AJ74" s="702">
        <f>((($L74)*(AJ22))/(12))</f>
        <v/>
      </c>
      <c r="AK74" s="702">
        <f>((($L74)*(AK22))/(12))</f>
        <v/>
      </c>
      <c r="AL74" s="702">
        <f>((($L74)*(AL22))/(12))</f>
        <v/>
      </c>
      <c r="AM74" s="702">
        <f>((($L74)*(AM22))/(12))</f>
        <v/>
      </c>
      <c r="AN74" s="765">
        <f>+SUM(AB74:AM74)</f>
        <v/>
      </c>
      <c r="AO74" s="702" t="n"/>
      <c r="AP74" s="702">
        <f>((($M74)*(AP22))/(12))</f>
        <v/>
      </c>
      <c r="AQ74" s="702">
        <f>((($M74)*(AQ22))/(12))</f>
        <v/>
      </c>
      <c r="AR74" s="702">
        <f>((($M74)*(AR22))/(12))</f>
        <v/>
      </c>
      <c r="AS74" s="702">
        <f>((($M74)*(AS22))/(12))</f>
        <v/>
      </c>
      <c r="AT74" s="702">
        <f>((($M74)*(AT22))/(12))</f>
        <v/>
      </c>
      <c r="AU74" s="702">
        <f>((($M74)*(AU22))/(12))</f>
        <v/>
      </c>
      <c r="AV74" s="702">
        <f>((($M74)*(AV22))/(12))</f>
        <v/>
      </c>
      <c r="AW74" s="702">
        <f>((($M74)*(AW22))/(12))</f>
        <v/>
      </c>
      <c r="AX74" s="702">
        <f>((($M74)*(AX22))/(12))</f>
        <v/>
      </c>
      <c r="AY74" s="702">
        <f>((($M74)*(AY22))/(12))</f>
        <v/>
      </c>
      <c r="AZ74" s="702">
        <f>((($M74)*(AZ22))/(12))</f>
        <v/>
      </c>
      <c r="BA74" s="702">
        <f>((($M74)*(BA22))/(12))</f>
        <v/>
      </c>
      <c r="BB74" s="765">
        <f>SUM(AP74:BA74)</f>
        <v/>
      </c>
      <c r="BC74" s="702" t="n"/>
      <c r="BD74" s="702">
        <f>((($N74)*(BD22))/(12))</f>
        <v/>
      </c>
      <c r="BE74" s="702">
        <f>((($N74)*(BE22))/(12))</f>
        <v/>
      </c>
      <c r="BF74" s="702">
        <f>((($N74)*(BF22))/(12))</f>
        <v/>
      </c>
      <c r="BG74" s="702">
        <f>((($N74)*(BG22))/(12))</f>
        <v/>
      </c>
      <c r="BH74" s="702">
        <f>((($N74)*(BH22))/(12))</f>
        <v/>
      </c>
      <c r="BI74" s="702">
        <f>((($N74)*(BI22))/(12))</f>
        <v/>
      </c>
      <c r="BJ74" s="702">
        <f>((($N74)*(BJ22))/(12))</f>
        <v/>
      </c>
      <c r="BK74" s="702">
        <f>((($N74)*(BK22))/(12))</f>
        <v/>
      </c>
      <c r="BL74" s="702">
        <f>((($N74)*(BL22))/(12))</f>
        <v/>
      </c>
      <c r="BM74" s="702">
        <f>((($N74)*(BM22))/(12))</f>
        <v/>
      </c>
      <c r="BN74" s="702">
        <f>((($N74)*(BN22))/(12))</f>
        <v/>
      </c>
      <c r="BO74" s="702">
        <f>((($N74)*(BO22))/(12))</f>
        <v/>
      </c>
      <c r="BP74" s="765">
        <f>SUM(BD74:BO74)</f>
        <v/>
      </c>
      <c r="BQ74" s="713" t="n"/>
      <c r="BR74" s="702">
        <f>((($O74)*(BR22))/(12))</f>
        <v/>
      </c>
      <c r="BS74" s="702">
        <f>((($O74)*(BS22))/(12))</f>
        <v/>
      </c>
      <c r="BT74" s="702">
        <f>((($O74)*(BT22))/(12))</f>
        <v/>
      </c>
      <c r="BU74" s="702">
        <f>((($O74)*(BU22))/(12))</f>
        <v/>
      </c>
      <c r="BV74" s="702">
        <f>((($O74)*(BV22))/(12))</f>
        <v/>
      </c>
      <c r="BW74" s="702">
        <f>((($O74)*(BW22))/(12))</f>
        <v/>
      </c>
      <c r="BX74" s="702">
        <f>((($O74)*(BX22))/(12))</f>
        <v/>
      </c>
      <c r="BY74" s="702">
        <f>((($O74)*(BY22))/(12))</f>
        <v/>
      </c>
      <c r="BZ74" s="702">
        <f>((($O74)*(BZ22))/(12))</f>
        <v/>
      </c>
      <c r="CA74" s="702">
        <f>((($O74)*(CA22))/(12))</f>
        <v/>
      </c>
      <c r="CB74" s="702">
        <f>((($O74)*(CB22))/(12))</f>
        <v/>
      </c>
      <c r="CC74" s="702">
        <f>((($O74)*(CC22))/(12))</f>
        <v/>
      </c>
      <c r="CD74" s="765">
        <f>SUM(BR74:CC74)</f>
        <v/>
      </c>
      <c r="CE74" s="713" t="n"/>
      <c r="CF74" s="702">
        <f>((($P74)*(CF22))/(12))</f>
        <v/>
      </c>
      <c r="CG74" s="702">
        <f>((($P74)*(CG22))/(12))</f>
        <v/>
      </c>
      <c r="CH74" s="702">
        <f>((($P74)*(CH22))/(12))</f>
        <v/>
      </c>
      <c r="CI74" s="702">
        <f>((($P74)*(CI22))/(12))</f>
        <v/>
      </c>
      <c r="CJ74" s="702">
        <f>((($P74)*(CJ22))/(12))</f>
        <v/>
      </c>
      <c r="CK74" s="702">
        <f>((($P74)*(CK22))/(12))</f>
        <v/>
      </c>
      <c r="CL74" s="702">
        <f>((($P74)*(CL22))/(12))</f>
        <v/>
      </c>
      <c r="CM74" s="702">
        <f>((($P74)*(CM22))/(12))</f>
        <v/>
      </c>
      <c r="CN74" s="702">
        <f>((($P74)*(CN22))/(12))</f>
        <v/>
      </c>
      <c r="CO74" s="702">
        <f>((($P74)*(CO22))/(12))</f>
        <v/>
      </c>
      <c r="CP74" s="702">
        <f>((($P74)*(CP22))/(12))</f>
        <v/>
      </c>
      <c r="CQ74" s="702">
        <f>((($P74)*(CQ22))/(12))</f>
        <v/>
      </c>
      <c r="CR74" s="765">
        <f>SUM(CF74:CQ74)</f>
        <v/>
      </c>
      <c r="CS74" s="1917" t="n"/>
      <c r="CT74" s="702">
        <f>((($Q74)*(CT22))/(12))</f>
        <v/>
      </c>
      <c r="CU74" s="702">
        <f>((($Q74)*(CU22))/(12))</f>
        <v/>
      </c>
      <c r="CV74" s="702">
        <f>((($Q74)*(CV22))/(12))</f>
        <v/>
      </c>
      <c r="CW74" s="702">
        <f>((($Q74)*(CW22))/(12))</f>
        <v/>
      </c>
      <c r="CX74" s="702">
        <f>((($Q74)*(CX22))/(12))</f>
        <v/>
      </c>
      <c r="CY74" s="702">
        <f>((($Q74)*(CY22))/(12))</f>
        <v/>
      </c>
      <c r="CZ74" s="702">
        <f>((($Q74)*(CZ22))/(12))</f>
        <v/>
      </c>
      <c r="DA74" s="702">
        <f>((($Q74)*(DA22))/(12))</f>
        <v/>
      </c>
      <c r="DB74" s="702">
        <f>((($Q74)*(DB22))/(12))</f>
        <v/>
      </c>
      <c r="DC74" s="702">
        <f>((($Q74)*(DC22))/(12))</f>
        <v/>
      </c>
      <c r="DD74" s="702">
        <f>((($Q74)*(DD22))/(12))</f>
        <v/>
      </c>
      <c r="DE74" s="702">
        <f>((($Q74)*(DE22))/(12))</f>
        <v/>
      </c>
      <c r="DF74" s="765">
        <f>SUM(CT74:DE74)</f>
        <v/>
      </c>
    </row>
    <row r="75" ht="15" customHeight="1" s="1883">
      <c r="B75" s="726" t="n"/>
      <c r="C75" s="726" t="n"/>
      <c r="D75" s="730" t="n"/>
      <c r="E75" s="726" t="n"/>
      <c r="F75" s="726" t="n"/>
      <c r="G75" s="726" t="n"/>
      <c r="H75" s="726" t="n"/>
      <c r="I75" s="743" t="n"/>
      <c r="J75" s="774" t="inlineStr">
        <is>
          <t>OCONUS</t>
        </is>
      </c>
      <c r="K75" s="726" t="n"/>
      <c r="L75" s="702" t="n">
        <v>35000</v>
      </c>
      <c r="M75" s="702" t="n">
        <v>35000</v>
      </c>
      <c r="N75" s="700">
        <f>((M75)*((1)+($N$66)))</f>
        <v/>
      </c>
      <c r="O75" s="700">
        <f>((N75)*((1)+($O$66)))</f>
        <v/>
      </c>
      <c r="P75" s="700">
        <f>((O75)*((1)+($P$66)))</f>
        <v/>
      </c>
      <c r="Q75" s="700">
        <f>((P75)*((1)+($Q$66)))</f>
        <v/>
      </c>
      <c r="R75" s="726" t="n"/>
      <c r="S75" s="778" t="n"/>
      <c r="T75" s="778" t="n"/>
      <c r="U75" s="778" t="n"/>
      <c r="V75" s="778" t="n"/>
      <c r="W75" s="778" t="n"/>
      <c r="X75" s="778" t="n"/>
      <c r="Y75" s="778" t="n"/>
      <c r="Z75" s="768" t="n"/>
      <c r="AA75" s="702" t="n"/>
      <c r="AB75" s="702">
        <f>((($L75)*(AB23))/(12))</f>
        <v/>
      </c>
      <c r="AC75" s="702">
        <f>((($L75)*(AC23))/(12))</f>
        <v/>
      </c>
      <c r="AD75" s="702">
        <f>((($L75)*(AD23))/(12))</f>
        <v/>
      </c>
      <c r="AE75" s="702">
        <f>((($L75)*(AE23))/(12))</f>
        <v/>
      </c>
      <c r="AF75" s="702">
        <f>((($L75)*(AF23))/(12))</f>
        <v/>
      </c>
      <c r="AG75" s="702">
        <f>((($L75)*(AG23))/(12))</f>
        <v/>
      </c>
      <c r="AH75" s="702">
        <f>((($L75)*(AH23))/(12))</f>
        <v/>
      </c>
      <c r="AI75" s="702">
        <f>((($L75)*(AI23))/(12))</f>
        <v/>
      </c>
      <c r="AJ75" s="702">
        <f>((($L75)*(AJ23))/(12))</f>
        <v/>
      </c>
      <c r="AK75" s="702">
        <f>((($L75)*(AK23))/(12))</f>
        <v/>
      </c>
      <c r="AL75" s="702">
        <f>((($L75)*(AL23))/(12))</f>
        <v/>
      </c>
      <c r="AM75" s="702">
        <f>((($L75)*(AM23))/(12))</f>
        <v/>
      </c>
      <c r="AN75" s="765">
        <f>+SUM(AB75:AM75)</f>
        <v/>
      </c>
      <c r="AO75" s="702" t="n"/>
      <c r="AP75" s="702">
        <f>((($M75)*(AP23))/(12))</f>
        <v/>
      </c>
      <c r="AQ75" s="702">
        <f>((($M75)*(AQ23))/(12))</f>
        <v/>
      </c>
      <c r="AR75" s="702">
        <f>((($M75)*(AR23))/(12))</f>
        <v/>
      </c>
      <c r="AS75" s="702">
        <f>((($M75)*(AS23))/(12))</f>
        <v/>
      </c>
      <c r="AT75" s="702">
        <f>((($M75)*(AT23))/(12))</f>
        <v/>
      </c>
      <c r="AU75" s="702">
        <f>((($M75)*(AU23))/(12))</f>
        <v/>
      </c>
      <c r="AV75" s="702">
        <f>((($M75)*(AV23))/(12))</f>
        <v/>
      </c>
      <c r="AW75" s="702">
        <f>((($M75)*(AW23))/(12))</f>
        <v/>
      </c>
      <c r="AX75" s="702">
        <f>((($M75)*(AX23))/(12))</f>
        <v/>
      </c>
      <c r="AY75" s="702">
        <f>((($M75)*(AY23))/(12))</f>
        <v/>
      </c>
      <c r="AZ75" s="702">
        <f>((($M75)*(AZ23))/(12))</f>
        <v/>
      </c>
      <c r="BA75" s="702">
        <f>((($M75)*(BA23))/(12))</f>
        <v/>
      </c>
      <c r="BB75" s="765">
        <f>SUM(AP75:BA75)</f>
        <v/>
      </c>
      <c r="BC75" s="702" t="n"/>
      <c r="BD75" s="702">
        <f>((($N75)*(BD23))/(12))</f>
        <v/>
      </c>
      <c r="BE75" s="702">
        <f>((($N75)*(BE23))/(12))</f>
        <v/>
      </c>
      <c r="BF75" s="702">
        <f>((($N75)*(BF23))/(12))</f>
        <v/>
      </c>
      <c r="BG75" s="702">
        <f>((($N75)*(BG23))/(12))</f>
        <v/>
      </c>
      <c r="BH75" s="702">
        <f>((($N75)*(BH23))/(12))</f>
        <v/>
      </c>
      <c r="BI75" s="702">
        <f>((($N75)*(BI23))/(12))</f>
        <v/>
      </c>
      <c r="BJ75" s="702">
        <f>((($N75)*(BJ23))/(12))</f>
        <v/>
      </c>
      <c r="BK75" s="702">
        <f>((($N75)*(BK23))/(12))</f>
        <v/>
      </c>
      <c r="BL75" s="702">
        <f>((($N75)*(BL23))/(12))</f>
        <v/>
      </c>
      <c r="BM75" s="702">
        <f>((($N75)*(BM23))/(12))</f>
        <v/>
      </c>
      <c r="BN75" s="702">
        <f>((($N75)*(BN23))/(12))</f>
        <v/>
      </c>
      <c r="BO75" s="702">
        <f>((($N75)*(BO23))/(12))</f>
        <v/>
      </c>
      <c r="BP75" s="765">
        <f>SUM(BD75:BO75)</f>
        <v/>
      </c>
      <c r="BQ75" s="713" t="n"/>
      <c r="BR75" s="702">
        <f>((($O75)*(BR23))/(12))</f>
        <v/>
      </c>
      <c r="BS75" s="702">
        <f>((($O75)*(BS23))/(12))</f>
        <v/>
      </c>
      <c r="BT75" s="702">
        <f>((($O75)*(BT23))/(12))</f>
        <v/>
      </c>
      <c r="BU75" s="702">
        <f>((($O75)*(BU23))/(12))</f>
        <v/>
      </c>
      <c r="BV75" s="702">
        <f>((($O75)*(BV23))/(12))</f>
        <v/>
      </c>
      <c r="BW75" s="702">
        <f>((($O75)*(BW23))/(12))</f>
        <v/>
      </c>
      <c r="BX75" s="702">
        <f>((($O75)*(BX23))/(12))</f>
        <v/>
      </c>
      <c r="BY75" s="702">
        <f>((($O75)*(BY23))/(12))</f>
        <v/>
      </c>
      <c r="BZ75" s="702">
        <f>((($O75)*(BZ23))/(12))</f>
        <v/>
      </c>
      <c r="CA75" s="702">
        <f>((($O75)*(CA23))/(12))</f>
        <v/>
      </c>
      <c r="CB75" s="702">
        <f>((($O75)*(CB23))/(12))</f>
        <v/>
      </c>
      <c r="CC75" s="702">
        <f>((($O75)*(CC23))/(12))</f>
        <v/>
      </c>
      <c r="CD75" s="765">
        <f>SUM(BR75:CC75)</f>
        <v/>
      </c>
      <c r="CE75" s="713" t="n"/>
      <c r="CF75" s="702">
        <f>((($P75)*(CF23))/(12))</f>
        <v/>
      </c>
      <c r="CG75" s="702">
        <f>((($P75)*(CG23))/(12))</f>
        <v/>
      </c>
      <c r="CH75" s="702">
        <f>((($P75)*(CH23))/(12))</f>
        <v/>
      </c>
      <c r="CI75" s="702">
        <f>((($P75)*(CI23))/(12))</f>
        <v/>
      </c>
      <c r="CJ75" s="702">
        <f>((($P75)*(CJ23))/(12))</f>
        <v/>
      </c>
      <c r="CK75" s="702">
        <f>((($P75)*(CK23))/(12))</f>
        <v/>
      </c>
      <c r="CL75" s="702">
        <f>((($P75)*(CL23))/(12))</f>
        <v/>
      </c>
      <c r="CM75" s="702">
        <f>((($P75)*(CM23))/(12))</f>
        <v/>
      </c>
      <c r="CN75" s="702">
        <f>((($P75)*(CN23))/(12))</f>
        <v/>
      </c>
      <c r="CO75" s="702">
        <f>((($P75)*(CO23))/(12))</f>
        <v/>
      </c>
      <c r="CP75" s="702">
        <f>((($P75)*(CP23))/(12))</f>
        <v/>
      </c>
      <c r="CQ75" s="702">
        <f>((($P75)*(CQ23))/(12))</f>
        <v/>
      </c>
      <c r="CR75" s="765">
        <f>SUM(CF75:CQ75)</f>
        <v/>
      </c>
      <c r="CS75" s="1917" t="n"/>
      <c r="CT75" s="702">
        <f>((($Q75)*(CT23))/(12))</f>
        <v/>
      </c>
      <c r="CU75" s="702">
        <f>((($Q75)*(CU23))/(12))</f>
        <v/>
      </c>
      <c r="CV75" s="702">
        <f>((($Q75)*(CV23))/(12))</f>
        <v/>
      </c>
      <c r="CW75" s="702">
        <f>((($Q75)*(CW23))/(12))</f>
        <v/>
      </c>
      <c r="CX75" s="702">
        <f>((($Q75)*(CX23))/(12))</f>
        <v/>
      </c>
      <c r="CY75" s="702">
        <f>((($Q75)*(CY23))/(12))</f>
        <v/>
      </c>
      <c r="CZ75" s="702">
        <f>((($Q75)*(CZ23))/(12))</f>
        <v/>
      </c>
      <c r="DA75" s="702">
        <f>((($Q75)*(DA23))/(12))</f>
        <v/>
      </c>
      <c r="DB75" s="702">
        <f>((($Q75)*(DB23))/(12))</f>
        <v/>
      </c>
      <c r="DC75" s="702">
        <f>((($Q75)*(DC23))/(12))</f>
        <v/>
      </c>
      <c r="DD75" s="702">
        <f>((($Q75)*(DD23))/(12))</f>
        <v/>
      </c>
      <c r="DE75" s="702">
        <f>((($Q75)*(DE23))/(12))</f>
        <v/>
      </c>
      <c r="DF75" s="765">
        <f>SUM(CT75:DE75)</f>
        <v/>
      </c>
    </row>
    <row r="76" ht="15" customHeight="1" s="1883">
      <c r="B76" s="726" t="n"/>
      <c r="C76" s="726" t="n"/>
      <c r="D76" s="730" t="inlineStr">
        <is>
          <t>●</t>
        </is>
      </c>
      <c r="E76" s="726" t="inlineStr">
        <is>
          <t>TBD</t>
        </is>
      </c>
      <c r="F76" s="726" t="n"/>
      <c r="G76" s="726" t="n"/>
      <c r="H76" s="726" t="n"/>
      <c r="I76" s="743" t="inlineStr">
        <is>
          <t>Admin &amp; Office Managers</t>
        </is>
      </c>
      <c r="J76" s="727" t="inlineStr">
        <is>
          <t>CONUS</t>
        </is>
      </c>
      <c r="K76" s="726" t="n"/>
      <c r="L76" s="702">
        <f>5000*12</f>
        <v/>
      </c>
      <c r="M76" s="702" t="n">
        <v>55000</v>
      </c>
      <c r="N76" s="700">
        <f>((M76)*((1)+($N$66)))</f>
        <v/>
      </c>
      <c r="O76" s="700">
        <f>((N76)*((1)+($O$66)))</f>
        <v/>
      </c>
      <c r="P76" s="700">
        <f>((O76)*((1)+($P$66)))</f>
        <v/>
      </c>
      <c r="Q76" s="700">
        <f>((P76)*((1)+($Q$66)))</f>
        <v/>
      </c>
      <c r="R76" s="726" t="n"/>
      <c r="S76" s="778" t="n"/>
      <c r="T76" s="778" t="n"/>
      <c r="U76" s="778" t="n"/>
      <c r="V76" s="778" t="n"/>
      <c r="W76" s="778" t="n"/>
      <c r="X76" s="778" t="n"/>
      <c r="Y76" s="778" t="n"/>
      <c r="Z76" s="768" t="n"/>
      <c r="AA76" s="702" t="n"/>
      <c r="AB76" s="702">
        <f>((($L76)*(AB24))/(12))</f>
        <v/>
      </c>
      <c r="AC76" s="702">
        <f>((($L76)*(AC24))/(12))</f>
        <v/>
      </c>
      <c r="AD76" s="702">
        <f>((($L76)*(AD24))/(12))</f>
        <v/>
      </c>
      <c r="AE76" s="702">
        <f>((($L76)*(AE24))/(12))</f>
        <v/>
      </c>
      <c r="AF76" s="702">
        <f>((($L76)*(AF24))/(12))</f>
        <v/>
      </c>
      <c r="AG76" s="702">
        <f>((($L76)*(AG24))/(12))</f>
        <v/>
      </c>
      <c r="AH76" s="702">
        <f>((($L76)*(AH24))/(12))</f>
        <v/>
      </c>
      <c r="AI76" s="702">
        <f>((($L76)*(AI24))/(12))</f>
        <v/>
      </c>
      <c r="AJ76" s="702">
        <f>((($L76)*(AJ24))/(12))</f>
        <v/>
      </c>
      <c r="AK76" s="702">
        <f>((($L76)*(AK24))/(12))</f>
        <v/>
      </c>
      <c r="AL76" s="702">
        <f>((($L76)*(AL24))/(12))</f>
        <v/>
      </c>
      <c r="AM76" s="702">
        <f>((($L76)*(AM24))/(12))</f>
        <v/>
      </c>
      <c r="AN76" s="765">
        <f>+SUM(AB76:AM76)</f>
        <v/>
      </c>
      <c r="AO76" s="702" t="n"/>
      <c r="AP76" s="702">
        <f>((($M76)*(AP24))/(12))</f>
        <v/>
      </c>
      <c r="AQ76" s="702">
        <f>((($M76)*(AQ24))/(12))</f>
        <v/>
      </c>
      <c r="AR76" s="702">
        <f>((($M76)*(AR24))/(12))</f>
        <v/>
      </c>
      <c r="AS76" s="702">
        <f>((($M76)*(AS24))/(12))</f>
        <v/>
      </c>
      <c r="AT76" s="702">
        <f>((($M76)*(AT24))/(12))</f>
        <v/>
      </c>
      <c r="AU76" s="702">
        <f>((($M76)*(AU24))/(12))</f>
        <v/>
      </c>
      <c r="AV76" s="702">
        <f>((($M76)*(AV24))/(12))</f>
        <v/>
      </c>
      <c r="AW76" s="702">
        <f>((($M76)*(AW24))/(12))</f>
        <v/>
      </c>
      <c r="AX76" s="702">
        <f>((($M76)*(AX24))/(12))</f>
        <v/>
      </c>
      <c r="AY76" s="702">
        <f>((($M76)*(AY24))/(12))</f>
        <v/>
      </c>
      <c r="AZ76" s="702">
        <f>((($M76)*(AZ24))/(12))</f>
        <v/>
      </c>
      <c r="BA76" s="702">
        <f>((($M76)*(BA24))/(12))</f>
        <v/>
      </c>
      <c r="BB76" s="765">
        <f>SUM(AP76:BA76)</f>
        <v/>
      </c>
      <c r="BC76" s="702" t="n"/>
      <c r="BD76" s="702">
        <f>((($N76)*(BD24))/(12))</f>
        <v/>
      </c>
      <c r="BE76" s="702">
        <f>((($N76)*(BE24))/(12))</f>
        <v/>
      </c>
      <c r="BF76" s="702">
        <f>((($N76)*(BF24))/(12))</f>
        <v/>
      </c>
      <c r="BG76" s="702">
        <f>((($N76)*(BG24))/(12))</f>
        <v/>
      </c>
      <c r="BH76" s="702">
        <f>((($N76)*(BH24))/(12))</f>
        <v/>
      </c>
      <c r="BI76" s="702">
        <f>((($N76)*(BI24))/(12))</f>
        <v/>
      </c>
      <c r="BJ76" s="702">
        <f>((($N76)*(BJ24))/(12))</f>
        <v/>
      </c>
      <c r="BK76" s="702">
        <f>((($N76)*(BK24))/(12))</f>
        <v/>
      </c>
      <c r="BL76" s="702">
        <f>((($N76)*(BL24))/(12))</f>
        <v/>
      </c>
      <c r="BM76" s="702">
        <f>((($N76)*(BM24))/(12))</f>
        <v/>
      </c>
      <c r="BN76" s="702">
        <f>((($N76)*(BN24))/(12))</f>
        <v/>
      </c>
      <c r="BO76" s="702">
        <f>((($N76)*(BO24))/(12))</f>
        <v/>
      </c>
      <c r="BP76" s="765">
        <f>SUM(BD76:BO76)</f>
        <v/>
      </c>
      <c r="BQ76" s="713" t="n"/>
      <c r="BR76" s="702">
        <f>((($O76)*(BR24))/(12))</f>
        <v/>
      </c>
      <c r="BS76" s="702">
        <f>((($O76)*(BS24))/(12))</f>
        <v/>
      </c>
      <c r="BT76" s="702">
        <f>((($O76)*(BT24))/(12))</f>
        <v/>
      </c>
      <c r="BU76" s="702">
        <f>((($O76)*(BU24))/(12))</f>
        <v/>
      </c>
      <c r="BV76" s="702">
        <f>((($O76)*(BV24))/(12))</f>
        <v/>
      </c>
      <c r="BW76" s="702">
        <f>((($O76)*(BW24))/(12))</f>
        <v/>
      </c>
      <c r="BX76" s="702">
        <f>((($O76)*(BX24))/(12))</f>
        <v/>
      </c>
      <c r="BY76" s="702">
        <f>((($O76)*(BY24))/(12))</f>
        <v/>
      </c>
      <c r="BZ76" s="702">
        <f>((($O76)*(BZ24))/(12))</f>
        <v/>
      </c>
      <c r="CA76" s="702">
        <f>((($O76)*(CA24))/(12))</f>
        <v/>
      </c>
      <c r="CB76" s="702">
        <f>((($O76)*(CB24))/(12))</f>
        <v/>
      </c>
      <c r="CC76" s="702">
        <f>((($O76)*(CC24))/(12))</f>
        <v/>
      </c>
      <c r="CD76" s="765">
        <f>SUM(BR76:CC76)</f>
        <v/>
      </c>
      <c r="CE76" s="713" t="n"/>
      <c r="CF76" s="702">
        <f>((($P76)*(CF24))/(12))</f>
        <v/>
      </c>
      <c r="CG76" s="702">
        <f>((($P76)*(CG24))/(12))</f>
        <v/>
      </c>
      <c r="CH76" s="702">
        <f>((($P76)*(CH24))/(12))</f>
        <v/>
      </c>
      <c r="CI76" s="702">
        <f>((($P76)*(CI24))/(12))</f>
        <v/>
      </c>
      <c r="CJ76" s="702">
        <f>((($P76)*(CJ24))/(12))</f>
        <v/>
      </c>
      <c r="CK76" s="702">
        <f>((($P76)*(CK24))/(12))</f>
        <v/>
      </c>
      <c r="CL76" s="702">
        <f>((($P76)*(CL24))/(12))</f>
        <v/>
      </c>
      <c r="CM76" s="702">
        <f>((($P76)*(CM24))/(12))</f>
        <v/>
      </c>
      <c r="CN76" s="702">
        <f>((($P76)*(CN24))/(12))</f>
        <v/>
      </c>
      <c r="CO76" s="702">
        <f>((($P76)*(CO24))/(12))</f>
        <v/>
      </c>
      <c r="CP76" s="702">
        <f>((($P76)*(CP24))/(12))</f>
        <v/>
      </c>
      <c r="CQ76" s="702">
        <f>((($P76)*(CQ24))/(12))</f>
        <v/>
      </c>
      <c r="CR76" s="765">
        <f>SUM(CF76:CQ76)</f>
        <v/>
      </c>
      <c r="CS76" s="1917" t="n"/>
      <c r="CT76" s="702">
        <f>((($Q76)*(CT24))/(12))</f>
        <v/>
      </c>
      <c r="CU76" s="702">
        <f>((($Q76)*(CU24))/(12))</f>
        <v/>
      </c>
      <c r="CV76" s="702">
        <f>((($Q76)*(CV24))/(12))</f>
        <v/>
      </c>
      <c r="CW76" s="702">
        <f>((($Q76)*(CW24))/(12))</f>
        <v/>
      </c>
      <c r="CX76" s="702">
        <f>((($Q76)*(CX24))/(12))</f>
        <v/>
      </c>
      <c r="CY76" s="702">
        <f>((($Q76)*(CY24))/(12))</f>
        <v/>
      </c>
      <c r="CZ76" s="702">
        <f>((($Q76)*(CZ24))/(12))</f>
        <v/>
      </c>
      <c r="DA76" s="702">
        <f>((($Q76)*(DA24))/(12))</f>
        <v/>
      </c>
      <c r="DB76" s="702">
        <f>((($Q76)*(DB24))/(12))</f>
        <v/>
      </c>
      <c r="DC76" s="702">
        <f>((($Q76)*(DC24))/(12))</f>
        <v/>
      </c>
      <c r="DD76" s="702">
        <f>((($Q76)*(DD24))/(12))</f>
        <v/>
      </c>
      <c r="DE76" s="702">
        <f>((($Q76)*(DE24))/(12))</f>
        <v/>
      </c>
      <c r="DF76" s="765">
        <f>SUM(CT76:DE76)</f>
        <v/>
      </c>
    </row>
    <row r="77" ht="15" customHeight="1" s="1883">
      <c r="B77" s="726" t="n"/>
      <c r="C77" s="726" t="n"/>
      <c r="D77" s="730" t="n"/>
      <c r="E77" s="726" t="n"/>
      <c r="F77" s="726" t="n"/>
      <c r="G77" s="726" t="n"/>
      <c r="H77" s="726" t="n"/>
      <c r="I77" s="743" t="n"/>
      <c r="J77" s="774" t="inlineStr">
        <is>
          <t>OCONUS</t>
        </is>
      </c>
      <c r="K77" s="726" t="n"/>
      <c r="L77" s="702" t="n">
        <v>25000</v>
      </c>
      <c r="M77" s="702" t="n">
        <v>25000</v>
      </c>
      <c r="N77" s="700">
        <f>((M77)*((1)+($N$66)))</f>
        <v/>
      </c>
      <c r="O77" s="700">
        <f>((N77)*((1)+($O$66)))</f>
        <v/>
      </c>
      <c r="P77" s="700">
        <f>((O77)*((1)+($P$66)))</f>
        <v/>
      </c>
      <c r="Q77" s="700">
        <f>((P77)*((1)+($Q$66)))</f>
        <v/>
      </c>
      <c r="R77" s="726" t="n"/>
      <c r="S77" s="778" t="n"/>
      <c r="T77" s="778" t="n"/>
      <c r="U77" s="778" t="n"/>
      <c r="V77" s="778" t="n"/>
      <c r="W77" s="778" t="n"/>
      <c r="X77" s="778" t="n"/>
      <c r="Y77" s="778" t="n"/>
      <c r="Z77" s="768" t="n"/>
      <c r="AA77" s="702" t="n"/>
      <c r="AB77" s="702">
        <f>((($L77)*(AB25))/(12))</f>
        <v/>
      </c>
      <c r="AC77" s="702">
        <f>((($L77)*(AC25))/(12))</f>
        <v/>
      </c>
      <c r="AD77" s="702">
        <f>((($L77)*(AD25))/(12))</f>
        <v/>
      </c>
      <c r="AE77" s="702">
        <f>((($L77)*(AE25))/(12))</f>
        <v/>
      </c>
      <c r="AF77" s="702">
        <f>((($L77)*(AF25))/(12))</f>
        <v/>
      </c>
      <c r="AG77" s="702">
        <f>((($L77)*(AG25))/(12))</f>
        <v/>
      </c>
      <c r="AH77" s="702">
        <f>((($L77)*(AH25))/(12))</f>
        <v/>
      </c>
      <c r="AI77" s="702">
        <f>((($L77)*(AI25))/(12))</f>
        <v/>
      </c>
      <c r="AJ77" s="702">
        <f>((($L77)*(AJ25))/(12))</f>
        <v/>
      </c>
      <c r="AK77" s="702">
        <f>((($L77)*(AK25))/(12))</f>
        <v/>
      </c>
      <c r="AL77" s="702">
        <f>((($L77)*(AL25))/(12))</f>
        <v/>
      </c>
      <c r="AM77" s="702">
        <f>((($L77)*(AM25))/(12))</f>
        <v/>
      </c>
      <c r="AN77" s="765">
        <f>+SUM(AB77:AM77)</f>
        <v/>
      </c>
      <c r="AO77" s="702" t="n"/>
      <c r="AP77" s="702">
        <f>((($M77)*(AP25))/(12))</f>
        <v/>
      </c>
      <c r="AQ77" s="702">
        <f>((($M77)*(AQ25))/(12))</f>
        <v/>
      </c>
      <c r="AR77" s="702">
        <f>((($M77)*(AR25))/(12))</f>
        <v/>
      </c>
      <c r="AS77" s="702">
        <f>((($M77)*(AS25))/(12))</f>
        <v/>
      </c>
      <c r="AT77" s="702">
        <f>((($M77)*(AT25))/(12))</f>
        <v/>
      </c>
      <c r="AU77" s="702">
        <f>((($M77)*(AU25))/(12))</f>
        <v/>
      </c>
      <c r="AV77" s="702">
        <f>((($M77)*(AV25))/(12))</f>
        <v/>
      </c>
      <c r="AW77" s="702">
        <f>((($M77)*(AW25))/(12))</f>
        <v/>
      </c>
      <c r="AX77" s="702">
        <f>((($M77)*(AX25))/(12))</f>
        <v/>
      </c>
      <c r="AY77" s="702">
        <f>((($M77)*(AY25))/(12))</f>
        <v/>
      </c>
      <c r="AZ77" s="702">
        <f>((($M77)*(AZ25))/(12))</f>
        <v/>
      </c>
      <c r="BA77" s="702">
        <f>((($M77)*(BA25))/(12))</f>
        <v/>
      </c>
      <c r="BB77" s="765">
        <f>SUM(AP77:BA77)</f>
        <v/>
      </c>
      <c r="BC77" s="702" t="n"/>
      <c r="BD77" s="702">
        <f>((($N77)*(BD25))/(12))</f>
        <v/>
      </c>
      <c r="BE77" s="702">
        <f>((($N77)*(BE25))/(12))</f>
        <v/>
      </c>
      <c r="BF77" s="702">
        <f>((($N77)*(BF25))/(12))</f>
        <v/>
      </c>
      <c r="BG77" s="702">
        <f>((($N77)*(BG25))/(12))</f>
        <v/>
      </c>
      <c r="BH77" s="702">
        <f>((($N77)*(BH25))/(12))</f>
        <v/>
      </c>
      <c r="BI77" s="702">
        <f>((($N77)*(BI25))/(12))</f>
        <v/>
      </c>
      <c r="BJ77" s="702">
        <f>((($N77)*(BJ25))/(12))</f>
        <v/>
      </c>
      <c r="BK77" s="702">
        <f>((($N77)*(BK25))/(12))</f>
        <v/>
      </c>
      <c r="BL77" s="702">
        <f>((($N77)*(BL25))/(12))</f>
        <v/>
      </c>
      <c r="BM77" s="702">
        <f>((($N77)*(BM25))/(12))</f>
        <v/>
      </c>
      <c r="BN77" s="702">
        <f>((($N77)*(BN25))/(12))</f>
        <v/>
      </c>
      <c r="BO77" s="702">
        <f>((($N77)*(BO25))/(12))</f>
        <v/>
      </c>
      <c r="BP77" s="765">
        <f>SUM(BD77:BO77)</f>
        <v/>
      </c>
      <c r="BQ77" s="713" t="n"/>
      <c r="BR77" s="702">
        <f>((($O77)*(BR25))/(12))</f>
        <v/>
      </c>
      <c r="BS77" s="702">
        <f>((($O77)*(BS25))/(12))</f>
        <v/>
      </c>
      <c r="BT77" s="702">
        <f>((($O77)*(BT25))/(12))</f>
        <v/>
      </c>
      <c r="BU77" s="702">
        <f>((($O77)*(BU25))/(12))</f>
        <v/>
      </c>
      <c r="BV77" s="702">
        <f>((($O77)*(BV25))/(12))</f>
        <v/>
      </c>
      <c r="BW77" s="702">
        <f>((($O77)*(BW25))/(12))</f>
        <v/>
      </c>
      <c r="BX77" s="702">
        <f>((($O77)*(BX25))/(12))</f>
        <v/>
      </c>
      <c r="BY77" s="702">
        <f>((($O77)*(BY25))/(12))</f>
        <v/>
      </c>
      <c r="BZ77" s="702">
        <f>((($O77)*(BZ25))/(12))</f>
        <v/>
      </c>
      <c r="CA77" s="702">
        <f>((($O77)*(CA25))/(12))</f>
        <v/>
      </c>
      <c r="CB77" s="702">
        <f>((($O77)*(CB25))/(12))</f>
        <v/>
      </c>
      <c r="CC77" s="702">
        <f>((($O77)*(CC25))/(12))</f>
        <v/>
      </c>
      <c r="CD77" s="765">
        <f>SUM(BR77:CC77)</f>
        <v/>
      </c>
      <c r="CE77" s="713" t="n"/>
      <c r="CF77" s="702">
        <f>((($P77)*(CF25))/(12))</f>
        <v/>
      </c>
      <c r="CG77" s="702">
        <f>((($P77)*(CG25))/(12))</f>
        <v/>
      </c>
      <c r="CH77" s="702">
        <f>((($P77)*(CH25))/(12))</f>
        <v/>
      </c>
      <c r="CI77" s="702">
        <f>((($P77)*(CI25))/(12))</f>
        <v/>
      </c>
      <c r="CJ77" s="702">
        <f>((($P77)*(CJ25))/(12))</f>
        <v/>
      </c>
      <c r="CK77" s="702">
        <f>((($P77)*(CK25))/(12))</f>
        <v/>
      </c>
      <c r="CL77" s="702">
        <f>((($P77)*(CL25))/(12))</f>
        <v/>
      </c>
      <c r="CM77" s="702">
        <f>((($P77)*(CM25))/(12))</f>
        <v/>
      </c>
      <c r="CN77" s="702">
        <f>((($P77)*(CN25))/(12))</f>
        <v/>
      </c>
      <c r="CO77" s="702">
        <f>((($P77)*(CO25))/(12))</f>
        <v/>
      </c>
      <c r="CP77" s="702">
        <f>((($P77)*(CP25))/(12))</f>
        <v/>
      </c>
      <c r="CQ77" s="702">
        <f>((($P77)*(CQ25))/(12))</f>
        <v/>
      </c>
      <c r="CR77" s="765">
        <f>SUM(CF77:CQ77)</f>
        <v/>
      </c>
      <c r="CS77" s="1917" t="n"/>
      <c r="CT77" s="702">
        <f>((($Q77)*(CT25))/(12))</f>
        <v/>
      </c>
      <c r="CU77" s="702">
        <f>((($Q77)*(CU25))/(12))</f>
        <v/>
      </c>
      <c r="CV77" s="702">
        <f>((($Q77)*(CV25))/(12))</f>
        <v/>
      </c>
      <c r="CW77" s="702">
        <f>((($Q77)*(CW25))/(12))</f>
        <v/>
      </c>
      <c r="CX77" s="702">
        <f>((($Q77)*(CX25))/(12))</f>
        <v/>
      </c>
      <c r="CY77" s="702">
        <f>((($Q77)*(CY25))/(12))</f>
        <v/>
      </c>
      <c r="CZ77" s="702">
        <f>((($Q77)*(CZ25))/(12))</f>
        <v/>
      </c>
      <c r="DA77" s="702">
        <f>((($Q77)*(DA25))/(12))</f>
        <v/>
      </c>
      <c r="DB77" s="702">
        <f>((($Q77)*(DB25))/(12))</f>
        <v/>
      </c>
      <c r="DC77" s="702">
        <f>((($Q77)*(DC25))/(12))</f>
        <v/>
      </c>
      <c r="DD77" s="702">
        <f>((($Q77)*(DD25))/(12))</f>
        <v/>
      </c>
      <c r="DE77" s="702">
        <f>((($Q77)*(DE25))/(12))</f>
        <v/>
      </c>
      <c r="DF77" s="765">
        <f>SUM(CT77:DE77)</f>
        <v/>
      </c>
    </row>
    <row r="78" ht="15" customHeight="1" s="1883">
      <c r="B78" s="726" t="n"/>
      <c r="C78" s="726" t="n"/>
      <c r="D78" s="730" t="inlineStr">
        <is>
          <t>●</t>
        </is>
      </c>
      <c r="E78" s="726" t="inlineStr">
        <is>
          <t>TBD</t>
        </is>
      </c>
      <c r="F78" s="726" t="n"/>
      <c r="G78" s="726" t="n"/>
      <c r="H78" s="726" t="n"/>
      <c r="I78" s="772" t="inlineStr">
        <is>
          <t>Administrative Team</t>
        </is>
      </c>
      <c r="J78" s="727" t="inlineStr">
        <is>
          <t>CONUS</t>
        </is>
      </c>
      <c r="K78" s="726" t="n"/>
      <c r="L78" s="702" t="n">
        <v>45000</v>
      </c>
      <c r="M78" s="702" t="n">
        <v>45000</v>
      </c>
      <c r="N78" s="700">
        <f>((M78)*((1)+($N$66)))</f>
        <v/>
      </c>
      <c r="O78" s="700">
        <f>((N78)*((1)+($O$66)))</f>
        <v/>
      </c>
      <c r="P78" s="700">
        <f>((O78)*((1)+($P$66)))</f>
        <v/>
      </c>
      <c r="Q78" s="700">
        <f>((P78)*((1)+($Q$66)))</f>
        <v/>
      </c>
      <c r="R78" s="726" t="n"/>
      <c r="S78" s="778" t="n"/>
      <c r="T78" s="778" t="n"/>
      <c r="U78" s="778" t="n"/>
      <c r="V78" s="778" t="n"/>
      <c r="W78" s="778" t="n"/>
      <c r="X78" s="778" t="n"/>
      <c r="Y78" s="778" t="n"/>
      <c r="Z78" s="768" t="n"/>
      <c r="AA78" s="702" t="n"/>
      <c r="AB78" s="702">
        <f>((($L78)*(AB26))/(12))</f>
        <v/>
      </c>
      <c r="AC78" s="702">
        <f>((($L78)*(AC26))/(12))</f>
        <v/>
      </c>
      <c r="AD78" s="702">
        <f>((($L78)*(AD26))/(12))</f>
        <v/>
      </c>
      <c r="AE78" s="702">
        <f>((($L78)*(AE26))/(12))</f>
        <v/>
      </c>
      <c r="AF78" s="702">
        <f>((($L78)*(AF26))/(12))</f>
        <v/>
      </c>
      <c r="AG78" s="702">
        <f>((($L78)*(AG26))/(12))</f>
        <v/>
      </c>
      <c r="AH78" s="702">
        <f>((($L78)*(AH26))/(12))</f>
        <v/>
      </c>
      <c r="AI78" s="702">
        <f>((($L78)*(AI26))/(12))</f>
        <v/>
      </c>
      <c r="AJ78" s="702">
        <f>((($L78)*(AJ26))/(12))</f>
        <v/>
      </c>
      <c r="AK78" s="702">
        <f>((($L78)*(AK26))/(12))</f>
        <v/>
      </c>
      <c r="AL78" s="702">
        <f>((($L78)*(AL26))/(12))</f>
        <v/>
      </c>
      <c r="AM78" s="702">
        <f>((($L78)*(AM26))/(12))</f>
        <v/>
      </c>
      <c r="AN78" s="765">
        <f>+SUM(AB78:AM78)</f>
        <v/>
      </c>
      <c r="AO78" s="702" t="n"/>
      <c r="AP78" s="702">
        <f>((($M78)*(AP26))/(12))</f>
        <v/>
      </c>
      <c r="AQ78" s="702">
        <f>((($M78)*(AQ26))/(12))</f>
        <v/>
      </c>
      <c r="AR78" s="702">
        <f>((($M78)*(AR26))/(12))</f>
        <v/>
      </c>
      <c r="AS78" s="702">
        <f>((($M78)*(AS26))/(12))</f>
        <v/>
      </c>
      <c r="AT78" s="702">
        <f>((($M78)*(AT26))/(12))</f>
        <v/>
      </c>
      <c r="AU78" s="702">
        <f>((($M78)*(AU26))/(12))</f>
        <v/>
      </c>
      <c r="AV78" s="702">
        <f>((($M78)*(AV26))/(12))</f>
        <v/>
      </c>
      <c r="AW78" s="702">
        <f>((($M78)*(AW26))/(12))</f>
        <v/>
      </c>
      <c r="AX78" s="702">
        <f>((($M78)*(AX26))/(12))</f>
        <v/>
      </c>
      <c r="AY78" s="702">
        <f>((($M78)*(AY26))/(12))</f>
        <v/>
      </c>
      <c r="AZ78" s="702">
        <f>((($M78)*(AZ26))/(12))</f>
        <v/>
      </c>
      <c r="BA78" s="702">
        <f>((($M78)*(BA26))/(12))</f>
        <v/>
      </c>
      <c r="BB78" s="765">
        <f>SUM(AP78:BA78)</f>
        <v/>
      </c>
      <c r="BC78" s="702" t="n"/>
      <c r="BD78" s="702">
        <f>((($N78)*(BD26))/(12))</f>
        <v/>
      </c>
      <c r="BE78" s="702">
        <f>((($N78)*(BE26))/(12))</f>
        <v/>
      </c>
      <c r="BF78" s="702">
        <f>((($N78)*(BF26))/(12))</f>
        <v/>
      </c>
      <c r="BG78" s="702">
        <f>((($N78)*(BG26))/(12))</f>
        <v/>
      </c>
      <c r="BH78" s="702">
        <f>((($N78)*(BH26))/(12))</f>
        <v/>
      </c>
      <c r="BI78" s="702">
        <f>((($N78)*(BI26))/(12))</f>
        <v/>
      </c>
      <c r="BJ78" s="702">
        <f>((($N78)*(BJ26))/(12))</f>
        <v/>
      </c>
      <c r="BK78" s="702">
        <f>((($N78)*(BK26))/(12))</f>
        <v/>
      </c>
      <c r="BL78" s="702">
        <f>((($N78)*(BL26))/(12))</f>
        <v/>
      </c>
      <c r="BM78" s="702">
        <f>((($N78)*(BM26))/(12))</f>
        <v/>
      </c>
      <c r="BN78" s="702">
        <f>((($N78)*(BN26))/(12))</f>
        <v/>
      </c>
      <c r="BO78" s="702">
        <f>((($N78)*(BO26))/(12))</f>
        <v/>
      </c>
      <c r="BP78" s="765">
        <f>SUM(BD78:BO78)</f>
        <v/>
      </c>
      <c r="BQ78" s="713" t="n"/>
      <c r="BR78" s="702">
        <f>((($O78)*(BR26))/(12))</f>
        <v/>
      </c>
      <c r="BS78" s="702">
        <f>((($O78)*(BS26))/(12))</f>
        <v/>
      </c>
      <c r="BT78" s="702">
        <f>((($O78)*(BT26))/(12))</f>
        <v/>
      </c>
      <c r="BU78" s="702">
        <f>((($O78)*(BU26))/(12))</f>
        <v/>
      </c>
      <c r="BV78" s="702">
        <f>((($O78)*(BV26))/(12))</f>
        <v/>
      </c>
      <c r="BW78" s="702">
        <f>((($O78)*(BW26))/(12))</f>
        <v/>
      </c>
      <c r="BX78" s="702">
        <f>((($O78)*(BX26))/(12))</f>
        <v/>
      </c>
      <c r="BY78" s="702">
        <f>((($O78)*(BY26))/(12))</f>
        <v/>
      </c>
      <c r="BZ78" s="702">
        <f>((($O78)*(BZ26))/(12))</f>
        <v/>
      </c>
      <c r="CA78" s="702">
        <f>((($O78)*(CA26))/(12))</f>
        <v/>
      </c>
      <c r="CB78" s="702">
        <f>((($O78)*(CB26))/(12))</f>
        <v/>
      </c>
      <c r="CC78" s="702">
        <f>((($O78)*(CC26))/(12))</f>
        <v/>
      </c>
      <c r="CD78" s="765">
        <f>SUM(BR78:CC78)</f>
        <v/>
      </c>
      <c r="CE78" s="713" t="n"/>
      <c r="CF78" s="702">
        <f>((($P78)*(CF26))/(12))</f>
        <v/>
      </c>
      <c r="CG78" s="702">
        <f>((($P78)*(CG26))/(12))</f>
        <v/>
      </c>
      <c r="CH78" s="702">
        <f>((($P78)*(CH26))/(12))</f>
        <v/>
      </c>
      <c r="CI78" s="702">
        <f>((($P78)*(CI26))/(12))</f>
        <v/>
      </c>
      <c r="CJ78" s="702">
        <f>((($P78)*(CJ26))/(12))</f>
        <v/>
      </c>
      <c r="CK78" s="702">
        <f>((($P78)*(CK26))/(12))</f>
        <v/>
      </c>
      <c r="CL78" s="702">
        <f>((($P78)*(CL26))/(12))</f>
        <v/>
      </c>
      <c r="CM78" s="702">
        <f>((($P78)*(CM26))/(12))</f>
        <v/>
      </c>
      <c r="CN78" s="702">
        <f>((($P78)*(CN26))/(12))</f>
        <v/>
      </c>
      <c r="CO78" s="702">
        <f>((($P78)*(CO26))/(12))</f>
        <v/>
      </c>
      <c r="CP78" s="702">
        <f>((($P78)*(CP26))/(12))</f>
        <v/>
      </c>
      <c r="CQ78" s="702">
        <f>((($P78)*(CQ26))/(12))</f>
        <v/>
      </c>
      <c r="CR78" s="765">
        <f>SUM(CF78:CQ78)</f>
        <v/>
      </c>
      <c r="CS78" s="1917" t="n"/>
      <c r="CT78" s="702">
        <f>((($Q78)*(CT26))/(12))</f>
        <v/>
      </c>
      <c r="CU78" s="702">
        <f>((($Q78)*(CU26))/(12))</f>
        <v/>
      </c>
      <c r="CV78" s="702">
        <f>((($Q78)*(CV26))/(12))</f>
        <v/>
      </c>
      <c r="CW78" s="702">
        <f>((($Q78)*(CW26))/(12))</f>
        <v/>
      </c>
      <c r="CX78" s="702">
        <f>((($Q78)*(CX26))/(12))</f>
        <v/>
      </c>
      <c r="CY78" s="702">
        <f>((($Q78)*(CY26))/(12))</f>
        <v/>
      </c>
      <c r="CZ78" s="702">
        <f>((($Q78)*(CZ26))/(12))</f>
        <v/>
      </c>
      <c r="DA78" s="702">
        <f>((($Q78)*(DA26))/(12))</f>
        <v/>
      </c>
      <c r="DB78" s="702">
        <f>((($Q78)*(DB26))/(12))</f>
        <v/>
      </c>
      <c r="DC78" s="702">
        <f>((($Q78)*(DC26))/(12))</f>
        <v/>
      </c>
      <c r="DD78" s="702">
        <f>((($Q78)*(DD26))/(12))</f>
        <v/>
      </c>
      <c r="DE78" s="702">
        <f>((($Q78)*(DE26))/(12))</f>
        <v/>
      </c>
      <c r="DF78" s="765">
        <f>SUM(CT78:DE78)</f>
        <v/>
      </c>
    </row>
    <row r="79" ht="15" customHeight="1" s="1883">
      <c r="B79" s="726" t="n"/>
      <c r="C79" s="726" t="n"/>
      <c r="D79" s="730" t="n"/>
      <c r="E79" s="726" t="n"/>
      <c r="F79" s="726" t="n"/>
      <c r="G79" s="726" t="n"/>
      <c r="H79" s="726" t="n"/>
      <c r="I79" s="772" t="n"/>
      <c r="J79" s="774" t="inlineStr">
        <is>
          <t>OCONUS</t>
        </is>
      </c>
      <c r="K79" s="726" t="n"/>
      <c r="L79" s="702" t="n">
        <v>20000</v>
      </c>
      <c r="M79" s="702" t="n">
        <v>20000</v>
      </c>
      <c r="N79" s="700">
        <f>((M79)*((1)+($N$66)))</f>
        <v/>
      </c>
      <c r="O79" s="700">
        <f>((N79)*((1)+($O$66)))</f>
        <v/>
      </c>
      <c r="P79" s="700">
        <f>((O79)*((1)+($P$66)))</f>
        <v/>
      </c>
      <c r="Q79" s="700">
        <f>((P79)*((1)+($Q$66)))</f>
        <v/>
      </c>
      <c r="R79" s="726" t="n"/>
      <c r="S79" s="778" t="n"/>
      <c r="T79" s="778" t="n"/>
      <c r="U79" s="778" t="n"/>
      <c r="V79" s="778" t="n"/>
      <c r="W79" s="778" t="n"/>
      <c r="X79" s="778" t="n"/>
      <c r="Y79" s="778" t="n"/>
      <c r="Z79" s="768" t="n"/>
      <c r="AA79" s="702" t="n"/>
      <c r="AB79" s="702">
        <f>((($L79)*(AB27))/(12))</f>
        <v/>
      </c>
      <c r="AC79" s="702">
        <f>((($L79)*(AC27))/(12))</f>
        <v/>
      </c>
      <c r="AD79" s="702">
        <f>((($L79)*(AD27))/(12))</f>
        <v/>
      </c>
      <c r="AE79" s="702">
        <f>((($L79)*(AE27))/(12))</f>
        <v/>
      </c>
      <c r="AF79" s="702">
        <f>((($L79)*(AF27))/(12))</f>
        <v/>
      </c>
      <c r="AG79" s="702">
        <f>((($L79)*(AG27))/(12))</f>
        <v/>
      </c>
      <c r="AH79" s="702">
        <f>((($L79)*(AH27))/(12))</f>
        <v/>
      </c>
      <c r="AI79" s="702">
        <f>((($L79)*(AI27))/(12))</f>
        <v/>
      </c>
      <c r="AJ79" s="702">
        <f>((($L79)*(AJ27))/(12))</f>
        <v/>
      </c>
      <c r="AK79" s="702">
        <f>((($L79)*(AK27))/(12))</f>
        <v/>
      </c>
      <c r="AL79" s="702">
        <f>((($L79)*(AL27))/(12))</f>
        <v/>
      </c>
      <c r="AM79" s="702">
        <f>((($L79)*(AM27))/(12))</f>
        <v/>
      </c>
      <c r="AN79" s="765">
        <f>+SUM(AB79:AM79)</f>
        <v/>
      </c>
      <c r="AO79" s="702" t="n"/>
      <c r="AP79" s="702">
        <f>((($M79)*(AP27))/(12))</f>
        <v/>
      </c>
      <c r="AQ79" s="702">
        <f>((($M79)*(AQ27))/(12))</f>
        <v/>
      </c>
      <c r="AR79" s="702">
        <f>((($M79)*(AR27))/(12))</f>
        <v/>
      </c>
      <c r="AS79" s="702">
        <f>((($M79)*(AS27))/(12))</f>
        <v/>
      </c>
      <c r="AT79" s="702">
        <f>((($M79)*(AT27))/(12))</f>
        <v/>
      </c>
      <c r="AU79" s="702">
        <f>((($M79)*(AU27))/(12))</f>
        <v/>
      </c>
      <c r="AV79" s="702">
        <f>((($M79)*(AV27))/(12))</f>
        <v/>
      </c>
      <c r="AW79" s="702">
        <f>((($M79)*(AW27))/(12))</f>
        <v/>
      </c>
      <c r="AX79" s="702">
        <f>((($M79)*(AX27))/(12))</f>
        <v/>
      </c>
      <c r="AY79" s="702">
        <f>((($M79)*(AY27))/(12))</f>
        <v/>
      </c>
      <c r="AZ79" s="702">
        <f>((($M79)*(AZ27))/(12))</f>
        <v/>
      </c>
      <c r="BA79" s="702">
        <f>((($M79)*(BA27))/(12))</f>
        <v/>
      </c>
      <c r="BB79" s="765">
        <f>SUM(AP79:BA79)</f>
        <v/>
      </c>
      <c r="BC79" s="702" t="n"/>
      <c r="BD79" s="702">
        <f>((($N79)*(BD27))/(12))</f>
        <v/>
      </c>
      <c r="BE79" s="702">
        <f>((($N79)*(BE27))/(12))</f>
        <v/>
      </c>
      <c r="BF79" s="702">
        <f>((($N79)*(BF27))/(12))</f>
        <v/>
      </c>
      <c r="BG79" s="702">
        <f>((($N79)*(BG27))/(12))</f>
        <v/>
      </c>
      <c r="BH79" s="702">
        <f>((($N79)*(BH27))/(12))</f>
        <v/>
      </c>
      <c r="BI79" s="702">
        <f>((($N79)*(BI27))/(12))</f>
        <v/>
      </c>
      <c r="BJ79" s="702">
        <f>((($N79)*(BJ27))/(12))</f>
        <v/>
      </c>
      <c r="BK79" s="702">
        <f>((($N79)*(BK27))/(12))</f>
        <v/>
      </c>
      <c r="BL79" s="702">
        <f>((($N79)*(BL27))/(12))</f>
        <v/>
      </c>
      <c r="BM79" s="702">
        <f>((($N79)*(BM27))/(12))</f>
        <v/>
      </c>
      <c r="BN79" s="702">
        <f>((($N79)*(BN27))/(12))</f>
        <v/>
      </c>
      <c r="BO79" s="702">
        <f>((($N79)*(BO27))/(12))</f>
        <v/>
      </c>
      <c r="BP79" s="765">
        <f>SUM(BD79:BO79)</f>
        <v/>
      </c>
      <c r="BQ79" s="713" t="n"/>
      <c r="BR79" s="702">
        <f>((($O79)*(BR27))/(12))</f>
        <v/>
      </c>
      <c r="BS79" s="702">
        <f>((($O79)*(BS27))/(12))</f>
        <v/>
      </c>
      <c r="BT79" s="702">
        <f>((($O79)*(BT27))/(12))</f>
        <v/>
      </c>
      <c r="BU79" s="702">
        <f>((($O79)*(BU27))/(12))</f>
        <v/>
      </c>
      <c r="BV79" s="702">
        <f>((($O79)*(BV27))/(12))</f>
        <v/>
      </c>
      <c r="BW79" s="702">
        <f>((($O79)*(BW27))/(12))</f>
        <v/>
      </c>
      <c r="BX79" s="702">
        <f>((($O79)*(BX27))/(12))</f>
        <v/>
      </c>
      <c r="BY79" s="702">
        <f>((($O79)*(BY27))/(12))</f>
        <v/>
      </c>
      <c r="BZ79" s="702">
        <f>((($O79)*(BZ27))/(12))</f>
        <v/>
      </c>
      <c r="CA79" s="702">
        <f>((($O79)*(CA27))/(12))</f>
        <v/>
      </c>
      <c r="CB79" s="702">
        <f>((($O79)*(CB27))/(12))</f>
        <v/>
      </c>
      <c r="CC79" s="702">
        <f>((($O79)*(CC27))/(12))</f>
        <v/>
      </c>
      <c r="CD79" s="765">
        <f>SUM(BR79:CC79)</f>
        <v/>
      </c>
      <c r="CE79" s="713" t="n"/>
      <c r="CF79" s="702">
        <f>((($P79)*(CF27))/(12))</f>
        <v/>
      </c>
      <c r="CG79" s="702">
        <f>((($P79)*(CG27))/(12))</f>
        <v/>
      </c>
      <c r="CH79" s="702">
        <f>((($P79)*(CH27))/(12))</f>
        <v/>
      </c>
      <c r="CI79" s="702">
        <f>((($P79)*(CI27))/(12))</f>
        <v/>
      </c>
      <c r="CJ79" s="702">
        <f>((($P79)*(CJ27))/(12))</f>
        <v/>
      </c>
      <c r="CK79" s="702">
        <f>((($P79)*(CK27))/(12))</f>
        <v/>
      </c>
      <c r="CL79" s="702">
        <f>((($P79)*(CL27))/(12))</f>
        <v/>
      </c>
      <c r="CM79" s="702">
        <f>((($P79)*(CM27))/(12))</f>
        <v/>
      </c>
      <c r="CN79" s="702">
        <f>((($P79)*(CN27))/(12))</f>
        <v/>
      </c>
      <c r="CO79" s="702">
        <f>((($P79)*(CO27))/(12))</f>
        <v/>
      </c>
      <c r="CP79" s="702">
        <f>((($P79)*(CP27))/(12))</f>
        <v/>
      </c>
      <c r="CQ79" s="702">
        <f>((($P79)*(CQ27))/(12))</f>
        <v/>
      </c>
      <c r="CR79" s="765">
        <f>SUM(CF79:CQ79)</f>
        <v/>
      </c>
      <c r="CS79" s="1917" t="n"/>
      <c r="CT79" s="702">
        <f>((($Q79)*(CT27))/(12))</f>
        <v/>
      </c>
      <c r="CU79" s="702">
        <f>((($Q79)*(CU27))/(12))</f>
        <v/>
      </c>
      <c r="CV79" s="702">
        <f>((($Q79)*(CV27))/(12))</f>
        <v/>
      </c>
      <c r="CW79" s="702">
        <f>((($Q79)*(CW27))/(12))</f>
        <v/>
      </c>
      <c r="CX79" s="702">
        <f>((($Q79)*(CX27))/(12))</f>
        <v/>
      </c>
      <c r="CY79" s="702">
        <f>((($Q79)*(CY27))/(12))</f>
        <v/>
      </c>
      <c r="CZ79" s="702">
        <f>((($Q79)*(CZ27))/(12))</f>
        <v/>
      </c>
      <c r="DA79" s="702">
        <f>((($Q79)*(DA27))/(12))</f>
        <v/>
      </c>
      <c r="DB79" s="702">
        <f>((($Q79)*(DB27))/(12))</f>
        <v/>
      </c>
      <c r="DC79" s="702">
        <f>((($Q79)*(DC27))/(12))</f>
        <v/>
      </c>
      <c r="DD79" s="702">
        <f>((($Q79)*(DD27))/(12))</f>
        <v/>
      </c>
      <c r="DE79" s="702">
        <f>((($Q79)*(DE27))/(12))</f>
        <v/>
      </c>
      <c r="DF79" s="765">
        <f>SUM(CT79:DE79)</f>
        <v/>
      </c>
    </row>
    <row r="80" ht="15" customHeight="1" s="1883">
      <c r="B80" s="726" t="n"/>
      <c r="C80" s="726" t="n"/>
      <c r="D80" s="730" t="inlineStr">
        <is>
          <t>●</t>
        </is>
      </c>
      <c r="E80" s="726" t="inlineStr">
        <is>
          <t>TBD</t>
        </is>
      </c>
      <c r="F80" s="726" t="n"/>
      <c r="G80" s="726" t="n"/>
      <c r="H80" s="726" t="n"/>
      <c r="I80" s="772" t="inlineStr">
        <is>
          <t>Advisor</t>
        </is>
      </c>
      <c r="J80" s="727" t="inlineStr">
        <is>
          <t>CONUS</t>
        </is>
      </c>
      <c r="K80" s="726" t="n"/>
      <c r="L80" s="702" t="n">
        <v>36000</v>
      </c>
      <c r="M80" s="702" t="n">
        <v>36000</v>
      </c>
      <c r="N80" s="700">
        <f>((M80)*((1)+($N$66)))</f>
        <v/>
      </c>
      <c r="O80" s="700">
        <f>((N80)*((1)+($O$66)))</f>
        <v/>
      </c>
      <c r="P80" s="700">
        <f>((O80)*((1)+($P$66)))</f>
        <v/>
      </c>
      <c r="Q80" s="700">
        <f>((P80)*((1)+($Q$66)))</f>
        <v/>
      </c>
      <c r="R80" s="726" t="n"/>
      <c r="S80" s="778" t="n"/>
      <c r="T80" s="778" t="n"/>
      <c r="U80" s="778" t="n"/>
      <c r="V80" s="778" t="n"/>
      <c r="W80" s="778" t="n"/>
      <c r="X80" s="778" t="n"/>
      <c r="Y80" s="778" t="n"/>
      <c r="Z80" s="768" t="n"/>
      <c r="AA80" s="702" t="n"/>
      <c r="AB80" s="702">
        <f>((($L80)*(AB28))/(12))</f>
        <v/>
      </c>
      <c r="AC80" s="702">
        <f>((($L80)*(AC28))/(12))</f>
        <v/>
      </c>
      <c r="AD80" s="702">
        <f>((($L80)*(AD28))/(12))</f>
        <v/>
      </c>
      <c r="AE80" s="702">
        <f>((($L80)*(AE28))/(12))</f>
        <v/>
      </c>
      <c r="AF80" s="702">
        <f>((($L80)*(AF28))/(12))</f>
        <v/>
      </c>
      <c r="AG80" s="702">
        <f>((($L80)*(AG28))/(12))</f>
        <v/>
      </c>
      <c r="AH80" s="702">
        <f>((($L80)*(AH28))/(12))</f>
        <v/>
      </c>
      <c r="AI80" s="702">
        <f>((($L80)*(AI28))/(12))</f>
        <v/>
      </c>
      <c r="AJ80" s="702">
        <f>((($L80)*(AJ28))/(12))</f>
        <v/>
      </c>
      <c r="AK80" s="702">
        <f>((($L80)*(AK28))/(12))</f>
        <v/>
      </c>
      <c r="AL80" s="702">
        <f>((($L80)*(AL28))/(12))</f>
        <v/>
      </c>
      <c r="AM80" s="702">
        <f>((($L80)*(AM28))/(12))</f>
        <v/>
      </c>
      <c r="AN80" s="765">
        <f>+SUM(AB80:AM80)</f>
        <v/>
      </c>
      <c r="AO80" s="702" t="n"/>
      <c r="AP80" s="702">
        <f>((($M80)*(AP28))/(12))</f>
        <v/>
      </c>
      <c r="AQ80" s="702">
        <f>((($M80)*(AQ28))/(12))</f>
        <v/>
      </c>
      <c r="AR80" s="702">
        <f>((($M80)*(AR28))/(12))</f>
        <v/>
      </c>
      <c r="AS80" s="702">
        <f>((($M80)*(AS28))/(12))</f>
        <v/>
      </c>
      <c r="AT80" s="702">
        <f>((($M80)*(AT28))/(12))</f>
        <v/>
      </c>
      <c r="AU80" s="702">
        <f>((($M80)*(AU28))/(12))</f>
        <v/>
      </c>
      <c r="AV80" s="702">
        <f>((($M80)*(AV28))/(12))</f>
        <v/>
      </c>
      <c r="AW80" s="702">
        <f>((($M80)*(AW28))/(12))</f>
        <v/>
      </c>
      <c r="AX80" s="702">
        <f>((($M80)*(AX28))/(12))</f>
        <v/>
      </c>
      <c r="AY80" s="702">
        <f>((($M80)*(AY28))/(12))</f>
        <v/>
      </c>
      <c r="AZ80" s="702">
        <f>((($M80)*(AZ28))/(12))</f>
        <v/>
      </c>
      <c r="BA80" s="702">
        <f>((($M80)*(BA28))/(12))</f>
        <v/>
      </c>
      <c r="BB80" s="765">
        <f>SUM(AP80:BA80)</f>
        <v/>
      </c>
      <c r="BC80" s="702" t="n"/>
      <c r="BD80" s="702">
        <f>((($N80)*(BD28))/(12))</f>
        <v/>
      </c>
      <c r="BE80" s="702">
        <f>((($N80)*(BE28))/(12))</f>
        <v/>
      </c>
      <c r="BF80" s="702">
        <f>((($N80)*(BF28))/(12))</f>
        <v/>
      </c>
      <c r="BG80" s="702">
        <f>((($N80)*(BG28))/(12))</f>
        <v/>
      </c>
      <c r="BH80" s="702">
        <f>((($N80)*(BH28))/(12))</f>
        <v/>
      </c>
      <c r="BI80" s="702">
        <f>((($N80)*(BI28))/(12))</f>
        <v/>
      </c>
      <c r="BJ80" s="702">
        <f>((($N80)*(BJ28))/(12))</f>
        <v/>
      </c>
      <c r="BK80" s="702">
        <f>((($N80)*(BK28))/(12))</f>
        <v/>
      </c>
      <c r="BL80" s="702">
        <f>((($N80)*(BL28))/(12))</f>
        <v/>
      </c>
      <c r="BM80" s="702">
        <f>((($N80)*(BM28))/(12))</f>
        <v/>
      </c>
      <c r="BN80" s="702">
        <f>((($N80)*(BN28))/(12))</f>
        <v/>
      </c>
      <c r="BO80" s="702">
        <f>((($N80)*(BO28))/(12))</f>
        <v/>
      </c>
      <c r="BP80" s="765">
        <f>SUM(BD80:BO80)</f>
        <v/>
      </c>
      <c r="BQ80" s="713" t="n"/>
      <c r="BR80" s="702">
        <f>((($O80)*(BR28))/(12))</f>
        <v/>
      </c>
      <c r="BS80" s="702">
        <f>((($O80)*(BS28))/(12))</f>
        <v/>
      </c>
      <c r="BT80" s="702">
        <f>((($O80)*(BT28))/(12))</f>
        <v/>
      </c>
      <c r="BU80" s="702">
        <f>((($O80)*(BU28))/(12))</f>
        <v/>
      </c>
      <c r="BV80" s="702">
        <f>((($O80)*(BV28))/(12))</f>
        <v/>
      </c>
      <c r="BW80" s="702">
        <f>((($O80)*(BW28))/(12))</f>
        <v/>
      </c>
      <c r="BX80" s="702">
        <f>((($O80)*(BX28))/(12))</f>
        <v/>
      </c>
      <c r="BY80" s="702">
        <f>((($O80)*(BY28))/(12))</f>
        <v/>
      </c>
      <c r="BZ80" s="702">
        <f>((($O80)*(BZ28))/(12))</f>
        <v/>
      </c>
      <c r="CA80" s="702">
        <f>((($O80)*(CA28))/(12))</f>
        <v/>
      </c>
      <c r="CB80" s="702">
        <f>((($O80)*(CB28))/(12))</f>
        <v/>
      </c>
      <c r="CC80" s="702">
        <f>((($O80)*(CC28))/(12))</f>
        <v/>
      </c>
      <c r="CD80" s="765">
        <f>SUM(BR80:CC80)</f>
        <v/>
      </c>
      <c r="CE80" s="713" t="n"/>
      <c r="CF80" s="702">
        <f>((($P80)*(CF28))/(12))</f>
        <v/>
      </c>
      <c r="CG80" s="702">
        <f>((($P80)*(CG28))/(12))</f>
        <v/>
      </c>
      <c r="CH80" s="702">
        <f>((($P80)*(CH28))/(12))</f>
        <v/>
      </c>
      <c r="CI80" s="702">
        <f>((($P80)*(CI28))/(12))</f>
        <v/>
      </c>
      <c r="CJ80" s="702">
        <f>((($P80)*(CJ28))/(12))</f>
        <v/>
      </c>
      <c r="CK80" s="702">
        <f>((($P80)*(CK28))/(12))</f>
        <v/>
      </c>
      <c r="CL80" s="702">
        <f>((($P80)*(CL28))/(12))</f>
        <v/>
      </c>
      <c r="CM80" s="702">
        <f>((($P80)*(CM28))/(12))</f>
        <v/>
      </c>
      <c r="CN80" s="702">
        <f>((($P80)*(CN28))/(12))</f>
        <v/>
      </c>
      <c r="CO80" s="702">
        <f>((($P80)*(CO28))/(12))</f>
        <v/>
      </c>
      <c r="CP80" s="702">
        <f>((($P80)*(CP28))/(12))</f>
        <v/>
      </c>
      <c r="CQ80" s="702">
        <f>((($P80)*(CQ28))/(12))</f>
        <v/>
      </c>
      <c r="CR80" s="765">
        <f>SUM(CF80:CQ80)</f>
        <v/>
      </c>
      <c r="CS80" s="1917" t="n"/>
      <c r="CT80" s="702">
        <f>((($Q80)*(CT28))/(12))</f>
        <v/>
      </c>
      <c r="CU80" s="702">
        <f>((($Q80)*(CU28))/(12))</f>
        <v/>
      </c>
      <c r="CV80" s="702">
        <f>((($Q80)*(CV28))/(12))</f>
        <v/>
      </c>
      <c r="CW80" s="702">
        <f>((($Q80)*(CW28))/(12))</f>
        <v/>
      </c>
      <c r="CX80" s="702">
        <f>((($Q80)*(CX28))/(12))</f>
        <v/>
      </c>
      <c r="CY80" s="702">
        <f>((($Q80)*(CY28))/(12))</f>
        <v/>
      </c>
      <c r="CZ80" s="702">
        <f>((($Q80)*(CZ28))/(12))</f>
        <v/>
      </c>
      <c r="DA80" s="702">
        <f>((($Q80)*(DA28))/(12))</f>
        <v/>
      </c>
      <c r="DB80" s="702">
        <f>((($Q80)*(DB28))/(12))</f>
        <v/>
      </c>
      <c r="DC80" s="702">
        <f>((($Q80)*(DC28))/(12))</f>
        <v/>
      </c>
      <c r="DD80" s="702">
        <f>((($Q80)*(DD28))/(12))</f>
        <v/>
      </c>
      <c r="DE80" s="702">
        <f>((($Q80)*(DE28))/(12))</f>
        <v/>
      </c>
      <c r="DF80" s="765">
        <f>SUM(CT80:DE80)</f>
        <v/>
      </c>
    </row>
    <row r="81" ht="15" customHeight="1" s="1883">
      <c r="D81" s="730" t="n"/>
      <c r="E81" s="726" t="n"/>
      <c r="F81" s="726" t="n"/>
      <c r="G81" s="726" t="n"/>
      <c r="H81" s="726" t="n"/>
      <c r="I81" s="772" t="n"/>
      <c r="J81" s="774" t="inlineStr">
        <is>
          <t>OCONUS</t>
        </is>
      </c>
      <c r="K81" s="726" t="n"/>
      <c r="L81" s="702" t="n">
        <v>24000</v>
      </c>
      <c r="M81" s="702" t="n">
        <v>24000</v>
      </c>
      <c r="N81" s="700">
        <f>((M81)*((1)+($N$66)))</f>
        <v/>
      </c>
      <c r="O81" s="700">
        <f>((N81)*((1)+($O$66)))</f>
        <v/>
      </c>
      <c r="P81" s="700">
        <f>((O81)*((1)+($P$66)))</f>
        <v/>
      </c>
      <c r="Q81" s="700">
        <f>((P81)*((1)+($Q$66)))</f>
        <v/>
      </c>
      <c r="R81" s="726" t="n"/>
      <c r="S81" s="778" t="n"/>
      <c r="T81" s="778" t="n"/>
      <c r="U81" s="778" t="n"/>
      <c r="V81" s="778" t="n"/>
      <c r="W81" s="778" t="n"/>
      <c r="X81" s="778" t="n"/>
      <c r="Y81" s="778" t="n"/>
      <c r="Z81" s="768" t="n"/>
      <c r="AA81" s="702" t="n"/>
      <c r="AB81" s="702">
        <f>((($L81)*(AB29))/(12))</f>
        <v/>
      </c>
      <c r="AC81" s="702">
        <f>((($L81)*(AC29))/(12))</f>
        <v/>
      </c>
      <c r="AD81" s="702">
        <f>((($L81)*(AD29))/(12))</f>
        <v/>
      </c>
      <c r="AE81" s="702">
        <f>((($L81)*(AE29))/(12))</f>
        <v/>
      </c>
      <c r="AF81" s="702">
        <f>((($L81)*(AF29))/(12))</f>
        <v/>
      </c>
      <c r="AG81" s="702">
        <f>((($L81)*(AG29))/(12))</f>
        <v/>
      </c>
      <c r="AH81" s="702">
        <f>((($L81)*(AH29))/(12))</f>
        <v/>
      </c>
      <c r="AI81" s="702">
        <f>((($L81)*(AI29))/(12))</f>
        <v/>
      </c>
      <c r="AJ81" s="702">
        <f>((($L81)*(AJ29))/(12))</f>
        <v/>
      </c>
      <c r="AK81" s="702">
        <f>((($L81)*(AK29))/(12))</f>
        <v/>
      </c>
      <c r="AL81" s="702">
        <f>((($L81)*(AL29))/(12))</f>
        <v/>
      </c>
      <c r="AM81" s="702">
        <f>((($L81)*(AM29))/(12))</f>
        <v/>
      </c>
      <c r="AN81" s="765">
        <f>+SUM(AB81:AM81)</f>
        <v/>
      </c>
      <c r="AO81" s="702" t="n"/>
      <c r="AP81" s="702">
        <f>((($M81)*(AP29))/(12))</f>
        <v/>
      </c>
      <c r="AQ81" s="702">
        <f>((($M81)*(AQ29))/(12))</f>
        <v/>
      </c>
      <c r="AR81" s="702">
        <f>((($M81)*(AR29))/(12))</f>
        <v/>
      </c>
      <c r="AS81" s="702">
        <f>((($M81)*(AS29))/(12))</f>
        <v/>
      </c>
      <c r="AT81" s="702">
        <f>((($M81)*(AT29))/(12))</f>
        <v/>
      </c>
      <c r="AU81" s="702">
        <f>((($M81)*(AU29))/(12))</f>
        <v/>
      </c>
      <c r="AV81" s="702">
        <f>((($M81)*(AV29))/(12))</f>
        <v/>
      </c>
      <c r="AW81" s="702">
        <f>((($M81)*(AW29))/(12))</f>
        <v/>
      </c>
      <c r="AX81" s="702">
        <f>((($M81)*(AX29))/(12))</f>
        <v/>
      </c>
      <c r="AY81" s="702">
        <f>((($M81)*(AY29))/(12))</f>
        <v/>
      </c>
      <c r="AZ81" s="702">
        <f>((($M81)*(AZ29))/(12))</f>
        <v/>
      </c>
      <c r="BA81" s="702">
        <f>((($M81)*(BA29))/(12))</f>
        <v/>
      </c>
      <c r="BB81" s="765">
        <f>SUM(AP81:BA81)</f>
        <v/>
      </c>
      <c r="BC81" s="702" t="n"/>
      <c r="BD81" s="702">
        <f>((($N81)*(BD29))/(12))</f>
        <v/>
      </c>
      <c r="BE81" s="702">
        <f>((($N81)*(BE29))/(12))</f>
        <v/>
      </c>
      <c r="BF81" s="702">
        <f>((($N81)*(BF29))/(12))</f>
        <v/>
      </c>
      <c r="BG81" s="702">
        <f>((($N81)*(BG29))/(12))</f>
        <v/>
      </c>
      <c r="BH81" s="702">
        <f>((($N81)*(BH29))/(12))</f>
        <v/>
      </c>
      <c r="BI81" s="702">
        <f>((($N81)*(BI29))/(12))</f>
        <v/>
      </c>
      <c r="BJ81" s="702">
        <f>((($N81)*(BJ29))/(12))</f>
        <v/>
      </c>
      <c r="BK81" s="702">
        <f>((($N81)*(BK29))/(12))</f>
        <v/>
      </c>
      <c r="BL81" s="702">
        <f>((($N81)*(BL29))/(12))</f>
        <v/>
      </c>
      <c r="BM81" s="702">
        <f>((($N81)*(BM29))/(12))</f>
        <v/>
      </c>
      <c r="BN81" s="702">
        <f>((($N81)*(BN29))/(12))</f>
        <v/>
      </c>
      <c r="BO81" s="702">
        <f>((($N81)*(BO29))/(12))</f>
        <v/>
      </c>
      <c r="BP81" s="765">
        <f>SUM(BD81:BO81)</f>
        <v/>
      </c>
      <c r="BQ81" s="713" t="n"/>
      <c r="BR81" s="702">
        <f>((($O81)*(BR29))/(12))</f>
        <v/>
      </c>
      <c r="BS81" s="702">
        <f>((($O81)*(BS29))/(12))</f>
        <v/>
      </c>
      <c r="BT81" s="702">
        <f>((($O81)*(BT29))/(12))</f>
        <v/>
      </c>
      <c r="BU81" s="702">
        <f>((($O81)*(BU29))/(12))</f>
        <v/>
      </c>
      <c r="BV81" s="702">
        <f>((($O81)*(BV29))/(12))</f>
        <v/>
      </c>
      <c r="BW81" s="702">
        <f>((($O81)*(BW29))/(12))</f>
        <v/>
      </c>
      <c r="BX81" s="702">
        <f>((($O81)*(BX29))/(12))</f>
        <v/>
      </c>
      <c r="BY81" s="702">
        <f>((($O81)*(BY29))/(12))</f>
        <v/>
      </c>
      <c r="BZ81" s="702">
        <f>((($O81)*(BZ29))/(12))</f>
        <v/>
      </c>
      <c r="CA81" s="702">
        <f>((($O81)*(CA29))/(12))</f>
        <v/>
      </c>
      <c r="CB81" s="702">
        <f>((($O81)*(CB29))/(12))</f>
        <v/>
      </c>
      <c r="CC81" s="702">
        <f>((($O81)*(CC29))/(12))</f>
        <v/>
      </c>
      <c r="CD81" s="765">
        <f>SUM(BR81:CC81)</f>
        <v/>
      </c>
      <c r="CE81" s="713" t="n"/>
      <c r="CF81" s="702">
        <f>((($P81)*(CF29))/(12))</f>
        <v/>
      </c>
      <c r="CG81" s="702">
        <f>((($P81)*(CG29))/(12))</f>
        <v/>
      </c>
      <c r="CH81" s="702">
        <f>((($P81)*(CH29))/(12))</f>
        <v/>
      </c>
      <c r="CI81" s="702">
        <f>((($P81)*(CI29))/(12))</f>
        <v/>
      </c>
      <c r="CJ81" s="702">
        <f>((($P81)*(CJ29))/(12))</f>
        <v/>
      </c>
      <c r="CK81" s="702">
        <f>((($P81)*(CK29))/(12))</f>
        <v/>
      </c>
      <c r="CL81" s="702">
        <f>((($P81)*(CL29))/(12))</f>
        <v/>
      </c>
      <c r="CM81" s="702">
        <f>((($P81)*(CM29))/(12))</f>
        <v/>
      </c>
      <c r="CN81" s="702">
        <f>((($P81)*(CN29))/(12))</f>
        <v/>
      </c>
      <c r="CO81" s="702">
        <f>((($P81)*(CO29))/(12))</f>
        <v/>
      </c>
      <c r="CP81" s="702">
        <f>((($P81)*(CP29))/(12))</f>
        <v/>
      </c>
      <c r="CQ81" s="702">
        <f>((($P81)*(CQ29))/(12))</f>
        <v/>
      </c>
      <c r="CR81" s="765">
        <f>SUM(CF81:CQ81)</f>
        <v/>
      </c>
      <c r="CS81" s="1917" t="n"/>
      <c r="CT81" s="702">
        <f>((($Q81)*(CT29))/(12))</f>
        <v/>
      </c>
      <c r="CU81" s="702">
        <f>((($Q81)*(CU29))/(12))</f>
        <v/>
      </c>
      <c r="CV81" s="702">
        <f>((($Q81)*(CV29))/(12))</f>
        <v/>
      </c>
      <c r="CW81" s="702">
        <f>((($Q81)*(CW29))/(12))</f>
        <v/>
      </c>
      <c r="CX81" s="702">
        <f>((($Q81)*(CX29))/(12))</f>
        <v/>
      </c>
      <c r="CY81" s="702">
        <f>((($Q81)*(CY29))/(12))</f>
        <v/>
      </c>
      <c r="CZ81" s="702">
        <f>((($Q81)*(CZ29))/(12))</f>
        <v/>
      </c>
      <c r="DA81" s="702">
        <f>((($Q81)*(DA29))/(12))</f>
        <v/>
      </c>
      <c r="DB81" s="702">
        <f>((($Q81)*(DB29))/(12))</f>
        <v/>
      </c>
      <c r="DC81" s="702">
        <f>((($Q81)*(DC29))/(12))</f>
        <v/>
      </c>
      <c r="DD81" s="702">
        <f>((($Q81)*(DD29))/(12))</f>
        <v/>
      </c>
      <c r="DE81" s="702">
        <f>((($Q81)*(DE29))/(12))</f>
        <v/>
      </c>
      <c r="DF81" s="765">
        <f>SUM(CT81:DE81)</f>
        <v/>
      </c>
    </row>
    <row r="82" ht="15" customHeight="1" s="1883">
      <c r="D82" s="730" t="inlineStr">
        <is>
          <t>●</t>
        </is>
      </c>
      <c r="E82" s="726" t="inlineStr">
        <is>
          <t>TBD</t>
        </is>
      </c>
      <c r="F82" s="726" t="n"/>
      <c r="G82" s="726" t="n"/>
      <c r="H82" s="726" t="n"/>
      <c r="I82" s="772" t="inlineStr">
        <is>
          <t>Sales Team</t>
        </is>
      </c>
      <c r="J82" s="727" t="inlineStr">
        <is>
          <t>CONUS</t>
        </is>
      </c>
      <c r="K82" s="726" t="n"/>
      <c r="L82" s="702" t="n">
        <v>38500</v>
      </c>
      <c r="M82" s="702" t="n">
        <v>38500</v>
      </c>
      <c r="N82" s="700">
        <f>((M82)*((1)+($N$66)))</f>
        <v/>
      </c>
      <c r="O82" s="700">
        <f>((N82)*((1)+($O$66)))</f>
        <v/>
      </c>
      <c r="P82" s="700">
        <f>((O82)*((1)+($P$66)))</f>
        <v/>
      </c>
      <c r="Q82" s="700">
        <f>((P82)*((1)+($Q$66)))</f>
        <v/>
      </c>
      <c r="R82" s="726" t="n"/>
      <c r="S82" s="778" t="n"/>
      <c r="T82" s="778" t="n"/>
      <c r="U82" s="778" t="n"/>
      <c r="V82" s="778" t="n"/>
      <c r="W82" s="778" t="n"/>
      <c r="X82" s="778" t="n"/>
      <c r="Y82" s="778" t="n"/>
      <c r="Z82" s="768" t="n"/>
      <c r="AA82" s="702" t="n"/>
      <c r="AB82" s="702">
        <f>((($L82)*(AB30))/(12))</f>
        <v/>
      </c>
      <c r="AC82" s="702">
        <f>((($L82)*(AC30))/(12))</f>
        <v/>
      </c>
      <c r="AD82" s="702">
        <f>((($L82)*(AD30))/(12))</f>
        <v/>
      </c>
      <c r="AE82" s="702">
        <f>((($L82)*(AE30))/(12))</f>
        <v/>
      </c>
      <c r="AF82" s="702">
        <f>((($L82)*(AF30))/(12))</f>
        <v/>
      </c>
      <c r="AG82" s="702">
        <f>((($L82)*(AG30))/(12))</f>
        <v/>
      </c>
      <c r="AH82" s="702">
        <f>((($L82)*(AH30))/(12))</f>
        <v/>
      </c>
      <c r="AI82" s="702">
        <f>((($L82)*(AI30))/(12))</f>
        <v/>
      </c>
      <c r="AJ82" s="702">
        <f>((($L82)*(AJ30))/(12))</f>
        <v/>
      </c>
      <c r="AK82" s="702">
        <f>((($L82)*(AK30))/(12))</f>
        <v/>
      </c>
      <c r="AL82" s="702">
        <f>((($L82)*(AL30))/(12))</f>
        <v/>
      </c>
      <c r="AM82" s="702">
        <f>((($L82)*(AM30))/(12))</f>
        <v/>
      </c>
      <c r="AN82" s="765">
        <f>+SUM(AB82:AM82)</f>
        <v/>
      </c>
      <c r="AO82" s="702" t="n"/>
      <c r="AP82" s="702">
        <f>((($M82)*(AP30))/(12))</f>
        <v/>
      </c>
      <c r="AQ82" s="702">
        <f>((($M82)*(AQ30))/(12))</f>
        <v/>
      </c>
      <c r="AR82" s="702">
        <f>((($M82)*(AR30))/(12))</f>
        <v/>
      </c>
      <c r="AS82" s="702">
        <f>((($M82)*(AS30))/(12))</f>
        <v/>
      </c>
      <c r="AT82" s="702">
        <f>((($M82)*(AT30))/(12))</f>
        <v/>
      </c>
      <c r="AU82" s="702">
        <f>((($M82)*(AU30))/(12))</f>
        <v/>
      </c>
      <c r="AV82" s="702">
        <f>((($M82)*(AV30))/(12))</f>
        <v/>
      </c>
      <c r="AW82" s="702">
        <f>((($M82)*(AW30))/(12))</f>
        <v/>
      </c>
      <c r="AX82" s="702">
        <f>((($M82)*(AX30))/(12))</f>
        <v/>
      </c>
      <c r="AY82" s="702">
        <f>((($M82)*(AY30))/(12))</f>
        <v/>
      </c>
      <c r="AZ82" s="702">
        <f>((($M82)*(AZ30))/(12))</f>
        <v/>
      </c>
      <c r="BA82" s="702">
        <f>((($M82)*(BA30))/(12))</f>
        <v/>
      </c>
      <c r="BB82" s="765">
        <f>SUM(AP82:BA82)</f>
        <v/>
      </c>
      <c r="BC82" s="702" t="n"/>
      <c r="BD82" s="702">
        <f>((($N82)*(BD30))/(12))</f>
        <v/>
      </c>
      <c r="BE82" s="702">
        <f>((($N82)*(BE30))/(12))</f>
        <v/>
      </c>
      <c r="BF82" s="702">
        <f>((($N82)*(BF30))/(12))</f>
        <v/>
      </c>
      <c r="BG82" s="702">
        <f>((($N82)*(BG30))/(12))</f>
        <v/>
      </c>
      <c r="BH82" s="702">
        <f>((($N82)*(BH30))/(12))</f>
        <v/>
      </c>
      <c r="BI82" s="702">
        <f>((($N82)*(BI30))/(12))</f>
        <v/>
      </c>
      <c r="BJ82" s="702">
        <f>((($N82)*(BJ30))/(12))</f>
        <v/>
      </c>
      <c r="BK82" s="702">
        <f>((($N82)*(BK30))/(12))</f>
        <v/>
      </c>
      <c r="BL82" s="702">
        <f>((($N82)*(BL30))/(12))</f>
        <v/>
      </c>
      <c r="BM82" s="702">
        <f>((($N82)*(BM30))/(12))</f>
        <v/>
      </c>
      <c r="BN82" s="702">
        <f>((($N82)*(BN30))/(12))</f>
        <v/>
      </c>
      <c r="BO82" s="702">
        <f>((($N82)*(BO30))/(12))</f>
        <v/>
      </c>
      <c r="BP82" s="765">
        <f>SUM(BD82:BO82)</f>
        <v/>
      </c>
      <c r="BQ82" s="713" t="n"/>
      <c r="BR82" s="702">
        <f>((($O82)*(BR30))/(12))</f>
        <v/>
      </c>
      <c r="BS82" s="702">
        <f>((($O82)*(BS30))/(12))</f>
        <v/>
      </c>
      <c r="BT82" s="702">
        <f>((($O82)*(BT30))/(12))</f>
        <v/>
      </c>
      <c r="BU82" s="702">
        <f>((($O82)*(BU30))/(12))</f>
        <v/>
      </c>
      <c r="BV82" s="702">
        <f>((($O82)*(BV30))/(12))</f>
        <v/>
      </c>
      <c r="BW82" s="702">
        <f>((($O82)*(BW30))/(12))</f>
        <v/>
      </c>
      <c r="BX82" s="702">
        <f>((($O82)*(BX30))/(12))</f>
        <v/>
      </c>
      <c r="BY82" s="702">
        <f>((($O82)*(BY30))/(12))</f>
        <v/>
      </c>
      <c r="BZ82" s="702">
        <f>((($O82)*(BZ30))/(12))</f>
        <v/>
      </c>
      <c r="CA82" s="702">
        <f>((($O82)*(CA30))/(12))</f>
        <v/>
      </c>
      <c r="CB82" s="702">
        <f>((($O82)*(CB30))/(12))</f>
        <v/>
      </c>
      <c r="CC82" s="702">
        <f>((($O82)*(CC30))/(12))</f>
        <v/>
      </c>
      <c r="CD82" s="765">
        <f>SUM(BR82:CC82)</f>
        <v/>
      </c>
      <c r="CE82" s="713" t="n"/>
      <c r="CF82" s="702">
        <f>((($P82)*(CF30))/(12))</f>
        <v/>
      </c>
      <c r="CG82" s="702">
        <f>((($P82)*(CG30))/(12))</f>
        <v/>
      </c>
      <c r="CH82" s="702">
        <f>((($P82)*(CH30))/(12))</f>
        <v/>
      </c>
      <c r="CI82" s="702">
        <f>((($P82)*(CI30))/(12))</f>
        <v/>
      </c>
      <c r="CJ82" s="702">
        <f>((($P82)*(CJ30))/(12))</f>
        <v/>
      </c>
      <c r="CK82" s="702">
        <f>((($P82)*(CK30))/(12))</f>
        <v/>
      </c>
      <c r="CL82" s="702">
        <f>((($P82)*(CL30))/(12))</f>
        <v/>
      </c>
      <c r="CM82" s="702">
        <f>((($P82)*(CM30))/(12))</f>
        <v/>
      </c>
      <c r="CN82" s="702">
        <f>((($P82)*(CN30))/(12))</f>
        <v/>
      </c>
      <c r="CO82" s="702">
        <f>((($P82)*(CO30))/(12))</f>
        <v/>
      </c>
      <c r="CP82" s="702">
        <f>((($P82)*(CP30))/(12))</f>
        <v/>
      </c>
      <c r="CQ82" s="702">
        <f>((($P82)*(CQ30))/(12))</f>
        <v/>
      </c>
      <c r="CR82" s="765">
        <f>SUM(CF82:CQ82)</f>
        <v/>
      </c>
      <c r="CS82" s="1917" t="n"/>
      <c r="CT82" s="702">
        <f>((($Q82)*(CT30))/(12))</f>
        <v/>
      </c>
      <c r="CU82" s="702">
        <f>((($Q82)*(CU30))/(12))</f>
        <v/>
      </c>
      <c r="CV82" s="702">
        <f>((($Q82)*(CV30))/(12))</f>
        <v/>
      </c>
      <c r="CW82" s="702">
        <f>((($Q82)*(CW30))/(12))</f>
        <v/>
      </c>
      <c r="CX82" s="702">
        <f>((($Q82)*(CX30))/(12))</f>
        <v/>
      </c>
      <c r="CY82" s="702">
        <f>((($Q82)*(CY30))/(12))</f>
        <v/>
      </c>
      <c r="CZ82" s="702">
        <f>((($Q82)*(CZ30))/(12))</f>
        <v/>
      </c>
      <c r="DA82" s="702">
        <f>((($Q82)*(DA30))/(12))</f>
        <v/>
      </c>
      <c r="DB82" s="702">
        <f>((($Q82)*(DB30))/(12))</f>
        <v/>
      </c>
      <c r="DC82" s="702">
        <f>((($Q82)*(DC30))/(12))</f>
        <v/>
      </c>
      <c r="DD82" s="702">
        <f>((($Q82)*(DD30))/(12))</f>
        <v/>
      </c>
      <c r="DE82" s="702">
        <f>((($Q82)*(DE30))/(12))</f>
        <v/>
      </c>
      <c r="DF82" s="765">
        <f>SUM(CT82:DE82)</f>
        <v/>
      </c>
    </row>
    <row r="83" ht="15" customHeight="1" s="1883">
      <c r="D83" s="730" t="n"/>
      <c r="E83" s="726" t="n"/>
      <c r="F83" s="726" t="n"/>
      <c r="G83" s="726" t="n"/>
      <c r="H83" s="726" t="n"/>
      <c r="I83" s="772" t="n"/>
      <c r="J83" s="774" t="inlineStr">
        <is>
          <t>OCONUS</t>
        </is>
      </c>
      <c r="K83" s="726" t="n"/>
      <c r="L83" s="702" t="n">
        <v>25000</v>
      </c>
      <c r="M83" s="702" t="n">
        <v>25000</v>
      </c>
      <c r="N83" s="700">
        <f>((M83)*((1)+($N$66)))</f>
        <v/>
      </c>
      <c r="O83" s="700">
        <f>((N83)*((1)+($O$66)))</f>
        <v/>
      </c>
      <c r="P83" s="700">
        <f>((O83)*((1)+($P$66)))</f>
        <v/>
      </c>
      <c r="Q83" s="700">
        <f>((P83)*((1)+($Q$66)))</f>
        <v/>
      </c>
      <c r="R83" s="726" t="n"/>
      <c r="S83" s="778" t="n"/>
      <c r="T83" s="778" t="n"/>
      <c r="U83" s="778" t="n"/>
      <c r="V83" s="778" t="n"/>
      <c r="W83" s="778" t="n"/>
      <c r="X83" s="778" t="n"/>
      <c r="Y83" s="778" t="n"/>
      <c r="Z83" s="768" t="n"/>
      <c r="AA83" s="702" t="n"/>
      <c r="AB83" s="702">
        <f>((($L83)*(AB31))/(12))</f>
        <v/>
      </c>
      <c r="AC83" s="702">
        <f>((($L83)*(AC31))/(12))</f>
        <v/>
      </c>
      <c r="AD83" s="702">
        <f>((($L83)*(AD31))/(12))</f>
        <v/>
      </c>
      <c r="AE83" s="702">
        <f>((($L83)*(AE31))/(12))</f>
        <v/>
      </c>
      <c r="AF83" s="702">
        <f>((($L83)*(AF31))/(12))</f>
        <v/>
      </c>
      <c r="AG83" s="702">
        <f>((($L83)*(AG31))/(12))</f>
        <v/>
      </c>
      <c r="AH83" s="702">
        <f>((($L83)*(AH31))/(12))</f>
        <v/>
      </c>
      <c r="AI83" s="702">
        <f>((($L83)*(AI31))/(12))</f>
        <v/>
      </c>
      <c r="AJ83" s="702">
        <f>((($L83)*(AJ31))/(12))</f>
        <v/>
      </c>
      <c r="AK83" s="702">
        <f>((($L83)*(AK31))/(12))</f>
        <v/>
      </c>
      <c r="AL83" s="702">
        <f>((($L83)*(AL31))/(12))</f>
        <v/>
      </c>
      <c r="AM83" s="702">
        <f>((($L83)*(AM31))/(12))</f>
        <v/>
      </c>
      <c r="AN83" s="765">
        <f>+SUM(AB83:AM83)</f>
        <v/>
      </c>
      <c r="AO83" s="702" t="n"/>
      <c r="AP83" s="702">
        <f>((($M83)*(AP31))/(12))</f>
        <v/>
      </c>
      <c r="AQ83" s="702">
        <f>((($M83)*(AQ31))/(12))</f>
        <v/>
      </c>
      <c r="AR83" s="702">
        <f>((($M83)*(AR31))/(12))</f>
        <v/>
      </c>
      <c r="AS83" s="702">
        <f>((($M83)*(AS31))/(12))</f>
        <v/>
      </c>
      <c r="AT83" s="702">
        <f>((($M83)*(AT31))/(12))</f>
        <v/>
      </c>
      <c r="AU83" s="702">
        <f>((($M83)*(AU31))/(12))</f>
        <v/>
      </c>
      <c r="AV83" s="702">
        <f>((($M83)*(AV31))/(12))</f>
        <v/>
      </c>
      <c r="AW83" s="702">
        <f>((($M83)*(AW31))/(12))</f>
        <v/>
      </c>
      <c r="AX83" s="702">
        <f>((($M83)*(AX31))/(12))</f>
        <v/>
      </c>
      <c r="AY83" s="702">
        <f>((($M83)*(AY31))/(12))</f>
        <v/>
      </c>
      <c r="AZ83" s="702">
        <f>((($M83)*(AZ31))/(12))</f>
        <v/>
      </c>
      <c r="BA83" s="702">
        <f>((($M83)*(BA31))/(12))</f>
        <v/>
      </c>
      <c r="BB83" s="765">
        <f>SUM(AP83:BA83)</f>
        <v/>
      </c>
      <c r="BC83" s="702" t="n"/>
      <c r="BD83" s="702">
        <f>((($N83)*(BD31))/(12))</f>
        <v/>
      </c>
      <c r="BE83" s="702">
        <f>((($N83)*(BE31))/(12))</f>
        <v/>
      </c>
      <c r="BF83" s="702">
        <f>((($N83)*(BF31))/(12))</f>
        <v/>
      </c>
      <c r="BG83" s="702">
        <f>((($N83)*(BG31))/(12))</f>
        <v/>
      </c>
      <c r="BH83" s="702">
        <f>((($N83)*(BH31))/(12))</f>
        <v/>
      </c>
      <c r="BI83" s="702">
        <f>((($N83)*(BI31))/(12))</f>
        <v/>
      </c>
      <c r="BJ83" s="702">
        <f>((($N83)*(BJ31))/(12))</f>
        <v/>
      </c>
      <c r="BK83" s="702">
        <f>((($N83)*(BK31))/(12))</f>
        <v/>
      </c>
      <c r="BL83" s="702">
        <f>((($N83)*(BL31))/(12))</f>
        <v/>
      </c>
      <c r="BM83" s="702">
        <f>((($N83)*(BM31))/(12))</f>
        <v/>
      </c>
      <c r="BN83" s="702">
        <f>((($N83)*(BN31))/(12))</f>
        <v/>
      </c>
      <c r="BO83" s="702">
        <f>((($N83)*(BO31))/(12))</f>
        <v/>
      </c>
      <c r="BP83" s="765">
        <f>SUM(BD83:BO83)</f>
        <v/>
      </c>
      <c r="BQ83" s="713" t="n"/>
      <c r="BR83" s="702">
        <f>((($O83)*(BR31))/(12))</f>
        <v/>
      </c>
      <c r="BS83" s="702">
        <f>((($O83)*(BS31))/(12))</f>
        <v/>
      </c>
      <c r="BT83" s="702">
        <f>((($O83)*(BT31))/(12))</f>
        <v/>
      </c>
      <c r="BU83" s="702">
        <f>((($O83)*(BU31))/(12))</f>
        <v/>
      </c>
      <c r="BV83" s="702">
        <f>((($O83)*(BV31))/(12))</f>
        <v/>
      </c>
      <c r="BW83" s="702">
        <f>((($O83)*(BW31))/(12))</f>
        <v/>
      </c>
      <c r="BX83" s="702">
        <f>((($O83)*(BX31))/(12))</f>
        <v/>
      </c>
      <c r="BY83" s="702">
        <f>((($O83)*(BY31))/(12))</f>
        <v/>
      </c>
      <c r="BZ83" s="702">
        <f>((($O83)*(BZ31))/(12))</f>
        <v/>
      </c>
      <c r="CA83" s="702">
        <f>((($O83)*(CA31))/(12))</f>
        <v/>
      </c>
      <c r="CB83" s="702">
        <f>((($O83)*(CB31))/(12))</f>
        <v/>
      </c>
      <c r="CC83" s="702">
        <f>((($O83)*(CC31))/(12))</f>
        <v/>
      </c>
      <c r="CD83" s="765">
        <f>SUM(BR83:CC83)</f>
        <v/>
      </c>
      <c r="CE83" s="713" t="n"/>
      <c r="CF83" s="702">
        <f>((($P83)*(CF31))/(12))</f>
        <v/>
      </c>
      <c r="CG83" s="702">
        <f>((($P83)*(CG31))/(12))</f>
        <v/>
      </c>
      <c r="CH83" s="702">
        <f>((($P83)*(CH31))/(12))</f>
        <v/>
      </c>
      <c r="CI83" s="702">
        <f>((($P83)*(CI31))/(12))</f>
        <v/>
      </c>
      <c r="CJ83" s="702">
        <f>((($P83)*(CJ31))/(12))</f>
        <v/>
      </c>
      <c r="CK83" s="702">
        <f>((($P83)*(CK31))/(12))</f>
        <v/>
      </c>
      <c r="CL83" s="702">
        <f>((($P83)*(CL31))/(12))</f>
        <v/>
      </c>
      <c r="CM83" s="702">
        <f>((($P83)*(CM31))/(12))</f>
        <v/>
      </c>
      <c r="CN83" s="702">
        <f>((($P83)*(CN31))/(12))</f>
        <v/>
      </c>
      <c r="CO83" s="702">
        <f>((($P83)*(CO31))/(12))</f>
        <v/>
      </c>
      <c r="CP83" s="702">
        <f>((($P83)*(CP31))/(12))</f>
        <v/>
      </c>
      <c r="CQ83" s="702">
        <f>((($P83)*(CQ31))/(12))</f>
        <v/>
      </c>
      <c r="CR83" s="765">
        <f>SUM(CF83:CQ83)</f>
        <v/>
      </c>
      <c r="CS83" s="1917" t="n"/>
      <c r="CT83" s="702">
        <f>((($Q83)*(CT31))/(12))</f>
        <v/>
      </c>
      <c r="CU83" s="702">
        <f>((($Q83)*(CU31))/(12))</f>
        <v/>
      </c>
      <c r="CV83" s="702">
        <f>((($Q83)*(CV31))/(12))</f>
        <v/>
      </c>
      <c r="CW83" s="702">
        <f>((($Q83)*(CW31))/(12))</f>
        <v/>
      </c>
      <c r="CX83" s="702">
        <f>((($Q83)*(CX31))/(12))</f>
        <v/>
      </c>
      <c r="CY83" s="702">
        <f>((($Q83)*(CY31))/(12))</f>
        <v/>
      </c>
      <c r="CZ83" s="702">
        <f>((($Q83)*(CZ31))/(12))</f>
        <v/>
      </c>
      <c r="DA83" s="702">
        <f>((($Q83)*(DA31))/(12))</f>
        <v/>
      </c>
      <c r="DB83" s="702">
        <f>((($Q83)*(DB31))/(12))</f>
        <v/>
      </c>
      <c r="DC83" s="702">
        <f>((($Q83)*(DC31))/(12))</f>
        <v/>
      </c>
      <c r="DD83" s="702">
        <f>((($Q83)*(DD31))/(12))</f>
        <v/>
      </c>
      <c r="DE83" s="702">
        <f>((($Q83)*(DE31))/(12))</f>
        <v/>
      </c>
      <c r="DF83" s="765">
        <f>SUM(CT83:DE83)</f>
        <v/>
      </c>
    </row>
    <row r="84" ht="15" customHeight="1" s="1883">
      <c r="D84" s="730" t="inlineStr">
        <is>
          <t>●</t>
        </is>
      </c>
      <c r="E84" s="726" t="inlineStr">
        <is>
          <t>TBD</t>
        </is>
      </c>
      <c r="F84" s="726" t="n"/>
      <c r="G84" s="726" t="n"/>
      <c r="H84" s="743" t="n"/>
      <c r="I84" s="743" t="inlineStr">
        <is>
          <t>Pure Marketing Group - Marketing Team</t>
        </is>
      </c>
      <c r="J84" s="727" t="inlineStr">
        <is>
          <t>CONUS</t>
        </is>
      </c>
      <c r="K84" s="726" t="n"/>
      <c r="L84" s="702" t="n">
        <v>38000</v>
      </c>
      <c r="M84" s="702" t="n">
        <v>57600</v>
      </c>
      <c r="N84" s="700">
        <f>((M84)*((1)+($N$66)))</f>
        <v/>
      </c>
      <c r="O84" s="700">
        <f>((N84)*((1)+($O$66)))</f>
        <v/>
      </c>
      <c r="P84" s="700">
        <f>((O84)*((1)+($P$66)))</f>
        <v/>
      </c>
      <c r="Q84" s="700">
        <f>((P84)*((1)+($Q$66)))</f>
        <v/>
      </c>
      <c r="R84" s="726" t="n"/>
      <c r="S84" s="778" t="n"/>
      <c r="T84" s="778" t="n"/>
      <c r="U84" s="778" t="n"/>
      <c r="V84" s="778" t="n"/>
      <c r="W84" s="778" t="n"/>
      <c r="X84" s="778" t="n"/>
      <c r="Y84" s="778" t="n"/>
      <c r="Z84" s="768" t="n"/>
      <c r="AA84" s="702" t="n"/>
      <c r="AB84" s="702">
        <f>((($L84)*(AB32))/(12))</f>
        <v/>
      </c>
      <c r="AC84" s="702">
        <f>((($L84)*(AC32))/(12))</f>
        <v/>
      </c>
      <c r="AD84" s="702">
        <f>((($L84)*(AD32))/(12))</f>
        <v/>
      </c>
      <c r="AE84" s="702">
        <f>((($L84)*(AE32))/(12))</f>
        <v/>
      </c>
      <c r="AF84" s="702">
        <f>((($L84)*(AF32))/(12))</f>
        <v/>
      </c>
      <c r="AG84" s="702">
        <f>((($L84)*(AG32))/(12))</f>
        <v/>
      </c>
      <c r="AH84" s="702">
        <f>((($L84)*(AH32))/(12))</f>
        <v/>
      </c>
      <c r="AI84" s="702">
        <f>((($L84)*(AI32))/(12))</f>
        <v/>
      </c>
      <c r="AJ84" s="702">
        <f>((($L84)*(AJ32))/(12))</f>
        <v/>
      </c>
      <c r="AK84" s="702">
        <f>((($L84)*(AK32))/(12))</f>
        <v/>
      </c>
      <c r="AL84" s="702">
        <f>((($L84)*(AL32))/(12))</f>
        <v/>
      </c>
      <c r="AM84" s="702">
        <f>((($L84)*(AM32))/(12))</f>
        <v/>
      </c>
      <c r="AN84" s="765">
        <f>+SUM(AB84:AM84)</f>
        <v/>
      </c>
      <c r="AO84" s="702" t="n"/>
      <c r="AP84" s="702">
        <f>((($M84)*(AP32))/(12))</f>
        <v/>
      </c>
      <c r="AQ84" s="702">
        <f>((($M84)*(AQ32))/(12))</f>
        <v/>
      </c>
      <c r="AR84" s="702">
        <f>((($M84)*(AR32))/(12))</f>
        <v/>
      </c>
      <c r="AS84" s="702">
        <f>((($M84)*(AS32))/(12))</f>
        <v/>
      </c>
      <c r="AT84" s="702">
        <f>((($M84)*(AT32))/(12))</f>
        <v/>
      </c>
      <c r="AU84" s="702">
        <f>((($M84)*(AU32))/(12))</f>
        <v/>
      </c>
      <c r="AV84" s="702">
        <f>((($M84)*(AV32))/(12))</f>
        <v/>
      </c>
      <c r="AW84" s="702">
        <f>((($M84)*(AW32))/(12))</f>
        <v/>
      </c>
      <c r="AX84" s="702">
        <f>((($M84)*(AX32))/(12))</f>
        <v/>
      </c>
      <c r="AY84" s="702">
        <f>((($M84)*(AY32))/(12))</f>
        <v/>
      </c>
      <c r="AZ84" s="702">
        <f>((($M84)*(AZ32))/(12))</f>
        <v/>
      </c>
      <c r="BA84" s="702">
        <f>((($M84)*(BA32))/(12))</f>
        <v/>
      </c>
      <c r="BB84" s="765">
        <f>SUM(AP84:BA84)</f>
        <v/>
      </c>
      <c r="BC84" s="702" t="n"/>
      <c r="BD84" s="702">
        <f>((($N84)*(BD32))/(12))</f>
        <v/>
      </c>
      <c r="BE84" s="702">
        <f>((($N84)*(BE32))/(12))</f>
        <v/>
      </c>
      <c r="BF84" s="702">
        <f>((($N84)*(BF32))/(12))</f>
        <v/>
      </c>
      <c r="BG84" s="702">
        <f>((($N84)*(BG32))/(12))</f>
        <v/>
      </c>
      <c r="BH84" s="702">
        <f>((($N84)*(BH32))/(12))</f>
        <v/>
      </c>
      <c r="BI84" s="702">
        <f>((($N84)*(BI32))/(12))</f>
        <v/>
      </c>
      <c r="BJ84" s="702">
        <f>((($N84)*(BJ32))/(12))</f>
        <v/>
      </c>
      <c r="BK84" s="702">
        <f>((($N84)*(BK32))/(12))</f>
        <v/>
      </c>
      <c r="BL84" s="702">
        <f>((($N84)*(BL32))/(12))</f>
        <v/>
      </c>
      <c r="BM84" s="702">
        <f>((($N84)*(BM32))/(12))</f>
        <v/>
      </c>
      <c r="BN84" s="702">
        <f>((($N84)*(BN32))/(12))</f>
        <v/>
      </c>
      <c r="BO84" s="702">
        <f>((($N84)*(BO32))/(12))</f>
        <v/>
      </c>
      <c r="BP84" s="765">
        <f>SUM(BD84:BO84)</f>
        <v/>
      </c>
      <c r="BQ84" s="713" t="n"/>
      <c r="BR84" s="702">
        <f>((($O84)*(BR32))/(12))</f>
        <v/>
      </c>
      <c r="BS84" s="702">
        <f>((($O84)*(BS32))/(12))</f>
        <v/>
      </c>
      <c r="BT84" s="702">
        <f>((($O84)*(BT32))/(12))</f>
        <v/>
      </c>
      <c r="BU84" s="702">
        <f>((($O84)*(BU32))/(12))</f>
        <v/>
      </c>
      <c r="BV84" s="702">
        <f>((($O84)*(BV32))/(12))</f>
        <v/>
      </c>
      <c r="BW84" s="702">
        <f>((($O84)*(BW32))/(12))</f>
        <v/>
      </c>
      <c r="BX84" s="702">
        <f>((($O84)*(BX32))/(12))</f>
        <v/>
      </c>
      <c r="BY84" s="702">
        <f>((($O84)*(BY32))/(12))</f>
        <v/>
      </c>
      <c r="BZ84" s="702">
        <f>((($O84)*(BZ32))/(12))</f>
        <v/>
      </c>
      <c r="CA84" s="702">
        <f>((($O84)*(CA32))/(12))</f>
        <v/>
      </c>
      <c r="CB84" s="702">
        <f>((($O84)*(CB32))/(12))</f>
        <v/>
      </c>
      <c r="CC84" s="702">
        <f>((($O84)*(CC32))/(12))</f>
        <v/>
      </c>
      <c r="CD84" s="765">
        <f>SUM(BR84:CC84)</f>
        <v/>
      </c>
      <c r="CE84" s="713" t="n"/>
      <c r="CF84" s="702">
        <f>((($P84)*(CF32))/(12))</f>
        <v/>
      </c>
      <c r="CG84" s="702">
        <f>((($P84)*(CG32))/(12))</f>
        <v/>
      </c>
      <c r="CH84" s="702">
        <f>((($P84)*(CH32))/(12))</f>
        <v/>
      </c>
      <c r="CI84" s="702">
        <f>((($P84)*(CI32))/(12))</f>
        <v/>
      </c>
      <c r="CJ84" s="702">
        <f>((($P84)*(CJ32))/(12))</f>
        <v/>
      </c>
      <c r="CK84" s="702">
        <f>((($P84)*(CK32))/(12))</f>
        <v/>
      </c>
      <c r="CL84" s="702">
        <f>((($P84)*(CL32))/(12))</f>
        <v/>
      </c>
      <c r="CM84" s="702">
        <f>((($P84)*(CM32))/(12))</f>
        <v/>
      </c>
      <c r="CN84" s="702">
        <f>((($P84)*(CN32))/(12))</f>
        <v/>
      </c>
      <c r="CO84" s="702">
        <f>((($P84)*(CO32))/(12))</f>
        <v/>
      </c>
      <c r="CP84" s="702">
        <f>((($P84)*(CP32))/(12))</f>
        <v/>
      </c>
      <c r="CQ84" s="702">
        <f>((($P84)*(CQ32))/(12))</f>
        <v/>
      </c>
      <c r="CR84" s="765">
        <f>SUM(CF84:CQ84)</f>
        <v/>
      </c>
      <c r="CS84" s="1917" t="n"/>
      <c r="CT84" s="702">
        <f>((($Q84)*(CT32))/(12))</f>
        <v/>
      </c>
      <c r="CU84" s="702">
        <f>((($Q84)*(CU32))/(12))</f>
        <v/>
      </c>
      <c r="CV84" s="702">
        <f>((($Q84)*(CV32))/(12))</f>
        <v/>
      </c>
      <c r="CW84" s="702">
        <f>((($Q84)*(CW32))/(12))</f>
        <v/>
      </c>
      <c r="CX84" s="702">
        <f>((($Q84)*(CX32))/(12))</f>
        <v/>
      </c>
      <c r="CY84" s="702">
        <f>((($Q84)*(CY32))/(12))</f>
        <v/>
      </c>
      <c r="CZ84" s="702">
        <f>((($Q84)*(CZ32))/(12))</f>
        <v/>
      </c>
      <c r="DA84" s="702">
        <f>((($Q84)*(DA32))/(12))</f>
        <v/>
      </c>
      <c r="DB84" s="702">
        <f>((($Q84)*(DB32))/(12))</f>
        <v/>
      </c>
      <c r="DC84" s="702">
        <f>((($Q84)*(DC32))/(12))</f>
        <v/>
      </c>
      <c r="DD84" s="702">
        <f>((($Q84)*(DD32))/(12))</f>
        <v/>
      </c>
      <c r="DE84" s="702">
        <f>((($Q84)*(DE32))/(12))</f>
        <v/>
      </c>
      <c r="DF84" s="765">
        <f>SUM(CT84:DE84)</f>
        <v/>
      </c>
    </row>
    <row r="85" ht="15" customHeight="1" s="1883">
      <c r="D85" s="730" t="n"/>
      <c r="E85" s="726" t="n"/>
      <c r="F85" s="726" t="n"/>
      <c r="G85" s="726" t="n"/>
      <c r="H85" s="743" t="n"/>
      <c r="I85" s="743" t="n"/>
      <c r="J85" s="774" t="inlineStr">
        <is>
          <t>OCONUS</t>
        </is>
      </c>
      <c r="K85" s="726" t="n"/>
      <c r="L85" s="702" t="n">
        <v>19000</v>
      </c>
      <c r="M85" s="702" t="n">
        <v>30000</v>
      </c>
      <c r="N85" s="700">
        <f>((M85)*((1)+($N$66)))</f>
        <v/>
      </c>
      <c r="O85" s="700">
        <f>((N85)*((1)+($O$66)))</f>
        <v/>
      </c>
      <c r="P85" s="700">
        <f>((O85)*((1)+($P$66)))</f>
        <v/>
      </c>
      <c r="Q85" s="700">
        <f>((P85)*((1)+($Q$66)))</f>
        <v/>
      </c>
      <c r="R85" s="726" t="n"/>
      <c r="S85" s="778" t="n"/>
      <c r="T85" s="778" t="n"/>
      <c r="U85" s="778" t="n"/>
      <c r="V85" s="778" t="n"/>
      <c r="W85" s="778" t="n"/>
      <c r="X85" s="778" t="n"/>
      <c r="Y85" s="778" t="n"/>
      <c r="Z85" s="768" t="n"/>
      <c r="AA85" s="702" t="n"/>
      <c r="AB85" s="702">
        <f>((($L85)*(AB33))/(12))</f>
        <v/>
      </c>
      <c r="AC85" s="702">
        <f>((($L85)*(AC33))/(12))</f>
        <v/>
      </c>
      <c r="AD85" s="702">
        <f>((($L85)*(AD33))/(12))</f>
        <v/>
      </c>
      <c r="AE85" s="702">
        <f>((($L85)*(AE33))/(12))</f>
        <v/>
      </c>
      <c r="AF85" s="702">
        <f>((($L85)*(AF33))/(12))</f>
        <v/>
      </c>
      <c r="AG85" s="702">
        <f>((($L85)*(AG33))/(12))</f>
        <v/>
      </c>
      <c r="AH85" s="702">
        <f>((($L85)*(AH33))/(12))</f>
        <v/>
      </c>
      <c r="AI85" s="702">
        <f>((($L85)*(AI33))/(12))</f>
        <v/>
      </c>
      <c r="AJ85" s="702">
        <f>((($L85)*(AJ33))/(12))</f>
        <v/>
      </c>
      <c r="AK85" s="702">
        <f>((($L85)*(AK33))/(12))</f>
        <v/>
      </c>
      <c r="AL85" s="702">
        <f>((($L85)*(AL33))/(12))</f>
        <v/>
      </c>
      <c r="AM85" s="702">
        <f>((($L85)*(AM33))/(12))</f>
        <v/>
      </c>
      <c r="AN85" s="765">
        <f>+SUM(AB85:AM85)</f>
        <v/>
      </c>
      <c r="AO85" s="702" t="n"/>
      <c r="AP85" s="702">
        <f>((($M85)*(AP33))/(12))</f>
        <v/>
      </c>
      <c r="AQ85" s="702">
        <f>((($M85)*(AQ33))/(12))</f>
        <v/>
      </c>
      <c r="AR85" s="702">
        <f>((($M85)*(AR33))/(12))</f>
        <v/>
      </c>
      <c r="AS85" s="702">
        <f>((($M85)*(AS33))/(12))</f>
        <v/>
      </c>
      <c r="AT85" s="702">
        <f>((($M85)*(AT33))/(12))</f>
        <v/>
      </c>
      <c r="AU85" s="702">
        <f>((($M85)*(AU33))/(12))</f>
        <v/>
      </c>
      <c r="AV85" s="702">
        <f>((($M85)*(AV33))/(12))</f>
        <v/>
      </c>
      <c r="AW85" s="702">
        <f>((($M85)*(AW33))/(12))</f>
        <v/>
      </c>
      <c r="AX85" s="702">
        <f>((($M85)*(AX33))/(12))</f>
        <v/>
      </c>
      <c r="AY85" s="702">
        <f>((($M85)*(AY33))/(12))</f>
        <v/>
      </c>
      <c r="AZ85" s="702">
        <f>((($M85)*(AZ33))/(12))</f>
        <v/>
      </c>
      <c r="BA85" s="702">
        <f>((($M85)*(BA33))/(12))</f>
        <v/>
      </c>
      <c r="BB85" s="765">
        <f>SUM(AP85:BA85)</f>
        <v/>
      </c>
      <c r="BC85" s="702" t="n"/>
      <c r="BD85" s="702">
        <f>((($N85)*(BD33))/(12))</f>
        <v/>
      </c>
      <c r="BE85" s="702">
        <f>((($N85)*(BE33))/(12))</f>
        <v/>
      </c>
      <c r="BF85" s="702">
        <f>((($N85)*(BF33))/(12))</f>
        <v/>
      </c>
      <c r="BG85" s="702">
        <f>((($N85)*(BG33))/(12))</f>
        <v/>
      </c>
      <c r="BH85" s="702">
        <f>((($N85)*(BH33))/(12))</f>
        <v/>
      </c>
      <c r="BI85" s="702">
        <f>((($N85)*(BI33))/(12))</f>
        <v/>
      </c>
      <c r="BJ85" s="702">
        <f>((($N85)*(BJ33))/(12))</f>
        <v/>
      </c>
      <c r="BK85" s="702">
        <f>((($N85)*(BK33))/(12))</f>
        <v/>
      </c>
      <c r="BL85" s="702">
        <f>((($N85)*(BL33))/(12))</f>
        <v/>
      </c>
      <c r="BM85" s="702">
        <f>((($N85)*(BM33))/(12))</f>
        <v/>
      </c>
      <c r="BN85" s="702">
        <f>((($N85)*(BN33))/(12))</f>
        <v/>
      </c>
      <c r="BO85" s="702">
        <f>((($N85)*(BO33))/(12))</f>
        <v/>
      </c>
      <c r="BP85" s="765">
        <f>SUM(BD85:BO85)</f>
        <v/>
      </c>
      <c r="BQ85" s="713" t="n"/>
      <c r="BR85" s="702">
        <f>((($O85)*(BR33))/(12))</f>
        <v/>
      </c>
      <c r="BS85" s="702">
        <f>((($O85)*(BS33))/(12))</f>
        <v/>
      </c>
      <c r="BT85" s="702">
        <f>((($O85)*(BT33))/(12))</f>
        <v/>
      </c>
      <c r="BU85" s="702">
        <f>((($O85)*(BU33))/(12))</f>
        <v/>
      </c>
      <c r="BV85" s="702">
        <f>((($O85)*(BV33))/(12))</f>
        <v/>
      </c>
      <c r="BW85" s="702">
        <f>((($O85)*(BW33))/(12))</f>
        <v/>
      </c>
      <c r="BX85" s="702">
        <f>((($O85)*(BX33))/(12))</f>
        <v/>
      </c>
      <c r="BY85" s="702">
        <f>((($O85)*(BY33))/(12))</f>
        <v/>
      </c>
      <c r="BZ85" s="702">
        <f>((($O85)*(BZ33))/(12))</f>
        <v/>
      </c>
      <c r="CA85" s="702">
        <f>((($O85)*(CA33))/(12))</f>
        <v/>
      </c>
      <c r="CB85" s="702">
        <f>((($O85)*(CB33))/(12))</f>
        <v/>
      </c>
      <c r="CC85" s="702">
        <f>((($O85)*(CC33))/(12))</f>
        <v/>
      </c>
      <c r="CD85" s="765">
        <f>SUM(BR85:CC85)</f>
        <v/>
      </c>
      <c r="CE85" s="713" t="n"/>
      <c r="CF85" s="702">
        <f>((($P85)*(CF33))/(12))</f>
        <v/>
      </c>
      <c r="CG85" s="702">
        <f>((($P85)*(CG33))/(12))</f>
        <v/>
      </c>
      <c r="CH85" s="702">
        <f>((($P85)*(CH33))/(12))</f>
        <v/>
      </c>
      <c r="CI85" s="702">
        <f>((($P85)*(CI33))/(12))</f>
        <v/>
      </c>
      <c r="CJ85" s="702">
        <f>((($P85)*(CJ33))/(12))</f>
        <v/>
      </c>
      <c r="CK85" s="702">
        <f>((($P85)*(CK33))/(12))</f>
        <v/>
      </c>
      <c r="CL85" s="702">
        <f>((($P85)*(CL33))/(12))</f>
        <v/>
      </c>
      <c r="CM85" s="702">
        <f>((($P85)*(CM33))/(12))</f>
        <v/>
      </c>
      <c r="CN85" s="702">
        <f>((($P85)*(CN33))/(12))</f>
        <v/>
      </c>
      <c r="CO85" s="702">
        <f>((($P85)*(CO33))/(12))</f>
        <v/>
      </c>
      <c r="CP85" s="702">
        <f>((($P85)*(CP33))/(12))</f>
        <v/>
      </c>
      <c r="CQ85" s="702">
        <f>((($P85)*(CQ33))/(12))</f>
        <v/>
      </c>
      <c r="CR85" s="765">
        <f>SUM(CF85:CQ85)</f>
        <v/>
      </c>
      <c r="CS85" s="1917" t="n"/>
      <c r="CT85" s="702">
        <f>((($Q85)*(CT33))/(12))</f>
        <v/>
      </c>
      <c r="CU85" s="702">
        <f>((($Q85)*(CU33))/(12))</f>
        <v/>
      </c>
      <c r="CV85" s="702">
        <f>((($Q85)*(CV33))/(12))</f>
        <v/>
      </c>
      <c r="CW85" s="702">
        <f>((($Q85)*(CW33))/(12))</f>
        <v/>
      </c>
      <c r="CX85" s="702">
        <f>((($Q85)*(CX33))/(12))</f>
        <v/>
      </c>
      <c r="CY85" s="702">
        <f>((($Q85)*(CY33))/(12))</f>
        <v/>
      </c>
      <c r="CZ85" s="702">
        <f>((($Q85)*(CZ33))/(12))</f>
        <v/>
      </c>
      <c r="DA85" s="702">
        <f>((($Q85)*(DA33))/(12))</f>
        <v/>
      </c>
      <c r="DB85" s="702">
        <f>((($Q85)*(DB33))/(12))</f>
        <v/>
      </c>
      <c r="DC85" s="702">
        <f>((($Q85)*(DC33))/(12))</f>
        <v/>
      </c>
      <c r="DD85" s="702">
        <f>((($Q85)*(DD33))/(12))</f>
        <v/>
      </c>
      <c r="DE85" s="702">
        <f>((($Q85)*(DE33))/(12))</f>
        <v/>
      </c>
      <c r="DF85" s="765">
        <f>SUM(CT85:DE85)</f>
        <v/>
      </c>
    </row>
    <row r="86" ht="15" customHeight="1" s="1883">
      <c r="D86" s="730" t="inlineStr">
        <is>
          <t>●</t>
        </is>
      </c>
      <c r="E86" s="726" t="inlineStr">
        <is>
          <t>TBD</t>
        </is>
      </c>
      <c r="F86" s="726" t="n"/>
      <c r="G86" s="726" t="n"/>
      <c r="H86" s="726" t="n"/>
      <c r="I86" s="743" t="inlineStr">
        <is>
          <t>Pure Tech Marketing Team</t>
        </is>
      </c>
      <c r="J86" s="727" t="inlineStr">
        <is>
          <t>CONUS</t>
        </is>
      </c>
      <c r="K86" s="726" t="n"/>
      <c r="L86" s="702" t="n">
        <v>38000</v>
      </c>
      <c r="M86" s="702" t="n">
        <v>57600</v>
      </c>
      <c r="N86" s="700">
        <f>((M86)*((1)+($N$66)))</f>
        <v/>
      </c>
      <c r="O86" s="700">
        <f>((N86)*((1)+($O$66)))</f>
        <v/>
      </c>
      <c r="P86" s="700">
        <f>((O86)*((1)+($P$66)))</f>
        <v/>
      </c>
      <c r="Q86" s="700">
        <f>((P86)*((1)+($Q$66)))</f>
        <v/>
      </c>
      <c r="R86" s="726" t="n"/>
      <c r="S86" s="778" t="n"/>
      <c r="T86" s="778" t="n"/>
      <c r="U86" s="778" t="n"/>
      <c r="V86" s="778" t="n"/>
      <c r="W86" s="778" t="n"/>
      <c r="X86" s="778" t="n"/>
      <c r="Y86" s="778" t="n"/>
      <c r="Z86" s="768" t="n"/>
      <c r="AA86" s="702" t="n"/>
      <c r="AB86" s="702">
        <f>((($L86)*(AB34))/(12))</f>
        <v/>
      </c>
      <c r="AC86" s="702">
        <f>((($L86)*(AC34))/(12))</f>
        <v/>
      </c>
      <c r="AD86" s="702">
        <f>((($L86)*(AD34))/(12))</f>
        <v/>
      </c>
      <c r="AE86" s="702">
        <f>((($L86)*(AE34))/(12))</f>
        <v/>
      </c>
      <c r="AF86" s="702">
        <f>((($L86)*(AF34))/(12))</f>
        <v/>
      </c>
      <c r="AG86" s="702">
        <f>((($L86)*(AG34))/(12))</f>
        <v/>
      </c>
      <c r="AH86" s="702">
        <f>((($L86)*(AH34))/(12))</f>
        <v/>
      </c>
      <c r="AI86" s="702">
        <f>((($L86)*(AI34))/(12))</f>
        <v/>
      </c>
      <c r="AJ86" s="702">
        <f>((($L86)*(AJ34))/(12))</f>
        <v/>
      </c>
      <c r="AK86" s="702">
        <f>((($L86)*(AK34))/(12))</f>
        <v/>
      </c>
      <c r="AL86" s="702">
        <f>((($L86)*(AL34))/(12))</f>
        <v/>
      </c>
      <c r="AM86" s="702">
        <f>((($L86)*(AM34))/(12))</f>
        <v/>
      </c>
      <c r="AN86" s="765">
        <f>+SUM(AB86:AM86)</f>
        <v/>
      </c>
      <c r="AO86" s="702" t="n"/>
      <c r="AP86" s="702">
        <f>((($M86)*(AP34))/(12))</f>
        <v/>
      </c>
      <c r="AQ86" s="702">
        <f>((($M86)*(AQ34))/(12))</f>
        <v/>
      </c>
      <c r="AR86" s="702">
        <f>((($M86)*(AR34))/(12))</f>
        <v/>
      </c>
      <c r="AS86" s="702">
        <f>((($M86)*(AS34))/(12))</f>
        <v/>
      </c>
      <c r="AT86" s="702">
        <f>((($M86)*(AT34))/(12))</f>
        <v/>
      </c>
      <c r="AU86" s="702">
        <f>((($M86)*(AU34))/(12))</f>
        <v/>
      </c>
      <c r="AV86" s="702">
        <f>((($M86)*(AV34))/(12))</f>
        <v/>
      </c>
      <c r="AW86" s="702">
        <f>((($M86)*(AW34))/(12))</f>
        <v/>
      </c>
      <c r="AX86" s="702">
        <f>((($M86)*(AX34))/(12))</f>
        <v/>
      </c>
      <c r="AY86" s="702">
        <f>((($M86)*(AY34))/(12))</f>
        <v/>
      </c>
      <c r="AZ86" s="702">
        <f>((($M86)*(AZ34))/(12))</f>
        <v/>
      </c>
      <c r="BA86" s="702">
        <f>((($M86)*(BA34))/(12))</f>
        <v/>
      </c>
      <c r="BB86" s="765">
        <f>SUM(AP86:BA86)</f>
        <v/>
      </c>
      <c r="BC86" s="702" t="n"/>
      <c r="BD86" s="702">
        <f>((($N86)*(BD34))/(12))</f>
        <v/>
      </c>
      <c r="BE86" s="702">
        <f>((($N86)*(BE34))/(12))</f>
        <v/>
      </c>
      <c r="BF86" s="702">
        <f>((($N86)*(BF34))/(12))</f>
        <v/>
      </c>
      <c r="BG86" s="702">
        <f>((($N86)*(BG34))/(12))</f>
        <v/>
      </c>
      <c r="BH86" s="702">
        <f>((($N86)*(BH34))/(12))</f>
        <v/>
      </c>
      <c r="BI86" s="702">
        <f>((($N86)*(BI34))/(12))</f>
        <v/>
      </c>
      <c r="BJ86" s="702">
        <f>((($N86)*(BJ34))/(12))</f>
        <v/>
      </c>
      <c r="BK86" s="702">
        <f>((($N86)*(BK34))/(12))</f>
        <v/>
      </c>
      <c r="BL86" s="702">
        <f>((($N86)*(BL34))/(12))</f>
        <v/>
      </c>
      <c r="BM86" s="702">
        <f>((($N86)*(BM34))/(12))</f>
        <v/>
      </c>
      <c r="BN86" s="702">
        <f>((($N86)*(BN34))/(12))</f>
        <v/>
      </c>
      <c r="BO86" s="702">
        <f>((($N86)*(BO34))/(12))</f>
        <v/>
      </c>
      <c r="BP86" s="765">
        <f>SUM(BD86:BO86)</f>
        <v/>
      </c>
      <c r="BQ86" s="713" t="n"/>
      <c r="BR86" s="702">
        <f>((($O86)*(BR34))/(12))</f>
        <v/>
      </c>
      <c r="BS86" s="702">
        <f>((($O86)*(BS34))/(12))</f>
        <v/>
      </c>
      <c r="BT86" s="702">
        <f>((($O86)*(BT34))/(12))</f>
        <v/>
      </c>
      <c r="BU86" s="702">
        <f>((($O86)*(BU34))/(12))</f>
        <v/>
      </c>
      <c r="BV86" s="702">
        <f>((($O86)*(BV34))/(12))</f>
        <v/>
      </c>
      <c r="BW86" s="702">
        <f>((($O86)*(BW34))/(12))</f>
        <v/>
      </c>
      <c r="BX86" s="702">
        <f>((($O86)*(BX34))/(12))</f>
        <v/>
      </c>
      <c r="BY86" s="702">
        <f>((($O86)*(BY34))/(12))</f>
        <v/>
      </c>
      <c r="BZ86" s="702">
        <f>((($O86)*(BZ34))/(12))</f>
        <v/>
      </c>
      <c r="CA86" s="702">
        <f>((($O86)*(CA34))/(12))</f>
        <v/>
      </c>
      <c r="CB86" s="702">
        <f>((($O86)*(CB34))/(12))</f>
        <v/>
      </c>
      <c r="CC86" s="702">
        <f>((($O86)*(CC34))/(12))</f>
        <v/>
      </c>
      <c r="CD86" s="765">
        <f>SUM(BR86:CC86)</f>
        <v/>
      </c>
      <c r="CE86" s="713" t="n"/>
      <c r="CF86" s="702">
        <f>((($P86)*(CF34))/(12))</f>
        <v/>
      </c>
      <c r="CG86" s="702">
        <f>((($P86)*(CG34))/(12))</f>
        <v/>
      </c>
      <c r="CH86" s="702">
        <f>((($P86)*(CH34))/(12))</f>
        <v/>
      </c>
      <c r="CI86" s="702">
        <f>((($P86)*(CI34))/(12))</f>
        <v/>
      </c>
      <c r="CJ86" s="702">
        <f>((($P86)*(CJ34))/(12))</f>
        <v/>
      </c>
      <c r="CK86" s="702">
        <f>((($P86)*(CK34))/(12))</f>
        <v/>
      </c>
      <c r="CL86" s="702">
        <f>((($P86)*(CL34))/(12))</f>
        <v/>
      </c>
      <c r="CM86" s="702">
        <f>((($P86)*(CM34))/(12))</f>
        <v/>
      </c>
      <c r="CN86" s="702">
        <f>((($P86)*(CN34))/(12))</f>
        <v/>
      </c>
      <c r="CO86" s="702">
        <f>((($P86)*(CO34))/(12))</f>
        <v/>
      </c>
      <c r="CP86" s="702">
        <f>((($P86)*(CP34))/(12))</f>
        <v/>
      </c>
      <c r="CQ86" s="702">
        <f>((($P86)*(CQ34))/(12))</f>
        <v/>
      </c>
      <c r="CR86" s="765">
        <f>SUM(CF86:CQ86)</f>
        <v/>
      </c>
      <c r="CS86" s="1917" t="n"/>
      <c r="CT86" s="702">
        <f>((($Q86)*(CT34))/(12))</f>
        <v/>
      </c>
      <c r="CU86" s="702">
        <f>((($Q86)*(CU34))/(12))</f>
        <v/>
      </c>
      <c r="CV86" s="702">
        <f>((($Q86)*(CV34))/(12))</f>
        <v/>
      </c>
      <c r="CW86" s="702">
        <f>((($Q86)*(CW34))/(12))</f>
        <v/>
      </c>
      <c r="CX86" s="702">
        <f>((($Q86)*(CX34))/(12))</f>
        <v/>
      </c>
      <c r="CY86" s="702">
        <f>((($Q86)*(CY34))/(12))</f>
        <v/>
      </c>
      <c r="CZ86" s="702">
        <f>((($Q86)*(CZ34))/(12))</f>
        <v/>
      </c>
      <c r="DA86" s="702">
        <f>((($Q86)*(DA34))/(12))</f>
        <v/>
      </c>
      <c r="DB86" s="702">
        <f>((($Q86)*(DB34))/(12))</f>
        <v/>
      </c>
      <c r="DC86" s="702">
        <f>((($Q86)*(DC34))/(12))</f>
        <v/>
      </c>
      <c r="DD86" s="702">
        <f>((($Q86)*(DD34))/(12))</f>
        <v/>
      </c>
      <c r="DE86" s="702">
        <f>((($Q86)*(DE34))/(12))</f>
        <v/>
      </c>
      <c r="DF86" s="765">
        <f>SUM(CT86:DE86)</f>
        <v/>
      </c>
    </row>
    <row r="87" ht="15" customHeight="1" s="1883">
      <c r="D87" s="730" t="n"/>
      <c r="E87" s="726" t="n"/>
      <c r="F87" s="726" t="n"/>
      <c r="G87" s="726" t="n"/>
      <c r="H87" s="726" t="n"/>
      <c r="I87" s="743" t="n"/>
      <c r="J87" s="774" t="inlineStr">
        <is>
          <t>OCONUS</t>
        </is>
      </c>
      <c r="K87" s="726" t="n"/>
      <c r="L87" s="702" t="n">
        <v>19000</v>
      </c>
      <c r="M87" s="702" t="n">
        <v>30000</v>
      </c>
      <c r="N87" s="700">
        <f>((M87)*((1)+($N$66)))</f>
        <v/>
      </c>
      <c r="O87" s="700">
        <f>((N87)*((1)+($O$66)))</f>
        <v/>
      </c>
      <c r="P87" s="700">
        <f>((O87)*((1)+($P$66)))</f>
        <v/>
      </c>
      <c r="Q87" s="700">
        <f>((P87)*((1)+($Q$66)))</f>
        <v/>
      </c>
      <c r="R87" s="726" t="n"/>
      <c r="S87" s="778" t="n"/>
      <c r="T87" s="778" t="n"/>
      <c r="U87" s="778" t="n"/>
      <c r="V87" s="778" t="n"/>
      <c r="W87" s="778" t="n"/>
      <c r="X87" s="778" t="n"/>
      <c r="Y87" s="778" t="n"/>
      <c r="Z87" s="768" t="n"/>
      <c r="AA87" s="702" t="n"/>
      <c r="AB87" s="702">
        <f>((($L87)*(AB35))/(12))</f>
        <v/>
      </c>
      <c r="AC87" s="702">
        <f>((($L87)*(AC35))/(12))</f>
        <v/>
      </c>
      <c r="AD87" s="702">
        <f>((($L87)*(AD35))/(12))</f>
        <v/>
      </c>
      <c r="AE87" s="702">
        <f>((($L87)*(AE35))/(12))</f>
        <v/>
      </c>
      <c r="AF87" s="702">
        <f>((($L87)*(AF35))/(12))</f>
        <v/>
      </c>
      <c r="AG87" s="702">
        <f>((($L87)*(AG35))/(12))</f>
        <v/>
      </c>
      <c r="AH87" s="702">
        <f>((($L87)*(AH35))/(12))</f>
        <v/>
      </c>
      <c r="AI87" s="702">
        <f>((($L87)*(AI35))/(12))</f>
        <v/>
      </c>
      <c r="AJ87" s="702">
        <f>((($L87)*(AJ35))/(12))</f>
        <v/>
      </c>
      <c r="AK87" s="702">
        <f>((($L87)*(AK35))/(12))</f>
        <v/>
      </c>
      <c r="AL87" s="702">
        <f>((($L87)*(AL35))/(12))</f>
        <v/>
      </c>
      <c r="AM87" s="702">
        <f>((($L87)*(AM35))/(12))</f>
        <v/>
      </c>
      <c r="AN87" s="765">
        <f>+SUM(AB87:AM87)</f>
        <v/>
      </c>
      <c r="AO87" s="702" t="n"/>
      <c r="AP87" s="702">
        <f>((($M87)*(AP35))/(12))</f>
        <v/>
      </c>
      <c r="AQ87" s="702">
        <f>((($M87)*(AQ35))/(12))</f>
        <v/>
      </c>
      <c r="AR87" s="702">
        <f>((($M87)*(AR35))/(12))</f>
        <v/>
      </c>
      <c r="AS87" s="702">
        <f>((($M87)*(AS35))/(12))</f>
        <v/>
      </c>
      <c r="AT87" s="702">
        <f>((($M87)*(AT35))/(12))</f>
        <v/>
      </c>
      <c r="AU87" s="702">
        <f>((($M87)*(AU35))/(12))</f>
        <v/>
      </c>
      <c r="AV87" s="702">
        <f>((($M87)*(AV35))/(12))</f>
        <v/>
      </c>
      <c r="AW87" s="702">
        <f>((($M87)*(AW35))/(12))</f>
        <v/>
      </c>
      <c r="AX87" s="702">
        <f>((($M87)*(AX35))/(12))</f>
        <v/>
      </c>
      <c r="AY87" s="702">
        <f>((($M87)*(AY35))/(12))</f>
        <v/>
      </c>
      <c r="AZ87" s="702">
        <f>((($M87)*(AZ35))/(12))</f>
        <v/>
      </c>
      <c r="BA87" s="702">
        <f>((($M87)*(BA35))/(12))</f>
        <v/>
      </c>
      <c r="BB87" s="765">
        <f>SUM(AP87:BA87)</f>
        <v/>
      </c>
      <c r="BC87" s="702" t="n"/>
      <c r="BD87" s="702">
        <f>((($N87)*(BD35))/(12))</f>
        <v/>
      </c>
      <c r="BE87" s="702">
        <f>((($N87)*(BE35))/(12))</f>
        <v/>
      </c>
      <c r="BF87" s="702">
        <f>((($N87)*(BF35))/(12))</f>
        <v/>
      </c>
      <c r="BG87" s="702">
        <f>((($N87)*(BG35))/(12))</f>
        <v/>
      </c>
      <c r="BH87" s="702">
        <f>((($N87)*(BH35))/(12))</f>
        <v/>
      </c>
      <c r="BI87" s="702">
        <f>((($N87)*(BI35))/(12))</f>
        <v/>
      </c>
      <c r="BJ87" s="702">
        <f>((($N87)*(BJ35))/(12))</f>
        <v/>
      </c>
      <c r="BK87" s="702">
        <f>((($N87)*(BK35))/(12))</f>
        <v/>
      </c>
      <c r="BL87" s="702">
        <f>((($N87)*(BL35))/(12))</f>
        <v/>
      </c>
      <c r="BM87" s="702">
        <f>((($N87)*(BM35))/(12))</f>
        <v/>
      </c>
      <c r="BN87" s="702">
        <f>((($N87)*(BN35))/(12))</f>
        <v/>
      </c>
      <c r="BO87" s="702">
        <f>((($N87)*(BO35))/(12))</f>
        <v/>
      </c>
      <c r="BP87" s="765">
        <f>SUM(BD87:BO87)</f>
        <v/>
      </c>
      <c r="BQ87" s="713" t="n"/>
      <c r="BR87" s="702">
        <f>((($O87)*(BR35))/(12))</f>
        <v/>
      </c>
      <c r="BS87" s="702">
        <f>((($O87)*(BS35))/(12))</f>
        <v/>
      </c>
      <c r="BT87" s="702">
        <f>((($O87)*(BT35))/(12))</f>
        <v/>
      </c>
      <c r="BU87" s="702">
        <f>((($O87)*(BU35))/(12))</f>
        <v/>
      </c>
      <c r="BV87" s="702">
        <f>((($O87)*(BV35))/(12))</f>
        <v/>
      </c>
      <c r="BW87" s="702">
        <f>((($O87)*(BW35))/(12))</f>
        <v/>
      </c>
      <c r="BX87" s="702">
        <f>((($O87)*(BX35))/(12))</f>
        <v/>
      </c>
      <c r="BY87" s="702">
        <f>((($O87)*(BY35))/(12))</f>
        <v/>
      </c>
      <c r="BZ87" s="702">
        <f>((($O87)*(BZ35))/(12))</f>
        <v/>
      </c>
      <c r="CA87" s="702">
        <f>((($O87)*(CA35))/(12))</f>
        <v/>
      </c>
      <c r="CB87" s="702">
        <f>((($O87)*(CB35))/(12))</f>
        <v/>
      </c>
      <c r="CC87" s="702">
        <f>((($O87)*(CC35))/(12))</f>
        <v/>
      </c>
      <c r="CD87" s="765">
        <f>SUM(BR87:CC87)</f>
        <v/>
      </c>
      <c r="CE87" s="713" t="n"/>
      <c r="CF87" s="702">
        <f>((($P87)*(CF35))/(12))</f>
        <v/>
      </c>
      <c r="CG87" s="702">
        <f>((($P87)*(CG35))/(12))</f>
        <v/>
      </c>
      <c r="CH87" s="702">
        <f>((($P87)*(CH35))/(12))</f>
        <v/>
      </c>
      <c r="CI87" s="702">
        <f>((($P87)*(CI35))/(12))</f>
        <v/>
      </c>
      <c r="CJ87" s="702">
        <f>((($P87)*(CJ35))/(12))</f>
        <v/>
      </c>
      <c r="CK87" s="702">
        <f>((($P87)*(CK35))/(12))</f>
        <v/>
      </c>
      <c r="CL87" s="702">
        <f>((($P87)*(CL35))/(12))</f>
        <v/>
      </c>
      <c r="CM87" s="702">
        <f>((($P87)*(CM35))/(12))</f>
        <v/>
      </c>
      <c r="CN87" s="702">
        <f>((($P87)*(CN35))/(12))</f>
        <v/>
      </c>
      <c r="CO87" s="702">
        <f>((($P87)*(CO35))/(12))</f>
        <v/>
      </c>
      <c r="CP87" s="702">
        <f>((($P87)*(CP35))/(12))</f>
        <v/>
      </c>
      <c r="CQ87" s="702">
        <f>((($P87)*(CQ35))/(12))</f>
        <v/>
      </c>
      <c r="CR87" s="765">
        <f>SUM(CF87:CQ87)</f>
        <v/>
      </c>
      <c r="CS87" s="1917" t="n"/>
      <c r="CT87" s="702">
        <f>((($Q87)*(CT35))/(12))</f>
        <v/>
      </c>
      <c r="CU87" s="702">
        <f>((($Q87)*(CU35))/(12))</f>
        <v/>
      </c>
      <c r="CV87" s="702">
        <f>((($Q87)*(CV35))/(12))</f>
        <v/>
      </c>
      <c r="CW87" s="702">
        <f>((($Q87)*(CW35))/(12))</f>
        <v/>
      </c>
      <c r="CX87" s="702">
        <f>((($Q87)*(CX35))/(12))</f>
        <v/>
      </c>
      <c r="CY87" s="702">
        <f>((($Q87)*(CY35))/(12))</f>
        <v/>
      </c>
      <c r="CZ87" s="702">
        <f>((($Q87)*(CZ35))/(12))</f>
        <v/>
      </c>
      <c r="DA87" s="702">
        <f>((($Q87)*(DA35))/(12))</f>
        <v/>
      </c>
      <c r="DB87" s="702">
        <f>((($Q87)*(DB35))/(12))</f>
        <v/>
      </c>
      <c r="DC87" s="702">
        <f>((($Q87)*(DC35))/(12))</f>
        <v/>
      </c>
      <c r="DD87" s="702">
        <f>((($Q87)*(DD35))/(12))</f>
        <v/>
      </c>
      <c r="DE87" s="702">
        <f>((($Q87)*(DE35))/(12))</f>
        <v/>
      </c>
      <c r="DF87" s="765">
        <f>SUM(CT87:DE87)</f>
        <v/>
      </c>
    </row>
    <row r="88" ht="15" customHeight="1" s="1883">
      <c r="D88" s="730" t="inlineStr">
        <is>
          <t>●</t>
        </is>
      </c>
      <c r="E88" s="726" t="inlineStr">
        <is>
          <t>TBD</t>
        </is>
      </c>
      <c r="F88" s="726" t="n"/>
      <c r="G88" s="726" t="n"/>
      <c r="H88" s="726" t="n"/>
      <c r="I88" s="743" t="inlineStr">
        <is>
          <t>Operations Team</t>
        </is>
      </c>
      <c r="J88" s="727" t="inlineStr">
        <is>
          <t>CONUS</t>
        </is>
      </c>
      <c r="K88" s="726" t="n"/>
      <c r="L88" s="702" t="n">
        <v>75000</v>
      </c>
      <c r="M88" s="702" t="n">
        <v>75000</v>
      </c>
      <c r="N88" s="700">
        <f>((M88)*((1)+($N$66)))</f>
        <v/>
      </c>
      <c r="O88" s="700">
        <f>((N88)*((1)+($O$66)))</f>
        <v/>
      </c>
      <c r="P88" s="700">
        <f>((O88)*((1)+($P$66)))</f>
        <v/>
      </c>
      <c r="Q88" s="700">
        <f>((P88)*((1)+($Q$66)))</f>
        <v/>
      </c>
      <c r="R88" s="726" t="n"/>
      <c r="S88" s="778" t="n"/>
      <c r="T88" s="778" t="n"/>
      <c r="U88" s="778" t="n"/>
      <c r="V88" s="778" t="n"/>
      <c r="W88" s="778" t="n"/>
      <c r="X88" s="778" t="n"/>
      <c r="Y88" s="778" t="n"/>
      <c r="Z88" s="768" t="n"/>
      <c r="AA88" s="702" t="n"/>
      <c r="AB88" s="702">
        <f>((($L88)*(AB36))/(12))</f>
        <v/>
      </c>
      <c r="AC88" s="702">
        <f>((($L88)*(AC36))/(12))</f>
        <v/>
      </c>
      <c r="AD88" s="702">
        <f>((($L88)*(AD36))/(12))</f>
        <v/>
      </c>
      <c r="AE88" s="702">
        <f>((($L88)*(AE36))/(12))</f>
        <v/>
      </c>
      <c r="AF88" s="702">
        <f>((($L88)*(AF36))/(12))</f>
        <v/>
      </c>
      <c r="AG88" s="702">
        <f>((($L88)*(AG36))/(12))</f>
        <v/>
      </c>
      <c r="AH88" s="702">
        <f>((($L88)*(AH36))/(12))</f>
        <v/>
      </c>
      <c r="AI88" s="702">
        <f>((($L88)*(AI36))/(12))</f>
        <v/>
      </c>
      <c r="AJ88" s="702">
        <f>((($L88)*(AJ36))/(12))</f>
        <v/>
      </c>
      <c r="AK88" s="702">
        <f>((($L88)*(AK36))/(12))</f>
        <v/>
      </c>
      <c r="AL88" s="702">
        <f>((($L88)*(AL36))/(12))</f>
        <v/>
      </c>
      <c r="AM88" s="702">
        <f>((($L88)*(AM36))/(12))</f>
        <v/>
      </c>
      <c r="AN88" s="765">
        <f>+SUM(AB88:AM88)</f>
        <v/>
      </c>
      <c r="AO88" s="702" t="n"/>
      <c r="AP88" s="702">
        <f>((($M88)*(AP36))/(12))</f>
        <v/>
      </c>
      <c r="AQ88" s="702">
        <f>((($M88)*(AQ36))/(12))</f>
        <v/>
      </c>
      <c r="AR88" s="702">
        <f>((($M88)*(AR36))/(12))</f>
        <v/>
      </c>
      <c r="AS88" s="702">
        <f>((($M88)*(AS36))/(12))</f>
        <v/>
      </c>
      <c r="AT88" s="702">
        <f>((($M88)*(AT36))/(12))</f>
        <v/>
      </c>
      <c r="AU88" s="702">
        <f>((($M88)*(AU36))/(12))</f>
        <v/>
      </c>
      <c r="AV88" s="702">
        <f>((($M88)*(AV36))/(12))</f>
        <v/>
      </c>
      <c r="AW88" s="702">
        <f>((($M88)*(AW36))/(12))</f>
        <v/>
      </c>
      <c r="AX88" s="702">
        <f>((($M88)*(AX36))/(12))</f>
        <v/>
      </c>
      <c r="AY88" s="702">
        <f>((($M88)*(AY36))/(12))</f>
        <v/>
      </c>
      <c r="AZ88" s="702">
        <f>((($M88)*(AZ36))/(12))</f>
        <v/>
      </c>
      <c r="BA88" s="702">
        <f>((($M88)*(BA36))/(12))</f>
        <v/>
      </c>
      <c r="BB88" s="765">
        <f>SUM(AP88:BA88)</f>
        <v/>
      </c>
      <c r="BC88" s="702" t="n"/>
      <c r="BD88" s="702">
        <f>((($N88)*(BD36))/(12))</f>
        <v/>
      </c>
      <c r="BE88" s="702">
        <f>((($N88)*(BE36))/(12))</f>
        <v/>
      </c>
      <c r="BF88" s="702">
        <f>((($N88)*(BF36))/(12))</f>
        <v/>
      </c>
      <c r="BG88" s="702">
        <f>((($N88)*(BG36))/(12))</f>
        <v/>
      </c>
      <c r="BH88" s="702">
        <f>((($N88)*(BH36))/(12))</f>
        <v/>
      </c>
      <c r="BI88" s="702">
        <f>((($N88)*(BI36))/(12))</f>
        <v/>
      </c>
      <c r="BJ88" s="702">
        <f>((($N88)*(BJ36))/(12))</f>
        <v/>
      </c>
      <c r="BK88" s="702">
        <f>((($N88)*(BK36))/(12))</f>
        <v/>
      </c>
      <c r="BL88" s="702">
        <f>((($N88)*(BL36))/(12))</f>
        <v/>
      </c>
      <c r="BM88" s="702">
        <f>((($N88)*(BM36))/(12))</f>
        <v/>
      </c>
      <c r="BN88" s="702">
        <f>((($N88)*(BN36))/(12))</f>
        <v/>
      </c>
      <c r="BO88" s="702">
        <f>((($N88)*(BO36))/(12))</f>
        <v/>
      </c>
      <c r="BP88" s="765">
        <f>SUM(BD88:BO88)</f>
        <v/>
      </c>
      <c r="BQ88" s="713" t="n"/>
      <c r="BR88" s="702">
        <f>((($O88)*(BR36))/(12))</f>
        <v/>
      </c>
      <c r="BS88" s="702">
        <f>((($O88)*(BS36))/(12))</f>
        <v/>
      </c>
      <c r="BT88" s="702">
        <f>((($O88)*(BT36))/(12))</f>
        <v/>
      </c>
      <c r="BU88" s="702">
        <f>((($O88)*(BU36))/(12))</f>
        <v/>
      </c>
      <c r="BV88" s="702">
        <f>((($O88)*(BV36))/(12))</f>
        <v/>
      </c>
      <c r="BW88" s="702">
        <f>((($O88)*(BW36))/(12))</f>
        <v/>
      </c>
      <c r="BX88" s="702">
        <f>((($O88)*(BX36))/(12))</f>
        <v/>
      </c>
      <c r="BY88" s="702">
        <f>((($O88)*(BY36))/(12))</f>
        <v/>
      </c>
      <c r="BZ88" s="702">
        <f>((($O88)*(BZ36))/(12))</f>
        <v/>
      </c>
      <c r="CA88" s="702">
        <f>((($O88)*(CA36))/(12))</f>
        <v/>
      </c>
      <c r="CB88" s="702">
        <f>((($O88)*(CB36))/(12))</f>
        <v/>
      </c>
      <c r="CC88" s="702">
        <f>((($O88)*(CC36))/(12))</f>
        <v/>
      </c>
      <c r="CD88" s="765">
        <f>SUM(BR88:CC88)</f>
        <v/>
      </c>
      <c r="CE88" s="713" t="n"/>
      <c r="CF88" s="702">
        <f>((($P88)*(CF36))/(12))</f>
        <v/>
      </c>
      <c r="CG88" s="702">
        <f>((($P88)*(CG36))/(12))</f>
        <v/>
      </c>
      <c r="CH88" s="702">
        <f>((($P88)*(CH36))/(12))</f>
        <v/>
      </c>
      <c r="CI88" s="702">
        <f>((($P88)*(CI36))/(12))</f>
        <v/>
      </c>
      <c r="CJ88" s="702">
        <f>((($P88)*(CJ36))/(12))</f>
        <v/>
      </c>
      <c r="CK88" s="702">
        <f>((($P88)*(CK36))/(12))</f>
        <v/>
      </c>
      <c r="CL88" s="702">
        <f>((($P88)*(CL36))/(12))</f>
        <v/>
      </c>
      <c r="CM88" s="702">
        <f>((($P88)*(CM36))/(12))</f>
        <v/>
      </c>
      <c r="CN88" s="702">
        <f>((($P88)*(CN36))/(12))</f>
        <v/>
      </c>
      <c r="CO88" s="702">
        <f>((($P88)*(CO36))/(12))</f>
        <v/>
      </c>
      <c r="CP88" s="702">
        <f>((($P88)*(CP36))/(12))</f>
        <v/>
      </c>
      <c r="CQ88" s="702">
        <f>((($P88)*(CQ36))/(12))</f>
        <v/>
      </c>
      <c r="CR88" s="765">
        <f>SUM(CF88:CQ88)</f>
        <v/>
      </c>
      <c r="CS88" s="1917" t="n"/>
      <c r="CT88" s="702">
        <f>((($Q88)*(CT36))/(12))</f>
        <v/>
      </c>
      <c r="CU88" s="702">
        <f>((($Q88)*(CU36))/(12))</f>
        <v/>
      </c>
      <c r="CV88" s="702">
        <f>((($Q88)*(CV36))/(12))</f>
        <v/>
      </c>
      <c r="CW88" s="702">
        <f>((($Q88)*(CW36))/(12))</f>
        <v/>
      </c>
      <c r="CX88" s="702">
        <f>((($Q88)*(CX36))/(12))</f>
        <v/>
      </c>
      <c r="CY88" s="702">
        <f>((($Q88)*(CY36))/(12))</f>
        <v/>
      </c>
      <c r="CZ88" s="702">
        <f>((($Q88)*(CZ36))/(12))</f>
        <v/>
      </c>
      <c r="DA88" s="702">
        <f>((($Q88)*(DA36))/(12))</f>
        <v/>
      </c>
      <c r="DB88" s="702">
        <f>((($Q88)*(DB36))/(12))</f>
        <v/>
      </c>
      <c r="DC88" s="702">
        <f>((($Q88)*(DC36))/(12))</f>
        <v/>
      </c>
      <c r="DD88" s="702">
        <f>((($Q88)*(DD36))/(12))</f>
        <v/>
      </c>
      <c r="DE88" s="702">
        <f>((($Q88)*(DE36))/(12))</f>
        <v/>
      </c>
      <c r="DF88" s="765">
        <f>SUM(CT88:DE88)</f>
        <v/>
      </c>
    </row>
    <row r="89" ht="15" customHeight="1" s="1883">
      <c r="D89" s="730" t="n"/>
      <c r="E89" s="726" t="n"/>
      <c r="F89" s="726" t="n"/>
      <c r="G89" s="726" t="n"/>
      <c r="H89" s="726" t="n"/>
      <c r="I89" s="743" t="n"/>
      <c r="J89" s="774" t="inlineStr">
        <is>
          <t>OCONUS</t>
        </is>
      </c>
      <c r="K89" s="726" t="n"/>
      <c r="L89" s="702" t="n">
        <v>50000</v>
      </c>
      <c r="M89" s="702" t="n">
        <v>50000</v>
      </c>
      <c r="N89" s="700">
        <f>((M89)*((1)+($N$66)))</f>
        <v/>
      </c>
      <c r="O89" s="700">
        <f>((N89)*((1)+($O$66)))</f>
        <v/>
      </c>
      <c r="P89" s="700">
        <f>((O89)*((1)+($P$66)))</f>
        <v/>
      </c>
      <c r="Q89" s="700">
        <f>((P89)*((1)+($Q$66)))</f>
        <v/>
      </c>
      <c r="R89" s="726" t="n"/>
      <c r="S89" s="778" t="n"/>
      <c r="T89" s="778" t="n"/>
      <c r="U89" s="778" t="n"/>
      <c r="V89" s="778" t="n"/>
      <c r="W89" s="778" t="n"/>
      <c r="X89" s="778" t="n"/>
      <c r="Y89" s="778" t="n"/>
      <c r="Z89" s="768" t="n"/>
      <c r="AA89" s="702" t="n"/>
      <c r="AB89" s="702">
        <f>((($L89)*(AB37))/(12))</f>
        <v/>
      </c>
      <c r="AC89" s="702">
        <f>((($L89)*(AC37))/(12))</f>
        <v/>
      </c>
      <c r="AD89" s="702">
        <f>((($L89)*(AD37))/(12))</f>
        <v/>
      </c>
      <c r="AE89" s="702">
        <f>((($L89)*(AE37))/(12))</f>
        <v/>
      </c>
      <c r="AF89" s="702">
        <f>((($L89)*(AF37))/(12))</f>
        <v/>
      </c>
      <c r="AG89" s="702">
        <f>((($L89)*(AG37))/(12))</f>
        <v/>
      </c>
      <c r="AH89" s="702">
        <f>((($L89)*(AH37))/(12))</f>
        <v/>
      </c>
      <c r="AI89" s="702">
        <f>((($L89)*(AI37))/(12))</f>
        <v/>
      </c>
      <c r="AJ89" s="702">
        <f>((($L89)*(AJ37))/(12))</f>
        <v/>
      </c>
      <c r="AK89" s="702">
        <f>((($L89)*(AK37))/(12))</f>
        <v/>
      </c>
      <c r="AL89" s="702">
        <f>((($L89)*(AL37))/(12))</f>
        <v/>
      </c>
      <c r="AM89" s="702">
        <f>((($L89)*(AM37))/(12))</f>
        <v/>
      </c>
      <c r="AN89" s="765">
        <f>+SUM(AB89:AM89)</f>
        <v/>
      </c>
      <c r="AO89" s="702" t="n"/>
      <c r="AP89" s="702">
        <f>((($M89)*(AP37))/(12))</f>
        <v/>
      </c>
      <c r="AQ89" s="702">
        <f>((($M89)*(AQ37))/(12))</f>
        <v/>
      </c>
      <c r="AR89" s="702">
        <f>((($M89)*(AR37))/(12))</f>
        <v/>
      </c>
      <c r="AS89" s="702">
        <f>((($M89)*(AS37))/(12))</f>
        <v/>
      </c>
      <c r="AT89" s="702">
        <f>((($M89)*(AT37))/(12))</f>
        <v/>
      </c>
      <c r="AU89" s="702">
        <f>((($M89)*(AU37))/(12))</f>
        <v/>
      </c>
      <c r="AV89" s="702">
        <f>((($M89)*(AV37))/(12))</f>
        <v/>
      </c>
      <c r="AW89" s="702">
        <f>((($M89)*(AW37))/(12))</f>
        <v/>
      </c>
      <c r="AX89" s="702">
        <f>((($M89)*(AX37))/(12))</f>
        <v/>
      </c>
      <c r="AY89" s="702">
        <f>((($M89)*(AY37))/(12))</f>
        <v/>
      </c>
      <c r="AZ89" s="702">
        <f>((($M89)*(AZ37))/(12))</f>
        <v/>
      </c>
      <c r="BA89" s="702">
        <f>((($M89)*(BA37))/(12))</f>
        <v/>
      </c>
      <c r="BB89" s="765">
        <f>SUM(AP89:BA89)</f>
        <v/>
      </c>
      <c r="BC89" s="702" t="n"/>
      <c r="BD89" s="702">
        <f>((($N89)*(BD37))/(12))</f>
        <v/>
      </c>
      <c r="BE89" s="702">
        <f>((($N89)*(BE37))/(12))</f>
        <v/>
      </c>
      <c r="BF89" s="702">
        <f>((($N89)*(BF37))/(12))</f>
        <v/>
      </c>
      <c r="BG89" s="702">
        <f>((($N89)*(BG37))/(12))</f>
        <v/>
      </c>
      <c r="BH89" s="702">
        <f>((($N89)*(BH37))/(12))</f>
        <v/>
      </c>
      <c r="BI89" s="702">
        <f>((($N89)*(BI37))/(12))</f>
        <v/>
      </c>
      <c r="BJ89" s="702">
        <f>((($N89)*(BJ37))/(12))</f>
        <v/>
      </c>
      <c r="BK89" s="702">
        <f>((($N89)*(BK37))/(12))</f>
        <v/>
      </c>
      <c r="BL89" s="702">
        <f>((($N89)*(BL37))/(12))</f>
        <v/>
      </c>
      <c r="BM89" s="702">
        <f>((($N89)*(BM37))/(12))</f>
        <v/>
      </c>
      <c r="BN89" s="702">
        <f>((($N89)*(BN37))/(12))</f>
        <v/>
      </c>
      <c r="BO89" s="702">
        <f>((($N89)*(BO37))/(12))</f>
        <v/>
      </c>
      <c r="BP89" s="765">
        <f>SUM(BD89:BO89)</f>
        <v/>
      </c>
      <c r="BQ89" s="713" t="n"/>
      <c r="BR89" s="702">
        <f>((($O89)*(BR37))/(12))</f>
        <v/>
      </c>
      <c r="BS89" s="702">
        <f>((($O89)*(BS37))/(12))</f>
        <v/>
      </c>
      <c r="BT89" s="702">
        <f>((($O89)*(BT37))/(12))</f>
        <v/>
      </c>
      <c r="BU89" s="702">
        <f>((($O89)*(BU37))/(12))</f>
        <v/>
      </c>
      <c r="BV89" s="702">
        <f>((($O89)*(BV37))/(12))</f>
        <v/>
      </c>
      <c r="BW89" s="702">
        <f>((($O89)*(BW37))/(12))</f>
        <v/>
      </c>
      <c r="BX89" s="702">
        <f>((($O89)*(BX37))/(12))</f>
        <v/>
      </c>
      <c r="BY89" s="702">
        <f>((($O89)*(BY37))/(12))</f>
        <v/>
      </c>
      <c r="BZ89" s="702">
        <f>((($O89)*(BZ37))/(12))</f>
        <v/>
      </c>
      <c r="CA89" s="702">
        <f>((($O89)*(CA37))/(12))</f>
        <v/>
      </c>
      <c r="CB89" s="702">
        <f>((($O89)*(CB37))/(12))</f>
        <v/>
      </c>
      <c r="CC89" s="702">
        <f>((($O89)*(CC37))/(12))</f>
        <v/>
      </c>
      <c r="CD89" s="765">
        <f>SUM(BR89:CC89)</f>
        <v/>
      </c>
      <c r="CE89" s="713" t="n"/>
      <c r="CF89" s="702">
        <f>((($P89)*(CF37))/(12))</f>
        <v/>
      </c>
      <c r="CG89" s="702">
        <f>((($P89)*(CG37))/(12))</f>
        <v/>
      </c>
      <c r="CH89" s="702">
        <f>((($P89)*(CH37))/(12))</f>
        <v/>
      </c>
      <c r="CI89" s="702">
        <f>((($P89)*(CI37))/(12))</f>
        <v/>
      </c>
      <c r="CJ89" s="702">
        <f>((($P89)*(CJ37))/(12))</f>
        <v/>
      </c>
      <c r="CK89" s="702">
        <f>((($P89)*(CK37))/(12))</f>
        <v/>
      </c>
      <c r="CL89" s="702">
        <f>((($P89)*(CL37))/(12))</f>
        <v/>
      </c>
      <c r="CM89" s="702">
        <f>((($P89)*(CM37))/(12))</f>
        <v/>
      </c>
      <c r="CN89" s="702">
        <f>((($P89)*(CN37))/(12))</f>
        <v/>
      </c>
      <c r="CO89" s="702">
        <f>((($P89)*(CO37))/(12))</f>
        <v/>
      </c>
      <c r="CP89" s="702">
        <f>((($P89)*(CP37))/(12))</f>
        <v/>
      </c>
      <c r="CQ89" s="702">
        <f>((($P89)*(CQ37))/(12))</f>
        <v/>
      </c>
      <c r="CR89" s="765">
        <f>SUM(CF89:CQ89)</f>
        <v/>
      </c>
      <c r="CS89" s="1917" t="n"/>
      <c r="CT89" s="702">
        <f>((($Q89)*(CT37))/(12))</f>
        <v/>
      </c>
      <c r="CU89" s="702">
        <f>((($Q89)*(CU37))/(12))</f>
        <v/>
      </c>
      <c r="CV89" s="702">
        <f>((($Q89)*(CV37))/(12))</f>
        <v/>
      </c>
      <c r="CW89" s="702">
        <f>((($Q89)*(CW37))/(12))</f>
        <v/>
      </c>
      <c r="CX89" s="702">
        <f>((($Q89)*(CX37))/(12))</f>
        <v/>
      </c>
      <c r="CY89" s="702">
        <f>((($Q89)*(CY37))/(12))</f>
        <v/>
      </c>
      <c r="CZ89" s="702">
        <f>((($Q89)*(CZ37))/(12))</f>
        <v/>
      </c>
      <c r="DA89" s="702">
        <f>((($Q89)*(DA37))/(12))</f>
        <v/>
      </c>
      <c r="DB89" s="702">
        <f>((($Q89)*(DB37))/(12))</f>
        <v/>
      </c>
      <c r="DC89" s="702">
        <f>((($Q89)*(DC37))/(12))</f>
        <v/>
      </c>
      <c r="DD89" s="702">
        <f>((($Q89)*(DD37))/(12))</f>
        <v/>
      </c>
      <c r="DE89" s="702">
        <f>((($Q89)*(DE37))/(12))</f>
        <v/>
      </c>
      <c r="DF89" s="765">
        <f>SUM(CT89:DE89)</f>
        <v/>
      </c>
    </row>
    <row r="90" ht="15" customHeight="1" s="1883">
      <c r="D90" s="730" t="inlineStr">
        <is>
          <t>●</t>
        </is>
      </c>
      <c r="E90" s="726" t="inlineStr">
        <is>
          <t>TBD</t>
        </is>
      </c>
      <c r="F90" s="726" t="n"/>
      <c r="G90" s="726" t="n"/>
      <c r="H90" s="726" t="n"/>
      <c r="I90" s="743" t="inlineStr">
        <is>
          <t xml:space="preserve">Finance Team </t>
        </is>
      </c>
      <c r="J90" s="727" t="inlineStr">
        <is>
          <t>CONUS</t>
        </is>
      </c>
      <c r="K90" s="726" t="n"/>
      <c r="L90" s="702" t="n">
        <v>75000</v>
      </c>
      <c r="M90" s="702" t="n">
        <v>75000</v>
      </c>
      <c r="N90" s="700">
        <f>((M90)*((1)+($N$66)))</f>
        <v/>
      </c>
      <c r="O90" s="700">
        <f>((N90)*((1)+($O$66)))</f>
        <v/>
      </c>
      <c r="P90" s="700">
        <f>((O90)*((1)+($P$66)))</f>
        <v/>
      </c>
      <c r="Q90" s="700">
        <f>((P90)*((1)+($Q$66)))</f>
        <v/>
      </c>
      <c r="R90" s="726" t="n"/>
      <c r="S90" s="778" t="n"/>
      <c r="T90" s="778" t="n"/>
      <c r="U90" s="778" t="n"/>
      <c r="V90" s="778" t="n"/>
      <c r="W90" s="778" t="n"/>
      <c r="X90" s="778" t="n"/>
      <c r="Y90" s="778" t="n"/>
      <c r="Z90" s="768" t="n"/>
      <c r="AA90" s="702" t="n"/>
      <c r="AB90" s="702">
        <f>((($L90)*(AB38))/(12))</f>
        <v/>
      </c>
      <c r="AC90" s="702">
        <f>((($L90)*(AC38))/(12))</f>
        <v/>
      </c>
      <c r="AD90" s="702">
        <f>((($L90)*(AD38))/(12))</f>
        <v/>
      </c>
      <c r="AE90" s="702">
        <f>((($L90)*(AE38))/(12))</f>
        <v/>
      </c>
      <c r="AF90" s="702">
        <f>((($L90)*(AF38))/(12))</f>
        <v/>
      </c>
      <c r="AG90" s="702">
        <f>((($L90)*(AG38))/(12))</f>
        <v/>
      </c>
      <c r="AH90" s="702">
        <f>((($L90)*(AH38))/(12))</f>
        <v/>
      </c>
      <c r="AI90" s="702">
        <f>((($L90)*(AI38))/(12))</f>
        <v/>
      </c>
      <c r="AJ90" s="702">
        <f>((($L90)*(AJ38))/(12))</f>
        <v/>
      </c>
      <c r="AK90" s="702">
        <f>((($L90)*(AK38))/(12))</f>
        <v/>
      </c>
      <c r="AL90" s="702">
        <f>((($L90)*(AL38))/(12))</f>
        <v/>
      </c>
      <c r="AM90" s="702">
        <f>((($L90)*(AM38))/(12))</f>
        <v/>
      </c>
      <c r="AN90" s="765">
        <f>+SUM(AB90:AM90)</f>
        <v/>
      </c>
      <c r="AO90" s="702" t="n"/>
      <c r="AP90" s="702">
        <f>((($M90)*(AP38))/(12))</f>
        <v/>
      </c>
      <c r="AQ90" s="702">
        <f>((($M90)*(AQ38))/(12))</f>
        <v/>
      </c>
      <c r="AR90" s="702">
        <f>((($M90)*(AR38))/(12))</f>
        <v/>
      </c>
      <c r="AS90" s="702">
        <f>((($M90)*(AS38))/(12))</f>
        <v/>
      </c>
      <c r="AT90" s="702">
        <f>((($M90)*(AT38))/(12))</f>
        <v/>
      </c>
      <c r="AU90" s="702">
        <f>((($M90)*(AU38))/(12))</f>
        <v/>
      </c>
      <c r="AV90" s="702">
        <f>((($M90)*(AV38))/(12))</f>
        <v/>
      </c>
      <c r="AW90" s="702">
        <f>((($M90)*(AW38))/(12))</f>
        <v/>
      </c>
      <c r="AX90" s="702">
        <f>((($M90)*(AX38))/(12))</f>
        <v/>
      </c>
      <c r="AY90" s="702">
        <f>((($M90)*(AY38))/(12))</f>
        <v/>
      </c>
      <c r="AZ90" s="702">
        <f>((($M90)*(AZ38))/(12))</f>
        <v/>
      </c>
      <c r="BA90" s="702">
        <f>((($M90)*(BA38))/(12))</f>
        <v/>
      </c>
      <c r="BB90" s="765">
        <f>SUM(AP90:BA90)</f>
        <v/>
      </c>
      <c r="BC90" s="702" t="n"/>
      <c r="BD90" s="702">
        <f>((($N90)*(BD38))/(12))</f>
        <v/>
      </c>
      <c r="BE90" s="702">
        <f>((($N90)*(BE38))/(12))</f>
        <v/>
      </c>
      <c r="BF90" s="702">
        <f>((($N90)*(BF38))/(12))</f>
        <v/>
      </c>
      <c r="BG90" s="702">
        <f>((($N90)*(BG38))/(12))</f>
        <v/>
      </c>
      <c r="BH90" s="702">
        <f>((($N90)*(BH38))/(12))</f>
        <v/>
      </c>
      <c r="BI90" s="702">
        <f>((($N90)*(BI38))/(12))</f>
        <v/>
      </c>
      <c r="BJ90" s="702">
        <f>((($N90)*(BJ38))/(12))</f>
        <v/>
      </c>
      <c r="BK90" s="702">
        <f>((($N90)*(BK38))/(12))</f>
        <v/>
      </c>
      <c r="BL90" s="702">
        <f>((($N90)*(BL38))/(12))</f>
        <v/>
      </c>
      <c r="BM90" s="702">
        <f>((($N90)*(BM38))/(12))</f>
        <v/>
      </c>
      <c r="BN90" s="702">
        <f>((($N90)*(BN38))/(12))</f>
        <v/>
      </c>
      <c r="BO90" s="702">
        <f>((($N90)*(BO38))/(12))</f>
        <v/>
      </c>
      <c r="BP90" s="765">
        <f>SUM(BD90:BO90)</f>
        <v/>
      </c>
      <c r="BQ90" s="713" t="n"/>
      <c r="BR90" s="702">
        <f>((($O90)*(BR38))/(12))</f>
        <v/>
      </c>
      <c r="BS90" s="702">
        <f>((($O90)*(BS38))/(12))</f>
        <v/>
      </c>
      <c r="BT90" s="702">
        <f>((($O90)*(BT38))/(12))</f>
        <v/>
      </c>
      <c r="BU90" s="702">
        <f>((($O90)*(BU38))/(12))</f>
        <v/>
      </c>
      <c r="BV90" s="702">
        <f>((($O90)*(BV38))/(12))</f>
        <v/>
      </c>
      <c r="BW90" s="702">
        <f>((($O90)*(BW38))/(12))</f>
        <v/>
      </c>
      <c r="BX90" s="702">
        <f>((($O90)*(BX38))/(12))</f>
        <v/>
      </c>
      <c r="BY90" s="702">
        <f>((($O90)*(BY38))/(12))</f>
        <v/>
      </c>
      <c r="BZ90" s="702">
        <f>((($O90)*(BZ38))/(12))</f>
        <v/>
      </c>
      <c r="CA90" s="702">
        <f>((($O90)*(CA38))/(12))</f>
        <v/>
      </c>
      <c r="CB90" s="702">
        <f>((($O90)*(CB38))/(12))</f>
        <v/>
      </c>
      <c r="CC90" s="702">
        <f>((($O90)*(CC38))/(12))</f>
        <v/>
      </c>
      <c r="CD90" s="765">
        <f>SUM(BR90:CC90)</f>
        <v/>
      </c>
      <c r="CE90" s="713" t="n"/>
      <c r="CF90" s="702">
        <f>((($P90)*(CF38))/(12))</f>
        <v/>
      </c>
      <c r="CG90" s="702">
        <f>((($P90)*(CG38))/(12))</f>
        <v/>
      </c>
      <c r="CH90" s="702">
        <f>((($P90)*(CH38))/(12))</f>
        <v/>
      </c>
      <c r="CI90" s="702">
        <f>((($P90)*(CI38))/(12))</f>
        <v/>
      </c>
      <c r="CJ90" s="702">
        <f>((($P90)*(CJ38))/(12))</f>
        <v/>
      </c>
      <c r="CK90" s="702">
        <f>((($P90)*(CK38))/(12))</f>
        <v/>
      </c>
      <c r="CL90" s="702">
        <f>((($P90)*(CL38))/(12))</f>
        <v/>
      </c>
      <c r="CM90" s="702">
        <f>((($P90)*(CM38))/(12))</f>
        <v/>
      </c>
      <c r="CN90" s="702">
        <f>((($P90)*(CN38))/(12))</f>
        <v/>
      </c>
      <c r="CO90" s="702">
        <f>((($P90)*(CO38))/(12))</f>
        <v/>
      </c>
      <c r="CP90" s="702">
        <f>((($P90)*(CP38))/(12))</f>
        <v/>
      </c>
      <c r="CQ90" s="702">
        <f>((($P90)*(CQ38))/(12))</f>
        <v/>
      </c>
      <c r="CR90" s="765">
        <f>SUM(CF90:CQ90)</f>
        <v/>
      </c>
      <c r="CS90" s="1917" t="n"/>
      <c r="CT90" s="702">
        <f>((($Q90)*(CT38))/(12))</f>
        <v/>
      </c>
      <c r="CU90" s="702">
        <f>((($Q90)*(CU38))/(12))</f>
        <v/>
      </c>
      <c r="CV90" s="702">
        <f>((($Q90)*(CV38))/(12))</f>
        <v/>
      </c>
      <c r="CW90" s="702">
        <f>((($Q90)*(CW38))/(12))</f>
        <v/>
      </c>
      <c r="CX90" s="702">
        <f>((($Q90)*(CX38))/(12))</f>
        <v/>
      </c>
      <c r="CY90" s="702">
        <f>((($Q90)*(CY38))/(12))</f>
        <v/>
      </c>
      <c r="CZ90" s="702">
        <f>((($Q90)*(CZ38))/(12))</f>
        <v/>
      </c>
      <c r="DA90" s="702">
        <f>((($Q90)*(DA38))/(12))</f>
        <v/>
      </c>
      <c r="DB90" s="702">
        <f>((($Q90)*(DB38))/(12))</f>
        <v/>
      </c>
      <c r="DC90" s="702">
        <f>((($Q90)*(DC38))/(12))</f>
        <v/>
      </c>
      <c r="DD90" s="702">
        <f>((($Q90)*(DD38))/(12))</f>
        <v/>
      </c>
      <c r="DE90" s="702">
        <f>((($Q90)*(DE38))/(12))</f>
        <v/>
      </c>
      <c r="DF90" s="765">
        <f>SUM(CT90:DE90)</f>
        <v/>
      </c>
    </row>
    <row r="91" ht="15" customHeight="1" s="1883">
      <c r="B91" s="1459" t="n"/>
      <c r="D91" s="1460" t="n"/>
      <c r="E91" s="726" t="n"/>
      <c r="F91" s="726" t="n"/>
      <c r="G91" s="726" t="n"/>
      <c r="H91" s="726" t="n"/>
      <c r="I91" s="743" t="n"/>
      <c r="J91" s="774" t="inlineStr">
        <is>
          <t>OCONUS</t>
        </is>
      </c>
      <c r="K91" s="726" t="n"/>
      <c r="L91" s="702" t="n">
        <v>50000</v>
      </c>
      <c r="M91" s="702" t="n">
        <v>50000</v>
      </c>
      <c r="N91" s="700">
        <f>((M91)*((1)+($N$66)))</f>
        <v/>
      </c>
      <c r="O91" s="700">
        <f>((N91)*((1)+($O$66)))</f>
        <v/>
      </c>
      <c r="P91" s="700">
        <f>((O91)*((1)+($P$66)))</f>
        <v/>
      </c>
      <c r="Q91" s="700">
        <f>((P91)*((1)+($Q$66)))</f>
        <v/>
      </c>
      <c r="R91" s="726" t="n"/>
      <c r="S91" s="778" t="n"/>
      <c r="T91" s="778" t="n"/>
      <c r="U91" s="778" t="n"/>
      <c r="V91" s="778" t="n"/>
      <c r="W91" s="778" t="n"/>
      <c r="X91" s="778" t="n"/>
      <c r="Y91" s="778" t="n"/>
      <c r="Z91" s="768" t="n"/>
      <c r="AA91" s="702" t="n"/>
      <c r="AB91" s="702">
        <f>((($L91)*(AB39))/(12))</f>
        <v/>
      </c>
      <c r="AC91" s="702">
        <f>((($L91)*(AC39))/(12))</f>
        <v/>
      </c>
      <c r="AD91" s="702">
        <f>((($L91)*(AD39))/(12))</f>
        <v/>
      </c>
      <c r="AE91" s="702">
        <f>((($L91)*(AE39))/(12))</f>
        <v/>
      </c>
      <c r="AF91" s="702">
        <f>((($L91)*(AF39))/(12))</f>
        <v/>
      </c>
      <c r="AG91" s="702">
        <f>((($L91)*(AG39))/(12))</f>
        <v/>
      </c>
      <c r="AH91" s="702">
        <f>((($L91)*(AH39))/(12))</f>
        <v/>
      </c>
      <c r="AI91" s="702">
        <f>((($L91)*(AI39))/(12))</f>
        <v/>
      </c>
      <c r="AJ91" s="702">
        <f>((($L91)*(AJ39))/(12))</f>
        <v/>
      </c>
      <c r="AK91" s="702">
        <f>((($L91)*(AK39))/(12))</f>
        <v/>
      </c>
      <c r="AL91" s="702">
        <f>((($L91)*(AL39))/(12))</f>
        <v/>
      </c>
      <c r="AM91" s="702">
        <f>((($L91)*(AM39))/(12))</f>
        <v/>
      </c>
      <c r="AN91" s="765">
        <f>+SUM(AB91:AM91)</f>
        <v/>
      </c>
      <c r="AO91" s="702" t="n"/>
      <c r="AP91" s="702">
        <f>((($M91)*(AP39))/(12))</f>
        <v/>
      </c>
      <c r="AQ91" s="702">
        <f>((($M91)*(AQ39))/(12))</f>
        <v/>
      </c>
      <c r="AR91" s="702">
        <f>((($M91)*(AR39))/(12))</f>
        <v/>
      </c>
      <c r="AS91" s="702">
        <f>((($M91)*(AS39))/(12))</f>
        <v/>
      </c>
      <c r="AT91" s="702">
        <f>((($M91)*(AT39))/(12))</f>
        <v/>
      </c>
      <c r="AU91" s="702">
        <f>((($M91)*(AU39))/(12))</f>
        <v/>
      </c>
      <c r="AV91" s="702">
        <f>((($M91)*(AV39))/(12))</f>
        <v/>
      </c>
      <c r="AW91" s="702">
        <f>((($M91)*(AW39))/(12))</f>
        <v/>
      </c>
      <c r="AX91" s="702">
        <f>((($M91)*(AX39))/(12))</f>
        <v/>
      </c>
      <c r="AY91" s="702">
        <f>((($M91)*(AY39))/(12))</f>
        <v/>
      </c>
      <c r="AZ91" s="702">
        <f>((($M91)*(AZ39))/(12))</f>
        <v/>
      </c>
      <c r="BA91" s="702">
        <f>((($M91)*(BA39))/(12))</f>
        <v/>
      </c>
      <c r="BB91" s="765">
        <f>SUM(AP91:BA91)</f>
        <v/>
      </c>
      <c r="BC91" s="702" t="n"/>
      <c r="BD91" s="702">
        <f>((($N91)*(BD39))/(12))</f>
        <v/>
      </c>
      <c r="BE91" s="702">
        <f>((($N91)*(BE39))/(12))</f>
        <v/>
      </c>
      <c r="BF91" s="702">
        <f>((($N91)*(BF39))/(12))</f>
        <v/>
      </c>
      <c r="BG91" s="702">
        <f>((($N91)*(BG39))/(12))</f>
        <v/>
      </c>
      <c r="BH91" s="702">
        <f>((($N91)*(BH39))/(12))</f>
        <v/>
      </c>
      <c r="BI91" s="702">
        <f>((($N91)*(BI39))/(12))</f>
        <v/>
      </c>
      <c r="BJ91" s="702">
        <f>((($N91)*(BJ39))/(12))</f>
        <v/>
      </c>
      <c r="BK91" s="702">
        <f>((($N91)*(BK39))/(12))</f>
        <v/>
      </c>
      <c r="BL91" s="702">
        <f>((($N91)*(BL39))/(12))</f>
        <v/>
      </c>
      <c r="BM91" s="702">
        <f>((($N91)*(BM39))/(12))</f>
        <v/>
      </c>
      <c r="BN91" s="702">
        <f>((($N91)*(BN39))/(12))</f>
        <v/>
      </c>
      <c r="BO91" s="702">
        <f>((($N91)*(BO39))/(12))</f>
        <v/>
      </c>
      <c r="BP91" s="765">
        <f>SUM(BD91:BO91)</f>
        <v/>
      </c>
      <c r="BQ91" s="713" t="n"/>
      <c r="BR91" s="702">
        <f>((($O91)*(BR39))/(12))</f>
        <v/>
      </c>
      <c r="BS91" s="702">
        <f>((($O91)*(BS39))/(12))</f>
        <v/>
      </c>
      <c r="BT91" s="702">
        <f>((($O91)*(BT39))/(12))</f>
        <v/>
      </c>
      <c r="BU91" s="702">
        <f>((($O91)*(BU39))/(12))</f>
        <v/>
      </c>
      <c r="BV91" s="702">
        <f>((($O91)*(BV39))/(12))</f>
        <v/>
      </c>
      <c r="BW91" s="702">
        <f>((($O91)*(BW39))/(12))</f>
        <v/>
      </c>
      <c r="BX91" s="702">
        <f>((($O91)*(BX39))/(12))</f>
        <v/>
      </c>
      <c r="BY91" s="702">
        <f>((($O91)*(BY39))/(12))</f>
        <v/>
      </c>
      <c r="BZ91" s="702">
        <f>((($O91)*(BZ39))/(12))</f>
        <v/>
      </c>
      <c r="CA91" s="702">
        <f>((($O91)*(CA39))/(12))</f>
        <v/>
      </c>
      <c r="CB91" s="702">
        <f>((($O91)*(CB39))/(12))</f>
        <v/>
      </c>
      <c r="CC91" s="702">
        <f>((($O91)*(CC39))/(12))</f>
        <v/>
      </c>
      <c r="CD91" s="765">
        <f>SUM(BR91:CC91)</f>
        <v/>
      </c>
      <c r="CE91" s="713" t="n"/>
      <c r="CF91" s="702">
        <f>((($P91)*(CF39))/(12))</f>
        <v/>
      </c>
      <c r="CG91" s="702">
        <f>((($P91)*(CG39))/(12))</f>
        <v/>
      </c>
      <c r="CH91" s="702">
        <f>((($P91)*(CH39))/(12))</f>
        <v/>
      </c>
      <c r="CI91" s="702">
        <f>((($P91)*(CI39))/(12))</f>
        <v/>
      </c>
      <c r="CJ91" s="702">
        <f>((($P91)*(CJ39))/(12))</f>
        <v/>
      </c>
      <c r="CK91" s="702">
        <f>((($P91)*(CK39))/(12))</f>
        <v/>
      </c>
      <c r="CL91" s="702">
        <f>((($P91)*(CL39))/(12))</f>
        <v/>
      </c>
      <c r="CM91" s="702">
        <f>((($P91)*(CM39))/(12))</f>
        <v/>
      </c>
      <c r="CN91" s="702">
        <f>((($P91)*(CN39))/(12))</f>
        <v/>
      </c>
      <c r="CO91" s="702">
        <f>((($P91)*(CO39))/(12))</f>
        <v/>
      </c>
      <c r="CP91" s="702">
        <f>((($P91)*(CP39))/(12))</f>
        <v/>
      </c>
      <c r="CQ91" s="702">
        <f>((($P91)*(CQ39))/(12))</f>
        <v/>
      </c>
      <c r="CR91" s="765">
        <f>SUM(CF91:CQ91)</f>
        <v/>
      </c>
      <c r="CS91" s="1917" t="n"/>
      <c r="CT91" s="702">
        <f>((($Q91)*(CT39))/(12))</f>
        <v/>
      </c>
      <c r="CU91" s="702">
        <f>((($Q91)*(CU39))/(12))</f>
        <v/>
      </c>
      <c r="CV91" s="702">
        <f>((($Q91)*(CV39))/(12))</f>
        <v/>
      </c>
      <c r="CW91" s="702">
        <f>((($Q91)*(CW39))/(12))</f>
        <v/>
      </c>
      <c r="CX91" s="702">
        <f>((($Q91)*(CX39))/(12))</f>
        <v/>
      </c>
      <c r="CY91" s="702">
        <f>((($Q91)*(CY39))/(12))</f>
        <v/>
      </c>
      <c r="CZ91" s="702">
        <f>((($Q91)*(CZ39))/(12))</f>
        <v/>
      </c>
      <c r="DA91" s="702">
        <f>((($Q91)*(DA39))/(12))</f>
        <v/>
      </c>
      <c r="DB91" s="702">
        <f>((($Q91)*(DB39))/(12))</f>
        <v/>
      </c>
      <c r="DC91" s="702">
        <f>((($Q91)*(DC39))/(12))</f>
        <v/>
      </c>
      <c r="DD91" s="702">
        <f>((($Q91)*(DD39))/(12))</f>
        <v/>
      </c>
      <c r="DE91" s="702">
        <f>((($Q91)*(DE39))/(12))</f>
        <v/>
      </c>
      <c r="DF91" s="765">
        <f>SUM(CT91:DE91)</f>
        <v/>
      </c>
    </row>
    <row r="92" ht="15" customHeight="1" s="1883">
      <c r="D92" s="730" t="inlineStr">
        <is>
          <t>●</t>
        </is>
      </c>
      <c r="E92" s="726" t="inlineStr">
        <is>
          <t>TBD</t>
        </is>
      </c>
      <c r="F92" s="726" t="n"/>
      <c r="G92" s="726" t="n"/>
      <c r="H92" s="726" t="n"/>
      <c r="I92" s="743" t="inlineStr">
        <is>
          <t>Product Development Team + Mechanical Engineer</t>
        </is>
      </c>
      <c r="J92" s="727" t="inlineStr">
        <is>
          <t>CONUS</t>
        </is>
      </c>
      <c r="K92" s="726" t="n"/>
      <c r="L92" s="702" t="n">
        <v>110000</v>
      </c>
      <c r="M92" s="702" t="n">
        <v>115000</v>
      </c>
      <c r="N92" s="700">
        <f>((M92)*((1)+($N$66)))</f>
        <v/>
      </c>
      <c r="O92" s="700">
        <f>((N92)*((1)+($O$66)))</f>
        <v/>
      </c>
      <c r="P92" s="700">
        <f>((O92)*((1)+($P$66)))</f>
        <v/>
      </c>
      <c r="Q92" s="700">
        <f>((P92)*((1)+($Q$66)))</f>
        <v/>
      </c>
      <c r="R92" s="726" t="n"/>
      <c r="S92" s="778" t="n"/>
      <c r="T92" s="778" t="n"/>
      <c r="U92" s="778" t="n"/>
      <c r="V92" s="778" t="n"/>
      <c r="W92" s="778" t="n"/>
      <c r="X92" s="778" t="n"/>
      <c r="Y92" s="778" t="n"/>
      <c r="Z92" s="768" t="n"/>
      <c r="AA92" s="702" t="n"/>
      <c r="AB92" s="702">
        <f>((($L92)*(AB40))/(12))/2</f>
        <v/>
      </c>
      <c r="AC92" s="702">
        <f>((($L92)*(AC40))/(12))</f>
        <v/>
      </c>
      <c r="AD92" s="702">
        <f>((($L92)*(AD40))/(12))</f>
        <v/>
      </c>
      <c r="AE92" s="702">
        <f>((($L92)*(AE40))/(12))</f>
        <v/>
      </c>
      <c r="AF92" s="702">
        <f>((($L92)*(AF40))/(12))</f>
        <v/>
      </c>
      <c r="AG92" s="702">
        <f>((($L92)*(AG40))/(12))</f>
        <v/>
      </c>
      <c r="AH92" s="702">
        <f>((($L92)*(AH40))/(12))</f>
        <v/>
      </c>
      <c r="AI92" s="702">
        <f>((($L92)*(AI40))/(12))</f>
        <v/>
      </c>
      <c r="AJ92" s="702">
        <f>((($L92)*(AJ40))/(12))</f>
        <v/>
      </c>
      <c r="AK92" s="702">
        <f>((($L92)*(AK40))/(12))</f>
        <v/>
      </c>
      <c r="AL92" s="702">
        <f>((($L92)*(AL40))/(12))</f>
        <v/>
      </c>
      <c r="AM92" s="702">
        <f>((($L92)*(AM40))/(12))</f>
        <v/>
      </c>
      <c r="AN92" s="765">
        <f>+SUM(AB92:AM92)</f>
        <v/>
      </c>
      <c r="AO92" s="702" t="n"/>
      <c r="AP92" s="702">
        <f>((($M92)*(AP40))/(12))</f>
        <v/>
      </c>
      <c r="AQ92" s="702">
        <f>((($M92)*(AQ40))/(12))</f>
        <v/>
      </c>
      <c r="AR92" s="702">
        <f>((($M92)*(AR40))/(12))</f>
        <v/>
      </c>
      <c r="AS92" s="702">
        <f>((($M92)*(AS40))/(12))</f>
        <v/>
      </c>
      <c r="AT92" s="702">
        <f>((($M92)*(AT40))/(12))</f>
        <v/>
      </c>
      <c r="AU92" s="702">
        <f>((($M92)*(AU40))/(12))</f>
        <v/>
      </c>
      <c r="AV92" s="702">
        <f>((($M92)*(AV40))/(12))</f>
        <v/>
      </c>
      <c r="AW92" s="702">
        <f>((($M92)*(AW40))/(12))</f>
        <v/>
      </c>
      <c r="AX92" s="702">
        <f>((($M92)*(AX40))/(12))</f>
        <v/>
      </c>
      <c r="AY92" s="702">
        <f>((($M92)*(AY40))/(12))</f>
        <v/>
      </c>
      <c r="AZ92" s="702">
        <f>((($M92)*(AZ40))/(12))</f>
        <v/>
      </c>
      <c r="BA92" s="702">
        <f>((($M92)*(BA40))/(12))</f>
        <v/>
      </c>
      <c r="BB92" s="765">
        <f>SUM(AP92:BA92)</f>
        <v/>
      </c>
      <c r="BC92" s="702" t="n"/>
      <c r="BD92" s="702">
        <f>((($N92)*(BD40))/(12))</f>
        <v/>
      </c>
      <c r="BE92" s="702">
        <f>((($N92)*(BE40))/(12))</f>
        <v/>
      </c>
      <c r="BF92" s="702">
        <f>((($N92)*(BF40))/(12))</f>
        <v/>
      </c>
      <c r="BG92" s="702">
        <f>((($N92)*(BG40))/(12))</f>
        <v/>
      </c>
      <c r="BH92" s="702">
        <f>((($N92)*(BH40))/(12))</f>
        <v/>
      </c>
      <c r="BI92" s="702">
        <f>((($N92)*(BI40))/(12))</f>
        <v/>
      </c>
      <c r="BJ92" s="702">
        <f>((($N92)*(BJ40))/(12))</f>
        <v/>
      </c>
      <c r="BK92" s="702">
        <f>((($N92)*(BK40))/(12))</f>
        <v/>
      </c>
      <c r="BL92" s="702">
        <f>((($N92)*(BL40))/(12))</f>
        <v/>
      </c>
      <c r="BM92" s="702">
        <f>((($N92)*(BM40))/(12))</f>
        <v/>
      </c>
      <c r="BN92" s="702">
        <f>((($N92)*(BN40))/(12))</f>
        <v/>
      </c>
      <c r="BO92" s="702">
        <f>((($N92)*(BO40))/(12))</f>
        <v/>
      </c>
      <c r="BP92" s="765">
        <f>SUM(BD92:BO92)</f>
        <v/>
      </c>
      <c r="BQ92" s="713" t="n"/>
      <c r="BR92" s="702">
        <f>((($O92)*(BR40))/(12))</f>
        <v/>
      </c>
      <c r="BS92" s="702">
        <f>((($O92)*(BS40))/(12))</f>
        <v/>
      </c>
      <c r="BT92" s="702">
        <f>((($O92)*(BT40))/(12))</f>
        <v/>
      </c>
      <c r="BU92" s="702">
        <f>((($O92)*(BU40))/(12))</f>
        <v/>
      </c>
      <c r="BV92" s="702">
        <f>((($O92)*(BV40))/(12))</f>
        <v/>
      </c>
      <c r="BW92" s="702">
        <f>((($O92)*(BW40))/(12))</f>
        <v/>
      </c>
      <c r="BX92" s="702">
        <f>((($O92)*(BX40))/(12))</f>
        <v/>
      </c>
      <c r="BY92" s="702">
        <f>((($O92)*(BY40))/(12))</f>
        <v/>
      </c>
      <c r="BZ92" s="702">
        <f>((($O92)*(BZ40))/(12))</f>
        <v/>
      </c>
      <c r="CA92" s="702">
        <f>((($O92)*(CA40))/(12))</f>
        <v/>
      </c>
      <c r="CB92" s="702">
        <f>((($O92)*(CB40))/(12))</f>
        <v/>
      </c>
      <c r="CC92" s="702">
        <f>((($O92)*(CC40))/(12))</f>
        <v/>
      </c>
      <c r="CD92" s="765">
        <f>SUM(BR92:CC92)</f>
        <v/>
      </c>
      <c r="CE92" s="713" t="n"/>
      <c r="CF92" s="702">
        <f>((($P92)*(CF40))/(12))</f>
        <v/>
      </c>
      <c r="CG92" s="702">
        <f>((($P92)*(CG40))/(12))</f>
        <v/>
      </c>
      <c r="CH92" s="702">
        <f>((($P92)*(CH40))/(12))</f>
        <v/>
      </c>
      <c r="CI92" s="702">
        <f>((($P92)*(CI40))/(12))</f>
        <v/>
      </c>
      <c r="CJ92" s="702">
        <f>((($P92)*(CJ40))/(12))</f>
        <v/>
      </c>
      <c r="CK92" s="702">
        <f>((($P92)*(CK40))/(12))</f>
        <v/>
      </c>
      <c r="CL92" s="702">
        <f>((($P92)*(CL40))/(12))</f>
        <v/>
      </c>
      <c r="CM92" s="702">
        <f>((($P92)*(CM40))/(12))</f>
        <v/>
      </c>
      <c r="CN92" s="702">
        <f>((($P92)*(CN40))/(12))</f>
        <v/>
      </c>
      <c r="CO92" s="702">
        <f>((($P92)*(CO40))/(12))</f>
        <v/>
      </c>
      <c r="CP92" s="702">
        <f>((($P92)*(CP40))/(12))</f>
        <v/>
      </c>
      <c r="CQ92" s="702">
        <f>((($P92)*(CQ40))/(12))</f>
        <v/>
      </c>
      <c r="CR92" s="765">
        <f>SUM(CF92:CQ92)</f>
        <v/>
      </c>
      <c r="CS92" s="1917" t="n"/>
      <c r="CT92" s="702">
        <f>((($Q92)*(CT40))/(12))</f>
        <v/>
      </c>
      <c r="CU92" s="702">
        <f>((($Q92)*(CU40))/(12))</f>
        <v/>
      </c>
      <c r="CV92" s="702">
        <f>((($Q92)*(CV40))/(12))</f>
        <v/>
      </c>
      <c r="CW92" s="702">
        <f>((($Q92)*(CW40))/(12))</f>
        <v/>
      </c>
      <c r="CX92" s="702">
        <f>((($Q92)*(CX40))/(12))</f>
        <v/>
      </c>
      <c r="CY92" s="702">
        <f>((($Q92)*(CY40))/(12))</f>
        <v/>
      </c>
      <c r="CZ92" s="702">
        <f>((($Q92)*(CZ40))/(12))</f>
        <v/>
      </c>
      <c r="DA92" s="702">
        <f>((($Q92)*(DA40))/(12))</f>
        <v/>
      </c>
      <c r="DB92" s="702">
        <f>((($Q92)*(DB40))/(12))</f>
        <v/>
      </c>
      <c r="DC92" s="702">
        <f>((($Q92)*(DC40))/(12))</f>
        <v/>
      </c>
      <c r="DD92" s="702">
        <f>((($Q92)*(DD40))/(12))</f>
        <v/>
      </c>
      <c r="DE92" s="702">
        <f>((($Q92)*(DE40))/(12))</f>
        <v/>
      </c>
      <c r="DF92" s="765">
        <f>SUM(CT92:DE92)</f>
        <v/>
      </c>
    </row>
    <row r="93" ht="15" customHeight="1" s="1883">
      <c r="D93" s="730" t="n"/>
      <c r="E93" s="726" t="n"/>
      <c r="F93" s="726" t="n"/>
      <c r="G93" s="726" t="n"/>
      <c r="H93" s="726" t="n"/>
      <c r="I93" s="743" t="n"/>
      <c r="J93" s="774" t="inlineStr">
        <is>
          <t>OCONUS</t>
        </is>
      </c>
      <c r="K93" s="726" t="n"/>
      <c r="L93" s="702">
        <f>(6000+6500+3000+3000+3333)/5*12</f>
        <v/>
      </c>
      <c r="M93" s="702" t="n">
        <v>45000</v>
      </c>
      <c r="N93" s="700">
        <f>((M93)*((1)+($N$66)))</f>
        <v/>
      </c>
      <c r="O93" s="700">
        <f>((N93)*((1)+($O$66)))</f>
        <v/>
      </c>
      <c r="P93" s="700">
        <f>((O93)*((1)+($P$66)))</f>
        <v/>
      </c>
      <c r="Q93" s="700">
        <f>((P93)*((1)+($Q$66)))</f>
        <v/>
      </c>
      <c r="R93" s="726" t="n"/>
      <c r="S93" s="778" t="n"/>
      <c r="T93" s="778" t="n"/>
      <c r="U93" s="778" t="n"/>
      <c r="V93" s="778" t="n"/>
      <c r="W93" s="778" t="n"/>
      <c r="X93" s="778" t="n"/>
      <c r="Y93" s="778" t="n"/>
      <c r="Z93" s="768" t="n"/>
      <c r="AA93" s="702" t="n"/>
      <c r="AB93" s="702">
        <f>((($L93)*(AB41))/(12))</f>
        <v/>
      </c>
      <c r="AC93" s="702">
        <f>((($L93)*(AC41))/(12))</f>
        <v/>
      </c>
      <c r="AD93" s="702">
        <f>((($L93)*(AD41))/(12))</f>
        <v/>
      </c>
      <c r="AE93" s="702">
        <f>((($L93)*(AE41))/(12))</f>
        <v/>
      </c>
      <c r="AF93" s="702">
        <f>((($L93)*(AF41))/(12))</f>
        <v/>
      </c>
      <c r="AG93" s="702">
        <f>((($L93)*(AG41))/(12))</f>
        <v/>
      </c>
      <c r="AH93" s="702">
        <f>((($L93)*(AH41))/(12))</f>
        <v/>
      </c>
      <c r="AI93" s="702">
        <f>((($L93)*(AI41))/(12))</f>
        <v/>
      </c>
      <c r="AJ93" s="702">
        <f>((($L93)*(AJ41))/(12))</f>
        <v/>
      </c>
      <c r="AK93" s="702">
        <f>((($L93)*(AK41))/(12))</f>
        <v/>
      </c>
      <c r="AL93" s="702">
        <f>((($L93)*(AL41))/(12))</f>
        <v/>
      </c>
      <c r="AM93" s="702">
        <f>((($L93)*(AM41))/(12))</f>
        <v/>
      </c>
      <c r="AN93" s="765">
        <f>+SUM(AB93:AM93)</f>
        <v/>
      </c>
      <c r="AO93" s="702" t="n"/>
      <c r="AP93" s="702">
        <f>((($M93)*(AP41))/(12))</f>
        <v/>
      </c>
      <c r="AQ93" s="702">
        <f>((($M93)*(AQ41))/(12))</f>
        <v/>
      </c>
      <c r="AR93" s="702">
        <f>((($M93)*(AR41))/(12))</f>
        <v/>
      </c>
      <c r="AS93" s="702">
        <f>((($M93)*(AS41))/(12))</f>
        <v/>
      </c>
      <c r="AT93" s="702">
        <f>((($M93)*(AT41))/(12))</f>
        <v/>
      </c>
      <c r="AU93" s="702">
        <f>((($M93)*(AU41))/(12))</f>
        <v/>
      </c>
      <c r="AV93" s="702">
        <f>((($M93)*(AV41))/(12))</f>
        <v/>
      </c>
      <c r="AW93" s="702">
        <f>((($M93)*(AW41))/(12))</f>
        <v/>
      </c>
      <c r="AX93" s="702">
        <f>((($M93)*(AX41))/(12))</f>
        <v/>
      </c>
      <c r="AY93" s="702">
        <f>((($M93)*(AY41))/(12))</f>
        <v/>
      </c>
      <c r="AZ93" s="702">
        <f>((($M93)*(AZ41))/(12))</f>
        <v/>
      </c>
      <c r="BA93" s="702">
        <f>((($M93)*(BA41))/(12))</f>
        <v/>
      </c>
      <c r="BB93" s="765">
        <f>SUM(AP93:BA93)</f>
        <v/>
      </c>
      <c r="BC93" s="702" t="n"/>
      <c r="BD93" s="702">
        <f>((($N93)*(BD41))/(12))</f>
        <v/>
      </c>
      <c r="BE93" s="702">
        <f>((($N93)*(BE41))/(12))</f>
        <v/>
      </c>
      <c r="BF93" s="702">
        <f>((($N93)*(BF41))/(12))</f>
        <v/>
      </c>
      <c r="BG93" s="702">
        <f>((($N93)*(BG41))/(12))</f>
        <v/>
      </c>
      <c r="BH93" s="702">
        <f>((($N93)*(BH41))/(12))</f>
        <v/>
      </c>
      <c r="BI93" s="702">
        <f>((($N93)*(BI41))/(12))</f>
        <v/>
      </c>
      <c r="BJ93" s="702">
        <f>((($N93)*(BJ41))/(12))</f>
        <v/>
      </c>
      <c r="BK93" s="702">
        <f>((($N93)*(BK41))/(12))</f>
        <v/>
      </c>
      <c r="BL93" s="702">
        <f>((($N93)*(BL41))/(12))</f>
        <v/>
      </c>
      <c r="BM93" s="702">
        <f>((($N93)*(BM41))/(12))</f>
        <v/>
      </c>
      <c r="BN93" s="702">
        <f>((($N93)*(BN41))/(12))</f>
        <v/>
      </c>
      <c r="BO93" s="702">
        <f>((($N93)*(BO41))/(12))</f>
        <v/>
      </c>
      <c r="BP93" s="765">
        <f>SUM(BD93:BO93)</f>
        <v/>
      </c>
      <c r="BQ93" s="713" t="n"/>
      <c r="BR93" s="702">
        <f>((($O93)*(BR41))/(12))</f>
        <v/>
      </c>
      <c r="BS93" s="702">
        <f>((($O93)*(BS41))/(12))</f>
        <v/>
      </c>
      <c r="BT93" s="702">
        <f>((($O93)*(BT41))/(12))</f>
        <v/>
      </c>
      <c r="BU93" s="702">
        <f>((($O93)*(BU41))/(12))</f>
        <v/>
      </c>
      <c r="BV93" s="702">
        <f>((($O93)*(BV41))/(12))</f>
        <v/>
      </c>
      <c r="BW93" s="702">
        <f>((($O93)*(BW41))/(12))</f>
        <v/>
      </c>
      <c r="BX93" s="702">
        <f>((($O93)*(BX41))/(12))</f>
        <v/>
      </c>
      <c r="BY93" s="702">
        <f>((($O93)*(BY41))/(12))</f>
        <v/>
      </c>
      <c r="BZ93" s="702">
        <f>((($O93)*(BZ41))/(12))</f>
        <v/>
      </c>
      <c r="CA93" s="702">
        <f>((($O93)*(CA41))/(12))</f>
        <v/>
      </c>
      <c r="CB93" s="702">
        <f>((($O93)*(CB41))/(12))</f>
        <v/>
      </c>
      <c r="CC93" s="702">
        <f>((($O93)*(CC41))/(12))</f>
        <v/>
      </c>
      <c r="CD93" s="765">
        <f>SUM(BR93:CC93)</f>
        <v/>
      </c>
      <c r="CE93" s="713" t="n"/>
      <c r="CF93" s="702">
        <f>((($P93)*(CF41))/(12))</f>
        <v/>
      </c>
      <c r="CG93" s="702">
        <f>((($P93)*(CG41))/(12))</f>
        <v/>
      </c>
      <c r="CH93" s="702">
        <f>((($P93)*(CH41))/(12))</f>
        <v/>
      </c>
      <c r="CI93" s="702">
        <f>((($P93)*(CI41))/(12))</f>
        <v/>
      </c>
      <c r="CJ93" s="702">
        <f>((($P93)*(CJ41))/(12))</f>
        <v/>
      </c>
      <c r="CK93" s="702">
        <f>((($P93)*(CK41))/(12))</f>
        <v/>
      </c>
      <c r="CL93" s="702">
        <f>((($P93)*(CL41))/(12))</f>
        <v/>
      </c>
      <c r="CM93" s="702">
        <f>((($P93)*(CM41))/(12))</f>
        <v/>
      </c>
      <c r="CN93" s="702">
        <f>((($P93)*(CN41))/(12))</f>
        <v/>
      </c>
      <c r="CO93" s="702">
        <f>((($P93)*(CO41))/(12))</f>
        <v/>
      </c>
      <c r="CP93" s="702">
        <f>((($P93)*(CP41))/(12))</f>
        <v/>
      </c>
      <c r="CQ93" s="702">
        <f>((($P93)*(CQ41))/(12))</f>
        <v/>
      </c>
      <c r="CR93" s="765">
        <f>SUM(CF93:CQ93)</f>
        <v/>
      </c>
      <c r="CS93" s="1917" t="n"/>
      <c r="CT93" s="702">
        <f>((($Q93)*(CT41))/(12))</f>
        <v/>
      </c>
      <c r="CU93" s="702">
        <f>((($Q93)*(CU41))/(12))</f>
        <v/>
      </c>
      <c r="CV93" s="702">
        <f>((($Q93)*(CV41))/(12))</f>
        <v/>
      </c>
      <c r="CW93" s="702">
        <f>((($Q93)*(CW41))/(12))</f>
        <v/>
      </c>
      <c r="CX93" s="702">
        <f>((($Q93)*(CX41))/(12))</f>
        <v/>
      </c>
      <c r="CY93" s="702">
        <f>((($Q93)*(CY41))/(12))</f>
        <v/>
      </c>
      <c r="CZ93" s="702">
        <f>((($Q93)*(CZ41))/(12))</f>
        <v/>
      </c>
      <c r="DA93" s="702">
        <f>((($Q93)*(DA41))/(12))</f>
        <v/>
      </c>
      <c r="DB93" s="702">
        <f>((($Q93)*(DB41))/(12))</f>
        <v/>
      </c>
      <c r="DC93" s="702">
        <f>((($Q93)*(DC41))/(12))</f>
        <v/>
      </c>
      <c r="DD93" s="702">
        <f>((($Q93)*(DD41))/(12))</f>
        <v/>
      </c>
      <c r="DE93" s="702">
        <f>((($Q93)*(DE41))/(12))</f>
        <v/>
      </c>
      <c r="DF93" s="765">
        <f>SUM(CT93:DE93)</f>
        <v/>
      </c>
    </row>
    <row r="94" ht="15" customHeight="1" s="1883">
      <c r="D94" s="730" t="inlineStr">
        <is>
          <t>●</t>
        </is>
      </c>
      <c r="E94" s="726" t="inlineStr">
        <is>
          <t>TBD</t>
        </is>
      </c>
      <c r="F94" s="726" t="n"/>
      <c r="G94" s="726" t="n"/>
      <c r="H94" s="726" t="n"/>
      <c r="I94" s="772" t="inlineStr">
        <is>
          <t>Software Development Team + Data Scientists/Engineers</t>
        </is>
      </c>
      <c r="J94" s="727" t="inlineStr">
        <is>
          <t>CONUS</t>
        </is>
      </c>
      <c r="K94" s="726" t="n"/>
      <c r="L94" s="702" t="n">
        <v>110000</v>
      </c>
      <c r="M94" s="702" t="n">
        <v>115000</v>
      </c>
      <c r="N94" s="700">
        <f>((M94)*((1)+($N$66)))</f>
        <v/>
      </c>
      <c r="O94" s="700">
        <f>((N94)*((1)+($O$66)))</f>
        <v/>
      </c>
      <c r="P94" s="700">
        <f>((O94)*((1)+($P$66)))</f>
        <v/>
      </c>
      <c r="Q94" s="700">
        <f>((P94)*((1)+($Q$66)))</f>
        <v/>
      </c>
      <c r="R94" s="726" t="n"/>
      <c r="S94" s="778" t="n"/>
      <c r="T94" s="778" t="n"/>
      <c r="U94" s="778" t="n"/>
      <c r="V94" s="778" t="n"/>
      <c r="W94" s="778" t="n"/>
      <c r="X94" s="778" t="n"/>
      <c r="Y94" s="778" t="n"/>
      <c r="Z94" s="768" t="n"/>
      <c r="AA94" s="702" t="n"/>
      <c r="AB94" s="702">
        <f>((($L94)*(AB42))/(12))</f>
        <v/>
      </c>
      <c r="AC94" s="702">
        <f>((($L94)*(AC42))/(12))</f>
        <v/>
      </c>
      <c r="AD94" s="702">
        <f>((($L94)*(AD42))/(12))</f>
        <v/>
      </c>
      <c r="AE94" s="702">
        <f>((($L94)*(AE42))/(12))</f>
        <v/>
      </c>
      <c r="AF94" s="702">
        <f>((($L94)*(AF42))/(12))</f>
        <v/>
      </c>
      <c r="AG94" s="702">
        <f>((($L94)*(AG42))/(12))</f>
        <v/>
      </c>
      <c r="AH94" s="702">
        <f>((($L94)*(AH42))/(12))</f>
        <v/>
      </c>
      <c r="AI94" s="702">
        <f>((($L94)*(AI42))/(12))</f>
        <v/>
      </c>
      <c r="AJ94" s="702">
        <f>((($L94)*(AJ42))/(12))</f>
        <v/>
      </c>
      <c r="AK94" s="702">
        <f>((($L94)*(AK42))/(12))</f>
        <v/>
      </c>
      <c r="AL94" s="702">
        <f>((($L94)*(AL42))/(12))</f>
        <v/>
      </c>
      <c r="AM94" s="702">
        <f>((($L94)*(AM42))/(12))</f>
        <v/>
      </c>
      <c r="AN94" s="765">
        <f>+SUM(AB94:AM94)</f>
        <v/>
      </c>
      <c r="AO94" s="702" t="n"/>
      <c r="AP94" s="702">
        <f>((($M94)*(AP42))/(12))</f>
        <v/>
      </c>
      <c r="AQ94" s="702">
        <f>((($M94)*(AQ42))/(12))</f>
        <v/>
      </c>
      <c r="AR94" s="702">
        <f>((($M94)*(AR42))/(12))</f>
        <v/>
      </c>
      <c r="AS94" s="702">
        <f>((($M94)*(AS42))/(12))</f>
        <v/>
      </c>
      <c r="AT94" s="702">
        <f>((($M94)*(AT42))/(12))</f>
        <v/>
      </c>
      <c r="AU94" s="702">
        <f>((($M94)*(AU42))/(12))</f>
        <v/>
      </c>
      <c r="AV94" s="702">
        <f>((($M94)*(AV42))/(12))</f>
        <v/>
      </c>
      <c r="AW94" s="702">
        <f>((($M94)*(AW42))/(12))</f>
        <v/>
      </c>
      <c r="AX94" s="702">
        <f>((($M94)*(AX42))/(12))</f>
        <v/>
      </c>
      <c r="AY94" s="702">
        <f>((($M94)*(AY42))/(12))</f>
        <v/>
      </c>
      <c r="AZ94" s="702">
        <f>((($M94)*(AZ42))/(12))</f>
        <v/>
      </c>
      <c r="BA94" s="702">
        <f>((($M94)*(BA42))/(12))</f>
        <v/>
      </c>
      <c r="BB94" s="765">
        <f>SUM(AP94:BA94)</f>
        <v/>
      </c>
      <c r="BC94" s="702" t="n"/>
      <c r="BD94" s="702">
        <f>((($N94)*(BD42))/(12))</f>
        <v/>
      </c>
      <c r="BE94" s="702">
        <f>((($N94)*(BE42))/(12))</f>
        <v/>
      </c>
      <c r="BF94" s="702">
        <f>((($N94)*(BF42))/(12))</f>
        <v/>
      </c>
      <c r="BG94" s="702">
        <f>((($N94)*(BG42))/(12))</f>
        <v/>
      </c>
      <c r="BH94" s="702">
        <f>((($N94)*(BH42))/(12))</f>
        <v/>
      </c>
      <c r="BI94" s="702">
        <f>((($N94)*(BI42))/(12))</f>
        <v/>
      </c>
      <c r="BJ94" s="702">
        <f>((($N94)*(BJ42))/(12))</f>
        <v/>
      </c>
      <c r="BK94" s="702">
        <f>((($N94)*(BK42))/(12))</f>
        <v/>
      </c>
      <c r="BL94" s="702">
        <f>((($N94)*(BL42))/(12))</f>
        <v/>
      </c>
      <c r="BM94" s="702">
        <f>((($N94)*(BM42))/(12))</f>
        <v/>
      </c>
      <c r="BN94" s="702">
        <f>((($N94)*(BN42))/(12))</f>
        <v/>
      </c>
      <c r="BO94" s="702">
        <f>((($N94)*(BO42))/(12))</f>
        <v/>
      </c>
      <c r="BP94" s="765">
        <f>SUM(BD94:BO94)</f>
        <v/>
      </c>
      <c r="BQ94" s="713" t="n"/>
      <c r="BR94" s="702">
        <f>((($O94)*(BR42))/(12))</f>
        <v/>
      </c>
      <c r="BS94" s="702">
        <f>((($O94)*(BS42))/(12))</f>
        <v/>
      </c>
      <c r="BT94" s="702">
        <f>((($O94)*(BT42))/(12))</f>
        <v/>
      </c>
      <c r="BU94" s="702">
        <f>((($O94)*(BU42))/(12))</f>
        <v/>
      </c>
      <c r="BV94" s="702">
        <f>((($O94)*(BV42))/(12))</f>
        <v/>
      </c>
      <c r="BW94" s="702">
        <f>((($O94)*(BW42))/(12))</f>
        <v/>
      </c>
      <c r="BX94" s="702">
        <f>((($O94)*(BX42))/(12))</f>
        <v/>
      </c>
      <c r="BY94" s="702">
        <f>((($O94)*(BY42))/(12))</f>
        <v/>
      </c>
      <c r="BZ94" s="702">
        <f>((($O94)*(BZ42))/(12))</f>
        <v/>
      </c>
      <c r="CA94" s="702">
        <f>((($O94)*(CA42))/(12))</f>
        <v/>
      </c>
      <c r="CB94" s="702">
        <f>((($O94)*(CB42))/(12))</f>
        <v/>
      </c>
      <c r="CC94" s="702">
        <f>((($O94)*(CC42))/(12))</f>
        <v/>
      </c>
      <c r="CD94" s="765">
        <f>SUM(BR94:CC94)</f>
        <v/>
      </c>
      <c r="CE94" s="713" t="n"/>
      <c r="CF94" s="702">
        <f>((($P94)*(CF42))/(12))</f>
        <v/>
      </c>
      <c r="CG94" s="702">
        <f>((($P94)*(CG42))/(12))</f>
        <v/>
      </c>
      <c r="CH94" s="702">
        <f>((($P94)*(CH42))/(12))</f>
        <v/>
      </c>
      <c r="CI94" s="702">
        <f>((($P94)*(CI42))/(12))</f>
        <v/>
      </c>
      <c r="CJ94" s="702">
        <f>((($P94)*(CJ42))/(12))</f>
        <v/>
      </c>
      <c r="CK94" s="702">
        <f>((($P94)*(CK42))/(12))</f>
        <v/>
      </c>
      <c r="CL94" s="702">
        <f>((($P94)*(CL42))/(12))</f>
        <v/>
      </c>
      <c r="CM94" s="702">
        <f>((($P94)*(CM42))/(12))</f>
        <v/>
      </c>
      <c r="CN94" s="702">
        <f>((($P94)*(CN42))/(12))</f>
        <v/>
      </c>
      <c r="CO94" s="702">
        <f>((($P94)*(CO42))/(12))</f>
        <v/>
      </c>
      <c r="CP94" s="702">
        <f>((($P94)*(CP42))/(12))</f>
        <v/>
      </c>
      <c r="CQ94" s="702">
        <f>((($P94)*(CQ42))/(12))</f>
        <v/>
      </c>
      <c r="CR94" s="765">
        <f>SUM(CF94:CQ94)</f>
        <v/>
      </c>
      <c r="CS94" s="1917" t="n"/>
      <c r="CT94" s="702">
        <f>((($Q94)*(CT42))/(12))</f>
        <v/>
      </c>
      <c r="CU94" s="702">
        <f>((($Q94)*(CU42))/(12))</f>
        <v/>
      </c>
      <c r="CV94" s="702">
        <f>((($Q94)*(CV42))/(12))</f>
        <v/>
      </c>
      <c r="CW94" s="702">
        <f>((($Q94)*(CW42))/(12))</f>
        <v/>
      </c>
      <c r="CX94" s="702">
        <f>((($Q94)*(CX42))/(12))</f>
        <v/>
      </c>
      <c r="CY94" s="702">
        <f>((($Q94)*(CY42))/(12))</f>
        <v/>
      </c>
      <c r="CZ94" s="702">
        <f>((($Q94)*(CZ42))/(12))</f>
        <v/>
      </c>
      <c r="DA94" s="702">
        <f>((($Q94)*(DA42))/(12))</f>
        <v/>
      </c>
      <c r="DB94" s="702">
        <f>((($Q94)*(DB42))/(12))</f>
        <v/>
      </c>
      <c r="DC94" s="702">
        <f>((($Q94)*(DC42))/(12))</f>
        <v/>
      </c>
      <c r="DD94" s="702">
        <f>((($Q94)*(DD42))/(12))</f>
        <v/>
      </c>
      <c r="DE94" s="702">
        <f>((($Q94)*(DE42))/(12))</f>
        <v/>
      </c>
      <c r="DF94" s="765">
        <f>SUM(CT94:DE94)</f>
        <v/>
      </c>
    </row>
    <row r="95" ht="15" customHeight="1" s="1883">
      <c r="D95" s="730" t="n"/>
      <c r="E95" s="726" t="n"/>
      <c r="F95" s="726" t="n"/>
      <c r="G95" s="726" t="n"/>
      <c r="H95" s="726" t="n"/>
      <c r="I95" s="772" t="n"/>
      <c r="J95" s="774" t="inlineStr">
        <is>
          <t>OCONUS</t>
        </is>
      </c>
      <c r="K95" s="726" t="n"/>
      <c r="L95" s="702">
        <f>2000*12</f>
        <v/>
      </c>
      <c r="M95" s="702" t="n">
        <v>30000</v>
      </c>
      <c r="N95" s="700">
        <f>((M95)*((1)+($N$66)))</f>
        <v/>
      </c>
      <c r="O95" s="700">
        <f>((N95)*((1)+($O$66)))</f>
        <v/>
      </c>
      <c r="P95" s="700">
        <f>((O95)*((1)+($P$66)))</f>
        <v/>
      </c>
      <c r="Q95" s="700">
        <f>((P95)*((1)+($Q$66)))</f>
        <v/>
      </c>
      <c r="R95" s="726" t="n"/>
      <c r="S95" s="778" t="n"/>
      <c r="T95" s="778" t="n"/>
      <c r="U95" s="778" t="n"/>
      <c r="V95" s="778" t="n"/>
      <c r="W95" s="778" t="n"/>
      <c r="X95" s="778" t="n"/>
      <c r="Y95" s="778" t="n"/>
      <c r="Z95" s="768" t="n"/>
      <c r="AA95" s="702" t="n"/>
      <c r="AB95" s="702">
        <f>((($L95)*(AB43))/(12))</f>
        <v/>
      </c>
      <c r="AC95" s="702">
        <f>((($L95)*(AC43))/(12))</f>
        <v/>
      </c>
      <c r="AD95" s="702">
        <f>((($L95)*(AD43))/(12))</f>
        <v/>
      </c>
      <c r="AE95" s="702">
        <f>((($L95)*(AE43))/(12))</f>
        <v/>
      </c>
      <c r="AF95" s="702">
        <f>((($L95)*(AF43))/(12))</f>
        <v/>
      </c>
      <c r="AG95" s="702">
        <f>((($L95)*(AG43))/(12))</f>
        <v/>
      </c>
      <c r="AH95" s="702">
        <f>((($L95)*(AH43))/(12))</f>
        <v/>
      </c>
      <c r="AI95" s="702">
        <f>((($L95)*(AI43))/(12))</f>
        <v/>
      </c>
      <c r="AJ95" s="702">
        <f>((($L95)*(AJ43))/(12))</f>
        <v/>
      </c>
      <c r="AK95" s="702">
        <f>((($L95)*(AK43))/(12))</f>
        <v/>
      </c>
      <c r="AL95" s="702">
        <f>((($L95)*(AL43))/(12))</f>
        <v/>
      </c>
      <c r="AM95" s="702">
        <f>((($L95)*(AM43))/(12))</f>
        <v/>
      </c>
      <c r="AN95" s="765">
        <f>+SUM(AB95:AM95)</f>
        <v/>
      </c>
      <c r="AO95" s="702" t="n"/>
      <c r="AP95" s="702">
        <f>((($M95)*(AP43))/(12))</f>
        <v/>
      </c>
      <c r="AQ95" s="702">
        <f>((($M95)*(AQ43))/(12))</f>
        <v/>
      </c>
      <c r="AR95" s="702">
        <f>((($M95)*(AR43))/(12))</f>
        <v/>
      </c>
      <c r="AS95" s="702">
        <f>((($M95)*(AS43))/(12))</f>
        <v/>
      </c>
      <c r="AT95" s="702">
        <f>((($M95)*(AT43))/(12))</f>
        <v/>
      </c>
      <c r="AU95" s="702">
        <f>((($M95)*(AU43))/(12))</f>
        <v/>
      </c>
      <c r="AV95" s="702">
        <f>((($M95)*(AV43))/(12))</f>
        <v/>
      </c>
      <c r="AW95" s="702">
        <f>((($M95)*(AW43))/(12))</f>
        <v/>
      </c>
      <c r="AX95" s="702">
        <f>((($M95)*(AX43))/(12))</f>
        <v/>
      </c>
      <c r="AY95" s="702">
        <f>((($M95)*(AY43))/(12))</f>
        <v/>
      </c>
      <c r="AZ95" s="702">
        <f>((($M95)*(AZ43))/(12))</f>
        <v/>
      </c>
      <c r="BA95" s="702">
        <f>((($M95)*(BA43))/(12))</f>
        <v/>
      </c>
      <c r="BB95" s="765">
        <f>SUM(AP95:BA95)</f>
        <v/>
      </c>
      <c r="BC95" s="702" t="n"/>
      <c r="BD95" s="702">
        <f>((($N95)*(BD43))/(12))</f>
        <v/>
      </c>
      <c r="BE95" s="702">
        <f>((($N95)*(BE43))/(12))</f>
        <v/>
      </c>
      <c r="BF95" s="702">
        <f>((($N95)*(BF43))/(12))</f>
        <v/>
      </c>
      <c r="BG95" s="702">
        <f>((($N95)*(BG43))/(12))</f>
        <v/>
      </c>
      <c r="BH95" s="702">
        <f>((($N95)*(BH43))/(12))</f>
        <v/>
      </c>
      <c r="BI95" s="702">
        <f>((($N95)*(BI43))/(12))</f>
        <v/>
      </c>
      <c r="BJ95" s="702">
        <f>((($N95)*(BJ43))/(12))</f>
        <v/>
      </c>
      <c r="BK95" s="702">
        <f>((($N95)*(BK43))/(12))</f>
        <v/>
      </c>
      <c r="BL95" s="702">
        <f>((($N95)*(BL43))/(12))</f>
        <v/>
      </c>
      <c r="BM95" s="702">
        <f>((($N95)*(BM43))/(12))</f>
        <v/>
      </c>
      <c r="BN95" s="702">
        <f>((($N95)*(BN43))/(12))</f>
        <v/>
      </c>
      <c r="BO95" s="702">
        <f>((($N95)*(BO43))/(12))</f>
        <v/>
      </c>
      <c r="BP95" s="765">
        <f>SUM(BD95:BO95)</f>
        <v/>
      </c>
      <c r="BQ95" s="713" t="n"/>
      <c r="BR95" s="702">
        <f>((($O95)*(BR43))/(12))</f>
        <v/>
      </c>
      <c r="BS95" s="702">
        <f>((($O95)*(BS43))/(12))</f>
        <v/>
      </c>
      <c r="BT95" s="702">
        <f>((($O95)*(BT43))/(12))</f>
        <v/>
      </c>
      <c r="BU95" s="702">
        <f>((($O95)*(BU43))/(12))</f>
        <v/>
      </c>
      <c r="BV95" s="702">
        <f>((($O95)*(BV43))/(12))</f>
        <v/>
      </c>
      <c r="BW95" s="702">
        <f>((($O95)*(BW43))/(12))</f>
        <v/>
      </c>
      <c r="BX95" s="702">
        <f>((($O95)*(BX43))/(12))</f>
        <v/>
      </c>
      <c r="BY95" s="702">
        <f>((($O95)*(BY43))/(12))</f>
        <v/>
      </c>
      <c r="BZ95" s="702">
        <f>((($O95)*(BZ43))/(12))</f>
        <v/>
      </c>
      <c r="CA95" s="702">
        <f>((($O95)*(CA43))/(12))</f>
        <v/>
      </c>
      <c r="CB95" s="702">
        <f>((($O95)*(CB43))/(12))</f>
        <v/>
      </c>
      <c r="CC95" s="702">
        <f>((($O95)*(CC43))/(12))</f>
        <v/>
      </c>
      <c r="CD95" s="765">
        <f>SUM(BR95:CC95)</f>
        <v/>
      </c>
      <c r="CE95" s="713" t="n"/>
      <c r="CF95" s="702">
        <f>((($P95)*(CF43))/(12))</f>
        <v/>
      </c>
      <c r="CG95" s="702">
        <f>((($P95)*(CG43))/(12))</f>
        <v/>
      </c>
      <c r="CH95" s="702">
        <f>((($P95)*(CH43))/(12))</f>
        <v/>
      </c>
      <c r="CI95" s="702">
        <f>((($P95)*(CI43))/(12))</f>
        <v/>
      </c>
      <c r="CJ95" s="702">
        <f>((($P95)*(CJ43))/(12))</f>
        <v/>
      </c>
      <c r="CK95" s="702">
        <f>((($P95)*(CK43))/(12))</f>
        <v/>
      </c>
      <c r="CL95" s="702">
        <f>((($P95)*(CL43))/(12))</f>
        <v/>
      </c>
      <c r="CM95" s="702">
        <f>((($P95)*(CM43))/(12))</f>
        <v/>
      </c>
      <c r="CN95" s="702">
        <f>((($P95)*(CN43))/(12))</f>
        <v/>
      </c>
      <c r="CO95" s="702">
        <f>((($P95)*(CO43))/(12))</f>
        <v/>
      </c>
      <c r="CP95" s="702">
        <f>((($P95)*(CP43))/(12))</f>
        <v/>
      </c>
      <c r="CQ95" s="702">
        <f>((($P95)*(CQ43))/(12))</f>
        <v/>
      </c>
      <c r="CR95" s="765">
        <f>SUM(CF95:CQ95)</f>
        <v/>
      </c>
      <c r="CS95" s="1917" t="n"/>
      <c r="CT95" s="702">
        <f>((($Q95)*(CT43))/(12))</f>
        <v/>
      </c>
      <c r="CU95" s="702">
        <f>((($Q95)*(CU43))/(12))</f>
        <v/>
      </c>
      <c r="CV95" s="702">
        <f>((($Q95)*(CV43))/(12))</f>
        <v/>
      </c>
      <c r="CW95" s="702">
        <f>((($Q95)*(CW43))/(12))</f>
        <v/>
      </c>
      <c r="CX95" s="702">
        <f>((($Q95)*(CX43))/(12))</f>
        <v/>
      </c>
      <c r="CY95" s="702">
        <f>((($Q95)*(CY43))/(12))</f>
        <v/>
      </c>
      <c r="CZ95" s="702">
        <f>((($Q95)*(CZ43))/(12))</f>
        <v/>
      </c>
      <c r="DA95" s="702">
        <f>((($Q95)*(DA43))/(12))</f>
        <v/>
      </c>
      <c r="DB95" s="702">
        <f>((($Q95)*(DB43))/(12))</f>
        <v/>
      </c>
      <c r="DC95" s="702">
        <f>((($Q95)*(DC43))/(12))</f>
        <v/>
      </c>
      <c r="DD95" s="702">
        <f>((($Q95)*(DD43))/(12))</f>
        <v/>
      </c>
      <c r="DE95" s="702">
        <f>((($Q95)*(DE43))/(12))</f>
        <v/>
      </c>
      <c r="DF95" s="765">
        <f>SUM(CT95:DE95)</f>
        <v/>
      </c>
    </row>
    <row r="96" ht="15" customHeight="1" s="1883">
      <c r="D96" s="730" t="inlineStr">
        <is>
          <t>●</t>
        </is>
      </c>
      <c r="E96" s="726" t="inlineStr">
        <is>
          <t>TBD</t>
        </is>
      </c>
      <c r="F96" s="726" t="n"/>
      <c r="G96" s="726" t="n"/>
      <c r="H96" s="726" t="n"/>
      <c r="I96" s="743" t="inlineStr">
        <is>
          <t>Economist + Crypto Tokenomics</t>
        </is>
      </c>
      <c r="J96" s="727" t="inlineStr">
        <is>
          <t>CONUS</t>
        </is>
      </c>
      <c r="K96" s="726" t="n"/>
      <c r="L96" s="702" t="n">
        <v>75000</v>
      </c>
      <c r="M96" s="702" t="n">
        <v>75000</v>
      </c>
      <c r="N96" s="700">
        <f>((M96)*((1)+($N$66)))</f>
        <v/>
      </c>
      <c r="O96" s="700">
        <f>((N96)*((1)+($O$66)))</f>
        <v/>
      </c>
      <c r="P96" s="700">
        <f>((O96)*((1)+($P$66)))</f>
        <v/>
      </c>
      <c r="Q96" s="700">
        <f>((P96)*((1)+($Q$66)))</f>
        <v/>
      </c>
      <c r="R96" s="726" t="n"/>
      <c r="S96" s="778" t="n"/>
      <c r="T96" s="778" t="n"/>
      <c r="U96" s="778" t="n"/>
      <c r="V96" s="778" t="n"/>
      <c r="W96" s="778" t="n"/>
      <c r="X96" s="778" t="n"/>
      <c r="Y96" s="778" t="n"/>
      <c r="Z96" s="768" t="n"/>
      <c r="AA96" s="702" t="n"/>
      <c r="AB96" s="702">
        <f>((($L96)*(AB44))/(12))</f>
        <v/>
      </c>
      <c r="AC96" s="702">
        <f>((($L96)*(AC44))/(12))</f>
        <v/>
      </c>
      <c r="AD96" s="702">
        <f>((($L96)*(AD44))/(12))</f>
        <v/>
      </c>
      <c r="AE96" s="702">
        <f>((($L96)*(AE44))/(12))</f>
        <v/>
      </c>
      <c r="AF96" s="702">
        <f>((($L96)*(AF44))/(12))</f>
        <v/>
      </c>
      <c r="AG96" s="702">
        <f>((($L96)*(AG44))/(12))</f>
        <v/>
      </c>
      <c r="AH96" s="702">
        <f>((($L96)*(AH44))/(12))</f>
        <v/>
      </c>
      <c r="AI96" s="702">
        <f>((($L96)*(AI44))/(12))</f>
        <v/>
      </c>
      <c r="AJ96" s="702">
        <f>((($L96)*(AJ44))/(12))</f>
        <v/>
      </c>
      <c r="AK96" s="702">
        <f>((($L96)*(AK44))/(12))</f>
        <v/>
      </c>
      <c r="AL96" s="702">
        <f>((($L96)*(AL44))/(12))</f>
        <v/>
      </c>
      <c r="AM96" s="702">
        <f>((($L96)*(AM44))/(12))</f>
        <v/>
      </c>
      <c r="AN96" s="765">
        <f>+SUM(AB96:AM96)</f>
        <v/>
      </c>
      <c r="AO96" s="702" t="n"/>
      <c r="AP96" s="702">
        <f>((($M96)*(AP44))/(12))</f>
        <v/>
      </c>
      <c r="AQ96" s="702">
        <f>((($M96)*(AQ44))/(12))</f>
        <v/>
      </c>
      <c r="AR96" s="702">
        <f>((($M96)*(AR44))/(12))</f>
        <v/>
      </c>
      <c r="AS96" s="702">
        <f>((($M96)*(AS44))/(12))</f>
        <v/>
      </c>
      <c r="AT96" s="702">
        <f>((($M96)*(AT44))/(12))</f>
        <v/>
      </c>
      <c r="AU96" s="702">
        <f>((($M96)*(AU44))/(12))</f>
        <v/>
      </c>
      <c r="AV96" s="702">
        <f>((($M96)*(AV44))/(12))</f>
        <v/>
      </c>
      <c r="AW96" s="702">
        <f>((($M96)*(AW44))/(12))</f>
        <v/>
      </c>
      <c r="AX96" s="702">
        <f>((($M96)*(AX44))/(12))</f>
        <v/>
      </c>
      <c r="AY96" s="702">
        <f>((($M96)*(AY44))/(12))</f>
        <v/>
      </c>
      <c r="AZ96" s="702">
        <f>((($M96)*(AZ44))/(12))</f>
        <v/>
      </c>
      <c r="BA96" s="702">
        <f>((($M96)*(BA44))/(12))</f>
        <v/>
      </c>
      <c r="BB96" s="765">
        <f>SUM(AP96:BA96)</f>
        <v/>
      </c>
      <c r="BC96" s="702" t="n"/>
      <c r="BD96" s="702">
        <f>((($N96)*(BD44))/(12))</f>
        <v/>
      </c>
      <c r="BE96" s="702">
        <f>((($N96)*(BE44))/(12))</f>
        <v/>
      </c>
      <c r="BF96" s="702">
        <f>((($N96)*(BF44))/(12))</f>
        <v/>
      </c>
      <c r="BG96" s="702">
        <f>((($N96)*(BG44))/(12))</f>
        <v/>
      </c>
      <c r="BH96" s="702">
        <f>((($N96)*(BH44))/(12))</f>
        <v/>
      </c>
      <c r="BI96" s="702">
        <f>((($N96)*(BI44))/(12))</f>
        <v/>
      </c>
      <c r="BJ96" s="702">
        <f>((($N96)*(BJ44))/(12))</f>
        <v/>
      </c>
      <c r="BK96" s="702">
        <f>((($N96)*(BK44))/(12))</f>
        <v/>
      </c>
      <c r="BL96" s="702">
        <f>((($N96)*(BL44))/(12))</f>
        <v/>
      </c>
      <c r="BM96" s="702">
        <f>((($N96)*(BM44))/(12))</f>
        <v/>
      </c>
      <c r="BN96" s="702">
        <f>((($N96)*(BN44))/(12))</f>
        <v/>
      </c>
      <c r="BO96" s="702">
        <f>((($N96)*(BO44))/(12))</f>
        <v/>
      </c>
      <c r="BP96" s="765">
        <f>SUM(BD96:BO96)</f>
        <v/>
      </c>
      <c r="BQ96" s="713" t="n"/>
      <c r="BR96" s="702">
        <f>((($O96)*(BR44))/(12))</f>
        <v/>
      </c>
      <c r="BS96" s="702">
        <f>((($O96)*(BS44))/(12))</f>
        <v/>
      </c>
      <c r="BT96" s="702">
        <f>((($O96)*(BT44))/(12))</f>
        <v/>
      </c>
      <c r="BU96" s="702">
        <f>((($O96)*(BU44))/(12))</f>
        <v/>
      </c>
      <c r="BV96" s="702">
        <f>((($O96)*(BV44))/(12))</f>
        <v/>
      </c>
      <c r="BW96" s="702">
        <f>((($O96)*(BW44))/(12))</f>
        <v/>
      </c>
      <c r="BX96" s="702">
        <f>((($O96)*(BX44))/(12))</f>
        <v/>
      </c>
      <c r="BY96" s="702">
        <f>((($O96)*(BY44))/(12))</f>
        <v/>
      </c>
      <c r="BZ96" s="702">
        <f>((($O96)*(BZ44))/(12))</f>
        <v/>
      </c>
      <c r="CA96" s="702">
        <f>((($O96)*(CA44))/(12))</f>
        <v/>
      </c>
      <c r="CB96" s="702">
        <f>((($O96)*(CB44))/(12))</f>
        <v/>
      </c>
      <c r="CC96" s="702">
        <f>((($O96)*(CC44))/(12))</f>
        <v/>
      </c>
      <c r="CD96" s="765">
        <f>SUM(BR96:CC96)</f>
        <v/>
      </c>
      <c r="CE96" s="713" t="n"/>
      <c r="CF96" s="702">
        <f>((($P96)*(CF44))/(12))</f>
        <v/>
      </c>
      <c r="CG96" s="702">
        <f>((($P96)*(CG44))/(12))</f>
        <v/>
      </c>
      <c r="CH96" s="702">
        <f>((($P96)*(CH44))/(12))</f>
        <v/>
      </c>
      <c r="CI96" s="702">
        <f>((($P96)*(CI44))/(12))</f>
        <v/>
      </c>
      <c r="CJ96" s="702">
        <f>((($P96)*(CJ44))/(12))</f>
        <v/>
      </c>
      <c r="CK96" s="702">
        <f>((($P96)*(CK44))/(12))</f>
        <v/>
      </c>
      <c r="CL96" s="702">
        <f>((($P96)*(CL44))/(12))</f>
        <v/>
      </c>
      <c r="CM96" s="702">
        <f>((($P96)*(CM44))/(12))</f>
        <v/>
      </c>
      <c r="CN96" s="702">
        <f>((($P96)*(CN44))/(12))</f>
        <v/>
      </c>
      <c r="CO96" s="702">
        <f>((($P96)*(CO44))/(12))</f>
        <v/>
      </c>
      <c r="CP96" s="702">
        <f>((($P96)*(CP44))/(12))</f>
        <v/>
      </c>
      <c r="CQ96" s="702">
        <f>((($P96)*(CQ44))/(12))</f>
        <v/>
      </c>
      <c r="CR96" s="765">
        <f>SUM(CF96:CQ96)</f>
        <v/>
      </c>
      <c r="CS96" s="1917" t="n"/>
      <c r="CT96" s="702">
        <f>((($Q96)*(CT44))/(12))</f>
        <v/>
      </c>
      <c r="CU96" s="702">
        <f>((($Q96)*(CU44))/(12))</f>
        <v/>
      </c>
      <c r="CV96" s="702">
        <f>((($Q96)*(CV44))/(12))</f>
        <v/>
      </c>
      <c r="CW96" s="702">
        <f>((($Q96)*(CW44))/(12))</f>
        <v/>
      </c>
      <c r="CX96" s="702">
        <f>((($Q96)*(CX44))/(12))</f>
        <v/>
      </c>
      <c r="CY96" s="702">
        <f>((($Q96)*(CY44))/(12))</f>
        <v/>
      </c>
      <c r="CZ96" s="702">
        <f>((($Q96)*(CZ44))/(12))</f>
        <v/>
      </c>
      <c r="DA96" s="702">
        <f>((($Q96)*(DA44))/(12))</f>
        <v/>
      </c>
      <c r="DB96" s="702">
        <f>((($Q96)*(DB44))/(12))</f>
        <v/>
      </c>
      <c r="DC96" s="702">
        <f>((($Q96)*(DC44))/(12))</f>
        <v/>
      </c>
      <c r="DD96" s="702">
        <f>((($Q96)*(DD44))/(12))</f>
        <v/>
      </c>
      <c r="DE96" s="702">
        <f>((($Q96)*(DE44))/(12))</f>
        <v/>
      </c>
      <c r="DF96" s="765">
        <f>SUM(CT96:DE96)</f>
        <v/>
      </c>
    </row>
    <row r="97" ht="15" customHeight="1" s="1883">
      <c r="D97" s="730" t="n"/>
      <c r="E97" s="726" t="n"/>
      <c r="F97" s="726" t="n"/>
      <c r="G97" s="726" t="n"/>
      <c r="H97" s="726" t="n"/>
      <c r="I97" s="743" t="n"/>
      <c r="J97" s="774" t="inlineStr">
        <is>
          <t>OCONUS</t>
        </is>
      </c>
      <c r="K97" s="726" t="n"/>
      <c r="L97" s="702" t="n">
        <v>30000</v>
      </c>
      <c r="M97" s="702" t="n">
        <v>60000</v>
      </c>
      <c r="N97" s="700">
        <f>((M97)*((1)+($N$66)))</f>
        <v/>
      </c>
      <c r="O97" s="700">
        <f>((N97)*((1)+($O$66)))</f>
        <v/>
      </c>
      <c r="P97" s="700">
        <f>((O97)*((1)+($P$66)))</f>
        <v/>
      </c>
      <c r="Q97" s="700">
        <f>((P97)*((1)+($Q$66)))</f>
        <v/>
      </c>
      <c r="R97" s="726" t="n"/>
      <c r="S97" s="778" t="n"/>
      <c r="T97" s="778" t="n"/>
      <c r="U97" s="778" t="n"/>
      <c r="V97" s="778" t="n"/>
      <c r="W97" s="778" t="n"/>
      <c r="X97" s="778" t="n"/>
      <c r="Y97" s="778" t="n"/>
      <c r="Z97" s="768" t="n"/>
      <c r="AA97" s="702" t="n"/>
      <c r="AB97" s="702">
        <f>((($L97)*(AB45))/(12))</f>
        <v/>
      </c>
      <c r="AC97" s="702">
        <f>((($L97)*(AC45))/(12))</f>
        <v/>
      </c>
      <c r="AD97" s="702">
        <f>((($L97)*(AD45))/(12))</f>
        <v/>
      </c>
      <c r="AE97" s="702">
        <f>((($L97)*(AE45))/(12))</f>
        <v/>
      </c>
      <c r="AF97" s="702">
        <f>((($L97)*(AF45))/(12))</f>
        <v/>
      </c>
      <c r="AG97" s="702">
        <f>((($L97)*(AG45))/(12))</f>
        <v/>
      </c>
      <c r="AH97" s="702">
        <f>((($L97)*(AH45))/(12))</f>
        <v/>
      </c>
      <c r="AI97" s="702">
        <f>((($L97)*(AI45))/(12))</f>
        <v/>
      </c>
      <c r="AJ97" s="702">
        <f>((($L97)*(AJ45))/(12))</f>
        <v/>
      </c>
      <c r="AK97" s="702">
        <f>((($L97)*(AK45))/(12))</f>
        <v/>
      </c>
      <c r="AL97" s="702">
        <f>((($L97)*(AL45))/(12))</f>
        <v/>
      </c>
      <c r="AM97" s="702">
        <f>((($L97)*(AM45))/(12))</f>
        <v/>
      </c>
      <c r="AN97" s="765">
        <f>+SUM(AB97:AM97)</f>
        <v/>
      </c>
      <c r="AO97" s="702" t="n"/>
      <c r="AP97" s="702">
        <f>((($M97)*(AP45))/(12))</f>
        <v/>
      </c>
      <c r="AQ97" s="702">
        <f>((($M97)*(AQ45))/(12))</f>
        <v/>
      </c>
      <c r="AR97" s="702">
        <f>((($M97)*(AR45))/(12))</f>
        <v/>
      </c>
      <c r="AS97" s="702">
        <f>((($M97)*(AS45))/(12))</f>
        <v/>
      </c>
      <c r="AT97" s="702">
        <f>((($M97)*(AT45))/(12))</f>
        <v/>
      </c>
      <c r="AU97" s="702">
        <f>((($M97)*(AU45))/(12))</f>
        <v/>
      </c>
      <c r="AV97" s="702">
        <f>((($M97)*(AV45))/(12))</f>
        <v/>
      </c>
      <c r="AW97" s="702">
        <f>((($M97)*(AW45))/(12))</f>
        <v/>
      </c>
      <c r="AX97" s="702">
        <f>((($M97)*(AX45))/(12))</f>
        <v/>
      </c>
      <c r="AY97" s="702">
        <f>((($M97)*(AY45))/(12))</f>
        <v/>
      </c>
      <c r="AZ97" s="702">
        <f>((($M97)*(AZ45))/(12))</f>
        <v/>
      </c>
      <c r="BA97" s="702">
        <f>((($M97)*(BA45))/(12))</f>
        <v/>
      </c>
      <c r="BB97" s="765">
        <f>SUM(AP97:BA97)</f>
        <v/>
      </c>
      <c r="BC97" s="702" t="n"/>
      <c r="BD97" s="702">
        <f>((($N97)*(BD45))/(12))</f>
        <v/>
      </c>
      <c r="BE97" s="702">
        <f>((($N97)*(BE45))/(12))</f>
        <v/>
      </c>
      <c r="BF97" s="702">
        <f>((($N97)*(BF45))/(12))</f>
        <v/>
      </c>
      <c r="BG97" s="702">
        <f>((($N97)*(BG45))/(12))</f>
        <v/>
      </c>
      <c r="BH97" s="702">
        <f>((($N97)*(BH45))/(12))</f>
        <v/>
      </c>
      <c r="BI97" s="702">
        <f>((($N97)*(BI45))/(12))</f>
        <v/>
      </c>
      <c r="BJ97" s="702">
        <f>((($N97)*(BJ45))/(12))</f>
        <v/>
      </c>
      <c r="BK97" s="702">
        <f>((($N97)*(BK45))/(12))</f>
        <v/>
      </c>
      <c r="BL97" s="702">
        <f>((($N97)*(BL45))/(12))</f>
        <v/>
      </c>
      <c r="BM97" s="702">
        <f>((($N97)*(BM45))/(12))</f>
        <v/>
      </c>
      <c r="BN97" s="702">
        <f>((($N97)*(BN45))/(12))</f>
        <v/>
      </c>
      <c r="BO97" s="702">
        <f>((($N97)*(BO45))/(12))</f>
        <v/>
      </c>
      <c r="BP97" s="765">
        <f>SUM(BD97:BO97)</f>
        <v/>
      </c>
      <c r="BQ97" s="713" t="n"/>
      <c r="BR97" s="702">
        <f>((($O97)*(BR45))/(12))</f>
        <v/>
      </c>
      <c r="BS97" s="702">
        <f>((($O97)*(BS45))/(12))</f>
        <v/>
      </c>
      <c r="BT97" s="702">
        <f>((($O97)*(BT45))/(12))</f>
        <v/>
      </c>
      <c r="BU97" s="702">
        <f>((($O97)*(BU45))/(12))</f>
        <v/>
      </c>
      <c r="BV97" s="702">
        <f>((($O97)*(BV45))/(12))</f>
        <v/>
      </c>
      <c r="BW97" s="702">
        <f>((($O97)*(BW45))/(12))</f>
        <v/>
      </c>
      <c r="BX97" s="702">
        <f>((($O97)*(BX45))/(12))</f>
        <v/>
      </c>
      <c r="BY97" s="702">
        <f>((($O97)*(BY45))/(12))</f>
        <v/>
      </c>
      <c r="BZ97" s="702">
        <f>((($O97)*(BZ45))/(12))</f>
        <v/>
      </c>
      <c r="CA97" s="702">
        <f>((($O97)*(CA45))/(12))</f>
        <v/>
      </c>
      <c r="CB97" s="702">
        <f>((($O97)*(CB45))/(12))</f>
        <v/>
      </c>
      <c r="CC97" s="702">
        <f>((($O97)*(CC45))/(12))</f>
        <v/>
      </c>
      <c r="CD97" s="765">
        <f>SUM(BR97:CC97)</f>
        <v/>
      </c>
      <c r="CE97" s="713" t="n"/>
      <c r="CF97" s="702">
        <f>((($P97)*(CF45))/(12))</f>
        <v/>
      </c>
      <c r="CG97" s="702">
        <f>((($P97)*(CG45))/(12))</f>
        <v/>
      </c>
      <c r="CH97" s="702">
        <f>((($P97)*(CH45))/(12))</f>
        <v/>
      </c>
      <c r="CI97" s="702">
        <f>((($P97)*(CI45))/(12))</f>
        <v/>
      </c>
      <c r="CJ97" s="702">
        <f>((($P97)*(CJ45))/(12))</f>
        <v/>
      </c>
      <c r="CK97" s="702">
        <f>((($P97)*(CK45))/(12))</f>
        <v/>
      </c>
      <c r="CL97" s="702">
        <f>((($P97)*(CL45))/(12))</f>
        <v/>
      </c>
      <c r="CM97" s="702">
        <f>((($P97)*(CM45))/(12))</f>
        <v/>
      </c>
      <c r="CN97" s="702">
        <f>((($P97)*(CN45))/(12))</f>
        <v/>
      </c>
      <c r="CO97" s="702">
        <f>((($P97)*(CO45))/(12))</f>
        <v/>
      </c>
      <c r="CP97" s="702">
        <f>((($P97)*(CP45))/(12))</f>
        <v/>
      </c>
      <c r="CQ97" s="702">
        <f>((($P97)*(CQ45))/(12))</f>
        <v/>
      </c>
      <c r="CR97" s="765">
        <f>SUM(CF97:CQ97)</f>
        <v/>
      </c>
      <c r="CS97" s="1917" t="n"/>
      <c r="CT97" s="702">
        <f>((($Q97)*(CT45))/(12))</f>
        <v/>
      </c>
      <c r="CU97" s="702">
        <f>((($Q97)*(CU45))/(12))</f>
        <v/>
      </c>
      <c r="CV97" s="702">
        <f>((($Q97)*(CV45))/(12))</f>
        <v/>
      </c>
      <c r="CW97" s="702">
        <f>((($Q97)*(CW45))/(12))</f>
        <v/>
      </c>
      <c r="CX97" s="702">
        <f>((($Q97)*(CX45))/(12))</f>
        <v/>
      </c>
      <c r="CY97" s="702">
        <f>((($Q97)*(CY45))/(12))</f>
        <v/>
      </c>
      <c r="CZ97" s="702">
        <f>((($Q97)*(CZ45))/(12))</f>
        <v/>
      </c>
      <c r="DA97" s="702">
        <f>((($Q97)*(DA45))/(12))</f>
        <v/>
      </c>
      <c r="DB97" s="702">
        <f>((($Q97)*(DB45))/(12))</f>
        <v/>
      </c>
      <c r="DC97" s="702">
        <f>((($Q97)*(DC45))/(12))</f>
        <v/>
      </c>
      <c r="DD97" s="702">
        <f>((($Q97)*(DD45))/(12))</f>
        <v/>
      </c>
      <c r="DE97" s="702">
        <f>((($Q97)*(DE45))/(12))</f>
        <v/>
      </c>
      <c r="DF97" s="765">
        <f>SUM(CT97:DE97)</f>
        <v/>
      </c>
    </row>
    <row r="98" ht="15" customHeight="1" s="1883">
      <c r="D98" s="730" t="inlineStr">
        <is>
          <t>●</t>
        </is>
      </c>
      <c r="E98" s="726" t="inlineStr">
        <is>
          <t>TBD</t>
        </is>
      </c>
      <c r="F98" s="726" t="n"/>
      <c r="G98" s="726" t="n"/>
      <c r="H98" s="726" t="n"/>
      <c r="I98" s="743" t="inlineStr">
        <is>
          <t>IT &amp; Tech Team</t>
        </is>
      </c>
      <c r="J98" s="727" t="inlineStr">
        <is>
          <t>CONUS</t>
        </is>
      </c>
      <c r="K98" s="726" t="n"/>
      <c r="L98" s="702" t="n">
        <v>70000</v>
      </c>
      <c r="M98" s="702" t="n">
        <v>70000</v>
      </c>
      <c r="N98" s="700">
        <f>((M98)*((1)+($N$66)))</f>
        <v/>
      </c>
      <c r="O98" s="700">
        <f>((N98)*((1)+($O$66)))</f>
        <v/>
      </c>
      <c r="P98" s="700">
        <f>((O98)*((1)+($P$66)))</f>
        <v/>
      </c>
      <c r="Q98" s="700">
        <f>((P98)*((1)+($Q$66)))</f>
        <v/>
      </c>
      <c r="R98" s="726" t="n"/>
      <c r="S98" s="778" t="n"/>
      <c r="T98" s="778" t="n"/>
      <c r="U98" s="778" t="n"/>
      <c r="V98" s="778" t="n"/>
      <c r="W98" s="778" t="n"/>
      <c r="X98" s="778" t="n"/>
      <c r="Y98" s="778" t="n"/>
      <c r="Z98" s="768" t="n"/>
      <c r="AA98" s="702" t="n"/>
      <c r="AB98" s="702">
        <f>((($L98)*(AB46))/(12))</f>
        <v/>
      </c>
      <c r="AC98" s="702">
        <f>((($L98)*(AC46))/(12))</f>
        <v/>
      </c>
      <c r="AD98" s="702">
        <f>((($L98)*(AD46))/(12))</f>
        <v/>
      </c>
      <c r="AE98" s="702">
        <f>((($L98)*(AE46))/(12))</f>
        <v/>
      </c>
      <c r="AF98" s="702">
        <f>((($L98)*(AF46))/(12))</f>
        <v/>
      </c>
      <c r="AG98" s="702">
        <f>((($L98)*(AG46))/(12))</f>
        <v/>
      </c>
      <c r="AH98" s="702">
        <f>((($L98)*(AH46))/(12))</f>
        <v/>
      </c>
      <c r="AI98" s="702">
        <f>((($L98)*(AI46))/(12))</f>
        <v/>
      </c>
      <c r="AJ98" s="702">
        <f>((($L98)*(AJ46))/(12))</f>
        <v/>
      </c>
      <c r="AK98" s="702">
        <f>((($L98)*(AK46))/(12))</f>
        <v/>
      </c>
      <c r="AL98" s="702">
        <f>((($L98)*(AL46))/(12))</f>
        <v/>
      </c>
      <c r="AM98" s="702">
        <f>((($L98)*(AM46))/(12))</f>
        <v/>
      </c>
      <c r="AN98" s="765">
        <f>+SUM(AB98:AM98)</f>
        <v/>
      </c>
      <c r="AO98" s="702" t="n"/>
      <c r="AP98" s="702">
        <f>((($M98)*(AP46))/(12))</f>
        <v/>
      </c>
      <c r="AQ98" s="702">
        <f>((($M98)*(AQ46))/(12))</f>
        <v/>
      </c>
      <c r="AR98" s="702">
        <f>((($M98)*(AR46))/(12))</f>
        <v/>
      </c>
      <c r="AS98" s="702">
        <f>((($M98)*(AS46))/(12))</f>
        <v/>
      </c>
      <c r="AT98" s="702">
        <f>((($M98)*(AT46))/(12))</f>
        <v/>
      </c>
      <c r="AU98" s="702">
        <f>((($M98)*(AU46))/(12))</f>
        <v/>
      </c>
      <c r="AV98" s="702">
        <f>((($M98)*(AV46))/(12))</f>
        <v/>
      </c>
      <c r="AW98" s="702">
        <f>((($M98)*(AW46))/(12))</f>
        <v/>
      </c>
      <c r="AX98" s="702">
        <f>((($M98)*(AX46))/(12))</f>
        <v/>
      </c>
      <c r="AY98" s="702">
        <f>((($M98)*(AY46))/(12))</f>
        <v/>
      </c>
      <c r="AZ98" s="702">
        <f>((($M98)*(AZ46))/(12))</f>
        <v/>
      </c>
      <c r="BA98" s="702">
        <f>((($M98)*(BA46))/(12))</f>
        <v/>
      </c>
      <c r="BB98" s="765">
        <f>SUM(AP98:BA98)</f>
        <v/>
      </c>
      <c r="BC98" s="702" t="n"/>
      <c r="BD98" s="702">
        <f>((($N98)*(BD46))/(12))</f>
        <v/>
      </c>
      <c r="BE98" s="702">
        <f>((($N98)*(BE46))/(12))</f>
        <v/>
      </c>
      <c r="BF98" s="702">
        <f>((($N98)*(BF46))/(12))</f>
        <v/>
      </c>
      <c r="BG98" s="702">
        <f>((($N98)*(BG46))/(12))</f>
        <v/>
      </c>
      <c r="BH98" s="702">
        <f>((($N98)*(BH46))/(12))</f>
        <v/>
      </c>
      <c r="BI98" s="702">
        <f>((($N98)*(BI46))/(12))</f>
        <v/>
      </c>
      <c r="BJ98" s="702">
        <f>((($N98)*(BJ46))/(12))</f>
        <v/>
      </c>
      <c r="BK98" s="702">
        <f>((($N98)*(BK46))/(12))</f>
        <v/>
      </c>
      <c r="BL98" s="702">
        <f>((($N98)*(BL46))/(12))</f>
        <v/>
      </c>
      <c r="BM98" s="702">
        <f>((($N98)*(BM46))/(12))</f>
        <v/>
      </c>
      <c r="BN98" s="702">
        <f>((($N98)*(BN46))/(12))</f>
        <v/>
      </c>
      <c r="BO98" s="702">
        <f>((($N98)*(BO46))/(12))</f>
        <v/>
      </c>
      <c r="BP98" s="765">
        <f>SUM(BD98:BO98)</f>
        <v/>
      </c>
      <c r="BQ98" s="713" t="n"/>
      <c r="BR98" s="702">
        <f>((($O98)*(BR46))/(12))</f>
        <v/>
      </c>
      <c r="BS98" s="702">
        <f>((($O98)*(BS46))/(12))</f>
        <v/>
      </c>
      <c r="BT98" s="702">
        <f>((($O98)*(BT46))/(12))</f>
        <v/>
      </c>
      <c r="BU98" s="702">
        <f>((($O98)*(BU46))/(12))</f>
        <v/>
      </c>
      <c r="BV98" s="702">
        <f>((($O98)*(BV46))/(12))</f>
        <v/>
      </c>
      <c r="BW98" s="702">
        <f>((($O98)*(BW46))/(12))</f>
        <v/>
      </c>
      <c r="BX98" s="702">
        <f>((($O98)*(BX46))/(12))</f>
        <v/>
      </c>
      <c r="BY98" s="702">
        <f>((($O98)*(BY46))/(12))</f>
        <v/>
      </c>
      <c r="BZ98" s="702">
        <f>((($O98)*(BZ46))/(12))</f>
        <v/>
      </c>
      <c r="CA98" s="702">
        <f>((($O98)*(CA46))/(12))</f>
        <v/>
      </c>
      <c r="CB98" s="702">
        <f>((($O98)*(CB46))/(12))</f>
        <v/>
      </c>
      <c r="CC98" s="702">
        <f>((($O98)*(CC46))/(12))</f>
        <v/>
      </c>
      <c r="CD98" s="765">
        <f>SUM(BR98:CC98)</f>
        <v/>
      </c>
      <c r="CE98" s="713" t="n"/>
      <c r="CF98" s="702">
        <f>((($P98)*(CF46))/(12))</f>
        <v/>
      </c>
      <c r="CG98" s="702">
        <f>((($P98)*(CG46))/(12))</f>
        <v/>
      </c>
      <c r="CH98" s="702">
        <f>((($P98)*(CH46))/(12))</f>
        <v/>
      </c>
      <c r="CI98" s="702">
        <f>((($P98)*(CI46))/(12))</f>
        <v/>
      </c>
      <c r="CJ98" s="702">
        <f>((($P98)*(CJ46))/(12))</f>
        <v/>
      </c>
      <c r="CK98" s="702">
        <f>((($P98)*(CK46))/(12))</f>
        <v/>
      </c>
      <c r="CL98" s="702">
        <f>((($P98)*(CL46))/(12))</f>
        <v/>
      </c>
      <c r="CM98" s="702">
        <f>((($P98)*(CM46))/(12))</f>
        <v/>
      </c>
      <c r="CN98" s="702">
        <f>((($P98)*(CN46))/(12))</f>
        <v/>
      </c>
      <c r="CO98" s="702">
        <f>((($P98)*(CO46))/(12))</f>
        <v/>
      </c>
      <c r="CP98" s="702">
        <f>((($P98)*(CP46))/(12))</f>
        <v/>
      </c>
      <c r="CQ98" s="702">
        <f>((($P98)*(CQ46))/(12))</f>
        <v/>
      </c>
      <c r="CR98" s="765">
        <f>SUM(CF98:CQ98)</f>
        <v/>
      </c>
      <c r="CS98" s="1917" t="n"/>
      <c r="CT98" s="702">
        <f>((($Q98)*(CT46))/(12))</f>
        <v/>
      </c>
      <c r="CU98" s="702">
        <f>((($Q98)*(CU46))/(12))</f>
        <v/>
      </c>
      <c r="CV98" s="702">
        <f>((($Q98)*(CV46))/(12))</f>
        <v/>
      </c>
      <c r="CW98" s="702">
        <f>((($Q98)*(CW46))/(12))</f>
        <v/>
      </c>
      <c r="CX98" s="702">
        <f>((($Q98)*(CX46))/(12))</f>
        <v/>
      </c>
      <c r="CY98" s="702">
        <f>((($Q98)*(CY46))/(12))</f>
        <v/>
      </c>
      <c r="CZ98" s="702">
        <f>((($Q98)*(CZ46))/(12))</f>
        <v/>
      </c>
      <c r="DA98" s="702">
        <f>((($Q98)*(DA46))/(12))</f>
        <v/>
      </c>
      <c r="DB98" s="702">
        <f>((($Q98)*(DB46))/(12))</f>
        <v/>
      </c>
      <c r="DC98" s="702">
        <f>((($Q98)*(DC46))/(12))</f>
        <v/>
      </c>
      <c r="DD98" s="702">
        <f>((($Q98)*(DD46))/(12))</f>
        <v/>
      </c>
      <c r="DE98" s="702">
        <f>((($Q98)*(DE46))/(12))</f>
        <v/>
      </c>
      <c r="DF98" s="765">
        <f>SUM(CT98:DE98)</f>
        <v/>
      </c>
    </row>
    <row r="99" ht="15" customHeight="1" s="1883">
      <c r="D99" s="730" t="n"/>
      <c r="E99" s="726" t="n"/>
      <c r="F99" s="726" t="n"/>
      <c r="G99" s="726" t="n"/>
      <c r="H99" s="726" t="n"/>
      <c r="I99" s="743" t="n"/>
      <c r="J99" s="774" t="inlineStr">
        <is>
          <t>OCONUS</t>
        </is>
      </c>
      <c r="K99" s="726" t="n"/>
      <c r="L99" s="702" t="n">
        <v>30000</v>
      </c>
      <c r="M99" s="702" t="n">
        <v>45000</v>
      </c>
      <c r="N99" s="700">
        <f>((M99)*((1)+($N$66)))</f>
        <v/>
      </c>
      <c r="O99" s="700">
        <f>((N99)*((1)+($O$66)))</f>
        <v/>
      </c>
      <c r="P99" s="700">
        <f>((O99)*((1)+($P$66)))</f>
        <v/>
      </c>
      <c r="Q99" s="700">
        <f>((P99)*((1)+($Q$66)))</f>
        <v/>
      </c>
      <c r="R99" s="726" t="n"/>
      <c r="S99" s="778" t="n"/>
      <c r="T99" s="778" t="n"/>
      <c r="U99" s="778" t="n"/>
      <c r="V99" s="778" t="n"/>
      <c r="W99" s="778" t="n"/>
      <c r="X99" s="778" t="n"/>
      <c r="Y99" s="778" t="n"/>
      <c r="Z99" s="768" t="n"/>
      <c r="AA99" s="702" t="n"/>
      <c r="AB99" s="702">
        <f>((($L99)*(AB47))/(12))</f>
        <v/>
      </c>
      <c r="AC99" s="702">
        <f>((($L99)*(AC47))/(12))</f>
        <v/>
      </c>
      <c r="AD99" s="702">
        <f>((($L99)*(AD47))/(12))</f>
        <v/>
      </c>
      <c r="AE99" s="702">
        <f>((($L99)*(AE47))/(12))</f>
        <v/>
      </c>
      <c r="AF99" s="702">
        <f>((($L99)*(AF47))/(12))</f>
        <v/>
      </c>
      <c r="AG99" s="702">
        <f>((($L99)*(AG47))/(12))</f>
        <v/>
      </c>
      <c r="AH99" s="702">
        <f>((($L99)*(AH47))/(12))</f>
        <v/>
      </c>
      <c r="AI99" s="702">
        <f>((($L99)*(AI47))/(12))</f>
        <v/>
      </c>
      <c r="AJ99" s="702">
        <f>((($L99)*(AJ47))/(12))</f>
        <v/>
      </c>
      <c r="AK99" s="702">
        <f>((($L99)*(AK47))/(12))</f>
        <v/>
      </c>
      <c r="AL99" s="702">
        <f>((($L99)*(AL47))/(12))</f>
        <v/>
      </c>
      <c r="AM99" s="702">
        <f>((($L99)*(AM47))/(12))</f>
        <v/>
      </c>
      <c r="AN99" s="765">
        <f>+SUM(AB99:AM99)</f>
        <v/>
      </c>
      <c r="AO99" s="702" t="n"/>
      <c r="AP99" s="702">
        <f>((($M99)*(AP47))/(12))</f>
        <v/>
      </c>
      <c r="AQ99" s="702">
        <f>((($M99)*(AQ47))/(12))</f>
        <v/>
      </c>
      <c r="AR99" s="702">
        <f>((($M99)*(AR47))/(12))</f>
        <v/>
      </c>
      <c r="AS99" s="702">
        <f>((($M99)*(AS47))/(12))</f>
        <v/>
      </c>
      <c r="AT99" s="702">
        <f>((($M99)*(AT47))/(12))</f>
        <v/>
      </c>
      <c r="AU99" s="702">
        <f>((($M99)*(AU47))/(12))</f>
        <v/>
      </c>
      <c r="AV99" s="702">
        <f>((($M99)*(AV47))/(12))</f>
        <v/>
      </c>
      <c r="AW99" s="702">
        <f>((($M99)*(AW47))/(12))</f>
        <v/>
      </c>
      <c r="AX99" s="702">
        <f>((($M99)*(AX47))/(12))</f>
        <v/>
      </c>
      <c r="AY99" s="702">
        <f>((($M99)*(AY47))/(12))</f>
        <v/>
      </c>
      <c r="AZ99" s="702">
        <f>((($M99)*(AZ47))/(12))</f>
        <v/>
      </c>
      <c r="BA99" s="702">
        <f>((($M99)*(BA47))/(12))</f>
        <v/>
      </c>
      <c r="BB99" s="765">
        <f>SUM(AP99:BA99)</f>
        <v/>
      </c>
      <c r="BC99" s="702" t="n"/>
      <c r="BD99" s="702">
        <f>((($N99)*(BD47))/(12))</f>
        <v/>
      </c>
      <c r="BE99" s="702">
        <f>((($N99)*(BE47))/(12))</f>
        <v/>
      </c>
      <c r="BF99" s="702">
        <f>((($N99)*(BF47))/(12))</f>
        <v/>
      </c>
      <c r="BG99" s="702">
        <f>((($N99)*(BG47))/(12))</f>
        <v/>
      </c>
      <c r="BH99" s="702">
        <f>((($N99)*(BH47))/(12))</f>
        <v/>
      </c>
      <c r="BI99" s="702">
        <f>((($N99)*(BI47))/(12))</f>
        <v/>
      </c>
      <c r="BJ99" s="702">
        <f>((($N99)*(BJ47))/(12))</f>
        <v/>
      </c>
      <c r="BK99" s="702">
        <f>((($N99)*(BK47))/(12))</f>
        <v/>
      </c>
      <c r="BL99" s="702">
        <f>((($N99)*(BL47))/(12))</f>
        <v/>
      </c>
      <c r="BM99" s="702">
        <f>((($N99)*(BM47))/(12))</f>
        <v/>
      </c>
      <c r="BN99" s="702">
        <f>((($N99)*(BN47))/(12))</f>
        <v/>
      </c>
      <c r="BO99" s="702">
        <f>((($N99)*(BO47))/(12))</f>
        <v/>
      </c>
      <c r="BP99" s="765">
        <f>SUM(BD99:BO99)</f>
        <v/>
      </c>
      <c r="BQ99" s="713" t="n"/>
      <c r="BR99" s="702">
        <f>((($O99)*(BR47))/(12))</f>
        <v/>
      </c>
      <c r="BS99" s="702">
        <f>((($O99)*(BS47))/(12))</f>
        <v/>
      </c>
      <c r="BT99" s="702">
        <f>((($O99)*(BT47))/(12))</f>
        <v/>
      </c>
      <c r="BU99" s="702">
        <f>((($O99)*(BU47))/(12))</f>
        <v/>
      </c>
      <c r="BV99" s="702">
        <f>((($O99)*(BV47))/(12))</f>
        <v/>
      </c>
      <c r="BW99" s="702">
        <f>((($O99)*(BW47))/(12))</f>
        <v/>
      </c>
      <c r="BX99" s="702">
        <f>((($O99)*(BX47))/(12))</f>
        <v/>
      </c>
      <c r="BY99" s="702">
        <f>((($O99)*(BY47))/(12))</f>
        <v/>
      </c>
      <c r="BZ99" s="702">
        <f>((($O99)*(BZ47))/(12))</f>
        <v/>
      </c>
      <c r="CA99" s="702">
        <f>((($O99)*(CA47))/(12))</f>
        <v/>
      </c>
      <c r="CB99" s="702">
        <f>((($O99)*(CB47))/(12))</f>
        <v/>
      </c>
      <c r="CC99" s="702">
        <f>((($O99)*(CC47))/(12))</f>
        <v/>
      </c>
      <c r="CD99" s="765">
        <f>SUM(BR99:CC99)</f>
        <v/>
      </c>
      <c r="CE99" s="713" t="n"/>
      <c r="CF99" s="702">
        <f>((($P99)*(CF47))/(12))</f>
        <v/>
      </c>
      <c r="CG99" s="702">
        <f>((($P99)*(CG47))/(12))</f>
        <v/>
      </c>
      <c r="CH99" s="702">
        <f>((($P99)*(CH47))/(12))</f>
        <v/>
      </c>
      <c r="CI99" s="702">
        <f>((($P99)*(CI47))/(12))</f>
        <v/>
      </c>
      <c r="CJ99" s="702">
        <f>((($P99)*(CJ47))/(12))</f>
        <v/>
      </c>
      <c r="CK99" s="702">
        <f>((($P99)*(CK47))/(12))</f>
        <v/>
      </c>
      <c r="CL99" s="702">
        <f>((($P99)*(CL47))/(12))</f>
        <v/>
      </c>
      <c r="CM99" s="702">
        <f>((($P99)*(CM47))/(12))</f>
        <v/>
      </c>
      <c r="CN99" s="702">
        <f>((($P99)*(CN47))/(12))</f>
        <v/>
      </c>
      <c r="CO99" s="702">
        <f>((($P99)*(CO47))/(12))</f>
        <v/>
      </c>
      <c r="CP99" s="702">
        <f>((($P99)*(CP47))/(12))</f>
        <v/>
      </c>
      <c r="CQ99" s="702">
        <f>((($P99)*(CQ47))/(12))</f>
        <v/>
      </c>
      <c r="CR99" s="765">
        <f>SUM(CF99:CQ99)</f>
        <v/>
      </c>
      <c r="CS99" s="1917" t="n"/>
      <c r="CT99" s="702">
        <f>((($Q99)*(CT47))/(12))</f>
        <v/>
      </c>
      <c r="CU99" s="702">
        <f>((($Q99)*(CU47))/(12))</f>
        <v/>
      </c>
      <c r="CV99" s="702">
        <f>((($Q99)*(CV47))/(12))</f>
        <v/>
      </c>
      <c r="CW99" s="702">
        <f>((($Q99)*(CW47))/(12))</f>
        <v/>
      </c>
      <c r="CX99" s="702">
        <f>((($Q99)*(CX47))/(12))</f>
        <v/>
      </c>
      <c r="CY99" s="702">
        <f>((($Q99)*(CY47))/(12))</f>
        <v/>
      </c>
      <c r="CZ99" s="702">
        <f>((($Q99)*(CZ47))/(12))</f>
        <v/>
      </c>
      <c r="DA99" s="702">
        <f>((($Q99)*(DA47))/(12))</f>
        <v/>
      </c>
      <c r="DB99" s="702">
        <f>((($Q99)*(DB47))/(12))</f>
        <v/>
      </c>
      <c r="DC99" s="702">
        <f>((($Q99)*(DC47))/(12))</f>
        <v/>
      </c>
      <c r="DD99" s="702">
        <f>((($Q99)*(DD47))/(12))</f>
        <v/>
      </c>
      <c r="DE99" s="702">
        <f>((($Q99)*(DE47))/(12))</f>
        <v/>
      </c>
      <c r="DF99" s="765">
        <f>SUM(CT99:DE99)</f>
        <v/>
      </c>
    </row>
    <row r="100" ht="15" customHeight="1" s="1883">
      <c r="D100" s="730" t="inlineStr">
        <is>
          <t>●</t>
        </is>
      </c>
      <c r="E100" s="726" t="inlineStr">
        <is>
          <t>TBD</t>
        </is>
      </c>
      <c r="F100" s="726" t="n"/>
      <c r="G100" s="726" t="n"/>
      <c r="H100" s="726" t="n"/>
      <c r="I100" s="743" t="inlineStr">
        <is>
          <t>Virtual Assistants</t>
        </is>
      </c>
      <c r="J100" s="727" t="inlineStr">
        <is>
          <t>CONUS</t>
        </is>
      </c>
      <c r="K100" s="726" t="n"/>
      <c r="L100" s="702" t="n">
        <v>20000</v>
      </c>
      <c r="M100" s="702" t="n">
        <v>20000</v>
      </c>
      <c r="N100" s="700">
        <f>((M100)*((1)+($N$66)))</f>
        <v/>
      </c>
      <c r="O100" s="700">
        <f>((N100)*((1)+($O$66)))</f>
        <v/>
      </c>
      <c r="P100" s="700">
        <f>((O100)*((1)+($P$66)))</f>
        <v/>
      </c>
      <c r="Q100" s="700">
        <f>((P100)*((1)+($Q$66)))</f>
        <v/>
      </c>
      <c r="R100" s="726" t="n"/>
      <c r="S100" s="778" t="n"/>
      <c r="T100" s="778" t="n"/>
      <c r="U100" s="778" t="n"/>
      <c r="V100" s="778" t="n"/>
      <c r="W100" s="778" t="n"/>
      <c r="X100" s="778" t="n"/>
      <c r="Y100" s="778" t="n"/>
      <c r="Z100" s="768" t="n"/>
      <c r="AA100" s="702" t="n"/>
      <c r="AB100" s="702">
        <f>((($L100)*(AB48))/(12))</f>
        <v/>
      </c>
      <c r="AC100" s="702">
        <f>((($L100)*(AC48))/(12))</f>
        <v/>
      </c>
      <c r="AD100" s="702">
        <f>((($L100)*(AD48))/(12))</f>
        <v/>
      </c>
      <c r="AE100" s="702">
        <f>((($L100)*(AE48))/(12))</f>
        <v/>
      </c>
      <c r="AF100" s="702">
        <f>((($L100)*(AF48))/(12))</f>
        <v/>
      </c>
      <c r="AG100" s="702">
        <f>((($L100)*(AG48))/(12))</f>
        <v/>
      </c>
      <c r="AH100" s="702">
        <f>((($L100)*(AH48))/(12))</f>
        <v/>
      </c>
      <c r="AI100" s="702">
        <f>((($L100)*(AI48))/(12))</f>
        <v/>
      </c>
      <c r="AJ100" s="702">
        <f>((($L100)*(AJ48))/(12))</f>
        <v/>
      </c>
      <c r="AK100" s="702">
        <f>((($L100)*(AK48))/(12))</f>
        <v/>
      </c>
      <c r="AL100" s="702">
        <f>((($L100)*(AL48))/(12))</f>
        <v/>
      </c>
      <c r="AM100" s="702">
        <f>((($L100)*(AM48))/(12))</f>
        <v/>
      </c>
      <c r="AN100" s="765">
        <f>+SUM(AB100:AM100)</f>
        <v/>
      </c>
      <c r="AO100" s="702" t="n"/>
      <c r="AP100" s="702">
        <f>((($M100)*(AP48))/(12))</f>
        <v/>
      </c>
      <c r="AQ100" s="702">
        <f>((($M100)*(AQ48))/(12))</f>
        <v/>
      </c>
      <c r="AR100" s="702">
        <f>((($M100)*(AR48))/(12))</f>
        <v/>
      </c>
      <c r="AS100" s="702">
        <f>((($M100)*(AS48))/(12))</f>
        <v/>
      </c>
      <c r="AT100" s="702">
        <f>((($M100)*(AT48))/(12))</f>
        <v/>
      </c>
      <c r="AU100" s="702">
        <f>((($M100)*(AU48))/(12))</f>
        <v/>
      </c>
      <c r="AV100" s="702">
        <f>((($M100)*(AV48))/(12))</f>
        <v/>
      </c>
      <c r="AW100" s="702">
        <f>((($M100)*(AW48))/(12))</f>
        <v/>
      </c>
      <c r="AX100" s="702">
        <f>((($M100)*(AX48))/(12))</f>
        <v/>
      </c>
      <c r="AY100" s="702">
        <f>((($M100)*(AY48))/(12))</f>
        <v/>
      </c>
      <c r="AZ100" s="702">
        <f>((($M100)*(AZ48))/(12))</f>
        <v/>
      </c>
      <c r="BA100" s="702">
        <f>((($M100)*(BA48))/(12))</f>
        <v/>
      </c>
      <c r="BB100" s="765">
        <f>SUM(AP100:BA100)</f>
        <v/>
      </c>
      <c r="BC100" s="702" t="n"/>
      <c r="BD100" s="702">
        <f>((($N100)*(BD48))/(12))</f>
        <v/>
      </c>
      <c r="BE100" s="702">
        <f>((($N100)*(BE48))/(12))</f>
        <v/>
      </c>
      <c r="BF100" s="702">
        <f>((($N100)*(BF48))/(12))</f>
        <v/>
      </c>
      <c r="BG100" s="702">
        <f>((($N100)*(BG48))/(12))</f>
        <v/>
      </c>
      <c r="BH100" s="702">
        <f>((($N100)*(BH48))/(12))</f>
        <v/>
      </c>
      <c r="BI100" s="702">
        <f>((($N100)*(BI48))/(12))</f>
        <v/>
      </c>
      <c r="BJ100" s="702">
        <f>((($N100)*(BJ48))/(12))</f>
        <v/>
      </c>
      <c r="BK100" s="702">
        <f>((($N100)*(BK48))/(12))</f>
        <v/>
      </c>
      <c r="BL100" s="702">
        <f>((($N100)*(BL48))/(12))</f>
        <v/>
      </c>
      <c r="BM100" s="702">
        <f>((($N100)*(BM48))/(12))</f>
        <v/>
      </c>
      <c r="BN100" s="702">
        <f>((($N100)*(BN48))/(12))</f>
        <v/>
      </c>
      <c r="BO100" s="702">
        <f>((($N100)*(BO48))/(12))</f>
        <v/>
      </c>
      <c r="BP100" s="765">
        <f>SUM(BD100:BO100)</f>
        <v/>
      </c>
      <c r="BQ100" s="713" t="n"/>
      <c r="BR100" s="702">
        <f>((($O100)*(BR48))/(12))</f>
        <v/>
      </c>
      <c r="BS100" s="702">
        <f>((($O100)*(BS48))/(12))</f>
        <v/>
      </c>
      <c r="BT100" s="702">
        <f>((($O100)*(BT48))/(12))</f>
        <v/>
      </c>
      <c r="BU100" s="702">
        <f>((($O100)*(BU48))/(12))</f>
        <v/>
      </c>
      <c r="BV100" s="702">
        <f>((($O100)*(BV48))/(12))</f>
        <v/>
      </c>
      <c r="BW100" s="702">
        <f>((($O100)*(BW48))/(12))</f>
        <v/>
      </c>
      <c r="BX100" s="702">
        <f>((($O100)*(BX48))/(12))</f>
        <v/>
      </c>
      <c r="BY100" s="702">
        <f>((($O100)*(BY48))/(12))</f>
        <v/>
      </c>
      <c r="BZ100" s="702">
        <f>((($O100)*(BZ48))/(12))</f>
        <v/>
      </c>
      <c r="CA100" s="702">
        <f>((($O100)*(CA48))/(12))</f>
        <v/>
      </c>
      <c r="CB100" s="702">
        <f>((($O100)*(CB48))/(12))</f>
        <v/>
      </c>
      <c r="CC100" s="702">
        <f>((($O100)*(CC48))/(12))</f>
        <v/>
      </c>
      <c r="CD100" s="765">
        <f>SUM(BR100:CC100)</f>
        <v/>
      </c>
      <c r="CE100" s="713" t="n"/>
      <c r="CF100" s="702">
        <f>((($P100)*(CF48))/(12))</f>
        <v/>
      </c>
      <c r="CG100" s="702">
        <f>((($P100)*(CG48))/(12))</f>
        <v/>
      </c>
      <c r="CH100" s="702">
        <f>((($P100)*(CH48))/(12))</f>
        <v/>
      </c>
      <c r="CI100" s="702">
        <f>((($P100)*(CI48))/(12))</f>
        <v/>
      </c>
      <c r="CJ100" s="702">
        <f>((($P100)*(CJ48))/(12))</f>
        <v/>
      </c>
      <c r="CK100" s="702">
        <f>((($P100)*(CK48))/(12))</f>
        <v/>
      </c>
      <c r="CL100" s="702">
        <f>((($P100)*(CL48))/(12))</f>
        <v/>
      </c>
      <c r="CM100" s="702">
        <f>((($P100)*(CM48))/(12))</f>
        <v/>
      </c>
      <c r="CN100" s="702">
        <f>((($P100)*(CN48))/(12))</f>
        <v/>
      </c>
      <c r="CO100" s="702">
        <f>((($P100)*(CO48))/(12))</f>
        <v/>
      </c>
      <c r="CP100" s="702">
        <f>((($P100)*(CP48))/(12))</f>
        <v/>
      </c>
      <c r="CQ100" s="702">
        <f>((($P100)*(CQ48))/(12))</f>
        <v/>
      </c>
      <c r="CR100" s="765">
        <f>SUM(CF100:CQ100)</f>
        <v/>
      </c>
      <c r="CS100" s="1917" t="n"/>
      <c r="CT100" s="702">
        <f>((($Q100)*(CT48))/(12))</f>
        <v/>
      </c>
      <c r="CU100" s="702">
        <f>((($Q100)*(CU48))/(12))</f>
        <v/>
      </c>
      <c r="CV100" s="702">
        <f>((($Q100)*(CV48))/(12))</f>
        <v/>
      </c>
      <c r="CW100" s="702">
        <f>((($Q100)*(CW48))/(12))</f>
        <v/>
      </c>
      <c r="CX100" s="702">
        <f>((($Q100)*(CX48))/(12))</f>
        <v/>
      </c>
      <c r="CY100" s="702">
        <f>((($Q100)*(CY48))/(12))</f>
        <v/>
      </c>
      <c r="CZ100" s="702">
        <f>((($Q100)*(CZ48))/(12))</f>
        <v/>
      </c>
      <c r="DA100" s="702">
        <f>((($Q100)*(DA48))/(12))</f>
        <v/>
      </c>
      <c r="DB100" s="702">
        <f>((($Q100)*(DB48))/(12))</f>
        <v/>
      </c>
      <c r="DC100" s="702">
        <f>((($Q100)*(DC48))/(12))</f>
        <v/>
      </c>
      <c r="DD100" s="702">
        <f>((($Q100)*(DD48))/(12))</f>
        <v/>
      </c>
      <c r="DE100" s="702">
        <f>((($Q100)*(DE48))/(12))</f>
        <v/>
      </c>
      <c r="DF100" s="765">
        <f>SUM(CT100:DE100)</f>
        <v/>
      </c>
    </row>
    <row r="101" ht="15" customHeight="1" s="1883">
      <c r="D101" s="726" t="n"/>
      <c r="E101" s="726" t="n"/>
      <c r="F101" s="726" t="n"/>
      <c r="G101" s="726" t="n"/>
      <c r="H101" s="726" t="n"/>
      <c r="I101" s="726" t="n"/>
      <c r="J101" s="774" t="inlineStr">
        <is>
          <t>OCONUS</t>
        </is>
      </c>
      <c r="K101" s="726" t="n"/>
      <c r="L101" s="702" t="n">
        <v>10000</v>
      </c>
      <c r="M101" s="702" t="n">
        <v>10000</v>
      </c>
      <c r="N101" s="700">
        <f>((M101)*((1)+($N$66)))</f>
        <v/>
      </c>
      <c r="O101" s="700">
        <f>((N101)*((1)+($O$66)))</f>
        <v/>
      </c>
      <c r="P101" s="700">
        <f>((O101)*((1)+($P$66)))</f>
        <v/>
      </c>
      <c r="Q101" s="700">
        <f>((P101)*((1)+($Q$66)))</f>
        <v/>
      </c>
      <c r="R101" s="726" t="n"/>
      <c r="S101" s="778" t="n"/>
      <c r="T101" s="778" t="n"/>
      <c r="U101" s="778" t="n"/>
      <c r="V101" s="778" t="n"/>
      <c r="W101" s="778" t="n"/>
      <c r="X101" s="778" t="n"/>
      <c r="Y101" s="778" t="n"/>
      <c r="Z101" s="768" t="n"/>
      <c r="AA101" s="702" t="n"/>
      <c r="AB101" s="702">
        <f>((($L101)*(AB49))/(12))</f>
        <v/>
      </c>
      <c r="AC101" s="702">
        <f>((($L101)*(AC49))/(12))</f>
        <v/>
      </c>
      <c r="AD101" s="702">
        <f>((($L101)*(AD49))/(12))</f>
        <v/>
      </c>
      <c r="AE101" s="702">
        <f>((($L101)*(AE49))/(12))</f>
        <v/>
      </c>
      <c r="AF101" s="702">
        <f>((($L101)*(AF49))/(12))</f>
        <v/>
      </c>
      <c r="AG101" s="702">
        <f>((($L101)*(AG49))/(12))</f>
        <v/>
      </c>
      <c r="AH101" s="702">
        <f>((($L101)*(AH49))/(12))</f>
        <v/>
      </c>
      <c r="AI101" s="702">
        <f>((($L101)*(AI49))/(12))</f>
        <v/>
      </c>
      <c r="AJ101" s="702">
        <f>((($L101)*(AJ49))/(12))</f>
        <v/>
      </c>
      <c r="AK101" s="702">
        <f>((($L101)*(AK49))/(12))</f>
        <v/>
      </c>
      <c r="AL101" s="702">
        <f>((($L101)*(AL49))/(12))</f>
        <v/>
      </c>
      <c r="AM101" s="702">
        <f>((($L101)*(AM49))/(12))</f>
        <v/>
      </c>
      <c r="AN101" s="765">
        <f>+SUM(AB101:AM101)</f>
        <v/>
      </c>
      <c r="AO101" s="702" t="n"/>
      <c r="AP101" s="702">
        <f>((($M101)*(AP49))/(12))</f>
        <v/>
      </c>
      <c r="AQ101" s="702">
        <f>((($M101)*(AQ49))/(12))</f>
        <v/>
      </c>
      <c r="AR101" s="702">
        <f>((($M101)*(AR49))/(12))</f>
        <v/>
      </c>
      <c r="AS101" s="702">
        <f>((($M101)*(AS49))/(12))</f>
        <v/>
      </c>
      <c r="AT101" s="702">
        <f>((($M101)*(AT49))/(12))</f>
        <v/>
      </c>
      <c r="AU101" s="702">
        <f>((($M101)*(AU49))/(12))</f>
        <v/>
      </c>
      <c r="AV101" s="702">
        <f>((($M101)*(AV49))/(12))</f>
        <v/>
      </c>
      <c r="AW101" s="702">
        <f>((($M101)*(AW49))/(12))</f>
        <v/>
      </c>
      <c r="AX101" s="702">
        <f>((($M101)*(AX49))/(12))</f>
        <v/>
      </c>
      <c r="AY101" s="702">
        <f>((($M101)*(AY49))/(12))</f>
        <v/>
      </c>
      <c r="AZ101" s="702">
        <f>((($M101)*(AZ49))/(12))</f>
        <v/>
      </c>
      <c r="BA101" s="702">
        <f>((($M101)*(BA49))/(12))</f>
        <v/>
      </c>
      <c r="BB101" s="765">
        <f>SUM(AP101:BA101)</f>
        <v/>
      </c>
      <c r="BC101" s="702" t="n"/>
      <c r="BD101" s="702">
        <f>((($N101)*(BD49))/(12))</f>
        <v/>
      </c>
      <c r="BE101" s="702">
        <f>((($N101)*(BE49))/(12))</f>
        <v/>
      </c>
      <c r="BF101" s="702">
        <f>((($N101)*(BF49))/(12))</f>
        <v/>
      </c>
      <c r="BG101" s="702">
        <f>((($N101)*(BG49))/(12))</f>
        <v/>
      </c>
      <c r="BH101" s="702">
        <f>((($N101)*(BH49))/(12))</f>
        <v/>
      </c>
      <c r="BI101" s="702">
        <f>((($N101)*(BI49))/(12))</f>
        <v/>
      </c>
      <c r="BJ101" s="702">
        <f>((($N101)*(BJ49))/(12))</f>
        <v/>
      </c>
      <c r="BK101" s="702">
        <f>((($N101)*(BK49))/(12))</f>
        <v/>
      </c>
      <c r="BL101" s="702">
        <f>((($N101)*(BL49))/(12))</f>
        <v/>
      </c>
      <c r="BM101" s="702">
        <f>((($N101)*(BM49))/(12))</f>
        <v/>
      </c>
      <c r="BN101" s="702">
        <f>((($N101)*(BN49))/(12))</f>
        <v/>
      </c>
      <c r="BO101" s="702">
        <f>((($N101)*(BO49))/(12))</f>
        <v/>
      </c>
      <c r="BP101" s="765">
        <f>SUM(BD101:BO101)</f>
        <v/>
      </c>
      <c r="BQ101" s="713" t="n"/>
      <c r="BR101" s="702">
        <f>((($O101)*(BR49))/(12))</f>
        <v/>
      </c>
      <c r="BS101" s="702">
        <f>((($O101)*(BS49))/(12))</f>
        <v/>
      </c>
      <c r="BT101" s="702">
        <f>((($O101)*(BT49))/(12))</f>
        <v/>
      </c>
      <c r="BU101" s="702">
        <f>((($O101)*(BU49))/(12))</f>
        <v/>
      </c>
      <c r="BV101" s="702">
        <f>((($O101)*(BV49))/(12))</f>
        <v/>
      </c>
      <c r="BW101" s="702">
        <f>((($O101)*(BW49))/(12))</f>
        <v/>
      </c>
      <c r="BX101" s="702">
        <f>((($O101)*(BX49))/(12))</f>
        <v/>
      </c>
      <c r="BY101" s="702">
        <f>((($O101)*(BY49))/(12))</f>
        <v/>
      </c>
      <c r="BZ101" s="702">
        <f>((($O101)*(BZ49))/(12))</f>
        <v/>
      </c>
      <c r="CA101" s="702">
        <f>((($O101)*(CA49))/(12))</f>
        <v/>
      </c>
      <c r="CB101" s="702">
        <f>((($O101)*(CB49))/(12))</f>
        <v/>
      </c>
      <c r="CC101" s="702">
        <f>((($O101)*(CC49))/(12))</f>
        <v/>
      </c>
      <c r="CD101" s="765">
        <f>SUM(BR101:CC101)</f>
        <v/>
      </c>
      <c r="CE101" s="713" t="n"/>
      <c r="CF101" s="702">
        <f>((($P101)*(CF49))/(12))</f>
        <v/>
      </c>
      <c r="CG101" s="702">
        <f>((($P101)*(CG49))/(12))</f>
        <v/>
      </c>
      <c r="CH101" s="702">
        <f>((($P101)*(CH49))/(12))</f>
        <v/>
      </c>
      <c r="CI101" s="702">
        <f>((($P101)*(CI49))/(12))</f>
        <v/>
      </c>
      <c r="CJ101" s="702">
        <f>((($P101)*(CJ49))/(12))</f>
        <v/>
      </c>
      <c r="CK101" s="702">
        <f>((($P101)*(CK49))/(12))</f>
        <v/>
      </c>
      <c r="CL101" s="702">
        <f>((($P101)*(CL49))/(12))</f>
        <v/>
      </c>
      <c r="CM101" s="702">
        <f>((($P101)*(CM49))/(12))</f>
        <v/>
      </c>
      <c r="CN101" s="702">
        <f>((($P101)*(CN49))/(12))</f>
        <v/>
      </c>
      <c r="CO101" s="702">
        <f>((($P101)*(CO49))/(12))</f>
        <v/>
      </c>
      <c r="CP101" s="702">
        <f>((($P101)*(CP49))/(12))</f>
        <v/>
      </c>
      <c r="CQ101" s="702">
        <f>((($P101)*(CQ49))/(12))</f>
        <v/>
      </c>
      <c r="CR101" s="765">
        <f>SUM(CF101:CQ101)</f>
        <v/>
      </c>
      <c r="CS101" s="1917" t="n"/>
      <c r="CT101" s="702">
        <f>((($Q101)*(CT49))/(12))</f>
        <v/>
      </c>
      <c r="CU101" s="702">
        <f>((($Q101)*(CU49))/(12))</f>
        <v/>
      </c>
      <c r="CV101" s="702">
        <f>((($Q101)*(CV49))/(12))</f>
        <v/>
      </c>
      <c r="CW101" s="702">
        <f>((($Q101)*(CW49))/(12))</f>
        <v/>
      </c>
      <c r="CX101" s="702">
        <f>((($Q101)*(CX49))/(12))</f>
        <v/>
      </c>
      <c r="CY101" s="702">
        <f>((($Q101)*(CY49))/(12))</f>
        <v/>
      </c>
      <c r="CZ101" s="702">
        <f>((($Q101)*(CZ49))/(12))</f>
        <v/>
      </c>
      <c r="DA101" s="702">
        <f>((($Q101)*(DA49))/(12))</f>
        <v/>
      </c>
      <c r="DB101" s="702">
        <f>((($Q101)*(DB49))/(12))</f>
        <v/>
      </c>
      <c r="DC101" s="702">
        <f>((($Q101)*(DC49))/(12))</f>
        <v/>
      </c>
      <c r="DD101" s="702">
        <f>((($Q101)*(DD49))/(12))</f>
        <v/>
      </c>
      <c r="DE101" s="702">
        <f>((($Q101)*(DE49))/(12))</f>
        <v/>
      </c>
      <c r="DF101" s="765">
        <f>SUM(CT101:DE101)</f>
        <v/>
      </c>
    </row>
    <row r="102" ht="3" customHeight="1" s="1883">
      <c r="D102" s="726" t="n"/>
      <c r="E102" s="726" t="n"/>
      <c r="F102" s="726" t="n"/>
      <c r="G102" s="726" t="n"/>
      <c r="H102" s="726" t="n"/>
      <c r="I102" s="726" t="n"/>
      <c r="J102" s="726" t="n"/>
      <c r="K102" s="726" t="n"/>
      <c r="L102" s="726" t="n"/>
      <c r="M102" s="726" t="n"/>
      <c r="N102" s="726" t="n"/>
      <c r="O102" s="726" t="n"/>
      <c r="P102" s="726" t="n"/>
      <c r="Q102" s="726" t="n"/>
      <c r="R102" s="726" t="n"/>
      <c r="S102" s="778" t="n"/>
      <c r="T102" s="778" t="n"/>
      <c r="U102" s="778" t="n"/>
      <c r="V102" s="778" t="n"/>
      <c r="W102" s="778" t="n"/>
      <c r="X102" s="778" t="n"/>
      <c r="Y102" s="778" t="n"/>
      <c r="Z102" s="768" t="n"/>
      <c r="AA102" s="702" t="n"/>
      <c r="AB102" s="735" t="n"/>
      <c r="AC102" s="735" t="n"/>
      <c r="AD102" s="735" t="n"/>
      <c r="AE102" s="735" t="n"/>
      <c r="AF102" s="735" t="n"/>
      <c r="AG102" s="735" t="n"/>
      <c r="AH102" s="735" t="n"/>
      <c r="AI102" s="735" t="n"/>
      <c r="AJ102" s="735" t="n"/>
      <c r="AK102" s="735" t="n"/>
      <c r="AL102" s="735" t="n"/>
      <c r="AM102" s="735" t="n"/>
      <c r="AN102" s="735" t="n"/>
      <c r="AO102" s="702" t="n"/>
      <c r="AP102" s="735" t="n"/>
      <c r="AQ102" s="735" t="n"/>
      <c r="AR102" s="735" t="n"/>
      <c r="AS102" s="735" t="n"/>
      <c r="AT102" s="735" t="n"/>
      <c r="AU102" s="735" t="n"/>
      <c r="AV102" s="735" t="n"/>
      <c r="AW102" s="735" t="n"/>
      <c r="AX102" s="735" t="n"/>
      <c r="AY102" s="735" t="n"/>
      <c r="AZ102" s="735" t="n"/>
      <c r="BA102" s="735" t="n"/>
      <c r="BB102" s="735" t="n"/>
      <c r="BC102" s="702" t="n"/>
      <c r="BD102" s="735" t="n"/>
      <c r="BE102" s="735" t="n"/>
      <c r="BF102" s="735" t="n"/>
      <c r="BG102" s="735" t="n"/>
      <c r="BH102" s="735" t="n"/>
      <c r="BI102" s="735" t="n"/>
      <c r="BJ102" s="735" t="n"/>
      <c r="BK102" s="735" t="n"/>
      <c r="BL102" s="735" t="n"/>
      <c r="BM102" s="735" t="n"/>
      <c r="BN102" s="735" t="n"/>
      <c r="BO102" s="735" t="n"/>
      <c r="BP102" s="735" t="n"/>
      <c r="BQ102" s="713" t="n"/>
      <c r="BR102" s="735" t="n"/>
      <c r="BS102" s="735" t="n"/>
      <c r="BT102" s="735" t="n"/>
      <c r="BU102" s="735" t="n"/>
      <c r="BV102" s="735" t="n"/>
      <c r="BW102" s="735" t="n"/>
      <c r="BX102" s="735" t="n"/>
      <c r="BY102" s="735" t="n"/>
      <c r="BZ102" s="735" t="n"/>
      <c r="CA102" s="735" t="n"/>
      <c r="CB102" s="735" t="n"/>
      <c r="CC102" s="735" t="n"/>
      <c r="CD102" s="735" t="n"/>
      <c r="CE102" s="713" t="n"/>
      <c r="CF102" s="735" t="n"/>
      <c r="CG102" s="735" t="n"/>
      <c r="CH102" s="735" t="n"/>
      <c r="CI102" s="735" t="n"/>
      <c r="CJ102" s="735" t="n"/>
      <c r="CK102" s="735" t="n"/>
      <c r="CL102" s="735" t="n"/>
      <c r="CM102" s="735" t="n"/>
      <c r="CN102" s="735" t="n"/>
      <c r="CO102" s="735" t="n"/>
      <c r="CP102" s="735" t="n"/>
      <c r="CQ102" s="735" t="n"/>
      <c r="CR102" s="735" t="n"/>
      <c r="CS102" s="1917" t="n"/>
      <c r="CT102" s="735" t="n"/>
      <c r="CU102" s="735" t="n"/>
      <c r="CV102" s="735" t="n"/>
      <c r="CW102" s="735" t="n"/>
      <c r="CX102" s="735" t="n"/>
      <c r="CY102" s="735" t="n"/>
      <c r="CZ102" s="735" t="n"/>
      <c r="DA102" s="735" t="n"/>
      <c r="DB102" s="735" t="n"/>
      <c r="DC102" s="735" t="n"/>
      <c r="DD102" s="735" t="n"/>
      <c r="DE102" s="735" t="n"/>
      <c r="DF102" s="735" t="n"/>
    </row>
    <row r="103" ht="3" customHeight="1" s="1883">
      <c r="D103" s="726" t="n"/>
      <c r="E103" s="726" t="n"/>
      <c r="F103" s="726" t="n"/>
      <c r="G103" s="726" t="n"/>
      <c r="H103" s="726" t="n"/>
      <c r="I103" s="726" t="n"/>
      <c r="J103" s="726" t="n"/>
      <c r="K103" s="726" t="n"/>
      <c r="L103" s="726" t="n"/>
      <c r="M103" s="726" t="n"/>
      <c r="N103" s="726" t="n"/>
      <c r="O103" s="726" t="n"/>
      <c r="P103" s="726" t="n"/>
      <c r="Q103" s="726" t="n"/>
      <c r="R103" s="726" t="n"/>
      <c r="S103" s="778" t="n"/>
      <c r="T103" s="778" t="n"/>
      <c r="U103" s="778" t="n"/>
      <c r="V103" s="778" t="n"/>
      <c r="W103" s="778" t="n"/>
      <c r="X103" s="778" t="n"/>
      <c r="Y103" s="778" t="n"/>
      <c r="Z103" s="768" t="n"/>
      <c r="AA103" s="702" t="n"/>
      <c r="AB103" s="702" t="n"/>
      <c r="AC103" s="702" t="n"/>
      <c r="AD103" s="702" t="n"/>
      <c r="AE103" s="702" t="n"/>
      <c r="AF103" s="702" t="n"/>
      <c r="AG103" s="702" t="n"/>
      <c r="AH103" s="702" t="n"/>
      <c r="AI103" s="702" t="n"/>
      <c r="AJ103" s="702" t="n"/>
      <c r="AK103" s="702" t="n"/>
      <c r="AL103" s="702" t="n"/>
      <c r="AM103" s="702" t="n"/>
      <c r="AN103" s="702" t="n"/>
      <c r="AO103" s="702" t="n"/>
      <c r="AP103" s="702" t="n"/>
      <c r="AQ103" s="702" t="n"/>
      <c r="AR103" s="702" t="n"/>
      <c r="AS103" s="702" t="n"/>
      <c r="AT103" s="702" t="n"/>
      <c r="AU103" s="702" t="n"/>
      <c r="AV103" s="702" t="n"/>
      <c r="AW103" s="702" t="n"/>
      <c r="AX103" s="702" t="n"/>
      <c r="AY103" s="702" t="n"/>
      <c r="AZ103" s="702" t="n"/>
      <c r="BA103" s="702" t="n"/>
      <c r="BB103" s="702" t="n"/>
      <c r="BC103" s="702" t="n"/>
      <c r="BD103" s="702" t="n"/>
      <c r="BE103" s="702" t="n"/>
      <c r="BF103" s="702" t="n"/>
      <c r="BG103" s="702" t="n"/>
      <c r="BH103" s="702" t="n"/>
      <c r="BI103" s="702" t="n"/>
      <c r="BJ103" s="702" t="n"/>
      <c r="BK103" s="702" t="n"/>
      <c r="BL103" s="702" t="n"/>
      <c r="BM103" s="702" t="n"/>
      <c r="BN103" s="702" t="n"/>
      <c r="BO103" s="702" t="n"/>
      <c r="BP103" s="702" t="n"/>
      <c r="BQ103" s="713" t="n"/>
      <c r="BR103" s="702" t="n"/>
      <c r="BS103" s="702" t="n"/>
      <c r="BT103" s="702" t="n"/>
      <c r="BU103" s="702" t="n"/>
      <c r="BV103" s="702" t="n"/>
      <c r="BW103" s="702" t="n"/>
      <c r="BX103" s="702" t="n"/>
      <c r="BY103" s="702" t="n"/>
      <c r="BZ103" s="702" t="n"/>
      <c r="CA103" s="702" t="n"/>
      <c r="CB103" s="702" t="n"/>
      <c r="CC103" s="702" t="n"/>
      <c r="CD103" s="702" t="n"/>
      <c r="CE103" s="713" t="n"/>
      <c r="CF103" s="702" t="n"/>
      <c r="CG103" s="702" t="n"/>
      <c r="CH103" s="702" t="n"/>
      <c r="CI103" s="702" t="n"/>
      <c r="CJ103" s="702" t="n"/>
      <c r="CK103" s="702" t="n"/>
      <c r="CL103" s="702" t="n"/>
      <c r="CM103" s="702" t="n"/>
      <c r="CN103" s="702" t="n"/>
      <c r="CO103" s="702" t="n"/>
      <c r="CP103" s="702" t="n"/>
      <c r="CQ103" s="702" t="n"/>
      <c r="CR103" s="702" t="n"/>
      <c r="CS103" s="1917" t="n"/>
      <c r="CT103" s="702" t="n"/>
      <c r="CU103" s="702" t="n"/>
      <c r="CV103" s="702" t="n"/>
      <c r="CW103" s="702" t="n"/>
      <c r="CX103" s="702" t="n"/>
      <c r="CY103" s="702" t="n"/>
      <c r="CZ103" s="702" t="n"/>
      <c r="DA103" s="702" t="n"/>
      <c r="DB103" s="702" t="n"/>
      <c r="DC103" s="702" t="n"/>
      <c r="DD103" s="702" t="n"/>
      <c r="DE103" s="702" t="n"/>
      <c r="DF103" s="702" t="n"/>
    </row>
    <row r="104" ht="15" customHeight="1" s="1883">
      <c r="D104" s="726" t="n"/>
      <c r="E104" s="726" t="n"/>
      <c r="F104" s="726" t="n"/>
      <c r="G104" s="726" t="n"/>
      <c r="H104" s="726" t="n"/>
      <c r="I104" s="726" t="n"/>
      <c r="J104" s="726" t="n"/>
      <c r="K104" s="726" t="n"/>
      <c r="L104" s="726" t="n"/>
      <c r="M104" s="726" t="n"/>
      <c r="N104" s="726" t="n"/>
      <c r="O104" s="726" t="n"/>
      <c r="P104" s="726" t="n"/>
      <c r="Q104" s="726" t="n"/>
      <c r="R104" s="726" t="n"/>
      <c r="S104" s="778" t="n"/>
      <c r="T104" s="778" t="n"/>
      <c r="U104" s="778" t="n"/>
      <c r="V104" s="778" t="n"/>
      <c r="W104" s="778" t="n"/>
      <c r="X104" s="778" t="n"/>
      <c r="Y104" s="778" t="n"/>
      <c r="Z104" s="768" t="n"/>
      <c r="AA104" s="702" t="n"/>
      <c r="AB104" s="765">
        <f>SUM(AB74:AB101)</f>
        <v/>
      </c>
      <c r="AC104" s="765">
        <f>SUM(AC74:AC101)</f>
        <v/>
      </c>
      <c r="AD104" s="765">
        <f>SUM(AD74:AD101)</f>
        <v/>
      </c>
      <c r="AE104" s="765">
        <f>SUM(AE74:AE101)</f>
        <v/>
      </c>
      <c r="AF104" s="765">
        <f>SUM(AF74:AF101)</f>
        <v/>
      </c>
      <c r="AG104" s="765">
        <f>SUM(AG74:AG101)</f>
        <v/>
      </c>
      <c r="AH104" s="765">
        <f>SUM(AH74:AH101)</f>
        <v/>
      </c>
      <c r="AI104" s="765">
        <f>SUM(AI74:AI101)</f>
        <v/>
      </c>
      <c r="AJ104" s="765">
        <f>SUM(AJ74:AJ101)</f>
        <v/>
      </c>
      <c r="AK104" s="765">
        <f>SUM(AK74:AK101)</f>
        <v/>
      </c>
      <c r="AL104" s="765">
        <f>SUM(AL74:AL101)</f>
        <v/>
      </c>
      <c r="AM104" s="765">
        <f>SUM(AM74:AM101)</f>
        <v/>
      </c>
      <c r="AN104" s="765">
        <f>SUM(AN74:AN101)</f>
        <v/>
      </c>
      <c r="AO104" s="702" t="n"/>
      <c r="AP104" s="765">
        <f>SUM(AP74:AP101)</f>
        <v/>
      </c>
      <c r="AQ104" s="765">
        <f>SUM(AQ74:AQ101)</f>
        <v/>
      </c>
      <c r="AR104" s="765">
        <f>SUM(AR74:AR101)</f>
        <v/>
      </c>
      <c r="AS104" s="765">
        <f>SUM(AS74:AS101)</f>
        <v/>
      </c>
      <c r="AT104" s="765">
        <f>SUM(AT74:AT101)</f>
        <v/>
      </c>
      <c r="AU104" s="765">
        <f>SUM(AU74:AU101)</f>
        <v/>
      </c>
      <c r="AV104" s="765">
        <f>SUM(AV74:AV101)</f>
        <v/>
      </c>
      <c r="AW104" s="765">
        <f>SUM(AW74:AW101)</f>
        <v/>
      </c>
      <c r="AX104" s="765">
        <f>SUM(AX74:AX101)</f>
        <v/>
      </c>
      <c r="AY104" s="765">
        <f>SUM(AY74:AY101)</f>
        <v/>
      </c>
      <c r="AZ104" s="765">
        <f>SUM(AZ74:AZ101)</f>
        <v/>
      </c>
      <c r="BA104" s="765">
        <f>SUM(BA74:BA101)</f>
        <v/>
      </c>
      <c r="BB104" s="765">
        <f>SUM(BB74:BB101)</f>
        <v/>
      </c>
      <c r="BC104" s="702" t="n"/>
      <c r="BD104" s="765">
        <f>SUM(BD74:BD101)</f>
        <v/>
      </c>
      <c r="BE104" s="765">
        <f>SUM(BE74:BE101)</f>
        <v/>
      </c>
      <c r="BF104" s="765">
        <f>SUM(BF74:BF101)</f>
        <v/>
      </c>
      <c r="BG104" s="765">
        <f>SUM(BG74:BG101)</f>
        <v/>
      </c>
      <c r="BH104" s="765">
        <f>SUM(BH74:BH101)</f>
        <v/>
      </c>
      <c r="BI104" s="765">
        <f>SUM(BI74:BI101)</f>
        <v/>
      </c>
      <c r="BJ104" s="765">
        <f>SUM(BJ74:BJ101)</f>
        <v/>
      </c>
      <c r="BK104" s="765">
        <f>SUM(BK74:BK101)</f>
        <v/>
      </c>
      <c r="BL104" s="765">
        <f>SUM(BL74:BL101)</f>
        <v/>
      </c>
      <c r="BM104" s="765">
        <f>SUM(BM74:BM101)</f>
        <v/>
      </c>
      <c r="BN104" s="765">
        <f>SUM(BN74:BN101)</f>
        <v/>
      </c>
      <c r="BO104" s="765">
        <f>SUM(BO74:BO101)</f>
        <v/>
      </c>
      <c r="BP104" s="765">
        <f>SUM(BP74:BP101)</f>
        <v/>
      </c>
      <c r="BQ104" s="713" t="n"/>
      <c r="BR104" s="765">
        <f>SUM(BR74:BR101)</f>
        <v/>
      </c>
      <c r="BS104" s="765">
        <f>SUM(BS74:BS101)</f>
        <v/>
      </c>
      <c r="BT104" s="765">
        <f>SUM(BT74:BT101)</f>
        <v/>
      </c>
      <c r="BU104" s="765">
        <f>SUM(BU74:BU101)</f>
        <v/>
      </c>
      <c r="BV104" s="765">
        <f>SUM(BV74:BV101)</f>
        <v/>
      </c>
      <c r="BW104" s="765">
        <f>SUM(BW74:BW101)</f>
        <v/>
      </c>
      <c r="BX104" s="765">
        <f>SUM(BX74:BX101)</f>
        <v/>
      </c>
      <c r="BY104" s="765">
        <f>SUM(BY74:BY101)</f>
        <v/>
      </c>
      <c r="BZ104" s="765">
        <f>SUM(BZ74:BZ101)</f>
        <v/>
      </c>
      <c r="CA104" s="765">
        <f>SUM(CA74:CA101)</f>
        <v/>
      </c>
      <c r="CB104" s="765">
        <f>SUM(CB74:CB101)</f>
        <v/>
      </c>
      <c r="CC104" s="765">
        <f>SUM(CC74:CC101)</f>
        <v/>
      </c>
      <c r="CD104" s="765">
        <f>SUM(CD74:CD101)</f>
        <v/>
      </c>
      <c r="CE104" s="713" t="n"/>
      <c r="CF104" s="765">
        <f>SUM(CF74:CF101)</f>
        <v/>
      </c>
      <c r="CG104" s="765">
        <f>SUM(CG74:CG101)</f>
        <v/>
      </c>
      <c r="CH104" s="765">
        <f>SUM(CH74:CH101)</f>
        <v/>
      </c>
      <c r="CI104" s="765">
        <f>SUM(CI74:CI101)</f>
        <v/>
      </c>
      <c r="CJ104" s="765">
        <f>SUM(CJ74:CJ101)</f>
        <v/>
      </c>
      <c r="CK104" s="765">
        <f>SUM(CK74:CK101)</f>
        <v/>
      </c>
      <c r="CL104" s="765">
        <f>SUM(CL74:CL101)</f>
        <v/>
      </c>
      <c r="CM104" s="765">
        <f>SUM(CM74:CM101)</f>
        <v/>
      </c>
      <c r="CN104" s="765">
        <f>SUM(CN74:CN101)</f>
        <v/>
      </c>
      <c r="CO104" s="765">
        <f>SUM(CO74:CO101)</f>
        <v/>
      </c>
      <c r="CP104" s="765">
        <f>SUM(CP74:CP101)</f>
        <v/>
      </c>
      <c r="CQ104" s="765">
        <f>SUM(CQ74:CQ101)</f>
        <v/>
      </c>
      <c r="CR104" s="765">
        <f>SUM(CR74:CR101)</f>
        <v/>
      </c>
      <c r="CS104" s="1917" t="n"/>
      <c r="CT104" s="765">
        <f>SUM(CT74:CT101)</f>
        <v/>
      </c>
      <c r="CU104" s="765">
        <f>SUM(CU74:CU101)</f>
        <v/>
      </c>
      <c r="CV104" s="765">
        <f>SUM(CV74:CV101)</f>
        <v/>
      </c>
      <c r="CW104" s="765">
        <f>SUM(CW74:CW101)</f>
        <v/>
      </c>
      <c r="CX104" s="765">
        <f>SUM(CX74:CX101)</f>
        <v/>
      </c>
      <c r="CY104" s="765">
        <f>SUM(CY74:CY101)</f>
        <v/>
      </c>
      <c r="CZ104" s="765">
        <f>SUM(CZ74:CZ101)</f>
        <v/>
      </c>
      <c r="DA104" s="765">
        <f>SUM(DA74:DA101)</f>
        <v/>
      </c>
      <c r="DB104" s="765">
        <f>SUM(DB74:DB101)</f>
        <v/>
      </c>
      <c r="DC104" s="765">
        <f>SUM(DC74:DC101)</f>
        <v/>
      </c>
      <c r="DD104" s="765">
        <f>SUM(DD74:DD101)</f>
        <v/>
      </c>
      <c r="DE104" s="765">
        <f>SUM(DE74:DE101)</f>
        <v/>
      </c>
      <c r="DF104" s="765">
        <f>SUM(DF74:DF101)</f>
        <v/>
      </c>
    </row>
    <row r="105" ht="3" customHeight="1" s="1883">
      <c r="D105" s="726" t="n"/>
      <c r="E105" s="726" t="n"/>
      <c r="F105" s="726" t="n"/>
      <c r="G105" s="726" t="n"/>
      <c r="H105" s="726" t="n"/>
      <c r="I105" s="726" t="n"/>
      <c r="J105" s="726" t="n"/>
      <c r="K105" s="726" t="n"/>
      <c r="L105" s="726" t="n"/>
      <c r="M105" s="726" t="n"/>
      <c r="N105" s="726" t="n"/>
      <c r="O105" s="726" t="n"/>
      <c r="P105" s="726" t="n"/>
      <c r="Q105" s="726" t="n"/>
      <c r="R105" s="726" t="n"/>
      <c r="S105" s="778" t="n"/>
      <c r="T105" s="778" t="n"/>
      <c r="U105" s="778" t="n"/>
      <c r="V105" s="778" t="n"/>
      <c r="W105" s="778" t="n"/>
      <c r="X105" s="778" t="n"/>
      <c r="Y105" s="778" t="n"/>
      <c r="Z105" s="768" t="n"/>
      <c r="AA105" s="702" t="n"/>
      <c r="AB105" s="735" t="n"/>
      <c r="AC105" s="735" t="n"/>
      <c r="AD105" s="735" t="n"/>
      <c r="AE105" s="735" t="n"/>
      <c r="AF105" s="735" t="n"/>
      <c r="AG105" s="735" t="n"/>
      <c r="AH105" s="735" t="n"/>
      <c r="AI105" s="735" t="n"/>
      <c r="AJ105" s="735" t="n"/>
      <c r="AK105" s="735" t="n"/>
      <c r="AL105" s="735" t="n"/>
      <c r="AM105" s="735" t="n"/>
      <c r="AN105" s="735" t="n"/>
      <c r="AO105" s="702" t="n"/>
      <c r="AP105" s="735" t="n"/>
      <c r="AQ105" s="735" t="n"/>
      <c r="AR105" s="735" t="n"/>
      <c r="AS105" s="735" t="n"/>
      <c r="AT105" s="735" t="n"/>
      <c r="AU105" s="735" t="n"/>
      <c r="AV105" s="735" t="n"/>
      <c r="AW105" s="735" t="n"/>
      <c r="AX105" s="735" t="n"/>
      <c r="AY105" s="735" t="n"/>
      <c r="AZ105" s="735" t="n"/>
      <c r="BA105" s="735" t="n"/>
      <c r="BB105" s="735" t="n"/>
      <c r="BC105" s="702" t="n"/>
      <c r="BD105" s="735" t="n"/>
      <c r="BE105" s="735" t="n"/>
      <c r="BF105" s="735" t="n"/>
      <c r="BG105" s="735" t="n"/>
      <c r="BH105" s="735" t="n"/>
      <c r="BI105" s="735" t="n"/>
      <c r="BJ105" s="735" t="n"/>
      <c r="BK105" s="735" t="n"/>
      <c r="BL105" s="735" t="n"/>
      <c r="BM105" s="735" t="n"/>
      <c r="BN105" s="735" t="n"/>
      <c r="BO105" s="735" t="n"/>
      <c r="BP105" s="735" t="n"/>
      <c r="BQ105" s="713" t="n"/>
      <c r="BR105" s="735" t="n"/>
      <c r="BS105" s="735" t="n"/>
      <c r="BT105" s="735" t="n"/>
      <c r="BU105" s="735" t="n"/>
      <c r="BV105" s="735" t="n"/>
      <c r="BW105" s="735" t="n"/>
      <c r="BX105" s="735" t="n"/>
      <c r="BY105" s="735" t="n"/>
      <c r="BZ105" s="735" t="n"/>
      <c r="CA105" s="735" t="n"/>
      <c r="CB105" s="735" t="n"/>
      <c r="CC105" s="735" t="n"/>
      <c r="CD105" s="735" t="n"/>
      <c r="CE105" s="713" t="n"/>
      <c r="CF105" s="735" t="n"/>
      <c r="CG105" s="735" t="n"/>
      <c r="CH105" s="735" t="n"/>
      <c r="CI105" s="735" t="n"/>
      <c r="CJ105" s="735" t="n"/>
      <c r="CK105" s="735" t="n"/>
      <c r="CL105" s="735" t="n"/>
      <c r="CM105" s="735" t="n"/>
      <c r="CN105" s="735" t="n"/>
      <c r="CO105" s="735" t="n"/>
      <c r="CP105" s="735" t="n"/>
      <c r="CQ105" s="735" t="n"/>
      <c r="CR105" s="735" t="n"/>
      <c r="CS105" s="1917" t="n"/>
      <c r="CT105" s="735" t="n"/>
      <c r="CU105" s="735" t="n"/>
      <c r="CV105" s="735" t="n"/>
      <c r="CW105" s="735" t="n"/>
      <c r="CX105" s="735" t="n"/>
      <c r="CY105" s="735" t="n"/>
      <c r="CZ105" s="735" t="n"/>
      <c r="DA105" s="735" t="n"/>
      <c r="DB105" s="735" t="n"/>
      <c r="DC105" s="735" t="n"/>
      <c r="DD105" s="735" t="n"/>
      <c r="DE105" s="735" t="n"/>
      <c r="DF105" s="735" t="n"/>
    </row>
    <row r="106" ht="3" customHeight="1" s="1883">
      <c r="D106" s="726" t="n"/>
      <c r="E106" s="726" t="n"/>
      <c r="F106" s="726" t="n"/>
      <c r="G106" s="726" t="n"/>
      <c r="H106" s="726" t="n"/>
      <c r="I106" s="726" t="n"/>
      <c r="J106" s="726" t="n"/>
      <c r="K106" s="726" t="n"/>
      <c r="L106" s="726" t="n"/>
      <c r="M106" s="726" t="n"/>
      <c r="N106" s="726" t="n"/>
      <c r="O106" s="726" t="n"/>
      <c r="P106" s="726" t="n"/>
      <c r="Q106" s="726" t="n"/>
      <c r="R106" s="726" t="n"/>
      <c r="S106" s="726" t="n"/>
      <c r="T106" s="726" t="n"/>
      <c r="U106" s="726" t="n"/>
      <c r="V106" s="726" t="n"/>
      <c r="W106" s="726" t="n"/>
      <c r="X106" s="726" t="n"/>
      <c r="Y106" s="726" t="n"/>
      <c r="Z106" s="702" t="n"/>
      <c r="AA106" s="702" t="n"/>
      <c r="AB106" s="702" t="n"/>
      <c r="AC106" s="702" t="n"/>
      <c r="AD106" s="702" t="n"/>
      <c r="AE106" s="702" t="n"/>
      <c r="AF106" s="702" t="n"/>
      <c r="AG106" s="702" t="n"/>
      <c r="AH106" s="702" t="n"/>
      <c r="AI106" s="702" t="n"/>
      <c r="AJ106" s="702" t="n"/>
      <c r="AK106" s="702" t="n"/>
      <c r="AL106" s="702" t="n"/>
      <c r="AM106" s="702" t="n"/>
      <c r="AN106" s="702" t="n"/>
      <c r="AO106" s="702" t="n"/>
      <c r="AP106" s="702" t="n"/>
      <c r="AQ106" s="702" t="n"/>
      <c r="AR106" s="702" t="n"/>
      <c r="AS106" s="702" t="n"/>
      <c r="AT106" s="702" t="n"/>
      <c r="AU106" s="702" t="n"/>
      <c r="AV106" s="702" t="n"/>
      <c r="AW106" s="702" t="n"/>
      <c r="AX106" s="702" t="n"/>
      <c r="AY106" s="702" t="n"/>
      <c r="AZ106" s="702" t="n"/>
      <c r="BA106" s="702" t="n"/>
      <c r="BB106" s="702" t="n"/>
      <c r="BC106" s="702" t="n"/>
      <c r="BD106" s="702" t="n"/>
      <c r="BE106" s="702" t="n"/>
      <c r="BF106" s="702" t="n"/>
      <c r="BG106" s="702" t="n"/>
      <c r="BH106" s="702" t="n"/>
      <c r="BI106" s="702" t="n"/>
      <c r="BJ106" s="702" t="n"/>
      <c r="BK106" s="702" t="n"/>
      <c r="BL106" s="702" t="n"/>
      <c r="BM106" s="702" t="n"/>
      <c r="BN106" s="702" t="n"/>
      <c r="BO106" s="702" t="n"/>
      <c r="BP106" s="702" t="n"/>
      <c r="BQ106" s="713" t="n"/>
      <c r="BR106" s="702" t="n"/>
      <c r="BS106" s="702" t="n"/>
      <c r="BT106" s="702" t="n"/>
      <c r="BU106" s="702" t="n"/>
      <c r="BV106" s="702" t="n"/>
      <c r="BW106" s="702" t="n"/>
      <c r="BX106" s="702" t="n"/>
      <c r="BY106" s="702" t="n"/>
      <c r="BZ106" s="702" t="n"/>
      <c r="CA106" s="702" t="n"/>
      <c r="CB106" s="702" t="n"/>
      <c r="CC106" s="702" t="n"/>
      <c r="CD106" s="702" t="n"/>
      <c r="CE106" s="713" t="n"/>
      <c r="CF106" s="702" t="n"/>
      <c r="CG106" s="702" t="n"/>
      <c r="CH106" s="702" t="n"/>
      <c r="CI106" s="702" t="n"/>
      <c r="CJ106" s="702" t="n"/>
      <c r="CK106" s="702" t="n"/>
      <c r="CL106" s="702" t="n"/>
      <c r="CM106" s="702" t="n"/>
      <c r="CN106" s="702" t="n"/>
      <c r="CO106" s="702" t="n"/>
      <c r="CP106" s="702" t="n"/>
      <c r="CQ106" s="702" t="n"/>
      <c r="CR106" s="702" t="n"/>
      <c r="CS106" s="1917" t="n"/>
      <c r="CT106" s="702" t="n"/>
      <c r="CU106" s="702" t="n"/>
      <c r="CV106" s="702" t="n"/>
      <c r="CW106" s="702" t="n"/>
      <c r="CX106" s="702" t="n"/>
      <c r="CY106" s="702" t="n"/>
      <c r="CZ106" s="702" t="n"/>
      <c r="DA106" s="702" t="n"/>
      <c r="DB106" s="702" t="n"/>
      <c r="DC106" s="702" t="n"/>
      <c r="DD106" s="702" t="n"/>
      <c r="DE106" s="702" t="n"/>
      <c r="DF106" s="702" t="n"/>
    </row>
    <row r="107" ht="15" customHeight="1" s="1883">
      <c r="D107" s="726" t="n"/>
      <c r="E107" s="726" t="n"/>
      <c r="F107" s="726" t="n"/>
      <c r="G107" s="726" t="n"/>
      <c r="H107" s="726" t="n"/>
      <c r="I107" s="726" t="n"/>
      <c r="J107" s="726" t="n"/>
      <c r="K107" s="726" t="n"/>
      <c r="L107" s="726" t="n"/>
      <c r="M107" s="726" t="n"/>
      <c r="N107" s="726" t="n"/>
      <c r="O107" s="726" t="n"/>
      <c r="P107" s="726" t="n"/>
      <c r="Q107" s="726" t="n"/>
      <c r="R107" s="726" t="n"/>
      <c r="S107" s="726" t="n"/>
      <c r="T107" s="726" t="n"/>
      <c r="U107" s="726" t="n"/>
      <c r="V107" s="726" t="n"/>
      <c r="W107" s="726" t="n"/>
      <c r="X107" s="726" t="n"/>
      <c r="Y107" s="726" t="n"/>
      <c r="Z107" s="702" t="n"/>
      <c r="AA107" s="702" t="n"/>
      <c r="AB107" s="702" t="n"/>
      <c r="AC107" s="702" t="n"/>
      <c r="AD107" s="702" t="n"/>
      <c r="AE107" s="702" t="n"/>
      <c r="AF107" s="702" t="n"/>
      <c r="AG107" s="702" t="n"/>
      <c r="AH107" s="702" t="n"/>
      <c r="AI107" s="702" t="n"/>
      <c r="AJ107" s="702" t="n"/>
      <c r="AK107" s="702" t="n"/>
      <c r="AL107" s="702" t="n"/>
      <c r="AM107" s="702" t="n"/>
      <c r="AN107" s="702" t="n"/>
      <c r="AO107" s="702" t="n"/>
      <c r="AP107" s="702" t="n"/>
      <c r="AQ107" s="702" t="n"/>
      <c r="AR107" s="702" t="n"/>
      <c r="AS107" s="702" t="n"/>
      <c r="AT107" s="702" t="n"/>
      <c r="AU107" s="702" t="n"/>
      <c r="AV107" s="702" t="n"/>
      <c r="AW107" s="702" t="n"/>
      <c r="AX107" s="702" t="n"/>
      <c r="AY107" s="702" t="n"/>
      <c r="AZ107" s="702" t="n"/>
      <c r="BA107" s="702" t="n"/>
      <c r="BB107" s="702" t="n"/>
      <c r="BC107" s="702" t="n"/>
      <c r="BD107" s="702" t="n"/>
      <c r="BE107" s="702" t="n"/>
      <c r="BF107" s="702" t="n"/>
      <c r="BG107" s="702" t="n"/>
      <c r="BH107" s="702" t="n"/>
      <c r="BI107" s="702" t="n"/>
      <c r="BJ107" s="702" t="n"/>
      <c r="BK107" s="702" t="n"/>
      <c r="BL107" s="702" t="n"/>
      <c r="BM107" s="702" t="n"/>
      <c r="BN107" s="702" t="n"/>
      <c r="BO107" s="702" t="n"/>
      <c r="BP107" s="702" t="n"/>
      <c r="BQ107" s="713" t="n"/>
      <c r="BR107" s="713" t="n"/>
      <c r="BS107" s="713" t="n"/>
      <c r="BT107" s="713" t="n"/>
      <c r="BU107" s="713" t="n"/>
      <c r="BV107" s="713" t="n"/>
      <c r="BW107" s="713" t="n"/>
      <c r="BX107" s="713" t="n"/>
      <c r="BY107" s="713" t="n"/>
      <c r="BZ107" s="713" t="n"/>
      <c r="CA107" s="713" t="n"/>
      <c r="CB107" s="713" t="n"/>
      <c r="CC107" s="713" t="n"/>
      <c r="CD107" s="702" t="n"/>
      <c r="CE107" s="713" t="n"/>
      <c r="CF107" s="713" t="n"/>
      <c r="CG107" s="713" t="n"/>
      <c r="CH107" s="713" t="n"/>
      <c r="CI107" s="713" t="n"/>
      <c r="CJ107" s="713" t="n"/>
      <c r="CK107" s="713" t="n"/>
      <c r="CL107" s="713" t="n"/>
      <c r="CM107" s="713" t="n"/>
      <c r="CN107" s="713" t="n"/>
      <c r="CO107" s="713" t="n"/>
      <c r="CP107" s="713" t="n"/>
      <c r="CQ107" s="713" t="n"/>
      <c r="CR107" s="702" t="n"/>
      <c r="CS107" s="1917" t="n"/>
      <c r="CT107" s="713" t="n"/>
      <c r="CU107" s="713" t="n"/>
      <c r="CV107" s="713" t="n"/>
      <c r="CW107" s="713" t="n"/>
      <c r="CX107" s="713" t="n"/>
      <c r="CY107" s="713" t="n"/>
      <c r="CZ107" s="713" t="n"/>
      <c r="DA107" s="713" t="n"/>
      <c r="DB107" s="713" t="n"/>
      <c r="DC107" s="713" t="n"/>
      <c r="DD107" s="713" t="n"/>
      <c r="DE107" s="713" t="n"/>
      <c r="DF107" s="702" t="n"/>
    </row>
    <row r="108" ht="15" customHeight="1" s="1883">
      <c r="D108" s="726" t="n"/>
      <c r="E108" s="726" t="n"/>
      <c r="F108" s="726" t="n"/>
      <c r="G108" s="726" t="n"/>
      <c r="H108" s="726" t="n"/>
      <c r="I108" s="726" t="n"/>
      <c r="J108" s="726" t="n"/>
      <c r="K108" s="726" t="n"/>
      <c r="L108" s="726" t="n"/>
      <c r="M108" s="726" t="n"/>
      <c r="N108" s="726" t="n"/>
      <c r="O108" s="726" t="n"/>
      <c r="P108" s="726" t="n"/>
      <c r="Q108" s="726" t="n"/>
      <c r="R108" s="726" t="n"/>
      <c r="S108" s="726" t="n"/>
      <c r="T108" s="726" t="n"/>
      <c r="U108" s="726" t="n"/>
      <c r="V108" s="726" t="n"/>
      <c r="W108" s="1932" t="inlineStr">
        <is>
          <t>∑, CONUS</t>
        </is>
      </c>
      <c r="AA108" s="702" t="n"/>
      <c r="AB108" s="833">
        <f>SUMIF($J74:$J101,"CONUS",AB74:AB101)</f>
        <v/>
      </c>
      <c r="AC108" s="833">
        <f>SUMIF($J74:$J101,"CONUS",AC74:AC101)</f>
        <v/>
      </c>
      <c r="AD108" s="833">
        <f>SUMIF($J74:$J101,"CONUS",AD74:AD101)</f>
        <v/>
      </c>
      <c r="AE108" s="833">
        <f>SUMIF($J74:$J101,"CONUS",AE74:AE101)</f>
        <v/>
      </c>
      <c r="AF108" s="833">
        <f>SUMIF($J74:$J101,"CONUS",AF74:AF101)</f>
        <v/>
      </c>
      <c r="AG108" s="833">
        <f>SUMIF($J74:$J101,"CONUS",AG74:AG101)</f>
        <v/>
      </c>
      <c r="AH108" s="833">
        <f>SUMIF($J74:$J101,"CONUS",AH74:AH101)</f>
        <v/>
      </c>
      <c r="AI108" s="833">
        <f>SUMIF($J74:$J101,"CONUS",AI74:AI101)</f>
        <v/>
      </c>
      <c r="AJ108" s="833">
        <f>SUMIF($J74:$J101,"CONUS",AJ74:AJ101)</f>
        <v/>
      </c>
      <c r="AK108" s="833">
        <f>SUMIF($J74:$J101,"CONUS",AK74:AK101)</f>
        <v/>
      </c>
      <c r="AL108" s="833">
        <f>SUMIF($J74:$J101,"CONUS",AL74:AL101)</f>
        <v/>
      </c>
      <c r="AM108" s="833">
        <f>SUMIF($J74:$J101,"CONUS",AM74:AM101)</f>
        <v/>
      </c>
      <c r="AN108" s="833">
        <f>SUMIF($J74:$J101,"CONUS",AN74:AN101)</f>
        <v/>
      </c>
      <c r="AO108" s="702" t="n"/>
      <c r="AP108" s="833">
        <f>SUMIF($J74:$J101,"CONUS",AP74:AP101)</f>
        <v/>
      </c>
      <c r="AQ108" s="833">
        <f>SUMIF($J74:$J101,"CONUS",AQ74:AQ101)</f>
        <v/>
      </c>
      <c r="AR108" s="833">
        <f>SUMIF($J74:$J101,"CONUS",AR74:AR101)</f>
        <v/>
      </c>
      <c r="AS108" s="833">
        <f>SUMIF($J74:$J101,"CONUS",AS74:AS101)</f>
        <v/>
      </c>
      <c r="AT108" s="833">
        <f>SUMIF($J74:$J101,"CONUS",AT74:AT101)</f>
        <v/>
      </c>
      <c r="AU108" s="833">
        <f>SUMIF($J74:$J101,"CONUS",AU74:AU101)</f>
        <v/>
      </c>
      <c r="AV108" s="833">
        <f>SUMIF($J74:$J101,"CONUS",AV74:AV101)</f>
        <v/>
      </c>
      <c r="AW108" s="833">
        <f>SUMIF($J74:$J101,"CONUS",AW74:AW101)</f>
        <v/>
      </c>
      <c r="AX108" s="833">
        <f>SUMIF($J74:$J101,"CONUS",AX74:AX101)</f>
        <v/>
      </c>
      <c r="AY108" s="833">
        <f>SUMIF($J74:$J101,"CONUS",AY74:AY101)</f>
        <v/>
      </c>
      <c r="AZ108" s="833">
        <f>SUMIF($J74:$J101,"CONUS",AZ74:AZ101)</f>
        <v/>
      </c>
      <c r="BA108" s="833">
        <f>SUMIF($J74:$J101,"CONUS",BA74:BA101)</f>
        <v/>
      </c>
      <c r="BB108" s="833">
        <f>SUMIF($J74:$J101,"CONUS",BB74:BB101)</f>
        <v/>
      </c>
      <c r="BC108" s="702" t="n"/>
      <c r="BD108" s="833">
        <f>SUMIF($J74:$J101,"CONUS",BD74:BD101)</f>
        <v/>
      </c>
      <c r="BE108" s="833">
        <f>SUMIF($J74:$J101,"CONUS",BE74:BE101)</f>
        <v/>
      </c>
      <c r="BF108" s="833">
        <f>SUMIF($J74:$J101,"CONUS",BF74:BF101)</f>
        <v/>
      </c>
      <c r="BG108" s="833">
        <f>SUMIF($J74:$J101,"CONUS",BG74:BG101)</f>
        <v/>
      </c>
      <c r="BH108" s="833">
        <f>SUMIF($J74:$J101,"CONUS",BH74:BH101)</f>
        <v/>
      </c>
      <c r="BI108" s="833">
        <f>SUMIF($J74:$J101,"CONUS",BI74:BI101)</f>
        <v/>
      </c>
      <c r="BJ108" s="833">
        <f>SUMIF($J74:$J101,"CONUS",BJ74:BJ101)</f>
        <v/>
      </c>
      <c r="BK108" s="833">
        <f>SUMIF($J74:$J101,"CONUS",BK74:BK101)</f>
        <v/>
      </c>
      <c r="BL108" s="833">
        <f>SUMIF($J74:$J101,"CONUS",BL74:BL101)</f>
        <v/>
      </c>
      <c r="BM108" s="833">
        <f>SUMIF($J74:$J101,"CONUS",BM74:BM101)</f>
        <v/>
      </c>
      <c r="BN108" s="833">
        <f>SUMIF($J74:$J101,"CONUS",BN74:BN101)</f>
        <v/>
      </c>
      <c r="BO108" s="833">
        <f>SUMIF($J74:$J101,"CONUS",BO74:BO101)</f>
        <v/>
      </c>
      <c r="BP108" s="833">
        <f>SUMIF($J74:$J101,"CONUS",BP74:BP101)</f>
        <v/>
      </c>
      <c r="BQ108" s="713" t="n"/>
      <c r="BR108" s="833">
        <f>SUMIF($J74:$J101,"CONUS",BR74:BR101)</f>
        <v/>
      </c>
      <c r="BS108" s="833">
        <f>SUMIF($J74:$J101,"CONUS",BS74:BS101)</f>
        <v/>
      </c>
      <c r="BT108" s="833">
        <f>SUMIF($J74:$J101,"CONUS",BT74:BT101)</f>
        <v/>
      </c>
      <c r="BU108" s="833">
        <f>SUMIF($J74:$J101,"CONUS",BU74:BU101)</f>
        <v/>
      </c>
      <c r="BV108" s="833">
        <f>SUMIF($J74:$J101,"CONUS",BV74:BV101)</f>
        <v/>
      </c>
      <c r="BW108" s="833">
        <f>SUMIF($J74:$J101,"CONUS",BW74:BW101)</f>
        <v/>
      </c>
      <c r="BX108" s="833">
        <f>SUMIF($J74:$J101,"CONUS",BX74:BX101)</f>
        <v/>
      </c>
      <c r="BY108" s="833">
        <f>SUMIF($J74:$J101,"CONUS",BY74:BY101)</f>
        <v/>
      </c>
      <c r="BZ108" s="833">
        <f>SUMIF($J74:$J101,"CONUS",BZ74:BZ101)</f>
        <v/>
      </c>
      <c r="CA108" s="833">
        <f>SUMIF($J74:$J101,"CONUS",CA74:CA101)</f>
        <v/>
      </c>
      <c r="CB108" s="833">
        <f>SUMIF($J74:$J101,"CONUS",CB74:CB101)</f>
        <v/>
      </c>
      <c r="CC108" s="833">
        <f>SUMIF($J74:$J101,"CONUS",CC74:CC101)</f>
        <v/>
      </c>
      <c r="CD108" s="833">
        <f>SUMIF($J74:$J101,"CONUS",CD74:CD101)</f>
        <v/>
      </c>
      <c r="CE108" s="713" t="n"/>
      <c r="CF108" s="833">
        <f>SUMIF($J74:$J101,"CONUS",CF74:CF101)</f>
        <v/>
      </c>
      <c r="CG108" s="833">
        <f>SUMIF($J74:$J101,"CONUS",CG74:CG101)</f>
        <v/>
      </c>
      <c r="CH108" s="833">
        <f>SUMIF($J74:$J101,"CONUS",CH74:CH101)</f>
        <v/>
      </c>
      <c r="CI108" s="833">
        <f>SUMIF($J74:$J101,"CONUS",CI74:CI101)</f>
        <v/>
      </c>
      <c r="CJ108" s="833">
        <f>SUMIF($J74:$J101,"CONUS",CJ74:CJ101)</f>
        <v/>
      </c>
      <c r="CK108" s="833">
        <f>SUMIF($J74:$J101,"CONUS",CK74:CK101)</f>
        <v/>
      </c>
      <c r="CL108" s="833">
        <f>SUMIF($J74:$J101,"CONUS",CL74:CL101)</f>
        <v/>
      </c>
      <c r="CM108" s="833">
        <f>SUMIF($J74:$J101,"CONUS",CM74:CM101)</f>
        <v/>
      </c>
      <c r="CN108" s="833">
        <f>SUMIF($J74:$J101,"CONUS",CN74:CN101)</f>
        <v/>
      </c>
      <c r="CO108" s="833">
        <f>SUMIF($J74:$J101,"CONUS",CO74:CO101)</f>
        <v/>
      </c>
      <c r="CP108" s="833">
        <f>SUMIF($J74:$J101,"CONUS",CP74:CP101)</f>
        <v/>
      </c>
      <c r="CQ108" s="833">
        <f>SUMIF($J74:$J101,"CONUS",CQ74:CQ101)</f>
        <v/>
      </c>
      <c r="CR108" s="833">
        <f>SUMIF($J74:$J101,"CONUS",CR74:CR101)</f>
        <v/>
      </c>
      <c r="CS108" s="1917" t="n"/>
      <c r="CT108" s="833">
        <f>SUMIF($J74:$J101,"CONUS",CT74:CT101)</f>
        <v/>
      </c>
      <c r="CU108" s="833">
        <f>SUMIF($J74:$J101,"CONUS",CU74:CU101)</f>
        <v/>
      </c>
      <c r="CV108" s="833">
        <f>SUMIF($J74:$J101,"CONUS",CV74:CV101)</f>
        <v/>
      </c>
      <c r="CW108" s="833">
        <f>SUMIF($J74:$J101,"CONUS",CW74:CW101)</f>
        <v/>
      </c>
      <c r="CX108" s="833">
        <f>SUMIF($J74:$J101,"CONUS",CX74:CX101)</f>
        <v/>
      </c>
      <c r="CY108" s="833">
        <f>SUMIF($J74:$J101,"CONUS",CY74:CY101)</f>
        <v/>
      </c>
      <c r="CZ108" s="833">
        <f>SUMIF($J74:$J101,"CONUS",CZ74:CZ101)</f>
        <v/>
      </c>
      <c r="DA108" s="833">
        <f>SUMIF($J74:$J101,"CONUS",DA74:DA101)</f>
        <v/>
      </c>
      <c r="DB108" s="833">
        <f>SUMIF($J74:$J101,"CONUS",DB74:DB101)</f>
        <v/>
      </c>
      <c r="DC108" s="833">
        <f>SUMIF($J74:$J101,"CONUS",DC74:DC101)</f>
        <v/>
      </c>
      <c r="DD108" s="833">
        <f>SUMIF($J74:$J101,"CONUS",DD74:DD101)</f>
        <v/>
      </c>
      <c r="DE108" s="833">
        <f>SUMIF($J74:$J101,"CONUS",DE74:DE101)</f>
        <v/>
      </c>
      <c r="DF108" s="833">
        <f>SUMIF($J74:$J101,"CONUS",DF74:DF101)</f>
        <v/>
      </c>
    </row>
    <row r="109" ht="15" customHeight="1" s="1883">
      <c r="D109" s="726" t="n"/>
      <c r="E109" s="726" t="n"/>
      <c r="F109" s="726" t="n"/>
      <c r="G109" s="726" t="n"/>
      <c r="H109" s="726" t="n"/>
      <c r="I109" s="726" t="n"/>
      <c r="J109" s="726" t="n"/>
      <c r="K109" s="726" t="n"/>
      <c r="L109" s="726" t="n"/>
      <c r="M109" s="726" t="n"/>
      <c r="N109" s="726" t="n"/>
      <c r="O109" s="726" t="n"/>
      <c r="P109" s="726" t="n"/>
      <c r="Q109" s="726" t="n"/>
      <c r="R109" s="726" t="n"/>
      <c r="S109" s="726" t="n"/>
      <c r="T109" s="726" t="n"/>
      <c r="U109" s="726" t="n"/>
      <c r="V109" s="726" t="n"/>
      <c r="W109" s="1931" t="inlineStr">
        <is>
          <t>∑, OCONUS</t>
        </is>
      </c>
      <c r="AA109" s="702" t="n"/>
      <c r="AB109" s="834">
        <f>SUMIF($J74:$J101,"OCONUS",AB74:AB101)</f>
        <v/>
      </c>
      <c r="AC109" s="834">
        <f>SUMIF($J74:$J101,"OCONUS",AC74:AC101)</f>
        <v/>
      </c>
      <c r="AD109" s="834">
        <f>SUMIF($J74:$J101,"OCONUS",AD74:AD101)</f>
        <v/>
      </c>
      <c r="AE109" s="834">
        <f>SUMIF($J74:$J101,"OCONUS",AE74:AE101)</f>
        <v/>
      </c>
      <c r="AF109" s="834">
        <f>SUMIF($J74:$J101,"OCONUS",AF74:AF101)</f>
        <v/>
      </c>
      <c r="AG109" s="834">
        <f>SUMIF($J74:$J101,"OCONUS",AG74:AG101)</f>
        <v/>
      </c>
      <c r="AH109" s="834">
        <f>SUMIF($J74:$J101,"OCONUS",AH74:AH101)</f>
        <v/>
      </c>
      <c r="AI109" s="834">
        <f>SUMIF($J74:$J101,"OCONUS",AI74:AI101)</f>
        <v/>
      </c>
      <c r="AJ109" s="834">
        <f>SUMIF($J74:$J101,"OCONUS",AJ74:AJ101)</f>
        <v/>
      </c>
      <c r="AK109" s="834">
        <f>SUMIF($J74:$J101,"OCONUS",AK74:AK101)</f>
        <v/>
      </c>
      <c r="AL109" s="834">
        <f>SUMIF($J74:$J101,"OCONUS",AL74:AL101)</f>
        <v/>
      </c>
      <c r="AM109" s="834">
        <f>SUMIF($J74:$J101,"OCONUS",AM74:AM101)</f>
        <v/>
      </c>
      <c r="AN109" s="834">
        <f>SUMIF($J74:$J101,"OCONUS",AN74:AN101)</f>
        <v/>
      </c>
      <c r="AO109" s="702" t="n"/>
      <c r="AP109" s="834">
        <f>SUMIF($J74:$J101,"OCONUS",AP74:AP101)</f>
        <v/>
      </c>
      <c r="AQ109" s="834">
        <f>SUMIF($J74:$J101,"OCONUS",AQ74:AQ101)</f>
        <v/>
      </c>
      <c r="AR109" s="834">
        <f>SUMIF($J74:$J101,"OCONUS",AR74:AR101)</f>
        <v/>
      </c>
      <c r="AS109" s="834">
        <f>SUMIF($J74:$J101,"OCONUS",AS74:AS101)</f>
        <v/>
      </c>
      <c r="AT109" s="834">
        <f>SUMIF($J74:$J101,"OCONUS",AT74:AT101)</f>
        <v/>
      </c>
      <c r="AU109" s="834">
        <f>SUMIF($J74:$J101,"OCONUS",AU74:AU101)</f>
        <v/>
      </c>
      <c r="AV109" s="834">
        <f>SUMIF($J74:$J101,"OCONUS",AV74:AV101)</f>
        <v/>
      </c>
      <c r="AW109" s="834">
        <f>SUMIF($J74:$J101,"OCONUS",AW74:AW101)</f>
        <v/>
      </c>
      <c r="AX109" s="834">
        <f>SUMIF($J74:$J101,"OCONUS",AX74:AX101)</f>
        <v/>
      </c>
      <c r="AY109" s="834">
        <f>SUMIF($J74:$J101,"OCONUS",AY74:AY101)</f>
        <v/>
      </c>
      <c r="AZ109" s="834">
        <f>SUMIF($J74:$J101,"OCONUS",AZ74:AZ101)</f>
        <v/>
      </c>
      <c r="BA109" s="834">
        <f>SUMIF($J74:$J101,"OCONUS",BA74:BA101)</f>
        <v/>
      </c>
      <c r="BB109" s="834">
        <f>SUMIF($J74:$J101,"OCONUS",BB74:BB101)</f>
        <v/>
      </c>
      <c r="BC109" s="702" t="n"/>
      <c r="BD109" s="834">
        <f>SUMIF($J74:$J101,"OCONUS",BD74:BD101)</f>
        <v/>
      </c>
      <c r="BE109" s="834">
        <f>SUMIF($J74:$J101,"OCONUS",BE74:BE101)</f>
        <v/>
      </c>
      <c r="BF109" s="834">
        <f>SUMIF($J74:$J101,"OCONUS",BF74:BF101)</f>
        <v/>
      </c>
      <c r="BG109" s="834">
        <f>SUMIF($J74:$J101,"OCONUS",BG74:BG101)</f>
        <v/>
      </c>
      <c r="BH109" s="834">
        <f>SUMIF($J74:$J101,"OCONUS",BH74:BH101)</f>
        <v/>
      </c>
      <c r="BI109" s="834">
        <f>SUMIF($J74:$J101,"OCONUS",BI74:BI101)</f>
        <v/>
      </c>
      <c r="BJ109" s="834">
        <f>SUMIF($J74:$J101,"OCONUS",BJ74:BJ101)</f>
        <v/>
      </c>
      <c r="BK109" s="834">
        <f>SUMIF($J74:$J101,"OCONUS",BK74:BK101)</f>
        <v/>
      </c>
      <c r="BL109" s="834">
        <f>SUMIF($J74:$J101,"OCONUS",BL74:BL101)</f>
        <v/>
      </c>
      <c r="BM109" s="834">
        <f>SUMIF($J74:$J101,"OCONUS",BM74:BM101)</f>
        <v/>
      </c>
      <c r="BN109" s="834">
        <f>SUMIF($J74:$J101,"OCONUS",BN74:BN101)</f>
        <v/>
      </c>
      <c r="BO109" s="834">
        <f>SUMIF($J74:$J101,"OCONUS",BO74:BO101)</f>
        <v/>
      </c>
      <c r="BP109" s="834">
        <f>SUMIF($J74:$J101,"OCONUS",BP74:BP101)</f>
        <v/>
      </c>
      <c r="BQ109" s="713" t="n"/>
      <c r="BR109" s="834">
        <f>SUMIF($J74:$J101,"OCONUS",BR74:BR101)</f>
        <v/>
      </c>
      <c r="BS109" s="834">
        <f>SUMIF($J74:$J101,"OCONUS",BS74:BS101)</f>
        <v/>
      </c>
      <c r="BT109" s="834">
        <f>SUMIF($J74:$J101,"OCONUS",BT74:BT101)</f>
        <v/>
      </c>
      <c r="BU109" s="834">
        <f>SUMIF($J74:$J101,"OCONUS",BU74:BU101)</f>
        <v/>
      </c>
      <c r="BV109" s="834">
        <f>SUMIF($J74:$J101,"OCONUS",BV74:BV101)</f>
        <v/>
      </c>
      <c r="BW109" s="834">
        <f>SUMIF($J74:$J101,"OCONUS",BW74:BW101)</f>
        <v/>
      </c>
      <c r="BX109" s="834">
        <f>SUMIF($J74:$J101,"OCONUS",BX74:BX101)</f>
        <v/>
      </c>
      <c r="BY109" s="834">
        <f>SUMIF($J74:$J101,"OCONUS",BY74:BY101)</f>
        <v/>
      </c>
      <c r="BZ109" s="834">
        <f>SUMIF($J74:$J101,"OCONUS",BZ74:BZ101)</f>
        <v/>
      </c>
      <c r="CA109" s="834">
        <f>SUMIF($J74:$J101,"OCONUS",CA74:CA101)</f>
        <v/>
      </c>
      <c r="CB109" s="834">
        <f>SUMIF($J74:$J101,"OCONUS",CB74:CB101)</f>
        <v/>
      </c>
      <c r="CC109" s="834">
        <f>SUMIF($J74:$J101,"OCONUS",CC74:CC101)</f>
        <v/>
      </c>
      <c r="CD109" s="834">
        <f>SUMIF($J74:$J101,"OCONUS",CD74:CD101)</f>
        <v/>
      </c>
      <c r="CE109" s="713" t="n"/>
      <c r="CF109" s="834">
        <f>SUMIF($J74:$J101,"OCONUS",CF74:CF101)</f>
        <v/>
      </c>
      <c r="CG109" s="834">
        <f>SUMIF($J74:$J101,"OCONUS",CG74:CG101)</f>
        <v/>
      </c>
      <c r="CH109" s="834">
        <f>SUMIF($J74:$J101,"OCONUS",CH74:CH101)</f>
        <v/>
      </c>
      <c r="CI109" s="834">
        <f>SUMIF($J74:$J101,"OCONUS",CI74:CI101)</f>
        <v/>
      </c>
      <c r="CJ109" s="834">
        <f>SUMIF($J74:$J101,"OCONUS",CJ74:CJ101)</f>
        <v/>
      </c>
      <c r="CK109" s="834">
        <f>SUMIF($J74:$J101,"OCONUS",CK74:CK101)</f>
        <v/>
      </c>
      <c r="CL109" s="834">
        <f>SUMIF($J74:$J101,"OCONUS",CL74:CL101)</f>
        <v/>
      </c>
      <c r="CM109" s="834">
        <f>SUMIF($J74:$J101,"OCONUS",CM74:CM101)</f>
        <v/>
      </c>
      <c r="CN109" s="834">
        <f>SUMIF($J74:$J101,"OCONUS",CN74:CN101)</f>
        <v/>
      </c>
      <c r="CO109" s="834">
        <f>SUMIF($J74:$J101,"OCONUS",CO74:CO101)</f>
        <v/>
      </c>
      <c r="CP109" s="834">
        <f>SUMIF($J74:$J101,"OCONUS",CP74:CP101)</f>
        <v/>
      </c>
      <c r="CQ109" s="834">
        <f>SUMIF($J74:$J101,"OCONUS",CQ74:CQ101)</f>
        <v/>
      </c>
      <c r="CR109" s="834">
        <f>SUMIF($J74:$J101,"OCONUS",CR74:CR101)</f>
        <v/>
      </c>
      <c r="CS109" s="1917" t="n"/>
      <c r="CT109" s="834">
        <f>SUMIF($J74:$J101,"OCONUS",CT74:CT101)</f>
        <v/>
      </c>
      <c r="CU109" s="834">
        <f>SUMIF($J74:$J101,"OCONUS",CU74:CU101)</f>
        <v/>
      </c>
      <c r="CV109" s="834">
        <f>SUMIF($J74:$J101,"OCONUS",CV74:CV101)</f>
        <v/>
      </c>
      <c r="CW109" s="834">
        <f>SUMIF($J74:$J101,"OCONUS",CW74:CW101)</f>
        <v/>
      </c>
      <c r="CX109" s="834">
        <f>SUMIF($J74:$J101,"OCONUS",CX74:CX101)</f>
        <v/>
      </c>
      <c r="CY109" s="834">
        <f>SUMIF($J74:$J101,"OCONUS",CY74:CY101)</f>
        <v/>
      </c>
      <c r="CZ109" s="834">
        <f>SUMIF($J74:$J101,"OCONUS",CZ74:CZ101)</f>
        <v/>
      </c>
      <c r="DA109" s="834">
        <f>SUMIF($J74:$J101,"OCONUS",DA74:DA101)</f>
        <v/>
      </c>
      <c r="DB109" s="834">
        <f>SUMIF($J74:$J101,"OCONUS",DB74:DB101)</f>
        <v/>
      </c>
      <c r="DC109" s="834">
        <f>SUMIF($J74:$J101,"OCONUS",DC74:DC101)</f>
        <v/>
      </c>
      <c r="DD109" s="834">
        <f>SUMIF($J74:$J101,"OCONUS",DD74:DD101)</f>
        <v/>
      </c>
      <c r="DE109" s="834">
        <f>SUMIF($J74:$J101,"OCONUS",DE74:DE101)</f>
        <v/>
      </c>
      <c r="DF109" s="834">
        <f>SUMIF($J74:$J101,"OCONUS",DF74:DF101)</f>
        <v/>
      </c>
    </row>
    <row r="110" ht="3" customHeight="1" s="1883">
      <c r="D110" s="726" t="n"/>
      <c r="E110" s="726" t="n"/>
      <c r="F110" s="726" t="n"/>
      <c r="G110" s="726" t="n"/>
      <c r="H110" s="726" t="n"/>
      <c r="I110" s="726" t="n"/>
      <c r="J110" s="726" t="n"/>
      <c r="K110" s="726" t="n"/>
      <c r="L110" s="726" t="n"/>
      <c r="M110" s="726" t="n"/>
      <c r="N110" s="726" t="n"/>
      <c r="O110" s="726" t="n"/>
      <c r="P110" s="726" t="n"/>
      <c r="Q110" s="726" t="n"/>
      <c r="R110" s="726" t="n"/>
      <c r="S110" s="726" t="n"/>
      <c r="T110" s="726" t="n"/>
      <c r="U110" s="726" t="n"/>
      <c r="V110" s="726" t="n"/>
      <c r="W110" s="1931" t="n"/>
      <c r="X110" s="1931" t="n"/>
      <c r="Y110" s="1931" t="n"/>
      <c r="Z110" s="1931" t="n"/>
      <c r="AA110" s="702" t="n"/>
      <c r="AB110" s="735" t="n"/>
      <c r="AC110" s="735" t="n"/>
      <c r="AD110" s="735" t="n"/>
      <c r="AE110" s="735" t="n"/>
      <c r="AF110" s="735" t="n"/>
      <c r="AG110" s="735" t="n"/>
      <c r="AH110" s="735" t="n"/>
      <c r="AI110" s="735" t="n"/>
      <c r="AJ110" s="735" t="n"/>
      <c r="AK110" s="735" t="n"/>
      <c r="AL110" s="735" t="n"/>
      <c r="AM110" s="735" t="n"/>
      <c r="AN110" s="735" t="n"/>
      <c r="AO110" s="702" t="n"/>
      <c r="AP110" s="735" t="n"/>
      <c r="AQ110" s="735" t="n"/>
      <c r="AR110" s="735" t="n"/>
      <c r="AS110" s="735" t="n"/>
      <c r="AT110" s="735" t="n"/>
      <c r="AU110" s="735" t="n"/>
      <c r="AV110" s="735" t="n"/>
      <c r="AW110" s="735" t="n"/>
      <c r="AX110" s="735" t="n"/>
      <c r="AY110" s="735" t="n"/>
      <c r="AZ110" s="735" t="n"/>
      <c r="BA110" s="735" t="n"/>
      <c r="BB110" s="735" t="n"/>
      <c r="BC110" s="702" t="n"/>
      <c r="BD110" s="735" t="n"/>
      <c r="BE110" s="735" t="n"/>
      <c r="BF110" s="735" t="n"/>
      <c r="BG110" s="735" t="n"/>
      <c r="BH110" s="735" t="n"/>
      <c r="BI110" s="735" t="n"/>
      <c r="BJ110" s="735" t="n"/>
      <c r="BK110" s="735" t="n"/>
      <c r="BL110" s="735" t="n"/>
      <c r="BM110" s="735" t="n"/>
      <c r="BN110" s="735" t="n"/>
      <c r="BO110" s="735" t="n"/>
      <c r="BP110" s="735" t="n"/>
      <c r="BQ110" s="713" t="n"/>
      <c r="BR110" s="735" t="n"/>
      <c r="BS110" s="735" t="n"/>
      <c r="BT110" s="735" t="n"/>
      <c r="BU110" s="735" t="n"/>
      <c r="BV110" s="735" t="n"/>
      <c r="BW110" s="735" t="n"/>
      <c r="BX110" s="735" t="n"/>
      <c r="BY110" s="735" t="n"/>
      <c r="BZ110" s="735" t="n"/>
      <c r="CA110" s="735" t="n"/>
      <c r="CB110" s="735" t="n"/>
      <c r="CC110" s="735" t="n"/>
      <c r="CD110" s="735" t="n"/>
      <c r="CE110" s="713" t="n"/>
      <c r="CF110" s="735" t="n"/>
      <c r="CG110" s="735" t="n"/>
      <c r="CH110" s="735" t="n"/>
      <c r="CI110" s="735" t="n"/>
      <c r="CJ110" s="735" t="n"/>
      <c r="CK110" s="735" t="n"/>
      <c r="CL110" s="735" t="n"/>
      <c r="CM110" s="735" t="n"/>
      <c r="CN110" s="735" t="n"/>
      <c r="CO110" s="735" t="n"/>
      <c r="CP110" s="735" t="n"/>
      <c r="CQ110" s="735" t="n"/>
      <c r="CR110" s="735" t="n"/>
      <c r="CS110" s="1917" t="n"/>
      <c r="CT110" s="735" t="n"/>
      <c r="CU110" s="735" t="n"/>
      <c r="CV110" s="735" t="n"/>
      <c r="CW110" s="735" t="n"/>
      <c r="CX110" s="735" t="n"/>
      <c r="CY110" s="735" t="n"/>
      <c r="CZ110" s="735" t="n"/>
      <c r="DA110" s="735" t="n"/>
      <c r="DB110" s="735" t="n"/>
      <c r="DC110" s="735" t="n"/>
      <c r="DD110" s="735" t="n"/>
      <c r="DE110" s="735" t="n"/>
      <c r="DF110" s="735" t="n"/>
    </row>
    <row r="111" ht="3" customHeight="1" s="1883">
      <c r="D111" s="726" t="n"/>
      <c r="E111" s="726" t="n"/>
      <c r="F111" s="726" t="n"/>
      <c r="G111" s="726" t="n"/>
      <c r="H111" s="726" t="n"/>
      <c r="I111" s="726" t="n"/>
      <c r="J111" s="726" t="n"/>
      <c r="K111" s="726" t="n"/>
      <c r="L111" s="726" t="n"/>
      <c r="M111" s="726" t="n"/>
      <c r="N111" s="726" t="n"/>
      <c r="O111" s="726" t="n"/>
      <c r="P111" s="726" t="n"/>
      <c r="Q111" s="726" t="n"/>
      <c r="R111" s="726" t="n"/>
      <c r="S111" s="726" t="n"/>
      <c r="T111" s="726" t="n"/>
      <c r="U111" s="726" t="n"/>
      <c r="V111" s="726" t="n"/>
      <c r="W111" s="1931" t="n"/>
      <c r="X111" s="1931" t="n"/>
      <c r="Y111" s="1931" t="n"/>
      <c r="Z111" s="1931" t="n"/>
      <c r="AA111" s="702" t="n"/>
      <c r="AB111" s="702" t="n"/>
      <c r="AC111" s="702" t="n"/>
      <c r="AD111" s="702" t="n"/>
      <c r="AE111" s="702" t="n"/>
      <c r="AF111" s="702" t="n"/>
      <c r="AG111" s="702" t="n"/>
      <c r="AH111" s="702" t="n"/>
      <c r="AI111" s="702" t="n"/>
      <c r="AJ111" s="702" t="n"/>
      <c r="AK111" s="702" t="n"/>
      <c r="AL111" s="702" t="n"/>
      <c r="AM111" s="702" t="n"/>
      <c r="AN111" s="702" t="n"/>
      <c r="AO111" s="702" t="n"/>
      <c r="AP111" s="702" t="n"/>
      <c r="AQ111" s="702" t="n"/>
      <c r="AR111" s="702" t="n"/>
      <c r="AS111" s="702" t="n"/>
      <c r="AT111" s="702" t="n"/>
      <c r="AU111" s="702" t="n"/>
      <c r="AV111" s="702" t="n"/>
      <c r="AW111" s="702" t="n"/>
      <c r="AX111" s="702" t="n"/>
      <c r="AY111" s="702" t="n"/>
      <c r="AZ111" s="702" t="n"/>
      <c r="BA111" s="702" t="n"/>
      <c r="BB111" s="702" t="n"/>
      <c r="BC111" s="702" t="n"/>
      <c r="BD111" s="702" t="n"/>
      <c r="BE111" s="702" t="n"/>
      <c r="BF111" s="702" t="n"/>
      <c r="BG111" s="702" t="n"/>
      <c r="BH111" s="702" t="n"/>
      <c r="BI111" s="702" t="n"/>
      <c r="BJ111" s="702" t="n"/>
      <c r="BK111" s="702" t="n"/>
      <c r="BL111" s="702" t="n"/>
      <c r="BM111" s="702" t="n"/>
      <c r="BN111" s="702" t="n"/>
      <c r="BO111" s="702" t="n"/>
      <c r="BP111" s="702" t="n"/>
      <c r="BQ111" s="713" t="n"/>
      <c r="BR111" s="702" t="n"/>
      <c r="BS111" s="702" t="n"/>
      <c r="BT111" s="702" t="n"/>
      <c r="BU111" s="702" t="n"/>
      <c r="BV111" s="702" t="n"/>
      <c r="BW111" s="702" t="n"/>
      <c r="BX111" s="702" t="n"/>
      <c r="BY111" s="702" t="n"/>
      <c r="BZ111" s="702" t="n"/>
      <c r="CA111" s="702" t="n"/>
      <c r="CB111" s="702" t="n"/>
      <c r="CC111" s="702" t="n"/>
      <c r="CD111" s="702" t="n"/>
      <c r="CE111" s="713" t="n"/>
      <c r="CF111" s="702" t="n"/>
      <c r="CG111" s="702" t="n"/>
      <c r="CH111" s="702" t="n"/>
      <c r="CI111" s="702" t="n"/>
      <c r="CJ111" s="702" t="n"/>
      <c r="CK111" s="702" t="n"/>
      <c r="CL111" s="702" t="n"/>
      <c r="CM111" s="702" t="n"/>
      <c r="CN111" s="702" t="n"/>
      <c r="CO111" s="702" t="n"/>
      <c r="CP111" s="702" t="n"/>
      <c r="CQ111" s="702" t="n"/>
      <c r="CR111" s="702" t="n"/>
      <c r="CS111" s="1917" t="n"/>
      <c r="CT111" s="702" t="n"/>
      <c r="CU111" s="702" t="n"/>
      <c r="CV111" s="702" t="n"/>
      <c r="CW111" s="702" t="n"/>
      <c r="CX111" s="702" t="n"/>
      <c r="CY111" s="702" t="n"/>
      <c r="CZ111" s="702" t="n"/>
      <c r="DA111" s="702" t="n"/>
      <c r="DB111" s="702" t="n"/>
      <c r="DC111" s="702" t="n"/>
      <c r="DD111" s="702" t="n"/>
      <c r="DE111" s="702" t="n"/>
      <c r="DF111" s="702" t="n"/>
    </row>
    <row r="112" ht="15" customHeight="1" s="1883">
      <c r="D112" s="726" t="n"/>
      <c r="E112" s="726" t="n"/>
      <c r="F112" s="726" t="n"/>
      <c r="G112" s="726" t="n"/>
      <c r="H112" s="726" t="n"/>
      <c r="I112" s="726" t="n"/>
      <c r="J112" s="726" t="n"/>
      <c r="K112" s="726" t="n"/>
      <c r="L112" s="726" t="n"/>
      <c r="M112" s="726" t="n"/>
      <c r="N112" s="726" t="n"/>
      <c r="O112" s="726" t="n"/>
      <c r="P112" s="726" t="n"/>
      <c r="Q112" s="726" t="n"/>
      <c r="R112" s="726" t="n"/>
      <c r="S112" s="726" t="n"/>
      <c r="T112" s="726" t="n"/>
      <c r="U112" s="726" t="n"/>
      <c r="V112" s="726" t="n"/>
      <c r="W112" s="1932" t="inlineStr">
        <is>
          <t>∑, CONUS + ∑, OCONUS</t>
        </is>
      </c>
      <c r="AA112" s="702" t="n"/>
      <c r="AB112" s="765">
        <f>SUM(AB108:AB109)</f>
        <v/>
      </c>
      <c r="AC112" s="765">
        <f>SUM(AC108:AC109)</f>
        <v/>
      </c>
      <c r="AD112" s="765">
        <f>SUM(AD108:AD109)</f>
        <v/>
      </c>
      <c r="AE112" s="765">
        <f>SUM(AE108:AE109)</f>
        <v/>
      </c>
      <c r="AF112" s="765">
        <f>SUM(AF108:AF109)</f>
        <v/>
      </c>
      <c r="AG112" s="765">
        <f>SUM(AG108:AG109)</f>
        <v/>
      </c>
      <c r="AH112" s="765">
        <f>SUM(AH108:AH109)</f>
        <v/>
      </c>
      <c r="AI112" s="765">
        <f>SUM(AI108:AI109)</f>
        <v/>
      </c>
      <c r="AJ112" s="765">
        <f>SUM(AJ108:AJ109)</f>
        <v/>
      </c>
      <c r="AK112" s="765">
        <f>SUM(AK108:AK109)</f>
        <v/>
      </c>
      <c r="AL112" s="765">
        <f>SUM(AL108:AL109)</f>
        <v/>
      </c>
      <c r="AM112" s="765">
        <f>SUM(AM108:AM109)</f>
        <v/>
      </c>
      <c r="AN112" s="765">
        <f>SUM(AN108:AN109)</f>
        <v/>
      </c>
      <c r="AO112" s="702" t="n"/>
      <c r="AP112" s="765">
        <f>SUM(AP108:AP109)</f>
        <v/>
      </c>
      <c r="AQ112" s="765">
        <f>SUM(AQ108:AQ109)</f>
        <v/>
      </c>
      <c r="AR112" s="765">
        <f>SUM(AR108:AR109)</f>
        <v/>
      </c>
      <c r="AS112" s="765">
        <f>SUM(AS108:AS109)</f>
        <v/>
      </c>
      <c r="AT112" s="765">
        <f>SUM(AT108:AT109)</f>
        <v/>
      </c>
      <c r="AU112" s="765">
        <f>SUM(AU108:AU109)</f>
        <v/>
      </c>
      <c r="AV112" s="765">
        <f>SUM(AV108:AV109)</f>
        <v/>
      </c>
      <c r="AW112" s="765">
        <f>SUM(AW108:AW109)</f>
        <v/>
      </c>
      <c r="AX112" s="765">
        <f>SUM(AX108:AX109)</f>
        <v/>
      </c>
      <c r="AY112" s="765">
        <f>SUM(AY108:AY109)</f>
        <v/>
      </c>
      <c r="AZ112" s="765">
        <f>SUM(AZ108:AZ109)</f>
        <v/>
      </c>
      <c r="BA112" s="765">
        <f>SUM(BA108:BA109)</f>
        <v/>
      </c>
      <c r="BB112" s="765">
        <f>SUM(BB108:BB109)</f>
        <v/>
      </c>
      <c r="BC112" s="702" t="n"/>
      <c r="BD112" s="765">
        <f>SUM(BD108:BD109)</f>
        <v/>
      </c>
      <c r="BE112" s="765">
        <f>SUM(BE108:BE109)</f>
        <v/>
      </c>
      <c r="BF112" s="765">
        <f>SUM(BF108:BF109)</f>
        <v/>
      </c>
      <c r="BG112" s="765">
        <f>SUM(BG108:BG109)</f>
        <v/>
      </c>
      <c r="BH112" s="765">
        <f>SUM(BH108:BH109)</f>
        <v/>
      </c>
      <c r="BI112" s="765">
        <f>SUM(BI108:BI109)</f>
        <v/>
      </c>
      <c r="BJ112" s="765">
        <f>SUM(BJ108:BJ109)</f>
        <v/>
      </c>
      <c r="BK112" s="765">
        <f>SUM(BK108:BK109)</f>
        <v/>
      </c>
      <c r="BL112" s="765">
        <f>SUM(BL108:BL109)</f>
        <v/>
      </c>
      <c r="BM112" s="765">
        <f>SUM(BM108:BM109)</f>
        <v/>
      </c>
      <c r="BN112" s="765">
        <f>SUM(BN108:BN109)</f>
        <v/>
      </c>
      <c r="BO112" s="765">
        <f>SUM(BO108:BO109)</f>
        <v/>
      </c>
      <c r="BP112" s="765">
        <f>SUM(BP108:BP109)</f>
        <v/>
      </c>
      <c r="BQ112" s="713" t="n"/>
      <c r="BR112" s="765">
        <f>SUM(BR108:BR109)</f>
        <v/>
      </c>
      <c r="BS112" s="765">
        <f>SUM(BS108:BS109)</f>
        <v/>
      </c>
      <c r="BT112" s="765">
        <f>SUM(BT108:BT109)</f>
        <v/>
      </c>
      <c r="BU112" s="765">
        <f>SUM(BU108:BU109)</f>
        <v/>
      </c>
      <c r="BV112" s="765">
        <f>SUM(BV108:BV109)</f>
        <v/>
      </c>
      <c r="BW112" s="765">
        <f>SUM(BW108:BW109)</f>
        <v/>
      </c>
      <c r="BX112" s="765">
        <f>SUM(BX108:BX109)</f>
        <v/>
      </c>
      <c r="BY112" s="765">
        <f>SUM(BY108:BY109)</f>
        <v/>
      </c>
      <c r="BZ112" s="765">
        <f>SUM(BZ108:BZ109)</f>
        <v/>
      </c>
      <c r="CA112" s="765">
        <f>SUM(CA108:CA109)</f>
        <v/>
      </c>
      <c r="CB112" s="765">
        <f>SUM(CB108:CB109)</f>
        <v/>
      </c>
      <c r="CC112" s="765">
        <f>SUM(CC108:CC109)</f>
        <v/>
      </c>
      <c r="CD112" s="765">
        <f>SUM(CD108:CD109)</f>
        <v/>
      </c>
      <c r="CE112" s="713" t="n"/>
      <c r="CF112" s="765">
        <f>SUM(CF108:CF109)</f>
        <v/>
      </c>
      <c r="CG112" s="765">
        <f>SUM(CG108:CG109)</f>
        <v/>
      </c>
      <c r="CH112" s="765">
        <f>SUM(CH108:CH109)</f>
        <v/>
      </c>
      <c r="CI112" s="765">
        <f>SUM(CI108:CI109)</f>
        <v/>
      </c>
      <c r="CJ112" s="765">
        <f>SUM(CJ108:CJ109)</f>
        <v/>
      </c>
      <c r="CK112" s="765">
        <f>SUM(CK108:CK109)</f>
        <v/>
      </c>
      <c r="CL112" s="765">
        <f>SUM(CL108:CL109)</f>
        <v/>
      </c>
      <c r="CM112" s="765">
        <f>SUM(CM108:CM109)</f>
        <v/>
      </c>
      <c r="CN112" s="765">
        <f>SUM(CN108:CN109)</f>
        <v/>
      </c>
      <c r="CO112" s="765">
        <f>SUM(CO108:CO109)</f>
        <v/>
      </c>
      <c r="CP112" s="765">
        <f>SUM(CP108:CP109)</f>
        <v/>
      </c>
      <c r="CQ112" s="765">
        <f>SUM(CQ108:CQ109)</f>
        <v/>
      </c>
      <c r="CR112" s="765">
        <f>SUM(CR108:CR109)</f>
        <v/>
      </c>
      <c r="CS112" s="1917" t="n"/>
      <c r="CT112" s="765">
        <f>SUM(CT108:CT109)</f>
        <v/>
      </c>
      <c r="CU112" s="765">
        <f>SUM(CU108:CU109)</f>
        <v/>
      </c>
      <c r="CV112" s="765">
        <f>SUM(CV108:CV109)</f>
        <v/>
      </c>
      <c r="CW112" s="765">
        <f>SUM(CW108:CW109)</f>
        <v/>
      </c>
      <c r="CX112" s="765">
        <f>SUM(CX108:CX109)</f>
        <v/>
      </c>
      <c r="CY112" s="765">
        <f>SUM(CY108:CY109)</f>
        <v/>
      </c>
      <c r="CZ112" s="765">
        <f>SUM(CZ108:CZ109)</f>
        <v/>
      </c>
      <c r="DA112" s="765">
        <f>SUM(DA108:DA109)</f>
        <v/>
      </c>
      <c r="DB112" s="765">
        <f>SUM(DB108:DB109)</f>
        <v/>
      </c>
      <c r="DC112" s="765">
        <f>SUM(DC108:DC109)</f>
        <v/>
      </c>
      <c r="DD112" s="765">
        <f>SUM(DD108:DD109)</f>
        <v/>
      </c>
      <c r="DE112" s="765">
        <f>SUM(DE108:DE109)</f>
        <v/>
      </c>
      <c r="DF112" s="765">
        <f>SUM(DF108:DF109)</f>
        <v/>
      </c>
    </row>
    <row r="116">
      <c r="I116" s="1917" t="n"/>
    </row>
  </sheetData>
  <mergeCells count="24">
    <mergeCell ref="S60:Z60"/>
    <mergeCell ref="L15:Q15"/>
    <mergeCell ref="W52:Z52"/>
    <mergeCell ref="BD15:BP15"/>
    <mergeCell ref="AE15:AN15"/>
    <mergeCell ref="U10:X10"/>
    <mergeCell ref="W112:Z112"/>
    <mergeCell ref="BR15:CD15"/>
    <mergeCell ref="W53:Z53"/>
    <mergeCell ref="CT67:DF67"/>
    <mergeCell ref="S15:X15"/>
    <mergeCell ref="W108:Z108"/>
    <mergeCell ref="N63:Q63"/>
    <mergeCell ref="CF15:CR15"/>
    <mergeCell ref="CF67:CR67"/>
    <mergeCell ref="CT15:DF15"/>
    <mergeCell ref="AP67:BB67"/>
    <mergeCell ref="AE67:AN67"/>
    <mergeCell ref="L67:Q67"/>
    <mergeCell ref="BD67:BP67"/>
    <mergeCell ref="W109:Z109"/>
    <mergeCell ref="BR67:CD67"/>
    <mergeCell ref="W56:Z56"/>
    <mergeCell ref="AP15:BB15"/>
  </mergeCells>
  <pageMargins left="0.7" right="0.7" top="0.75" bottom="0.75" header="0.3" footer="0.3"/>
  <pageSetup orientation="portrait" horizontalDpi="0" verticalDpi="0"/>
  <legacyDrawing xmlns:r="http://schemas.openxmlformats.org/officeDocument/2006/relationships" r:id="anysvml"/>
</worksheet>
</file>

<file path=xl/worksheets/sheet18.xml><?xml version="1.0" encoding="utf-8"?>
<worksheet xmlns="http://schemas.openxmlformats.org/spreadsheetml/2006/main">
  <sheetPr>
    <tabColor rgb="FFCCFFCC"/>
    <outlinePr summaryBelow="1" summaryRight="1"/>
    <pageSetUpPr/>
  </sheetPr>
  <dimension ref="A2:AE94"/>
  <sheetViews>
    <sheetView topLeftCell="A41" zoomScale="135" zoomScaleNormal="135" zoomScaleSheetLayoutView="110" workbookViewId="0">
      <selection activeCell="X95" sqref="X95"/>
    </sheetView>
  </sheetViews>
  <sheetFormatPr baseColWidth="10" defaultColWidth="8.6640625" defaultRowHeight="13"/>
  <cols>
    <col width="2.6640625" customWidth="1" style="1883" min="1" max="8"/>
    <col width="21.6640625" customWidth="1" style="1883" min="9" max="9"/>
    <col width="2.6640625" customWidth="1" style="1883" min="10" max="10"/>
    <col width="15.6640625" customWidth="1" style="1883" min="11" max="22"/>
    <col width="2.6640625" customWidth="1" style="1883" min="23" max="23"/>
    <col width="18.33203125" customWidth="1" style="1883" min="24" max="24"/>
    <col width="2.6640625" customWidth="1" style="1883" min="25" max="25"/>
    <col width="18.5" customWidth="1" style="1883" min="26" max="26"/>
    <col width="19" customWidth="1" style="1883" min="27" max="27"/>
    <col width="1.6640625" customWidth="1" style="1883" min="28" max="28"/>
    <col width="112.6640625" customWidth="1" style="1883" min="29" max="29"/>
    <col width="2.6640625" customWidth="1" style="1883" min="30" max="30"/>
    <col width="15.33203125" customWidth="1" style="1883" min="31" max="31"/>
  </cols>
  <sheetData>
    <row r="2" ht="15" customHeight="1" s="1883">
      <c r="B2" s="1882" t="inlineStr">
        <is>
          <t>PURE TECHNOLOGY</t>
        </is>
      </c>
    </row>
    <row r="3" ht="4.5" customHeight="1" s="1883">
      <c r="B3" s="383" t="n"/>
      <c r="C3" s="383" t="n"/>
      <c r="D3" s="383" t="n"/>
      <c r="E3" s="383" t="n"/>
      <c r="F3" s="383" t="n"/>
      <c r="G3" s="383" t="n"/>
      <c r="H3" s="383" t="n"/>
      <c r="I3" s="383" t="n"/>
      <c r="J3" s="383" t="n"/>
      <c r="K3" s="383" t="n"/>
      <c r="L3" s="383" t="n"/>
      <c r="M3" s="383" t="n"/>
      <c r="N3" s="383" t="n"/>
      <c r="O3" s="383" t="n"/>
      <c r="P3" s="383" t="n"/>
      <c r="Q3" s="383" t="n"/>
      <c r="R3" s="383" t="n"/>
      <c r="S3" s="383" t="n"/>
      <c r="T3" s="383" t="n"/>
      <c r="U3" s="383" t="n"/>
      <c r="V3" s="383" t="n"/>
      <c r="W3" s="383" t="n"/>
      <c r="X3" s="383" t="n"/>
      <c r="Y3" s="383" t="n"/>
      <c r="Z3" s="383" t="n"/>
    </row>
    <row r="4" ht="15" customHeight="1" s="1883">
      <c r="B4" s="1936" t="inlineStr">
        <is>
          <t>PRE-LAUNCH EXPENSES</t>
        </is>
      </c>
    </row>
    <row r="5" ht="4.5" customHeight="1" s="1883">
      <c r="B5" s="422" t="n"/>
      <c r="C5" s="383" t="n"/>
      <c r="D5" s="383" t="n"/>
      <c r="E5" s="383" t="n"/>
      <c r="F5" s="383" t="n"/>
      <c r="G5" s="383" t="n"/>
      <c r="H5" s="383" t="n"/>
      <c r="I5" s="383" t="n"/>
      <c r="J5" s="383" t="n"/>
      <c r="K5" s="383" t="n"/>
      <c r="L5" s="383" t="n"/>
      <c r="M5" s="383" t="n"/>
      <c r="N5" s="383" t="n"/>
      <c r="O5" s="383" t="n"/>
      <c r="P5" s="383" t="n"/>
      <c r="Q5" s="383" t="n"/>
      <c r="R5" s="383" t="n"/>
      <c r="S5" s="383" t="n"/>
      <c r="T5" s="383" t="n"/>
      <c r="U5" s="383" t="n"/>
      <c r="V5" s="383" t="n"/>
      <c r="W5" s="383" t="n"/>
      <c r="X5" s="383" t="n"/>
      <c r="Y5" s="383" t="n"/>
      <c r="Z5" s="383" t="n"/>
    </row>
    <row r="6" ht="15" customHeight="1" s="1883">
      <c r="B6" s="1936" t="inlineStr">
        <is>
          <t>BY MONTH, MONTHS -12 THROUGH - 1</t>
        </is>
      </c>
    </row>
    <row r="7" ht="15" customHeight="1" s="1883">
      <c r="B7" s="383" t="n"/>
      <c r="C7" s="383" t="n"/>
      <c r="D7" s="383" t="n"/>
      <c r="E7" s="383" t="n"/>
      <c r="F7" s="383" t="n"/>
      <c r="G7" s="383" t="n"/>
      <c r="H7" s="383" t="n"/>
      <c r="I7" s="383" t="n"/>
      <c r="J7" s="383" t="n"/>
      <c r="K7" s="383" t="n"/>
      <c r="L7" s="383" t="n"/>
      <c r="M7" s="383" t="n"/>
      <c r="N7" s="383" t="n"/>
      <c r="O7" s="383" t="n"/>
      <c r="P7" s="383" t="n"/>
      <c r="Q7" s="383" t="n"/>
      <c r="R7" s="383" t="n"/>
      <c r="S7" s="383" t="n"/>
      <c r="T7" s="383" t="n"/>
      <c r="U7" s="383" t="n"/>
      <c r="V7" s="383" t="n"/>
      <c r="W7" s="383" t="n"/>
      <c r="X7" s="383" t="n"/>
      <c r="Y7" s="383" t="n"/>
      <c r="Z7" s="383" t="n"/>
    </row>
    <row r="8" ht="3" customHeight="1" s="1883" thickBot="1">
      <c r="B8" s="1885" t="n"/>
      <c r="C8" s="1885" t="n"/>
      <c r="D8" s="1885" t="n"/>
      <c r="E8" s="1885" t="n"/>
      <c r="F8" s="1885" t="n"/>
      <c r="G8" s="1885" t="n"/>
      <c r="H8" s="1885" t="n"/>
      <c r="I8" s="1885" t="n"/>
      <c r="J8" s="1885" t="n"/>
      <c r="K8" s="1885" t="n"/>
      <c r="L8" s="1885" t="n"/>
      <c r="M8" s="1885" t="n"/>
      <c r="N8" s="1885" t="n"/>
      <c r="O8" s="1885" t="n"/>
      <c r="P8" s="1885" t="n"/>
      <c r="Q8" s="1885" t="n"/>
      <c r="R8" s="1885" t="n"/>
      <c r="S8" s="1885" t="n"/>
      <c r="T8" s="1885" t="n"/>
      <c r="U8" s="1885" t="n"/>
      <c r="V8" s="1885" t="n"/>
      <c r="W8" s="1885" t="n"/>
      <c r="X8" s="1885" t="n"/>
      <c r="Y8" s="1885" t="n"/>
      <c r="Z8" s="1885" t="n"/>
      <c r="AA8" s="1886" t="n"/>
      <c r="AB8" s="1886" t="n"/>
      <c r="AC8" s="1886" t="n"/>
    </row>
    <row r="9" ht="3" customHeight="1" s="1883" thickTop="1">
      <c r="B9" s="383" t="n"/>
      <c r="C9" s="383" t="n"/>
      <c r="D9" s="383" t="n"/>
      <c r="E9" s="383" t="n"/>
      <c r="F9" s="383" t="n"/>
      <c r="G9" s="383" t="n"/>
      <c r="H9" s="383" t="n"/>
      <c r="I9" s="383" t="n"/>
      <c r="J9" s="383" t="n"/>
      <c r="K9" s="383" t="n"/>
      <c r="L9" s="383" t="n"/>
      <c r="M9" s="383" t="n"/>
      <c r="N9" s="383" t="n"/>
      <c r="O9" s="383" t="n"/>
      <c r="P9" s="383" t="n"/>
      <c r="Q9" s="383" t="n"/>
      <c r="R9" s="383" t="n"/>
      <c r="S9" s="383" t="n"/>
      <c r="T9" s="383" t="n"/>
      <c r="U9" s="383" t="n"/>
      <c r="V9" s="383" t="n"/>
      <c r="W9" s="383" t="n"/>
      <c r="X9" s="383" t="n"/>
      <c r="Y9" s="383" t="n"/>
      <c r="Z9" s="383" t="n"/>
    </row>
    <row r="10" ht="15" customHeight="1" s="1883">
      <c r="B10" s="383" t="n"/>
      <c r="C10" s="383" t="n"/>
      <c r="D10" s="383" t="n"/>
      <c r="E10" s="383" t="n"/>
      <c r="F10" s="383" t="n"/>
      <c r="G10" s="383" t="n"/>
      <c r="H10" s="383" t="n"/>
      <c r="I10" s="383" t="n"/>
      <c r="J10" s="383" t="n"/>
      <c r="K10" s="383" t="n"/>
      <c r="L10" s="383" t="n"/>
      <c r="M10" s="383" t="n"/>
      <c r="N10" s="383" t="n"/>
      <c r="O10" s="383" t="n"/>
      <c r="P10" s="383" t="n"/>
      <c r="Q10" s="383" t="n"/>
      <c r="R10" s="383" t="n"/>
      <c r="S10" s="383" t="n"/>
      <c r="T10" s="383" t="n"/>
      <c r="U10" s="383" t="n"/>
      <c r="V10" s="383" t="n"/>
      <c r="W10" s="383" t="n"/>
      <c r="X10" s="383" t="n"/>
      <c r="Y10" s="383" t="n"/>
      <c r="Z10" s="383" t="n"/>
      <c r="AC10" s="726" t="n"/>
    </row>
    <row r="11" ht="15" customHeight="1" s="1883">
      <c r="B11" s="726" t="n"/>
      <c r="C11" s="726" t="n"/>
      <c r="D11" s="726" t="n"/>
      <c r="E11" s="726" t="n"/>
      <c r="F11" s="726" t="n"/>
      <c r="G11" s="726" t="n"/>
      <c r="H11" s="726" t="n"/>
      <c r="I11" s="726" t="n"/>
      <c r="J11" s="726" t="n"/>
      <c r="K11" s="726" t="n"/>
      <c r="L11" s="726" t="n"/>
      <c r="M11" s="726" t="n"/>
      <c r="N11" s="1882" t="inlineStr">
        <is>
          <t>Pre-Launch Month</t>
        </is>
      </c>
      <c r="W11" s="383" t="n"/>
      <c r="X11" s="386" t="inlineStr">
        <is>
          <t>Total</t>
        </is>
      </c>
      <c r="Y11" s="383" t="n"/>
      <c r="Z11" s="383" t="n"/>
      <c r="AA11" s="383" t="n"/>
      <c r="AC11" s="726" t="n"/>
    </row>
    <row r="12" ht="3" customHeight="1" s="1883">
      <c r="B12" s="726" t="n"/>
      <c r="C12" s="726" t="n"/>
      <c r="D12" s="726" t="n"/>
      <c r="E12" s="726" t="n"/>
      <c r="F12" s="726" t="n"/>
      <c r="G12" s="726" t="n"/>
      <c r="H12" s="726" t="n"/>
      <c r="I12" s="726" t="n"/>
      <c r="J12" s="726" t="n"/>
      <c r="K12" s="387" t="n"/>
      <c r="L12" s="387" t="n"/>
      <c r="M12" s="387" t="n"/>
      <c r="N12" s="387" t="n"/>
      <c r="O12" s="387" t="n"/>
      <c r="P12" s="387" t="n"/>
      <c r="Q12" s="387" t="n"/>
      <c r="R12" s="387" t="n"/>
      <c r="S12" s="387" t="n"/>
      <c r="T12" s="387" t="n"/>
      <c r="U12" s="387" t="n"/>
      <c r="V12" s="387" t="n"/>
      <c r="W12" s="383" t="n"/>
      <c r="X12" s="387" t="n"/>
      <c r="Y12" s="383" t="n"/>
      <c r="Z12" s="383" t="n"/>
      <c r="AA12" s="383" t="n"/>
      <c r="AC12" s="726" t="n"/>
    </row>
    <row r="13" ht="3" customHeight="1" s="1883">
      <c r="B13" s="726" t="n"/>
      <c r="C13" s="726" t="n"/>
      <c r="D13" s="726" t="n"/>
      <c r="E13" s="726" t="n"/>
      <c r="F13" s="726" t="n"/>
      <c r="G13" s="726" t="n"/>
      <c r="H13" s="726" t="n"/>
      <c r="I13" s="726" t="n"/>
      <c r="J13" s="726" t="n"/>
      <c r="K13" s="383" t="n"/>
      <c r="L13" s="383" t="n"/>
      <c r="M13" s="383" t="n"/>
      <c r="N13" s="383" t="n"/>
      <c r="O13" s="383" t="n"/>
      <c r="P13" s="383" t="n"/>
      <c r="Q13" s="383" t="n"/>
      <c r="R13" s="383" t="n"/>
      <c r="S13" s="383" t="n"/>
      <c r="T13" s="383" t="n"/>
      <c r="U13" s="383" t="n"/>
      <c r="V13" s="383" t="n"/>
      <c r="W13" s="383" t="n"/>
      <c r="X13" s="383" t="n"/>
      <c r="Y13" s="383" t="n"/>
      <c r="Z13" s="383" t="n"/>
      <c r="AA13" s="383" t="n"/>
      <c r="AC13" s="726" t="n"/>
    </row>
    <row r="14" ht="15" customHeight="1" s="1883">
      <c r="B14" s="726" t="n"/>
      <c r="C14" s="726" t="n"/>
      <c r="D14" s="726" t="n"/>
      <c r="E14" s="726" t="n"/>
      <c r="F14" s="726" t="n"/>
      <c r="G14" s="726" t="n"/>
      <c r="H14" s="726" t="n"/>
      <c r="I14" s="726" t="n"/>
      <c r="J14" s="726" t="n"/>
      <c r="K14" s="386" t="n">
        <v>-12</v>
      </c>
      <c r="L14" s="386" t="n">
        <v>-11</v>
      </c>
      <c r="M14" s="386" t="n">
        <v>-10</v>
      </c>
      <c r="N14" s="386" t="n">
        <v>-9</v>
      </c>
      <c r="O14" s="386" t="n">
        <v>-8</v>
      </c>
      <c r="P14" s="386" t="n">
        <v>-7</v>
      </c>
      <c r="Q14" s="386" t="n">
        <v>-6</v>
      </c>
      <c r="R14" s="386" t="n">
        <v>-5</v>
      </c>
      <c r="S14" s="386" t="n">
        <v>-4</v>
      </c>
      <c r="T14" s="386" t="n">
        <v>-3</v>
      </c>
      <c r="U14" s="386" t="n">
        <v>-2</v>
      </c>
      <c r="V14" s="386" t="n">
        <v>-1</v>
      </c>
      <c r="W14" s="383" t="n"/>
      <c r="X14" s="456" t="inlineStr">
        <is>
          <t>Months - 12 to - 1</t>
        </is>
      </c>
      <c r="Y14" s="383" t="n"/>
      <c r="Z14" s="386" t="inlineStr">
        <is>
          <t>Prior Model</t>
        </is>
      </c>
      <c r="AA14" s="386" t="inlineStr">
        <is>
          <t>∆ Vs. Prior Model</t>
        </is>
      </c>
      <c r="AC14" s="385" t="inlineStr">
        <is>
          <t>Comments</t>
        </is>
      </c>
    </row>
    <row r="18" ht="15" customHeight="1" s="1883">
      <c r="B18" s="385" t="inlineStr">
        <is>
          <t>OPERATING EXPENSES</t>
        </is>
      </c>
      <c r="C18" s="383" t="n"/>
      <c r="D18" s="383" t="n"/>
      <c r="E18" s="383" t="n"/>
      <c r="F18" s="383" t="n"/>
      <c r="G18" s="383" t="n"/>
      <c r="H18" s="383" t="n"/>
      <c r="I18" s="383" t="n"/>
      <c r="J18" s="383" t="n"/>
      <c r="K18" s="383" t="n"/>
      <c r="L18" s="383" t="n"/>
      <c r="M18" s="383" t="n"/>
      <c r="N18" s="383" t="n"/>
      <c r="O18" s="383" t="n"/>
      <c r="P18" s="383" t="n"/>
      <c r="Q18" s="383" t="n"/>
      <c r="R18" s="383" t="n"/>
      <c r="S18" s="383" t="n"/>
      <c r="T18" s="383" t="n"/>
      <c r="U18" s="383" t="n"/>
      <c r="V18" s="383" t="n"/>
      <c r="W18" s="383" t="n"/>
      <c r="X18" s="383" t="n"/>
      <c r="Y18" s="383" t="n"/>
      <c r="Z18" s="383" t="n"/>
      <c r="AC18" s="726" t="n"/>
    </row>
    <row r="19" ht="3" customHeight="1" s="1883">
      <c r="B19" s="387" t="n"/>
      <c r="C19" s="387" t="n"/>
      <c r="D19" s="387" t="n"/>
      <c r="E19" s="387" t="n"/>
      <c r="F19" s="387" t="n"/>
      <c r="G19" s="387" t="n"/>
      <c r="H19" s="387" t="n"/>
      <c r="I19" s="387" t="n"/>
      <c r="J19" s="387" t="n"/>
      <c r="K19" s="383" t="n"/>
      <c r="L19" s="383" t="n"/>
      <c r="M19" s="383" t="n"/>
      <c r="N19" s="383" t="n"/>
      <c r="O19" s="383" t="n"/>
      <c r="P19" s="383" t="n"/>
      <c r="Q19" s="383" t="n"/>
      <c r="R19" s="383" t="n"/>
      <c r="S19" s="383" t="n"/>
      <c r="T19" s="383" t="n"/>
      <c r="U19" s="383" t="n"/>
      <c r="V19" s="383" t="n"/>
      <c r="W19" s="383" t="n"/>
      <c r="X19" s="383" t="n"/>
      <c r="Y19" s="383" t="n"/>
      <c r="Z19" s="383" t="n"/>
      <c r="AC19" s="726" t="n"/>
    </row>
    <row r="20" ht="3" customHeight="1" s="1883">
      <c r="B20" s="383" t="n"/>
      <c r="C20" s="383" t="n"/>
      <c r="D20" s="383" t="n"/>
      <c r="E20" s="383" t="n"/>
      <c r="F20" s="383" t="n"/>
      <c r="G20" s="383" t="n"/>
      <c r="H20" s="383" t="n"/>
      <c r="I20" s="383" t="n"/>
      <c r="J20" s="383" t="n"/>
      <c r="K20" s="383" t="n"/>
      <c r="L20" s="383" t="n"/>
      <c r="M20" s="383" t="n"/>
      <c r="N20" s="383" t="n"/>
      <c r="O20" s="383" t="n"/>
      <c r="P20" s="383" t="n"/>
      <c r="Q20" s="383" t="n"/>
      <c r="R20" s="383" t="n"/>
      <c r="S20" s="383" t="n"/>
      <c r="T20" s="383" t="n"/>
      <c r="U20" s="383" t="n"/>
      <c r="V20" s="383" t="n"/>
      <c r="W20" s="383" t="n"/>
      <c r="X20" s="383" t="n"/>
      <c r="Y20" s="383" t="n"/>
      <c r="Z20" s="383" t="n"/>
      <c r="AC20" s="726" t="n"/>
    </row>
    <row r="21" ht="15" customHeight="1" s="1883">
      <c r="B21" s="383" t="n"/>
      <c r="C21" s="383" t="n"/>
      <c r="D21" s="383" t="n"/>
      <c r="E21" s="383" t="n"/>
      <c r="F21" s="383" t="n"/>
      <c r="G21" s="383" t="n"/>
      <c r="H21" s="383" t="n"/>
      <c r="I21" s="383" t="n"/>
      <c r="J21" s="383" t="n"/>
      <c r="K21" s="383" t="n"/>
      <c r="L21" s="383" t="n"/>
      <c r="M21" s="383" t="n"/>
      <c r="N21" s="383" t="n"/>
      <c r="O21" s="383" t="n"/>
      <c r="P21" s="383" t="n"/>
      <c r="Q21" s="383" t="n"/>
      <c r="R21" s="383" t="n"/>
      <c r="S21" s="383" t="n"/>
      <c r="T21" s="383" t="n"/>
      <c r="U21" s="383" t="n"/>
      <c r="V21" s="383" t="n"/>
      <c r="W21" s="383" t="n"/>
      <c r="X21" s="383" t="n"/>
      <c r="Y21" s="383" t="n"/>
      <c r="Z21" s="383" t="n"/>
      <c r="AC21" s="726" t="n"/>
    </row>
    <row r="22" ht="15" customHeight="1" s="1883">
      <c r="B22" s="383" t="n"/>
      <c r="C22" s="385" t="inlineStr">
        <is>
          <t>Expense Category</t>
        </is>
      </c>
      <c r="D22" s="383" t="n"/>
      <c r="E22" s="383" t="n"/>
      <c r="F22" s="383" t="n"/>
      <c r="G22" s="383" t="n"/>
      <c r="H22" s="383" t="n"/>
      <c r="I22" s="383" t="n"/>
      <c r="J22" s="386" t="n"/>
      <c r="K22" s="383" t="n"/>
      <c r="L22" s="383" t="n"/>
      <c r="M22" s="383" t="n"/>
      <c r="N22" s="383" t="n"/>
      <c r="O22" s="383" t="n"/>
      <c r="P22" s="383" t="n"/>
      <c r="Q22" s="383" t="n"/>
      <c r="R22" s="383" t="n"/>
      <c r="S22" s="383" t="n"/>
      <c r="T22" s="383" t="n"/>
      <c r="U22" s="383" t="n"/>
      <c r="V22" s="383" t="n"/>
      <c r="W22" s="383" t="n"/>
      <c r="X22" s="383" t="n"/>
      <c r="Y22" s="383" t="n"/>
      <c r="Z22" s="383" t="n"/>
      <c r="AC22" s="726" t="n"/>
    </row>
    <row r="23" ht="3" customHeight="1" s="1883">
      <c r="B23" s="383" t="n"/>
      <c r="C23" s="392" t="n"/>
      <c r="D23" s="387" t="n"/>
      <c r="E23" s="387" t="n"/>
      <c r="F23" s="387" t="n"/>
      <c r="G23" s="387" t="n"/>
      <c r="H23" s="387" t="n"/>
      <c r="I23" s="387" t="n"/>
      <c r="J23" s="1910" t="n"/>
      <c r="K23" s="383" t="n"/>
      <c r="L23" s="383" t="n"/>
      <c r="M23" s="383" t="n"/>
      <c r="N23" s="383" t="n"/>
      <c r="O23" s="383" t="n"/>
      <c r="P23" s="383" t="n"/>
      <c r="Q23" s="383" t="n"/>
      <c r="R23" s="383" t="n"/>
      <c r="S23" s="383" t="n"/>
      <c r="T23" s="383" t="n"/>
      <c r="U23" s="383" t="n"/>
      <c r="V23" s="383" t="n"/>
      <c r="W23" s="383" t="n"/>
      <c r="X23" s="383" t="n"/>
      <c r="Y23" s="383" t="n"/>
      <c r="Z23" s="383" t="n"/>
      <c r="AC23" s="726" t="n"/>
    </row>
    <row r="24" ht="3" customHeight="1" s="1883">
      <c r="B24" s="383" t="n"/>
      <c r="C24" s="385" t="n"/>
      <c r="D24" s="383" t="n"/>
      <c r="E24" s="383" t="n"/>
      <c r="F24" s="383" t="n"/>
      <c r="G24" s="383" t="n"/>
      <c r="H24" s="383" t="n"/>
      <c r="I24" s="383" t="n"/>
      <c r="J24" s="383" t="n"/>
      <c r="K24" s="383" t="n"/>
      <c r="L24" s="383" t="n"/>
      <c r="M24" s="383" t="n"/>
      <c r="N24" s="383" t="n"/>
      <c r="O24" s="383" t="n"/>
      <c r="P24" s="383" t="n"/>
      <c r="Q24" s="383" t="n"/>
      <c r="R24" s="383" t="n"/>
      <c r="S24" s="383" t="n"/>
      <c r="T24" s="383" t="n"/>
      <c r="U24" s="383" t="n"/>
      <c r="V24" s="383" t="n"/>
      <c r="W24" s="383" t="n"/>
      <c r="AC24" s="726" t="n"/>
    </row>
    <row r="25" ht="15" customHeight="1" s="1883">
      <c r="B25" s="383" t="n"/>
      <c r="C25" s="383" t="n"/>
      <c r="D25" s="383" t="n"/>
      <c r="E25" s="383" t="n"/>
      <c r="F25" s="383" t="n"/>
      <c r="G25" s="383" t="n"/>
      <c r="H25" s="383" t="n"/>
      <c r="I25" s="383" t="n"/>
      <c r="J25" s="383" t="n"/>
      <c r="K25" s="383" t="n"/>
      <c r="L25" s="383" t="n"/>
      <c r="M25" s="383" t="n"/>
      <c r="N25" s="383" t="n"/>
      <c r="O25" s="383" t="n"/>
      <c r="P25" s="383" t="n"/>
      <c r="Q25" s="383" t="n"/>
      <c r="R25" s="383" t="n"/>
      <c r="S25" s="383" t="n"/>
      <c r="T25" s="383" t="n"/>
      <c r="U25" s="383" t="n"/>
      <c r="V25" s="383" t="n"/>
      <c r="W25" s="383" t="n"/>
      <c r="AC25" s="726" t="n"/>
    </row>
    <row r="26" ht="15" customHeight="1" s="1883">
      <c r="A26" s="1641" t="n"/>
      <c r="B26" s="383" t="n"/>
      <c r="C26" s="385" t="inlineStr">
        <is>
          <t>People Cost</t>
        </is>
      </c>
      <c r="D26" s="383" t="n"/>
      <c r="E26" s="383" t="n"/>
      <c r="F26" s="383" t="n"/>
      <c r="G26" s="383" t="n"/>
      <c r="H26" s="383" t="n"/>
      <c r="I26" s="383" t="n"/>
      <c r="J26" s="383" t="n"/>
      <c r="K26" s="383" t="n"/>
      <c r="L26" s="383" t="n"/>
      <c r="M26" s="383" t="n"/>
      <c r="N26" s="383" t="n"/>
      <c r="O26" s="383" t="n"/>
      <c r="P26" s="383" t="n"/>
      <c r="Q26" s="383" t="n"/>
      <c r="R26" s="383" t="n"/>
      <c r="S26" s="383" t="n"/>
      <c r="T26" s="383" t="n"/>
      <c r="U26" s="383" t="n"/>
      <c r="V26" s="383" t="n"/>
      <c r="W26" s="383" t="n"/>
      <c r="AC26" s="726" t="n"/>
    </row>
    <row r="27" ht="3" customHeight="1" s="1883">
      <c r="B27" s="383" t="n"/>
      <c r="C27" s="387" t="n"/>
      <c r="D27" s="387" t="n"/>
      <c r="E27" s="387" t="n"/>
      <c r="F27" s="387" t="n"/>
      <c r="G27" s="387" t="n"/>
      <c r="H27" s="387" t="n"/>
      <c r="I27" s="387" t="n"/>
      <c r="J27" s="1910" t="n"/>
      <c r="K27" s="383" t="n"/>
      <c r="L27" s="383" t="n"/>
      <c r="M27" s="383" t="n"/>
      <c r="N27" s="383" t="n"/>
      <c r="O27" s="383" t="n"/>
      <c r="P27" s="383" t="n"/>
      <c r="Q27" s="383" t="n"/>
      <c r="R27" s="383" t="n"/>
      <c r="S27" s="383" t="n"/>
      <c r="T27" s="383" t="n"/>
      <c r="U27" s="383" t="n"/>
      <c r="V27" s="383" t="n"/>
      <c r="W27" s="383" t="n"/>
      <c r="AC27" s="726" t="n"/>
    </row>
    <row r="28" ht="3" customHeight="1" s="1883">
      <c r="B28" s="383" t="n"/>
      <c r="C28" s="383" t="n"/>
      <c r="D28" s="383" t="n"/>
      <c r="E28" s="383" t="n"/>
      <c r="F28" s="383" t="n"/>
      <c r="G28" s="383" t="n"/>
      <c r="H28" s="383" t="n"/>
      <c r="I28" s="383" t="n"/>
      <c r="J28" s="383" t="n"/>
      <c r="K28" s="383" t="n"/>
      <c r="L28" s="383" t="n"/>
      <c r="M28" s="383" t="n"/>
      <c r="N28" s="383" t="n"/>
      <c r="O28" s="383" t="n"/>
      <c r="P28" s="383" t="n"/>
      <c r="Q28" s="383" t="n"/>
      <c r="R28" s="383" t="n"/>
      <c r="S28" s="383" t="n"/>
      <c r="T28" s="383" t="n"/>
      <c r="U28" s="383" t="n"/>
      <c r="V28" s="383" t="n"/>
      <c r="W28" s="383" t="n"/>
      <c r="AC28" s="726" t="n"/>
    </row>
    <row r="29" ht="15" customHeight="1" s="1883">
      <c r="B29" s="809" t="inlineStr">
        <is>
          <t>√</t>
        </is>
      </c>
      <c r="C29" s="590" t="inlineStr">
        <is>
          <t>●</t>
        </is>
      </c>
      <c r="D29" s="583" t="inlineStr">
        <is>
          <t>Total Headcount</t>
        </is>
      </c>
      <c r="E29" s="383" t="n"/>
      <c r="F29" s="383" t="n"/>
      <c r="G29" s="383" t="n"/>
      <c r="H29" s="383" t="n"/>
      <c r="I29" s="383" t="n"/>
      <c r="J29" s="383" t="n"/>
      <c r="K29" s="803">
        <f>(('5B. HC and Salaries - Mgmt.'!$O$167)+('5C. HC and Salaries - Support'!Y56))</f>
        <v/>
      </c>
      <c r="L29" s="803">
        <f>(('5B. HC and Salaries - Mgmt.'!$O$167)+('5C. HC and Salaries - Support'!Z56))</f>
        <v/>
      </c>
      <c r="M29" s="803">
        <f>(('5B. HC and Salaries - Mgmt.'!$O$167)+('5C. HC and Salaries - Support'!AA56))</f>
        <v/>
      </c>
      <c r="N29" s="803">
        <f>(('5B. HC and Salaries - Mgmt.'!$O$167)+('5C. HC and Salaries - Support'!AE56))</f>
        <v/>
      </c>
      <c r="O29" s="803">
        <f>(('5B. HC and Salaries - Mgmt.'!$O$167)+('5C. HC and Salaries - Support'!AF56))</f>
        <v/>
      </c>
      <c r="P29" s="803">
        <f>(('5B. HC and Salaries - Mgmt.'!$O$167)+('5C. HC and Salaries - Support'!AG56))</f>
        <v/>
      </c>
      <c r="Q29" s="803">
        <f>(('5B. HC and Salaries - Mgmt.'!$O$167)+('5C. HC and Salaries - Support'!AH56))</f>
        <v/>
      </c>
      <c r="R29" s="803">
        <f>(('5B. HC and Salaries - Mgmt.'!$O$167)+('5C. HC and Salaries - Support'!AI56))</f>
        <v/>
      </c>
      <c r="S29" s="803">
        <f>(('5B. HC and Salaries - Mgmt.'!$O$167)+('5C. HC and Salaries - Support'!AJ56))</f>
        <v/>
      </c>
      <c r="T29" s="803">
        <f>(('5B. HC and Salaries - Mgmt.'!$O$167)+('5C. HC and Salaries - Support'!AK56))</f>
        <v/>
      </c>
      <c r="U29" s="803">
        <f>(('5B. HC and Salaries - Mgmt.'!$O$167)+('5C. HC and Salaries - Support'!AL56))</f>
        <v/>
      </c>
      <c r="V29" s="803">
        <f>(('5B. HC and Salaries - Mgmt.'!$O$167)+('5C. HC and Salaries - Support'!AM56))</f>
        <v/>
      </c>
      <c r="W29" s="726" t="n"/>
      <c r="X29" s="803">
        <f>(V29)</f>
        <v/>
      </c>
      <c r="Z29" s="813" t="n">
        <v>128</v>
      </c>
      <c r="AA29" s="803">
        <f>((X29)-(Z29))</f>
        <v/>
      </c>
      <c r="AC29" s="726" t="n"/>
    </row>
    <row r="30" ht="15" customHeight="1" s="1883">
      <c r="B30" s="809" t="inlineStr">
        <is>
          <t>√</t>
        </is>
      </c>
      <c r="C30" s="390" t="inlineStr">
        <is>
          <t>●</t>
        </is>
      </c>
      <c r="D30" s="383" t="inlineStr">
        <is>
          <t>Employee Payroll</t>
        </is>
      </c>
      <c r="E30" s="383" t="n"/>
      <c r="F30" s="383" t="n"/>
      <c r="G30" s="383" t="n"/>
      <c r="H30" s="383" t="n"/>
      <c r="I30" s="383" t="n"/>
      <c r="J30" s="383" t="n"/>
      <c r="K30" s="462">
        <f>'5A. People Cost Roll-Up'!Y47</f>
        <v/>
      </c>
      <c r="L30" s="462">
        <f>'5A. People Cost Roll-Up'!Z47</f>
        <v/>
      </c>
      <c r="M30" s="462">
        <f>'5A. People Cost Roll-Up'!AA47</f>
        <v/>
      </c>
      <c r="N30" s="462">
        <f>'5A. People Cost Roll-Up'!AB47</f>
        <v/>
      </c>
      <c r="O30" s="462">
        <f>'5A. People Cost Roll-Up'!AC47</f>
        <v/>
      </c>
      <c r="P30" s="462">
        <f>'5A. People Cost Roll-Up'!AD47</f>
        <v/>
      </c>
      <c r="Q30" s="462">
        <f>'5A. People Cost Roll-Up'!AE47</f>
        <v/>
      </c>
      <c r="R30" s="462">
        <f>'5A. People Cost Roll-Up'!AF47</f>
        <v/>
      </c>
      <c r="S30" s="462">
        <f>'5A. People Cost Roll-Up'!AG47</f>
        <v/>
      </c>
      <c r="T30" s="462">
        <f>'5A. People Cost Roll-Up'!AH47</f>
        <v/>
      </c>
      <c r="U30" s="462">
        <f>'5A. People Cost Roll-Up'!AI47</f>
        <v/>
      </c>
      <c r="V30" s="462">
        <f>'5A. People Cost Roll-Up'!AJ47</f>
        <v/>
      </c>
      <c r="W30" s="383" t="n"/>
      <c r="X30" s="494">
        <f>SUM(K30:V30)</f>
        <v/>
      </c>
      <c r="Z30" s="702">
        <f>'Pre-Launch - Headcount'!AC70</f>
        <v/>
      </c>
      <c r="AA30" s="702">
        <f>((X30)-(Z30))</f>
        <v/>
      </c>
      <c r="AC30" s="726" t="inlineStr">
        <is>
          <t>Difference reflects payroll (refer to 'Pre-Launch - Headcount' worksheet) omitted from previous forecast</t>
        </is>
      </c>
    </row>
    <row r="31" ht="15" customHeight="1" s="1883">
      <c r="B31" s="809" t="inlineStr">
        <is>
          <t>√</t>
        </is>
      </c>
      <c r="C31" s="390" t="inlineStr">
        <is>
          <t>●</t>
        </is>
      </c>
      <c r="D31" s="383" t="inlineStr">
        <is>
          <t>Employer Payroll Taxes</t>
        </is>
      </c>
      <c r="E31" s="383" t="n"/>
      <c r="F31" s="383" t="n"/>
      <c r="G31" s="383" t="n"/>
      <c r="H31" s="383" t="n"/>
      <c r="I31" s="383" t="n"/>
      <c r="J31" s="383" t="n"/>
      <c r="K31" s="462">
        <f>'5A. People Cost Roll-Up'!Y66</f>
        <v/>
      </c>
      <c r="L31" s="462">
        <f>'5A. People Cost Roll-Up'!Z66</f>
        <v/>
      </c>
      <c r="M31" s="462">
        <f>'5A. People Cost Roll-Up'!AA66</f>
        <v/>
      </c>
      <c r="N31" s="462">
        <f>'5A. People Cost Roll-Up'!AB66</f>
        <v/>
      </c>
      <c r="O31" s="462">
        <f>'5A. People Cost Roll-Up'!AC66</f>
        <v/>
      </c>
      <c r="P31" s="462">
        <f>'5A. People Cost Roll-Up'!AD66</f>
        <v/>
      </c>
      <c r="Q31" s="462">
        <f>'5A. People Cost Roll-Up'!AE66</f>
        <v/>
      </c>
      <c r="R31" s="462">
        <f>'5A. People Cost Roll-Up'!AF66</f>
        <v/>
      </c>
      <c r="S31" s="462">
        <f>'5A. People Cost Roll-Up'!AG66</f>
        <v/>
      </c>
      <c r="T31" s="462">
        <f>'5A. People Cost Roll-Up'!AH66</f>
        <v/>
      </c>
      <c r="U31" s="462">
        <f>'5A. People Cost Roll-Up'!AI66</f>
        <v/>
      </c>
      <c r="V31" s="462">
        <f>'5A. People Cost Roll-Up'!AJ66</f>
        <v/>
      </c>
      <c r="W31" s="383" t="n"/>
      <c r="X31" s="494">
        <f>SUM(K31:V31)</f>
        <v/>
      </c>
      <c r="Z31" s="702">
        <f>SUM('Pre-Launch - Headcount'!S84:AA84)</f>
        <v/>
      </c>
      <c r="AA31" s="702">
        <f>((X31)-(Z31))</f>
        <v/>
      </c>
      <c r="AC31" s="726" t="inlineStr">
        <is>
          <t>Employer payroll taxes associated with missing salaries; OCONUS employer payroll taxes assumed to be 10% (vs. US at 9%</t>
        </is>
      </c>
    </row>
    <row r="32" ht="15" customHeight="1" s="1883">
      <c r="B32" s="809" t="inlineStr">
        <is>
          <t>√</t>
        </is>
      </c>
      <c r="C32" s="390" t="inlineStr">
        <is>
          <t>●</t>
        </is>
      </c>
      <c r="D32" s="383" t="inlineStr">
        <is>
          <t>Employee Benefits</t>
        </is>
      </c>
      <c r="E32" s="383" t="n"/>
      <c r="F32" s="383" t="n"/>
      <c r="G32" s="383" t="n"/>
      <c r="H32" s="383" t="n"/>
      <c r="I32" s="383" t="n"/>
      <c r="J32" s="383" t="n"/>
      <c r="K32" s="462">
        <f>'5A. People Cost Roll-Up'!Y88</f>
        <v/>
      </c>
      <c r="L32" s="462">
        <f>'5A. People Cost Roll-Up'!Z88</f>
        <v/>
      </c>
      <c r="M32" s="462">
        <f>'5A. People Cost Roll-Up'!AA88</f>
        <v/>
      </c>
      <c r="N32" s="462">
        <f>'5A. People Cost Roll-Up'!AB88</f>
        <v/>
      </c>
      <c r="O32" s="462">
        <f>'5A. People Cost Roll-Up'!AC88</f>
        <v/>
      </c>
      <c r="P32" s="462">
        <f>'5A. People Cost Roll-Up'!AD88</f>
        <v/>
      </c>
      <c r="Q32" s="462">
        <f>'5A. People Cost Roll-Up'!AE88</f>
        <v/>
      </c>
      <c r="R32" s="462">
        <f>'5A. People Cost Roll-Up'!AF88</f>
        <v/>
      </c>
      <c r="S32" s="462">
        <f>'5A. People Cost Roll-Up'!AG88</f>
        <v/>
      </c>
      <c r="T32" s="462">
        <f>'5A. People Cost Roll-Up'!AH88</f>
        <v/>
      </c>
      <c r="U32" s="462">
        <f>'5A. People Cost Roll-Up'!AI88</f>
        <v/>
      </c>
      <c r="V32" s="462">
        <f>'5A. People Cost Roll-Up'!AJ88</f>
        <v/>
      </c>
      <c r="W32" s="383" t="n"/>
      <c r="X32" s="494">
        <f>SUM(K32:V32)</f>
        <v/>
      </c>
      <c r="Z32" s="702">
        <f>SUM('Pre-Launch - Headcount'!S82:AA82)</f>
        <v/>
      </c>
      <c r="AA32" s="702">
        <f>((X32)-(Z32))</f>
        <v/>
      </c>
      <c r="AC32" s="726" t="inlineStr">
        <is>
          <t>Prior model used benefits rate of 28%, which was too high; benefits rate reduced to 20% for CONUS employees and 10% for OCONUS employees</t>
        </is>
      </c>
    </row>
    <row r="35" ht="15" customHeight="1" s="1883">
      <c r="B35" s="383" t="n"/>
      <c r="C35" s="383" t="n"/>
      <c r="E35" s="385" t="inlineStr">
        <is>
          <t>Total People Cost</t>
        </is>
      </c>
      <c r="F35" s="383" t="n"/>
      <c r="G35" s="383" t="n"/>
      <c r="H35" s="383" t="n"/>
      <c r="I35" s="383" t="n"/>
      <c r="J35" s="383" t="n"/>
      <c r="K35" s="494">
        <f>SUM(K30:K32)</f>
        <v/>
      </c>
      <c r="L35" s="494">
        <f>SUM(L30:L32)</f>
        <v/>
      </c>
      <c r="M35" s="494">
        <f>SUM(M30:M32)</f>
        <v/>
      </c>
      <c r="N35" s="494">
        <f>SUM(N30:N32)</f>
        <v/>
      </c>
      <c r="O35" s="494">
        <f>SUM(O30:O32)</f>
        <v/>
      </c>
      <c r="P35" s="494">
        <f>SUM(P30:P32)</f>
        <v/>
      </c>
      <c r="Q35" s="494">
        <f>SUM(Q30:Q32)</f>
        <v/>
      </c>
      <c r="R35" s="494">
        <f>SUM(R30:R32)</f>
        <v/>
      </c>
      <c r="S35" s="494">
        <f>SUM(S30:S32)</f>
        <v/>
      </c>
      <c r="T35" s="494">
        <f>SUM(T30:T32)</f>
        <v/>
      </c>
      <c r="U35" s="494">
        <f>SUM(U30:U32)</f>
        <v/>
      </c>
      <c r="V35" s="494">
        <f>SUM(V30:V32)</f>
        <v/>
      </c>
      <c r="W35" s="383" t="n"/>
      <c r="X35" s="494">
        <f>SUM(X30:X32)</f>
        <v/>
      </c>
      <c r="Z35" s="494">
        <f>SUM(Z30:Z32)</f>
        <v/>
      </c>
      <c r="AA35" s="494">
        <f>SUM(AA30:AA32)</f>
        <v/>
      </c>
      <c r="AC35" s="726" t="n"/>
    </row>
    <row r="36" ht="3" customHeight="1" s="1883">
      <c r="B36" s="383" t="n"/>
      <c r="C36" s="383" t="n"/>
      <c r="D36" s="383" t="n"/>
      <c r="E36" s="383" t="n"/>
      <c r="F36" s="383" t="n"/>
      <c r="G36" s="383" t="n"/>
      <c r="H36" s="383" t="n"/>
      <c r="I36" s="383" t="n"/>
      <c r="J36" s="383" t="n"/>
      <c r="K36" s="387" t="n"/>
      <c r="L36" s="387" t="n"/>
      <c r="M36" s="387" t="n"/>
      <c r="N36" s="387" t="n"/>
      <c r="O36" s="387" t="n"/>
      <c r="P36" s="387" t="n"/>
      <c r="Q36" s="387" t="n"/>
      <c r="R36" s="387" t="n"/>
      <c r="S36" s="387" t="n"/>
      <c r="T36" s="387" t="n"/>
      <c r="U36" s="387" t="n"/>
      <c r="V36" s="387" t="n"/>
      <c r="W36" s="383" t="n"/>
      <c r="X36" s="387" t="n"/>
      <c r="Z36" s="628" t="n"/>
      <c r="AA36" s="628" t="n"/>
      <c r="AC36" s="726" t="n"/>
    </row>
    <row r="37" ht="3" customHeight="1" s="1883">
      <c r="B37" s="383" t="n"/>
      <c r="C37" s="383" t="n"/>
      <c r="D37" s="383" t="n"/>
      <c r="E37" s="383" t="n"/>
      <c r="F37" s="383" t="n"/>
      <c r="G37" s="383" t="n"/>
      <c r="H37" s="383" t="n"/>
      <c r="I37" s="383" t="n"/>
      <c r="J37" s="383" t="n"/>
      <c r="K37" s="383" t="n"/>
      <c r="L37" s="383" t="n"/>
      <c r="M37" s="383" t="n"/>
      <c r="N37" s="383" t="n"/>
      <c r="O37" s="383" t="n"/>
      <c r="P37" s="383" t="n"/>
      <c r="Q37" s="383" t="n"/>
      <c r="R37" s="383" t="n"/>
      <c r="S37" s="383" t="n"/>
      <c r="T37" s="383" t="n"/>
      <c r="U37" s="383" t="n"/>
      <c r="V37" s="383" t="n"/>
      <c r="W37" s="383" t="n"/>
      <c r="X37" s="383" t="n"/>
      <c r="AC37" s="726" t="n"/>
    </row>
    <row r="38" ht="15" customHeight="1" s="1883">
      <c r="B38" s="383" t="n"/>
      <c r="C38" s="383" t="n"/>
      <c r="D38" s="383" t="n"/>
      <c r="E38" s="383" t="n"/>
      <c r="F38" s="383" t="n"/>
      <c r="G38" s="383" t="n"/>
      <c r="H38" s="383" t="n"/>
      <c r="I38" s="383" t="n"/>
      <c r="J38" s="383" t="n"/>
      <c r="K38" s="462" t="n"/>
      <c r="L38" s="462" t="n"/>
      <c r="M38" s="462" t="n"/>
      <c r="N38" s="462" t="n"/>
      <c r="O38" s="462" t="n"/>
      <c r="P38" s="462" t="n"/>
      <c r="Q38" s="462" t="n"/>
      <c r="R38" s="462" t="n"/>
      <c r="S38" s="462" t="n"/>
      <c r="T38" s="462" t="n"/>
      <c r="U38" s="462" t="n"/>
      <c r="V38" s="462" t="n"/>
      <c r="W38" s="462" t="n"/>
      <c r="X38" s="507" t="n"/>
      <c r="AC38" s="726" t="n"/>
    </row>
    <row r="39" ht="15" customHeight="1" s="1883">
      <c r="A39" s="1641" t="n"/>
      <c r="B39" s="809" t="inlineStr">
        <is>
          <t>√</t>
        </is>
      </c>
      <c r="C39" s="385" t="inlineStr">
        <is>
          <t>Research and Development</t>
        </is>
      </c>
      <c r="D39" s="383" t="n"/>
      <c r="E39" s="383" t="n"/>
      <c r="F39" s="383" t="n"/>
      <c r="G39" s="383" t="n"/>
      <c r="H39" s="383" t="n"/>
      <c r="I39" s="383" t="n"/>
      <c r="J39" s="386" t="n"/>
      <c r="K39" s="494">
        <f>(('6B. Pre-Launch Exps. - Detail'!F80)-('6B. Pre-Launch Exps. - Detail'!F72))</f>
        <v/>
      </c>
      <c r="L39" s="494">
        <f>(('6B. Pre-Launch Exps. - Detail'!G80)-('6B. Pre-Launch Exps. - Detail'!G72))</f>
        <v/>
      </c>
      <c r="M39" s="494">
        <f>(('6B. Pre-Launch Exps. - Detail'!H80)-('6B. Pre-Launch Exps. - Detail'!H72))</f>
        <v/>
      </c>
      <c r="N39" s="494">
        <f>(('6B. Pre-Launch Exps. - Detail'!I80)-('6B. Pre-Launch Exps. - Detail'!I72))</f>
        <v/>
      </c>
      <c r="O39" s="494">
        <f>(('6B. Pre-Launch Exps. - Detail'!J80)-('6B. Pre-Launch Exps. - Detail'!J72))</f>
        <v/>
      </c>
      <c r="P39" s="494">
        <f>(('6B. Pre-Launch Exps. - Detail'!K80)-('6B. Pre-Launch Exps. - Detail'!K72))</f>
        <v/>
      </c>
      <c r="Q39" s="494">
        <f>(('6B. Pre-Launch Exps. - Detail'!L80)-('6B. Pre-Launch Exps. - Detail'!L72))</f>
        <v/>
      </c>
      <c r="R39" s="494">
        <f>(('6B. Pre-Launch Exps. - Detail'!M80)-('6B. Pre-Launch Exps. - Detail'!M72))</f>
        <v/>
      </c>
      <c r="S39" s="494">
        <f>(('6B. Pre-Launch Exps. - Detail'!N80)-('6B. Pre-Launch Exps. - Detail'!N72))</f>
        <v/>
      </c>
      <c r="T39" s="494">
        <f>(('6B. Pre-Launch Exps. - Detail'!O80)-('6B. Pre-Launch Exps. - Detail'!O72))</f>
        <v/>
      </c>
      <c r="U39" s="494">
        <f>(('6B. Pre-Launch Exps. - Detail'!P80)-('6B. Pre-Launch Exps. - Detail'!P72))</f>
        <v/>
      </c>
      <c r="V39" s="494">
        <f>(('6B. Pre-Launch Exps. - Detail'!Q80)-('6B. Pre-Launch Exps. - Detail'!Q72))</f>
        <v/>
      </c>
      <c r="W39" s="462" t="n"/>
      <c r="X39" s="494">
        <f>SUM(K39:V39)</f>
        <v/>
      </c>
      <c r="Z39" s="765">
        <f>(X39)</f>
        <v/>
      </c>
      <c r="AA39" s="765">
        <f>((X39)-(Z39))</f>
        <v/>
      </c>
      <c r="AC39" s="702" t="n"/>
      <c r="AE39" s="507">
        <f>Z41+Z39</f>
        <v/>
      </c>
    </row>
    <row r="40" ht="15" customHeight="1" s="1883">
      <c r="B40" s="383" t="n"/>
      <c r="C40" s="383" t="n"/>
      <c r="D40" s="383" t="n"/>
      <c r="E40" s="383" t="n"/>
      <c r="F40" s="383" t="n"/>
      <c r="G40" s="383" t="n"/>
      <c r="H40" s="383" t="n"/>
      <c r="I40" s="383" t="n"/>
      <c r="J40" s="383" t="n"/>
      <c r="K40" s="462" t="n"/>
      <c r="L40" s="462" t="n"/>
      <c r="M40" s="462" t="n"/>
      <c r="N40" s="462" t="n"/>
      <c r="O40" s="462" t="n"/>
      <c r="P40" s="462" t="n"/>
      <c r="Q40" s="462" t="n"/>
      <c r="R40" s="462" t="n"/>
      <c r="S40" s="462" t="n"/>
      <c r="T40" s="462" t="n"/>
      <c r="U40" s="462" t="n"/>
      <c r="V40" s="462" t="n"/>
      <c r="W40" s="462" t="n"/>
      <c r="X40" s="507" t="n"/>
      <c r="Z40" s="702" t="n"/>
      <c r="AA40" s="658" t="n"/>
      <c r="AC40" s="726" t="n"/>
    </row>
    <row r="41" ht="15" customHeight="1" s="1883">
      <c r="A41" s="1641" t="n"/>
      <c r="B41" s="809" t="inlineStr">
        <is>
          <t>√</t>
        </is>
      </c>
      <c r="C41" s="385" t="inlineStr">
        <is>
          <t>Telephone Cost of Goods Sold</t>
        </is>
      </c>
      <c r="D41" s="385" t="n"/>
      <c r="E41" s="385" t="n"/>
      <c r="F41" s="385" t="n"/>
      <c r="G41" s="385" t="n"/>
      <c r="H41" s="385" t="n"/>
      <c r="I41" s="385" t="n"/>
      <c r="J41" s="383" t="n"/>
      <c r="K41" s="494">
        <f>'6B. Pre-Launch Exps. - Detail'!F72</f>
        <v/>
      </c>
      <c r="L41" s="494">
        <f>'6B. Pre-Launch Exps. - Detail'!G72</f>
        <v/>
      </c>
      <c r="M41" s="494">
        <f>'6B. Pre-Launch Exps. - Detail'!H72</f>
        <v/>
      </c>
      <c r="N41" s="494">
        <f>'6B. Pre-Launch Exps. - Detail'!I72</f>
        <v/>
      </c>
      <c r="O41" s="494">
        <f>'6B. Pre-Launch Exps. - Detail'!J72</f>
        <v/>
      </c>
      <c r="P41" s="494">
        <f>'6B. Pre-Launch Exps. - Detail'!K72</f>
        <v/>
      </c>
      <c r="Q41" s="494">
        <f>'6B. Pre-Launch Exps. - Detail'!L72</f>
        <v/>
      </c>
      <c r="R41" s="494">
        <f>'6B. Pre-Launch Exps. - Detail'!M72</f>
        <v/>
      </c>
      <c r="S41" s="494">
        <f>'6B. Pre-Launch Exps. - Detail'!N72</f>
        <v/>
      </c>
      <c r="T41" s="494">
        <f>'6B. Pre-Launch Exps. - Detail'!O72</f>
        <v/>
      </c>
      <c r="U41" s="494">
        <f>'6B. Pre-Launch Exps. - Detail'!P72</f>
        <v/>
      </c>
      <c r="V41" s="494">
        <f>'6B. Pre-Launch Exps. - Detail'!Q72</f>
        <v/>
      </c>
      <c r="W41" s="462" t="n"/>
      <c r="X41" s="494">
        <f>SUM(K41:V41)</f>
        <v/>
      </c>
      <c r="Z41" s="765">
        <f>(X41)</f>
        <v/>
      </c>
      <c r="AA41" s="765">
        <f>((X41)-(Z41))</f>
        <v/>
      </c>
      <c r="AC41" s="726" t="n"/>
    </row>
    <row r="42" ht="15" customHeight="1" s="1883">
      <c r="B42" s="383" t="n"/>
      <c r="C42" s="383" t="n"/>
      <c r="D42" s="383" t="n"/>
      <c r="E42" s="383" t="n"/>
      <c r="F42" s="383" t="n"/>
      <c r="G42" s="383" t="n"/>
      <c r="H42" s="383" t="n"/>
      <c r="I42" s="383" t="n"/>
      <c r="J42" s="383" t="n"/>
      <c r="K42" s="462" t="n"/>
      <c r="L42" s="462" t="n"/>
      <c r="M42" s="462" t="n"/>
      <c r="N42" s="462" t="n"/>
      <c r="O42" s="462" t="n"/>
      <c r="P42" s="462" t="n"/>
      <c r="Q42" s="462" t="n"/>
      <c r="R42" s="462" t="n"/>
      <c r="S42" s="462" t="n"/>
      <c r="T42" s="462" t="n"/>
      <c r="U42" s="462" t="n"/>
      <c r="V42" s="462" t="n"/>
      <c r="W42" s="462" t="n"/>
      <c r="X42" s="507" t="n"/>
      <c r="Z42" s="702" t="n"/>
      <c r="AC42" s="726" t="n"/>
    </row>
    <row r="43" ht="15" customHeight="1" s="1883">
      <c r="A43" s="1641" t="n"/>
      <c r="B43" s="383" t="n"/>
      <c r="C43" s="385" t="inlineStr">
        <is>
          <t>Sales and Marketing</t>
        </is>
      </c>
      <c r="D43" s="383" t="n"/>
      <c r="E43" s="383" t="n"/>
      <c r="F43" s="383" t="n"/>
      <c r="G43" s="383" t="n"/>
      <c r="H43" s="383" t="n"/>
      <c r="I43" s="383" t="n"/>
      <c r="J43" s="383" t="n"/>
      <c r="K43" s="462" t="n"/>
      <c r="L43" s="462" t="n"/>
      <c r="M43" s="462" t="n"/>
      <c r="N43" s="462" t="n"/>
      <c r="O43" s="462" t="n"/>
      <c r="P43" s="462" t="n"/>
      <c r="Q43" s="462" t="n"/>
      <c r="R43" s="462" t="n"/>
      <c r="S43" s="462" t="n"/>
      <c r="T43" s="462" t="n"/>
      <c r="U43" s="462" t="n"/>
      <c r="V43" s="462" t="n"/>
      <c r="W43" s="462" t="n"/>
      <c r="X43" s="507" t="n"/>
      <c r="Z43" s="702" t="n"/>
      <c r="AC43" s="726" t="n"/>
    </row>
    <row r="44" ht="15" customHeight="1" s="1883">
      <c r="B44" s="809" t="inlineStr">
        <is>
          <t>√</t>
        </is>
      </c>
      <c r="C44" s="590" t="inlineStr">
        <is>
          <t>●</t>
        </is>
      </c>
      <c r="D44" s="583" t="inlineStr">
        <is>
          <t>Sales and Marketing Headcount</t>
        </is>
      </c>
      <c r="E44" s="383" t="n"/>
      <c r="F44" s="383" t="n"/>
      <c r="G44" s="383" t="n"/>
      <c r="H44" s="383" t="n"/>
      <c r="I44" s="383" t="n"/>
      <c r="J44" s="383" t="n"/>
      <c r="K44" s="803">
        <f>(('5B. HC and Salaries - Mgmt.'!$O$172)+('5C. HC and Salaries - Support'!Y60))</f>
        <v/>
      </c>
      <c r="L44" s="803">
        <f>(('5B. HC and Salaries - Mgmt.'!$O$172)+('5C. HC and Salaries - Support'!Z60))</f>
        <v/>
      </c>
      <c r="M44" s="803">
        <f>(('5B. HC and Salaries - Mgmt.'!$O$172)+('5C. HC and Salaries - Support'!AA60))</f>
        <v/>
      </c>
      <c r="N44" s="803">
        <f>(('5B. HC and Salaries - Mgmt.'!$O$172)+('5C. HC and Salaries - Support'!AE60))</f>
        <v/>
      </c>
      <c r="O44" s="803">
        <f>(('5B. HC and Salaries - Mgmt.'!$O$172)+('5C. HC and Salaries - Support'!AF60))</f>
        <v/>
      </c>
      <c r="P44" s="803">
        <f>(('5B. HC and Salaries - Mgmt.'!$O$172)+('5C. HC and Salaries - Support'!AG60))</f>
        <v/>
      </c>
      <c r="Q44" s="803">
        <f>(('5B. HC and Salaries - Mgmt.'!$O$172)+('5C. HC and Salaries - Support'!AH60))</f>
        <v/>
      </c>
      <c r="R44" s="803">
        <f>(('5B. HC and Salaries - Mgmt.'!$O$172)+('5C. HC and Salaries - Support'!AI60))</f>
        <v/>
      </c>
      <c r="S44" s="803">
        <f>(('5B. HC and Salaries - Mgmt.'!$O$172)+('5C. HC and Salaries - Support'!AJ60))</f>
        <v/>
      </c>
      <c r="T44" s="803">
        <f>(('5B. HC and Salaries - Mgmt.'!$O$172)+('5C. HC and Salaries - Support'!AK60))</f>
        <v/>
      </c>
      <c r="U44" s="803">
        <f>(('5B. HC and Salaries - Mgmt.'!$O$172)+('5C. HC and Salaries - Support'!AL60))</f>
        <v/>
      </c>
      <c r="V44" s="803">
        <f>(('5B. HC and Salaries - Mgmt.'!$O$172)+('5C. HC and Salaries - Support'!AM60))</f>
        <v/>
      </c>
      <c r="W44" s="702" t="n"/>
      <c r="X44" s="803">
        <f>(V44)</f>
        <v/>
      </c>
      <c r="Z44" s="803" t="n">
        <v>8</v>
      </c>
      <c r="AA44" s="803">
        <f>((X44)-(Z44))</f>
        <v/>
      </c>
      <c r="AC44" s="726" t="inlineStr">
        <is>
          <t>Prior model misstated number of employees associated with sales and marketing</t>
        </is>
      </c>
    </row>
    <row r="45" ht="15" customHeight="1" s="1883">
      <c r="B45" s="809" t="inlineStr">
        <is>
          <t>√</t>
        </is>
      </c>
      <c r="C45" s="390" t="inlineStr">
        <is>
          <t>●</t>
        </is>
      </c>
      <c r="D45" s="383" t="inlineStr">
        <is>
          <t>Traditional Advertising and Marketing</t>
        </is>
      </c>
      <c r="E45" s="383" t="n"/>
      <c r="F45" s="383" t="n"/>
      <c r="G45" s="383" t="n"/>
      <c r="H45" s="383" t="n"/>
      <c r="I45" s="383" t="n"/>
      <c r="J45" s="386" t="n"/>
      <c r="K45" s="462">
        <f>(('6B. Pre-Launch Exps. - Detail'!F57)-('6B. Pre-Launch Exps. - Detail'!F45)-('6B. Pre-Launch Exps. - Detail'!F55)-('6B. Pre-Launch Exps. - Detail'!F44)-('6B. Pre-Launch Exps. - Detail'!F56-'6B. Pre-Launch Exps. - Detail'!F54))</f>
        <v/>
      </c>
      <c r="L45" s="462">
        <f>(('6B. Pre-Launch Exps. - Detail'!G57)-('6B. Pre-Launch Exps. - Detail'!G45)-('6B. Pre-Launch Exps. - Detail'!G55)-('6B. Pre-Launch Exps. - Detail'!G44)-('6B. Pre-Launch Exps. - Detail'!G56-'6B. Pre-Launch Exps. - Detail'!G54))</f>
        <v/>
      </c>
      <c r="M45" s="462">
        <f>(('6B. Pre-Launch Exps. - Detail'!H57)-('6B. Pre-Launch Exps. - Detail'!H45)-('6B. Pre-Launch Exps. - Detail'!H55)-('6B. Pre-Launch Exps. - Detail'!H44)-('6B. Pre-Launch Exps. - Detail'!H56-'6B. Pre-Launch Exps. - Detail'!H54))</f>
        <v/>
      </c>
      <c r="N45" s="462">
        <f>(('6B. Pre-Launch Exps. - Detail'!I57)-('6B. Pre-Launch Exps. - Detail'!I45)-('6B. Pre-Launch Exps. - Detail'!I55)-('6B. Pre-Launch Exps. - Detail'!I44)-('6B. Pre-Launch Exps. - Detail'!I56-'6B. Pre-Launch Exps. - Detail'!I54))</f>
        <v/>
      </c>
      <c r="O45" s="462">
        <f>(('6B. Pre-Launch Exps. - Detail'!J57)-('6B. Pre-Launch Exps. - Detail'!J45)-('6B. Pre-Launch Exps. - Detail'!J55)-('6B. Pre-Launch Exps. - Detail'!J44)-('6B. Pre-Launch Exps. - Detail'!J56-'6B. Pre-Launch Exps. - Detail'!J54))</f>
        <v/>
      </c>
      <c r="P45" s="462">
        <f>(('6B. Pre-Launch Exps. - Detail'!K57)-('6B. Pre-Launch Exps. - Detail'!K45)-('6B. Pre-Launch Exps. - Detail'!K55)-('6B. Pre-Launch Exps. - Detail'!K44)-('6B. Pre-Launch Exps. - Detail'!K56-'6B. Pre-Launch Exps. - Detail'!K54))</f>
        <v/>
      </c>
      <c r="Q45" s="462">
        <f>(('6B. Pre-Launch Exps. - Detail'!L57)-('6B. Pre-Launch Exps. - Detail'!L45)-('6B. Pre-Launch Exps. - Detail'!L55)-('6B. Pre-Launch Exps. - Detail'!L44)-('6B. Pre-Launch Exps. - Detail'!L56-'6B. Pre-Launch Exps. - Detail'!L54))</f>
        <v/>
      </c>
      <c r="R45" s="462">
        <f>(('6B. Pre-Launch Exps. - Detail'!M57)-('6B. Pre-Launch Exps. - Detail'!M45)-('6B. Pre-Launch Exps. - Detail'!M55)-('6B. Pre-Launch Exps. - Detail'!M44)-('6B. Pre-Launch Exps. - Detail'!M56-'6B. Pre-Launch Exps. - Detail'!M54))</f>
        <v/>
      </c>
      <c r="S45" s="462">
        <f>(('6B. Pre-Launch Exps. - Detail'!N57)-('6B. Pre-Launch Exps. - Detail'!N45)-('6B. Pre-Launch Exps. - Detail'!N55)-('6B. Pre-Launch Exps. - Detail'!N44)-('6B. Pre-Launch Exps. - Detail'!N56-'6B. Pre-Launch Exps. - Detail'!N54))</f>
        <v/>
      </c>
      <c r="T45" s="462">
        <f>(('6B. Pre-Launch Exps. - Detail'!O57)-('6B. Pre-Launch Exps. - Detail'!O45)-('6B. Pre-Launch Exps. - Detail'!O55)-('6B. Pre-Launch Exps. - Detail'!O44)-('6B. Pre-Launch Exps. - Detail'!O56-'6B. Pre-Launch Exps. - Detail'!O54))</f>
        <v/>
      </c>
      <c r="U45" s="462">
        <f>(('6B. Pre-Launch Exps. - Detail'!P57)-('6B. Pre-Launch Exps. - Detail'!P45)-('6B. Pre-Launch Exps. - Detail'!P55)-('6B. Pre-Launch Exps. - Detail'!P44)-('6B. Pre-Launch Exps. - Detail'!P56-'6B. Pre-Launch Exps. - Detail'!P54))</f>
        <v/>
      </c>
      <c r="V45" s="462">
        <f>(('6B. Pre-Launch Exps. - Detail'!Q57)-('6B. Pre-Launch Exps. - Detail'!Q45)-('6B. Pre-Launch Exps. - Detail'!Q55)-('6B. Pre-Launch Exps. - Detail'!Q44)-('6B. Pre-Launch Exps. - Detail'!Q56-'6B. Pre-Launch Exps. - Detail'!Q54))</f>
        <v/>
      </c>
      <c r="W45" s="462" t="n"/>
      <c r="X45" s="494">
        <f>SUM(K45:V45)</f>
        <v/>
      </c>
      <c r="Z45" s="702">
        <f>(X45)</f>
        <v/>
      </c>
      <c r="AA45" s="765">
        <f>((X45)-(Z45))</f>
        <v/>
      </c>
      <c r="AC45" s="726" t="n">
        <v>56</v>
      </c>
    </row>
    <row r="46" ht="15" customHeight="1" s="1883">
      <c r="B46" s="809" t="inlineStr">
        <is>
          <t>√</t>
        </is>
      </c>
      <c r="C46" s="390" t="inlineStr">
        <is>
          <t>●</t>
        </is>
      </c>
      <c r="D46" s="383" t="inlineStr">
        <is>
          <t>Social Media, Including Influencers</t>
        </is>
      </c>
      <c r="E46" s="383" t="n"/>
      <c r="F46" s="383" t="n"/>
      <c r="G46" s="383" t="n"/>
      <c r="H46" s="383" t="n"/>
      <c r="I46" s="383" t="n"/>
      <c r="J46" s="386" t="n"/>
      <c r="K46" s="462">
        <f>('6B. Pre-Launch Exps. - Detail'!F45)</f>
        <v/>
      </c>
      <c r="L46" s="462">
        <f>('6B. Pre-Launch Exps. - Detail'!G45)</f>
        <v/>
      </c>
      <c r="M46" s="462">
        <f>('6B. Pre-Launch Exps. - Detail'!H45)</f>
        <v/>
      </c>
      <c r="N46" s="462">
        <f>('6B. Pre-Launch Exps. - Detail'!I45)</f>
        <v/>
      </c>
      <c r="O46" s="462">
        <f>('6B. Pre-Launch Exps. - Detail'!J45)</f>
        <v/>
      </c>
      <c r="P46" s="462">
        <f>('6B. Pre-Launch Exps. - Detail'!K45)</f>
        <v/>
      </c>
      <c r="Q46" s="462">
        <f>('6B. Pre-Launch Exps. - Detail'!L45)</f>
        <v/>
      </c>
      <c r="R46" s="462">
        <f>('6B. Pre-Launch Exps. - Detail'!M45)</f>
        <v/>
      </c>
      <c r="S46" s="462">
        <f>('6B. Pre-Launch Exps. - Detail'!N45)</f>
        <v/>
      </c>
      <c r="T46" s="462">
        <f>('6B. Pre-Launch Exps. - Detail'!O45)</f>
        <v/>
      </c>
      <c r="U46" s="462">
        <f>('6B. Pre-Launch Exps. - Detail'!P45)</f>
        <v/>
      </c>
      <c r="V46" s="462">
        <f>('6B. Pre-Launch Exps. - Detail'!Q45)</f>
        <v/>
      </c>
      <c r="W46" s="462" t="n"/>
      <c r="X46" s="494">
        <f>SUM(K46:V46)</f>
        <v/>
      </c>
      <c r="Z46" s="702">
        <f>(X46)</f>
        <v/>
      </c>
      <c r="AA46" s="765">
        <f>((X46)-(Z46))</f>
        <v/>
      </c>
      <c r="AC46" s="1648" t="n"/>
    </row>
    <row r="47" ht="15" customHeight="1" s="1883">
      <c r="B47" s="809" t="inlineStr">
        <is>
          <t>√</t>
        </is>
      </c>
      <c r="C47" s="390" t="inlineStr">
        <is>
          <t>●</t>
        </is>
      </c>
      <c r="D47" s="383" t="inlineStr">
        <is>
          <t>Digital Marketing</t>
        </is>
      </c>
      <c r="E47" s="383" t="n"/>
      <c r="F47" s="383" t="n"/>
      <c r="G47" s="383" t="n"/>
      <c r="H47" s="383" t="n"/>
      <c r="I47" s="383" t="n"/>
      <c r="J47" s="386" t="n"/>
      <c r="K47" s="462">
        <f>('6B. Pre-Launch Exps. - Detail'!F44)</f>
        <v/>
      </c>
      <c r="L47" s="462">
        <f>('6B. Pre-Launch Exps. - Detail'!G44)</f>
        <v/>
      </c>
      <c r="M47" s="462">
        <f>('6B. Pre-Launch Exps. - Detail'!H44)</f>
        <v/>
      </c>
      <c r="N47" s="462">
        <f>('6B. Pre-Launch Exps. - Detail'!I44)</f>
        <v/>
      </c>
      <c r="O47" s="462">
        <f>('6B. Pre-Launch Exps. - Detail'!J44)</f>
        <v/>
      </c>
      <c r="P47" s="462">
        <f>('6B. Pre-Launch Exps. - Detail'!K44)</f>
        <v/>
      </c>
      <c r="Q47" s="462">
        <f>('6B. Pre-Launch Exps. - Detail'!L44)</f>
        <v/>
      </c>
      <c r="R47" s="462">
        <f>('6B. Pre-Launch Exps. - Detail'!M44)</f>
        <v/>
      </c>
      <c r="S47" s="462">
        <f>('6B. Pre-Launch Exps. - Detail'!N44)</f>
        <v/>
      </c>
      <c r="T47" s="462">
        <f>('6B. Pre-Launch Exps. - Detail'!O44)</f>
        <v/>
      </c>
      <c r="U47" s="462">
        <f>('6B. Pre-Launch Exps. - Detail'!P44)</f>
        <v/>
      </c>
      <c r="V47" s="462">
        <f>('6B. Pre-Launch Exps. - Detail'!Q44)</f>
        <v/>
      </c>
      <c r="W47" s="462" t="n"/>
      <c r="X47" s="494">
        <f>SUM(K47:V47)</f>
        <v/>
      </c>
      <c r="Z47" s="702">
        <f>(X47)</f>
        <v/>
      </c>
      <c r="AA47" s="765">
        <f>((X47)-(Z47))</f>
        <v/>
      </c>
      <c r="AC47" s="1648" t="n"/>
    </row>
    <row r="48" ht="15" customHeight="1" s="1883">
      <c r="B48" s="809" t="inlineStr">
        <is>
          <t>√</t>
        </is>
      </c>
      <c r="C48" s="390" t="inlineStr">
        <is>
          <t>●</t>
        </is>
      </c>
      <c r="D48" s="383" t="inlineStr">
        <is>
          <t>Product Launch</t>
        </is>
      </c>
      <c r="E48" s="383" t="n"/>
      <c r="F48" s="383" t="n"/>
      <c r="G48" s="383" t="n"/>
      <c r="H48" s="383" t="n"/>
      <c r="I48" s="383" t="n"/>
      <c r="J48" s="386" t="n"/>
      <c r="K48" s="462">
        <f>(('6B. Pre-Launch Exps. - Detail'!F55)+('6B. Pre-Launch Exps. - Detail'!F56))</f>
        <v/>
      </c>
      <c r="L48" s="462">
        <f>(('6B. Pre-Launch Exps. - Detail'!G55)+('6B. Pre-Launch Exps. - Detail'!G56))</f>
        <v/>
      </c>
      <c r="M48" s="462">
        <f>(('6B. Pre-Launch Exps. - Detail'!H55)+('6B. Pre-Launch Exps. - Detail'!H56))</f>
        <v/>
      </c>
      <c r="N48" s="462">
        <f>(('6B. Pre-Launch Exps. - Detail'!I55)+('6B. Pre-Launch Exps. - Detail'!I56))</f>
        <v/>
      </c>
      <c r="O48" s="462">
        <f>(('6B. Pre-Launch Exps. - Detail'!J55)+('6B. Pre-Launch Exps. - Detail'!J56))</f>
        <v/>
      </c>
      <c r="P48" s="462">
        <f>(('6B. Pre-Launch Exps. - Detail'!K55)+('6B. Pre-Launch Exps. - Detail'!K56))</f>
        <v/>
      </c>
      <c r="Q48" s="462">
        <f>(('6B. Pre-Launch Exps. - Detail'!L55)+('6B. Pre-Launch Exps. - Detail'!L56))</f>
        <v/>
      </c>
      <c r="R48" s="462">
        <f>(('6B. Pre-Launch Exps. - Detail'!M55)+('6B. Pre-Launch Exps. - Detail'!M56))</f>
        <v/>
      </c>
      <c r="S48" s="462">
        <f>(('6B. Pre-Launch Exps. - Detail'!N55)+('6B. Pre-Launch Exps. - Detail'!N56))</f>
        <v/>
      </c>
      <c r="T48" s="462">
        <f>(('6B. Pre-Launch Exps. - Detail'!O55)+('6B. Pre-Launch Exps. - Detail'!O56))</f>
        <v/>
      </c>
      <c r="U48" s="462">
        <f>(('6B. Pre-Launch Exps. - Detail'!P55)+('6B. Pre-Launch Exps. - Detail'!P56))</f>
        <v/>
      </c>
      <c r="V48" s="462">
        <f>(('6B. Pre-Launch Exps. - Detail'!Q55)+('6B. Pre-Launch Exps. - Detail'!Q56))</f>
        <v/>
      </c>
      <c r="W48" s="462" t="n"/>
      <c r="X48" s="494">
        <f>SUM(K48:V48)</f>
        <v/>
      </c>
      <c r="Z48" s="702">
        <f>(X48)</f>
        <v/>
      </c>
      <c r="AA48" s="765">
        <f>((X48)-(Z48))</f>
        <v/>
      </c>
      <c r="AC48" s="726" t="n"/>
    </row>
    <row r="49" ht="15" customHeight="1" s="1883">
      <c r="B49" s="809" t="inlineStr">
        <is>
          <t>√</t>
        </is>
      </c>
      <c r="C49" s="390" t="inlineStr">
        <is>
          <t>●</t>
        </is>
      </c>
      <c r="D49" s="383" t="inlineStr">
        <is>
          <t>Travel</t>
        </is>
      </c>
      <c r="E49" s="383" t="n"/>
      <c r="F49" s="383" t="n"/>
      <c r="G49" s="383" t="n"/>
      <c r="H49" s="383" t="n"/>
      <c r="I49" s="383" t="n"/>
      <c r="J49" s="384" t="n"/>
      <c r="K49" s="462">
        <f>SUM('6B. Pre-Launch Exps. - Detail'!F83:F85)</f>
        <v/>
      </c>
      <c r="L49" s="462">
        <f>SUM('6B. Pre-Launch Exps. - Detail'!G83:G85)</f>
        <v/>
      </c>
      <c r="M49" s="462">
        <f>SUM('6B. Pre-Launch Exps. - Detail'!H83:H85)</f>
        <v/>
      </c>
      <c r="N49" s="462">
        <f>SUM('6B. Pre-Launch Exps. - Detail'!I83:I85)</f>
        <v/>
      </c>
      <c r="O49" s="462">
        <f>SUM('6B. Pre-Launch Exps. - Detail'!J83:J85)</f>
        <v/>
      </c>
      <c r="P49" s="462">
        <f>SUM('6B. Pre-Launch Exps. - Detail'!K83:K85)</f>
        <v/>
      </c>
      <c r="Q49" s="462">
        <f>SUM('6B. Pre-Launch Exps. - Detail'!L83:L85)</f>
        <v/>
      </c>
      <c r="R49" s="462">
        <f>SUM('6B. Pre-Launch Exps. - Detail'!M83:M85)</f>
        <v/>
      </c>
      <c r="S49" s="462">
        <f>SUM('6B. Pre-Launch Exps. - Detail'!N83:N85)</f>
        <v/>
      </c>
      <c r="T49" s="462">
        <f>SUM('6B. Pre-Launch Exps. - Detail'!O83:O85)</f>
        <v/>
      </c>
      <c r="U49" s="462">
        <f>SUM('6B. Pre-Launch Exps. - Detail'!P83:P85)</f>
        <v/>
      </c>
      <c r="V49" s="462">
        <f>SUM('6B. Pre-Launch Exps. - Detail'!Q83:Q85)</f>
        <v/>
      </c>
      <c r="W49" s="462" t="n"/>
      <c r="X49" s="494">
        <f>SUM(K49:V49)</f>
        <v/>
      </c>
      <c r="Z49" s="702">
        <f>(X49)</f>
        <v/>
      </c>
      <c r="AA49" s="765">
        <f>((X49)-(Z49))</f>
        <v/>
      </c>
    </row>
    <row r="50" ht="15" customHeight="1" s="1883">
      <c r="B50" s="809" t="inlineStr">
        <is>
          <t>√</t>
        </is>
      </c>
      <c r="C50" s="390" t="inlineStr">
        <is>
          <t>●</t>
        </is>
      </c>
      <c r="D50" s="383" t="inlineStr">
        <is>
          <t>Telephone</t>
        </is>
      </c>
      <c r="E50" s="383" t="n"/>
      <c r="F50" s="383" t="n"/>
      <c r="G50" s="383" t="n"/>
      <c r="H50" s="383" t="n"/>
      <c r="I50" s="383" t="n"/>
      <c r="J50" s="384" t="n"/>
      <c r="K50" s="462">
        <f>'6B. Pre-Launch Exps. - Detail'!F30</f>
        <v/>
      </c>
      <c r="L50" s="462">
        <f>'6B. Pre-Launch Exps. - Detail'!G30</f>
        <v/>
      </c>
      <c r="M50" s="462">
        <f>'6B. Pre-Launch Exps. - Detail'!H30</f>
        <v/>
      </c>
      <c r="N50" s="462">
        <f>'6B. Pre-Launch Exps. - Detail'!I30</f>
        <v/>
      </c>
      <c r="O50" s="462">
        <f>'6B. Pre-Launch Exps. - Detail'!J30</f>
        <v/>
      </c>
      <c r="P50" s="462">
        <f>'6B. Pre-Launch Exps. - Detail'!K30</f>
        <v/>
      </c>
      <c r="Q50" s="462">
        <f>'6B. Pre-Launch Exps. - Detail'!L30</f>
        <v/>
      </c>
      <c r="R50" s="462">
        <f>'6B. Pre-Launch Exps. - Detail'!M30</f>
        <v/>
      </c>
      <c r="S50" s="462">
        <f>'6B. Pre-Launch Exps. - Detail'!N30</f>
        <v/>
      </c>
      <c r="T50" s="462">
        <f>'6B. Pre-Launch Exps. - Detail'!O30</f>
        <v/>
      </c>
      <c r="U50" s="462">
        <f>'6B. Pre-Launch Exps. - Detail'!P30</f>
        <v/>
      </c>
      <c r="V50" s="462">
        <f>'6B. Pre-Launch Exps. - Detail'!Q30</f>
        <v/>
      </c>
      <c r="W50" s="462" t="n"/>
      <c r="X50" s="494">
        <f>SUM(K50:V50)</f>
        <v/>
      </c>
      <c r="Z50" s="702">
        <f>(X50)</f>
        <v/>
      </c>
      <c r="AA50" s="765">
        <f>((X50)-(Z50))</f>
        <v/>
      </c>
    </row>
    <row r="51" ht="3" customHeight="1" s="1883">
      <c r="B51" s="383" t="n"/>
      <c r="C51" s="390" t="n"/>
      <c r="D51" s="383" t="n"/>
      <c r="E51" s="383" t="n"/>
      <c r="F51" s="383" t="n"/>
      <c r="G51" s="383" t="n"/>
      <c r="H51" s="383" t="n"/>
      <c r="I51" s="383" t="n"/>
      <c r="J51" s="383" t="n"/>
      <c r="K51" s="508" t="n"/>
      <c r="L51" s="508" t="n"/>
      <c r="M51" s="508" t="n"/>
      <c r="N51" s="508" t="n"/>
      <c r="O51" s="508" t="n"/>
      <c r="P51" s="508" t="n"/>
      <c r="Q51" s="508" t="n"/>
      <c r="R51" s="508" t="n"/>
      <c r="S51" s="508" t="n"/>
      <c r="T51" s="508" t="n"/>
      <c r="U51" s="508" t="n"/>
      <c r="V51" s="508" t="n"/>
      <c r="W51" s="462" t="n"/>
      <c r="X51" s="640" t="n"/>
      <c r="Z51" s="640" t="n"/>
      <c r="AA51" s="640" t="n"/>
    </row>
    <row r="52" ht="3" customHeight="1" s="1883">
      <c r="B52" s="383" t="n"/>
      <c r="C52" s="390" t="n"/>
      <c r="D52" s="383" t="n"/>
      <c r="E52" s="383" t="n"/>
      <c r="F52" s="383" t="n"/>
      <c r="G52" s="383" t="n"/>
      <c r="H52" s="383" t="n"/>
      <c r="I52" s="383" t="n"/>
      <c r="J52" s="383" t="n"/>
      <c r="K52" s="462" t="n"/>
      <c r="L52" s="462" t="n"/>
      <c r="M52" s="462" t="n"/>
      <c r="N52" s="462" t="n"/>
      <c r="O52" s="462" t="n"/>
      <c r="P52" s="462" t="n"/>
      <c r="Q52" s="462" t="n"/>
      <c r="R52" s="462" t="n"/>
      <c r="S52" s="462" t="n"/>
      <c r="T52" s="462" t="n"/>
      <c r="U52" s="462" t="n"/>
      <c r="V52" s="462" t="n"/>
      <c r="W52" s="462" t="n"/>
      <c r="X52" s="507" t="n"/>
      <c r="Z52" s="507" t="n"/>
      <c r="AA52" s="507" t="n"/>
    </row>
    <row r="53" ht="15" customHeight="1" s="1883">
      <c r="A53" s="1641" t="n"/>
      <c r="B53" s="383" t="n"/>
      <c r="C53" s="390" t="n"/>
      <c r="D53" s="383" t="n"/>
      <c r="E53" s="385" t="inlineStr">
        <is>
          <t>Total, Sales and Marketing</t>
        </is>
      </c>
      <c r="F53" s="383" t="n"/>
      <c r="G53" s="383" t="n"/>
      <c r="H53" s="383" t="n"/>
      <c r="I53" s="383" t="n"/>
      <c r="J53" s="383" t="n"/>
      <c r="K53" s="494">
        <f>SUM(K45:K50)</f>
        <v/>
      </c>
      <c r="L53" s="494">
        <f>SUM(L45:L50)</f>
        <v/>
      </c>
      <c r="M53" s="494">
        <f>SUM(M45:M50)</f>
        <v/>
      </c>
      <c r="N53" s="494">
        <f>SUM(N45:N50)</f>
        <v/>
      </c>
      <c r="O53" s="494">
        <f>SUM(O45:O50)</f>
        <v/>
      </c>
      <c r="P53" s="494">
        <f>SUM(P45:P50)</f>
        <v/>
      </c>
      <c r="Q53" s="494">
        <f>SUM(Q45:Q50)</f>
        <v/>
      </c>
      <c r="R53" s="494">
        <f>SUM(R45:R50)</f>
        <v/>
      </c>
      <c r="S53" s="494">
        <f>SUM(S45:S50)</f>
        <v/>
      </c>
      <c r="T53" s="494">
        <f>SUM(T45:T50)</f>
        <v/>
      </c>
      <c r="U53" s="494">
        <f>SUM(U45:U50)</f>
        <v/>
      </c>
      <c r="V53" s="494">
        <f>SUM(V45:V50)</f>
        <v/>
      </c>
      <c r="W53" s="462" t="n"/>
      <c r="X53" s="494">
        <f>SUM(X45:X50)</f>
        <v/>
      </c>
      <c r="Z53" s="494">
        <f>SUM(Z45:Z50)</f>
        <v/>
      </c>
      <c r="AA53" s="494">
        <f>SUM(AA45:AA49)</f>
        <v/>
      </c>
      <c r="AC53" s="507" t="n"/>
    </row>
    <row r="54" ht="3" customHeight="1" s="1883">
      <c r="B54" s="383" t="n"/>
      <c r="C54" s="390" t="n"/>
      <c r="D54" s="383" t="n"/>
      <c r="E54" s="383" t="n"/>
      <c r="F54" s="383" t="n"/>
      <c r="G54" s="383" t="n"/>
      <c r="H54" s="383" t="n"/>
      <c r="I54" s="383" t="n"/>
      <c r="J54" s="383" t="n"/>
      <c r="K54" s="508" t="n"/>
      <c r="L54" s="508" t="n"/>
      <c r="M54" s="508" t="n"/>
      <c r="N54" s="508" t="n"/>
      <c r="O54" s="508" t="n"/>
      <c r="P54" s="508" t="n"/>
      <c r="Q54" s="508" t="n"/>
      <c r="R54" s="508" t="n"/>
      <c r="S54" s="508" t="n"/>
      <c r="T54" s="508" t="n"/>
      <c r="U54" s="508" t="n"/>
      <c r="V54" s="508" t="n"/>
      <c r="W54" s="462" t="n"/>
      <c r="X54" s="640" t="n"/>
      <c r="Z54" s="640" t="n"/>
      <c r="AA54" s="640" t="n"/>
    </row>
    <row r="55" ht="3" customHeight="1" s="1883">
      <c r="B55" s="383" t="n"/>
      <c r="C55" s="390" t="n"/>
      <c r="D55" s="383" t="n"/>
      <c r="E55" s="383" t="n"/>
      <c r="F55" s="383" t="n"/>
      <c r="G55" s="383" t="n"/>
      <c r="H55" s="383" t="n"/>
      <c r="I55" s="383" t="n"/>
      <c r="J55" s="383" t="n"/>
      <c r="K55" s="462" t="n"/>
      <c r="L55" s="462" t="n"/>
      <c r="M55" s="462" t="n"/>
      <c r="N55" s="462" t="n"/>
      <c r="O55" s="462" t="n"/>
      <c r="P55" s="462" t="n"/>
      <c r="Q55" s="462" t="n"/>
      <c r="R55" s="462" t="n"/>
      <c r="S55" s="462" t="n"/>
      <c r="T55" s="462" t="n"/>
      <c r="U55" s="462" t="n"/>
      <c r="V55" s="462" t="n"/>
      <c r="W55" s="462" t="n"/>
      <c r="X55" s="507" t="n"/>
      <c r="Z55" s="507" t="n"/>
      <c r="AA55" s="507" t="n"/>
    </row>
    <row r="56" ht="15" customHeight="1" s="1883">
      <c r="B56" s="383" t="n"/>
      <c r="D56" s="383" t="n"/>
      <c r="E56" s="383" t="n"/>
      <c r="F56" s="383" t="n"/>
      <c r="G56" s="383" t="n"/>
      <c r="H56" s="383" t="n"/>
      <c r="I56" s="383" t="n"/>
      <c r="J56" s="383" t="n"/>
      <c r="K56" s="462" t="n"/>
      <c r="L56" s="462" t="n"/>
      <c r="M56" s="462" t="n"/>
      <c r="N56" s="462" t="n"/>
      <c r="O56" s="462" t="n"/>
      <c r="P56" s="462" t="n"/>
      <c r="Q56" s="462" t="n"/>
      <c r="R56" s="462" t="n"/>
      <c r="S56" s="462" t="n"/>
      <c r="T56" s="462" t="n"/>
      <c r="U56" s="462" t="n"/>
      <c r="V56" s="462" t="n"/>
      <c r="W56" s="462" t="n"/>
      <c r="X56" s="507" t="n"/>
      <c r="Z56" s="507" t="n"/>
      <c r="AA56" s="507" t="n"/>
    </row>
    <row r="57" ht="15" customHeight="1" s="1883">
      <c r="A57" s="1641" t="n"/>
      <c r="B57" s="383" t="n"/>
      <c r="C57" s="385" t="inlineStr">
        <is>
          <t>Occupancy</t>
        </is>
      </c>
      <c r="D57" s="383" t="n"/>
      <c r="E57" s="383" t="n"/>
      <c r="F57" s="383" t="n"/>
      <c r="G57" s="383" t="n"/>
      <c r="H57" s="383" t="n"/>
      <c r="I57" s="383" t="n"/>
      <c r="J57" s="383" t="n"/>
      <c r="K57" s="462" t="n"/>
      <c r="L57" s="462" t="n"/>
      <c r="M57" s="462" t="n"/>
      <c r="N57" s="462" t="n"/>
      <c r="O57" s="462" t="n"/>
      <c r="P57" s="462" t="n"/>
      <c r="Q57" s="462" t="n"/>
      <c r="R57" s="462" t="n"/>
      <c r="S57" s="462" t="n"/>
      <c r="T57" s="462" t="n"/>
      <c r="U57" s="462" t="n"/>
      <c r="V57" s="462" t="n"/>
      <c r="W57" s="462" t="n"/>
      <c r="X57" s="507" t="n"/>
      <c r="Z57" s="702" t="n"/>
    </row>
    <row r="58" ht="15" customHeight="1" s="1883">
      <c r="B58" s="809" t="inlineStr">
        <is>
          <t>√</t>
        </is>
      </c>
      <c r="C58" s="390" t="inlineStr">
        <is>
          <t>●</t>
        </is>
      </c>
      <c r="D58" s="383" t="inlineStr">
        <is>
          <t>Rent</t>
        </is>
      </c>
      <c r="E58" s="383" t="n"/>
      <c r="F58" s="383" t="n"/>
      <c r="G58" s="383" t="n"/>
      <c r="H58" s="383" t="n"/>
      <c r="I58" s="383" t="n"/>
      <c r="J58" s="383" t="n"/>
      <c r="K58" s="462">
        <f>(('6B. Pre-Launch Exps. - Detail'!F12))</f>
        <v/>
      </c>
      <c r="L58" s="462">
        <f>(('6B. Pre-Launch Exps. - Detail'!G12))</f>
        <v/>
      </c>
      <c r="M58" s="462">
        <f>(('6B. Pre-Launch Exps. - Detail'!H12))</f>
        <v/>
      </c>
      <c r="N58" s="462">
        <f>(('6B. Pre-Launch Exps. - Detail'!I12))</f>
        <v/>
      </c>
      <c r="O58" s="462">
        <f>(('6B. Pre-Launch Exps. - Detail'!J12))</f>
        <v/>
      </c>
      <c r="P58" s="462">
        <f>(('6B. Pre-Launch Exps. - Detail'!K12))</f>
        <v/>
      </c>
      <c r="Q58" s="462">
        <f>(('6B. Pre-Launch Exps. - Detail'!L12))</f>
        <v/>
      </c>
      <c r="R58" s="462">
        <f>(('6B. Pre-Launch Exps. - Detail'!M12))</f>
        <v/>
      </c>
      <c r="S58" s="462">
        <f>(('6B. Pre-Launch Exps. - Detail'!N12))</f>
        <v/>
      </c>
      <c r="T58" s="462">
        <f>(('6B. Pre-Launch Exps. - Detail'!O12))</f>
        <v/>
      </c>
      <c r="U58" s="462">
        <f>(('6B. Pre-Launch Exps. - Detail'!P12))</f>
        <v/>
      </c>
      <c r="V58" s="462">
        <f>(('6B. Pre-Launch Exps. - Detail'!Q12))</f>
        <v/>
      </c>
      <c r="W58" s="462" t="n"/>
      <c r="X58" s="494">
        <f>SUM(K58:V58)</f>
        <v/>
      </c>
      <c r="Z58" s="702">
        <f>(X58)</f>
        <v/>
      </c>
      <c r="AA58" s="765">
        <f>((X58)-(Z58))</f>
        <v/>
      </c>
    </row>
    <row r="59" ht="15" customHeight="1" s="1883">
      <c r="B59" s="809" t="inlineStr">
        <is>
          <t>√</t>
        </is>
      </c>
      <c r="C59" s="390" t="inlineStr">
        <is>
          <t>●</t>
        </is>
      </c>
      <c r="D59" s="383" t="inlineStr">
        <is>
          <t>Utilities</t>
        </is>
      </c>
      <c r="E59" s="383" t="n"/>
      <c r="F59" s="383" t="n"/>
      <c r="G59" s="383" t="n"/>
      <c r="H59" s="383" t="n"/>
      <c r="I59" s="383" t="n"/>
      <c r="J59" s="383" t="n"/>
      <c r="K59" s="462">
        <f>'6B. Pre-Launch Exps. - Detail'!F17</f>
        <v/>
      </c>
      <c r="L59" s="462">
        <f>'6B. Pre-Launch Exps. - Detail'!G17</f>
        <v/>
      </c>
      <c r="M59" s="462">
        <f>'6B. Pre-Launch Exps. - Detail'!H17</f>
        <v/>
      </c>
      <c r="N59" s="462">
        <f>'6B. Pre-Launch Exps. - Detail'!I17</f>
        <v/>
      </c>
      <c r="O59" s="462">
        <f>'6B. Pre-Launch Exps. - Detail'!J17</f>
        <v/>
      </c>
      <c r="P59" s="462">
        <f>'6B. Pre-Launch Exps. - Detail'!K17</f>
        <v/>
      </c>
      <c r="Q59" s="462">
        <f>'6B. Pre-Launch Exps. - Detail'!L17</f>
        <v/>
      </c>
      <c r="R59" s="462">
        <f>'6B. Pre-Launch Exps. - Detail'!M17</f>
        <v/>
      </c>
      <c r="S59" s="462">
        <f>'6B. Pre-Launch Exps. - Detail'!N17</f>
        <v/>
      </c>
      <c r="T59" s="462">
        <f>'6B. Pre-Launch Exps. - Detail'!O17</f>
        <v/>
      </c>
      <c r="U59" s="462">
        <f>'6B. Pre-Launch Exps. - Detail'!P17</f>
        <v/>
      </c>
      <c r="V59" s="462">
        <f>'6B. Pre-Launch Exps. - Detail'!Q17</f>
        <v/>
      </c>
      <c r="W59" s="462" t="n"/>
      <c r="X59" s="494">
        <f>SUM(K59:V59)</f>
        <v/>
      </c>
      <c r="Z59" s="702">
        <f>(X59)</f>
        <v/>
      </c>
      <c r="AA59" s="765">
        <f>((X59)-(Z59))</f>
        <v/>
      </c>
    </row>
    <row r="60" ht="3" customHeight="1" s="1883">
      <c r="B60" s="383" t="n"/>
      <c r="C60" s="390" t="n"/>
      <c r="D60" s="383" t="n"/>
      <c r="E60" s="383" t="n"/>
      <c r="F60" s="383" t="n"/>
      <c r="G60" s="383" t="n"/>
      <c r="H60" s="383" t="n"/>
      <c r="I60" s="383" t="n"/>
      <c r="J60" s="383" t="n"/>
      <c r="K60" s="508" t="n"/>
      <c r="L60" s="508" t="n"/>
      <c r="M60" s="508" t="n"/>
      <c r="N60" s="508" t="n"/>
      <c r="O60" s="508" t="n"/>
      <c r="P60" s="508" t="n"/>
      <c r="Q60" s="508" t="n"/>
      <c r="R60" s="508" t="n"/>
      <c r="S60" s="508" t="n"/>
      <c r="T60" s="508" t="n"/>
      <c r="U60" s="508" t="n"/>
      <c r="V60" s="508" t="n"/>
      <c r="W60" s="462" t="n"/>
      <c r="X60" s="640" t="n"/>
      <c r="Z60" s="640" t="n"/>
      <c r="AA60" s="640" t="n"/>
    </row>
    <row r="61" ht="3" customHeight="1" s="1883">
      <c r="B61" s="383" t="n"/>
      <c r="C61" s="390" t="n"/>
      <c r="D61" s="383" t="n"/>
      <c r="E61" s="383" t="n"/>
      <c r="F61" s="383" t="n"/>
      <c r="G61" s="383" t="n"/>
      <c r="H61" s="383" t="n"/>
      <c r="I61" s="383" t="n"/>
      <c r="J61" s="383" t="n"/>
      <c r="K61" s="462" t="n"/>
      <c r="L61" s="462" t="n"/>
      <c r="M61" s="462" t="n"/>
      <c r="N61" s="462" t="n"/>
      <c r="O61" s="462" t="n"/>
      <c r="P61" s="462" t="n"/>
      <c r="Q61" s="462" t="n"/>
      <c r="R61" s="462" t="n"/>
      <c r="S61" s="462" t="n"/>
      <c r="T61" s="462" t="n"/>
      <c r="U61" s="462" t="n"/>
      <c r="V61" s="462" t="n"/>
      <c r="W61" s="462" t="n"/>
      <c r="X61" s="507" t="n"/>
      <c r="Z61" s="507" t="n"/>
      <c r="AA61" s="507" t="n"/>
    </row>
    <row r="62" ht="15" customHeight="1" s="1883">
      <c r="B62" s="383" t="n"/>
      <c r="C62" s="390" t="n"/>
      <c r="D62" s="383" t="n"/>
      <c r="E62" s="385" t="inlineStr">
        <is>
          <t>Total, Occupancy</t>
        </is>
      </c>
      <c r="F62" s="383" t="n"/>
      <c r="G62" s="383" t="n"/>
      <c r="H62" s="383" t="n"/>
      <c r="I62" s="383" t="n"/>
      <c r="J62" s="383" t="n"/>
      <c r="K62" s="494">
        <f>SUM(K58:K59)</f>
        <v/>
      </c>
      <c r="L62" s="494">
        <f>SUM(L58:L59)</f>
        <v/>
      </c>
      <c r="M62" s="494">
        <f>SUM(M58:M59)</f>
        <v/>
      </c>
      <c r="N62" s="494">
        <f>SUM(N58:N59)</f>
        <v/>
      </c>
      <c r="O62" s="494">
        <f>SUM(O58:O59)</f>
        <v/>
      </c>
      <c r="P62" s="494">
        <f>SUM(P58:P59)</f>
        <v/>
      </c>
      <c r="Q62" s="494">
        <f>SUM(Q58:Q59)</f>
        <v/>
      </c>
      <c r="R62" s="494">
        <f>SUM(R58:R59)</f>
        <v/>
      </c>
      <c r="S62" s="494">
        <f>SUM(S58:S59)</f>
        <v/>
      </c>
      <c r="T62" s="494">
        <f>SUM(T58:T59)</f>
        <v/>
      </c>
      <c r="U62" s="494">
        <f>SUM(U58:U59)</f>
        <v/>
      </c>
      <c r="V62" s="494">
        <f>SUM(V58:V59)</f>
        <v/>
      </c>
      <c r="W62" s="462" t="n"/>
      <c r="X62" s="494">
        <f>SUM(X58:X59)</f>
        <v/>
      </c>
      <c r="Z62" s="494">
        <f>SUM(Z58:Z59)</f>
        <v/>
      </c>
      <c r="AA62" s="494">
        <f>SUM(AA54:AA58)</f>
        <v/>
      </c>
    </row>
    <row r="66" ht="15" customHeight="1" s="1883">
      <c r="B66" s="383" t="n"/>
      <c r="C66" s="385" t="inlineStr">
        <is>
          <t>General and Administrative</t>
        </is>
      </c>
      <c r="D66" s="383" t="n"/>
      <c r="E66" s="383" t="n"/>
      <c r="F66" s="383" t="n"/>
      <c r="G66" s="383" t="n"/>
      <c r="H66" s="383" t="n"/>
      <c r="I66" s="383" t="n"/>
      <c r="J66" s="383" t="n"/>
      <c r="K66" s="462" t="n"/>
      <c r="L66" s="462" t="n"/>
      <c r="M66" s="462" t="n"/>
      <c r="N66" s="462" t="n"/>
      <c r="O66" s="462" t="n"/>
      <c r="P66" s="462" t="n"/>
      <c r="Q66" s="462" t="n"/>
      <c r="R66" s="462" t="n"/>
      <c r="S66" s="462" t="n"/>
      <c r="T66" s="462" t="n"/>
      <c r="U66" s="462" t="n"/>
      <c r="V66" s="462" t="n"/>
      <c r="W66" s="462" t="n"/>
      <c r="X66" s="507" t="n"/>
      <c r="Z66" s="702" t="n"/>
      <c r="AC66" s="726" t="n"/>
    </row>
    <row r="67" ht="15" customHeight="1" s="1883">
      <c r="B67" s="809" t="inlineStr">
        <is>
          <t>√</t>
        </is>
      </c>
      <c r="C67" s="390" t="inlineStr">
        <is>
          <t>●</t>
        </is>
      </c>
      <c r="D67" s="383" t="inlineStr">
        <is>
          <t>Insurance - Product Liability</t>
        </is>
      </c>
      <c r="E67" s="383" t="n"/>
      <c r="F67" s="383" t="n"/>
      <c r="G67" s="383" t="n"/>
      <c r="H67" s="383" t="n"/>
      <c r="I67" s="383" t="n"/>
      <c r="J67" s="384" t="n"/>
      <c r="K67" s="462" t="n">
        <v>0</v>
      </c>
      <c r="L67" s="462" t="n">
        <v>0</v>
      </c>
      <c r="M67" s="462" t="n">
        <v>0</v>
      </c>
      <c r="N67" s="462" t="n">
        <v>0</v>
      </c>
      <c r="O67" s="462" t="n">
        <v>0</v>
      </c>
      <c r="P67" s="462" t="n">
        <v>0</v>
      </c>
      <c r="Q67" s="462" t="n">
        <v>0</v>
      </c>
      <c r="R67" s="462" t="n">
        <v>0</v>
      </c>
      <c r="S67" s="462" t="n">
        <v>0</v>
      </c>
      <c r="T67" s="462" t="n">
        <v>0</v>
      </c>
      <c r="U67" s="462" t="n">
        <v>0</v>
      </c>
      <c r="V67" s="462" t="n">
        <v>0</v>
      </c>
      <c r="W67" s="462" t="n"/>
      <c r="X67" s="494">
        <f>SUM(N67:V67)</f>
        <v/>
      </c>
      <c r="Z67" s="702" t="n">
        <v>0</v>
      </c>
      <c r="AA67" s="765">
        <f>((X67)-(Z67))</f>
        <v/>
      </c>
      <c r="AC67" s="726" t="n"/>
    </row>
    <row r="68" ht="15" customHeight="1" s="1883">
      <c r="A68" s="1641" t="n"/>
      <c r="B68" s="809" t="inlineStr">
        <is>
          <t>√</t>
        </is>
      </c>
      <c r="C68" s="390" t="inlineStr">
        <is>
          <t>●</t>
        </is>
      </c>
      <c r="D68" s="383" t="inlineStr">
        <is>
          <t>Insurance - General Liability</t>
        </is>
      </c>
      <c r="E68" s="383" t="n"/>
      <c r="F68" s="383" t="n"/>
      <c r="G68" s="383" t="n"/>
      <c r="H68" s="383" t="n"/>
      <c r="I68" s="383" t="n"/>
      <c r="J68" s="383" t="n"/>
      <c r="K68" s="462">
        <f>'6B. Pre-Launch Exps. - Detail'!F39</f>
        <v/>
      </c>
      <c r="L68" s="462">
        <f>'6B. Pre-Launch Exps. - Detail'!G39</f>
        <v/>
      </c>
      <c r="M68" s="462">
        <f>'6B. Pre-Launch Exps. - Detail'!H39</f>
        <v/>
      </c>
      <c r="N68" s="462">
        <f>'6B. Pre-Launch Exps. - Detail'!I39</f>
        <v/>
      </c>
      <c r="O68" s="462">
        <f>'6B. Pre-Launch Exps. - Detail'!J39</f>
        <v/>
      </c>
      <c r="P68" s="462">
        <f>'6B. Pre-Launch Exps. - Detail'!K39</f>
        <v/>
      </c>
      <c r="Q68" s="462">
        <f>'6B. Pre-Launch Exps. - Detail'!L39</f>
        <v/>
      </c>
      <c r="R68" s="462">
        <f>'6B. Pre-Launch Exps. - Detail'!M39</f>
        <v/>
      </c>
      <c r="S68" s="462">
        <f>'6B. Pre-Launch Exps. - Detail'!N39</f>
        <v/>
      </c>
      <c r="T68" s="462">
        <f>'6B. Pre-Launch Exps. - Detail'!O39</f>
        <v/>
      </c>
      <c r="U68" s="462">
        <f>'6B. Pre-Launch Exps. - Detail'!P39</f>
        <v/>
      </c>
      <c r="V68" s="462">
        <f>'6B. Pre-Launch Exps. - Detail'!Q39</f>
        <v/>
      </c>
      <c r="W68" s="462" t="n"/>
      <c r="X68" s="494">
        <f>SUM(K68:V68)</f>
        <v/>
      </c>
      <c r="Z68" s="702">
        <f>(X68)</f>
        <v/>
      </c>
      <c r="AA68" s="765">
        <f>((X68)-(Z68))</f>
        <v/>
      </c>
      <c r="AC68" s="726" t="n"/>
    </row>
    <row r="69" ht="15" customHeight="1" s="1883">
      <c r="B69" s="809" t="inlineStr">
        <is>
          <t>√</t>
        </is>
      </c>
      <c r="C69" s="390" t="inlineStr">
        <is>
          <t>●</t>
        </is>
      </c>
      <c r="D69" s="383" t="inlineStr">
        <is>
          <t xml:space="preserve">Professional Fees </t>
        </is>
      </c>
      <c r="E69" s="383" t="n"/>
      <c r="F69" s="383" t="n"/>
      <c r="G69" s="383" t="n"/>
      <c r="H69" s="383" t="n"/>
      <c r="I69" s="383" t="n"/>
      <c r="J69" s="383" t="n"/>
      <c r="K69" s="462" t="n"/>
      <c r="L69" s="462" t="n"/>
      <c r="M69" s="462" t="n"/>
      <c r="N69" s="462" t="n"/>
      <c r="O69" s="462" t="n"/>
      <c r="P69" s="462" t="n"/>
      <c r="Q69" s="462" t="n"/>
      <c r="R69" s="462" t="n"/>
      <c r="S69" s="462" t="n"/>
      <c r="T69" s="462" t="n"/>
      <c r="U69" s="462" t="n"/>
      <c r="V69" s="462" t="n"/>
      <c r="W69" s="462" t="n"/>
      <c r="X69" s="507" t="n"/>
      <c r="Z69" s="702" t="n"/>
      <c r="AA69" s="765">
        <f>((X69)-(Z69))</f>
        <v/>
      </c>
      <c r="AC69" s="726" t="n"/>
    </row>
    <row r="70" ht="15" customHeight="1" s="1883">
      <c r="A70" s="1641" t="n"/>
      <c r="B70" s="809" t="inlineStr">
        <is>
          <t>√</t>
        </is>
      </c>
      <c r="C70" s="383" t="n"/>
      <c r="D70" s="390" t="inlineStr">
        <is>
          <t>●</t>
        </is>
      </c>
      <c r="E70" s="383" t="inlineStr">
        <is>
          <t>Legal</t>
        </is>
      </c>
      <c r="F70" s="383" t="n"/>
      <c r="G70" s="383" t="n"/>
      <c r="H70" s="383" t="n"/>
      <c r="I70" s="383" t="n"/>
      <c r="J70" s="384" t="n"/>
      <c r="K70" s="462">
        <f>'6B. Pre-Launch Exps. - Detail'!F61</f>
        <v/>
      </c>
      <c r="L70" s="462">
        <f>'6B. Pre-Launch Exps. - Detail'!G61</f>
        <v/>
      </c>
      <c r="M70" s="462">
        <f>'6B. Pre-Launch Exps. - Detail'!H61</f>
        <v/>
      </c>
      <c r="N70" s="462">
        <f>'6B. Pre-Launch Exps. - Detail'!I61</f>
        <v/>
      </c>
      <c r="O70" s="462">
        <f>'6B. Pre-Launch Exps. - Detail'!J61</f>
        <v/>
      </c>
      <c r="P70" s="462">
        <f>'6B. Pre-Launch Exps. - Detail'!K61</f>
        <v/>
      </c>
      <c r="Q70" s="462">
        <f>'6B. Pre-Launch Exps. - Detail'!L61</f>
        <v/>
      </c>
      <c r="R70" s="462">
        <f>'6B. Pre-Launch Exps. - Detail'!M61</f>
        <v/>
      </c>
      <c r="S70" s="462">
        <f>'6B. Pre-Launch Exps. - Detail'!N61</f>
        <v/>
      </c>
      <c r="T70" s="462">
        <f>'6B. Pre-Launch Exps. - Detail'!O61</f>
        <v/>
      </c>
      <c r="U70" s="462">
        <f>'6B. Pre-Launch Exps. - Detail'!P61</f>
        <v/>
      </c>
      <c r="V70" s="462">
        <f>'6B. Pre-Launch Exps. - Detail'!Q61</f>
        <v/>
      </c>
      <c r="W70" s="462" t="n"/>
      <c r="X70" s="494">
        <f>SUM(K70:V70)</f>
        <v/>
      </c>
      <c r="Z70" s="702" t="n">
        <v>45000</v>
      </c>
      <c r="AA70" s="765">
        <f>((X70)-(Z70))</f>
        <v/>
      </c>
      <c r="AC70" s="726" t="n"/>
    </row>
    <row r="71" ht="15" customHeight="1" s="1883">
      <c r="A71" s="1641" t="n"/>
      <c r="B71" s="809" t="inlineStr">
        <is>
          <t>√</t>
        </is>
      </c>
      <c r="C71" s="383" t="n"/>
      <c r="D71" s="390" t="inlineStr">
        <is>
          <t>●</t>
        </is>
      </c>
      <c r="E71" s="383" t="inlineStr">
        <is>
          <t>Accounting and Tax</t>
        </is>
      </c>
      <c r="F71" s="383" t="n"/>
      <c r="G71" s="383" t="n"/>
      <c r="H71" s="383" t="n"/>
      <c r="I71" s="383" t="n"/>
      <c r="J71" s="384" t="n"/>
      <c r="K71" s="462">
        <f>'6B. Pre-Launch Exps. - Detail'!F60</f>
        <v/>
      </c>
      <c r="L71" s="462">
        <f>'6B. Pre-Launch Exps. - Detail'!G60</f>
        <v/>
      </c>
      <c r="M71" s="462">
        <f>'6B. Pre-Launch Exps. - Detail'!H60</f>
        <v/>
      </c>
      <c r="N71" s="462">
        <f>'6B. Pre-Launch Exps. - Detail'!I60</f>
        <v/>
      </c>
      <c r="O71" s="462">
        <f>'6B. Pre-Launch Exps. - Detail'!J60</f>
        <v/>
      </c>
      <c r="P71" s="462">
        <f>'6B. Pre-Launch Exps. - Detail'!K60</f>
        <v/>
      </c>
      <c r="Q71" s="462">
        <f>'6B. Pre-Launch Exps. - Detail'!L60</f>
        <v/>
      </c>
      <c r="R71" s="462">
        <f>'6B. Pre-Launch Exps. - Detail'!M60</f>
        <v/>
      </c>
      <c r="S71" s="462">
        <f>'6B. Pre-Launch Exps. - Detail'!N60</f>
        <v/>
      </c>
      <c r="T71" s="462">
        <f>'6B. Pre-Launch Exps. - Detail'!O60</f>
        <v/>
      </c>
      <c r="U71" s="462">
        <f>'6B. Pre-Launch Exps. - Detail'!P60</f>
        <v/>
      </c>
      <c r="V71" s="462">
        <f>'6B. Pre-Launch Exps. - Detail'!Q60</f>
        <v/>
      </c>
      <c r="W71" s="462" t="n"/>
      <c r="X71" s="494">
        <f>SUM(K71:V71)</f>
        <v/>
      </c>
      <c r="Z71" s="702" t="n">
        <v>45000</v>
      </c>
      <c r="AA71" s="765">
        <f>((X71)-(Z71))</f>
        <v/>
      </c>
      <c r="AC71" s="726" t="n"/>
    </row>
    <row r="72" ht="15" customHeight="1" s="1883">
      <c r="A72" s="1641" t="n"/>
      <c r="B72" s="809" t="inlineStr">
        <is>
          <t>√</t>
        </is>
      </c>
      <c r="C72" s="383" t="n"/>
      <c r="D72" s="390" t="inlineStr">
        <is>
          <t>●</t>
        </is>
      </c>
      <c r="E72" s="383" t="inlineStr">
        <is>
          <t>Consulting</t>
        </is>
      </c>
      <c r="F72" s="383" t="n"/>
      <c r="G72" s="383" t="n"/>
      <c r="H72" s="383" t="n"/>
      <c r="I72" s="383" t="n"/>
      <c r="J72" s="384" t="n"/>
      <c r="K72" s="462">
        <f>(('6B. Pre-Launch Exps. - Detail'!F62)+('6B. Pre-Launch Exps. - Detail'!F63)+('6B. Pre-Launch Exps. - Detail'!F65))</f>
        <v/>
      </c>
      <c r="L72" s="462">
        <f>(('6B. Pre-Launch Exps. - Detail'!G62)+('6B. Pre-Launch Exps. - Detail'!G63)+('6B. Pre-Launch Exps. - Detail'!G65))</f>
        <v/>
      </c>
      <c r="M72" s="462">
        <f>(('6B. Pre-Launch Exps. - Detail'!H62)+('6B. Pre-Launch Exps. - Detail'!H63)+('6B. Pre-Launch Exps. - Detail'!H65))</f>
        <v/>
      </c>
      <c r="N72" s="462">
        <f>(('6B. Pre-Launch Exps. - Detail'!I62)+('6B. Pre-Launch Exps. - Detail'!I63)+('6B. Pre-Launch Exps. - Detail'!I65))</f>
        <v/>
      </c>
      <c r="O72" s="462">
        <f>(('6B. Pre-Launch Exps. - Detail'!J62)+('6B. Pre-Launch Exps. - Detail'!J63)+('6B. Pre-Launch Exps. - Detail'!J65))</f>
        <v/>
      </c>
      <c r="P72" s="462">
        <f>(('6B. Pre-Launch Exps. - Detail'!K62)+('6B. Pre-Launch Exps. - Detail'!K63)+('6B. Pre-Launch Exps. - Detail'!K65))</f>
        <v/>
      </c>
      <c r="Q72" s="462">
        <f>(('6B. Pre-Launch Exps. - Detail'!L62)+('6B. Pre-Launch Exps. - Detail'!L63)+('6B. Pre-Launch Exps. - Detail'!L65))</f>
        <v/>
      </c>
      <c r="R72" s="462">
        <f>(('6B. Pre-Launch Exps. - Detail'!M62)+('6B. Pre-Launch Exps. - Detail'!M63)+('6B. Pre-Launch Exps. - Detail'!M65))</f>
        <v/>
      </c>
      <c r="S72" s="462">
        <f>(('6B. Pre-Launch Exps. - Detail'!N62)+('6B. Pre-Launch Exps. - Detail'!N63)+('6B. Pre-Launch Exps. - Detail'!N65))</f>
        <v/>
      </c>
      <c r="T72" s="462">
        <f>(('6B. Pre-Launch Exps. - Detail'!O62)+('6B. Pre-Launch Exps. - Detail'!O63)+('6B. Pre-Launch Exps. - Detail'!O65))</f>
        <v/>
      </c>
      <c r="U72" s="462">
        <f>(('6B. Pre-Launch Exps. - Detail'!P62)+('6B. Pre-Launch Exps. - Detail'!P63)+('6B. Pre-Launch Exps. - Detail'!P65))</f>
        <v/>
      </c>
      <c r="V72" s="462">
        <f>(('6B. Pre-Launch Exps. - Detail'!Q62)+('6B. Pre-Launch Exps. - Detail'!Q63)+('6B. Pre-Launch Exps. - Detail'!Q65))</f>
        <v/>
      </c>
      <c r="W72" s="462" t="n"/>
      <c r="X72" s="494">
        <f>SUM(K72:V72)</f>
        <v/>
      </c>
      <c r="Z72" s="702" t="n">
        <v>44000</v>
      </c>
      <c r="AA72" s="765">
        <f>((X72)-(Z72))</f>
        <v/>
      </c>
      <c r="AC72" s="726" t="inlineStr">
        <is>
          <t>Expense not included in prior roll-up</t>
        </is>
      </c>
    </row>
    <row r="73" ht="15" customHeight="1" s="1883">
      <c r="A73" s="1641" t="n"/>
      <c r="B73" s="809" t="inlineStr">
        <is>
          <t>√</t>
        </is>
      </c>
      <c r="C73" s="383" t="n"/>
      <c r="D73" s="390" t="inlineStr">
        <is>
          <t>●</t>
        </is>
      </c>
      <c r="E73" s="383" t="inlineStr">
        <is>
          <t>Licensing</t>
        </is>
      </c>
      <c r="F73" s="383" t="n"/>
      <c r="G73" s="383" t="n"/>
      <c r="H73" s="383" t="n"/>
      <c r="I73" s="383" t="n"/>
      <c r="J73" s="384" t="n"/>
      <c r="K73" s="462">
        <f>('6B. Pre-Launch Exps. - Detail'!F66)</f>
        <v/>
      </c>
      <c r="L73" s="462">
        <f>('6B. Pre-Launch Exps. - Detail'!G66)</f>
        <v/>
      </c>
      <c r="M73" s="462">
        <f>('6B. Pre-Launch Exps. - Detail'!H66)</f>
        <v/>
      </c>
      <c r="N73" s="462">
        <f>('6B. Pre-Launch Exps. - Detail'!I66)</f>
        <v/>
      </c>
      <c r="O73" s="462">
        <f>('6B. Pre-Launch Exps. - Detail'!J66)</f>
        <v/>
      </c>
      <c r="P73" s="462">
        <f>('6B. Pre-Launch Exps. - Detail'!K66)</f>
        <v/>
      </c>
      <c r="Q73" s="462">
        <f>('6B. Pre-Launch Exps. - Detail'!L66)</f>
        <v/>
      </c>
      <c r="R73" s="462">
        <f>('6B. Pre-Launch Exps. - Detail'!M66)</f>
        <v/>
      </c>
      <c r="S73" s="462">
        <f>('6B. Pre-Launch Exps. - Detail'!N66)</f>
        <v/>
      </c>
      <c r="T73" s="462">
        <f>('6B. Pre-Launch Exps. - Detail'!O66)</f>
        <v/>
      </c>
      <c r="U73" s="462">
        <f>('6B. Pre-Launch Exps. - Detail'!P66)</f>
        <v/>
      </c>
      <c r="V73" s="462">
        <f>('6B. Pre-Launch Exps. - Detail'!Q66)</f>
        <v/>
      </c>
      <c r="W73" s="462" t="n"/>
      <c r="X73" s="494">
        <f>SUM(K73:V73)</f>
        <v/>
      </c>
      <c r="Z73" s="702" t="n">
        <v>0</v>
      </c>
      <c r="AA73" s="765">
        <f>((X73)-(Z73))</f>
        <v/>
      </c>
      <c r="AC73" s="726" t="inlineStr">
        <is>
          <t>Expense not included in prior roll-up</t>
        </is>
      </c>
    </row>
    <row r="74" ht="15" customHeight="1" s="1883">
      <c r="A74" s="1641" t="n"/>
      <c r="B74" s="809" t="inlineStr">
        <is>
          <t>√</t>
        </is>
      </c>
      <c r="C74" s="390" t="inlineStr">
        <is>
          <t>●</t>
        </is>
      </c>
      <c r="D74" s="383" t="inlineStr">
        <is>
          <t>Website Hosting and Data Storage</t>
        </is>
      </c>
      <c r="E74" s="383" t="n"/>
      <c r="F74" s="383" t="n"/>
      <c r="G74" s="383" t="n"/>
      <c r="H74" s="383" t="n"/>
      <c r="I74" s="383" t="n"/>
      <c r="J74" s="383" t="n"/>
      <c r="K74" s="462">
        <f>'6B. Pre-Launch Exps. - Detail'!F91</f>
        <v/>
      </c>
      <c r="L74" s="462">
        <f>'6B. Pre-Launch Exps. - Detail'!G91</f>
        <v/>
      </c>
      <c r="M74" s="462">
        <f>'6B. Pre-Launch Exps. - Detail'!H91</f>
        <v/>
      </c>
      <c r="N74" s="462">
        <f>'6B. Pre-Launch Exps. - Detail'!I91</f>
        <v/>
      </c>
      <c r="O74" s="462">
        <f>'6B. Pre-Launch Exps. - Detail'!J91</f>
        <v/>
      </c>
      <c r="P74" s="462">
        <f>'6B. Pre-Launch Exps. - Detail'!K91</f>
        <v/>
      </c>
      <c r="Q74" s="462">
        <f>'6B. Pre-Launch Exps. - Detail'!L91</f>
        <v/>
      </c>
      <c r="R74" s="462">
        <f>'6B. Pre-Launch Exps. - Detail'!M91</f>
        <v/>
      </c>
      <c r="S74" s="462">
        <f>'6B. Pre-Launch Exps. - Detail'!N91</f>
        <v/>
      </c>
      <c r="T74" s="462">
        <f>'6B. Pre-Launch Exps. - Detail'!O91</f>
        <v/>
      </c>
      <c r="U74" s="462">
        <f>'6B. Pre-Launch Exps. - Detail'!P91</f>
        <v/>
      </c>
      <c r="V74" s="462">
        <f>'6B. Pre-Launch Exps. - Detail'!Q91</f>
        <v/>
      </c>
      <c r="W74" s="462" t="n"/>
      <c r="X74" s="494">
        <f>SUM(K74:V74)</f>
        <v/>
      </c>
      <c r="Z74" s="702">
        <f>(X74)</f>
        <v/>
      </c>
      <c r="AA74" s="765">
        <f>((X74)-(Z74))</f>
        <v/>
      </c>
      <c r="AC74" s="726" t="n"/>
    </row>
    <row r="75" ht="15" customHeight="1" s="1883">
      <c r="A75" s="1641" t="n"/>
      <c r="B75" s="809" t="inlineStr">
        <is>
          <t>√</t>
        </is>
      </c>
      <c r="C75" s="390" t="inlineStr">
        <is>
          <t>●</t>
        </is>
      </c>
      <c r="D75" s="383" t="inlineStr">
        <is>
          <t>Customer Service and Support</t>
        </is>
      </c>
      <c r="E75" s="383" t="n"/>
      <c r="F75" s="383" t="n"/>
      <c r="G75" s="383" t="n"/>
      <c r="H75" s="383" t="n"/>
      <c r="I75" s="383" t="n"/>
      <c r="J75" s="384" t="n"/>
      <c r="K75" s="462">
        <f>'6B. Pre-Launch Exps. - Detail'!F54</f>
        <v/>
      </c>
      <c r="L75" s="462">
        <f>'6B. Pre-Launch Exps. - Detail'!G54</f>
        <v/>
      </c>
      <c r="M75" s="462">
        <f>'6B. Pre-Launch Exps. - Detail'!H54</f>
        <v/>
      </c>
      <c r="N75" s="462">
        <f>'6B. Pre-Launch Exps. - Detail'!I54</f>
        <v/>
      </c>
      <c r="O75" s="462">
        <f>'6B. Pre-Launch Exps. - Detail'!J54</f>
        <v/>
      </c>
      <c r="P75" s="462">
        <f>'6B. Pre-Launch Exps. - Detail'!K54</f>
        <v/>
      </c>
      <c r="Q75" s="462">
        <f>'6B. Pre-Launch Exps. - Detail'!L54</f>
        <v/>
      </c>
      <c r="R75" s="462">
        <f>'6B. Pre-Launch Exps. - Detail'!M54</f>
        <v/>
      </c>
      <c r="S75" s="462">
        <f>'6B. Pre-Launch Exps. - Detail'!N54</f>
        <v/>
      </c>
      <c r="T75" s="462">
        <f>'6B. Pre-Launch Exps. - Detail'!O54</f>
        <v/>
      </c>
      <c r="U75" s="462">
        <f>'6B. Pre-Launch Exps. - Detail'!P54</f>
        <v/>
      </c>
      <c r="V75" s="462">
        <f>'6B. Pre-Launch Exps. - Detail'!Q54</f>
        <v/>
      </c>
      <c r="W75" s="462" t="n"/>
      <c r="X75" s="494">
        <f>SUM(K75:V75)</f>
        <v/>
      </c>
      <c r="Z75" s="702">
        <f>(X75)</f>
        <v/>
      </c>
      <c r="AA75" s="765">
        <f>((X75)-(Z75))</f>
        <v/>
      </c>
      <c r="AC75" s="726" t="n"/>
    </row>
    <row r="76" ht="15" customHeight="1" s="1883">
      <c r="A76" s="1641" t="n"/>
      <c r="B76" s="809" t="inlineStr">
        <is>
          <t>√</t>
        </is>
      </c>
      <c r="C76" s="390" t="inlineStr">
        <is>
          <t>●</t>
        </is>
      </c>
      <c r="D76" s="383" t="inlineStr">
        <is>
          <t>Software License Fees</t>
        </is>
      </c>
      <c r="E76" s="383" t="n"/>
      <c r="F76" s="383" t="n"/>
      <c r="G76" s="383" t="n"/>
      <c r="H76" s="383" t="n"/>
      <c r="I76" s="383" t="n"/>
      <c r="J76" s="384" t="n"/>
      <c r="K76" s="462">
        <f>'6B. Pre-Launch Exps. - Detail'!F102</f>
        <v/>
      </c>
      <c r="L76" s="462">
        <f>'6B. Pre-Launch Exps. - Detail'!G102</f>
        <v/>
      </c>
      <c r="M76" s="462">
        <f>'6B. Pre-Launch Exps. - Detail'!H102</f>
        <v/>
      </c>
      <c r="N76" s="462">
        <f>'6B. Pre-Launch Exps. - Detail'!I102</f>
        <v/>
      </c>
      <c r="O76" s="462">
        <f>'6B. Pre-Launch Exps. - Detail'!J102</f>
        <v/>
      </c>
      <c r="P76" s="462">
        <f>'6B. Pre-Launch Exps. - Detail'!K102</f>
        <v/>
      </c>
      <c r="Q76" s="462">
        <f>'6B. Pre-Launch Exps. - Detail'!L102</f>
        <v/>
      </c>
      <c r="R76" s="462">
        <f>'6B. Pre-Launch Exps. - Detail'!M102</f>
        <v/>
      </c>
      <c r="S76" s="462">
        <f>'6B. Pre-Launch Exps. - Detail'!N102</f>
        <v/>
      </c>
      <c r="T76" s="462">
        <f>'6B. Pre-Launch Exps. - Detail'!O102</f>
        <v/>
      </c>
      <c r="U76" s="462">
        <f>'6B. Pre-Launch Exps. - Detail'!P102</f>
        <v/>
      </c>
      <c r="V76" s="462">
        <f>'6B. Pre-Launch Exps. - Detail'!Q102</f>
        <v/>
      </c>
      <c r="W76" s="462" t="n"/>
      <c r="X76" s="494">
        <f>SUM(K76:V76)</f>
        <v/>
      </c>
      <c r="Z76" s="702">
        <f>(X76)</f>
        <v/>
      </c>
      <c r="AA76" s="765">
        <f>((X76)-(Z76))</f>
        <v/>
      </c>
      <c r="AC76" s="726" t="n"/>
    </row>
    <row r="77" ht="15" customHeight="1" s="1883">
      <c r="A77" s="1641" t="n"/>
      <c r="B77" s="809" t="inlineStr">
        <is>
          <t>√</t>
        </is>
      </c>
      <c r="C77" s="390" t="inlineStr">
        <is>
          <t>●</t>
        </is>
      </c>
      <c r="D77" s="383" t="inlineStr">
        <is>
          <t>Office Supplies</t>
        </is>
      </c>
      <c r="E77" s="383" t="n"/>
      <c r="F77" s="383" t="n"/>
      <c r="G77" s="383" t="n"/>
      <c r="H77" s="383" t="n"/>
      <c r="I77" s="383" t="n"/>
      <c r="J77" s="384" t="n"/>
      <c r="K77" s="462">
        <f>'6B. Pre-Launch Exps. - Detail'!F93</f>
        <v/>
      </c>
      <c r="L77" s="462">
        <f>'6B. Pre-Launch Exps. - Detail'!G93</f>
        <v/>
      </c>
      <c r="M77" s="462">
        <f>'6B. Pre-Launch Exps. - Detail'!H93</f>
        <v/>
      </c>
      <c r="N77" s="462">
        <f>'6B. Pre-Launch Exps. - Detail'!I93</f>
        <v/>
      </c>
      <c r="O77" s="462">
        <f>'6B. Pre-Launch Exps. - Detail'!J93</f>
        <v/>
      </c>
      <c r="P77" s="462">
        <f>'6B. Pre-Launch Exps. - Detail'!K93</f>
        <v/>
      </c>
      <c r="Q77" s="462">
        <f>'6B. Pre-Launch Exps. - Detail'!L93</f>
        <v/>
      </c>
      <c r="R77" s="462">
        <f>'6B. Pre-Launch Exps. - Detail'!M93</f>
        <v/>
      </c>
      <c r="S77" s="462">
        <f>'6B. Pre-Launch Exps. - Detail'!N93</f>
        <v/>
      </c>
      <c r="T77" s="462">
        <f>'6B. Pre-Launch Exps. - Detail'!O93</f>
        <v/>
      </c>
      <c r="U77" s="462">
        <f>'6B. Pre-Launch Exps. - Detail'!P93</f>
        <v/>
      </c>
      <c r="V77" s="462">
        <f>'6B. Pre-Launch Exps. - Detail'!Q93</f>
        <v/>
      </c>
      <c r="W77" s="462" t="n"/>
      <c r="X77" s="494">
        <f>SUM(K77:V77)</f>
        <v/>
      </c>
      <c r="Z77" s="702" t="n">
        <v>6626.66</v>
      </c>
      <c r="AA77" s="765">
        <f>((X77)-(Z77))</f>
        <v/>
      </c>
      <c r="AC77" s="726" t="inlineStr">
        <is>
          <t>Amount changed from flat rate estimate to $15/per employee/month (current estimate may be somewhat conservative)</t>
        </is>
      </c>
    </row>
    <row r="78" ht="15" customHeight="1" s="1883">
      <c r="A78" s="1641" t="n"/>
      <c r="B78" s="809" t="inlineStr">
        <is>
          <t>√</t>
        </is>
      </c>
      <c r="C78" s="390" t="inlineStr">
        <is>
          <t>●</t>
        </is>
      </c>
      <c r="D78" s="383" t="inlineStr">
        <is>
          <t>Capex</t>
        </is>
      </c>
      <c r="E78" s="383" t="n"/>
      <c r="F78" s="383" t="n"/>
      <c r="G78" s="383" t="n"/>
      <c r="H78" s="383" t="n"/>
      <c r="I78" s="383" t="n"/>
      <c r="J78" s="384" t="n"/>
      <c r="K78" s="462">
        <f>'6B. Pre-Launch Exps. - Detail'!F130</f>
        <v/>
      </c>
      <c r="L78" s="462">
        <f>'6B. Pre-Launch Exps. - Detail'!G130</f>
        <v/>
      </c>
      <c r="M78" s="462">
        <f>'6B. Pre-Launch Exps. - Detail'!H130</f>
        <v/>
      </c>
      <c r="N78" s="462">
        <f>'6B. Pre-Launch Exps. - Detail'!I130</f>
        <v/>
      </c>
      <c r="O78" s="462">
        <f>'6B. Pre-Launch Exps. - Detail'!J130</f>
        <v/>
      </c>
      <c r="P78" s="462">
        <f>'6B. Pre-Launch Exps. - Detail'!K130</f>
        <v/>
      </c>
      <c r="Q78" s="462">
        <f>'6B. Pre-Launch Exps. - Detail'!L130</f>
        <v/>
      </c>
      <c r="R78" s="462">
        <f>'6B. Pre-Launch Exps. - Detail'!M130</f>
        <v/>
      </c>
      <c r="S78" s="462">
        <f>'6B. Pre-Launch Exps. - Detail'!N130</f>
        <v/>
      </c>
      <c r="T78" s="462">
        <f>'6B. Pre-Launch Exps. - Detail'!O130</f>
        <v/>
      </c>
      <c r="U78" s="462">
        <f>'6B. Pre-Launch Exps. - Detail'!P130</f>
        <v/>
      </c>
      <c r="V78" s="462">
        <f>'6B. Pre-Launch Exps. - Detail'!Q130</f>
        <v/>
      </c>
      <c r="W78" s="462" t="n"/>
      <c r="X78" s="494">
        <f>SUM(K78:V78)</f>
        <v/>
      </c>
      <c r="Z78" s="702">
        <f>(X78)</f>
        <v/>
      </c>
      <c r="AA78" s="765">
        <f>((X78)-(Z78))</f>
        <v/>
      </c>
      <c r="AC78" s="726" t="n"/>
    </row>
    <row r="79" ht="15" customHeight="1" s="1883">
      <c r="A79" s="1641" t="n"/>
      <c r="B79" s="809" t="inlineStr">
        <is>
          <t>√</t>
        </is>
      </c>
      <c r="C79" s="390" t="inlineStr">
        <is>
          <t>●</t>
        </is>
      </c>
      <c r="D79" s="383" t="inlineStr">
        <is>
          <t>Other Services - Cleaning for HQ, Garbage Removal, Snow Removal, Landscaping</t>
        </is>
      </c>
      <c r="E79" s="383" t="n"/>
      <c r="F79" s="383" t="n"/>
      <c r="G79" s="383" t="n"/>
      <c r="H79" s="383" t="n"/>
      <c r="I79" s="383" t="n"/>
      <c r="J79" s="384" t="n"/>
      <c r="K79" s="695">
        <f>'6B. Pre-Launch Exps. - Detail'!F64</f>
        <v/>
      </c>
      <c r="L79" s="695">
        <f>'6B. Pre-Launch Exps. - Detail'!G64</f>
        <v/>
      </c>
      <c r="M79" s="695">
        <f>'6B. Pre-Launch Exps. - Detail'!H64</f>
        <v/>
      </c>
      <c r="N79" s="695">
        <f>'6B. Pre-Launch Exps. - Detail'!I64</f>
        <v/>
      </c>
      <c r="O79" s="695">
        <f>'6B. Pre-Launch Exps. - Detail'!J64</f>
        <v/>
      </c>
      <c r="P79" s="695">
        <f>'6B. Pre-Launch Exps. - Detail'!K64</f>
        <v/>
      </c>
      <c r="Q79" s="695">
        <f>'6B. Pre-Launch Exps. - Detail'!L64</f>
        <v/>
      </c>
      <c r="R79" s="695">
        <f>'6B. Pre-Launch Exps. - Detail'!M64</f>
        <v/>
      </c>
      <c r="S79" s="695">
        <f>'6B. Pre-Launch Exps. - Detail'!N64</f>
        <v/>
      </c>
      <c r="T79" s="695">
        <f>'6B. Pre-Launch Exps. - Detail'!O64</f>
        <v/>
      </c>
      <c r="U79" s="695">
        <f>'6B. Pre-Launch Exps. - Detail'!P64</f>
        <v/>
      </c>
      <c r="V79" s="695">
        <f>'6B. Pre-Launch Exps. - Detail'!Q64</f>
        <v/>
      </c>
      <c r="W79" s="462" t="n"/>
      <c r="X79" s="494">
        <f>SUM(K79:V79)</f>
        <v/>
      </c>
      <c r="Z79" s="702">
        <f>(X79)</f>
        <v/>
      </c>
      <c r="AA79" s="765">
        <f>((X79)-(Z79))</f>
        <v/>
      </c>
      <c r="AC79" s="726" t="n"/>
    </row>
    <row r="80" ht="15" customHeight="1" s="1883">
      <c r="A80" s="1641" t="n"/>
      <c r="B80" s="809" t="inlineStr">
        <is>
          <t>√</t>
        </is>
      </c>
      <c r="C80" s="390" t="inlineStr">
        <is>
          <t>●</t>
        </is>
      </c>
      <c r="D80" s="383" t="inlineStr">
        <is>
          <t>Telephone</t>
        </is>
      </c>
      <c r="E80" s="383" t="n"/>
      <c r="F80" s="383" t="n"/>
      <c r="G80" s="383" t="n"/>
      <c r="H80" s="383" t="n"/>
      <c r="I80" s="383" t="n"/>
      <c r="J80" s="384" t="n"/>
      <c r="K80" s="695">
        <f>('6B. Pre-Launch Exps. - Detail'!F28)</f>
        <v/>
      </c>
      <c r="L80" s="695">
        <f>('6B. Pre-Launch Exps. - Detail'!G28)</f>
        <v/>
      </c>
      <c r="M80" s="695">
        <f>('6B. Pre-Launch Exps. - Detail'!H28)</f>
        <v/>
      </c>
      <c r="N80" s="695">
        <f>('6B. Pre-Launch Exps. - Detail'!I28)</f>
        <v/>
      </c>
      <c r="O80" s="695">
        <f>('6B. Pre-Launch Exps. - Detail'!J28)</f>
        <v/>
      </c>
      <c r="P80" s="695">
        <f>('6B. Pre-Launch Exps. - Detail'!K28)</f>
        <v/>
      </c>
      <c r="Q80" s="695">
        <f>('6B. Pre-Launch Exps. - Detail'!L28)</f>
        <v/>
      </c>
      <c r="R80" s="695">
        <f>('6B. Pre-Launch Exps. - Detail'!M28)</f>
        <v/>
      </c>
      <c r="S80" s="695">
        <f>('6B. Pre-Launch Exps. - Detail'!N28)</f>
        <v/>
      </c>
      <c r="T80" s="695">
        <f>('6B. Pre-Launch Exps. - Detail'!O28)</f>
        <v/>
      </c>
      <c r="U80" s="695">
        <f>('6B. Pre-Launch Exps. - Detail'!P28)</f>
        <v/>
      </c>
      <c r="V80" s="695">
        <f>('6B. Pre-Launch Exps. - Detail'!Q28)</f>
        <v/>
      </c>
      <c r="W80" s="462" t="n"/>
      <c r="X80" s="494">
        <f>SUM(K80:V80)</f>
        <v/>
      </c>
      <c r="Z80" s="702">
        <f>(X80)</f>
        <v/>
      </c>
      <c r="AA80" s="765">
        <f>((X80)-(Z80))</f>
        <v/>
      </c>
      <c r="AC80" s="726" t="n"/>
    </row>
    <row r="81" ht="15" customHeight="1" s="1883">
      <c r="A81" s="1641" t="n"/>
      <c r="B81" s="809" t="inlineStr">
        <is>
          <t>√</t>
        </is>
      </c>
      <c r="C81" s="390" t="inlineStr">
        <is>
          <t>●</t>
        </is>
      </c>
      <c r="D81" s="383" t="inlineStr">
        <is>
          <t>Meetings and Refreshments</t>
        </is>
      </c>
      <c r="E81" s="383" t="n"/>
      <c r="F81" s="383" t="n"/>
      <c r="G81" s="383" t="n"/>
      <c r="H81" s="383" t="n"/>
      <c r="I81" s="383" t="n"/>
      <c r="J81" s="384" t="n"/>
      <c r="K81" s="462">
        <f>'6B. Pre-Launch Exps. - Detail'!F86</f>
        <v/>
      </c>
      <c r="L81" s="462">
        <f>'6B. Pre-Launch Exps. - Detail'!G86</f>
        <v/>
      </c>
      <c r="M81" s="462">
        <f>'6B. Pre-Launch Exps. - Detail'!H86</f>
        <v/>
      </c>
      <c r="N81" s="462">
        <f>'6B. Pre-Launch Exps. - Detail'!I86</f>
        <v/>
      </c>
      <c r="O81" s="462">
        <f>'6B. Pre-Launch Exps. - Detail'!J86</f>
        <v/>
      </c>
      <c r="P81" s="462">
        <f>'6B. Pre-Launch Exps. - Detail'!K86</f>
        <v/>
      </c>
      <c r="Q81" s="462">
        <f>'6B. Pre-Launch Exps. - Detail'!L86</f>
        <v/>
      </c>
      <c r="R81" s="462">
        <f>'6B. Pre-Launch Exps. - Detail'!M86</f>
        <v/>
      </c>
      <c r="S81" s="462">
        <f>'6B. Pre-Launch Exps. - Detail'!N86</f>
        <v/>
      </c>
      <c r="T81" s="462">
        <f>'6B. Pre-Launch Exps. - Detail'!O86</f>
        <v/>
      </c>
      <c r="U81" s="462">
        <f>'6B. Pre-Launch Exps. - Detail'!P86</f>
        <v/>
      </c>
      <c r="V81" s="462">
        <f>'6B. Pre-Launch Exps. - Detail'!Q86</f>
        <v/>
      </c>
      <c r="W81" s="462" t="n"/>
      <c r="X81" s="494">
        <f>SUM(K81:V81)</f>
        <v/>
      </c>
      <c r="Z81" s="702">
        <f>(X81)</f>
        <v/>
      </c>
      <c r="AA81" s="765">
        <f>((X81)-(Z81))</f>
        <v/>
      </c>
      <c r="AC81" s="726" t="n"/>
    </row>
    <row r="82" ht="15" customHeight="1" s="1883">
      <c r="A82" s="1641" t="n"/>
      <c r="B82" s="809" t="inlineStr">
        <is>
          <t>√</t>
        </is>
      </c>
      <c r="C82" s="390" t="inlineStr">
        <is>
          <t>●</t>
        </is>
      </c>
      <c r="D82" s="383" t="inlineStr">
        <is>
          <t>Team Travel</t>
        </is>
      </c>
      <c r="E82" s="383" t="n"/>
      <c r="F82" s="383" t="n"/>
      <c r="G82" s="383" t="n"/>
      <c r="H82" s="383" t="n"/>
      <c r="I82" s="383" t="n"/>
      <c r="J82" s="384" t="n"/>
      <c r="K82" s="462">
        <f>'6B. Pre-Launch Exps. - Detail'!F87</f>
        <v/>
      </c>
      <c r="L82" s="462">
        <f>'6B. Pre-Launch Exps. - Detail'!G87</f>
        <v/>
      </c>
      <c r="M82" s="462">
        <f>'6B. Pre-Launch Exps. - Detail'!H87</f>
        <v/>
      </c>
      <c r="N82" s="462">
        <f>'6B. Pre-Launch Exps. - Detail'!I87</f>
        <v/>
      </c>
      <c r="O82" s="462">
        <f>'6B. Pre-Launch Exps. - Detail'!J87</f>
        <v/>
      </c>
      <c r="P82" s="462">
        <f>'6B. Pre-Launch Exps. - Detail'!K87</f>
        <v/>
      </c>
      <c r="Q82" s="462">
        <f>'6B. Pre-Launch Exps. - Detail'!L87</f>
        <v/>
      </c>
      <c r="R82" s="462">
        <f>'6B. Pre-Launch Exps. - Detail'!M87</f>
        <v/>
      </c>
      <c r="S82" s="462">
        <f>'6B. Pre-Launch Exps. - Detail'!N87</f>
        <v/>
      </c>
      <c r="T82" s="462">
        <f>'6B. Pre-Launch Exps. - Detail'!O87</f>
        <v/>
      </c>
      <c r="U82" s="462">
        <f>'6B. Pre-Launch Exps. - Detail'!P87</f>
        <v/>
      </c>
      <c r="V82" s="462">
        <f>'6B. Pre-Launch Exps. - Detail'!Q87</f>
        <v/>
      </c>
      <c r="W82" s="462" t="n"/>
      <c r="X82" s="494">
        <f>SUM(K82:V82)</f>
        <v/>
      </c>
      <c r="Z82" s="702">
        <f>(X82)</f>
        <v/>
      </c>
      <c r="AA82" s="765" t="n"/>
      <c r="AC82" s="726" t="n"/>
    </row>
    <row r="83" ht="15" customHeight="1" s="1883">
      <c r="A83" s="1641" t="n"/>
      <c r="B83" s="809" t="inlineStr">
        <is>
          <t>√</t>
        </is>
      </c>
      <c r="C83" s="390" t="inlineStr">
        <is>
          <t>●</t>
        </is>
      </c>
      <c r="D83" s="383" t="inlineStr">
        <is>
          <t>Extraneous Expenses</t>
        </is>
      </c>
      <c r="E83" s="383" t="n"/>
      <c r="F83" s="383" t="n"/>
      <c r="G83" s="383" t="n"/>
      <c r="H83" s="383" t="n"/>
      <c r="I83" s="383" t="n"/>
      <c r="J83" s="384" t="n"/>
      <c r="K83" s="462">
        <f>'6B. Pre-Launch Exps. - Detail'!F88</f>
        <v/>
      </c>
      <c r="L83" s="462">
        <f>'6B. Pre-Launch Exps. - Detail'!G88</f>
        <v/>
      </c>
      <c r="M83" s="462">
        <f>'6B. Pre-Launch Exps. - Detail'!H88</f>
        <v/>
      </c>
      <c r="N83" s="462">
        <f>'6B. Pre-Launch Exps. - Detail'!I88</f>
        <v/>
      </c>
      <c r="O83" s="462">
        <f>'6B. Pre-Launch Exps. - Detail'!J88</f>
        <v/>
      </c>
      <c r="P83" s="462">
        <f>'6B. Pre-Launch Exps. - Detail'!K88</f>
        <v/>
      </c>
      <c r="Q83" s="462">
        <f>'6B. Pre-Launch Exps. - Detail'!L88</f>
        <v/>
      </c>
      <c r="R83" s="462">
        <f>'6B. Pre-Launch Exps. - Detail'!M88</f>
        <v/>
      </c>
      <c r="S83" s="462">
        <f>'6B. Pre-Launch Exps. - Detail'!N88</f>
        <v/>
      </c>
      <c r="T83" s="462">
        <f>'6B. Pre-Launch Exps. - Detail'!O88</f>
        <v/>
      </c>
      <c r="U83" s="462">
        <f>'6B. Pre-Launch Exps. - Detail'!P88</f>
        <v/>
      </c>
      <c r="V83" s="462">
        <f>'6B. Pre-Launch Exps. - Detail'!Q88</f>
        <v/>
      </c>
      <c r="W83" s="462" t="n"/>
      <c r="X83" s="494">
        <f>SUM(K83:V83)</f>
        <v/>
      </c>
      <c r="Z83" s="702">
        <f>(X83)</f>
        <v/>
      </c>
      <c r="AA83" s="765">
        <f>((X83)-(Z83))</f>
        <v/>
      </c>
      <c r="AC83" s="726" t="n"/>
    </row>
    <row r="84" ht="15" customHeight="1" s="1883">
      <c r="B84" s="809" t="inlineStr">
        <is>
          <t>√</t>
        </is>
      </c>
      <c r="C84" s="390" t="inlineStr">
        <is>
          <t>●</t>
        </is>
      </c>
      <c r="D84" s="383" t="inlineStr">
        <is>
          <t>Miscellaneous/Contingency at 10%</t>
        </is>
      </c>
      <c r="E84" s="383" t="n"/>
      <c r="F84" s="383" t="n"/>
      <c r="G84" s="383" t="n"/>
      <c r="H84" s="383" t="n"/>
      <c r="I84" s="383" t="n"/>
      <c r="J84" s="384" t="n"/>
      <c r="K84" s="462">
        <f>(((K35)+(K53)+(K62)+SUM(K67:K83)-(K41)-(K46)-(K48))*(0.1))</f>
        <v/>
      </c>
      <c r="L84" s="462">
        <f>(((L35)+(L53)+(L62)+SUM(L67:L83)-(L41)-(L46)-(L48))*(0.1))</f>
        <v/>
      </c>
      <c r="M84" s="462">
        <f>(((M35)+(M53)+(M62)+SUM(M67:M83)-(M41)-(M46)-(M48))*(0.1))</f>
        <v/>
      </c>
      <c r="N84" s="462">
        <f>(((N35)+(N53)+(N62)+SUM(N67:N83)-(N41)-(N46)-(N48))*(0.1))</f>
        <v/>
      </c>
      <c r="O84" s="462">
        <f>(((O35)+(O53)+(O62)+SUM(O67:O83)-(O41)-(O46)-(O48))*(0.1))</f>
        <v/>
      </c>
      <c r="P84" s="462">
        <f>(((P35)+(P53)+(P62)+SUM(P67:P83)-(P41)-(P46)-(P48))*(0.1))</f>
        <v/>
      </c>
      <c r="Q84" s="462">
        <f>(((Q35)+(Q53)+(Q62)+SUM(Q67:Q83)-(Q41)-(Q46)-(Q48))*(0.1))</f>
        <v/>
      </c>
      <c r="R84" s="462">
        <f>(((R35)+(R53)+(R62)+SUM(R67:R83)-(R41)-(R46)-(R48))*(0.1))</f>
        <v/>
      </c>
      <c r="S84" s="462">
        <f>(((S35)+(S53)+(S62)+SUM(S67:S83)-(S41)-(S46)-(S48))*(0.1))</f>
        <v/>
      </c>
      <c r="T84" s="462">
        <f>(((T35)+(T53)+(T62)+SUM(T67:T83)-(T41)-(T46)-(T48))*(0.1))</f>
        <v/>
      </c>
      <c r="U84" s="462">
        <f>(((U35)+(U53)+(U62)+SUM(U67:U83)-(U41)-(U46)-(U48))*(0.1))</f>
        <v/>
      </c>
      <c r="V84" s="462">
        <f>(((V35)+(V53)+(V62)+SUM(V67:V83)-(V41)-(V46)-(V48))*(0.1))</f>
        <v/>
      </c>
      <c r="W84" s="462" t="n"/>
      <c r="X84" s="494">
        <f>SUM(K84:V84)</f>
        <v/>
      </c>
      <c r="Z84" s="702" t="n">
        <v>169640.0138055556</v>
      </c>
      <c r="AA84" s="765">
        <f>((X84)-(Z84))</f>
        <v/>
      </c>
      <c r="AC84" s="726" t="inlineStr">
        <is>
          <t xml:space="preserve">Contingency changed from 2.5% of expenses to 10.0% of expenses; current projection is very conservative and likely overstated </t>
        </is>
      </c>
    </row>
    <row r="85" ht="3" customHeight="1" s="1883">
      <c r="B85" s="383" t="n"/>
      <c r="C85" s="383" t="n"/>
      <c r="D85" s="383" t="n"/>
      <c r="E85" s="383" t="n"/>
      <c r="F85" s="383" t="n"/>
      <c r="G85" s="383" t="n"/>
      <c r="H85" s="383" t="n"/>
      <c r="I85" s="383" t="n"/>
      <c r="J85" s="383" t="n"/>
      <c r="K85" s="508" t="n"/>
      <c r="L85" s="508" t="n"/>
      <c r="M85" s="508" t="n"/>
      <c r="N85" s="508" t="n"/>
      <c r="O85" s="508" t="n"/>
      <c r="P85" s="508" t="n"/>
      <c r="Q85" s="508" t="n"/>
      <c r="R85" s="508" t="n"/>
      <c r="S85" s="508" t="n"/>
      <c r="T85" s="508" t="n"/>
      <c r="U85" s="508" t="n"/>
      <c r="V85" s="508" t="n"/>
      <c r="W85" s="462" t="n"/>
      <c r="X85" s="640" t="n"/>
      <c r="Z85" s="640" t="n"/>
      <c r="AA85" s="640" t="n"/>
      <c r="AC85" s="726" t="n"/>
    </row>
    <row r="86" ht="3" customHeight="1" s="1883">
      <c r="B86" s="383" t="n"/>
      <c r="C86" s="383" t="n"/>
      <c r="D86" s="383" t="n"/>
      <c r="E86" s="383" t="n"/>
      <c r="F86" s="383" t="n"/>
      <c r="G86" s="383" t="n"/>
      <c r="H86" s="383" t="n"/>
      <c r="I86" s="383" t="n"/>
      <c r="J86" s="383" t="n"/>
      <c r="K86" s="462" t="n"/>
      <c r="L86" s="462" t="n"/>
      <c r="M86" s="462" t="n"/>
      <c r="N86" s="462" t="n"/>
      <c r="O86" s="462" t="n"/>
      <c r="P86" s="462" t="n"/>
      <c r="Q86" s="462" t="n"/>
      <c r="R86" s="462" t="n"/>
      <c r="S86" s="462" t="n"/>
      <c r="T86" s="462" t="n"/>
      <c r="U86" s="462" t="n"/>
      <c r="V86" s="462" t="n"/>
      <c r="W86" s="462" t="n"/>
      <c r="X86" s="507" t="n"/>
      <c r="Z86" s="507" t="n"/>
      <c r="AA86" s="507" t="n"/>
      <c r="AC86" s="726" t="n"/>
    </row>
    <row r="87" ht="15" customHeight="1" s="1883">
      <c r="B87" s="383" t="n"/>
      <c r="C87" s="383" t="n"/>
      <c r="D87" s="383" t="n"/>
      <c r="E87" s="385" t="inlineStr">
        <is>
          <t>Total, General and Administrative</t>
        </is>
      </c>
      <c r="F87" s="383" t="n"/>
      <c r="G87" s="383" t="n"/>
      <c r="H87" s="383" t="n"/>
      <c r="I87" s="383" t="n"/>
      <c r="J87" s="383" t="n"/>
      <c r="K87" s="494">
        <f>SUM(K67:K84)</f>
        <v/>
      </c>
      <c r="L87" s="494">
        <f>SUM(L67:L84)</f>
        <v/>
      </c>
      <c r="M87" s="494">
        <f>SUM(M67:M84)</f>
        <v/>
      </c>
      <c r="N87" s="494">
        <f>SUM(N67:N84)</f>
        <v/>
      </c>
      <c r="O87" s="494">
        <f>SUM(O67:O84)</f>
        <v/>
      </c>
      <c r="P87" s="494">
        <f>SUM(P67:P84)</f>
        <v/>
      </c>
      <c r="Q87" s="494">
        <f>SUM(Q67:Q84)</f>
        <v/>
      </c>
      <c r="R87" s="494">
        <f>SUM(R67:R84)</f>
        <v/>
      </c>
      <c r="S87" s="494">
        <f>SUM(S67:S84)</f>
        <v/>
      </c>
      <c r="T87" s="494">
        <f>SUM(T67:T84)</f>
        <v/>
      </c>
      <c r="U87" s="494">
        <f>SUM(U67:U84)</f>
        <v/>
      </c>
      <c r="V87" s="494">
        <f>SUM(V67:V84)</f>
        <v/>
      </c>
      <c r="W87" s="462" t="n"/>
      <c r="X87" s="494">
        <f>SUM(X67:X84)</f>
        <v/>
      </c>
      <c r="Z87" s="494">
        <f>SUM(Z67:Z84)</f>
        <v/>
      </c>
      <c r="AA87" s="494">
        <f>SUM(AA67:AA84)</f>
        <v/>
      </c>
      <c r="AC87" s="726" t="n"/>
    </row>
    <row r="88" ht="3" customHeight="1" s="1883">
      <c r="B88" s="383" t="n"/>
      <c r="C88" s="383" t="n"/>
      <c r="D88" s="383" t="n"/>
      <c r="E88" s="383" t="n"/>
      <c r="F88" s="383" t="n"/>
      <c r="G88" s="383" t="n"/>
      <c r="H88" s="383" t="n"/>
      <c r="I88" s="383" t="n"/>
      <c r="J88" s="383" t="n"/>
      <c r="K88" s="508" t="n"/>
      <c r="L88" s="508" t="n"/>
      <c r="M88" s="508" t="n"/>
      <c r="N88" s="508" t="n"/>
      <c r="O88" s="508" t="n"/>
      <c r="P88" s="508" t="n"/>
      <c r="Q88" s="508" t="n"/>
      <c r="R88" s="508" t="n"/>
      <c r="S88" s="508" t="n"/>
      <c r="T88" s="508" t="n"/>
      <c r="U88" s="508" t="n"/>
      <c r="V88" s="508" t="n"/>
      <c r="W88" s="462" t="n"/>
      <c r="X88" s="640" t="n"/>
      <c r="Z88" s="640" t="n"/>
      <c r="AA88" s="640" t="n"/>
      <c r="AC88" s="726" t="n"/>
    </row>
    <row r="89" ht="3" customHeight="1" s="1883">
      <c r="B89" s="383" t="n"/>
      <c r="C89" s="383" t="n"/>
      <c r="D89" s="383" t="n"/>
      <c r="E89" s="383" t="n"/>
      <c r="F89" s="383" t="n"/>
      <c r="G89" s="383" t="n"/>
      <c r="H89" s="383" t="n"/>
      <c r="I89" s="383" t="n"/>
      <c r="J89" s="383" t="n"/>
      <c r="K89" s="462" t="n"/>
      <c r="L89" s="462" t="n"/>
      <c r="M89" s="462" t="n"/>
      <c r="N89" s="462" t="n"/>
      <c r="O89" s="462" t="n"/>
      <c r="P89" s="462" t="n"/>
      <c r="Q89" s="462" t="n"/>
      <c r="R89" s="462" t="n"/>
      <c r="S89" s="462" t="n"/>
      <c r="T89" s="462" t="n"/>
      <c r="U89" s="462" t="n"/>
      <c r="V89" s="462" t="n"/>
      <c r="W89" s="462" t="n"/>
      <c r="X89" s="507" t="n"/>
      <c r="Z89" s="507" t="n"/>
      <c r="AA89" s="507" t="n"/>
      <c r="AC89" s="726" t="n"/>
    </row>
    <row r="90" ht="15" customHeight="1" s="1883">
      <c r="B90" s="383" t="n"/>
      <c r="C90" s="383" t="n"/>
      <c r="D90" s="383" t="n"/>
      <c r="E90" s="383" t="n"/>
      <c r="F90" s="383" t="n"/>
      <c r="G90" s="383" t="n"/>
      <c r="H90" s="383" t="n"/>
      <c r="I90" s="383" t="n"/>
      <c r="J90" s="383" t="n"/>
      <c r="K90" s="462" t="n"/>
      <c r="L90" s="462" t="n"/>
      <c r="M90" s="462" t="n"/>
      <c r="N90" s="462" t="n"/>
      <c r="O90" s="462" t="n"/>
      <c r="P90" s="462" t="n"/>
      <c r="Q90" s="462" t="n"/>
      <c r="R90" s="462" t="n"/>
      <c r="S90" s="462" t="n"/>
      <c r="T90" s="462" t="n"/>
      <c r="U90" s="462" t="n"/>
      <c r="V90" s="462" t="n"/>
      <c r="W90" s="462" t="n"/>
      <c r="X90" s="507" t="n"/>
      <c r="Z90" s="507" t="n"/>
      <c r="AA90" s="507" t="n"/>
      <c r="AC90" s="726" t="n"/>
    </row>
    <row r="91" ht="15" customHeight="1" s="1883">
      <c r="B91" s="383" t="n"/>
      <c r="C91" s="383" t="n"/>
      <c r="D91" s="383" t="n"/>
      <c r="E91" s="383" t="n"/>
      <c r="F91" s="383" t="n"/>
      <c r="G91" s="383" t="n"/>
      <c r="H91" s="383" t="n"/>
      <c r="I91" s="383" t="n"/>
      <c r="J91" s="383" t="n"/>
      <c r="K91" s="462" t="n"/>
      <c r="L91" s="462" t="n"/>
      <c r="M91" s="462" t="n"/>
      <c r="N91" s="462" t="n"/>
      <c r="O91" s="462" t="n"/>
      <c r="P91" s="462" t="n"/>
      <c r="Q91" s="462" t="n"/>
      <c r="R91" s="462" t="n"/>
      <c r="S91" s="462" t="n"/>
      <c r="T91" s="462" t="n"/>
      <c r="U91" s="462" t="n"/>
      <c r="V91" s="462" t="n"/>
      <c r="W91" s="462" t="n"/>
      <c r="X91" s="507" t="n"/>
      <c r="Z91" s="507" t="n"/>
      <c r="AC91" s="726" t="n"/>
    </row>
    <row r="92" ht="3" customHeight="1" s="1883">
      <c r="B92" s="383" t="n"/>
      <c r="C92" s="383" t="n"/>
      <c r="D92" s="383" t="n"/>
      <c r="E92" s="383" t="n"/>
      <c r="F92" s="383" t="n"/>
      <c r="G92" s="383" t="n"/>
      <c r="H92" s="383" t="n"/>
      <c r="I92" s="383" t="n"/>
      <c r="J92" s="383" t="n"/>
      <c r="K92" s="508" t="n"/>
      <c r="L92" s="508" t="n"/>
      <c r="M92" s="508" t="n"/>
      <c r="N92" s="508" t="n"/>
      <c r="O92" s="508" t="n"/>
      <c r="P92" s="508" t="n"/>
      <c r="Q92" s="508" t="n"/>
      <c r="R92" s="508" t="n"/>
      <c r="S92" s="508" t="n"/>
      <c r="T92" s="508" t="n"/>
      <c r="U92" s="508" t="n"/>
      <c r="V92" s="508" t="n"/>
      <c r="W92" s="462" t="n"/>
      <c r="X92" s="508" t="n"/>
      <c r="Z92" s="508" t="n"/>
      <c r="AC92" s="726" t="n"/>
    </row>
    <row r="93" ht="3" customHeight="1" s="1883">
      <c r="B93" s="383" t="n"/>
      <c r="C93" s="383" t="n"/>
      <c r="D93" s="383" t="n"/>
      <c r="E93" s="383" t="n"/>
      <c r="F93" s="383" t="n"/>
      <c r="G93" s="383" t="n"/>
      <c r="H93" s="383" t="n"/>
      <c r="I93" s="383" t="n"/>
      <c r="J93" s="383" t="n"/>
      <c r="K93" s="462" t="n"/>
      <c r="L93" s="462" t="n"/>
      <c r="M93" s="462" t="n"/>
      <c r="N93" s="462" t="n"/>
      <c r="O93" s="462" t="n"/>
      <c r="P93" s="462" t="n"/>
      <c r="Q93" s="462" t="n"/>
      <c r="R93" s="462" t="n"/>
      <c r="S93" s="462" t="n"/>
      <c r="T93" s="462" t="n"/>
      <c r="U93" s="462" t="n"/>
      <c r="V93" s="462" t="n"/>
      <c r="W93" s="462" t="n"/>
      <c r="X93" s="462" t="n"/>
      <c r="Z93" s="462" t="n"/>
      <c r="AC93" s="726" t="n"/>
    </row>
    <row r="94" ht="15" customHeight="1" s="1883">
      <c r="B94" s="383" t="n"/>
      <c r="C94" s="383" t="n"/>
      <c r="D94" s="383" t="n"/>
      <c r="E94" s="383" t="n"/>
      <c r="F94" s="463" t="inlineStr">
        <is>
          <t>TOTAL OPERATING EXPENSES</t>
        </is>
      </c>
      <c r="G94" s="464" t="n"/>
      <c r="H94" s="464" t="n"/>
      <c r="I94" s="464" t="n"/>
      <c r="J94" s="464" t="n"/>
      <c r="K94" s="642">
        <f>((K35)+(K39)+(K41)+(K53)+(K62)+(K87))</f>
        <v/>
      </c>
      <c r="L94" s="642">
        <f>((L35)+(L39)+(L41)+(L53)+(L62)+(L87))</f>
        <v/>
      </c>
      <c r="M94" s="642">
        <f>((M35)+(M39)+(M41)+(M53)+(M62)+(M87))</f>
        <v/>
      </c>
      <c r="N94" s="642">
        <f>((N35)+(N39)+(N41)+(N53)+(N62)+(N87))</f>
        <v/>
      </c>
      <c r="O94" s="642">
        <f>((O35)+(O39)+(O41)+(O53)+(O62)+(O87))</f>
        <v/>
      </c>
      <c r="P94" s="642">
        <f>((P35)+(P39)+(P41)+(P53)+(P62)+(P87))</f>
        <v/>
      </c>
      <c r="Q94" s="642">
        <f>((Q35)+(Q39)+(Q41)+(Q53)+(Q62)+(Q87))</f>
        <v/>
      </c>
      <c r="R94" s="642">
        <f>((R35)+(R39)+(R41)+(R53)+(R62)+(R87))</f>
        <v/>
      </c>
      <c r="S94" s="642">
        <f>((S35)+(S39)+(S41)+(S53)+(S62)+(S87))</f>
        <v/>
      </c>
      <c r="T94" s="642">
        <f>((T35)+(T39)+(T41)+(T53)+(T62)+(T87))</f>
        <v/>
      </c>
      <c r="U94" s="642">
        <f>((U35)+(U39)+(U41)+(U53)+(U62)+(U87))</f>
        <v/>
      </c>
      <c r="V94" s="642">
        <f>((V35)+(V39)+(V41)+(V53)+(V62)+(V87))</f>
        <v/>
      </c>
      <c r="W94" s="462" t="n"/>
      <c r="X94" s="642">
        <f>((X35)+(X39)+(X41)+(X53)+(X62)+(X87))</f>
        <v/>
      </c>
      <c r="Z94" s="642">
        <f>((Z35)+(Z39)+(Z41)+(Z53)+(Z62)+(Z87))</f>
        <v/>
      </c>
      <c r="AC94" s="726" t="n"/>
    </row>
  </sheetData>
  <mergeCells count="4">
    <mergeCell ref="N11:V11"/>
    <mergeCell ref="B4:AC4"/>
    <mergeCell ref="B2:AC2"/>
    <mergeCell ref="B6:AC6"/>
  </mergeCells>
  <pageMargins left="0.7" right="0.7" top="0.75" bottom="0.75" header="0.3" footer="0.3"/>
  <pageSetup orientation="portrait" horizontalDpi="300" verticalDpi="300"/>
  <legacyDrawing xmlns:r="http://schemas.openxmlformats.org/officeDocument/2006/relationships" r:id="anysvml"/>
</worksheet>
</file>

<file path=xl/worksheets/sheet19.xml><?xml version="1.0" encoding="utf-8"?>
<worksheet xmlns="http://schemas.openxmlformats.org/spreadsheetml/2006/main">
  <sheetPr>
    <tabColor rgb="FFCCFFCC"/>
    <outlinePr summaryBelow="0" summaryRight="0"/>
    <pageSetUpPr/>
  </sheetPr>
  <dimension ref="A1:AU1028"/>
  <sheetViews>
    <sheetView showGridLines="0" topLeftCell="A82" zoomScale="129" zoomScaleNormal="129" workbookViewId="0">
      <selection activeCell="B116" sqref="B116:Q128"/>
    </sheetView>
  </sheetViews>
  <sheetFormatPr baseColWidth="10" defaultColWidth="17.33203125" defaultRowHeight="15" customHeight="1"/>
  <cols>
    <col width="18.5" customWidth="1" style="1883" min="1" max="1"/>
    <col width="38.33203125" customWidth="1" style="1883" min="2" max="2"/>
    <col width="13.1640625" customWidth="1" style="1883" min="3" max="3"/>
    <col width="11.6640625" customWidth="1" style="1883" min="4" max="4"/>
    <col width="11.1640625" customWidth="1" style="1883" min="5" max="5"/>
    <col width="12.6640625" customWidth="1" style="1883" min="6" max="9"/>
    <col width="13.5" customWidth="1" style="1883" min="10" max="10"/>
    <col width="15" customWidth="1" style="1883" min="11" max="11"/>
    <col width="12.6640625" customWidth="1" style="1883" min="12" max="13"/>
    <col width="15.5" customWidth="1" style="1883" min="14" max="14"/>
    <col width="14.5" customWidth="1" style="1883" min="15" max="16"/>
    <col width="15" customWidth="1" style="1883" min="17" max="17"/>
    <col width="18.6640625" customWidth="1" style="1883" min="18" max="18"/>
    <col width="15" customWidth="1" style="1883" min="19" max="20"/>
    <col width="18.6640625" customWidth="1" style="1883" min="21" max="22"/>
    <col width="19.1640625" customWidth="1" style="1883" min="23" max="23"/>
    <col width="17.1640625" customWidth="1" style="1883" min="24" max="24"/>
    <col width="8.6640625" customWidth="1" style="1883" min="25" max="34"/>
  </cols>
  <sheetData>
    <row r="1" ht="12.75" customHeight="1" s="1883">
      <c r="A1" s="1182" t="inlineStr">
        <is>
          <t xml:space="preserve"> </t>
        </is>
      </c>
      <c r="B1" s="1030" t="n"/>
      <c r="C1" s="1025" t="n"/>
      <c r="D1" s="1031" t="n"/>
      <c r="E1" s="1031" t="n"/>
      <c r="F1" s="1032" t="n"/>
      <c r="G1" s="1032" t="n"/>
      <c r="H1" s="1032" t="n"/>
      <c r="I1" s="1032" t="n"/>
      <c r="J1" s="1032" t="n"/>
      <c r="K1" s="1032" t="n"/>
      <c r="L1" s="1032" t="n"/>
      <c r="M1" s="1032" t="n"/>
      <c r="N1" s="1032" t="n"/>
      <c r="O1" s="1032" t="n"/>
      <c r="P1" s="1032" t="n"/>
      <c r="Q1" s="1032" t="n"/>
      <c r="R1" s="1937" t="inlineStr">
        <is>
          <t>TOTAL PER CATEGORY</t>
        </is>
      </c>
    </row>
    <row r="2" ht="12.75" customHeight="1" s="1883">
      <c r="A2" s="1182" t="n"/>
      <c r="B2" s="1030" t="n"/>
      <c r="C2" s="1025" t="n"/>
      <c r="D2" s="1031" t="n"/>
      <c r="E2" s="1031" t="n"/>
      <c r="F2" s="1032" t="n"/>
      <c r="G2" s="1032" t="n"/>
      <c r="H2" s="1032" t="n"/>
      <c r="I2" s="1032" t="n"/>
      <c r="J2" s="1032" t="n"/>
      <c r="K2" s="1032" t="n"/>
      <c r="L2" s="1032" t="n"/>
      <c r="M2" s="1032" t="n"/>
      <c r="N2" s="1032" t="n"/>
      <c r="O2" s="1032" t="n"/>
      <c r="P2" s="1032" t="n"/>
      <c r="Q2" s="1032" t="n"/>
      <c r="R2" s="1938" t="n"/>
    </row>
    <row r="3" ht="25" customHeight="1" s="1883">
      <c r="A3" s="1183" t="n"/>
      <c r="B3" s="1033" t="inlineStr">
        <is>
          <t>Assumptions</t>
        </is>
      </c>
      <c r="C3" s="1034" t="n"/>
      <c r="D3" s="1184" t="n"/>
      <c r="E3" s="1184" t="n"/>
      <c r="F3" s="1185" t="inlineStr">
        <is>
          <t>-12</t>
        </is>
      </c>
      <c r="G3" s="1036" t="n">
        <v>-11</v>
      </c>
      <c r="H3" s="1036" t="n">
        <v>-10</v>
      </c>
      <c r="I3" s="1036" t="n">
        <v>-9</v>
      </c>
      <c r="J3" s="1036" t="n">
        <v>-8</v>
      </c>
      <c r="K3" s="1036" t="n">
        <v>-7</v>
      </c>
      <c r="L3" s="1185" t="inlineStr">
        <is>
          <t>-6</t>
        </is>
      </c>
      <c r="M3" s="1036" t="n">
        <v>-5</v>
      </c>
      <c r="N3" s="1036" t="n">
        <v>-4</v>
      </c>
      <c r="O3" s="1036" t="n">
        <v>-3</v>
      </c>
      <c r="P3" s="1036" t="n">
        <v>-2</v>
      </c>
      <c r="Q3" s="1036" t="n">
        <v>-1</v>
      </c>
      <c r="R3" s="1938" t="n"/>
    </row>
    <row r="4" ht="12.75" customHeight="1" s="1883">
      <c r="A4" s="56" t="n"/>
      <c r="B4" s="1038" t="n"/>
      <c r="C4" s="55" t="n"/>
      <c r="D4" s="57" t="n"/>
      <c r="E4" s="57" t="n"/>
      <c r="F4" s="58" t="n"/>
      <c r="G4" s="59" t="n"/>
      <c r="H4" s="59" t="n"/>
      <c r="I4" s="59" t="n"/>
      <c r="J4" s="59" t="n"/>
      <c r="K4" s="59" t="n"/>
      <c r="L4" s="58" t="n"/>
      <c r="M4" s="59" t="n"/>
      <c r="N4" s="59" t="n"/>
      <c r="O4" s="59" t="n"/>
      <c r="P4" s="59" t="n"/>
      <c r="Q4" s="59" t="n"/>
      <c r="R4" s="1186" t="n"/>
    </row>
    <row r="5" ht="12.75" customHeight="1" s="1883">
      <c r="A5" s="1187" t="inlineStr">
        <is>
          <t>Income Statement</t>
        </is>
      </c>
      <c r="B5" s="1928" t="n"/>
      <c r="C5" s="672" t="n"/>
      <c r="D5" s="1041" t="n"/>
      <c r="E5" s="1041" t="n"/>
      <c r="F5" s="1042" t="n"/>
      <c r="G5" s="1042" t="n"/>
      <c r="H5" s="1042" t="n"/>
      <c r="I5" s="1042" t="n"/>
      <c r="J5" s="1042" t="n"/>
      <c r="K5" s="1042" t="n"/>
      <c r="L5" s="1042" t="n"/>
      <c r="M5" s="1042" t="n"/>
      <c r="N5" s="1042" t="n"/>
      <c r="O5" s="1042" t="n"/>
      <c r="P5" s="1042" t="n"/>
      <c r="Q5" s="1042" t="n"/>
      <c r="R5" s="60" t="n"/>
    </row>
    <row r="6" ht="12.75" customHeight="1" s="1883">
      <c r="A6" s="1153" t="n"/>
      <c r="B6" s="1928" t="n"/>
      <c r="C6" s="672" t="n"/>
      <c r="D6" s="1041" t="n"/>
      <c r="E6" s="1041" t="n"/>
      <c r="F6" s="1042" t="n"/>
      <c r="G6" s="1042" t="n"/>
      <c r="H6" s="1042" t="n"/>
      <c r="I6" s="1042" t="n"/>
      <c r="J6" s="1042" t="n"/>
      <c r="K6" s="1042" t="n"/>
      <c r="L6" s="1042" t="n"/>
      <c r="M6" s="1042" t="n"/>
      <c r="N6" s="1042" t="n"/>
      <c r="O6" s="1042" t="n"/>
      <c r="P6" s="1042" t="n"/>
      <c r="R6" s="60" t="n"/>
    </row>
    <row r="7" ht="12.75" customHeight="1" s="1883">
      <c r="A7" s="1153" t="n"/>
      <c r="B7" s="1188" t="inlineStr">
        <is>
          <t>Rent</t>
        </is>
      </c>
      <c r="C7" s="672" t="n"/>
      <c r="D7" s="1041" t="n"/>
      <c r="E7" s="1041" t="n"/>
      <c r="F7" s="1042" t="n"/>
      <c r="G7" s="1042" t="n"/>
      <c r="H7" s="1042" t="n"/>
      <c r="I7" s="1042" t="n"/>
      <c r="J7" s="1042" t="n"/>
      <c r="K7" s="1042" t="n"/>
      <c r="L7" s="1042" t="n"/>
      <c r="M7" s="1042" t="n"/>
      <c r="N7" s="1042" t="n"/>
      <c r="O7" s="1042" t="n"/>
      <c r="P7" s="1042" t="n"/>
      <c r="Q7" s="1042" t="n">
        <v>44</v>
      </c>
      <c r="R7" s="1189" t="inlineStr">
        <is>
          <t>Actual Head Count in NJ Offices (between both accelerator &amp; Pure Tech HQ)</t>
        </is>
      </c>
    </row>
    <row r="8" ht="12.75" customHeight="1" s="1883">
      <c r="A8" s="1153" t="n"/>
      <c r="B8" s="1190" t="n"/>
      <c r="C8" s="1047" t="n"/>
      <c r="D8" s="671" t="n"/>
      <c r="E8" s="671" t="inlineStr">
        <is>
          <t>Headcount - Office</t>
        </is>
      </c>
      <c r="F8" s="1639">
        <f>'5C. HC and Salaries - Support'!AB56+'5B. HC and Salaries - Mgmt.'!AC19+'5B. HC and Salaries - Mgmt.'!AC67</f>
        <v/>
      </c>
      <c r="G8" s="1639">
        <f>'5C. HC and Salaries - Support'!AC56+'5B. HC and Salaries - Mgmt.'!AD19+'5B. HC and Salaries - Mgmt.'!AD67</f>
        <v/>
      </c>
      <c r="H8" s="1639">
        <f>'5C. HC and Salaries - Support'!AD56+'5B. HC and Salaries - Mgmt.'!AE19+'5B. HC and Salaries - Mgmt.'!AE67</f>
        <v/>
      </c>
      <c r="I8" s="1639">
        <f>'5C. HC and Salaries - Support'!AE56+'5B. HC and Salaries - Mgmt.'!AF19+'5B. HC and Salaries - Mgmt.'!AF67</f>
        <v/>
      </c>
      <c r="J8" s="1639">
        <f>'5C. HC and Salaries - Support'!AF56+'5B. HC and Salaries - Mgmt.'!AG19+'5B. HC and Salaries - Mgmt.'!AG67</f>
        <v/>
      </c>
      <c r="K8" s="1639">
        <f>'5C. HC and Salaries - Support'!AG56+'5B. HC and Salaries - Mgmt.'!AH19+'5B. HC and Salaries - Mgmt.'!AH67</f>
        <v/>
      </c>
      <c r="L8" s="1639">
        <f>'5C. HC and Salaries - Support'!AH56+'5B. HC and Salaries - Mgmt.'!AI19+'5B. HC and Salaries - Mgmt.'!AI67</f>
        <v/>
      </c>
      <c r="M8" s="1639">
        <f>'5C. HC and Salaries - Support'!AI56+'5B. HC and Salaries - Mgmt.'!AJ19+'5B. HC and Salaries - Mgmt.'!AJ67</f>
        <v/>
      </c>
      <c r="N8" s="1639">
        <f>'5C. HC and Salaries - Support'!AJ56+'5B. HC and Salaries - Mgmt.'!AK19+'5B. HC and Salaries - Mgmt.'!AK67</f>
        <v/>
      </c>
      <c r="O8" s="1639">
        <f>'5C. HC and Salaries - Support'!AK56+'5B. HC and Salaries - Mgmt.'!AL19+'5B. HC and Salaries - Mgmt.'!AL67</f>
        <v/>
      </c>
      <c r="P8" s="1639">
        <f>'5C. HC and Salaries - Support'!AL56+'5B. HC and Salaries - Mgmt.'!AM19+'5B. HC and Salaries - Mgmt.'!AM67</f>
        <v/>
      </c>
      <c r="Q8" s="1639">
        <f>'5C. HC and Salaries - Support'!AM56+'5B. HC and Salaries - Mgmt.'!AN19+'5B. HC and Salaries - Mgmt.'!AN67</f>
        <v/>
      </c>
      <c r="R8" s="1926" t="inlineStr">
        <is>
          <t>Total Employees</t>
        </is>
      </c>
    </row>
    <row r="9" ht="12.75" customHeight="1" s="1883">
      <c r="A9" s="1153" t="n"/>
      <c r="B9" s="1190" t="n"/>
      <c r="C9" s="1047" t="n"/>
      <c r="D9" s="671" t="n"/>
      <c r="E9" s="671" t="inlineStr">
        <is>
          <t>sq.ft avg/employee</t>
        </is>
      </c>
      <c r="F9" s="1050" t="inlineStr">
        <is>
          <t>?</t>
        </is>
      </c>
      <c r="G9" s="1191">
        <f>+F9</f>
        <v/>
      </c>
      <c r="H9" s="1191">
        <f>+G9</f>
        <v/>
      </c>
      <c r="I9" s="1191">
        <f>+H9</f>
        <v/>
      </c>
      <c r="J9" s="1191">
        <f>+I9</f>
        <v/>
      </c>
      <c r="K9" s="1191">
        <f>+J9</f>
        <v/>
      </c>
      <c r="L9" s="1191">
        <f>+K9</f>
        <v/>
      </c>
      <c r="M9" s="62">
        <f>+L9</f>
        <v/>
      </c>
      <c r="N9" s="63" t="n">
        <v>100</v>
      </c>
      <c r="O9" s="62">
        <f>+N9</f>
        <v/>
      </c>
      <c r="P9" s="62">
        <f>+O9</f>
        <v/>
      </c>
      <c r="Q9" s="62">
        <f>+P9</f>
        <v/>
      </c>
      <c r="R9" s="60" t="n"/>
    </row>
    <row r="10" ht="12.75" customHeight="1" s="1883">
      <c r="A10" s="1153" t="n"/>
      <c r="B10" s="1190" t="n"/>
      <c r="C10" s="1047" t="n"/>
      <c r="D10" s="671" t="n"/>
      <c r="E10" s="671" t="inlineStr">
        <is>
          <t>Sq Ft Required</t>
        </is>
      </c>
      <c r="F10" s="1192" t="n">
        <v>20000</v>
      </c>
      <c r="G10" s="1052">
        <f>F10</f>
        <v/>
      </c>
      <c r="H10" s="1052">
        <f>G10</f>
        <v/>
      </c>
      <c r="I10" s="1192" t="n">
        <v>20000</v>
      </c>
      <c r="J10" s="1052">
        <f>I10</f>
        <v/>
      </c>
      <c r="K10" s="1052">
        <f>J10</f>
        <v/>
      </c>
      <c r="L10" s="1052">
        <f>K10</f>
        <v/>
      </c>
      <c r="M10" s="1052">
        <f>L10</f>
        <v/>
      </c>
      <c r="N10" s="1052">
        <f>$F10+($Q7*$Q9)</f>
        <v/>
      </c>
      <c r="O10" s="1052">
        <f>$F10+($Q7*$Q9)</f>
        <v/>
      </c>
      <c r="P10" s="1052">
        <f>$F10+($Q7*$Q9)</f>
        <v/>
      </c>
      <c r="Q10" s="1052">
        <f>$F10+($Q7*$Q9)</f>
        <v/>
      </c>
      <c r="R10" s="60" t="inlineStr">
        <is>
          <t>*from Column N is now two offices</t>
        </is>
      </c>
    </row>
    <row r="11" ht="12.75" customHeight="1" s="1883">
      <c r="A11" s="1153" t="n"/>
      <c r="B11" s="1190" t="n"/>
      <c r="C11" s="1047" t="n"/>
      <c r="D11" s="671" t="n"/>
      <c r="E11" s="671" t="inlineStr">
        <is>
          <t>Avg Rent in Area (NNN)</t>
        </is>
      </c>
      <c r="F11" s="1193" t="n">
        <v>0</v>
      </c>
      <c r="G11" s="1194">
        <f>+F11</f>
        <v/>
      </c>
      <c r="H11" s="1194">
        <f>+G11</f>
        <v/>
      </c>
      <c r="I11" s="1193" t="n">
        <v>8.1</v>
      </c>
      <c r="J11" s="1194">
        <f>+I11</f>
        <v/>
      </c>
      <c r="K11" s="1194">
        <f>+J11</f>
        <v/>
      </c>
      <c r="L11" s="1194">
        <f>+K11</f>
        <v/>
      </c>
      <c r="M11" s="723">
        <f>+L11</f>
        <v/>
      </c>
      <c r="N11" s="724" t="n">
        <v>29.2</v>
      </c>
      <c r="O11" s="723">
        <f>+N11</f>
        <v/>
      </c>
      <c r="P11" s="723">
        <f>+O11</f>
        <v/>
      </c>
      <c r="Q11" s="723">
        <f>+P11</f>
        <v/>
      </c>
      <c r="R11" s="60" t="n"/>
    </row>
    <row r="12" ht="12.75" customHeight="1" s="1883">
      <c r="A12" s="1650" t="inlineStr">
        <is>
          <t>G&amp;A                              √</t>
        </is>
      </c>
      <c r="B12" s="1188" t="inlineStr">
        <is>
          <t>Total Rent Expense</t>
        </is>
      </c>
      <c r="C12" s="1056" t="n"/>
      <c r="D12" s="1057" t="n"/>
      <c r="E12" s="1058" t="n"/>
      <c r="F12" s="1195" t="n">
        <v>17000</v>
      </c>
      <c r="G12" s="1195" t="n">
        <v>17000</v>
      </c>
      <c r="H12" s="1195" t="n">
        <v>17000</v>
      </c>
      <c r="I12" s="1195">
        <f>+(I10*I11)/12</f>
        <v/>
      </c>
      <c r="J12" s="1195">
        <f>+(J10*J11)/12</f>
        <v/>
      </c>
      <c r="K12" s="1195">
        <f>+(K10*K11)/12</f>
        <v/>
      </c>
      <c r="L12" s="1196">
        <f>+(L10*L11)/12</f>
        <v/>
      </c>
      <c r="M12" s="1196">
        <f>+(M10*M11)/12</f>
        <v/>
      </c>
      <c r="N12" s="1196">
        <f>+(N10-20000)*N11/12+12000</f>
        <v/>
      </c>
      <c r="O12" s="1196">
        <f>+(O10-20000)*O11/12+12000</f>
        <v/>
      </c>
      <c r="P12" s="1196">
        <f>+(P10-20000)*P11/12+12000</f>
        <v/>
      </c>
      <c r="Q12" s="1196">
        <f>+(Q10-20000)*Q11/12+12000</f>
        <v/>
      </c>
      <c r="R12" s="704">
        <f>SUM(F12:Q12)</f>
        <v/>
      </c>
    </row>
    <row r="13" ht="12.75" customHeight="1" s="1883">
      <c r="A13" s="1153" t="n"/>
      <c r="B13" s="1197" t="n"/>
      <c r="C13" s="1060" t="n"/>
      <c r="D13" s="1061" t="n"/>
      <c r="E13" s="1061" t="n"/>
      <c r="F13" s="1062" t="n"/>
      <c r="G13" s="1062" t="n"/>
      <c r="H13" s="1062" t="n"/>
      <c r="I13" s="1062" t="n"/>
      <c r="J13" s="1062" t="n"/>
      <c r="K13" s="1062" t="n"/>
      <c r="L13" s="1062" t="n"/>
      <c r="M13" s="1062" t="n"/>
      <c r="N13" s="1062" t="n"/>
      <c r="O13" s="1062" t="n"/>
      <c r="P13" s="1062" t="n"/>
      <c r="Q13" s="1062" t="n"/>
      <c r="R13" s="706" t="n"/>
    </row>
    <row r="14" ht="12.75" customHeight="1" s="1883">
      <c r="A14" s="1153" t="n"/>
      <c r="B14" s="1188" t="inlineStr">
        <is>
          <t>Utilities</t>
        </is>
      </c>
      <c r="C14" s="670" t="n"/>
      <c r="D14" s="671" t="n"/>
      <c r="E14" s="671" t="n"/>
      <c r="F14" s="1048" t="n"/>
      <c r="G14" s="1048" t="n"/>
      <c r="H14" s="1048" t="n"/>
      <c r="I14" s="1048" t="n"/>
      <c r="J14" s="1048" t="n"/>
      <c r="K14" s="1048" t="n"/>
      <c r="L14" s="1048" t="n"/>
      <c r="M14" s="1048" t="n"/>
      <c r="N14" s="1048" t="n"/>
      <c r="O14" s="1048" t="n"/>
      <c r="P14" s="1048" t="n"/>
      <c r="Q14" s="1048" t="n"/>
      <c r="R14" s="706" t="n"/>
    </row>
    <row r="15" ht="12.75" customHeight="1" s="1883">
      <c r="A15" s="1153" t="n"/>
      <c r="B15" s="1198" t="n"/>
      <c r="C15" s="670" t="n"/>
      <c r="D15" s="671" t="n"/>
      <c r="E15" s="671" t="inlineStr">
        <is>
          <t>Office Space</t>
        </is>
      </c>
      <c r="F15" s="1052">
        <f>+F10</f>
        <v/>
      </c>
      <c r="G15" s="1052">
        <f>+G10</f>
        <v/>
      </c>
      <c r="H15" s="1052">
        <f>+H10</f>
        <v/>
      </c>
      <c r="I15" s="1052">
        <f>+I10</f>
        <v/>
      </c>
      <c r="J15" s="1052">
        <f>+J10</f>
        <v/>
      </c>
      <c r="K15" s="1052">
        <f>+K10</f>
        <v/>
      </c>
      <c r="L15" s="1052">
        <f>+L10</f>
        <v/>
      </c>
      <c r="M15" s="1052">
        <f>+M10</f>
        <v/>
      </c>
      <c r="N15" s="1052">
        <f>+N10</f>
        <v/>
      </c>
      <c r="O15" s="1052">
        <f>+O10</f>
        <v/>
      </c>
      <c r="P15" s="1052">
        <f>+P10</f>
        <v/>
      </c>
      <c r="Q15" s="1052">
        <f>+Q10</f>
        <v/>
      </c>
      <c r="R15" s="706" t="n"/>
    </row>
    <row r="16" ht="12.75" customHeight="1" s="1883">
      <c r="A16" s="1153" t="n"/>
      <c r="B16" s="1198" t="n"/>
      <c r="C16" s="670" t="n"/>
      <c r="D16" s="671" t="n"/>
      <c r="E16" s="671" t="inlineStr">
        <is>
          <t>Avg Utilities /sq.ft.</t>
        </is>
      </c>
      <c r="F16" s="2053" t="n">
        <v>0.12</v>
      </c>
      <c r="G16" s="2054">
        <f>+F16</f>
        <v/>
      </c>
      <c r="H16" s="2054">
        <f>+G16</f>
        <v/>
      </c>
      <c r="I16" s="2053" t="n">
        <v>0.19</v>
      </c>
      <c r="J16" s="2054">
        <f>+I16</f>
        <v/>
      </c>
      <c r="K16" s="2054">
        <f>+J16</f>
        <v/>
      </c>
      <c r="L16" s="2053" t="n">
        <v>0.21</v>
      </c>
      <c r="M16" s="2054">
        <f>+L16</f>
        <v/>
      </c>
      <c r="N16" s="2054">
        <f>+M16</f>
        <v/>
      </c>
      <c r="O16" s="2054">
        <f>+N16</f>
        <v/>
      </c>
      <c r="P16" s="2054">
        <f>+O16</f>
        <v/>
      </c>
      <c r="Q16" s="2054">
        <f>+P16</f>
        <v/>
      </c>
      <c r="R16" s="706" t="n"/>
    </row>
    <row r="17" ht="12.75" customHeight="1" s="1883">
      <c r="A17" s="1650" t="inlineStr">
        <is>
          <t>G&amp;A                              √</t>
        </is>
      </c>
      <c r="B17" s="1188" t="inlineStr">
        <is>
          <t>Total Utilities</t>
        </is>
      </c>
      <c r="C17" s="1056" t="n"/>
      <c r="D17" s="1057" t="n"/>
      <c r="E17" s="1058" t="n"/>
      <c r="F17" s="1200">
        <f>+F15*F16</f>
        <v/>
      </c>
      <c r="G17" s="1200">
        <f>+G15*G16</f>
        <v/>
      </c>
      <c r="H17" s="1200">
        <f>+H15*H16</f>
        <v/>
      </c>
      <c r="I17" s="1200">
        <f>+I15*I16</f>
        <v/>
      </c>
      <c r="J17" s="1200">
        <f>+J15*J16</f>
        <v/>
      </c>
      <c r="K17" s="1200">
        <f>+K15*K16</f>
        <v/>
      </c>
      <c r="L17" s="1200">
        <f>+L15*L16</f>
        <v/>
      </c>
      <c r="M17" s="1200">
        <f>+M15*M16</f>
        <v/>
      </c>
      <c r="N17" s="1200">
        <f>+N15*N16</f>
        <v/>
      </c>
      <c r="O17" s="1200">
        <f>+O15*O16</f>
        <v/>
      </c>
      <c r="P17" s="1200">
        <f>+P15*P16</f>
        <v/>
      </c>
      <c r="Q17" s="1200">
        <f>+Q15*Q16</f>
        <v/>
      </c>
      <c r="R17" s="704">
        <f>SUM(F17:Q17)</f>
        <v/>
      </c>
    </row>
    <row r="18" ht="12.75" customHeight="1" s="1883">
      <c r="A18" s="1153" t="n"/>
      <c r="B18" s="1197" t="n"/>
      <c r="C18" s="1060" t="n"/>
      <c r="D18" s="1061" t="n"/>
      <c r="E18" s="1061" t="n"/>
      <c r="F18" s="1201" t="n"/>
      <c r="G18" s="1201" t="n"/>
      <c r="H18" s="1201" t="n"/>
      <c r="I18" s="1201" t="n"/>
      <c r="J18" s="1201" t="n"/>
      <c r="K18" s="1201" t="n"/>
      <c r="L18" s="1201" t="n"/>
      <c r="M18" s="1201" t="n"/>
      <c r="N18" s="1201" t="n"/>
      <c r="O18" s="1201" t="n"/>
      <c r="P18" s="1201" t="n"/>
      <c r="Q18" s="1201" t="n"/>
      <c r="R18" s="706" t="n"/>
    </row>
    <row r="19" ht="12.75" customHeight="1" s="1883">
      <c r="A19" s="1153" t="n"/>
      <c r="B19" s="1188" t="inlineStr">
        <is>
          <t>Telephone</t>
        </is>
      </c>
      <c r="C19" s="670" t="n"/>
      <c r="D19" s="671" t="n"/>
      <c r="E19" s="671" t="n"/>
      <c r="F19" s="1202" t="n"/>
      <c r="G19" s="1202" t="n"/>
      <c r="H19" s="1202" t="n"/>
      <c r="I19" s="1202" t="n"/>
      <c r="J19" s="1202" t="n"/>
      <c r="K19" s="1202" t="n"/>
      <c r="L19" s="1202" t="n"/>
      <c r="M19" s="1202" t="n"/>
      <c r="N19" s="1202" t="n"/>
      <c r="O19" s="1202" t="n"/>
      <c r="P19" s="1202" t="n"/>
      <c r="Q19" s="1202" t="n"/>
      <c r="R19" s="706" t="n"/>
    </row>
    <row r="20" ht="12.75" customHeight="1" s="1883">
      <c r="A20" s="1153" t="n"/>
      <c r="B20" s="1190" t="n"/>
      <c r="C20" s="670" t="n"/>
      <c r="D20" s="671" t="n"/>
      <c r="E20" s="1066" t="inlineStr">
        <is>
          <t>Headcount - Office</t>
        </is>
      </c>
      <c r="F20" s="1202">
        <f>'5C. HC and Salaries - Support'!AB22+'5C. HC and Salaries - Support'!AB23+'5C. HC and Salaries - Support'!AB24+'5C. HC and Salaries - Support'!AB25+'5C. HC and Salaries - Support'!AB26+'5C. HC and Salaries - Support'!AB48+'5C. HC and Salaries - Support'!AB49</f>
        <v/>
      </c>
      <c r="G20" s="1202">
        <f>'5C. HC and Salaries - Support'!AC22+'5C. HC and Salaries - Support'!AC23+'5C. HC and Salaries - Support'!AC24+'5C. HC and Salaries - Support'!AC25+'5C. HC and Salaries - Support'!AC26+'5C. HC and Salaries - Support'!AC48+'5C. HC and Salaries - Support'!AC49</f>
        <v/>
      </c>
      <c r="H20" s="1202">
        <f>'5C. HC and Salaries - Support'!AD22+'5C. HC and Salaries - Support'!AD23+'5C. HC and Salaries - Support'!AD24+'5C. HC and Salaries - Support'!AD25+'5C. HC and Salaries - Support'!AD26+'5C. HC and Salaries - Support'!AD48+'5C. HC and Salaries - Support'!AD49</f>
        <v/>
      </c>
      <c r="I20" s="1202">
        <f>'5C. HC and Salaries - Support'!AE22+'5C. HC and Salaries - Support'!AE23+'5C. HC and Salaries - Support'!AE24+'5C. HC and Salaries - Support'!AE25+'5C. HC and Salaries - Support'!AE26+'5C. HC and Salaries - Support'!AE48+'5C. HC and Salaries - Support'!AE49</f>
        <v/>
      </c>
      <c r="J20" s="1202">
        <f>'5C. HC and Salaries - Support'!AF22+'5C. HC and Salaries - Support'!AF23+'5C. HC and Salaries - Support'!AF24+'5C. HC and Salaries - Support'!AF25+'5C. HC and Salaries - Support'!AF26+'5C. HC and Salaries - Support'!AF48+'5C. HC and Salaries - Support'!AF49</f>
        <v/>
      </c>
      <c r="K20" s="1202">
        <f>'5C. HC and Salaries - Support'!AG22+'5C. HC and Salaries - Support'!AG23+'5C. HC and Salaries - Support'!AG24+'5C. HC and Salaries - Support'!AG25+'5C. HC and Salaries - Support'!AG26+'5C. HC and Salaries - Support'!AG48+'5C. HC and Salaries - Support'!AG49</f>
        <v/>
      </c>
      <c r="L20" s="1202">
        <f>'5C. HC and Salaries - Support'!AH22+'5C. HC and Salaries - Support'!AH23+'5C. HC and Salaries - Support'!AH24+'5C. HC and Salaries - Support'!AH25+'5C. HC and Salaries - Support'!AH26+'5C. HC and Salaries - Support'!AH48+'5C. HC and Salaries - Support'!AH49</f>
        <v/>
      </c>
      <c r="M20" s="1202">
        <f>'5C. HC and Salaries - Support'!AI22+'5C. HC and Salaries - Support'!AI23+'5C. HC and Salaries - Support'!AI24+'5C. HC and Salaries - Support'!AI25+'5C. HC and Salaries - Support'!AI26+'5C. HC and Salaries - Support'!AI48+'5C. HC and Salaries - Support'!AI49</f>
        <v/>
      </c>
      <c r="N20" s="1202">
        <f>'5C. HC and Salaries - Support'!AJ22+'5C. HC and Salaries - Support'!AJ23+'5C. HC and Salaries - Support'!AJ24+'5C. HC and Salaries - Support'!AJ25+'5C. HC and Salaries - Support'!AJ26+'5C. HC and Salaries - Support'!AJ48+'5C. HC and Salaries - Support'!AJ49</f>
        <v/>
      </c>
      <c r="O20" s="1202">
        <f>'5C. HC and Salaries - Support'!AK22+'5C. HC and Salaries - Support'!AK23+'5C. HC and Salaries - Support'!AK24+'5C. HC and Salaries - Support'!AK25+'5C. HC and Salaries - Support'!AK26+'5C. HC and Salaries - Support'!AK48+'5C. HC and Salaries - Support'!AK49</f>
        <v/>
      </c>
      <c r="P20" s="1202">
        <f>'5C. HC and Salaries - Support'!AL22+'5C. HC and Salaries - Support'!AL23+'5C. HC and Salaries - Support'!AL24+'5C. HC and Salaries - Support'!AL25+'5C. HC and Salaries - Support'!AL26+'5C. HC and Salaries - Support'!AL48+'5C. HC and Salaries - Support'!AL49</f>
        <v/>
      </c>
      <c r="Q20" s="1202">
        <f>'5C. HC and Salaries - Support'!AM22+'5C. HC and Salaries - Support'!AM23+'5C. HC and Salaries - Support'!AM24+'5C. HC and Salaries - Support'!AM25+'5C. HC and Salaries - Support'!AM26+'5C. HC and Salaries - Support'!AM48+'5C. HC and Salaries - Support'!AM49</f>
        <v/>
      </c>
      <c r="R20" s="706" t="n"/>
    </row>
    <row r="21" ht="12.75" customHeight="1" s="1883">
      <c r="A21" s="1153" t="n"/>
      <c r="B21" s="1190" t="n"/>
      <c r="C21" s="670" t="n"/>
      <c r="D21" s="671" t="n"/>
      <c r="E21" s="1066" t="inlineStr">
        <is>
          <t>Headcount - Marketing</t>
        </is>
      </c>
      <c r="F21" s="1202">
        <f>'5C. HC and Salaries - Support'!AB33+'5C. HC and Salaries - Support'!AB34+'5C. HC and Salaries - Support'!AB35+'5C. HC and Salaries - Support'!AB36</f>
        <v/>
      </c>
      <c r="G21" s="1202">
        <f>'5C. HC and Salaries - Support'!AC33+'5C. HC and Salaries - Support'!AC34+'5C. HC and Salaries - Support'!AC35+'5C. HC and Salaries - Support'!AC36</f>
        <v/>
      </c>
      <c r="H21" s="1202">
        <f>'5C. HC and Salaries - Support'!AD33+'5C. HC and Salaries - Support'!AD34+'5C. HC and Salaries - Support'!AD35+'5C. HC and Salaries - Support'!AD36</f>
        <v/>
      </c>
      <c r="I21" s="1202">
        <f>'5C. HC and Salaries - Support'!AE33+'5C. HC and Salaries - Support'!AE34+'5C. HC and Salaries - Support'!AE35+'5C. HC and Salaries - Support'!AE36</f>
        <v/>
      </c>
      <c r="J21" s="1202">
        <f>'5C. HC and Salaries - Support'!AF33+'5C. HC and Salaries - Support'!AF34+'5C. HC and Salaries - Support'!AF35+'5C. HC and Salaries - Support'!AF36</f>
        <v/>
      </c>
      <c r="K21" s="1202">
        <f>'5C. HC and Salaries - Support'!AG33+'5C. HC and Salaries - Support'!AG34+'5C. HC and Salaries - Support'!AG35+'5C. HC and Salaries - Support'!AG36</f>
        <v/>
      </c>
      <c r="L21" s="1202">
        <f>'5C. HC and Salaries - Support'!AH33+'5C. HC and Salaries - Support'!AH34+'5C. HC and Salaries - Support'!AH35+'5C. HC and Salaries - Support'!AH36</f>
        <v/>
      </c>
      <c r="M21" s="1202">
        <f>'5C. HC and Salaries - Support'!AI33+'5C. HC and Salaries - Support'!AI34+'5C. HC and Salaries - Support'!AI35+'5C. HC and Salaries - Support'!AI36</f>
        <v/>
      </c>
      <c r="N21" s="1202">
        <f>'5C. HC and Salaries - Support'!AJ33+'5C. HC and Salaries - Support'!AJ34+'5C. HC and Salaries - Support'!AJ35+'5C. HC and Salaries - Support'!AJ36</f>
        <v/>
      </c>
      <c r="O21" s="1202">
        <f>'5C. HC and Salaries - Support'!AK33+'5C. HC and Salaries - Support'!AK34+'5C. HC and Salaries - Support'!AK35+'5C. HC and Salaries - Support'!AK36</f>
        <v/>
      </c>
      <c r="P21" s="1202">
        <f>'5C. HC and Salaries - Support'!AL33+'5C. HC and Salaries - Support'!AL34+'5C. HC and Salaries - Support'!AL35+'5C. HC and Salaries - Support'!AL36</f>
        <v/>
      </c>
      <c r="Q21" s="1202">
        <f>'5C. HC and Salaries - Support'!AM33+'5C. HC and Salaries - Support'!AM34+'5C. HC and Salaries - Support'!AM35+'5C. HC and Salaries - Support'!AM36</f>
        <v/>
      </c>
      <c r="R21" s="706" t="n"/>
    </row>
    <row r="22" ht="12.75" customHeight="1" s="1883">
      <c r="A22" s="1153" t="n"/>
      <c r="B22" s="1190" t="n"/>
      <c r="C22" s="670" t="n"/>
      <c r="D22" s="671" t="n"/>
      <c r="E22" s="1066" t="inlineStr">
        <is>
          <t>Headcount - Sales</t>
        </is>
      </c>
      <c r="F22" s="1202">
        <f>'5C. HC and Salaries - Support'!AB30</f>
        <v/>
      </c>
      <c r="G22" s="1202">
        <f>'5C. HC and Salaries - Support'!AC30</f>
        <v/>
      </c>
      <c r="H22" s="1202">
        <f>'5C. HC and Salaries - Support'!AD30</f>
        <v/>
      </c>
      <c r="I22" s="1202">
        <f>'5C. HC and Salaries - Support'!AE30</f>
        <v/>
      </c>
      <c r="J22" s="1202">
        <f>'5C. HC and Salaries - Support'!AF30</f>
        <v/>
      </c>
      <c r="K22" s="1202">
        <f>'5C. HC and Salaries - Support'!AG30</f>
        <v/>
      </c>
      <c r="L22" s="1202">
        <f>'5C. HC and Salaries - Support'!AH30</f>
        <v/>
      </c>
      <c r="M22" s="1202">
        <f>'5C. HC and Salaries - Support'!AI30</f>
        <v/>
      </c>
      <c r="N22" s="1202">
        <f>'5C. HC and Salaries - Support'!AJ30</f>
        <v/>
      </c>
      <c r="O22" s="1202">
        <f>'5C. HC and Salaries - Support'!AK30</f>
        <v/>
      </c>
      <c r="P22" s="1202">
        <f>'5C. HC and Salaries - Support'!AL30</f>
        <v/>
      </c>
      <c r="Q22" s="1202">
        <f>'5C. HC and Salaries - Support'!AM30</f>
        <v/>
      </c>
      <c r="R22" s="706" t="n"/>
    </row>
    <row r="23" ht="12.75" customHeight="1" s="1883">
      <c r="A23" s="1153" t="n"/>
      <c r="B23" s="1190" t="n"/>
      <c r="C23" s="670" t="n"/>
      <c r="D23" s="671" t="n"/>
      <c r="E23" s="1066" t="inlineStr">
        <is>
          <t>Headcount - Management</t>
        </is>
      </c>
      <c r="F23" s="1202">
        <f>'5B. HC and Salaries - Mgmt.'!AC19+'5B. HC and Salaries - Mgmt.'!AC67</f>
        <v/>
      </c>
      <c r="G23" s="1202">
        <f>'5B. HC and Salaries - Mgmt.'!AD19+'5B. HC and Salaries - Mgmt.'!AD67</f>
        <v/>
      </c>
      <c r="H23" s="1202">
        <f>'5B. HC and Salaries - Mgmt.'!AE19+'5B. HC and Salaries - Mgmt.'!AE67</f>
        <v/>
      </c>
      <c r="I23" s="1202">
        <f>'5B. HC and Salaries - Mgmt.'!AF19+'5B. HC and Salaries - Mgmt.'!AF67</f>
        <v/>
      </c>
      <c r="J23" s="1202">
        <f>'5B. HC and Salaries - Mgmt.'!AG19+'5B. HC and Salaries - Mgmt.'!AG67</f>
        <v/>
      </c>
      <c r="K23" s="1202">
        <f>'5B. HC and Salaries - Mgmt.'!AH19+'5B. HC and Salaries - Mgmt.'!AH67</f>
        <v/>
      </c>
      <c r="L23" s="1202">
        <f>'5B. HC and Salaries - Mgmt.'!AI19+'5B. HC and Salaries - Mgmt.'!AI67</f>
        <v/>
      </c>
      <c r="M23" s="1202">
        <f>'5B. HC and Salaries - Mgmt.'!AJ19+'5B. HC and Salaries - Mgmt.'!AJ67</f>
        <v/>
      </c>
      <c r="N23" s="1202">
        <f>'5B. HC and Salaries - Mgmt.'!AK19+'5B. HC and Salaries - Mgmt.'!AK67</f>
        <v/>
      </c>
      <c r="O23" s="1202">
        <f>'5B. HC and Salaries - Mgmt.'!AL19+'5B. HC and Salaries - Mgmt.'!AL67</f>
        <v/>
      </c>
      <c r="P23" s="1202">
        <f>'5B. HC and Salaries - Mgmt.'!AM19+'5B. HC and Salaries - Mgmt.'!AM67</f>
        <v/>
      </c>
      <c r="Q23" s="1202">
        <f>'5B. HC and Salaries - Mgmt.'!AN19+'5B. HC and Salaries - Mgmt.'!AN67</f>
        <v/>
      </c>
      <c r="R23" s="706" t="n"/>
    </row>
    <row r="24" ht="12.75" customHeight="1" s="1883">
      <c r="A24" s="1153" t="n"/>
      <c r="B24" s="1190" t="n"/>
      <c r="C24" s="670" t="n"/>
      <c r="D24" s="671" t="n"/>
      <c r="E24" s="1066" t="inlineStr">
        <is>
          <t>Avg Cost - Office</t>
        </is>
      </c>
      <c r="F24" s="1203" t="n">
        <v>50</v>
      </c>
      <c r="G24" s="1202">
        <f>+F24</f>
        <v/>
      </c>
      <c r="H24" s="1202">
        <f>+G24</f>
        <v/>
      </c>
      <c r="I24" s="1202">
        <f>+H24</f>
        <v/>
      </c>
      <c r="J24" s="1202">
        <f>+I24</f>
        <v/>
      </c>
      <c r="K24" s="1202">
        <f>+J24</f>
        <v/>
      </c>
      <c r="L24" s="1203" t="n">
        <v>50</v>
      </c>
      <c r="M24" s="1202">
        <f>+L24</f>
        <v/>
      </c>
      <c r="N24" s="1202">
        <f>+M24</f>
        <v/>
      </c>
      <c r="O24" s="1202">
        <f>+N24</f>
        <v/>
      </c>
      <c r="P24" s="1202">
        <f>+O24</f>
        <v/>
      </c>
      <c r="Q24" s="1202">
        <f>+P24</f>
        <v/>
      </c>
      <c r="R24" s="706" t="n"/>
    </row>
    <row r="25" ht="12.75" customHeight="1" s="1883">
      <c r="A25" s="1153" t="n"/>
      <c r="B25" s="1190" t="n"/>
      <c r="C25" s="670" t="n"/>
      <c r="D25" s="671" t="n"/>
      <c r="E25" s="1066" t="inlineStr">
        <is>
          <t>Avg Cost - Sales</t>
        </is>
      </c>
      <c r="F25" s="1203" t="n">
        <v>100</v>
      </c>
      <c r="G25" s="1202">
        <f>+F25</f>
        <v/>
      </c>
      <c r="H25" s="1202">
        <f>+G25</f>
        <v/>
      </c>
      <c r="I25" s="1202">
        <f>+H25</f>
        <v/>
      </c>
      <c r="J25" s="1202">
        <f>+I25</f>
        <v/>
      </c>
      <c r="K25" s="1202">
        <f>+J25</f>
        <v/>
      </c>
      <c r="L25" s="1203" t="n">
        <v>100</v>
      </c>
      <c r="M25" s="1202">
        <f>+L25</f>
        <v/>
      </c>
      <c r="N25" s="1202">
        <f>+M25</f>
        <v/>
      </c>
      <c r="O25" s="1202">
        <f>+N25</f>
        <v/>
      </c>
      <c r="P25" s="1202">
        <f>+O25</f>
        <v/>
      </c>
      <c r="Q25" s="1202">
        <f>+P25</f>
        <v/>
      </c>
      <c r="R25" s="706" t="n"/>
    </row>
    <row r="26" ht="12.75" customHeight="1" s="1883">
      <c r="A26" s="1153" t="n"/>
      <c r="B26" s="1190" t="n"/>
      <c r="C26" s="670" t="n"/>
      <c r="D26" s="671" t="n"/>
      <c r="E26" s="1066" t="inlineStr">
        <is>
          <t>Avg Cost - Management</t>
        </is>
      </c>
      <c r="F26" s="1203" t="n">
        <v>150</v>
      </c>
      <c r="G26" s="1202">
        <f>+F26</f>
        <v/>
      </c>
      <c r="H26" s="1202">
        <f>+G26</f>
        <v/>
      </c>
      <c r="I26" s="1202">
        <f>+H26</f>
        <v/>
      </c>
      <c r="J26" s="1202">
        <f>+I26</f>
        <v/>
      </c>
      <c r="K26" s="1202">
        <f>+J26</f>
        <v/>
      </c>
      <c r="L26" s="1203" t="n">
        <v>150</v>
      </c>
      <c r="M26" s="1202">
        <f>+L26</f>
        <v/>
      </c>
      <c r="N26" s="1202">
        <f>+M26</f>
        <v/>
      </c>
      <c r="O26" s="1202">
        <f>+N26</f>
        <v/>
      </c>
      <c r="P26" s="1202">
        <f>+O26</f>
        <v/>
      </c>
      <c r="Q26" s="1202">
        <f>+P26</f>
        <v/>
      </c>
      <c r="R26" s="706" t="n"/>
    </row>
    <row r="27" ht="12.75" customHeight="1" s="1883">
      <c r="A27" s="1153" t="n"/>
      <c r="B27" s="1190" t="n"/>
      <c r="C27" s="670" t="n"/>
      <c r="D27" s="671" t="n"/>
      <c r="E27" s="671" t="n"/>
      <c r="F27" s="1202" t="n"/>
      <c r="G27" s="1202" t="n"/>
      <c r="H27" s="1202" t="n"/>
      <c r="I27" s="1202" t="n"/>
      <c r="J27" s="1202" t="n"/>
      <c r="K27" s="1202" t="n"/>
      <c r="L27" s="1202" t="n"/>
      <c r="M27" s="1202" t="n"/>
      <c r="N27" s="1202" t="n"/>
      <c r="O27" s="1202" t="n"/>
      <c r="P27" s="1202" t="n"/>
      <c r="Q27" s="1202" t="n"/>
      <c r="R27" s="706" t="n"/>
    </row>
    <row r="28" ht="12" customHeight="1" s="1883">
      <c r="A28" s="1650" t="inlineStr">
        <is>
          <t>G&amp;A                              √</t>
        </is>
      </c>
      <c r="B28" s="1188" t="inlineStr">
        <is>
          <t>G&amp;A - Telephone</t>
        </is>
      </c>
      <c r="C28" s="1056" t="n"/>
      <c r="D28" s="1057" t="n"/>
      <c r="E28" s="1057" t="n"/>
      <c r="F28" s="1195">
        <f>+(F20*F24)+(F23*F26)</f>
        <v/>
      </c>
      <c r="G28" s="1195">
        <f>+(G20*G24)+(G23*G26)</f>
        <v/>
      </c>
      <c r="H28" s="1195">
        <f>+(H20*H24)+(H23*H26)</f>
        <v/>
      </c>
      <c r="I28" s="1195">
        <f>+(I20*I24)+(I23*I26)</f>
        <v/>
      </c>
      <c r="J28" s="1195">
        <f>+(J20*J24)+(J23*J26)</f>
        <v/>
      </c>
      <c r="K28" s="1195">
        <f>+(K20*K24)+(K23*K26)</f>
        <v/>
      </c>
      <c r="L28" s="1195">
        <f>+(L20*L24)+(L23*L26)</f>
        <v/>
      </c>
      <c r="M28" s="1195">
        <f>+(M20*M24)+(M23*M26)</f>
        <v/>
      </c>
      <c r="N28" s="1195">
        <f>+(N20*N24)+(N23*N26)</f>
        <v/>
      </c>
      <c r="O28" s="1195">
        <f>+(O20*O24)+(O23*O26)</f>
        <v/>
      </c>
      <c r="P28" s="1195">
        <f>+(P20*P24)+(P23*P26)</f>
        <v/>
      </c>
      <c r="Q28" s="1195">
        <f>+(Q20*Q24)+(Q23*Q26)</f>
        <v/>
      </c>
      <c r="R28" s="704">
        <f>SUM(F28:Q28)</f>
        <v/>
      </c>
    </row>
    <row r="29" ht="12.75" customHeight="1" s="1883">
      <c r="A29" s="1153" t="n"/>
      <c r="B29" s="1188" t="n"/>
      <c r="C29" s="1056" t="n"/>
      <c r="D29" s="1057" t="n"/>
      <c r="E29" s="1057" t="n"/>
      <c r="F29" s="1195" t="n"/>
      <c r="G29" s="1195" t="n"/>
      <c r="H29" s="1195" t="n"/>
      <c r="I29" s="1195" t="n"/>
      <c r="J29" s="1195" t="n"/>
      <c r="K29" s="1195" t="n"/>
      <c r="L29" s="1195" t="n"/>
      <c r="M29" s="1195" t="n"/>
      <c r="N29" s="1195" t="n"/>
      <c r="O29" s="1195" t="n"/>
      <c r="P29" s="1195" t="n"/>
      <c r="Q29" s="1195" t="n"/>
      <c r="R29" s="725" t="n"/>
    </row>
    <row r="30" ht="12.75" customHeight="1" s="1883">
      <c r="A30" s="1650" t="inlineStr">
        <is>
          <t>S&amp;M                              √</t>
        </is>
      </c>
      <c r="B30" s="1188" t="inlineStr">
        <is>
          <t>S&amp;M - Telephone</t>
        </is>
      </c>
      <c r="C30" s="1056" t="n"/>
      <c r="D30" s="1057" t="n"/>
      <c r="E30" s="1057" t="n"/>
      <c r="F30" s="1195">
        <f>+F22*F25</f>
        <v/>
      </c>
      <c r="G30" s="1195">
        <f>+G22*G25</f>
        <v/>
      </c>
      <c r="H30" s="1195">
        <f>+H22*H25</f>
        <v/>
      </c>
      <c r="I30" s="1195">
        <f>+I22*I25</f>
        <v/>
      </c>
      <c r="J30" s="1195">
        <f>+J22*J25</f>
        <v/>
      </c>
      <c r="K30" s="1195">
        <f>+K22*K25</f>
        <v/>
      </c>
      <c r="L30" s="1195">
        <f>+L22*L25</f>
        <v/>
      </c>
      <c r="M30" s="1195">
        <f>+M22*M25</f>
        <v/>
      </c>
      <c r="N30" s="1195">
        <f>+N22*N25</f>
        <v/>
      </c>
      <c r="O30" s="1195">
        <f>+O22*O25</f>
        <v/>
      </c>
      <c r="P30" s="1195">
        <f>+P22*P25</f>
        <v/>
      </c>
      <c r="Q30" s="1195">
        <f>+Q22*Q25</f>
        <v/>
      </c>
      <c r="R30" s="704">
        <f>SUM(F30:Q30)</f>
        <v/>
      </c>
    </row>
    <row r="31" ht="12.75" customHeight="1" s="1883">
      <c r="A31" s="1153" t="n"/>
      <c r="B31" s="1197" t="n"/>
      <c r="C31" s="1060" t="n"/>
      <c r="D31" s="1061" t="n"/>
      <c r="E31" s="1061" t="n"/>
      <c r="F31" s="1201" t="n"/>
      <c r="G31" s="1201" t="n"/>
      <c r="H31" s="1201" t="n"/>
      <c r="I31" s="1201" t="n"/>
      <c r="J31" s="1201" t="n"/>
      <c r="K31" s="1201" t="n"/>
      <c r="L31" s="1201" t="n"/>
      <c r="M31" s="1201" t="n"/>
      <c r="N31" s="1201" t="n"/>
      <c r="O31" s="1201" t="n"/>
      <c r="P31" s="1201" t="n"/>
      <c r="Q31" s="1201" t="n"/>
      <c r="R31" s="706" t="n"/>
    </row>
    <row r="32" ht="12.75" customHeight="1" s="1883">
      <c r="A32" s="1650" t="inlineStr">
        <is>
          <t>G&amp;A                              √</t>
        </is>
      </c>
      <c r="B32" s="1204" t="inlineStr">
        <is>
          <t>Insurance</t>
        </is>
      </c>
      <c r="C32" s="66" t="n"/>
      <c r="D32" s="67" t="n"/>
      <c r="E32" s="67" t="n"/>
      <c r="F32" s="721" t="n"/>
      <c r="G32" s="721" t="n"/>
      <c r="H32" s="721" t="n"/>
      <c r="I32" s="721" t="n"/>
      <c r="J32" s="721" t="n"/>
      <c r="K32" s="721" t="n"/>
      <c r="L32" s="721" t="n"/>
      <c r="M32" s="721" t="n"/>
      <c r="N32" s="721" t="n"/>
      <c r="O32" s="721" t="n"/>
      <c r="P32" s="721" t="n"/>
      <c r="Q32" s="721" t="n"/>
      <c r="R32" s="706" t="n"/>
    </row>
    <row r="33" ht="12.75" customHeight="1" s="1883">
      <c r="A33" s="1205" t="inlineStr">
        <is>
          <t>√</t>
        </is>
      </c>
      <c r="B33" s="1206" t="inlineStr">
        <is>
          <t>General Commercial Liability</t>
        </is>
      </c>
      <c r="C33" s="66" t="n"/>
      <c r="D33" s="67" t="n"/>
      <c r="E33" s="67" t="n"/>
      <c r="F33" s="1203" t="n">
        <v>5000</v>
      </c>
      <c r="G33" s="1203" t="n">
        <v>5000</v>
      </c>
      <c r="H33" s="1203" t="n">
        <v>5000</v>
      </c>
      <c r="I33" s="1203" t="n">
        <v>5000</v>
      </c>
      <c r="J33" s="1203" t="n">
        <v>5000</v>
      </c>
      <c r="K33" s="1203" t="n">
        <v>5000</v>
      </c>
      <c r="L33" s="1203" t="n">
        <v>5000</v>
      </c>
      <c r="M33" s="1203" t="n">
        <v>5000</v>
      </c>
      <c r="N33" s="1203" t="n">
        <v>5000</v>
      </c>
      <c r="O33" s="1203" t="n">
        <v>5000</v>
      </c>
      <c r="P33" s="1203" t="n">
        <v>5000</v>
      </c>
      <c r="Q33" s="1203">
        <f>+P33</f>
        <v/>
      </c>
      <c r="R33" s="704">
        <f>SUM(F33:Q33)</f>
        <v/>
      </c>
    </row>
    <row r="34" ht="12.75" customHeight="1" s="1883">
      <c r="A34" s="1205" t="inlineStr">
        <is>
          <t>√</t>
        </is>
      </c>
      <c r="B34" s="1206" t="inlineStr">
        <is>
          <t>E&amp;O</t>
        </is>
      </c>
      <c r="C34" s="66" t="n"/>
      <c r="D34" s="67" t="n"/>
      <c r="E34" s="67" t="n"/>
      <c r="F34" s="1203" t="n">
        <v>500</v>
      </c>
      <c r="G34" s="1203" t="n">
        <v>500</v>
      </c>
      <c r="H34" s="1203" t="n">
        <v>500</v>
      </c>
      <c r="I34" s="1203" t="n">
        <v>500</v>
      </c>
      <c r="J34" s="1203" t="n">
        <v>500</v>
      </c>
      <c r="K34" s="1203" t="n">
        <v>500</v>
      </c>
      <c r="L34" s="1203" t="n">
        <v>500</v>
      </c>
      <c r="M34" s="1203">
        <f>+L34</f>
        <v/>
      </c>
      <c r="N34" s="1203" t="n">
        <v>500</v>
      </c>
      <c r="O34" s="1203">
        <f>+N34</f>
        <v/>
      </c>
      <c r="P34" s="1203" t="n">
        <v>500</v>
      </c>
      <c r="Q34" s="1203">
        <f>+P34</f>
        <v/>
      </c>
      <c r="R34" s="704">
        <f>SUM(F34:Q34)</f>
        <v/>
      </c>
    </row>
    <row r="35" ht="12.75" customHeight="1" s="1883">
      <c r="A35" s="1205" t="inlineStr">
        <is>
          <t>√</t>
        </is>
      </c>
      <c r="B35" s="1206" t="inlineStr">
        <is>
          <t>D&amp;O</t>
        </is>
      </c>
      <c r="C35" s="66" t="n"/>
      <c r="D35" s="67" t="n"/>
      <c r="E35" s="67" t="n"/>
      <c r="F35" s="1203" t="n">
        <v>1000</v>
      </c>
      <c r="G35" s="1203" t="n">
        <v>1000</v>
      </c>
      <c r="H35" s="1203" t="n">
        <v>1000</v>
      </c>
      <c r="I35" s="1203" t="n">
        <v>1000</v>
      </c>
      <c r="J35" s="1203" t="n">
        <v>1000</v>
      </c>
      <c r="K35" s="1203" t="n">
        <v>1000</v>
      </c>
      <c r="L35" s="1203" t="n">
        <v>1000</v>
      </c>
      <c r="M35" s="1203">
        <f>+L35</f>
        <v/>
      </c>
      <c r="N35" s="1203" t="n">
        <v>1000</v>
      </c>
      <c r="O35" s="1203">
        <f>+N35</f>
        <v/>
      </c>
      <c r="P35" s="1203" t="n">
        <v>1000</v>
      </c>
      <c r="Q35" s="1203">
        <f>+P35</f>
        <v/>
      </c>
      <c r="R35" s="704">
        <f>SUM(F35:Q35)</f>
        <v/>
      </c>
    </row>
    <row r="36" ht="12.75" customHeight="1" s="1883">
      <c r="A36" s="1205" t="inlineStr">
        <is>
          <t>√</t>
        </is>
      </c>
      <c r="B36" s="1206" t="inlineStr">
        <is>
          <t xml:space="preserve">Cyber </t>
        </is>
      </c>
      <c r="C36" s="66" t="n"/>
      <c r="D36" s="67" t="n"/>
      <c r="E36" s="67" t="n"/>
      <c r="F36" s="1203" t="n">
        <v>500</v>
      </c>
      <c r="G36" s="1203" t="n">
        <v>500</v>
      </c>
      <c r="H36" s="1203" t="n">
        <v>500</v>
      </c>
      <c r="I36" s="1203" t="n">
        <v>500</v>
      </c>
      <c r="J36" s="1203" t="n">
        <v>500</v>
      </c>
      <c r="K36" s="1203" t="n">
        <v>500</v>
      </c>
      <c r="L36" s="1203" t="n">
        <v>500</v>
      </c>
      <c r="M36" s="1203" t="n">
        <v>500</v>
      </c>
      <c r="N36" s="1203" t="n">
        <v>500</v>
      </c>
      <c r="O36" s="1203" t="n">
        <v>500</v>
      </c>
      <c r="P36" s="1203" t="n">
        <v>500</v>
      </c>
      <c r="Q36" s="1203" t="n">
        <v>500</v>
      </c>
      <c r="R36" s="704">
        <f>SUM(F36:Q36)</f>
        <v/>
      </c>
    </row>
    <row r="37" ht="12.75" customHeight="1" s="1883">
      <c r="A37" s="1205" t="inlineStr">
        <is>
          <t>√</t>
        </is>
      </c>
      <c r="B37" s="1206" t="inlineStr">
        <is>
          <t>Health Insurance Start Up Costs</t>
        </is>
      </c>
      <c r="C37" s="66" t="n"/>
      <c r="D37" s="67" t="n"/>
      <c r="E37" s="67" t="n"/>
      <c r="F37" s="1203" t="n">
        <v>35000</v>
      </c>
      <c r="G37" s="1203" t="n"/>
      <c r="H37" s="1203" t="n"/>
      <c r="I37" s="1203" t="n"/>
      <c r="J37" s="1203" t="n"/>
      <c r="K37" s="1203" t="n"/>
      <c r="L37" s="1203" t="n"/>
      <c r="M37" s="1203" t="n"/>
      <c r="N37" s="1203" t="n"/>
      <c r="O37" s="1203" t="n"/>
      <c r="P37" s="1203" t="n"/>
      <c r="Q37" s="1203" t="n"/>
      <c r="R37" s="704">
        <f>SUM(F37:Q37)</f>
        <v/>
      </c>
    </row>
    <row r="38" ht="12.75" customHeight="1" s="1883">
      <c r="A38" s="1205" t="inlineStr">
        <is>
          <t>√</t>
        </is>
      </c>
      <c r="B38" s="1206" t="inlineStr">
        <is>
          <t>WSIB</t>
        </is>
      </c>
      <c r="C38" s="66" t="n"/>
      <c r="D38" s="67" t="n"/>
      <c r="E38" s="67" t="n"/>
      <c r="F38" s="1203" t="n">
        <v>3000</v>
      </c>
      <c r="G38" s="1203" t="n">
        <v>3000</v>
      </c>
      <c r="H38" s="1203" t="n">
        <v>3000</v>
      </c>
      <c r="I38" s="1203" t="n">
        <v>3000</v>
      </c>
      <c r="J38" s="1203" t="n">
        <v>3000</v>
      </c>
      <c r="K38" s="1203" t="n">
        <v>3000</v>
      </c>
      <c r="L38" s="1203" t="n">
        <v>3000</v>
      </c>
      <c r="M38" s="1203">
        <f>+L38</f>
        <v/>
      </c>
      <c r="N38" s="1203" t="n">
        <v>3000</v>
      </c>
      <c r="O38" s="1203">
        <f>+N38</f>
        <v/>
      </c>
      <c r="P38" s="1203" t="n">
        <v>3000</v>
      </c>
      <c r="Q38" s="1203">
        <f>+P38</f>
        <v/>
      </c>
      <c r="R38" s="704">
        <f>SUM(F38:Q38)</f>
        <v/>
      </c>
    </row>
    <row r="39" ht="12.75" customHeight="1" s="1883">
      <c r="A39" s="1649" t="inlineStr">
        <is>
          <t>√</t>
        </is>
      </c>
      <c r="B39" s="1204" t="inlineStr">
        <is>
          <t>Total Insurance</t>
        </is>
      </c>
      <c r="C39" s="66" t="n"/>
      <c r="D39" s="67" t="n"/>
      <c r="E39" s="67" t="n"/>
      <c r="F39" s="1207">
        <f>SUM(F33:F38)</f>
        <v/>
      </c>
      <c r="G39" s="1207">
        <f>SUM(G33:G38)</f>
        <v/>
      </c>
      <c r="H39" s="1207">
        <f>SUM(H33:H38)</f>
        <v/>
      </c>
      <c r="I39" s="1207">
        <f>SUM(I33:I38)</f>
        <v/>
      </c>
      <c r="J39" s="1207">
        <f>SUM(J33:J38)</f>
        <v/>
      </c>
      <c r="K39" s="1207">
        <f>SUM(K33:K38)</f>
        <v/>
      </c>
      <c r="L39" s="1207">
        <f>SUM(L33:L38)</f>
        <v/>
      </c>
      <c r="M39" s="1207">
        <f>SUM(M33:M38)</f>
        <v/>
      </c>
      <c r="N39" s="1207">
        <f>SUM(N33:N38)</f>
        <v/>
      </c>
      <c r="O39" s="1207">
        <f>SUM(O33:O38)</f>
        <v/>
      </c>
      <c r="P39" s="1207">
        <f>SUM(P33:P38)</f>
        <v/>
      </c>
      <c r="Q39" s="1207">
        <f>SUM(Q33:Q38)</f>
        <v/>
      </c>
      <c r="R39" s="705">
        <f>SUM(R31:R38)</f>
        <v/>
      </c>
    </row>
    <row r="40" ht="12.75" customHeight="1" s="1883">
      <c r="A40" s="1153" t="n"/>
      <c r="B40" s="1197" t="n"/>
      <c r="C40" s="1060" t="n"/>
      <c r="D40" s="1061" t="n"/>
      <c r="E40" s="1061" t="n"/>
      <c r="F40" s="1201" t="n"/>
      <c r="G40" s="1201" t="n"/>
      <c r="H40" s="1201" t="n"/>
      <c r="I40" s="1201" t="n"/>
      <c r="J40" s="1201" t="n"/>
      <c r="K40" s="1201" t="n"/>
      <c r="L40" s="1201" t="n"/>
      <c r="M40" s="1201" t="n"/>
      <c r="N40" s="1201" t="n"/>
      <c r="O40" s="1201" t="n"/>
      <c r="P40" s="1201" t="n"/>
      <c r="Q40" s="1201" t="n"/>
      <c r="R40" s="706" t="n"/>
    </row>
    <row r="41" ht="12.75" customHeight="1" s="1883">
      <c r="A41" s="1650" t="inlineStr">
        <is>
          <t>S&amp;M                              √</t>
        </is>
      </c>
      <c r="B41" s="1188" t="inlineStr">
        <is>
          <t>Marketing &amp; Advertising</t>
        </is>
      </c>
      <c r="C41" s="670" t="n"/>
      <c r="D41" s="671" t="n"/>
      <c r="E41" s="671" t="n"/>
      <c r="F41" s="1202" t="n"/>
      <c r="G41" s="1202" t="n"/>
      <c r="H41" s="1202" t="n"/>
      <c r="I41" s="1202" t="n"/>
      <c r="J41" s="1202" t="n"/>
      <c r="K41" s="1202" t="n"/>
      <c r="L41" s="1202" t="n"/>
      <c r="M41" s="1202" t="n"/>
      <c r="N41" s="1202" t="n"/>
      <c r="O41" s="1202" t="n"/>
      <c r="P41" s="1202" t="n"/>
      <c r="Q41" s="1202" t="n"/>
      <c r="R41" s="725" t="inlineStr">
        <is>
          <t>Total per Category</t>
        </is>
      </c>
    </row>
    <row r="42" ht="12.75" customHeight="1" s="1883">
      <c r="A42" s="1205" t="inlineStr">
        <is>
          <t>√</t>
        </is>
      </c>
      <c r="B42" s="1208" t="inlineStr">
        <is>
          <t xml:space="preserve">Branding </t>
        </is>
      </c>
      <c r="C42" s="670" t="n"/>
      <c r="D42" s="671" t="n"/>
      <c r="E42" s="69" t="n"/>
      <c r="F42" s="1209" t="n">
        <v>12500</v>
      </c>
      <c r="G42" s="1209" t="n">
        <v>2500</v>
      </c>
      <c r="H42" s="1209" t="n">
        <v>0</v>
      </c>
      <c r="I42" s="1209" t="n">
        <v>0</v>
      </c>
      <c r="J42" s="1209" t="n">
        <v>0</v>
      </c>
      <c r="K42" s="1209" t="n">
        <v>0</v>
      </c>
      <c r="L42" s="1209" t="n">
        <v>5000</v>
      </c>
      <c r="M42" s="1209" t="n">
        <v>5000</v>
      </c>
      <c r="N42" s="1209" t="n">
        <v>7000</v>
      </c>
      <c r="O42" s="1209" t="n">
        <v>11000</v>
      </c>
      <c r="P42" s="1209" t="n">
        <v>11000</v>
      </c>
      <c r="Q42" s="1209" t="n">
        <v>16000</v>
      </c>
      <c r="R42" s="704">
        <f>SUM(F42:Q42)</f>
        <v/>
      </c>
    </row>
    <row r="43" ht="12.75" customHeight="1" s="1883">
      <c r="A43" s="1205" t="inlineStr">
        <is>
          <t>√</t>
        </is>
      </c>
      <c r="B43" s="1208" t="inlineStr">
        <is>
          <t>Phone Packaging Design</t>
        </is>
      </c>
      <c r="C43" s="670" t="n"/>
      <c r="D43" s="671" t="n"/>
      <c r="E43" s="69" t="n"/>
      <c r="F43" s="1209" t="n">
        <v>0</v>
      </c>
      <c r="G43" s="1209" t="n">
        <v>0</v>
      </c>
      <c r="H43" s="1209" t="n">
        <v>0</v>
      </c>
      <c r="I43" s="1209" t="n">
        <v>0</v>
      </c>
      <c r="J43" s="1209" t="n">
        <v>0</v>
      </c>
      <c r="K43" s="1209" t="n">
        <v>0</v>
      </c>
      <c r="L43" s="1209" t="n">
        <v>5000</v>
      </c>
      <c r="M43" s="1209" t="n">
        <v>5000</v>
      </c>
      <c r="N43" s="1209" t="n">
        <v>7000</v>
      </c>
      <c r="O43" s="1209" t="n">
        <v>11000</v>
      </c>
      <c r="P43" s="1209" t="n">
        <v>11000</v>
      </c>
      <c r="Q43" s="1209" t="n">
        <v>16000</v>
      </c>
      <c r="R43" s="704">
        <f>SUM(F43:Q43)</f>
        <v/>
      </c>
    </row>
    <row r="44" ht="12.75" customHeight="1" s="1883">
      <c r="A44" s="1205" t="inlineStr">
        <is>
          <t>√</t>
        </is>
      </c>
      <c r="B44" s="806" t="inlineStr">
        <is>
          <t>Digital Marketing</t>
        </is>
      </c>
      <c r="C44" s="807" t="n"/>
      <c r="D44" s="808" t="n"/>
      <c r="E44" s="805" t="n"/>
      <c r="F44" s="1210" t="n">
        <v>9000</v>
      </c>
      <c r="G44" s="1210">
        <f>12000+50000</f>
        <v/>
      </c>
      <c r="H44" s="1210" t="n">
        <v>29000</v>
      </c>
      <c r="I44" s="1210" t="n">
        <v>5000</v>
      </c>
      <c r="J44" s="1210" t="n">
        <v>10000</v>
      </c>
      <c r="K44" s="1210" t="n">
        <v>15000</v>
      </c>
      <c r="L44" s="1210" t="n">
        <v>25000</v>
      </c>
      <c r="M44" s="1210" t="n">
        <v>25000</v>
      </c>
      <c r="N44" s="1210" t="n">
        <v>34000</v>
      </c>
      <c r="O44" s="1210" t="n">
        <v>50000</v>
      </c>
      <c r="P44" s="1210" t="n">
        <v>100000</v>
      </c>
      <c r="Q44" s="1210" t="n">
        <v>250000</v>
      </c>
      <c r="R44" s="704">
        <f>SUM(F44:Q44)</f>
        <v/>
      </c>
      <c r="S44" s="507" t="n"/>
    </row>
    <row r="45" ht="12.75" customHeight="1" s="1883">
      <c r="A45" s="1205" t="inlineStr">
        <is>
          <t>√</t>
        </is>
      </c>
      <c r="B45" s="806" t="inlineStr">
        <is>
          <t>Social Media</t>
        </is>
      </c>
      <c r="C45" s="807" t="n"/>
      <c r="D45" s="808" t="n"/>
      <c r="E45" s="805" t="n"/>
      <c r="F45" s="1210" t="n">
        <v>0</v>
      </c>
      <c r="G45" s="1210" t="n">
        <v>0</v>
      </c>
      <c r="H45" s="1210" t="n">
        <v>0</v>
      </c>
      <c r="I45" s="1210" t="n">
        <v>2000</v>
      </c>
      <c r="J45" s="1210" t="n">
        <v>2000</v>
      </c>
      <c r="K45" s="1210" t="n">
        <v>2000</v>
      </c>
      <c r="L45" s="1210" t="n">
        <v>1600</v>
      </c>
      <c r="M45" s="1210" t="n">
        <v>1600</v>
      </c>
      <c r="N45" s="1210" t="n">
        <v>1600</v>
      </c>
      <c r="O45" s="1210" t="n">
        <v>52000</v>
      </c>
      <c r="P45" s="1210" t="n">
        <v>1400000</v>
      </c>
      <c r="Q45" s="1210" t="n">
        <v>170000</v>
      </c>
      <c r="R45" s="704">
        <f>SUM(F45:Q45)</f>
        <v/>
      </c>
    </row>
    <row r="46" ht="12.75" customHeight="1" s="1883">
      <c r="A46" s="1205" t="inlineStr">
        <is>
          <t>√</t>
        </is>
      </c>
      <c r="B46" s="1208" t="inlineStr">
        <is>
          <t>Public Relations</t>
        </is>
      </c>
      <c r="C46" s="670" t="n"/>
      <c r="D46" s="671" t="n"/>
      <c r="E46" s="69" t="n"/>
      <c r="F46" s="1209" t="n">
        <v>0</v>
      </c>
      <c r="G46" s="1209" t="n">
        <v>0</v>
      </c>
      <c r="H46" s="1209" t="n">
        <v>0</v>
      </c>
      <c r="I46" s="1209" t="n">
        <v>1500</v>
      </c>
      <c r="J46" s="1209" t="n">
        <v>1500</v>
      </c>
      <c r="K46" s="1209" t="n">
        <v>1500</v>
      </c>
      <c r="L46" s="1209" t="n">
        <v>25000</v>
      </c>
      <c r="M46" s="1209" t="n">
        <v>25000</v>
      </c>
      <c r="N46" s="1209" t="n">
        <v>34000</v>
      </c>
      <c r="O46" s="1209" t="n">
        <v>34000</v>
      </c>
      <c r="P46" s="1209" t="n">
        <v>52000</v>
      </c>
      <c r="Q46" s="1209" t="n">
        <v>52000</v>
      </c>
      <c r="R46" s="704">
        <f>SUM(F46:Q46)</f>
        <v/>
      </c>
    </row>
    <row r="47" ht="12.75" customHeight="1" s="1883">
      <c r="A47" s="1205" t="inlineStr">
        <is>
          <t>√</t>
        </is>
      </c>
      <c r="B47" s="1208" t="inlineStr">
        <is>
          <t>Photography &amp; Videography / Renders for Commercials</t>
        </is>
      </c>
      <c r="C47" s="670" t="n"/>
      <c r="D47" s="671" t="n"/>
      <c r="E47" s="69" t="n"/>
      <c r="F47" s="1209" t="n">
        <v>0</v>
      </c>
      <c r="G47" s="1209" t="n">
        <v>0</v>
      </c>
      <c r="H47" s="1209" t="n">
        <v>0</v>
      </c>
      <c r="I47" s="1209" t="n">
        <v>2000</v>
      </c>
      <c r="J47" s="1209" t="n">
        <v>2000</v>
      </c>
      <c r="K47" s="1209" t="n">
        <v>2000</v>
      </c>
      <c r="L47" s="1209" t="n">
        <v>10000</v>
      </c>
      <c r="M47" s="1209" t="n">
        <v>10000</v>
      </c>
      <c r="N47" s="1209" t="n">
        <v>25000</v>
      </c>
      <c r="O47" s="1209" t="n">
        <v>25000</v>
      </c>
      <c r="P47" s="1209" t="n">
        <v>34000</v>
      </c>
      <c r="Q47" s="1209" t="n">
        <v>52000</v>
      </c>
      <c r="R47" s="704">
        <f>SUM(F47:Q47)</f>
        <v/>
      </c>
    </row>
    <row r="48" ht="12.75" customHeight="1" s="1883">
      <c r="A48" s="1205" t="inlineStr">
        <is>
          <t>√</t>
        </is>
      </c>
      <c r="B48" s="1208" t="inlineStr">
        <is>
          <t>Website &amp; Graphic Design</t>
        </is>
      </c>
      <c r="C48" s="670" t="n"/>
      <c r="D48" s="671" t="n"/>
      <c r="E48" s="69" t="n"/>
      <c r="F48" s="1209" t="n">
        <v>0</v>
      </c>
      <c r="G48" s="1209" t="n">
        <v>0</v>
      </c>
      <c r="H48" s="1209" t="n">
        <v>0</v>
      </c>
      <c r="I48" s="1209" t="n">
        <v>5000</v>
      </c>
      <c r="J48" s="1209" t="n">
        <v>5000</v>
      </c>
      <c r="K48" s="1209" t="n">
        <v>5000</v>
      </c>
      <c r="L48" s="1209" t="n">
        <v>0</v>
      </c>
      <c r="M48" s="1209" t="n">
        <v>0</v>
      </c>
      <c r="N48" s="1209" t="n">
        <v>0</v>
      </c>
      <c r="O48" s="1209" t="n">
        <v>16000</v>
      </c>
      <c r="P48" s="1209" t="n">
        <v>34000</v>
      </c>
      <c r="Q48" s="1209" t="n">
        <v>52000</v>
      </c>
      <c r="R48" s="704">
        <f>SUM(F48:Q48)</f>
        <v/>
      </c>
    </row>
    <row r="49" ht="12.75" customHeight="1" s="1883">
      <c r="A49" s="1205" t="inlineStr">
        <is>
          <t>√</t>
        </is>
      </c>
      <c r="B49" s="1208" t="inlineStr">
        <is>
          <t>Content Writing &amp; Creation</t>
        </is>
      </c>
      <c r="C49" s="670" t="n"/>
      <c r="D49" s="671" t="n"/>
      <c r="E49" s="69" t="n"/>
      <c r="F49" s="1209" t="n">
        <v>0</v>
      </c>
      <c r="G49" s="1209" t="n">
        <v>0</v>
      </c>
      <c r="H49" s="1209" t="n">
        <v>0</v>
      </c>
      <c r="I49" s="1209" t="n">
        <v>1500</v>
      </c>
      <c r="J49" s="1209" t="n">
        <v>1500</v>
      </c>
      <c r="K49" s="1209" t="n">
        <v>1500</v>
      </c>
      <c r="L49" s="1209" t="n">
        <v>10000</v>
      </c>
      <c r="M49" s="1209" t="n">
        <v>10000</v>
      </c>
      <c r="N49" s="1209" t="n">
        <v>25000</v>
      </c>
      <c r="O49" s="1209" t="n">
        <v>25000</v>
      </c>
      <c r="P49" s="1209" t="n">
        <v>34000</v>
      </c>
      <c r="Q49" s="1209" t="n">
        <v>52000</v>
      </c>
      <c r="R49" s="704">
        <f>SUM(F49:Q49)</f>
        <v/>
      </c>
    </row>
    <row r="50" ht="12.75" customHeight="1" s="1883">
      <c r="A50" s="1205" t="inlineStr">
        <is>
          <t>√</t>
        </is>
      </c>
      <c r="B50" s="1208" t="inlineStr">
        <is>
          <t>Search Engine Optimization &amp; Pay Per Click</t>
        </is>
      </c>
      <c r="C50" s="670" t="n"/>
      <c r="D50" s="671" t="n"/>
      <c r="E50" s="69" t="n"/>
      <c r="F50" s="1209" t="n">
        <v>0</v>
      </c>
      <c r="G50" s="1209" t="n">
        <v>0</v>
      </c>
      <c r="H50" s="1209" t="n">
        <v>0</v>
      </c>
      <c r="I50" s="1209" t="n">
        <v>2000</v>
      </c>
      <c r="J50" s="1209" t="n">
        <v>2000</v>
      </c>
      <c r="K50" s="1209" t="n">
        <v>2000</v>
      </c>
      <c r="L50" s="1209" t="n">
        <v>25000</v>
      </c>
      <c r="M50" s="1209" t="n">
        <v>25000</v>
      </c>
      <c r="N50" s="1209" t="n">
        <v>34000</v>
      </c>
      <c r="O50" s="1209" t="n">
        <v>25000</v>
      </c>
      <c r="P50" s="1209" t="n">
        <v>34000</v>
      </c>
      <c r="Q50" s="1209" t="n">
        <v>52000</v>
      </c>
      <c r="R50" s="704">
        <f>SUM(F50:Q50)</f>
        <v/>
      </c>
    </row>
    <row r="51" ht="12.75" customHeight="1" s="1883">
      <c r="A51" s="1205" t="inlineStr">
        <is>
          <t>√</t>
        </is>
      </c>
      <c r="B51" s="1208" t="inlineStr">
        <is>
          <t>Physical Marketing</t>
        </is>
      </c>
      <c r="C51" s="670" t="n"/>
      <c r="D51" s="671" t="n"/>
      <c r="E51" s="69" t="n"/>
      <c r="F51" s="1209" t="n">
        <v>0</v>
      </c>
      <c r="G51" s="1209" t="n">
        <v>0</v>
      </c>
      <c r="H51" s="1209" t="n">
        <v>0</v>
      </c>
      <c r="I51" s="1209" t="n">
        <v>0</v>
      </c>
      <c r="J51" s="1209" t="n">
        <v>0</v>
      </c>
      <c r="K51" s="1209" t="n">
        <v>0</v>
      </c>
      <c r="L51" s="1209" t="n">
        <v>10000</v>
      </c>
      <c r="M51" s="1209" t="n">
        <v>10000</v>
      </c>
      <c r="N51" s="1209" t="n">
        <v>25000</v>
      </c>
      <c r="O51" s="1209" t="n">
        <v>25000</v>
      </c>
      <c r="P51" s="1209" t="n">
        <v>34000</v>
      </c>
      <c r="Q51" s="1209" t="n">
        <v>52000</v>
      </c>
      <c r="R51" s="704">
        <f>SUM(F51:Q51)</f>
        <v/>
      </c>
    </row>
    <row r="52" ht="12.75" customHeight="1" s="1883">
      <c r="A52" s="1205" t="inlineStr">
        <is>
          <t>√</t>
        </is>
      </c>
      <c r="B52" s="1208" t="inlineStr">
        <is>
          <t>Advertising</t>
        </is>
      </c>
      <c r="C52" s="670" t="n"/>
      <c r="D52" s="671" t="n"/>
      <c r="E52" s="69" t="n"/>
      <c r="F52" s="1209" t="n">
        <v>0</v>
      </c>
      <c r="G52" s="1209" t="n">
        <v>0</v>
      </c>
      <c r="H52" s="1209" t="n">
        <v>0</v>
      </c>
      <c r="I52" s="1209" t="n">
        <v>0</v>
      </c>
      <c r="J52" s="1209" t="n">
        <v>0</v>
      </c>
      <c r="K52" s="1209" t="n">
        <v>0</v>
      </c>
      <c r="L52" s="1209" t="n">
        <v>10000</v>
      </c>
      <c r="M52" s="1209" t="n">
        <v>10000</v>
      </c>
      <c r="N52" s="1209" t="n">
        <v>25000</v>
      </c>
      <c r="O52" s="1209" t="n">
        <v>25000</v>
      </c>
      <c r="P52" s="1209" t="n">
        <v>34000</v>
      </c>
      <c r="Q52" s="1209" t="n">
        <v>52000</v>
      </c>
      <c r="R52" s="704">
        <f>SUM(F52:Q52)</f>
        <v/>
      </c>
    </row>
    <row r="53" ht="12.75" customHeight="1" s="1883">
      <c r="A53" s="1205" t="inlineStr">
        <is>
          <t>√</t>
        </is>
      </c>
      <c r="B53" s="1208" t="inlineStr">
        <is>
          <t xml:space="preserve">Tech Conference / Event Appearances </t>
        </is>
      </c>
      <c r="C53" s="670" t="n"/>
      <c r="D53" s="671" t="n"/>
      <c r="E53" s="69" t="n"/>
      <c r="F53" s="1209" t="n">
        <v>0</v>
      </c>
      <c r="G53" s="1209" t="n">
        <v>0</v>
      </c>
      <c r="H53" s="1209" t="n">
        <v>0</v>
      </c>
      <c r="I53" s="1209" t="n">
        <v>0</v>
      </c>
      <c r="J53" s="1209" t="n">
        <v>0</v>
      </c>
      <c r="K53" s="1209" t="n">
        <v>0</v>
      </c>
      <c r="L53" s="1209" t="n">
        <v>0</v>
      </c>
      <c r="M53" s="1209" t="n">
        <v>0</v>
      </c>
      <c r="N53" s="1209" t="n">
        <v>0</v>
      </c>
      <c r="O53" s="1209" t="n">
        <v>15000</v>
      </c>
      <c r="P53" s="1209" t="n">
        <v>15000</v>
      </c>
      <c r="Q53" s="1209" t="n">
        <v>15000</v>
      </c>
      <c r="R53" s="704">
        <f>SUM(F53:Q53)</f>
        <v/>
      </c>
    </row>
    <row r="54" ht="12.75" customHeight="1" s="1883">
      <c r="A54" s="1205" t="inlineStr">
        <is>
          <t>√</t>
        </is>
      </c>
      <c r="B54" s="1208" t="inlineStr">
        <is>
          <t>Customer Service &amp; Support</t>
        </is>
      </c>
      <c r="C54" s="670" t="n"/>
      <c r="D54" s="671" t="n"/>
      <c r="E54" s="69" t="n"/>
      <c r="F54" s="1209" t="n"/>
      <c r="G54" s="1209" t="n"/>
      <c r="H54" s="1209" t="n"/>
      <c r="I54" s="1209" t="n"/>
      <c r="J54" s="1209" t="n"/>
      <c r="K54" s="1209" t="n"/>
      <c r="L54" s="1209" t="n">
        <v>1000</v>
      </c>
      <c r="M54" s="1209">
        <f>L54*1.25</f>
        <v/>
      </c>
      <c r="N54" s="1209">
        <f>M54*1.25</f>
        <v/>
      </c>
      <c r="O54" s="1209">
        <f>N54*1.25</f>
        <v/>
      </c>
      <c r="P54" s="1209">
        <f>O54*1.25</f>
        <v/>
      </c>
      <c r="Q54" s="1209">
        <f>P54*1.25</f>
        <v/>
      </c>
      <c r="R54" s="704">
        <f>SUM(F54:Q54)</f>
        <v/>
      </c>
    </row>
    <row r="55" ht="12.75" customHeight="1" s="1883">
      <c r="A55" s="1205" t="inlineStr">
        <is>
          <t>√</t>
        </is>
      </c>
      <c r="B55" s="806" t="inlineStr">
        <is>
          <t>Launch Strategy Budget</t>
        </is>
      </c>
      <c r="C55" s="807" t="n"/>
      <c r="D55" s="808" t="n"/>
      <c r="E55" s="805" t="n"/>
      <c r="F55" s="1210" t="n">
        <v>0</v>
      </c>
      <c r="G55" s="1210" t="n">
        <v>0</v>
      </c>
      <c r="H55" s="1210" t="n">
        <v>0</v>
      </c>
      <c r="I55" s="1210" t="n">
        <v>0</v>
      </c>
      <c r="J55" s="1210" t="n">
        <v>0</v>
      </c>
      <c r="K55" s="1210" t="n">
        <v>0</v>
      </c>
      <c r="L55" s="1210" t="n">
        <v>25000</v>
      </c>
      <c r="M55" s="1210" t="n">
        <v>43000</v>
      </c>
      <c r="N55" s="1210" t="n">
        <v>61000</v>
      </c>
      <c r="O55" s="1210" t="n">
        <v>700000</v>
      </c>
      <c r="P55" s="1210" t="n">
        <v>430000</v>
      </c>
      <c r="Q55" s="1210" t="n">
        <v>430000</v>
      </c>
      <c r="R55" s="704">
        <f>SUM(F55:Q55)</f>
        <v/>
      </c>
    </row>
    <row r="56" ht="12.75" customHeight="1" s="1883">
      <c r="A56" s="1205" t="inlineStr">
        <is>
          <t>√</t>
        </is>
      </c>
      <c r="B56" s="806" t="inlineStr">
        <is>
          <t>Product Launch Party</t>
        </is>
      </c>
      <c r="C56" s="807" t="n"/>
      <c r="D56" s="808" t="n"/>
      <c r="E56" s="805" t="n"/>
      <c r="F56" s="1211" t="n">
        <v>0</v>
      </c>
      <c r="G56" s="1211" t="n">
        <v>0</v>
      </c>
      <c r="H56" s="1211" t="n">
        <v>0</v>
      </c>
      <c r="I56" s="1211" t="n">
        <v>0</v>
      </c>
      <c r="J56" s="1211" t="n">
        <v>0</v>
      </c>
      <c r="K56" s="1211" t="n">
        <v>0</v>
      </c>
      <c r="L56" s="1210" t="n">
        <v>0</v>
      </c>
      <c r="M56" s="1210" t="n">
        <v>0</v>
      </c>
      <c r="N56" s="1210" t="n">
        <v>10000</v>
      </c>
      <c r="O56" s="1210" t="n">
        <v>15000</v>
      </c>
      <c r="P56" s="1210" t="n">
        <v>25000</v>
      </c>
      <c r="Q56" s="1210" t="n">
        <v>250000</v>
      </c>
      <c r="R56" s="704">
        <f>SUM(F56:Q56)</f>
        <v/>
      </c>
    </row>
    <row r="57" ht="12.75" customHeight="1" s="1883">
      <c r="A57" s="1649" t="inlineStr">
        <is>
          <t>√</t>
        </is>
      </c>
      <c r="B57" s="1188" t="inlineStr">
        <is>
          <t>Total Marketing &amp; Advertising</t>
        </is>
      </c>
      <c r="C57" s="670" t="n"/>
      <c r="D57" s="671" t="n"/>
      <c r="E57" s="71" t="n"/>
      <c r="F57" s="1212">
        <f>SUM(F42:F56)</f>
        <v/>
      </c>
      <c r="G57" s="1212">
        <f>SUM(G42:G56)</f>
        <v/>
      </c>
      <c r="H57" s="1212">
        <f>SUM(H42:H56)</f>
        <v/>
      </c>
      <c r="I57" s="1212">
        <f>SUM(I42:I56)</f>
        <v/>
      </c>
      <c r="J57" s="1212">
        <f>SUM(J42:J56)</f>
        <v/>
      </c>
      <c r="K57" s="1212">
        <f>SUM(K42:K56)</f>
        <v/>
      </c>
      <c r="L57" s="1213">
        <f>SUM(L42:L56)</f>
        <v/>
      </c>
      <c r="M57" s="1213">
        <f>SUM(M42:M56)</f>
        <v/>
      </c>
      <c r="N57" s="1213">
        <f>SUM(N42:N56)</f>
        <v/>
      </c>
      <c r="O57" s="1213">
        <f>SUM(O42:O56)</f>
        <v/>
      </c>
      <c r="P57" s="1213">
        <f>SUM(P42:P56)</f>
        <v/>
      </c>
      <c r="Q57" s="1213">
        <f>SUM(Q42:Q56)</f>
        <v/>
      </c>
      <c r="R57" s="705">
        <f>SUM(R42:R56)</f>
        <v/>
      </c>
    </row>
    <row r="58" ht="12.75" customHeight="1" s="1883">
      <c r="A58" s="1153" t="n"/>
      <c r="B58" s="1197" t="n"/>
      <c r="C58" s="1060" t="n"/>
      <c r="D58" s="1061" t="n"/>
      <c r="E58" s="1061" t="n"/>
      <c r="F58" s="1201" t="n"/>
      <c r="G58" s="1201" t="n"/>
      <c r="H58" s="1201" t="n"/>
      <c r="I58" s="1201" t="n"/>
      <c r="J58" s="1201" t="n"/>
      <c r="K58" s="1201" t="n"/>
      <c r="L58" s="1201" t="n"/>
      <c r="M58" s="1201" t="n"/>
      <c r="N58" s="1201" t="n"/>
      <c r="O58" s="1201" t="n"/>
      <c r="P58" s="1201" t="n"/>
      <c r="Q58" s="1201" t="n"/>
      <c r="R58" s="706" t="n"/>
    </row>
    <row r="59" ht="12.75" customHeight="1" s="1883">
      <c r="A59" s="1153" t="inlineStr">
        <is>
          <t>G&amp;A                               √</t>
        </is>
      </c>
      <c r="B59" s="1214" t="inlineStr">
        <is>
          <t>Professional Fees</t>
        </is>
      </c>
      <c r="C59" s="670" t="n"/>
      <c r="D59" s="671" t="n"/>
      <c r="E59" s="67" t="n"/>
      <c r="F59" s="1202" t="n"/>
      <c r="G59" s="1202" t="n"/>
      <c r="H59" s="1202" t="n"/>
      <c r="I59" s="1202" t="n"/>
      <c r="J59" s="1202" t="n"/>
      <c r="K59" s="1202" t="n"/>
      <c r="L59" s="1202" t="n"/>
      <c r="M59" s="1202" t="n"/>
      <c r="N59" s="1202" t="n"/>
      <c r="O59" s="1202" t="n"/>
      <c r="P59" s="1202" t="n"/>
      <c r="Q59" s="1202" t="n"/>
      <c r="R59" s="706" t="n"/>
    </row>
    <row r="60" ht="12.75" customHeight="1" s="1883">
      <c r="A60" s="1649" t="inlineStr">
        <is>
          <t>√</t>
        </is>
      </c>
      <c r="B60" s="1208" t="inlineStr">
        <is>
          <t>Accounting</t>
        </is>
      </c>
      <c r="C60" s="670" t="n"/>
      <c r="D60" s="671" t="n"/>
      <c r="E60" s="71" t="n"/>
      <c r="F60" s="1215" t="n">
        <v>10000</v>
      </c>
      <c r="G60" s="1215" t="n">
        <v>0</v>
      </c>
      <c r="H60" s="1215" t="n">
        <v>0</v>
      </c>
      <c r="I60" s="1215" t="n">
        <v>0</v>
      </c>
      <c r="J60" s="1215" t="n">
        <v>0</v>
      </c>
      <c r="K60" s="1215" t="n">
        <v>0</v>
      </c>
      <c r="L60" s="1215" t="n">
        <v>5000</v>
      </c>
      <c r="M60" s="1215" t="n">
        <v>5000</v>
      </c>
      <c r="N60" s="1215" t="n">
        <v>5000</v>
      </c>
      <c r="O60" s="1215" t="n">
        <v>10000</v>
      </c>
      <c r="P60" s="1215" t="n">
        <v>10000</v>
      </c>
      <c r="Q60" s="1215" t="n">
        <v>10000</v>
      </c>
      <c r="R60" s="704">
        <f>SUM(F60:Q60)</f>
        <v/>
      </c>
    </row>
    <row r="61" ht="12.75" customHeight="1" s="1883">
      <c r="A61" s="1649" t="inlineStr">
        <is>
          <t>√</t>
        </is>
      </c>
      <c r="B61" s="1208" t="inlineStr">
        <is>
          <t>Legal</t>
        </is>
      </c>
      <c r="C61" s="670" t="n"/>
      <c r="D61" s="671" t="n"/>
      <c r="E61" s="69" t="n"/>
      <c r="F61" s="1215" t="n">
        <v>10000</v>
      </c>
      <c r="G61" s="1215" t="n">
        <v>120000</v>
      </c>
      <c r="H61" s="1215" t="n">
        <v>0</v>
      </c>
      <c r="I61" s="1215" t="n">
        <v>0</v>
      </c>
      <c r="J61" s="1215" t="n">
        <v>0</v>
      </c>
      <c r="K61" s="1215" t="n">
        <v>0</v>
      </c>
      <c r="L61" s="1215" t="n">
        <v>5000</v>
      </c>
      <c r="M61" s="1215" t="n">
        <v>5000</v>
      </c>
      <c r="N61" s="1215" t="n">
        <v>5000</v>
      </c>
      <c r="O61" s="1215" t="n">
        <v>10000</v>
      </c>
      <c r="P61" s="1215" t="n">
        <v>10000</v>
      </c>
      <c r="Q61" s="1215" t="n">
        <v>10000</v>
      </c>
      <c r="R61" s="704">
        <f>SUM(F61:Q61)</f>
        <v/>
      </c>
    </row>
    <row r="62" ht="12.75" customHeight="1" s="1883">
      <c r="A62" s="1649" t="inlineStr">
        <is>
          <t>√</t>
        </is>
      </c>
      <c r="B62" s="1208" t="inlineStr">
        <is>
          <t>Market Research &amp; Other Early Fees in 12 Month Ramp</t>
        </is>
      </c>
      <c r="C62" s="670" t="n"/>
      <c r="D62" s="671" t="n"/>
      <c r="E62" s="69" t="n"/>
      <c r="F62" s="1215" t="n">
        <v>0</v>
      </c>
      <c r="G62" s="1215" t="n">
        <v>0</v>
      </c>
      <c r="H62" s="1215" t="n">
        <v>0</v>
      </c>
      <c r="I62" s="1215">
        <f>6100/6</f>
        <v/>
      </c>
      <c r="J62" s="1215">
        <f>6100/6</f>
        <v/>
      </c>
      <c r="K62" s="1215">
        <f>6100/6</f>
        <v/>
      </c>
      <c r="L62" s="1215">
        <f>6100/6</f>
        <v/>
      </c>
      <c r="M62" s="1215">
        <f>6100/6</f>
        <v/>
      </c>
      <c r="N62" s="1215">
        <f>6100/6</f>
        <v/>
      </c>
      <c r="O62" s="1215" t="n">
        <v>0</v>
      </c>
      <c r="P62" s="1215" t="n">
        <v>0</v>
      </c>
      <c r="Q62" s="1215" t="n">
        <v>0</v>
      </c>
      <c r="R62" s="704">
        <f>SUM(I62:Q62)</f>
        <v/>
      </c>
      <c r="S62" s="507">
        <f>R62+R63+R65</f>
        <v/>
      </c>
    </row>
    <row r="63" ht="12.75" customHeight="1" s="1883">
      <c r="A63" s="1649" t="inlineStr">
        <is>
          <t>√</t>
        </is>
      </c>
      <c r="B63" s="1208" t="inlineStr">
        <is>
          <t>Business Consultants</t>
        </is>
      </c>
      <c r="C63" s="670" t="n"/>
      <c r="D63" s="671" t="n"/>
      <c r="E63" s="69" t="n"/>
      <c r="F63" s="1215" t="n">
        <v>0</v>
      </c>
      <c r="G63" s="1215" t="n">
        <v>0</v>
      </c>
      <c r="H63" s="1215" t="n">
        <v>0</v>
      </c>
      <c r="I63" s="1215" t="n">
        <v>0</v>
      </c>
      <c r="J63" s="1215" t="n">
        <v>0</v>
      </c>
      <c r="K63" s="1215" t="n">
        <v>0</v>
      </c>
      <c r="L63" s="1215" t="n">
        <v>5000</v>
      </c>
      <c r="M63" s="1215" t="n">
        <v>5000</v>
      </c>
      <c r="N63" s="1215" t="n">
        <v>5000</v>
      </c>
      <c r="O63" s="1215" t="n">
        <v>10000</v>
      </c>
      <c r="P63" s="1215" t="n">
        <v>10000</v>
      </c>
      <c r="Q63" s="1215" t="n">
        <v>10000</v>
      </c>
      <c r="R63" s="704">
        <f>SUM(F63:Q63)</f>
        <v/>
      </c>
    </row>
    <row r="64" ht="12.75" customHeight="1" s="1883">
      <c r="A64" s="1649" t="inlineStr">
        <is>
          <t>√</t>
        </is>
      </c>
      <c r="B64" s="1208" t="inlineStr">
        <is>
          <t>Other Services - Cleaning for HQ, Garbage Removal, Snow Removal, Landscaping</t>
        </is>
      </c>
      <c r="C64" s="670" t="n"/>
      <c r="D64" s="671" t="n"/>
      <c r="E64" s="69" t="n"/>
      <c r="F64" s="1215" t="n">
        <v>10000</v>
      </c>
      <c r="G64" s="1215" t="n">
        <v>10000</v>
      </c>
      <c r="H64" s="1215" t="n">
        <v>10000</v>
      </c>
      <c r="I64" s="1215" t="n">
        <v>10000</v>
      </c>
      <c r="J64" s="1215" t="n">
        <v>10000</v>
      </c>
      <c r="K64" s="1215" t="n">
        <v>10000</v>
      </c>
      <c r="L64" s="1215" t="n">
        <v>10000</v>
      </c>
      <c r="M64" s="1215" t="n">
        <v>10000</v>
      </c>
      <c r="N64" s="1215" t="n">
        <v>10000</v>
      </c>
      <c r="O64" s="1215" t="n">
        <v>10000</v>
      </c>
      <c r="P64" s="1215" t="n">
        <v>10000</v>
      </c>
      <c r="Q64" s="1215" t="n">
        <v>10000</v>
      </c>
      <c r="R64" s="704">
        <f>SUM(F64:Q64)</f>
        <v/>
      </c>
    </row>
    <row r="65" ht="12.75" customHeight="1" s="1883">
      <c r="A65" s="1649" t="inlineStr">
        <is>
          <t>√</t>
        </is>
      </c>
      <c r="B65" s="1208" t="inlineStr">
        <is>
          <t>IT Consultants</t>
        </is>
      </c>
      <c r="C65" s="670" t="n"/>
      <c r="D65" s="671" t="n"/>
      <c r="E65" s="69" t="n"/>
      <c r="F65" s="1215" t="n">
        <v>0</v>
      </c>
      <c r="G65" s="1215" t="n">
        <v>0</v>
      </c>
      <c r="H65" s="1215" t="n">
        <v>0</v>
      </c>
      <c r="I65" s="1215" t="n">
        <v>0</v>
      </c>
      <c r="J65" s="1215" t="n">
        <v>0</v>
      </c>
      <c r="K65" s="1215" t="n">
        <v>0</v>
      </c>
      <c r="L65" s="1215" t="n">
        <v>5000</v>
      </c>
      <c r="M65" s="1215" t="n">
        <v>5000</v>
      </c>
      <c r="N65" s="1215" t="n">
        <v>5000</v>
      </c>
      <c r="O65" s="1215" t="n">
        <v>10000</v>
      </c>
      <c r="P65" s="1215" t="n">
        <v>10000</v>
      </c>
      <c r="Q65" s="1215" t="n">
        <v>10000</v>
      </c>
      <c r="R65" s="704">
        <f>SUM(F65:Q65)</f>
        <v/>
      </c>
    </row>
    <row r="66" ht="12.75" customHeight="1" s="1883">
      <c r="A66" s="1649" t="inlineStr">
        <is>
          <t>√</t>
        </is>
      </c>
      <c r="B66" s="1208" t="inlineStr">
        <is>
          <t>Licensing - Certs (FCC etc)</t>
        </is>
      </c>
      <c r="C66" s="670" t="n"/>
      <c r="D66" s="671" t="n"/>
      <c r="E66" s="69" t="n"/>
      <c r="F66" s="1216" t="n">
        <v>525</v>
      </c>
      <c r="G66" s="1216" t="n">
        <v>0</v>
      </c>
      <c r="H66" s="1216" t="n">
        <v>0</v>
      </c>
      <c r="I66" s="1216" t="n">
        <v>0</v>
      </c>
      <c r="J66" s="1216" t="n">
        <v>0</v>
      </c>
      <c r="K66" s="1216" t="n">
        <v>0</v>
      </c>
      <c r="L66" s="1215" t="n">
        <v>2500</v>
      </c>
      <c r="M66" s="1215" t="n">
        <v>20000</v>
      </c>
      <c r="N66" s="1215" t="n">
        <v>25000</v>
      </c>
      <c r="O66" s="1215" t="n">
        <v>25000</v>
      </c>
      <c r="P66" s="1215" t="n">
        <v>25000</v>
      </c>
      <c r="Q66" s="1215" t="n">
        <v>0</v>
      </c>
      <c r="R66" s="704">
        <f>SUM(F66:Q66)</f>
        <v/>
      </c>
    </row>
    <row r="67" ht="12.75" customHeight="1" s="1883">
      <c r="A67" s="1651" t="inlineStr">
        <is>
          <t>√</t>
        </is>
      </c>
      <c r="B67" s="1188" t="inlineStr">
        <is>
          <t>Total Professional Fees</t>
        </is>
      </c>
      <c r="C67" s="670" t="n"/>
      <c r="D67" s="671" t="n"/>
      <c r="E67" s="72" t="n"/>
      <c r="F67" s="1217">
        <f>SUM(F60:F66)</f>
        <v/>
      </c>
      <c r="G67" s="1217">
        <f>SUM(G60:G66)</f>
        <v/>
      </c>
      <c r="H67" s="1217">
        <f>SUM(H60:H66)</f>
        <v/>
      </c>
      <c r="I67" s="1217">
        <f>SUM(I60:I66)</f>
        <v/>
      </c>
      <c r="J67" s="1217">
        <f>SUM(J60:J66)</f>
        <v/>
      </c>
      <c r="K67" s="1217">
        <f>SUM(K60:K66)</f>
        <v/>
      </c>
      <c r="L67" s="1218">
        <f>SUM(L60:L66)</f>
        <v/>
      </c>
      <c r="M67" s="1218">
        <f>SUM(M60:M66)</f>
        <v/>
      </c>
      <c r="N67" s="1218">
        <f>SUM(N60:N66)</f>
        <v/>
      </c>
      <c r="O67" s="1218">
        <f>SUM(O60:O66)</f>
        <v/>
      </c>
      <c r="P67" s="1218">
        <f>SUM(P60:P66)</f>
        <v/>
      </c>
      <c r="Q67" s="1218">
        <f>SUM(Q60:Q66)</f>
        <v/>
      </c>
      <c r="R67" s="705">
        <f>SUM(R60:R66)</f>
        <v/>
      </c>
    </row>
    <row r="68" ht="12.75" customHeight="1" s="1883">
      <c r="A68" s="1153" t="n"/>
      <c r="B68" s="1197" t="n"/>
      <c r="C68" s="1219" t="n"/>
      <c r="D68" s="1061" t="n"/>
      <c r="E68" s="1093" t="n"/>
      <c r="F68" s="1220" t="n"/>
      <c r="G68" s="1220" t="n"/>
      <c r="H68" s="1220" t="n"/>
      <c r="I68" s="1220" t="n"/>
      <c r="J68" s="1220" t="n"/>
      <c r="K68" s="1220" t="n"/>
      <c r="L68" s="1221" t="n"/>
      <c r="M68" s="1201" t="n"/>
      <c r="N68" s="1201" t="n"/>
      <c r="O68" s="1222" t="n"/>
      <c r="P68" s="1201" t="n"/>
      <c r="Q68" s="1201" t="n"/>
      <c r="R68" s="706" t="n"/>
    </row>
    <row r="69" ht="12.75" customHeight="1" s="1883">
      <c r="A69" s="1650" t="inlineStr">
        <is>
          <t>R&amp;D                               √</t>
        </is>
      </c>
      <c r="B69" s="1188" t="inlineStr">
        <is>
          <t>Research &amp; Development</t>
        </is>
      </c>
      <c r="C69" s="670" t="n"/>
      <c r="D69" s="671" t="n"/>
      <c r="E69" s="62" t="n"/>
      <c r="F69" s="1223" t="n"/>
      <c r="G69" s="1223" t="n"/>
      <c r="H69" s="707" t="n"/>
      <c r="I69" s="707" t="n"/>
      <c r="J69" s="1223" t="n"/>
      <c r="K69" s="1223" t="n"/>
      <c r="L69" s="707" t="n"/>
      <c r="M69" s="707" t="n"/>
      <c r="N69" s="707" t="n"/>
      <c r="O69" s="707" t="n"/>
      <c r="P69" s="707" t="n"/>
      <c r="Q69" s="707" t="n"/>
      <c r="R69" s="706" t="n"/>
    </row>
    <row r="70" ht="12.75" customHeight="1" s="1883">
      <c r="A70" s="1205" t="inlineStr">
        <is>
          <t>√</t>
        </is>
      </c>
      <c r="B70" s="836" t="inlineStr">
        <is>
          <t>Application &amp; Platform / Dashboard MVPs</t>
        </is>
      </c>
      <c r="C70" s="670" t="n"/>
      <c r="D70" s="671" t="n"/>
      <c r="E70" s="69" t="n"/>
      <c r="F70" s="708" t="n">
        <v>40000</v>
      </c>
      <c r="G70" s="708" t="n">
        <v>40000</v>
      </c>
      <c r="H70" s="708" t="n">
        <v>40000</v>
      </c>
      <c r="I70" s="708" t="n">
        <v>40000</v>
      </c>
      <c r="J70" s="708" t="n">
        <v>40000</v>
      </c>
      <c r="K70" s="708" t="n">
        <v>40000</v>
      </c>
      <c r="L70" s="708" t="n">
        <v>100000</v>
      </c>
      <c r="M70" s="708" t="n">
        <v>100000</v>
      </c>
      <c r="N70" s="708" t="n">
        <v>100000</v>
      </c>
      <c r="O70" s="708" t="n">
        <v>100000</v>
      </c>
      <c r="P70" s="708" t="n">
        <v>100000</v>
      </c>
      <c r="Q70" s="708" t="n">
        <v>100000</v>
      </c>
      <c r="R70" s="704">
        <f>SUM(F70:Q70)</f>
        <v/>
      </c>
      <c r="T70" s="672" t="n"/>
      <c r="U70" s="70" t="n"/>
      <c r="V70" s="672" t="n"/>
      <c r="W70" s="672" t="n"/>
      <c r="X70" s="672" t="n"/>
      <c r="Y70" s="672" t="n"/>
      <c r="Z70" s="672" t="n"/>
      <c r="AA70" s="672" t="n"/>
      <c r="AB70" s="672" t="n"/>
      <c r="AC70" s="672" t="n"/>
      <c r="AD70" s="672" t="n"/>
      <c r="AE70" s="672" t="n"/>
      <c r="AF70" s="672" t="n"/>
      <c r="AG70" s="672" t="n"/>
      <c r="AH70" s="672" t="n"/>
    </row>
    <row r="71" ht="12.75" customHeight="1" s="1883">
      <c r="A71" s="1205" t="inlineStr">
        <is>
          <t>√</t>
        </is>
      </c>
      <c r="B71" s="836" t="inlineStr">
        <is>
          <t>Final Phone Features to Pre-Existing Hardware</t>
        </is>
      </c>
      <c r="C71" s="670" t="n"/>
      <c r="D71" s="671" t="n"/>
      <c r="E71" s="69" t="n"/>
      <c r="F71" s="708" t="n">
        <v>0</v>
      </c>
      <c r="G71" s="708" t="n">
        <v>25000</v>
      </c>
      <c r="H71" s="708" t="n">
        <v>25000</v>
      </c>
      <c r="I71" s="708" t="n">
        <v>50000</v>
      </c>
      <c r="J71" s="708" t="n">
        <v>50000</v>
      </c>
      <c r="K71" s="708" t="n">
        <v>50000</v>
      </c>
      <c r="L71" s="708" t="n">
        <v>50000</v>
      </c>
      <c r="M71" s="708" t="n">
        <v>50000</v>
      </c>
      <c r="N71" s="708" t="n">
        <v>50000</v>
      </c>
      <c r="O71" s="708" t="n">
        <v>50000</v>
      </c>
      <c r="P71" s="708" t="n">
        <v>0</v>
      </c>
      <c r="Q71" s="708" t="n">
        <v>0</v>
      </c>
      <c r="R71" s="704">
        <f>SUM(F71:Q71)</f>
        <v/>
      </c>
      <c r="T71" s="672" t="n"/>
      <c r="U71" s="70" t="n"/>
      <c r="V71" s="672" t="n"/>
      <c r="W71" s="672" t="n"/>
      <c r="X71" s="672" t="n"/>
      <c r="Y71" s="672" t="n"/>
      <c r="Z71" s="672" t="n"/>
      <c r="AA71" s="672" t="n"/>
      <c r="AB71" s="672" t="n"/>
      <c r="AC71" s="672" t="n"/>
      <c r="AD71" s="672" t="n"/>
      <c r="AE71" s="672" t="n"/>
      <c r="AF71" s="672" t="n"/>
      <c r="AG71" s="672" t="n"/>
      <c r="AH71" s="672" t="n"/>
    </row>
    <row r="72" ht="12.75" customHeight="1" s="1883">
      <c r="A72" s="1205" t="inlineStr">
        <is>
          <t>√</t>
        </is>
      </c>
      <c r="B72" s="1224" t="inlineStr">
        <is>
          <t>Initial MOQ of 3,000 phones at $516/unit</t>
        </is>
      </c>
      <c r="C72" s="1225" t="n"/>
      <c r="D72" s="1226" t="n"/>
      <c r="E72" s="801" t="n"/>
      <c r="F72" s="802" t="n">
        <v>0</v>
      </c>
      <c r="G72" s="802" t="n">
        <v>0</v>
      </c>
      <c r="H72" s="802" t="n">
        <v>0</v>
      </c>
      <c r="I72" s="802" t="n">
        <v>0</v>
      </c>
      <c r="J72" s="802" t="n">
        <v>0</v>
      </c>
      <c r="K72" s="802" t="n">
        <v>0</v>
      </c>
      <c r="L72" s="802" t="n">
        <v>0</v>
      </c>
      <c r="M72" s="802" t="n">
        <v>0</v>
      </c>
      <c r="N72" s="802" t="n">
        <v>0</v>
      </c>
      <c r="O72" s="802" t="n">
        <v>0</v>
      </c>
      <c r="P72" s="802">
        <f>(('3B. Tel. - Rev. Detail x Month'!J28)*(3000)*(0.3))</f>
        <v/>
      </c>
      <c r="Q72" s="802">
        <f>((3000)*('3B. Tel. - Rev. Detail x Month'!J28)*(0.7))</f>
        <v/>
      </c>
      <c r="R72" s="704">
        <f>SUM(F72:Q72)</f>
        <v/>
      </c>
      <c r="T72" s="1461" t="n"/>
      <c r="U72" s="70" t="n"/>
      <c r="V72" s="672" t="n"/>
      <c r="W72" s="672" t="n"/>
      <c r="X72" s="672" t="n"/>
      <c r="Y72" s="672" t="n"/>
      <c r="Z72" s="672" t="n"/>
      <c r="AA72" s="672" t="n"/>
      <c r="AB72" s="672" t="n"/>
      <c r="AC72" s="672" t="n"/>
      <c r="AD72" s="672" t="n"/>
      <c r="AE72" s="672" t="n"/>
      <c r="AF72" s="672" t="n"/>
      <c r="AG72" s="672" t="n"/>
      <c r="AH72" s="672" t="n"/>
    </row>
    <row r="73" ht="12.75" customHeight="1" s="1883">
      <c r="A73" s="1205" t="inlineStr">
        <is>
          <t>√</t>
        </is>
      </c>
      <c r="B73" s="836" t="inlineStr">
        <is>
          <t>Industrial Design</t>
        </is>
      </c>
      <c r="C73" s="670" t="n"/>
      <c r="D73" s="671" t="n"/>
      <c r="E73" s="69" t="n"/>
      <c r="F73" s="708" t="n">
        <v>0</v>
      </c>
      <c r="G73" s="708" t="n">
        <v>8333</v>
      </c>
      <c r="H73" s="708" t="n">
        <v>8333</v>
      </c>
      <c r="I73" s="708" t="n">
        <v>8333</v>
      </c>
      <c r="J73" s="708" t="n">
        <v>8333</v>
      </c>
      <c r="K73" s="708" t="n">
        <v>0</v>
      </c>
      <c r="L73" s="708" t="n">
        <v>0</v>
      </c>
      <c r="M73" s="708" t="n">
        <v>0</v>
      </c>
      <c r="N73" s="708" t="n">
        <v>0</v>
      </c>
      <c r="O73" s="708" t="n">
        <v>0</v>
      </c>
      <c r="P73" s="708" t="n">
        <v>0</v>
      </c>
      <c r="Q73" s="708" t="n">
        <v>0</v>
      </c>
      <c r="R73" s="704">
        <f>SUM(F73:Q73)</f>
        <v/>
      </c>
      <c r="T73" s="672" t="n"/>
      <c r="U73" s="70" t="n"/>
      <c r="V73" s="672" t="n"/>
      <c r="W73" s="672" t="n"/>
      <c r="X73" s="672" t="n"/>
      <c r="Y73" s="672" t="n"/>
      <c r="Z73" s="672" t="n"/>
      <c r="AA73" s="672" t="n"/>
      <c r="AB73" s="672" t="n"/>
      <c r="AC73" s="672" t="n"/>
      <c r="AD73" s="672" t="n"/>
      <c r="AE73" s="672" t="n"/>
      <c r="AF73" s="672" t="n"/>
      <c r="AG73" s="672" t="n"/>
      <c r="AH73" s="672" t="n"/>
    </row>
    <row r="74" ht="12.75" customHeight="1" s="1883">
      <c r="A74" s="1205" t="inlineStr">
        <is>
          <t>√</t>
        </is>
      </c>
      <c r="B74" s="836" t="inlineStr">
        <is>
          <t>Phone Packaging Production</t>
        </is>
      </c>
      <c r="C74" s="670" t="n"/>
      <c r="D74" s="671" t="n"/>
      <c r="E74" s="69" t="n"/>
      <c r="F74" s="708" t="n">
        <v>0</v>
      </c>
      <c r="G74" s="708" t="n">
        <v>0</v>
      </c>
      <c r="H74" s="708" t="n">
        <v>0</v>
      </c>
      <c r="I74" s="708" t="n">
        <v>0</v>
      </c>
      <c r="J74" s="708" t="n">
        <v>0</v>
      </c>
      <c r="K74" s="708" t="n">
        <v>5000</v>
      </c>
      <c r="L74" s="708" t="n">
        <v>5000</v>
      </c>
      <c r="M74" s="708" t="n">
        <v>5000</v>
      </c>
      <c r="N74" s="708" t="n">
        <v>5000</v>
      </c>
      <c r="O74" s="708" t="n">
        <v>5000</v>
      </c>
      <c r="P74" s="708" t="n">
        <v>0</v>
      </c>
      <c r="Q74" s="708">
        <f>5*25000</f>
        <v/>
      </c>
      <c r="R74" s="704">
        <f>SUM(F74:Q74)</f>
        <v/>
      </c>
      <c r="T74" s="672" t="n"/>
      <c r="U74" s="70" t="n"/>
      <c r="V74" s="672" t="n"/>
      <c r="W74" s="672" t="n"/>
      <c r="X74" s="672" t="n"/>
      <c r="Y74" s="672" t="n"/>
      <c r="Z74" s="672" t="n"/>
      <c r="AA74" s="672" t="n"/>
      <c r="AB74" s="672" t="n"/>
      <c r="AC74" s="672" t="n"/>
      <c r="AD74" s="672" t="n"/>
      <c r="AE74" s="672" t="n"/>
      <c r="AF74" s="672" t="n"/>
      <c r="AG74" s="672" t="n"/>
      <c r="AH74" s="672" t="n"/>
    </row>
    <row r="75" ht="12.75" customHeight="1" s="1883">
      <c r="A75" s="1205" t="inlineStr">
        <is>
          <t>√</t>
        </is>
      </c>
      <c r="B75" s="836" t="inlineStr">
        <is>
          <t>Bootloaders - UI/UX on Phone</t>
        </is>
      </c>
      <c r="C75" s="670" t="n"/>
      <c r="D75" s="671" t="n"/>
      <c r="E75" s="69" t="n"/>
      <c r="F75" s="708" t="n">
        <v>0</v>
      </c>
      <c r="G75" s="708" t="n">
        <v>5000</v>
      </c>
      <c r="H75" s="708" t="n">
        <v>10000</v>
      </c>
      <c r="I75" s="708" t="n">
        <v>25000</v>
      </c>
      <c r="J75" s="708" t="n">
        <v>40000</v>
      </c>
      <c r="K75" s="708" t="n">
        <v>40000</v>
      </c>
      <c r="L75" s="708" t="n">
        <v>50000</v>
      </c>
      <c r="M75" s="708" t="n">
        <v>70000</v>
      </c>
      <c r="N75" s="708" t="n">
        <v>70000</v>
      </c>
      <c r="O75" s="708" t="n">
        <v>70000</v>
      </c>
      <c r="P75" s="708" t="n">
        <v>70000</v>
      </c>
      <c r="Q75" s="708" t="n">
        <v>70000</v>
      </c>
      <c r="R75" s="704">
        <f>SUM(F75:Q75)</f>
        <v/>
      </c>
      <c r="T75" s="672" t="n"/>
      <c r="U75" s="70" t="n"/>
      <c r="V75" s="672" t="n"/>
      <c r="W75" s="672" t="n"/>
      <c r="X75" s="672" t="n"/>
      <c r="Y75" s="672" t="n"/>
      <c r="Z75" s="672" t="n"/>
      <c r="AA75" s="672" t="n"/>
      <c r="AB75" s="672" t="n"/>
      <c r="AC75" s="672" t="n"/>
      <c r="AD75" s="672" t="n"/>
      <c r="AE75" s="672" t="n"/>
      <c r="AF75" s="672" t="n"/>
      <c r="AG75" s="672" t="n"/>
      <c r="AH75" s="672" t="n"/>
    </row>
    <row r="76" ht="12.75" customHeight="1" s="1883">
      <c r="A76" s="1205" t="inlineStr">
        <is>
          <t>√</t>
        </is>
      </c>
      <c r="B76" s="836" t="inlineStr">
        <is>
          <t>Partner Integration</t>
        </is>
      </c>
      <c r="C76" s="670" t="n"/>
      <c r="D76" s="671" t="n"/>
      <c r="E76" s="69" t="n"/>
      <c r="F76" s="708" t="n"/>
      <c r="G76" s="708" t="n"/>
      <c r="H76" s="708" t="n"/>
      <c r="I76" s="708" t="n"/>
      <c r="J76" s="708" t="n">
        <v>10000</v>
      </c>
      <c r="K76" s="708" t="n">
        <v>15000</v>
      </c>
      <c r="L76" s="708" t="n">
        <v>25000</v>
      </c>
      <c r="M76" s="708" t="n">
        <v>35000</v>
      </c>
      <c r="N76" s="708" t="n">
        <v>45000</v>
      </c>
      <c r="O76" s="708" t="n">
        <v>45000</v>
      </c>
      <c r="P76" s="708" t="n">
        <v>45000</v>
      </c>
      <c r="Q76" s="708" t="n">
        <v>45000</v>
      </c>
      <c r="R76" s="704">
        <f>SUM(F76:Q76)</f>
        <v/>
      </c>
      <c r="T76" s="672" t="n"/>
      <c r="U76" s="70" t="n"/>
      <c r="V76" s="672" t="n"/>
      <c r="W76" s="672" t="n"/>
      <c r="X76" s="672" t="n"/>
      <c r="Y76" s="672" t="n"/>
      <c r="Z76" s="672" t="n"/>
      <c r="AA76" s="672" t="n"/>
      <c r="AB76" s="672" t="n"/>
      <c r="AC76" s="672" t="n"/>
      <c r="AD76" s="672" t="n"/>
      <c r="AE76" s="672" t="n"/>
      <c r="AF76" s="672" t="n"/>
      <c r="AG76" s="672" t="n"/>
      <c r="AH76" s="672" t="n"/>
    </row>
    <row r="77" ht="12.75" customHeight="1" s="1883">
      <c r="A77" s="1205" t="inlineStr">
        <is>
          <t>√</t>
        </is>
      </c>
      <c r="B77" s="836" t="inlineStr">
        <is>
          <t>Philippines Office Expenses - Rent + Utilities + IT Expenses, etc</t>
        </is>
      </c>
      <c r="C77" s="670" t="n"/>
      <c r="D77" s="671" t="n"/>
      <c r="E77" s="69" t="n"/>
      <c r="F77" s="708" t="n">
        <v>0</v>
      </c>
      <c r="G77" s="708" t="n"/>
      <c r="H77" s="708">
        <f>1700+600+3000+5000</f>
        <v/>
      </c>
      <c r="I77" s="708">
        <f>1700+600+3000+2500+250</f>
        <v/>
      </c>
      <c r="J77" s="708">
        <f>1700+700+1500+250</f>
        <v/>
      </c>
      <c r="K77" s="708">
        <f>1700+750+1500+250</f>
        <v/>
      </c>
      <c r="L77" s="708">
        <f>1700+800+2000+250</f>
        <v/>
      </c>
      <c r="M77" s="708">
        <f>1700+850+2000+250</f>
        <v/>
      </c>
      <c r="N77" s="708">
        <f>1700+900+3000+250</f>
        <v/>
      </c>
      <c r="O77" s="708">
        <f>1700+950+3000+250</f>
        <v/>
      </c>
      <c r="P77" s="708">
        <f>1700+1000+3000+250</f>
        <v/>
      </c>
      <c r="Q77" s="708">
        <f>1700+1050+3000+250</f>
        <v/>
      </c>
      <c r="R77" s="704">
        <f>SUM(F77:Q77)</f>
        <v/>
      </c>
      <c r="T77" s="672" t="n"/>
      <c r="U77" s="70" t="n"/>
      <c r="V77" s="672" t="n"/>
      <c r="W77" s="672" t="n"/>
      <c r="X77" s="672" t="n"/>
      <c r="Y77" s="672" t="n"/>
      <c r="Z77" s="672" t="n"/>
      <c r="AA77" s="672" t="n"/>
      <c r="AB77" s="672" t="n"/>
      <c r="AC77" s="672" t="n"/>
      <c r="AD77" s="672" t="n"/>
      <c r="AE77" s="672" t="n"/>
      <c r="AF77" s="672" t="n"/>
      <c r="AG77" s="672" t="n"/>
      <c r="AH77" s="672" t="n"/>
    </row>
    <row r="78" ht="12.75" customHeight="1" s="1883">
      <c r="A78" s="1205" t="inlineStr">
        <is>
          <t>√</t>
        </is>
      </c>
      <c r="B78" s="836" t="inlineStr">
        <is>
          <t>Cloud Infrastructure + Data Storage</t>
        </is>
      </c>
      <c r="C78" s="670" t="n"/>
      <c r="D78" s="671" t="n"/>
      <c r="E78" s="69" t="n"/>
      <c r="F78" s="708" t="n">
        <v>7000</v>
      </c>
      <c r="G78" s="708" t="n">
        <v>10000</v>
      </c>
      <c r="H78" s="708">
        <f>G78*1.1</f>
        <v/>
      </c>
      <c r="I78" s="708">
        <f>H78*1.1</f>
        <v/>
      </c>
      <c r="J78" s="708">
        <f>I78*1.15</f>
        <v/>
      </c>
      <c r="K78" s="708">
        <f>J78*1.15</f>
        <v/>
      </c>
      <c r="L78" s="708">
        <f>K78*1.2</f>
        <v/>
      </c>
      <c r="M78" s="708">
        <f>L78*1.2</f>
        <v/>
      </c>
      <c r="N78" s="708">
        <f>M78*1.2</f>
        <v/>
      </c>
      <c r="O78" s="708">
        <f>N78*1.25</f>
        <v/>
      </c>
      <c r="P78" s="708">
        <f>O78*1.25</f>
        <v/>
      </c>
      <c r="Q78" s="708">
        <f>P78*1.25</f>
        <v/>
      </c>
      <c r="R78" s="704">
        <f>SUM(F78:Q78)</f>
        <v/>
      </c>
      <c r="T78" s="672" t="n"/>
      <c r="U78" s="70" t="n"/>
      <c r="V78" s="672" t="n"/>
      <c r="W78" s="672" t="n"/>
      <c r="X78" s="672" t="n"/>
      <c r="Y78" s="672" t="n"/>
      <c r="Z78" s="672" t="n"/>
      <c r="AA78" s="672" t="n"/>
      <c r="AB78" s="672" t="n"/>
      <c r="AC78" s="672" t="n"/>
      <c r="AD78" s="672" t="n"/>
      <c r="AE78" s="672" t="n"/>
      <c r="AF78" s="672" t="n"/>
      <c r="AG78" s="672" t="n"/>
      <c r="AH78" s="672" t="n"/>
    </row>
    <row r="79" ht="12.75" customHeight="1" s="1883">
      <c r="A79" s="1205" t="inlineStr">
        <is>
          <t>√</t>
        </is>
      </c>
      <c r="B79" s="836" t="inlineStr">
        <is>
          <t>IP Filings &amp; Trademarks for Pure Technology, Domain Costs,</t>
        </is>
      </c>
      <c r="C79" s="670" t="n"/>
      <c r="D79" s="671" t="n"/>
      <c r="E79" s="69" t="n"/>
      <c r="F79" s="1216" t="n">
        <v>50000</v>
      </c>
      <c r="G79" s="1216" t="n">
        <v>25000</v>
      </c>
      <c r="H79" s="1216" t="n">
        <v>15000</v>
      </c>
      <c r="I79" s="1216" t="n">
        <v>10000</v>
      </c>
      <c r="J79" s="1216" t="n">
        <v>5000</v>
      </c>
      <c r="K79" s="1216" t="n">
        <v>5000</v>
      </c>
      <c r="L79" s="1216" t="n">
        <v>10000</v>
      </c>
      <c r="M79" s="1216" t="n">
        <v>10000</v>
      </c>
      <c r="N79" s="1216" t="n">
        <v>10000</v>
      </c>
      <c r="O79" s="1216" t="n">
        <v>15000</v>
      </c>
      <c r="P79" s="1216" t="n">
        <v>15000</v>
      </c>
      <c r="Q79" s="1216" t="n">
        <v>15000</v>
      </c>
      <c r="R79" s="704">
        <f>SUM(F79:Q79)</f>
        <v/>
      </c>
      <c r="T79" s="672" t="n"/>
      <c r="U79" s="70" t="n"/>
      <c r="V79" s="672" t="n"/>
      <c r="W79" s="672" t="n"/>
      <c r="X79" s="672" t="n"/>
      <c r="Y79" s="672" t="n"/>
      <c r="Z79" s="672" t="n"/>
      <c r="AA79" s="672" t="n"/>
      <c r="AB79" s="672" t="n"/>
      <c r="AC79" s="672" t="n"/>
      <c r="AD79" s="672" t="n"/>
      <c r="AE79" s="672" t="n"/>
      <c r="AF79" s="672" t="n"/>
      <c r="AG79" s="672" t="n"/>
      <c r="AH79" s="672" t="n"/>
    </row>
    <row r="80" ht="12.75" customHeight="1" s="1883">
      <c r="A80" s="1649" t="inlineStr">
        <is>
          <t>√</t>
        </is>
      </c>
      <c r="B80" s="1188" t="inlineStr">
        <is>
          <t>Total Research &amp; Development</t>
        </is>
      </c>
      <c r="C80" s="670" t="n"/>
      <c r="D80" s="671" t="n"/>
      <c r="E80" s="69" t="n"/>
      <c r="F80" s="1942">
        <f>SUM(F70:F79)</f>
        <v/>
      </c>
      <c r="G80" s="1942">
        <f>SUM(G70:G79)</f>
        <v/>
      </c>
      <c r="H80" s="1942">
        <f>SUM(H70:H79)</f>
        <v/>
      </c>
      <c r="I80" s="1942">
        <f>SUM(I70:I79)</f>
        <v/>
      </c>
      <c r="J80" s="1942">
        <f>SUM(J70:J79)</f>
        <v/>
      </c>
      <c r="K80" s="1942">
        <f>SUM(K70:K79)</f>
        <v/>
      </c>
      <c r="L80" s="1207">
        <f>SUM(L70:L79)</f>
        <v/>
      </c>
      <c r="M80" s="1207">
        <f>SUM(M70:M79)</f>
        <v/>
      </c>
      <c r="N80" s="1207">
        <f>SUM(N70:N79)</f>
        <v/>
      </c>
      <c r="O80" s="1207">
        <f>SUM(O70:O79)</f>
        <v/>
      </c>
      <c r="P80" s="1207">
        <f>SUM(P70:P79)</f>
        <v/>
      </c>
      <c r="Q80" s="1207">
        <f>SUM(Q70:Q79)</f>
        <v/>
      </c>
      <c r="R80" s="1228">
        <f>SUM(R70:R79)</f>
        <v/>
      </c>
      <c r="S80" s="672" t="inlineStr">
        <is>
          <t xml:space="preserve">Includes 3000 pieces of production-ready high-end Android phones @$500 &amp; Infrastructure Outsourcing for MVP &amp; Miscellaneous (R&amp;D materials, samples, special software for in-house Program Team, etc.) </t>
        </is>
      </c>
      <c r="T80" s="672" t="n"/>
      <c r="U80" s="70" t="n"/>
      <c r="V80" s="672" t="n"/>
      <c r="W80" s="672" t="n"/>
      <c r="X80" s="672" t="n"/>
      <c r="Y80" s="672" t="n"/>
      <c r="Z80" s="672" t="n"/>
      <c r="AA80" s="672" t="n"/>
      <c r="AB80" s="672" t="n"/>
      <c r="AC80" s="672" t="n"/>
      <c r="AD80" s="672" t="n"/>
      <c r="AE80" s="672" t="n"/>
      <c r="AF80" s="672" t="n"/>
      <c r="AG80" s="672" t="n"/>
      <c r="AH80" s="672" t="n"/>
      <c r="AS80" t="n">
        <v>25000000</v>
      </c>
    </row>
    <row r="81" ht="12.75" customHeight="1" s="1883">
      <c r="A81" s="1153" t="n"/>
      <c r="B81" s="1197" t="n"/>
      <c r="C81" s="1060" t="n"/>
      <c r="D81" s="1061" t="n"/>
      <c r="E81" s="1061" t="n"/>
      <c r="F81" s="1220" t="n"/>
      <c r="G81" s="1220" t="n"/>
      <c r="H81" s="1220" t="n"/>
      <c r="I81" s="1220" t="n"/>
      <c r="J81" s="1220" t="n"/>
      <c r="K81" s="1220" t="n"/>
      <c r="L81" s="1201" t="n"/>
      <c r="M81" s="1201" t="n"/>
      <c r="N81" s="1201" t="n"/>
      <c r="O81" s="1201" t="n"/>
      <c r="P81" s="1201" t="n"/>
      <c r="Q81" s="1201" t="n"/>
      <c r="R81" s="706" t="n"/>
      <c r="S81" s="672" t="n"/>
      <c r="T81" s="672" t="n"/>
      <c r="U81" s="70" t="n"/>
      <c r="V81" s="672" t="n"/>
      <c r="W81" s="672" t="n"/>
      <c r="X81" s="672" t="n"/>
      <c r="Y81" s="672" t="n"/>
      <c r="Z81" s="672" t="n"/>
      <c r="AA81" s="672" t="n"/>
      <c r="AB81" s="672" t="n"/>
      <c r="AC81" s="672" t="n"/>
      <c r="AD81" s="672" t="n"/>
      <c r="AE81" s="672" t="n"/>
      <c r="AF81" s="672" t="n"/>
      <c r="AG81" s="672" t="n"/>
      <c r="AH81" s="672" t="n"/>
      <c r="AS81" t="n">
        <v>21311049.8866667</v>
      </c>
    </row>
    <row r="82" ht="12.75" customHeight="1" s="1883">
      <c r="A82" s="1153" t="inlineStr">
        <is>
          <t>S&amp;M                              √</t>
        </is>
      </c>
      <c r="B82" s="1188" t="inlineStr">
        <is>
          <t>Travel &amp; Essentials</t>
        </is>
      </c>
      <c r="C82" s="670" t="n"/>
      <c r="D82" s="671" t="n"/>
      <c r="E82" s="67" t="n"/>
      <c r="F82" s="1229" t="n"/>
      <c r="G82" s="1202" t="n"/>
      <c r="H82" s="1202" t="n"/>
      <c r="I82" s="1202" t="n"/>
      <c r="J82" s="1202" t="n"/>
      <c r="K82" s="1202" t="n"/>
      <c r="L82" s="1230" t="n"/>
      <c r="M82" s="1202" t="n"/>
      <c r="N82" s="1202" t="n"/>
      <c r="O82" s="1202" t="n"/>
      <c r="P82" s="1202" t="n"/>
      <c r="Q82" s="1202" t="n"/>
      <c r="R82" s="706" t="n"/>
      <c r="S82" s="672" t="n"/>
      <c r="T82" s="672" t="n"/>
      <c r="U82" s="70" t="n"/>
      <c r="V82" s="672" t="n"/>
      <c r="W82" s="672" t="n"/>
      <c r="X82" s="672" t="n"/>
      <c r="Y82" s="672" t="n"/>
      <c r="Z82" s="672" t="n"/>
      <c r="AA82" s="672" t="n"/>
      <c r="AB82" s="672" t="n"/>
      <c r="AC82" s="672" t="n"/>
      <c r="AD82" s="672" t="n"/>
      <c r="AE82" s="672" t="n"/>
      <c r="AF82" s="672" t="n"/>
      <c r="AG82" s="672" t="n"/>
      <c r="AH82" s="672" t="n"/>
      <c r="AS82" s="659" t="n">
        <v>1</v>
      </c>
      <c r="AU82" s="2055" t="n">
        <v>4783400</v>
      </c>
    </row>
    <row r="83" ht="12.75" customHeight="1" s="1883">
      <c r="A83" s="1649" t="inlineStr">
        <is>
          <t>√</t>
        </is>
      </c>
      <c r="B83" s="1208" t="inlineStr">
        <is>
          <t>Product Launch</t>
        </is>
      </c>
      <c r="C83" s="670" t="n"/>
      <c r="D83" s="671" t="n"/>
      <c r="E83" s="71" t="n"/>
      <c r="F83" s="1232" t="n">
        <v>0</v>
      </c>
      <c r="G83" s="1232" t="n">
        <v>0</v>
      </c>
      <c r="H83" s="1232" t="n">
        <v>0</v>
      </c>
      <c r="I83" s="1232" t="n">
        <v>0</v>
      </c>
      <c r="J83" s="1232" t="n">
        <v>0</v>
      </c>
      <c r="K83" s="1232" t="n">
        <v>0</v>
      </c>
      <c r="L83" s="1232" t="n">
        <v>0</v>
      </c>
      <c r="M83" s="1232" t="n">
        <v>0</v>
      </c>
      <c r="N83" s="1232" t="n">
        <v>0</v>
      </c>
      <c r="O83" s="1232" t="n">
        <v>0</v>
      </c>
      <c r="P83" s="1232" t="n">
        <v>0</v>
      </c>
      <c r="Q83" s="1232" t="n">
        <v>0</v>
      </c>
      <c r="R83" s="704">
        <f>SUM(F83:Q83)</f>
        <v/>
      </c>
      <c r="S83" s="672" t="n"/>
      <c r="T83" s="672" t="n"/>
      <c r="U83" s="70" t="n"/>
      <c r="V83" s="672" t="n"/>
      <c r="W83" s="672" t="n"/>
      <c r="X83" s="672" t="n"/>
      <c r="Y83" s="672" t="n"/>
      <c r="Z83" s="672" t="n"/>
      <c r="AA83" s="672" t="n"/>
      <c r="AB83" s="672" t="n"/>
      <c r="AC83" s="672" t="n"/>
      <c r="AD83" s="672" t="n"/>
      <c r="AE83" s="672" t="n"/>
      <c r="AF83" s="672" t="n"/>
      <c r="AG83" s="672" t="n"/>
      <c r="AH83" s="672" t="n"/>
      <c r="AS83" s="2056" t="n">
        <v>0.85244</v>
      </c>
      <c r="AU83" s="2055" t="n">
        <v>859026.656666667</v>
      </c>
    </row>
    <row r="84" ht="12.75" customHeight="1" s="1883">
      <c r="A84" s="1649" t="inlineStr">
        <is>
          <t>√</t>
        </is>
      </c>
      <c r="B84" s="1208" t="inlineStr">
        <is>
          <t>Distributor Meetings</t>
        </is>
      </c>
      <c r="C84" s="670" t="n"/>
      <c r="D84" s="671" t="n"/>
      <c r="E84" s="69" t="n"/>
      <c r="F84" s="1232" t="n">
        <v>0</v>
      </c>
      <c r="G84" s="1232" t="n">
        <v>0</v>
      </c>
      <c r="H84" s="1232" t="n">
        <v>0</v>
      </c>
      <c r="I84" s="1232" t="n">
        <v>0</v>
      </c>
      <c r="J84" s="1232" t="n">
        <v>0</v>
      </c>
      <c r="K84" s="1232" t="n">
        <v>0</v>
      </c>
      <c r="L84" s="1232" t="n">
        <v>3000</v>
      </c>
      <c r="M84" s="1232" t="n">
        <v>3000</v>
      </c>
      <c r="N84" s="1232" t="n">
        <v>3000</v>
      </c>
      <c r="O84" s="1232" t="n">
        <v>4500</v>
      </c>
      <c r="P84" s="1232" t="n">
        <v>6500</v>
      </c>
      <c r="Q84" s="1232" t="n">
        <v>7500</v>
      </c>
      <c r="R84" s="704">
        <f>SUM(F84:Q84)</f>
        <v/>
      </c>
      <c r="S84" s="672" t="n"/>
      <c r="T84" s="672" t="n"/>
      <c r="U84" s="70" t="n"/>
      <c r="V84" s="672" t="n"/>
      <c r="W84" s="672" t="n"/>
      <c r="X84" s="672" t="n"/>
      <c r="Y84" s="672" t="n"/>
      <c r="Z84" s="672" t="n"/>
      <c r="AA84" s="672" t="n"/>
      <c r="AB84" s="672" t="n"/>
      <c r="AC84" s="672" t="n"/>
      <c r="AD84" s="672" t="n"/>
      <c r="AE84" s="672" t="n"/>
      <c r="AF84" s="672" t="n"/>
      <c r="AG84" s="672" t="n"/>
      <c r="AH84" s="672" t="n"/>
      <c r="AU84" s="2055" t="n">
        <v>3724999.98</v>
      </c>
    </row>
    <row r="85" ht="12.75" customHeight="1" s="1883">
      <c r="A85" s="1649" t="inlineStr">
        <is>
          <t>√</t>
        </is>
      </c>
      <c r="B85" s="1208" t="inlineStr">
        <is>
          <t>CMO Visits</t>
        </is>
      </c>
      <c r="C85" s="670" t="n"/>
      <c r="D85" s="671" t="n"/>
      <c r="E85" s="69" t="n"/>
      <c r="F85" s="1232" t="n">
        <v>0</v>
      </c>
      <c r="G85" s="1232" t="n">
        <v>0</v>
      </c>
      <c r="H85" s="1232" t="n">
        <v>0</v>
      </c>
      <c r="I85" s="1232" t="n">
        <v>0</v>
      </c>
      <c r="J85" s="1232" t="n">
        <v>0</v>
      </c>
      <c r="K85" s="1232" t="n">
        <v>0</v>
      </c>
      <c r="L85" s="1232" t="n">
        <v>3000</v>
      </c>
      <c r="M85" s="1232" t="n">
        <v>3000</v>
      </c>
      <c r="N85" s="1232" t="n">
        <v>3000</v>
      </c>
      <c r="O85" s="1232" t="n">
        <v>4500</v>
      </c>
      <c r="P85" s="1232" t="n">
        <v>6500</v>
      </c>
      <c r="Q85" s="1232" t="n">
        <v>7500</v>
      </c>
      <c r="R85" s="704">
        <f>SUM(F85:Q85)</f>
        <v/>
      </c>
      <c r="S85" s="672" t="n"/>
      <c r="T85" s="672" t="n"/>
      <c r="U85" s="672" t="n"/>
      <c r="V85" s="672" t="n"/>
      <c r="W85" s="672" t="n"/>
      <c r="X85" s="672" t="n"/>
      <c r="Y85" s="672" t="n"/>
      <c r="Z85" s="672" t="n"/>
      <c r="AA85" s="672" t="n"/>
      <c r="AB85" s="672" t="n"/>
      <c r="AC85" s="672" t="n"/>
      <c r="AD85" s="672" t="n"/>
      <c r="AE85" s="672" t="n"/>
      <c r="AF85" s="672" t="n"/>
      <c r="AG85" s="672" t="n"/>
      <c r="AH85" s="672" t="n"/>
      <c r="AU85" s="2057" t="n">
        <v>6743623.25</v>
      </c>
    </row>
    <row r="86" ht="12.75" customHeight="1" s="1883">
      <c r="A86" s="1649" t="inlineStr">
        <is>
          <t>√</t>
        </is>
      </c>
      <c r="B86" s="1208" t="inlineStr">
        <is>
          <t>Meetings &amp; Refreshments</t>
        </is>
      </c>
      <c r="C86" s="670" t="n"/>
      <c r="D86" s="671" t="n"/>
      <c r="E86" s="69" t="n"/>
      <c r="F86" s="1232" t="n">
        <v>500</v>
      </c>
      <c r="G86" s="1232" t="n">
        <v>500</v>
      </c>
      <c r="H86" s="1232" t="n">
        <v>2000</v>
      </c>
      <c r="I86" s="1232" t="n">
        <v>4000</v>
      </c>
      <c r="J86" s="1232">
        <f>I86*1.1</f>
        <v/>
      </c>
      <c r="K86" s="1232">
        <f>J86*1.1</f>
        <v/>
      </c>
      <c r="L86" s="1232">
        <f>K86*1.1</f>
        <v/>
      </c>
      <c r="M86" s="1232">
        <f>L86*1.1</f>
        <v/>
      </c>
      <c r="N86" s="1232">
        <f>M86*1.1</f>
        <v/>
      </c>
      <c r="O86" s="1232">
        <f>N86*1.1</f>
        <v/>
      </c>
      <c r="P86" s="1232">
        <f>O86*1.1</f>
        <v/>
      </c>
      <c r="Q86" s="1232">
        <f>P86*1.1</f>
        <v/>
      </c>
      <c r="R86" s="704">
        <f>SUM(F86:Q86)</f>
        <v/>
      </c>
      <c r="S86" s="672" t="n"/>
      <c r="T86" s="672" t="n"/>
      <c r="U86" s="672" t="n"/>
      <c r="V86" s="672" t="n"/>
      <c r="W86" s="672" t="n"/>
      <c r="X86" s="672" t="n"/>
      <c r="Y86" s="672" t="n"/>
      <c r="Z86" s="672" t="n"/>
      <c r="AA86" s="672" t="n"/>
      <c r="AB86" s="672" t="n"/>
      <c r="AC86" s="672" t="n"/>
      <c r="AD86" s="672" t="n"/>
      <c r="AE86" s="672" t="n"/>
      <c r="AF86" s="672" t="n"/>
      <c r="AG86" s="672" t="n"/>
      <c r="AH86" s="672" t="n"/>
      <c r="AU86" s="2058" t="n">
        <v>5200000</v>
      </c>
    </row>
    <row r="87" ht="12.75" customHeight="1" s="1883">
      <c r="A87" s="1649" t="inlineStr">
        <is>
          <t>√</t>
        </is>
      </c>
      <c r="B87" s="1208" t="inlineStr">
        <is>
          <t>Team Travel</t>
        </is>
      </c>
      <c r="C87" s="670" t="n"/>
      <c r="D87" s="671" t="n"/>
      <c r="E87" s="69" t="n"/>
      <c r="F87" s="1232">
        <f>35000+5000+7000</f>
        <v/>
      </c>
      <c r="G87" s="1232" t="n">
        <v>10000</v>
      </c>
      <c r="H87" s="1232">
        <f>20000+2000</f>
        <v/>
      </c>
      <c r="I87" s="1232">
        <f>20000+2000</f>
        <v/>
      </c>
      <c r="J87" s="1232">
        <f>20000+2000</f>
        <v/>
      </c>
      <c r="K87" s="1232">
        <f>26000+2000</f>
        <v/>
      </c>
      <c r="L87" s="1232">
        <f>26000+2000</f>
        <v/>
      </c>
      <c r="M87" s="1232">
        <f>26000+2000</f>
        <v/>
      </c>
      <c r="N87" s="1232">
        <f>30000+2000</f>
        <v/>
      </c>
      <c r="O87" s="1232">
        <f>33000+2000</f>
        <v/>
      </c>
      <c r="P87" s="1232">
        <f>40000+2000</f>
        <v/>
      </c>
      <c r="Q87" s="1232">
        <f>50000+2000</f>
        <v/>
      </c>
      <c r="R87" s="704">
        <f>SUM(F87:Q87)</f>
        <v/>
      </c>
      <c r="S87" s="672" t="n"/>
      <c r="T87" s="672" t="n"/>
      <c r="U87" s="672" t="n"/>
      <c r="V87" s="672" t="n"/>
      <c r="W87" s="672" t="n"/>
      <c r="X87" s="672" t="n"/>
      <c r="Y87" s="672" t="n"/>
      <c r="Z87" s="672" t="n"/>
      <c r="AA87" s="672" t="n"/>
      <c r="AB87" s="672" t="n"/>
      <c r="AC87" s="672" t="n"/>
      <c r="AD87" s="672" t="n"/>
      <c r="AE87" s="672" t="n"/>
      <c r="AF87" s="672" t="n"/>
      <c r="AG87" s="672" t="n"/>
      <c r="AH87" s="672" t="n"/>
      <c r="AU87" s="2011">
        <f>SUM(AU81:AU85)</f>
        <v/>
      </c>
    </row>
    <row r="88" ht="12.75" customHeight="1" s="1883">
      <c r="A88" s="1649" t="inlineStr">
        <is>
          <t>√</t>
        </is>
      </c>
      <c r="B88" s="1208" t="inlineStr">
        <is>
          <t>Extraneous Expenses</t>
        </is>
      </c>
      <c r="C88" s="670" t="n"/>
      <c r="D88" s="671" t="n"/>
      <c r="E88" s="69" t="n"/>
      <c r="F88" s="1234" t="n">
        <v>1500</v>
      </c>
      <c r="G88" s="1234" t="n">
        <v>5000</v>
      </c>
      <c r="H88" s="1234" t="n">
        <v>0</v>
      </c>
      <c r="I88" s="1235" t="n">
        <v>16000</v>
      </c>
      <c r="J88" s="1235" t="n">
        <v>16000</v>
      </c>
      <c r="K88" s="1235" t="n">
        <v>16000</v>
      </c>
      <c r="L88" s="709" t="n">
        <v>16000</v>
      </c>
      <c r="M88" s="709" t="n">
        <v>16000</v>
      </c>
      <c r="N88" s="709" t="n">
        <v>16000</v>
      </c>
      <c r="O88" s="709" t="n">
        <v>16000</v>
      </c>
      <c r="P88" s="709" t="n">
        <v>16000</v>
      </c>
      <c r="Q88" s="709" t="n">
        <v>16000</v>
      </c>
      <c r="R88" s="704">
        <f>SUM(F88:Q88)</f>
        <v/>
      </c>
      <c r="S88" s="672" t="n"/>
      <c r="T88" s="672" t="n"/>
      <c r="U88" s="672" t="n"/>
      <c r="V88" s="672" t="n"/>
      <c r="W88" s="672" t="n"/>
      <c r="X88" s="672" t="n"/>
      <c r="Y88" s="672" t="n"/>
      <c r="Z88" s="672" t="n"/>
      <c r="AA88" s="672" t="n"/>
      <c r="AB88" s="672" t="n"/>
      <c r="AC88" s="672" t="n"/>
      <c r="AD88" s="672" t="n"/>
      <c r="AE88" s="672" t="n"/>
      <c r="AF88" s="672" t="n"/>
      <c r="AG88" s="672" t="n"/>
      <c r="AH88" s="672" t="n"/>
      <c r="AU88" s="2011">
        <f>SUM(AU82:AU86)</f>
        <v/>
      </c>
    </row>
    <row r="89" ht="12.75" customHeight="1" s="1883">
      <c r="A89" s="1205" t="inlineStr">
        <is>
          <t>√</t>
        </is>
      </c>
      <c r="B89" s="1188" t="inlineStr">
        <is>
          <t>Total Travel &amp; Essentials</t>
        </is>
      </c>
      <c r="C89" s="670" t="n"/>
      <c r="D89" s="671" t="n"/>
      <c r="E89" s="71" t="n"/>
      <c r="F89" s="1212">
        <f>SUM(F83:F88)</f>
        <v/>
      </c>
      <c r="G89" s="1212">
        <f>SUM(G83:G88)</f>
        <v/>
      </c>
      <c r="H89" s="1212">
        <f>SUM(H83:H88)</f>
        <v/>
      </c>
      <c r="I89" s="1212">
        <f>SUM(I83:I88)</f>
        <v/>
      </c>
      <c r="J89" s="1212">
        <f>SUM(J83:J88)</f>
        <v/>
      </c>
      <c r="K89" s="1212">
        <f>SUM(K83:K88)</f>
        <v/>
      </c>
      <c r="L89" s="1213">
        <f>SUM(L83:L88)</f>
        <v/>
      </c>
      <c r="M89" s="1213">
        <f>SUM(M83:M88)</f>
        <v/>
      </c>
      <c r="N89" s="1213">
        <f>SUM(N83:N88)</f>
        <v/>
      </c>
      <c r="O89" s="1213">
        <f>SUM(O83:O88)</f>
        <v/>
      </c>
      <c r="P89" s="1213">
        <f>SUM(P83:P88)</f>
        <v/>
      </c>
      <c r="Q89" s="1213">
        <f>SUM(Q83:Q88)</f>
        <v/>
      </c>
      <c r="R89" s="705">
        <f>SUM(R83:R88)</f>
        <v/>
      </c>
      <c r="S89" s="672" t="n"/>
      <c r="T89" s="672" t="n"/>
      <c r="U89" s="672" t="n"/>
      <c r="V89" s="672" t="n"/>
      <c r="W89" s="672" t="n"/>
      <c r="X89" s="672" t="n"/>
      <c r="Y89" s="672" t="n"/>
      <c r="Z89" s="672" t="n"/>
      <c r="AA89" s="672" t="n"/>
      <c r="AB89" s="672" t="n"/>
      <c r="AC89" s="672" t="n"/>
      <c r="AD89" s="672" t="n"/>
      <c r="AE89" s="672" t="n"/>
      <c r="AF89" s="672" t="n"/>
      <c r="AG89" s="672" t="n"/>
      <c r="AH89" s="672" t="n"/>
    </row>
    <row r="90" ht="12.75" customHeight="1" s="1883">
      <c r="A90" s="1153" t="n"/>
      <c r="B90" s="1197" t="n"/>
      <c r="C90" s="1060" t="n"/>
      <c r="D90" s="1061" t="n"/>
      <c r="E90" s="1061" t="n"/>
      <c r="F90" s="1220" t="n"/>
      <c r="G90" s="1220" t="n"/>
      <c r="H90" s="1220" t="n"/>
      <c r="I90" s="1220" t="n"/>
      <c r="J90" s="1220" t="n"/>
      <c r="K90" s="1220" t="n"/>
      <c r="L90" s="1201" t="n"/>
      <c r="M90" s="1201" t="n"/>
      <c r="N90" s="1201" t="n"/>
      <c r="O90" s="1201" t="n"/>
      <c r="P90" s="1201" t="n"/>
      <c r="Q90" s="1201" t="n"/>
      <c r="R90" s="706" t="n"/>
      <c r="S90" s="672" t="n"/>
      <c r="T90" s="672" t="n"/>
      <c r="U90" s="672" t="n"/>
      <c r="V90" s="672" t="n"/>
      <c r="W90" s="672" t="n"/>
      <c r="X90" s="672" t="n"/>
      <c r="Y90" s="672" t="n"/>
      <c r="Z90" s="672" t="n"/>
      <c r="AA90" s="672" t="n"/>
      <c r="AB90" s="672" t="n"/>
      <c r="AC90" s="672" t="n"/>
      <c r="AD90" s="672" t="n"/>
      <c r="AE90" s="672" t="n"/>
      <c r="AF90" s="672" t="n"/>
      <c r="AG90" s="672" t="n"/>
      <c r="AH90" s="672" t="n"/>
    </row>
    <row r="91" ht="12.75" customHeight="1" s="1883">
      <c r="A91" s="1650" t="inlineStr">
        <is>
          <t>G&amp;A                               √</t>
        </is>
      </c>
      <c r="B91" s="1188" t="inlineStr">
        <is>
          <t>Website Hosting &amp; Maintenance</t>
        </is>
      </c>
      <c r="C91" s="670" t="n"/>
      <c r="D91" s="671" t="n"/>
      <c r="E91" s="71" t="n"/>
      <c r="F91" s="1215" t="n">
        <v>1000</v>
      </c>
      <c r="G91" s="1215">
        <f>F91*1.1</f>
        <v/>
      </c>
      <c r="H91" s="1215">
        <f>G91*1.1</f>
        <v/>
      </c>
      <c r="I91" s="1215">
        <f>H91*1.1</f>
        <v/>
      </c>
      <c r="J91" s="1215">
        <f>I91*1.1</f>
        <v/>
      </c>
      <c r="K91" s="1215">
        <f>J91*1.1</f>
        <v/>
      </c>
      <c r="L91" s="1215">
        <f>K91*1.1</f>
        <v/>
      </c>
      <c r="M91" s="1215">
        <f>L91*1.1</f>
        <v/>
      </c>
      <c r="N91" s="1215">
        <f>M91*1.1</f>
        <v/>
      </c>
      <c r="O91" s="1215">
        <f>N91*1.1</f>
        <v/>
      </c>
      <c r="P91" s="1215">
        <f>O91*1.1</f>
        <v/>
      </c>
      <c r="Q91" s="1215">
        <f>P91*1.1</f>
        <v/>
      </c>
      <c r="R91" s="704">
        <f>SUM(F91:Q91)</f>
        <v/>
      </c>
      <c r="S91" s="672" t="n"/>
      <c r="T91" s="672" t="n"/>
      <c r="U91" s="672" t="n"/>
      <c r="V91" s="672" t="n"/>
      <c r="W91" s="672" t="n"/>
      <c r="X91" s="672" t="n"/>
      <c r="Y91" s="672" t="n"/>
      <c r="Z91" s="672" t="n"/>
      <c r="AA91" s="672" t="n"/>
      <c r="AB91" s="672" t="n"/>
      <c r="AC91" s="672" t="n"/>
      <c r="AD91" s="672" t="n"/>
      <c r="AE91" s="672" t="n"/>
      <c r="AF91" s="672" t="n"/>
      <c r="AG91" s="672" t="n"/>
      <c r="AH91" s="672" t="n"/>
      <c r="AU91" s="2056" t="n">
        <v>0.191336</v>
      </c>
    </row>
    <row r="92" ht="12.75" customHeight="1" s="1883">
      <c r="A92" s="1153" t="n"/>
      <c r="B92" s="1197" t="n"/>
      <c r="C92" s="1060" t="n"/>
      <c r="D92" s="1061" t="n"/>
      <c r="E92" s="1061" t="n"/>
      <c r="F92" s="1220" t="n"/>
      <c r="G92" s="1220" t="n"/>
      <c r="H92" s="1220" t="n"/>
      <c r="I92" s="1220" t="n"/>
      <c r="J92" s="1220" t="n"/>
      <c r="K92" s="1220" t="n"/>
      <c r="L92" s="1236" t="n"/>
      <c r="M92" s="1236" t="n"/>
      <c r="N92" s="1236" t="n"/>
      <c r="O92" s="1236" t="n"/>
      <c r="P92" s="1236" t="n"/>
      <c r="Q92" s="1236" t="n"/>
      <c r="R92" s="706" t="n"/>
      <c r="S92" s="672" t="n"/>
      <c r="T92" s="672" t="n"/>
      <c r="U92" s="672" t="n"/>
      <c r="V92" s="672" t="n"/>
      <c r="W92" s="672" t="n"/>
      <c r="X92" s="672" t="n"/>
      <c r="Y92" s="672" t="n"/>
      <c r="Z92" s="672" t="n"/>
      <c r="AA92" s="672" t="n"/>
      <c r="AB92" s="672" t="n"/>
      <c r="AC92" s="672" t="n"/>
      <c r="AD92" s="672" t="n"/>
      <c r="AE92" s="672" t="n"/>
      <c r="AF92" s="672" t="n"/>
      <c r="AG92" s="672" t="n"/>
      <c r="AH92" s="672" t="n"/>
      <c r="AU92" s="2056" t="n">
        <v>0.034361</v>
      </c>
    </row>
    <row r="93" ht="12.75" customHeight="1" s="1883">
      <c r="A93" s="1650" t="inlineStr">
        <is>
          <t>G&amp;A                               √</t>
        </is>
      </c>
      <c r="B93" s="1188" t="inlineStr">
        <is>
          <t>Office Supplies &amp; Expenses</t>
        </is>
      </c>
      <c r="C93" s="670" t="n"/>
      <c r="D93" s="671" t="n"/>
      <c r="E93" s="73" t="n"/>
      <c r="F93" s="1215">
        <f>((15)*('6A. Pre-Launch Exps. - Roll-Up'!K29))+20000</f>
        <v/>
      </c>
      <c r="G93" s="1215">
        <f>((15)*('6A. Pre-Launch Exps. - Roll-Up'!L29))</f>
        <v/>
      </c>
      <c r="H93" s="1215">
        <f>((15)*('6A. Pre-Launch Exps. - Roll-Up'!M29))</f>
        <v/>
      </c>
      <c r="I93" s="1215">
        <f>((15)*('6A. Pre-Launch Exps. - Roll-Up'!N29))</f>
        <v/>
      </c>
      <c r="J93" s="1215">
        <f>((15)*('6A. Pre-Launch Exps. - Roll-Up'!O29))</f>
        <v/>
      </c>
      <c r="K93" s="1215">
        <f>((15)*('6A. Pre-Launch Exps. - Roll-Up'!P29))</f>
        <v/>
      </c>
      <c r="L93" s="1215">
        <f>((15)*('6A. Pre-Launch Exps. - Roll-Up'!Q29))</f>
        <v/>
      </c>
      <c r="M93" s="1215">
        <f>((15)*('6A. Pre-Launch Exps. - Roll-Up'!R29))</f>
        <v/>
      </c>
      <c r="N93" s="1215">
        <f>((15)*('6A. Pre-Launch Exps. - Roll-Up'!S29))</f>
        <v/>
      </c>
      <c r="O93" s="1215">
        <f>((15)*('6A. Pre-Launch Exps. - Roll-Up'!T29))</f>
        <v/>
      </c>
      <c r="P93" s="1215">
        <f>((15)*('6A. Pre-Launch Exps. - Roll-Up'!U29))</f>
        <v/>
      </c>
      <c r="Q93" s="1215">
        <f>((15)*('6A. Pre-Launch Exps. - Roll-Up'!V29))</f>
        <v/>
      </c>
      <c r="R93" s="704">
        <f>SUM(F93:Q93)</f>
        <v/>
      </c>
      <c r="S93" s="672" t="n"/>
      <c r="T93" s="672" t="n"/>
      <c r="U93" s="672" t="n"/>
      <c r="V93" s="672" t="n"/>
      <c r="W93" s="672" t="n"/>
      <c r="X93" s="672" t="n"/>
      <c r="Y93" s="672" t="n"/>
      <c r="Z93" s="672" t="n"/>
      <c r="AA93" s="672" t="n"/>
      <c r="AB93" s="672" t="n"/>
      <c r="AC93" s="672" t="n"/>
      <c r="AD93" s="672" t="n"/>
      <c r="AE93" s="672" t="n"/>
      <c r="AF93" s="672" t="n"/>
      <c r="AG93" s="672" t="n"/>
      <c r="AH93" s="672" t="n"/>
      <c r="AU93" s="2056" t="n">
        <v>0.148999</v>
      </c>
    </row>
    <row r="94" ht="12.75" customHeight="1" s="1883">
      <c r="A94" s="56" t="n"/>
      <c r="B94" s="1197" t="n"/>
      <c r="C94" s="1060" t="n"/>
      <c r="D94" s="1061" t="n"/>
      <c r="E94" s="1237" t="n"/>
      <c r="F94" s="1222" t="n"/>
      <c r="G94" s="1222" t="n"/>
      <c r="H94" s="1222" t="n"/>
      <c r="I94" s="1222" t="n"/>
      <c r="J94" s="1222" t="n"/>
      <c r="K94" s="1222" t="n"/>
      <c r="L94" s="1222" t="n"/>
      <c r="M94" s="1222" t="n"/>
      <c r="N94" s="1222" t="n"/>
      <c r="O94" s="1222" t="n"/>
      <c r="P94" s="1222" t="n"/>
      <c r="Q94" s="1222" t="n"/>
      <c r="R94" s="706" t="n"/>
      <c r="S94" s="672" t="n"/>
      <c r="T94" s="672" t="n"/>
      <c r="U94" s="672" t="n"/>
      <c r="V94" s="672" t="n"/>
      <c r="W94" s="672" t="n"/>
      <c r="X94" s="672" t="n"/>
      <c r="Y94" s="672" t="n"/>
      <c r="Z94" s="672" t="n"/>
      <c r="AA94" s="672" t="n"/>
      <c r="AB94" s="672" t="n"/>
      <c r="AC94" s="672" t="n"/>
      <c r="AD94" s="672" t="n"/>
      <c r="AE94" s="672" t="n"/>
      <c r="AF94" s="672" t="n"/>
      <c r="AG94" s="672" t="n"/>
      <c r="AH94" s="672" t="n"/>
      <c r="AU94" s="2056" t="n">
        <v>0.269744</v>
      </c>
    </row>
    <row r="95" ht="12.75" customHeight="1" s="1883">
      <c r="A95" s="1650" t="inlineStr">
        <is>
          <t>G&amp;A                               √</t>
        </is>
      </c>
      <c r="B95" s="1204" t="inlineStr">
        <is>
          <t>Software Licenses</t>
        </is>
      </c>
      <c r="C95" s="66" t="n"/>
      <c r="D95" s="67" t="n"/>
      <c r="E95" s="74" t="n"/>
      <c r="F95" s="710" t="n"/>
      <c r="G95" s="710" t="n"/>
      <c r="H95" s="710" t="n"/>
      <c r="I95" s="710" t="n"/>
      <c r="J95" s="710" t="n"/>
      <c r="K95" s="710" t="n"/>
      <c r="L95" s="710" t="n"/>
      <c r="M95" s="710" t="n"/>
      <c r="N95" s="710" t="n"/>
      <c r="O95" s="710" t="n"/>
      <c r="P95" s="710" t="n"/>
      <c r="Q95" s="710" t="n"/>
      <c r="R95" s="706" t="n"/>
      <c r="S95" s="672" t="n"/>
      <c r="T95" s="672" t="n"/>
      <c r="U95" s="672" t="inlineStr">
        <is>
          <t>Relevant Headcount</t>
        </is>
      </c>
      <c r="V95" s="672" t="inlineStr">
        <is>
          <t>Cost User per month</t>
        </is>
      </c>
      <c r="W95" s="672" t="inlineStr">
        <is>
          <t>Total Cost per month</t>
        </is>
      </c>
      <c r="X95" s="672" t="inlineStr">
        <is>
          <t>Who are users</t>
        </is>
      </c>
      <c r="Y95" s="672" t="n"/>
      <c r="Z95" s="672" t="n"/>
      <c r="AA95" s="672" t="n"/>
      <c r="AB95" s="672" t="n"/>
      <c r="AC95" s="672" t="n"/>
      <c r="AD95" s="672" t="n"/>
      <c r="AE95" s="672" t="n"/>
      <c r="AF95" s="672" t="n"/>
      <c r="AG95" s="672" t="n"/>
      <c r="AH95" s="672" t="n"/>
      <c r="AU95" s="2056" t="n">
        <v>0.208</v>
      </c>
    </row>
    <row r="96" ht="12.75" customHeight="1" s="1883">
      <c r="A96" s="1205" t="inlineStr">
        <is>
          <t>√</t>
        </is>
      </c>
      <c r="B96" s="1206" t="inlineStr">
        <is>
          <t>CRM - Salesforce or Alternative</t>
        </is>
      </c>
      <c r="C96" s="66" t="n"/>
      <c r="D96" s="67" t="n"/>
      <c r="E96" s="74" t="n"/>
      <c r="F96" s="711">
        <f>(F22+2)*($V$96)</f>
        <v/>
      </c>
      <c r="G96" s="711">
        <f>(G22+2)*($V$96)</f>
        <v/>
      </c>
      <c r="H96" s="711">
        <f>(H22+2)*($V$96)</f>
        <v/>
      </c>
      <c r="I96" s="711">
        <f>(I22+2)*($V$96)</f>
        <v/>
      </c>
      <c r="J96" s="711">
        <f>(J22+2)*($V$96)</f>
        <v/>
      </c>
      <c r="K96" s="711">
        <f>(K22+2)*($V$96)</f>
        <v/>
      </c>
      <c r="L96" s="711">
        <f>(L22+2)*($V$96)</f>
        <v/>
      </c>
      <c r="M96" s="711">
        <f>(M22+2)*($V$96)</f>
        <v/>
      </c>
      <c r="N96" s="711">
        <f>(N22+2)*($V$96)</f>
        <v/>
      </c>
      <c r="O96" s="711">
        <f>(O22+2)*($V$96)</f>
        <v/>
      </c>
      <c r="P96" s="711">
        <f>(P22+2)*($V$96)</f>
        <v/>
      </c>
      <c r="Q96" s="711">
        <f>(Q22+2)*($V$96)</f>
        <v/>
      </c>
      <c r="R96" s="704">
        <f>SUM(F96:Q96)</f>
        <v/>
      </c>
      <c r="S96" s="672" t="n"/>
      <c r="T96" s="672" t="inlineStr">
        <is>
          <t>CRM</t>
        </is>
      </c>
      <c r="U96" s="1255">
        <f>+F22+2+2</f>
        <v/>
      </c>
      <c r="V96" s="1238" t="n">
        <v>20</v>
      </c>
      <c r="W96" s="1239">
        <f>+U96*V96</f>
        <v/>
      </c>
      <c r="X96" s="1240" t="inlineStr">
        <is>
          <t>Sales Team + Sales Manager(s) + CEO + CFO</t>
        </is>
      </c>
      <c r="Y96" s="672" t="n"/>
      <c r="Z96" s="672" t="n"/>
      <c r="AA96" s="672" t="n"/>
      <c r="AB96" s="672" t="n"/>
      <c r="AC96" s="672" t="n"/>
      <c r="AD96" s="672" t="n"/>
      <c r="AE96" s="672" t="n"/>
      <c r="AF96" s="672" t="n"/>
      <c r="AG96" s="672" t="n"/>
      <c r="AH96" s="672" t="n"/>
      <c r="AU96" s="2059">
        <f>SUM(AU91:AU95)</f>
        <v/>
      </c>
    </row>
    <row r="97" ht="12.75" customHeight="1" s="1883">
      <c r="A97" s="1205" t="inlineStr">
        <is>
          <t>√</t>
        </is>
      </c>
      <c r="B97" s="1206" t="inlineStr">
        <is>
          <t>Accounting</t>
        </is>
      </c>
      <c r="C97" s="66" t="n"/>
      <c r="D97" s="67" t="n"/>
      <c r="E97" s="74" t="n"/>
      <c r="F97" s="711">
        <f>+$W$97</f>
        <v/>
      </c>
      <c r="G97" s="711">
        <f>+$W$97</f>
        <v/>
      </c>
      <c r="H97" s="711">
        <f>+$W$97</f>
        <v/>
      </c>
      <c r="I97" s="711">
        <f>+$W$97</f>
        <v/>
      </c>
      <c r="J97" s="711">
        <f>+$W$97</f>
        <v/>
      </c>
      <c r="K97" s="711">
        <f>+$W$97</f>
        <v/>
      </c>
      <c r="L97" s="711">
        <f>+$W$97</f>
        <v/>
      </c>
      <c r="M97" s="711">
        <f>+L97</f>
        <v/>
      </c>
      <c r="N97" s="711">
        <f>+M97</f>
        <v/>
      </c>
      <c r="O97" s="711">
        <f>+N97</f>
        <v/>
      </c>
      <c r="P97" s="711">
        <f>+O97</f>
        <v/>
      </c>
      <c r="Q97" s="711">
        <f>+P97</f>
        <v/>
      </c>
      <c r="R97" s="704">
        <f>SUM(F97:Q97)</f>
        <v/>
      </c>
      <c r="S97" s="672" t="n"/>
      <c r="T97" s="672" t="inlineStr">
        <is>
          <t>Accounting</t>
        </is>
      </c>
      <c r="U97" s="1042" t="n">
        <v>4</v>
      </c>
      <c r="V97" s="1238" t="n">
        <v>20</v>
      </c>
      <c r="W97" s="1239">
        <f>+U97*V97</f>
        <v/>
      </c>
      <c r="X97" s="1240" t="inlineStr">
        <is>
          <t>Finance Team &amp; CFO</t>
        </is>
      </c>
      <c r="Y97" s="672" t="n"/>
      <c r="Z97" s="672" t="n"/>
      <c r="AA97" s="672" t="n"/>
      <c r="AB97" s="672" t="n"/>
      <c r="AC97" s="672" t="n"/>
      <c r="AD97" s="672" t="n"/>
      <c r="AE97" s="672" t="n"/>
      <c r="AF97" s="672" t="n"/>
      <c r="AG97" s="672" t="n"/>
      <c r="AH97" s="672" t="n"/>
      <c r="AP97" s="1463" t="inlineStr">
        <is>
          <t>Series -B Raise Month 11 ---------------------&gt;</t>
        </is>
      </c>
      <c r="AR97" s="2060" t="n">
        <v>34000000</v>
      </c>
    </row>
    <row r="98" ht="12.75" customHeight="1" s="1883">
      <c r="A98" s="1205" t="inlineStr">
        <is>
          <t>√</t>
        </is>
      </c>
      <c r="B98" s="1206" t="inlineStr">
        <is>
          <t>Microsoft Teams</t>
        </is>
      </c>
      <c r="C98" s="66" t="n"/>
      <c r="D98" s="67" t="n"/>
      <c r="E98" s="74" t="n"/>
      <c r="F98" s="711">
        <f>(F20+F22+F23)*($V$98)</f>
        <v/>
      </c>
      <c r="G98" s="711">
        <f>(G20+G22+G23)*($V$98)</f>
        <v/>
      </c>
      <c r="H98" s="711">
        <f>(H20+H22+H23)*($V$98)</f>
        <v/>
      </c>
      <c r="I98" s="711">
        <f>(I20+I22+I23)*($V$98)</f>
        <v/>
      </c>
      <c r="J98" s="711">
        <f>(J20+J22+J23)*($V$98)</f>
        <v/>
      </c>
      <c r="K98" s="711">
        <f>(K20+K22+K23)*($V$98)</f>
        <v/>
      </c>
      <c r="L98" s="711">
        <f>(L20+L22+L23)*($V$98)</f>
        <v/>
      </c>
      <c r="M98" s="711">
        <f>(M20+M22+M23)*($V$98)</f>
        <v/>
      </c>
      <c r="N98" s="711">
        <f>(N20+N22+N23)*($V$98)</f>
        <v/>
      </c>
      <c r="O98" s="711">
        <f>(O20+O22+O23)*($V$98)</f>
        <v/>
      </c>
      <c r="P98" s="711">
        <f>(P20+P22+P23)*($V$98)</f>
        <v/>
      </c>
      <c r="Q98" s="711">
        <f>(Q20+Q22+Q23)*($V$98)</f>
        <v/>
      </c>
      <c r="R98" s="704">
        <f>SUM(F98:Q98)</f>
        <v/>
      </c>
      <c r="S98" s="672" t="n"/>
      <c r="T98" s="672" t="inlineStr">
        <is>
          <t>Microsoft Teams</t>
        </is>
      </c>
      <c r="U98" s="1042">
        <f>+M20+M22+M23</f>
        <v/>
      </c>
      <c r="V98" s="1238" t="n">
        <v>25</v>
      </c>
      <c r="W98" s="1239">
        <f>+U98*V98</f>
        <v/>
      </c>
      <c r="X98" s="1240" t="inlineStr">
        <is>
          <t>ALL</t>
        </is>
      </c>
      <c r="Y98" s="672" t="n"/>
      <c r="Z98" s="672" t="n"/>
      <c r="AA98" s="672" t="n"/>
      <c r="AB98" s="672" t="n"/>
      <c r="AC98" s="672" t="n"/>
      <c r="AD98" s="672" t="n"/>
      <c r="AE98" s="672" t="n"/>
      <c r="AF98" s="672" t="n"/>
      <c r="AG98" s="672" t="n"/>
      <c r="AH98" s="672" t="n"/>
    </row>
    <row r="99" ht="12.75" customHeight="1" s="1883">
      <c r="A99" s="1205" t="inlineStr">
        <is>
          <t>√</t>
        </is>
      </c>
      <c r="B99" s="1206" t="inlineStr">
        <is>
          <t>Statista.com</t>
        </is>
      </c>
      <c r="C99" s="66" t="n"/>
      <c r="D99" s="67" t="n"/>
      <c r="E99" s="74" t="n"/>
      <c r="F99" s="711" t="n">
        <v>0</v>
      </c>
      <c r="G99" s="711" t="n">
        <v>0</v>
      </c>
      <c r="H99" s="711" t="n">
        <v>0</v>
      </c>
      <c r="I99" s="711" t="n">
        <v>0</v>
      </c>
      <c r="J99" s="711" t="n">
        <v>0</v>
      </c>
      <c r="K99" s="711" t="n">
        <v>0</v>
      </c>
      <c r="L99" s="711" t="n">
        <v>5000</v>
      </c>
      <c r="M99" s="711" t="n">
        <v>0</v>
      </c>
      <c r="N99" s="711" t="n">
        <v>0</v>
      </c>
      <c r="O99" s="711" t="n">
        <v>0</v>
      </c>
      <c r="P99" s="711" t="n">
        <v>0</v>
      </c>
      <c r="Q99" s="711" t="n">
        <v>0</v>
      </c>
      <c r="R99" s="704">
        <f>SUM(F99:Q99)</f>
        <v/>
      </c>
      <c r="S99" s="672" t="n"/>
      <c r="T99" s="672" t="inlineStr">
        <is>
          <t>Statista</t>
        </is>
      </c>
      <c r="U99" s="1042" t="n">
        <v>4</v>
      </c>
      <c r="V99" s="1238" t="n">
        <v>10</v>
      </c>
      <c r="W99" s="1239" t="n"/>
      <c r="X99" s="1240" t="n"/>
      <c r="Y99" s="672" t="n"/>
      <c r="Z99" s="672" t="n"/>
      <c r="AA99" s="672" t="n"/>
      <c r="AB99" s="672" t="n"/>
      <c r="AC99" s="672" t="n"/>
      <c r="AD99" s="672" t="n"/>
      <c r="AE99" s="672" t="n"/>
      <c r="AF99" s="672" t="n"/>
      <c r="AG99" s="672" t="n"/>
      <c r="AH99" s="672" t="n"/>
      <c r="AP99" s="684" t="inlineStr">
        <is>
          <t>9-month Pre Launch</t>
        </is>
      </c>
      <c r="AQ99" s="684" t="inlineStr">
        <is>
          <t>3 month Post Launch</t>
        </is>
      </c>
      <c r="AR99" s="684" t="inlineStr">
        <is>
          <t>Total</t>
        </is>
      </c>
    </row>
    <row r="100" ht="12.75" customHeight="1" s="1883">
      <c r="A100" s="1205" t="inlineStr">
        <is>
          <t>√</t>
        </is>
      </c>
      <c r="B100" s="1206" t="inlineStr">
        <is>
          <t>ERP</t>
        </is>
      </c>
      <c r="C100" s="66" t="n"/>
      <c r="D100" s="67" t="n"/>
      <c r="E100" s="74" t="n"/>
      <c r="F100" s="711" t="n">
        <v>0</v>
      </c>
      <c r="G100" s="711">
        <f>(G20+G22+G23)*($V$100)</f>
        <v/>
      </c>
      <c r="H100" s="711">
        <f>(H20+H22+H23)*($V$100)</f>
        <v/>
      </c>
      <c r="I100" s="711">
        <f>(I20+I22+I23)*($V$100)</f>
        <v/>
      </c>
      <c r="J100" s="711">
        <f>(J20+J22+J23)*($V$100)</f>
        <v/>
      </c>
      <c r="K100" s="711">
        <f>(K20+K22+K23)*($V$100)</f>
        <v/>
      </c>
      <c r="L100" s="711">
        <f>(L20+L22+L23)*($V$100)</f>
        <v/>
      </c>
      <c r="M100" s="711">
        <f>(M20+M22+M23)*($V$100)</f>
        <v/>
      </c>
      <c r="N100" s="711">
        <f>(N20+N22+N23)*($V$100)</f>
        <v/>
      </c>
      <c r="O100" s="711">
        <f>(O20+O22+O23)*($V$100)</f>
        <v/>
      </c>
      <c r="P100" s="711">
        <f>(P20+P22+P23)*($V$100)</f>
        <v/>
      </c>
      <c r="Q100" s="711">
        <f>(Q20+Q22+Q23)*($V$100)</f>
        <v/>
      </c>
      <c r="R100" s="704">
        <f>SUM(F100:Q100)</f>
        <v/>
      </c>
      <c r="S100" s="672" t="n"/>
      <c r="T100" s="672" t="inlineStr">
        <is>
          <t>ERP</t>
        </is>
      </c>
      <c r="U100" s="1042" t="n">
        <v>10</v>
      </c>
      <c r="V100" s="1238" t="n">
        <v>10</v>
      </c>
      <c r="W100" s="1239">
        <f>+U100*V100</f>
        <v/>
      </c>
      <c r="X100" s="1240" t="inlineStr">
        <is>
          <t>ALL</t>
        </is>
      </c>
      <c r="Y100" s="672" t="n"/>
      <c r="Z100" s="672" t="n"/>
      <c r="AA100" s="672" t="n"/>
      <c r="AB100" s="672" t="n"/>
      <c r="AC100" s="672" t="n"/>
      <c r="AD100" s="672" t="n"/>
      <c r="AE100" s="672" t="n"/>
      <c r="AF100" s="672" t="n"/>
      <c r="AG100" s="672" t="n"/>
      <c r="AH100" s="672" t="n"/>
      <c r="AN100" s="1939" t="inlineStr">
        <is>
          <t>12 Month CAPEX Total</t>
        </is>
      </c>
      <c r="AP100" s="2061">
        <f>R130</f>
        <v/>
      </c>
      <c r="AQ100" s="2061">
        <f>'4A. Tel. - Exps. &amp; OI x Month'!L63+'4A. Tel. - Exps. &amp; OI x Month'!M63+'4A. Tel. - Exps. &amp; OI x Month'!N63</f>
        <v/>
      </c>
      <c r="AR100" s="2011">
        <f>SUM(AP100:AQ100)</f>
        <v/>
      </c>
      <c r="AS100" s="681">
        <f>AR100/25000000</f>
        <v/>
      </c>
      <c r="AT100" s="1465" t="n">
        <v>0.02</v>
      </c>
    </row>
    <row r="101" ht="12.75" customHeight="1" s="1883">
      <c r="A101" s="1205" t="inlineStr">
        <is>
          <t>√</t>
        </is>
      </c>
      <c r="B101" s="1206" t="inlineStr">
        <is>
          <t>Other - Tech / Dev Software + Cap Table Management</t>
        </is>
      </c>
      <c r="C101" s="66" t="n"/>
      <c r="D101" s="67" t="n"/>
      <c r="E101" s="74" t="n"/>
      <c r="F101" s="1645">
        <f>(G20+G22+G23)*($V$101)+4425+10000</f>
        <v/>
      </c>
      <c r="G101" s="711">
        <f>(G20+G22+G23)*($V$101)+4425</f>
        <v/>
      </c>
      <c r="H101" s="711">
        <f>(H20+H22+H23)*($V$101)+4425</f>
        <v/>
      </c>
      <c r="I101" s="711">
        <f>(I20+I22+I23)*($V$101)+4425</f>
        <v/>
      </c>
      <c r="J101" s="711">
        <f>(J20+J22+J23)*($V$101)+4425</f>
        <v/>
      </c>
      <c r="K101" s="711">
        <f>(K20+K22+K23)*($V$101)+4425</f>
        <v/>
      </c>
      <c r="L101" s="711">
        <f>(L20+L22+L23)*($V$101)+4425</f>
        <v/>
      </c>
      <c r="M101" s="711">
        <f>(M20+M22+M23)*($V$101)+4425</f>
        <v/>
      </c>
      <c r="N101" s="711">
        <f>(N20+N22+N23)*($V$101)+4425</f>
        <v/>
      </c>
      <c r="O101" s="711">
        <f>(O20+O22+O23)*($V$101)+4425</f>
        <v/>
      </c>
      <c r="P101" s="711">
        <f>(P20+P22+P23)*($V$101)+4425</f>
        <v/>
      </c>
      <c r="Q101" s="711">
        <f>(Q20+Q22+Q23)*($V$101)+4425</f>
        <v/>
      </c>
      <c r="R101" s="704">
        <f>SUM(F101:Q101)</f>
        <v/>
      </c>
      <c r="S101" s="672" t="n"/>
      <c r="T101" s="672" t="inlineStr">
        <is>
          <t>Other</t>
        </is>
      </c>
      <c r="U101" s="1042">
        <f>+M20+M22+M23</f>
        <v/>
      </c>
      <c r="V101" s="1238" t="n">
        <v>10</v>
      </c>
      <c r="W101" s="1239">
        <f>+U101*V101</f>
        <v/>
      </c>
      <c r="X101" s="1240" t="n"/>
      <c r="Y101" s="672" t="n"/>
      <c r="Z101" s="672" t="n"/>
      <c r="AA101" s="672" t="n"/>
      <c r="AB101" s="672" t="n"/>
      <c r="AC101" s="672" t="n"/>
      <c r="AD101" s="672" t="n"/>
      <c r="AE101" s="672" t="n"/>
      <c r="AF101" s="672" t="n"/>
      <c r="AG101" s="672" t="n"/>
      <c r="AH101" s="672" t="n"/>
      <c r="AN101" s="1941" t="inlineStr">
        <is>
          <t>12 Month S&amp;M Total</t>
        </is>
      </c>
      <c r="AP101" s="2062">
        <f>Q108</f>
        <v/>
      </c>
      <c r="AQ101" s="2062">
        <f>'4A. Tel. - Exps. &amp; OI x Month'!L54+'4A. Tel. - Exps. &amp; OI x Month'!M54+'4A. Tel. - Exps. &amp; OI x Month'!N54</f>
        <v/>
      </c>
      <c r="AR101" s="2011">
        <f>SUM(AP101:AQ101)</f>
        <v/>
      </c>
      <c r="AS101" s="681">
        <f>AR101/25000000</f>
        <v/>
      </c>
      <c r="AT101" s="1465" t="n">
        <v>0.3</v>
      </c>
    </row>
    <row r="102" ht="12.75" customHeight="1" s="1883">
      <c r="A102" s="1649" t="inlineStr">
        <is>
          <t>√</t>
        </is>
      </c>
      <c r="B102" s="1204" t="inlineStr">
        <is>
          <t>Total Software Licenses</t>
        </is>
      </c>
      <c r="C102" s="66" t="n"/>
      <c r="D102" s="67" t="n"/>
      <c r="E102" s="74" t="n"/>
      <c r="F102" s="1242">
        <f>SUM(F96:F101)</f>
        <v/>
      </c>
      <c r="G102" s="1242">
        <f>SUM(G96:G101)</f>
        <v/>
      </c>
      <c r="H102" s="1242">
        <f>SUM(H96:H101)</f>
        <v/>
      </c>
      <c r="I102" s="1242">
        <f>SUM(I96:I101)</f>
        <v/>
      </c>
      <c r="J102" s="1242">
        <f>SUM(J96:J101)</f>
        <v/>
      </c>
      <c r="K102" s="1242">
        <f>SUM(K96:K101)</f>
        <v/>
      </c>
      <c r="L102" s="1242">
        <f>SUM(L96:L101)</f>
        <v/>
      </c>
      <c r="M102" s="1242">
        <f>SUM(M96:M101)</f>
        <v/>
      </c>
      <c r="N102" s="1242">
        <f>SUM(N96:N101)</f>
        <v/>
      </c>
      <c r="O102" s="1242">
        <f>SUM(O96:O101)</f>
        <v/>
      </c>
      <c r="P102" s="1242">
        <f>SUM(P96:P101)</f>
        <v/>
      </c>
      <c r="Q102" s="1242">
        <f>SUM(Q96:Q101)</f>
        <v/>
      </c>
      <c r="R102" s="705">
        <f>SUM(R96:R101)</f>
        <v/>
      </c>
      <c r="S102" s="672" t="n"/>
      <c r="T102" s="672" t="inlineStr">
        <is>
          <t>Avg/employee</t>
        </is>
      </c>
      <c r="U102" s="672" t="n"/>
      <c r="V102" s="1243" t="n"/>
      <c r="W102" s="1243">
        <f>+SUM(W96:W101)/U100</f>
        <v/>
      </c>
      <c r="X102" s="1240" t="n"/>
      <c r="Y102" s="672" t="n"/>
      <c r="Z102" s="672" t="n"/>
      <c r="AA102" s="672" t="n"/>
      <c r="AB102" s="672" t="n"/>
      <c r="AC102" s="672" t="n"/>
      <c r="AD102" s="672" t="n"/>
      <c r="AE102" s="672" t="n"/>
      <c r="AF102" s="672" t="n"/>
      <c r="AG102" s="672" t="n"/>
      <c r="AH102" s="672" t="n"/>
      <c r="AN102" s="1941" t="inlineStr">
        <is>
          <t>12 Month G&amp;A Total</t>
        </is>
      </c>
      <c r="AP102" s="2062">
        <f>Q109</f>
        <v/>
      </c>
      <c r="AQ102" s="2062">
        <f>'4A. Tel. - Exps. &amp; OI x Month'!L84+'4A. Tel. - Exps. &amp; OI x Month'!M84+'4A. Tel. - Exps. &amp; OI x Month'!N84</f>
        <v/>
      </c>
      <c r="AR102" s="2011">
        <f>SUM(AP102:AQ102)</f>
        <v/>
      </c>
      <c r="AS102" s="681">
        <f>AR102/25000000</f>
        <v/>
      </c>
      <c r="AT102" s="1465" t="n">
        <v>0.12</v>
      </c>
    </row>
    <row r="103" ht="12.75" customHeight="1" s="1883">
      <c r="A103" s="1244" t="inlineStr">
        <is>
          <t>TOTAL EXPENSES</t>
        </is>
      </c>
      <c r="B103" s="1040" t="n"/>
      <c r="C103" s="66" t="n"/>
      <c r="D103" s="67" t="n"/>
      <c r="E103" s="74" t="n"/>
      <c r="F103" s="711" t="n"/>
      <c r="G103" s="711" t="n"/>
      <c r="H103" s="711" t="n"/>
      <c r="I103" s="711" t="n"/>
      <c r="J103" s="711" t="n"/>
      <c r="K103" s="711" t="n"/>
      <c r="L103" s="711" t="n"/>
      <c r="M103" s="711" t="n"/>
      <c r="N103" s="711" t="n"/>
      <c r="O103" s="711" t="n"/>
      <c r="P103" s="711" t="n"/>
      <c r="Q103" s="711" t="n"/>
      <c r="R103" s="712" t="inlineStr">
        <is>
          <t>Total Per Category</t>
        </is>
      </c>
      <c r="S103" s="672" t="inlineStr">
        <is>
          <t>12 Month Mark</t>
        </is>
      </c>
      <c r="T103" s="672" t="n"/>
      <c r="U103" s="672" t="n"/>
      <c r="V103" s="672" t="n"/>
      <c r="W103" s="672" t="n"/>
      <c r="X103" s="672" t="n"/>
      <c r="Y103" s="672" t="n"/>
      <c r="Z103" s="672" t="n"/>
      <c r="AA103" s="672" t="n"/>
      <c r="AB103" s="672" t="n"/>
      <c r="AC103" s="672" t="n"/>
      <c r="AD103" s="672" t="n"/>
      <c r="AE103" s="672" t="n"/>
      <c r="AF103" s="672" t="n"/>
      <c r="AG103" s="672" t="n"/>
      <c r="AH103" s="672" t="n"/>
      <c r="AN103" s="1941" t="inlineStr">
        <is>
          <t>12 Month R&amp;D Total</t>
        </is>
      </c>
      <c r="AP103" s="2062">
        <f>Q110</f>
        <v/>
      </c>
      <c r="AQ103" s="2062">
        <f>'4A. Tel. - Exps. &amp; OI x Month'!L45+'4A. Tel. - Exps. &amp; OI x Month'!M45+'4A. Tel. - Exps. &amp; OI x Month'!N45</f>
        <v/>
      </c>
      <c r="AR103" s="2011">
        <f>SUM(AP103:AQ103)</f>
        <v/>
      </c>
      <c r="AS103" s="681">
        <f>AR103/25000000</f>
        <v/>
      </c>
      <c r="AT103" s="1465" t="n">
        <v>0.22</v>
      </c>
    </row>
    <row r="104" ht="12.75" customHeight="1" s="1883">
      <c r="A104" s="56" t="n"/>
      <c r="B104" s="1245" t="inlineStr">
        <is>
          <t>Total Sales &amp; Marketing</t>
        </is>
      </c>
      <c r="C104" s="1246" t="n"/>
      <c r="D104" s="1247" t="n"/>
      <c r="E104" s="1247" t="n"/>
      <c r="F104" s="1248">
        <f>+F30+F57+F89</f>
        <v/>
      </c>
      <c r="G104" s="1248">
        <f>+G30+G57+G89</f>
        <v/>
      </c>
      <c r="H104" s="1248">
        <f>+H30+H57+H89</f>
        <v/>
      </c>
      <c r="I104" s="1248">
        <f>+I30+I57+I89</f>
        <v/>
      </c>
      <c r="J104" s="1248">
        <f>+J30+J57+J89</f>
        <v/>
      </c>
      <c r="K104" s="1248">
        <f>+K30+K57+K89</f>
        <v/>
      </c>
      <c r="L104" s="1248">
        <f>+L30+L57+L89</f>
        <v/>
      </c>
      <c r="M104" s="1248">
        <f>+M30+M57+M89</f>
        <v/>
      </c>
      <c r="N104" s="1248">
        <f>+N30+N57+N89</f>
        <v/>
      </c>
      <c r="O104" s="1248">
        <f>+O30+O57+O89</f>
        <v/>
      </c>
      <c r="P104" s="1248">
        <f>+P30+P57+P89</f>
        <v/>
      </c>
      <c r="Q104" s="1248">
        <f>+Q30+Q57+Q89</f>
        <v/>
      </c>
      <c r="R104" s="704">
        <f>SUM(F104:Q104)</f>
        <v/>
      </c>
      <c r="S104" s="76">
        <f>SUM(F107:L107)</f>
        <v/>
      </c>
      <c r="T104" s="55" t="n"/>
      <c r="U104" s="55" t="n"/>
      <c r="V104" s="55" t="n"/>
      <c r="W104" s="55" t="n"/>
      <c r="X104" s="55" t="n"/>
      <c r="Y104" s="55" t="n"/>
      <c r="Z104" s="55" t="n"/>
      <c r="AA104" s="55" t="n"/>
      <c r="AB104" s="55" t="n"/>
      <c r="AC104" s="55" t="n"/>
      <c r="AD104" s="55" t="n"/>
      <c r="AE104" s="55" t="n"/>
      <c r="AF104" s="55" t="n"/>
      <c r="AG104" s="55" t="n"/>
      <c r="AH104" s="55" t="n"/>
      <c r="AN104" s="1941" t="inlineStr">
        <is>
          <t>12 Month Salary Total</t>
        </is>
      </c>
      <c r="AP104" s="2063">
        <f>Q111</f>
        <v/>
      </c>
      <c r="AQ104" s="2063">
        <f>'5A. People Cost Roll-Up'!AM102+'5A. People Cost Roll-Up'!AN102+'5A. People Cost Roll-Up'!AO102</f>
        <v/>
      </c>
      <c r="AR104" s="2011">
        <f>SUM(AP104:AQ104)</f>
        <v/>
      </c>
      <c r="AS104" s="681">
        <f>AR104/25000000</f>
        <v/>
      </c>
      <c r="AT104" s="1465" t="n">
        <v>0.34</v>
      </c>
    </row>
    <row r="105" ht="12.75" customHeight="1" s="1883">
      <c r="A105" s="56" t="n"/>
      <c r="B105" s="1245" t="inlineStr">
        <is>
          <t>Total General &amp; Administrative</t>
        </is>
      </c>
      <c r="C105" s="1246" t="n"/>
      <c r="D105" s="1247" t="n"/>
      <c r="E105" s="1247" t="n"/>
      <c r="F105" s="1249">
        <f>+F12+F17+F28+F39+F67+F91+F93+F102</f>
        <v/>
      </c>
      <c r="G105" s="1249">
        <f>+G12+G17+G28+G39+G67+G91+G93+G102</f>
        <v/>
      </c>
      <c r="H105" s="1249">
        <f>+H12+H17+H28+H39+H67+H91+H93+H102</f>
        <v/>
      </c>
      <c r="I105" s="1249">
        <f>+I12+I17+I28+I39+I67+I91+I93+I102</f>
        <v/>
      </c>
      <c r="J105" s="1249">
        <f>+J12+J17+J28+J39+J67+J91+J93+J102</f>
        <v/>
      </c>
      <c r="K105" s="1249">
        <f>+K12+K17+K28+K39+K67+K91+K93+K102</f>
        <v/>
      </c>
      <c r="L105" s="1249">
        <f>+L12+L17+L28+L39+L67+L91+L93+L102</f>
        <v/>
      </c>
      <c r="M105" s="1249">
        <f>+M12+M17+M28+M39+M67+M91+M93+M102</f>
        <v/>
      </c>
      <c r="N105" s="1249">
        <f>+N12+N17+N28+N39+N67+N91+N93+N102</f>
        <v/>
      </c>
      <c r="O105" s="1249">
        <f>+O12+O17+O28+O39+O67+O91+O93+O102</f>
        <v/>
      </c>
      <c r="P105" s="1249">
        <f>+P12+P17+P28+P39+P67+P91+P93+P102</f>
        <v/>
      </c>
      <c r="Q105" s="1249">
        <f>+Q12+Q17+Q28+Q39+Q67+Q91+Q93+Q102</f>
        <v/>
      </c>
      <c r="R105" s="704">
        <f>SUM(F105:Q105)</f>
        <v/>
      </c>
      <c r="S105" s="55" t="n"/>
      <c r="T105" s="55" t="n"/>
      <c r="U105" s="55" t="n"/>
      <c r="V105" s="55" t="n"/>
      <c r="W105" s="55" t="n"/>
      <c r="X105" s="55" t="n"/>
      <c r="Y105" s="55" t="n"/>
      <c r="Z105" s="55" t="n"/>
      <c r="AA105" s="55" t="n"/>
      <c r="AB105" s="55" t="n"/>
      <c r="AC105" s="55" t="n"/>
      <c r="AD105" s="55" t="n"/>
      <c r="AE105" s="55" t="n"/>
      <c r="AF105" s="55" t="n"/>
      <c r="AG105" s="55" t="n"/>
      <c r="AH105" s="55" t="n"/>
      <c r="AN105" s="1939" t="inlineStr">
        <is>
          <t>HARD LAUNCH PLAN - Times square</t>
        </is>
      </c>
      <c r="AP105" s="2061" t="n">
        <v>0</v>
      </c>
      <c r="AQ105" s="2061" t="n">
        <v>10000000</v>
      </c>
      <c r="AR105" s="2011">
        <f>SUM(AP105:AQ105)</f>
        <v/>
      </c>
      <c r="AS105" s="681">
        <f>AR105/25000000</f>
        <v/>
      </c>
    </row>
    <row r="106" ht="12.75" customHeight="1" s="1883">
      <c r="A106" s="56" t="n"/>
      <c r="B106" s="1245" t="inlineStr">
        <is>
          <t>Total R&amp;D</t>
        </is>
      </c>
      <c r="C106" s="1246" t="n"/>
      <c r="D106" s="1247" t="n"/>
      <c r="E106" s="1247" t="n"/>
      <c r="F106" s="1248">
        <f>+F80</f>
        <v/>
      </c>
      <c r="G106" s="1248">
        <f>+G80</f>
        <v/>
      </c>
      <c r="H106" s="1248">
        <f>+H80</f>
        <v/>
      </c>
      <c r="I106" s="1248">
        <f>+I80</f>
        <v/>
      </c>
      <c r="J106" s="1248">
        <f>+J80</f>
        <v/>
      </c>
      <c r="K106" s="1248">
        <f>+K80</f>
        <v/>
      </c>
      <c r="L106" s="1248">
        <f>+L80</f>
        <v/>
      </c>
      <c r="M106" s="1248">
        <f>+M80</f>
        <v/>
      </c>
      <c r="N106" s="1248">
        <f>+N80</f>
        <v/>
      </c>
      <c r="O106" s="1248">
        <f>+O80</f>
        <v/>
      </c>
      <c r="P106" s="1248">
        <f>+P80</f>
        <v/>
      </c>
      <c r="Q106" s="1248">
        <f>+Q80</f>
        <v/>
      </c>
      <c r="R106" s="704">
        <f>SUM(F106:Q106)</f>
        <v/>
      </c>
      <c r="U106" s="55" t="n"/>
      <c r="V106" s="55" t="n"/>
      <c r="W106" s="55" t="n"/>
      <c r="X106" s="55" t="n"/>
      <c r="Y106" s="55" t="n"/>
      <c r="Z106" s="55" t="n"/>
      <c r="AA106" s="55" t="n"/>
      <c r="AB106" s="55" t="n"/>
      <c r="AC106" s="55" t="n"/>
      <c r="AD106" s="55" t="n"/>
      <c r="AE106" s="55" t="n"/>
      <c r="AF106" s="55" t="n"/>
      <c r="AG106" s="55" t="n"/>
      <c r="AH106" s="55" t="n"/>
      <c r="AN106" s="1939" t="inlineStr">
        <is>
          <t>TOTAL ALLOCATION OF FUNDS</t>
        </is>
      </c>
      <c r="AP106" s="2064">
        <f>SUM(AP100:AP105)</f>
        <v/>
      </c>
      <c r="AQ106" s="2064">
        <f>SUM(AQ100:AQ105)</f>
        <v/>
      </c>
      <c r="AR106" s="680">
        <f>AP106+AQ106</f>
        <v/>
      </c>
      <c r="AS106" s="2065">
        <f>SUM(AS100:AS105)</f>
        <v/>
      </c>
      <c r="AT106" s="2065">
        <f>SUM(AT100:AT105)</f>
        <v/>
      </c>
    </row>
    <row r="107" ht="12.75" customHeight="1" s="1883">
      <c r="A107" s="1250" t="n"/>
      <c r="B107" s="1105" t="n"/>
      <c r="C107" s="1106" t="n"/>
      <c r="D107" s="1107" t="n"/>
      <c r="E107" s="1251" t="n"/>
      <c r="F107" s="1252">
        <f>SUM(F104:F106)</f>
        <v/>
      </c>
      <c r="G107" s="1252">
        <f>SUM(G104:G106)</f>
        <v/>
      </c>
      <c r="H107" s="1252">
        <f>SUM(H104:H106)</f>
        <v/>
      </c>
      <c r="I107" s="1252">
        <f>SUM(I104:I106)</f>
        <v/>
      </c>
      <c r="J107" s="1252">
        <f>SUM(J104:J106)</f>
        <v/>
      </c>
      <c r="K107" s="1252">
        <f>SUM(K104:K106)</f>
        <v/>
      </c>
      <c r="L107" s="1252">
        <f>SUM(L104:L106)</f>
        <v/>
      </c>
      <c r="M107" s="1252">
        <f>SUM(M104:M106)</f>
        <v/>
      </c>
      <c r="N107" s="1252">
        <f>SUM(N104:N106)</f>
        <v/>
      </c>
      <c r="O107" s="1252">
        <f>SUM(O104:O106)</f>
        <v/>
      </c>
      <c r="P107" s="1252">
        <f>SUM(P104:P106)</f>
        <v/>
      </c>
      <c r="Q107" s="1252">
        <f>SUM(Q104:Q106)</f>
        <v/>
      </c>
      <c r="R107" s="705">
        <f>SUM(R104:R106)</f>
        <v/>
      </c>
      <c r="S107" s="1253" t="inlineStr">
        <is>
          <t>Total Costs After First Investment</t>
        </is>
      </c>
      <c r="T107" s="1254" t="n"/>
      <c r="U107" s="672" t="n"/>
      <c r="V107" s="672" t="n"/>
      <c r="W107" s="672" t="n"/>
      <c r="X107" s="672" t="n"/>
      <c r="Y107" s="672" t="n"/>
      <c r="Z107" s="672" t="n"/>
      <c r="AA107" s="672" t="n"/>
      <c r="AB107" s="672" t="n"/>
      <c r="AC107" s="672" t="n"/>
      <c r="AD107" s="672" t="n"/>
      <c r="AE107" s="672" t="n"/>
      <c r="AF107" s="672" t="n"/>
      <c r="AG107" s="672" t="n"/>
      <c r="AH107" s="672" t="n"/>
      <c r="AQ107" s="1917" t="inlineStr">
        <is>
          <t>Working Capital</t>
        </is>
      </c>
      <c r="AR107" s="680">
        <f>25000000-AR106</f>
        <v/>
      </c>
      <c r="AS107" s="683">
        <f>AR107/25000000</f>
        <v/>
      </c>
    </row>
    <row r="108" ht="12.75" customHeight="1" s="1883">
      <c r="A108" s="1187" t="inlineStr">
        <is>
          <t>6, 12, &amp; 18 Month Totals</t>
        </is>
      </c>
      <c r="B108" s="1046" t="n"/>
      <c r="C108" s="670" t="n"/>
      <c r="D108" s="671" t="n"/>
      <c r="F108" s="713" t="n"/>
      <c r="G108" s="713" t="n"/>
      <c r="H108" s="713" t="n"/>
      <c r="I108" s="1942" t="inlineStr">
        <is>
          <t>6 Month S&amp;M Total</t>
        </is>
      </c>
      <c r="K108" s="1248">
        <f>SUM(F104:K104)</f>
        <v/>
      </c>
      <c r="L108" s="713" t="n"/>
      <c r="M108" s="1255" t="n"/>
      <c r="N108" s="1255" t="n"/>
      <c r="O108" s="1942" t="inlineStr">
        <is>
          <t>12 Month S&amp;M Total</t>
        </is>
      </c>
      <c r="Q108" s="1248">
        <f>SUM(F104:Q104)</f>
        <v/>
      </c>
      <c r="R108" s="706" t="n"/>
      <c r="S108" s="1243">
        <f>Q108-K108</f>
        <v/>
      </c>
      <c r="T108" s="1254" t="inlineStr">
        <is>
          <t>Latter 6 Months S&amp;M</t>
        </is>
      </c>
      <c r="V108" s="672" t="n"/>
      <c r="W108" s="672" t="n"/>
      <c r="X108" s="672" t="n"/>
      <c r="Y108" s="672" t="n"/>
      <c r="Z108" s="672" t="n"/>
      <c r="AA108" s="672" t="n"/>
      <c r="AB108" s="672" t="n"/>
      <c r="AC108" s="672" t="n"/>
      <c r="AD108" s="672" t="n"/>
      <c r="AE108" s="672" t="n"/>
      <c r="AF108" s="672" t="n"/>
      <c r="AG108" s="672" t="n"/>
      <c r="AH108" s="672" t="n"/>
      <c r="AQ108" s="658" t="inlineStr">
        <is>
          <t>TOTAL</t>
        </is>
      </c>
      <c r="AR108" s="680">
        <f>AR106+AR107</f>
        <v/>
      </c>
      <c r="AS108" s="2065">
        <f>SUM(AS106:AS107)</f>
        <v/>
      </c>
    </row>
    <row r="109" ht="12.75" customHeight="1" s="1883">
      <c r="A109" s="1187" t="n"/>
      <c r="B109" s="1046" t="n"/>
      <c r="C109" s="670" t="n"/>
      <c r="D109" s="671" t="n"/>
      <c r="E109" s="74" t="n"/>
      <c r="F109" s="713" t="n"/>
      <c r="G109" s="713" t="n"/>
      <c r="H109" s="713" t="n"/>
      <c r="I109" s="1942" t="inlineStr">
        <is>
          <t>6 Month G&amp;A Total</t>
        </is>
      </c>
      <c r="K109" s="1248">
        <f>SUM(F105:K105)</f>
        <v/>
      </c>
      <c r="L109" s="713" t="n"/>
      <c r="M109" s="1255" t="n"/>
      <c r="N109" s="1255" t="n"/>
      <c r="O109" s="1942" t="inlineStr">
        <is>
          <t>12 Month G&amp;A Total</t>
        </is>
      </c>
      <c r="Q109" s="1248">
        <f>SUM(F105:Q105)</f>
        <v/>
      </c>
      <c r="R109" s="706" t="n"/>
      <c r="S109" s="1243">
        <f>Q109-K109</f>
        <v/>
      </c>
      <c r="T109" s="1254" t="inlineStr">
        <is>
          <t>Latter 6 Months G&amp;A + Capex</t>
        </is>
      </c>
      <c r="U109" s="672" t="n"/>
      <c r="V109" s="672" t="n"/>
      <c r="W109" s="672" t="n"/>
      <c r="X109" s="672" t="n"/>
      <c r="Y109" s="672" t="n"/>
      <c r="Z109" s="672" t="n"/>
      <c r="AA109" s="672" t="n"/>
      <c r="AB109" s="672" t="n"/>
      <c r="AC109" s="672" t="n"/>
      <c r="AD109" s="672" t="n"/>
      <c r="AE109" s="672" t="n"/>
      <c r="AF109" s="672" t="n"/>
      <c r="AG109" s="672" t="n"/>
      <c r="AH109" s="672" t="n"/>
      <c r="AP109" s="1917" t="inlineStr">
        <is>
          <t>Total Remaining After Series-B</t>
        </is>
      </c>
      <c r="AR109" s="2066">
        <f>AR97+AR107</f>
        <v/>
      </c>
    </row>
    <row r="110" ht="12.75" customHeight="1" s="1883">
      <c r="A110" s="1187" t="n"/>
      <c r="B110" s="1046" t="n"/>
      <c r="C110" s="670" t="n"/>
      <c r="D110" s="671" t="n"/>
      <c r="E110" s="74" t="n"/>
      <c r="F110" s="713" t="n"/>
      <c r="G110" s="713" t="n"/>
      <c r="H110" s="713" t="n"/>
      <c r="I110" s="1942" t="inlineStr">
        <is>
          <t>6 Month R&amp;D Total</t>
        </is>
      </c>
      <c r="K110" s="1248">
        <f>SUM(F106:K106)</f>
        <v/>
      </c>
      <c r="L110" s="713" t="n"/>
      <c r="M110" s="1255" t="n"/>
      <c r="N110" s="1255" t="n"/>
      <c r="O110" s="1942" t="inlineStr">
        <is>
          <t>12 Month R&amp;D Total</t>
        </is>
      </c>
      <c r="Q110" s="1248">
        <f>SUM(F106:Q106)</f>
        <v/>
      </c>
      <c r="R110" s="706" t="n"/>
      <c r="S110" s="1243">
        <f>Q110-K110</f>
        <v/>
      </c>
      <c r="T110" s="1254" t="inlineStr">
        <is>
          <t>Latter 6 Months R&amp;D</t>
        </is>
      </c>
      <c r="U110" s="672" t="n"/>
      <c r="V110" s="672" t="n"/>
      <c r="W110" s="672" t="n"/>
      <c r="X110" s="672" t="n"/>
      <c r="Y110" s="672" t="n"/>
      <c r="Z110" s="672" t="n"/>
      <c r="AA110" s="672" t="n"/>
      <c r="AB110" s="672" t="n"/>
      <c r="AC110" s="672" t="n"/>
      <c r="AD110" s="672" t="n"/>
      <c r="AE110" s="672" t="n"/>
      <c r="AF110" s="672" t="n"/>
      <c r="AG110" s="672" t="n"/>
      <c r="AH110" s="672" t="n"/>
    </row>
    <row r="111" ht="12.75" customHeight="1" s="1883">
      <c r="B111" s="1046" t="n"/>
      <c r="C111" s="670" t="n"/>
      <c r="D111" s="671" t="n"/>
      <c r="F111" s="713" t="n"/>
      <c r="G111" s="713" t="n"/>
      <c r="H111" s="713" t="n"/>
      <c r="I111" s="1940" t="inlineStr">
        <is>
          <t>6 Month Salary Total</t>
        </is>
      </c>
      <c r="K111" s="714">
        <f>'6A. Pre-Launch Exps. - Roll-Up'!N35+'6A. Pre-Launch Exps. - Roll-Up'!O35+'6A. Pre-Launch Exps. - Roll-Up'!P35</f>
        <v/>
      </c>
      <c r="L111" s="702" t="n"/>
      <c r="M111" s="1256" t="n"/>
      <c r="N111" s="1256" t="n"/>
      <c r="O111" s="1940" t="inlineStr">
        <is>
          <t>12 Month Salary Total</t>
        </is>
      </c>
      <c r="Q111" s="714">
        <f>'6A. Pre-Launch Exps. - Roll-Up'!X35</f>
        <v/>
      </c>
      <c r="R111" s="715" t="n"/>
      <c r="S111" s="1243">
        <f>Q111-K111</f>
        <v/>
      </c>
      <c r="T111" s="1254" t="inlineStr">
        <is>
          <t>Latter 6 Months Salary</t>
        </is>
      </c>
      <c r="U111" s="672" t="n"/>
      <c r="V111" s="672" t="n"/>
      <c r="W111" s="672" t="n"/>
      <c r="X111" s="672" t="n"/>
      <c r="Y111" s="672" t="n"/>
      <c r="Z111" s="672" t="n"/>
      <c r="AA111" s="672" t="n"/>
      <c r="AB111" s="672" t="n"/>
      <c r="AC111" s="672" t="n"/>
      <c r="AD111" s="672" t="n"/>
      <c r="AE111" s="672" t="n"/>
      <c r="AF111" s="672" t="n"/>
      <c r="AG111" s="672" t="n"/>
      <c r="AH111" s="672" t="n"/>
    </row>
    <row r="112" ht="12.75" customHeight="1" s="1883">
      <c r="A112" s="1153" t="n"/>
      <c r="B112" s="1046" t="n"/>
      <c r="C112" s="670" t="n"/>
      <c r="D112" s="671" t="n"/>
      <c r="E112" s="74" t="n"/>
      <c r="F112" s="713" t="n"/>
      <c r="G112" s="1255" t="n"/>
      <c r="H112" s="1255" t="n"/>
      <c r="I112" s="1940" t="inlineStr">
        <is>
          <t>6 Month Total</t>
        </is>
      </c>
      <c r="K112" s="716">
        <f>SUM(K108:K111)</f>
        <v/>
      </c>
      <c r="L112" s="1256" t="n"/>
      <c r="M112" s="1256" t="n"/>
      <c r="N112" s="1256" t="n"/>
      <c r="O112" s="1944" t="inlineStr">
        <is>
          <t>12 Month Total</t>
        </is>
      </c>
      <c r="Q112" s="717">
        <f>SUM(Q108:Q111)</f>
        <v/>
      </c>
      <c r="R112" s="715" t="n"/>
      <c r="S112" s="1257">
        <f>SUM(S108:S111)</f>
        <v/>
      </c>
      <c r="T112" s="1258" t="inlineStr">
        <is>
          <t>TOTAL</t>
        </is>
      </c>
      <c r="U112" s="672" t="n"/>
      <c r="V112" s="672" t="n"/>
      <c r="W112" s="672" t="n"/>
      <c r="X112" s="672" t="n"/>
      <c r="Y112" s="672" t="n"/>
      <c r="Z112" s="672" t="n"/>
      <c r="AA112" s="672" t="n"/>
      <c r="AB112" s="672" t="n"/>
      <c r="AC112" s="672" t="n"/>
      <c r="AD112" s="672" t="n"/>
      <c r="AE112" s="672" t="n"/>
      <c r="AF112" s="672" t="n"/>
      <c r="AG112" s="672" t="n"/>
      <c r="AH112" s="672" t="n"/>
    </row>
    <row r="113" ht="12.75" customHeight="1" s="1883">
      <c r="A113" s="1153" t="n"/>
      <c r="B113" s="1918" t="n"/>
      <c r="C113" s="670" t="n"/>
      <c r="D113" s="671" t="n"/>
      <c r="E113" s="77" t="n"/>
      <c r="F113" s="1255" t="n"/>
      <c r="G113" s="1255" t="n"/>
      <c r="H113" s="1255" t="n"/>
      <c r="I113" s="1943" t="n"/>
      <c r="K113" s="1259" t="n"/>
      <c r="L113" s="1256" t="n"/>
      <c r="M113" s="718" t="inlineStr">
        <is>
          <t>Remaining Capital after $25 Million TOTAL investment</t>
        </is>
      </c>
      <c r="N113" s="1260" t="n"/>
      <c r="O113" s="719" t="n"/>
      <c r="P113" s="719" t="n"/>
      <c r="Q113" s="720">
        <f>25000000-Q112-R130</f>
        <v/>
      </c>
      <c r="R113" s="715" t="inlineStr">
        <is>
          <t>&lt;-----------------------</t>
        </is>
      </c>
      <c r="S113" s="672" t="n"/>
      <c r="T113" s="672" t="n"/>
      <c r="U113" s="672" t="n"/>
      <c r="V113" s="672" t="n"/>
      <c r="W113" s="672" t="n"/>
      <c r="X113" s="672" t="n"/>
      <c r="Y113" s="672" t="n"/>
      <c r="Z113" s="672" t="n"/>
      <c r="AA113" s="672" t="n"/>
      <c r="AB113" s="672" t="n"/>
      <c r="AC113" s="672" t="n"/>
      <c r="AD113" s="672" t="n"/>
      <c r="AE113" s="672" t="n"/>
      <c r="AF113" s="672" t="n"/>
      <c r="AG113" s="672" t="n"/>
      <c r="AH113" s="672" t="n"/>
    </row>
    <row r="114" ht="12.75" customHeight="1" s="1883">
      <c r="A114" s="1250" t="n"/>
      <c r="B114" s="1261" t="n"/>
      <c r="C114" s="1106" t="n"/>
      <c r="D114" s="1107" t="n"/>
      <c r="E114" s="78" t="n"/>
      <c r="F114" s="1109" t="n"/>
      <c r="G114" s="1109" t="n"/>
      <c r="H114" s="1109" t="n"/>
      <c r="I114" s="1109" t="n"/>
      <c r="J114" s="1109" t="n"/>
      <c r="K114" s="1109" t="n"/>
      <c r="L114" s="1109" t="n"/>
      <c r="M114" s="1109" t="n"/>
      <c r="N114" s="1109" t="n"/>
      <c r="O114" s="79" t="n"/>
      <c r="P114" s="79" t="n"/>
      <c r="Q114" s="79" t="n"/>
      <c r="R114" s="80" t="n"/>
      <c r="S114" s="1262" t="n"/>
      <c r="T114" s="1104" t="n"/>
      <c r="U114" s="1104" t="n"/>
      <c r="V114" s="1104" t="n"/>
      <c r="W114" s="1104" t="n"/>
      <c r="X114" s="1104" t="n"/>
      <c r="Y114" s="1104" t="n"/>
      <c r="Z114" s="1104" t="n"/>
      <c r="AA114" s="1104" t="n"/>
      <c r="AB114" s="1104" t="n"/>
      <c r="AC114" s="1104" t="n"/>
      <c r="AD114" s="1104" t="n"/>
      <c r="AE114" s="1104" t="n"/>
      <c r="AF114" s="1104" t="n"/>
      <c r="AG114" s="1104" t="n"/>
      <c r="AH114" s="1104" t="n"/>
    </row>
    <row r="115" ht="12.75" customHeight="1" s="1883">
      <c r="A115" s="1187" t="inlineStr">
        <is>
          <t>Balance Sheet</t>
        </is>
      </c>
      <c r="B115" s="1918" t="n"/>
      <c r="C115" s="670" t="n"/>
      <c r="D115" s="671" t="n"/>
      <c r="E115" s="74" t="n"/>
      <c r="F115" s="1081" t="n"/>
      <c r="G115" s="1081" t="n"/>
      <c r="H115" s="1081" t="n"/>
      <c r="I115" s="1081" t="n"/>
      <c r="J115" s="1081" t="n"/>
      <c r="K115" s="1081" t="n"/>
      <c r="L115" s="1081" t="n"/>
      <c r="M115" s="1081" t="n"/>
      <c r="N115" s="1081" t="n"/>
      <c r="O115" s="81" t="n"/>
      <c r="P115" s="81" t="n"/>
      <c r="Q115" s="81" t="n"/>
      <c r="R115" s="60" t="n"/>
      <c r="S115" s="1243" t="n"/>
      <c r="T115" s="672" t="n"/>
      <c r="U115" s="672" t="n"/>
      <c r="V115" s="672" t="n"/>
      <c r="W115" s="672" t="n"/>
      <c r="X115" s="672" t="n"/>
      <c r="Y115" s="672" t="n"/>
      <c r="Z115" s="672" t="n"/>
      <c r="AA115" s="672" t="n"/>
      <c r="AB115" s="672" t="n"/>
      <c r="AC115" s="672" t="n"/>
      <c r="AD115" s="672" t="n"/>
      <c r="AE115" s="672" t="n"/>
      <c r="AF115" s="672" t="n"/>
      <c r="AG115" s="672" t="n"/>
      <c r="AH115" s="672" t="n"/>
    </row>
    <row r="116" ht="12.75" customHeight="1" s="1883">
      <c r="A116" s="1153" t="n"/>
      <c r="B116" s="1918" t="inlineStr">
        <is>
          <t xml:space="preserve">CAPEX </t>
        </is>
      </c>
      <c r="C116" s="670" t="n"/>
      <c r="D116" s="671" t="n"/>
      <c r="E116" s="74" t="n"/>
      <c r="F116" s="1081" t="n"/>
      <c r="G116" s="1081" t="n"/>
      <c r="H116" s="1081" t="n"/>
      <c r="I116" s="1081" t="n"/>
      <c r="J116" s="1081" t="n"/>
      <c r="K116" s="1081" t="n"/>
      <c r="L116" s="1081" t="n"/>
      <c r="M116" s="1081" t="n"/>
      <c r="N116" s="1081" t="n"/>
      <c r="O116" s="1081" t="n"/>
      <c r="P116" s="1081" t="n"/>
      <c r="Q116" s="1081" t="n"/>
      <c r="R116" s="60" t="n"/>
      <c r="U116" s="672" t="n"/>
      <c r="V116" s="672" t="n"/>
      <c r="W116" s="672" t="n"/>
      <c r="X116" s="672" t="n"/>
      <c r="Y116" s="672" t="n"/>
      <c r="Z116" s="672" t="n"/>
      <c r="AA116" s="672" t="n"/>
      <c r="AB116" s="672" t="n"/>
      <c r="AC116" s="672" t="n"/>
      <c r="AD116" s="672" t="n"/>
      <c r="AE116" s="672" t="n"/>
      <c r="AF116" s="672" t="n"/>
      <c r="AG116" s="672" t="n"/>
      <c r="AH116" s="672" t="n"/>
    </row>
    <row r="117" ht="12.75" customHeight="1" s="1883">
      <c r="A117" s="1153" t="n"/>
      <c r="B117" s="1156" t="inlineStr">
        <is>
          <t>Computers (Staff)</t>
        </is>
      </c>
      <c r="C117" s="670" t="n"/>
      <c r="D117" s="671" t="n"/>
      <c r="E117" s="74" t="n"/>
      <c r="F117" s="1081" t="n"/>
      <c r="G117" s="1081" t="n"/>
      <c r="H117" s="1081" t="n"/>
      <c r="I117" s="1081" t="n"/>
      <c r="J117" s="1081" t="n"/>
      <c r="K117" s="1081" t="n"/>
      <c r="L117" s="1081" t="n"/>
      <c r="M117" s="1081" t="n"/>
      <c r="N117" s="1081" t="n"/>
      <c r="O117" s="1081" t="n"/>
      <c r="P117" s="1081" t="n"/>
      <c r="Q117" s="1081" t="n"/>
      <c r="R117" s="60" t="n"/>
      <c r="U117" s="672" t="n"/>
      <c r="V117" s="672" t="n"/>
      <c r="W117" s="672" t="n"/>
      <c r="X117" s="672" t="n"/>
      <c r="Y117" s="672" t="n"/>
      <c r="Z117" s="672" t="n"/>
      <c r="AA117" s="672" t="n"/>
      <c r="AB117" s="672" t="n"/>
      <c r="AC117" s="672" t="n"/>
      <c r="AD117" s="672" t="n"/>
      <c r="AE117" s="672" t="n"/>
      <c r="AF117" s="672" t="n"/>
      <c r="AG117" s="672" t="n"/>
      <c r="AH117" s="672" t="n"/>
    </row>
    <row r="118" ht="12.75" customHeight="1" s="1883">
      <c r="A118" s="1153" t="n"/>
      <c r="B118" s="1156" t="n"/>
      <c r="C118" s="670" t="inlineStr">
        <is>
          <t>Headcount</t>
        </is>
      </c>
      <c r="D118" s="671" t="n"/>
      <c r="E118" s="56" t="n">
        <v>6</v>
      </c>
      <c r="F118" s="202">
        <f>+F8</f>
        <v/>
      </c>
      <c r="G118" s="1646">
        <f>+G8</f>
        <v/>
      </c>
      <c r="H118" s="56">
        <f>+H8</f>
        <v/>
      </c>
      <c r="I118" s="56">
        <f>+I8</f>
        <v/>
      </c>
      <c r="J118" s="56">
        <f>+J8</f>
        <v/>
      </c>
      <c r="K118" s="56">
        <f>+K8</f>
        <v/>
      </c>
      <c r="L118" s="56">
        <f>+L8</f>
        <v/>
      </c>
      <c r="M118" s="56">
        <f>+M8</f>
        <v/>
      </c>
      <c r="N118" s="56">
        <f>+N8</f>
        <v/>
      </c>
      <c r="O118" s="56">
        <f>+O8</f>
        <v/>
      </c>
      <c r="P118" s="56">
        <f>+P8</f>
        <v/>
      </c>
      <c r="Q118" s="56">
        <f>+Q8</f>
        <v/>
      </c>
      <c r="R118" s="60" t="n"/>
      <c r="U118" s="672" t="n"/>
      <c r="V118" s="672" t="n"/>
      <c r="W118" s="672" t="n"/>
      <c r="X118" s="672" t="n"/>
      <c r="Y118" s="672" t="n"/>
      <c r="Z118" s="672" t="n"/>
      <c r="AA118" s="672" t="n"/>
      <c r="AB118" s="672" t="n"/>
      <c r="AC118" s="672" t="n"/>
      <c r="AD118" s="672" t="n"/>
      <c r="AE118" s="672" t="n"/>
      <c r="AF118" s="672" t="n"/>
      <c r="AG118" s="672" t="n"/>
      <c r="AH118" s="672" t="n"/>
    </row>
    <row r="119" ht="12.75" customHeight="1" s="1883">
      <c r="A119" s="1153" t="n"/>
      <c r="B119" s="1156" t="n"/>
      <c r="C119" s="670" t="inlineStr">
        <is>
          <t>Computer Cost/unit</t>
        </is>
      </c>
      <c r="D119" s="671" t="n"/>
      <c r="E119" s="74" t="n"/>
      <c r="F119" s="1263" t="n">
        <v>2000</v>
      </c>
      <c r="G119" s="1239">
        <f>+F119</f>
        <v/>
      </c>
      <c r="H119" s="1239">
        <f>+G119</f>
        <v/>
      </c>
      <c r="I119" s="1263" t="n">
        <v>2000</v>
      </c>
      <c r="J119" s="1239">
        <f>+I119</f>
        <v/>
      </c>
      <c r="K119" s="1239">
        <f>+J119</f>
        <v/>
      </c>
      <c r="L119" s="1263" t="n">
        <v>2000</v>
      </c>
      <c r="M119" s="1239">
        <f>+L119</f>
        <v/>
      </c>
      <c r="N119" s="1239">
        <f>+M119</f>
        <v/>
      </c>
      <c r="O119" s="1239">
        <f>+N119</f>
        <v/>
      </c>
      <c r="P119" s="1239">
        <f>+O119</f>
        <v/>
      </c>
      <c r="Q119" s="1239">
        <f>+P119</f>
        <v/>
      </c>
      <c r="R119" s="60" t="n"/>
      <c r="S119" s="672" t="n"/>
      <c r="T119" s="672" t="n"/>
      <c r="U119" s="672" t="n"/>
      <c r="V119" s="672" t="n"/>
      <c r="W119" s="672" t="n"/>
      <c r="X119" s="672" t="n"/>
      <c r="Y119" s="672" t="n"/>
      <c r="Z119" s="672" t="n"/>
      <c r="AA119" s="672" t="n"/>
      <c r="AB119" s="672" t="n"/>
      <c r="AC119" s="672" t="n"/>
      <c r="AD119" s="672" t="n"/>
      <c r="AE119" s="672" t="n"/>
      <c r="AF119" s="672" t="n"/>
      <c r="AG119" s="672" t="n"/>
      <c r="AH119" s="672" t="n"/>
    </row>
    <row r="120" ht="12.75" customHeight="1" s="1883">
      <c r="A120" s="1153" t="n"/>
      <c r="B120" s="1156" t="inlineStr">
        <is>
          <t>Total Computers (Staff)</t>
        </is>
      </c>
      <c r="C120" s="670" t="n"/>
      <c r="D120" s="671" t="n"/>
      <c r="E120" s="74" t="n"/>
      <c r="F120" s="1264">
        <f>+IF(F118-E118&gt;0,(F118-E118)*F119,0)</f>
        <v/>
      </c>
      <c r="G120" s="1264">
        <f>+IF(G118-F118&gt;0,(G118-F118)*G119,0)</f>
        <v/>
      </c>
      <c r="H120" s="1264">
        <f>+IF(H118-G118&gt;0,(H118-G118)*H119,0)</f>
        <v/>
      </c>
      <c r="I120" s="1264">
        <f>+IF(I118-H118&gt;0,(I118-H118)*I119,0)</f>
        <v/>
      </c>
      <c r="J120" s="1264">
        <f>+IF(J118-I118&gt;0,(J118-I118)*J119,0)</f>
        <v/>
      </c>
      <c r="K120" s="1264">
        <f>+IF(K118-J118&gt;0,(K118-J118)*K119,0)</f>
        <v/>
      </c>
      <c r="L120" s="1264">
        <f>+IF(L118-K118&gt;0,(L118-K118)*L119,0)</f>
        <v/>
      </c>
      <c r="M120" s="1264">
        <f>+IF(M118-L118&gt;0,(M118-L118)*M119,0)</f>
        <v/>
      </c>
      <c r="N120" s="1264">
        <f>+IF(N118-M118&gt;0,(N118-M118)*N119,0)</f>
        <v/>
      </c>
      <c r="O120" s="1264">
        <f>+IF(O118-N118&gt;0,(O118-N118)*O119,0)</f>
        <v/>
      </c>
      <c r="P120" s="1264">
        <f>+IF(P118-O118&gt;0,(P118-O118)*P119,0)</f>
        <v/>
      </c>
      <c r="Q120" s="1264">
        <f>+IF(Q118-P118&gt;0,(Q118-P118)*Q119,0)</f>
        <v/>
      </c>
      <c r="R120" s="60" t="n"/>
    </row>
    <row r="121" ht="12.75" customHeight="1" s="1883">
      <c r="A121" s="1153" t="n"/>
      <c r="B121" s="1040" t="n"/>
      <c r="C121" s="670" t="n"/>
      <c r="D121" s="671" t="n"/>
      <c r="E121" s="74" t="n"/>
      <c r="F121" s="1239" t="n"/>
      <c r="G121" s="1239" t="n"/>
      <c r="H121" s="1239" t="n"/>
      <c r="I121" s="1239" t="n"/>
      <c r="J121" s="1239" t="n"/>
      <c r="K121" s="1239" t="n"/>
      <c r="L121" s="1239" t="n"/>
      <c r="M121" s="1239" t="n"/>
      <c r="N121" s="1239" t="n"/>
      <c r="O121" s="1239" t="n"/>
      <c r="P121" s="1239" t="n"/>
      <c r="Q121" s="1239" t="n"/>
      <c r="R121" s="60" t="n"/>
    </row>
    <row r="122" ht="12.75" customHeight="1" s="1883">
      <c r="A122" s="1153" t="n"/>
      <c r="B122" s="1156" t="inlineStr">
        <is>
          <t>Wi-Fi</t>
        </is>
      </c>
      <c r="C122" s="670" t="n"/>
      <c r="D122" s="671" t="n"/>
      <c r="E122" s="74" t="n"/>
      <c r="F122" s="1265" t="n">
        <v>450</v>
      </c>
      <c r="G122" s="1265" t="n">
        <v>450</v>
      </c>
      <c r="H122" s="1265" t="n">
        <v>450</v>
      </c>
      <c r="I122" s="1265" t="n">
        <v>450</v>
      </c>
      <c r="J122" s="1265" t="n">
        <v>450</v>
      </c>
      <c r="K122" s="1265" t="n">
        <v>450</v>
      </c>
      <c r="L122" s="1265" t="n">
        <v>650</v>
      </c>
      <c r="M122" s="1265" t="n">
        <v>650</v>
      </c>
      <c r="N122" s="1265" t="n">
        <v>650</v>
      </c>
      <c r="O122" s="1265" t="n">
        <v>650</v>
      </c>
      <c r="P122" s="1265" t="n">
        <v>650</v>
      </c>
      <c r="Q122" s="1265" t="n">
        <v>650</v>
      </c>
      <c r="R122" s="60" t="n"/>
    </row>
    <row r="123" ht="12.75" customHeight="1" s="1883">
      <c r="A123" s="1153" t="n"/>
      <c r="B123" s="1156" t="inlineStr">
        <is>
          <t>Licenses</t>
        </is>
      </c>
      <c r="C123" s="670" t="n"/>
      <c r="D123" s="671" t="n"/>
      <c r="E123" s="74" t="n"/>
      <c r="F123" s="1265" t="n">
        <v>700</v>
      </c>
      <c r="G123" s="1265" t="n">
        <v>0</v>
      </c>
      <c r="H123" s="1265" t="n">
        <v>0</v>
      </c>
      <c r="I123" s="1263" t="n">
        <v>700</v>
      </c>
      <c r="J123" s="1265" t="n">
        <v>0</v>
      </c>
      <c r="K123" s="1265" t="n">
        <v>0</v>
      </c>
      <c r="L123" s="1265" t="n">
        <v>0</v>
      </c>
      <c r="M123" s="1265" t="n">
        <v>0</v>
      </c>
      <c r="N123" s="1265" t="n">
        <v>0</v>
      </c>
      <c r="O123" s="1263" t="n">
        <v>700</v>
      </c>
      <c r="P123" s="1265" t="n">
        <v>0</v>
      </c>
      <c r="Q123" s="1265" t="n">
        <v>0</v>
      </c>
      <c r="R123" s="60" t="n"/>
    </row>
    <row r="124" ht="12.75" customHeight="1" s="1883">
      <c r="A124" s="1153" t="n"/>
      <c r="B124" s="1156" t="n"/>
      <c r="C124" s="670" t="n"/>
      <c r="D124" s="671" t="n"/>
      <c r="E124" s="74" t="n"/>
      <c r="F124" s="1081" t="n"/>
      <c r="G124" s="1081" t="n"/>
      <c r="H124" s="1081" t="n"/>
      <c r="I124" s="1081" t="n"/>
      <c r="J124" s="1081" t="n"/>
      <c r="K124" s="1081" t="n"/>
      <c r="L124" s="1081" t="n"/>
      <c r="M124" s="1081" t="n"/>
      <c r="N124" s="1081" t="n"/>
      <c r="O124" s="1081" t="n"/>
      <c r="P124" s="1081" t="n"/>
      <c r="Q124" s="1081" t="n"/>
      <c r="R124" s="60" t="n"/>
    </row>
    <row r="125" ht="12.75" customHeight="1" s="1883">
      <c r="A125" s="1153" t="n"/>
      <c r="B125" s="1046" t="inlineStr">
        <is>
          <t>Furniture &amp; Fixtures</t>
        </is>
      </c>
      <c r="C125" s="670" t="n"/>
      <c r="D125" s="671" t="n"/>
      <c r="E125" s="74" t="n"/>
      <c r="F125" s="1081" t="n"/>
      <c r="G125" s="1081" t="n"/>
      <c r="H125" s="1081" t="n"/>
      <c r="I125" s="1081" t="n"/>
      <c r="J125" s="1081" t="n"/>
      <c r="K125" s="1081" t="n"/>
      <c r="L125" s="1081" t="n"/>
      <c r="M125" s="1081" t="n"/>
      <c r="N125" s="1081" t="n"/>
      <c r="O125" s="1081" t="n"/>
      <c r="P125" s="1081" t="n"/>
      <c r="Q125" s="1081" t="n"/>
      <c r="R125" s="60" t="n"/>
    </row>
    <row r="126" ht="12.75" customHeight="1" s="1883">
      <c r="A126" s="1153" t="n"/>
      <c r="B126" s="1046" t="n"/>
      <c r="C126" s="670">
        <f>+C118</f>
        <v/>
      </c>
      <c r="D126" s="671" t="n"/>
      <c r="E126" s="56" t="n">
        <v>16</v>
      </c>
      <c r="F126" s="1647">
        <f>+F118</f>
        <v/>
      </c>
      <c r="G126" s="1042">
        <f>+G118</f>
        <v/>
      </c>
      <c r="H126" s="1042">
        <f>+H118</f>
        <v/>
      </c>
      <c r="I126" s="1042">
        <f>+I118</f>
        <v/>
      </c>
      <c r="J126" s="1042">
        <f>+J118</f>
        <v/>
      </c>
      <c r="K126" s="1042">
        <f>+K118</f>
        <v/>
      </c>
      <c r="L126" s="1042">
        <f>+L118</f>
        <v/>
      </c>
      <c r="M126" s="1042">
        <f>+M118</f>
        <v/>
      </c>
      <c r="N126" s="1042">
        <f>+N118</f>
        <v/>
      </c>
      <c r="O126" s="1042">
        <f>+O118</f>
        <v/>
      </c>
      <c r="P126" s="1042">
        <f>+P118</f>
        <v/>
      </c>
      <c r="Q126" s="1042">
        <f>+Q118</f>
        <v/>
      </c>
      <c r="R126" s="60" t="n"/>
    </row>
    <row r="127" ht="12.75" customHeight="1" s="1883">
      <c r="A127" s="1153" t="n"/>
      <c r="B127" s="1046" t="n"/>
      <c r="C127" s="670" t="inlineStr">
        <is>
          <t>Furniture Cost/employee</t>
        </is>
      </c>
      <c r="D127" s="671" t="n"/>
      <c r="E127" s="74" t="n"/>
      <c r="F127" s="1265" t="n">
        <v>700</v>
      </c>
      <c r="G127" s="82">
        <f>+F127</f>
        <v/>
      </c>
      <c r="H127" s="82">
        <f>+G127</f>
        <v/>
      </c>
      <c r="I127" s="1265" t="n">
        <v>700</v>
      </c>
      <c r="J127" s="82">
        <f>+I127</f>
        <v/>
      </c>
      <c r="K127" s="82">
        <f>+J127</f>
        <v/>
      </c>
      <c r="L127" s="1265" t="n">
        <v>700</v>
      </c>
      <c r="M127" s="82">
        <f>+L127</f>
        <v/>
      </c>
      <c r="N127" s="82">
        <f>+M127</f>
        <v/>
      </c>
      <c r="O127" s="82">
        <f>+N127</f>
        <v/>
      </c>
      <c r="P127" s="82">
        <f>+O127</f>
        <v/>
      </c>
      <c r="Q127" s="82">
        <f>+P127</f>
        <v/>
      </c>
      <c r="R127" s="60" t="n"/>
    </row>
    <row r="128" ht="12.75" customHeight="1" s="1883">
      <c r="A128" s="1153" t="n"/>
      <c r="B128" s="1046" t="inlineStr">
        <is>
          <t>Total Furniture &amp; Fixtures</t>
        </is>
      </c>
      <c r="C128" s="670" t="n"/>
      <c r="D128" s="671" t="n"/>
      <c r="E128" s="74" t="n"/>
      <c r="F128" s="1264">
        <f>+IF(F126-E126&gt;0,(F126-E126)*F127,0)+25000</f>
        <v/>
      </c>
      <c r="G128" s="1264">
        <f>+IF(G126-F126&gt;0,(G126-F126)*G127,0)/5</f>
        <v/>
      </c>
      <c r="H128" s="1264">
        <f>+IF(H126-G126&gt;0,(H126-G126)*H127,0)</f>
        <v/>
      </c>
      <c r="I128" s="1264">
        <f>+IF(I126-H126&gt;0,(I126-H126)*I127,0)/2</f>
        <v/>
      </c>
      <c r="J128" s="1264">
        <f>+IF(J126-I126&gt;0,(J126-I126)*J127,0)/2</f>
        <v/>
      </c>
      <c r="K128" s="1264">
        <f>+IF(K126-J126&gt;0,(K126-J126)*K127,0)/2</f>
        <v/>
      </c>
      <c r="L128" s="1264">
        <f>+IF(L126-K126&gt;0,(L126-K126)*L127,0)/2</f>
        <v/>
      </c>
      <c r="M128" s="1264">
        <f>+IF(M126-L126&gt;0,(M126-L126)*M127,0)/2</f>
        <v/>
      </c>
      <c r="N128" s="1264">
        <f>+IF(N126-M126&gt;0,(N126-M126)*N127,0)/2</f>
        <v/>
      </c>
      <c r="O128" s="1264">
        <f>+IF(O126-N126&gt;0,(O126-N126)*O127,0)/2</f>
        <v/>
      </c>
      <c r="P128" s="1264">
        <f>+IF(P126-O126&gt;0,(P126-O126)*P127,0)/2</f>
        <v/>
      </c>
      <c r="Q128" s="1264">
        <f>+IF(Q126-P126&gt;0,(Q126-P126)*Q127,0)/2</f>
        <v/>
      </c>
      <c r="R128" s="60" t="n"/>
    </row>
    <row r="129" ht="12.75" customHeight="1" s="1883">
      <c r="A129" s="1153" t="n"/>
      <c r="B129" s="1046" t="n"/>
      <c r="C129" s="670" t="n"/>
      <c r="D129" s="671" t="n"/>
      <c r="E129" s="74" t="n"/>
      <c r="F129" s="1239" t="n"/>
      <c r="G129" s="1239" t="n"/>
      <c r="H129" s="1239" t="n"/>
      <c r="I129" s="1239" t="n"/>
      <c r="J129" s="1239" t="n"/>
      <c r="K129" s="1239" t="n"/>
      <c r="L129" s="1239" t="n"/>
      <c r="M129" s="1239" t="n"/>
      <c r="N129" s="1239" t="n"/>
      <c r="O129" s="1239" t="n"/>
      <c r="P129" s="1239" t="n"/>
      <c r="Q129" s="1239" t="n"/>
      <c r="R129" s="68">
        <f>R107</f>
        <v/>
      </c>
    </row>
    <row r="130" ht="12.75" customHeight="1" s="1883">
      <c r="A130" s="1153" t="n"/>
      <c r="B130" s="1266" t="inlineStr">
        <is>
          <t>Total CAPEX</t>
        </is>
      </c>
      <c r="C130" s="1267" t="n"/>
      <c r="D130" s="1268" t="n"/>
      <c r="E130" s="820" t="n"/>
      <c r="F130" s="1269">
        <f>+F120+F122+F123+F128</f>
        <v/>
      </c>
      <c r="G130" s="1269">
        <f>+G120+G122+G123+G128</f>
        <v/>
      </c>
      <c r="H130" s="1269">
        <f>+H120+H122+H123+H128</f>
        <v/>
      </c>
      <c r="I130" s="1269">
        <f>+I120+I122+I123+I128</f>
        <v/>
      </c>
      <c r="J130" s="1269">
        <f>+J120+I122+I123+J128</f>
        <v/>
      </c>
      <c r="K130" s="1269">
        <f>+K120+K122+K123+K128</f>
        <v/>
      </c>
      <c r="L130" s="1269">
        <f>+L120+L122+L123+L128</f>
        <v/>
      </c>
      <c r="M130" s="1269">
        <f>+M120+M122+M123+M128</f>
        <v/>
      </c>
      <c r="N130" s="1269">
        <f>+N120+N122+N123+N128</f>
        <v/>
      </c>
      <c r="O130" s="1269">
        <f>+O120+O122+O123+O128</f>
        <v/>
      </c>
      <c r="P130" s="1269">
        <f>+P120+O122+O123+P128</f>
        <v/>
      </c>
      <c r="Q130" s="1269">
        <f>+Q120+Q122+Q123+Q128</f>
        <v/>
      </c>
      <c r="R130" s="64">
        <f>SUM(F130:Q130)</f>
        <v/>
      </c>
    </row>
    <row r="131" ht="12.75" customHeight="1" s="1883">
      <c r="A131" s="1153" t="n"/>
      <c r="B131" s="1059" t="n"/>
      <c r="C131" s="1060" t="n"/>
      <c r="D131" s="1061" t="n"/>
      <c r="E131" s="1237" t="n"/>
      <c r="F131" s="1270" t="n"/>
      <c r="G131" s="1270" t="n"/>
      <c r="H131" s="1270" t="n"/>
      <c r="I131" s="1270" t="n"/>
      <c r="J131" s="1270" t="n"/>
      <c r="K131" s="1270" t="n"/>
      <c r="L131" s="1270" t="n"/>
      <c r="M131" s="1270" t="n"/>
      <c r="N131" s="1270" t="n"/>
      <c r="O131" s="1270" t="n"/>
      <c r="P131" s="1270" t="n"/>
      <c r="Q131" s="1270" t="n"/>
      <c r="R131" s="68">
        <f>SUM(R128:R130)</f>
        <v/>
      </c>
    </row>
    <row r="132" ht="12.75" customHeight="1" s="1883">
      <c r="A132" s="1153" t="n"/>
      <c r="B132" s="1918" t="inlineStr">
        <is>
          <t>Prepaid Additions</t>
        </is>
      </c>
      <c r="C132" s="670" t="n"/>
      <c r="D132" s="671" t="n"/>
      <c r="E132" s="1078" t="n"/>
      <c r="F132" s="1080" t="n"/>
      <c r="G132" s="1080" t="n"/>
      <c r="H132" s="1080" t="n"/>
      <c r="I132" s="1080" t="n"/>
      <c r="J132" s="1080" t="n"/>
      <c r="K132" s="1080" t="n"/>
      <c r="L132" s="1080" t="n"/>
      <c r="M132" s="1080" t="n"/>
      <c r="N132" s="1080" t="n"/>
      <c r="O132" s="1080" t="n"/>
      <c r="P132" s="1080" t="n"/>
      <c r="Q132" s="1080" t="n"/>
      <c r="R132" s="60" t="n"/>
    </row>
    <row r="133" ht="12.75" customHeight="1" s="1883">
      <c r="A133" s="56" t="n"/>
      <c r="B133" s="1141" t="inlineStr">
        <is>
          <t>Rent</t>
        </is>
      </c>
      <c r="C133" s="1177" t="n">
        <v>6</v>
      </c>
      <c r="D133" s="59" t="inlineStr">
        <is>
          <t>months</t>
        </is>
      </c>
      <c r="E133" s="57" t="n"/>
      <c r="F133" s="83">
        <f>+F12*C133</f>
        <v/>
      </c>
      <c r="G133" s="82" t="n">
        <v>0</v>
      </c>
      <c r="H133" s="82" t="n">
        <v>0</v>
      </c>
      <c r="I133" s="82" t="n">
        <v>0</v>
      </c>
      <c r="J133" s="82" t="n">
        <v>0</v>
      </c>
      <c r="K133" s="82" t="n">
        <v>0</v>
      </c>
      <c r="L133" s="82">
        <f>+L12*C133</f>
        <v/>
      </c>
      <c r="M133" s="82" t="n">
        <v>0</v>
      </c>
      <c r="N133" s="82" t="n">
        <v>0</v>
      </c>
      <c r="O133" s="82" t="n">
        <v>0</v>
      </c>
      <c r="P133" s="82" t="n">
        <v>0</v>
      </c>
      <c r="Q133" s="82" t="n">
        <v>0</v>
      </c>
      <c r="R133" s="1186" t="n"/>
    </row>
    <row r="134" ht="12.75" customHeight="1" s="1883">
      <c r="A134" s="56" t="n"/>
      <c r="B134" s="1141" t="inlineStr">
        <is>
          <t>Insurance</t>
        </is>
      </c>
      <c r="C134" s="1177" t="n">
        <v>6</v>
      </c>
      <c r="D134" s="59" t="inlineStr">
        <is>
          <t>months</t>
        </is>
      </c>
      <c r="E134" s="57" t="n"/>
      <c r="F134" s="84">
        <f>+$C134*F39</f>
        <v/>
      </c>
      <c r="G134" s="82" t="n">
        <v>0</v>
      </c>
      <c r="H134" s="82" t="n">
        <v>0</v>
      </c>
      <c r="I134" s="82" t="n">
        <v>0</v>
      </c>
      <c r="J134" s="82" t="n">
        <v>0</v>
      </c>
      <c r="K134" s="82" t="n">
        <v>0</v>
      </c>
      <c r="L134" s="82">
        <f>+$C134*L39</f>
        <v/>
      </c>
      <c r="M134" s="82" t="n">
        <v>0</v>
      </c>
      <c r="N134" s="82" t="n">
        <v>0</v>
      </c>
      <c r="O134" s="82" t="n">
        <v>0</v>
      </c>
      <c r="P134" s="82" t="n">
        <v>0</v>
      </c>
      <c r="Q134" s="82" t="n">
        <v>0</v>
      </c>
      <c r="R134" s="1186" t="n"/>
    </row>
    <row r="135" ht="12.75" customHeight="1" s="1883">
      <c r="A135" s="56" t="n"/>
      <c r="B135" s="1141" t="inlineStr">
        <is>
          <t>Utilities</t>
        </is>
      </c>
      <c r="C135" s="1177" t="n">
        <v>6</v>
      </c>
      <c r="D135" s="59" t="inlineStr">
        <is>
          <t>months</t>
        </is>
      </c>
      <c r="E135" s="57" t="n"/>
      <c r="F135" s="83">
        <f>+C135*F17</f>
        <v/>
      </c>
      <c r="G135" s="82" t="n">
        <v>0</v>
      </c>
      <c r="H135" s="82" t="n">
        <v>0</v>
      </c>
      <c r="I135" s="82" t="n">
        <v>0</v>
      </c>
      <c r="J135" s="82" t="n">
        <v>0</v>
      </c>
      <c r="K135" s="82" t="n">
        <v>0</v>
      </c>
      <c r="L135" s="82">
        <f>+C135*L17</f>
        <v/>
      </c>
      <c r="M135" s="82" t="n">
        <v>0</v>
      </c>
      <c r="N135" s="82" t="n">
        <v>0</v>
      </c>
      <c r="O135" s="82" t="n">
        <v>0</v>
      </c>
      <c r="P135" s="82" t="n">
        <v>0</v>
      </c>
      <c r="Q135" s="82" t="n">
        <v>0</v>
      </c>
      <c r="R135" s="1186" t="n"/>
    </row>
    <row r="136" ht="12.75" customHeight="1" s="1883">
      <c r="B136" s="1114" t="inlineStr">
        <is>
          <t>Total Prepaid Additions</t>
        </is>
      </c>
      <c r="C136" s="55" t="n"/>
      <c r="D136" s="57" t="n"/>
      <c r="E136" s="57" t="n"/>
      <c r="F136" s="1271">
        <f>SUM(F133:F135)</f>
        <v/>
      </c>
      <c r="G136" s="1271">
        <f>SUM(G133:G135)</f>
        <v/>
      </c>
      <c r="H136" s="1271">
        <f>SUM(H133:H135)</f>
        <v/>
      </c>
      <c r="I136" s="1271">
        <f>SUM(I133:I135)</f>
        <v/>
      </c>
      <c r="J136" s="1271">
        <f>SUM(J133:J135)</f>
        <v/>
      </c>
      <c r="K136" s="1271">
        <f>SUM(K133:K135)</f>
        <v/>
      </c>
      <c r="L136" s="1271">
        <f>SUM(L133:L135)</f>
        <v/>
      </c>
      <c r="M136" s="1271">
        <f>SUM(M133:M135)</f>
        <v/>
      </c>
      <c r="N136" s="1271">
        <f>SUM(N133:N135)</f>
        <v/>
      </c>
      <c r="O136" s="1271">
        <f>SUM(O133:O135)</f>
        <v/>
      </c>
      <c r="P136" s="1271">
        <f>SUM(P133:P135)</f>
        <v/>
      </c>
      <c r="Q136" s="1271">
        <f>SUM(Q133:Q135)</f>
        <v/>
      </c>
    </row>
    <row r="137" ht="12.75" customHeight="1" s="1883">
      <c r="B137" s="1138" t="n"/>
      <c r="C137" s="1124" t="n"/>
      <c r="D137" s="1139" t="n"/>
      <c r="E137" s="1139" t="n"/>
      <c r="F137" s="1063" t="n"/>
      <c r="G137" s="1063" t="n"/>
      <c r="H137" s="1063" t="n"/>
      <c r="I137" s="1063" t="n"/>
      <c r="J137" s="1063" t="n"/>
      <c r="K137" s="1063" t="n"/>
      <c r="L137" s="1063" t="n"/>
      <c r="M137" s="1063" t="n"/>
      <c r="N137" s="1063" t="n"/>
      <c r="O137" s="1063" t="n"/>
      <c r="P137" s="1063" t="n"/>
      <c r="Q137" s="1063" t="n"/>
    </row>
    <row r="138" ht="12.75" customFormat="1" customHeight="1" s="1654">
      <c r="B138" s="1671" t="inlineStr">
        <is>
          <t>Inventory</t>
        </is>
      </c>
      <c r="C138" s="1672" t="n"/>
      <c r="D138" s="1673" t="n"/>
      <c r="E138" s="1673" t="n"/>
      <c r="F138" s="1674" t="n"/>
      <c r="G138" s="1674" t="n"/>
      <c r="H138" s="1674" t="n"/>
      <c r="I138" s="1674" t="n"/>
      <c r="J138" s="1674" t="n"/>
      <c r="K138" s="1674" t="n"/>
      <c r="L138" s="1674" t="n"/>
      <c r="M138" s="1674" t="n"/>
      <c r="N138" s="1674" t="n"/>
      <c r="O138" s="1674" t="n"/>
      <c r="P138" s="1674" t="n"/>
      <c r="Q138" s="1674" t="n"/>
    </row>
    <row r="139" ht="12.75" customFormat="1" customHeight="1" s="1654">
      <c r="B139" s="1675" t="inlineStr">
        <is>
          <t>Manufacturing Lead Time</t>
        </is>
      </c>
      <c r="C139" s="1676" t="n">
        <v>30</v>
      </c>
      <c r="D139" s="1674" t="inlineStr">
        <is>
          <t>days</t>
        </is>
      </c>
      <c r="E139" s="1673" t="n"/>
      <c r="F139" s="1674" t="n"/>
      <c r="G139" s="1674" t="n"/>
      <c r="H139" s="1674" t="n"/>
      <c r="I139" s="1674" t="n"/>
      <c r="J139" s="1674" t="n"/>
      <c r="K139" s="1674" t="n"/>
      <c r="L139" s="1674" t="n"/>
      <c r="M139" s="1674" t="n"/>
      <c r="N139" s="1674" t="n"/>
      <c r="O139" s="1674" t="n"/>
      <c r="P139" s="1674" t="n"/>
      <c r="Q139" s="1674" t="n"/>
    </row>
    <row r="140" ht="12.75" customFormat="1" customHeight="1" s="1654">
      <c r="B140" s="1675" t="inlineStr">
        <is>
          <t>Cost -  Phone</t>
        </is>
      </c>
      <c r="C140" s="1677">
        <f>+'3F. Revenue &amp; COGS Assumptions'!G35</f>
        <v/>
      </c>
      <c r="D140" s="1678" t="inlineStr">
        <is>
          <t>/unit (incl shipping)</t>
        </is>
      </c>
      <c r="E140" s="1673" t="n"/>
      <c r="F140" s="1687" t="n"/>
      <c r="G140" s="1674" t="n"/>
      <c r="H140" s="1674" t="n"/>
      <c r="I140" s="1674" t="n"/>
      <c r="J140" s="1674" t="n"/>
      <c r="K140" s="1674" t="n"/>
      <c r="L140" s="1674" t="n"/>
      <c r="M140" s="1674" t="n"/>
      <c r="N140" s="1674" t="n"/>
      <c r="O140" s="1674" t="n"/>
      <c r="P140" s="1674" t="n"/>
      <c r="Q140" s="1674" t="n"/>
    </row>
    <row r="141" ht="12.75" customFormat="1" customHeight="1" s="1654">
      <c r="B141" s="1675" t="inlineStr">
        <is>
          <t>Cost - Companion App</t>
        </is>
      </c>
      <c r="C141" s="1677">
        <f>+'3F. Revenue &amp; COGS Assumptions'!G46</f>
        <v/>
      </c>
      <c r="D141" s="1678" t="inlineStr">
        <is>
          <t>/unit (incl shipping)</t>
        </is>
      </c>
      <c r="E141" s="1673" t="n"/>
      <c r="F141" s="1674" t="n"/>
      <c r="G141" s="1674" t="n"/>
      <c r="H141" s="1674" t="n"/>
      <c r="I141" s="1674" t="n"/>
      <c r="J141" s="1674" t="n"/>
      <c r="K141" s="1674" t="n"/>
      <c r="L141" s="1674" t="n"/>
      <c r="M141" s="1674" t="n"/>
      <c r="N141" s="1674" t="n"/>
      <c r="O141" s="1674" t="n"/>
      <c r="P141" s="1674" t="n"/>
      <c r="Q141" s="1674" t="n"/>
    </row>
    <row r="142" ht="12.75" customFormat="1" customHeight="1" s="1654">
      <c r="B142" s="1675" t="inlineStr">
        <is>
          <t>Cost - Computer App</t>
        </is>
      </c>
      <c r="C142" s="1677">
        <f>+'3F. Revenue &amp; COGS Assumptions'!G57</f>
        <v/>
      </c>
      <c r="D142" s="1678" t="inlineStr">
        <is>
          <t>/unit (incl shipping)</t>
        </is>
      </c>
      <c r="E142" s="1673" t="n"/>
      <c r="F142" s="1674" t="n"/>
      <c r="G142" s="1674" t="n"/>
      <c r="H142" s="1674" t="n"/>
      <c r="I142" s="1674" t="n"/>
      <c r="J142" s="1674" t="n"/>
      <c r="K142" s="1674" t="n"/>
      <c r="L142" s="1674" t="n"/>
      <c r="M142" s="1674" t="n"/>
      <c r="N142" s="1674" t="n"/>
      <c r="O142" s="1674" t="n"/>
      <c r="P142" s="1674" t="n"/>
      <c r="Q142" s="1674" t="n"/>
    </row>
    <row r="143" ht="12.75" customFormat="1" customHeight="1" s="1654">
      <c r="B143" s="1675" t="inlineStr">
        <is>
          <t>Deposit</t>
        </is>
      </c>
      <c r="C143" s="1679" t="n">
        <v>0.3</v>
      </c>
      <c r="D143" s="1678" t="inlineStr">
        <is>
          <t>on Order</t>
        </is>
      </c>
      <c r="E143" s="1673" t="n"/>
      <c r="F143" s="1674" t="n"/>
      <c r="G143" s="1674" t="n"/>
      <c r="H143" s="1674" t="n"/>
      <c r="I143" s="1674" t="n"/>
      <c r="J143" s="1674" t="n"/>
      <c r="K143" s="1674" t="n"/>
      <c r="L143" s="1674" t="n"/>
      <c r="M143" s="1674" t="n"/>
      <c r="N143" s="1674" t="n"/>
      <c r="O143" s="1674" t="n"/>
      <c r="P143" s="1674" t="n"/>
      <c r="Q143" s="1674" t="n"/>
    </row>
    <row r="144" ht="12.75" customFormat="1" customHeight="1" s="1654">
      <c r="B144" s="1675" t="inlineStr">
        <is>
          <t>Final Payment</t>
        </is>
      </c>
      <c r="C144" s="1680">
        <f>1-C143</f>
        <v/>
      </c>
      <c r="D144" s="1678" t="inlineStr">
        <is>
          <t>on Delivery</t>
        </is>
      </c>
      <c r="E144" s="1673" t="n"/>
      <c r="F144" s="1674" t="n"/>
      <c r="G144" s="1674" t="n"/>
      <c r="H144" s="1674" t="n"/>
      <c r="I144" s="1674" t="n"/>
      <c r="J144" s="1674" t="n"/>
      <c r="K144" s="1674" t="n"/>
      <c r="L144" s="1674" t="n"/>
      <c r="M144" s="1674" t="n"/>
      <c r="N144" s="1674" t="n"/>
      <c r="O144" s="1674" t="n"/>
      <c r="P144" s="1674" t="n"/>
      <c r="Q144" s="1674" t="n"/>
    </row>
    <row r="145" ht="12.75" customFormat="1" customHeight="1" s="1654">
      <c r="B145" s="1675" t="inlineStr">
        <is>
          <t>Time from Order to Delivery</t>
        </is>
      </c>
      <c r="C145" s="1681" t="n">
        <v>30</v>
      </c>
      <c r="D145" s="1674" t="inlineStr">
        <is>
          <t>days</t>
        </is>
      </c>
      <c r="E145" s="1673" t="n"/>
      <c r="F145" s="1674" t="n"/>
      <c r="G145" s="1674" t="n"/>
      <c r="H145" s="1674" t="n"/>
      <c r="I145" s="1674" t="n"/>
      <c r="J145" s="1674" t="n"/>
      <c r="K145" s="1674" t="n"/>
      <c r="L145" s="1674" t="n"/>
      <c r="M145" s="1674" t="n"/>
      <c r="N145" s="1674" t="n"/>
      <c r="O145" s="1674" t="n"/>
      <c r="P145" s="1674" t="n"/>
      <c r="Q145" s="1674" t="n"/>
    </row>
    <row r="146" ht="12.75" customFormat="1" customHeight="1" s="1654">
      <c r="B146" s="1675" t="inlineStr">
        <is>
          <t>% over unit sales for warranty</t>
        </is>
      </c>
      <c r="C146" s="1679" t="n">
        <v>0.015</v>
      </c>
      <c r="D146" s="1673" t="n"/>
      <c r="E146" s="1673" t="n"/>
      <c r="F146" s="1674" t="n"/>
      <c r="G146" s="1674" t="n"/>
      <c r="H146" s="1674" t="n"/>
      <c r="I146" s="1674" t="n"/>
      <c r="J146" s="1674" t="n"/>
      <c r="K146" s="1674" t="n"/>
      <c r="L146" s="1674" t="n"/>
      <c r="M146" s="1674" t="n"/>
      <c r="N146" s="1674" t="n"/>
      <c r="O146" s="1674" t="n"/>
      <c r="P146" s="1674" t="n"/>
      <c r="Q146" s="1674" t="n"/>
    </row>
    <row r="147" ht="12.75" customFormat="1" customHeight="1" s="1654">
      <c r="B147" s="1675" t="inlineStr">
        <is>
          <t>Days Inventory</t>
        </is>
      </c>
      <c r="C147" s="1682" t="n">
        <v>30</v>
      </c>
      <c r="D147" s="1674" t="inlineStr">
        <is>
          <t>days</t>
        </is>
      </c>
      <c r="E147" s="1673" t="n"/>
      <c r="F147" s="1674" t="n"/>
      <c r="G147" s="1674" t="n"/>
      <c r="H147" s="1674" t="n"/>
      <c r="I147" s="1674" t="n"/>
      <c r="J147" s="1674" t="n"/>
      <c r="K147" s="1674" t="n"/>
      <c r="L147" s="1674" t="n"/>
      <c r="M147" s="1674" t="n"/>
      <c r="N147" s="1674" t="n"/>
      <c r="O147" s="1674" t="n"/>
      <c r="P147" s="1674" t="n"/>
      <c r="Q147" s="1674" t="n"/>
    </row>
    <row r="148" ht="12.75" customFormat="1" customHeight="1" s="1654">
      <c r="B148" s="1675" t="n"/>
      <c r="C148" s="1672" t="n"/>
      <c r="D148" s="1673" t="n"/>
      <c r="E148" s="1673" t="n"/>
      <c r="F148" s="1674" t="n"/>
      <c r="G148" s="1674" t="n"/>
      <c r="H148" s="1674" t="n"/>
      <c r="I148" s="1674" t="n"/>
      <c r="J148" s="1683" t="n"/>
      <c r="K148" s="1683" t="n"/>
      <c r="L148" s="1674" t="n"/>
      <c r="M148" s="1674" t="n"/>
      <c r="N148" s="1674" t="n"/>
      <c r="O148" s="1674" t="n"/>
      <c r="P148" s="1683" t="n"/>
      <c r="Q148" s="1683" t="n"/>
    </row>
    <row r="149" ht="12.75" customFormat="1" customHeight="1" s="1654">
      <c r="B149" s="1671" t="inlineStr">
        <is>
          <t xml:space="preserve"> Phones</t>
        </is>
      </c>
      <c r="C149" s="1672" t="n"/>
      <c r="D149" s="1673" t="n"/>
      <c r="E149" s="1673" t="n"/>
      <c r="F149" s="1674" t="n"/>
      <c r="G149" s="1674" t="n"/>
      <c r="H149" s="1674" t="n"/>
      <c r="I149" s="1674" t="n"/>
      <c r="J149" s="1674" t="n"/>
      <c r="K149" s="1683" t="n"/>
      <c r="L149" s="1674" t="n"/>
      <c r="M149" s="1674" t="n"/>
      <c r="N149" s="1674" t="n"/>
      <c r="O149" s="1674" t="n"/>
      <c r="P149" s="1674" t="n"/>
      <c r="Q149" s="1683" t="n"/>
    </row>
    <row r="150" ht="12.75" customFormat="1" customHeight="1" s="1654">
      <c r="B150" s="1675" t="inlineStr">
        <is>
          <t>Units Ordered for Sale</t>
        </is>
      </c>
      <c r="C150" s="1672" t="n"/>
      <c r="D150" s="1673" t="n"/>
      <c r="E150" s="1673" t="n"/>
      <c r="F150" s="1683" t="n">
        <v>0</v>
      </c>
      <c r="G150" s="1683" t="n">
        <v>0</v>
      </c>
      <c r="H150" s="1683" t="n">
        <v>0</v>
      </c>
      <c r="I150" s="1683" t="n">
        <v>0</v>
      </c>
      <c r="J150" s="1683" t="n">
        <v>0</v>
      </c>
      <c r="K150" s="1683" t="n">
        <v>0</v>
      </c>
      <c r="L150" s="1683" t="n">
        <v>0</v>
      </c>
      <c r="M150" s="1683" t="n">
        <v>0</v>
      </c>
      <c r="N150" s="1683" t="n">
        <v>0</v>
      </c>
      <c r="O150" s="1683" t="n">
        <v>0</v>
      </c>
      <c r="P150" s="1683">
        <f>ROUNDDOWN(('3F. Revenue &amp; COGS Assumptions'!G29+(($C$147-30)/30)*'3F. Revenue &amp; COGS Assumptions'!H29),0)</f>
        <v/>
      </c>
      <c r="Q150" s="1683">
        <f>ROUNDDOWN(('3F. Revenue &amp; COGS Assumptions'!H29+(($C$147-30)/30)*'3F. Revenue &amp; COGS Assumptions'!I29),0)</f>
        <v/>
      </c>
    </row>
    <row r="151" ht="12.75" customFormat="1" customHeight="1" s="1654">
      <c r="B151" s="1675" t="inlineStr">
        <is>
          <t>Units Ordered for Warranty</t>
        </is>
      </c>
      <c r="C151" s="1672" t="n"/>
      <c r="D151" s="1673" t="n"/>
      <c r="E151" s="1673" t="n"/>
      <c r="F151" s="1683" t="n">
        <v>0</v>
      </c>
      <c r="G151" s="1683" t="n">
        <v>0</v>
      </c>
      <c r="H151" s="1683" t="n">
        <v>0</v>
      </c>
      <c r="I151" s="1683" t="n">
        <v>0</v>
      </c>
      <c r="J151" s="1683" t="n">
        <v>0</v>
      </c>
      <c r="K151" s="1683" t="n">
        <v>0</v>
      </c>
      <c r="L151" s="1683" t="n">
        <v>0</v>
      </c>
      <c r="M151" s="1683" t="n">
        <v>0</v>
      </c>
      <c r="N151" s="1683" t="n">
        <v>0</v>
      </c>
      <c r="O151" s="1683" t="n">
        <v>0</v>
      </c>
      <c r="P151" s="1683">
        <f>+ROUNDDOWN(P150*$C$146,0)</f>
        <v/>
      </c>
      <c r="Q151" s="1683">
        <f>+ROUNDDOWN(Q150*$C$146,0)</f>
        <v/>
      </c>
    </row>
    <row r="152" ht="12.75" customFormat="1" customHeight="1" s="1654">
      <c r="B152" s="1671" t="inlineStr">
        <is>
          <t>Total Units Ordered</t>
        </is>
      </c>
      <c r="C152" s="1684" t="n"/>
      <c r="D152" s="1685" t="n"/>
      <c r="E152" s="1685" t="n"/>
      <c r="F152" s="1686">
        <f>SUM(F150:F151)</f>
        <v/>
      </c>
      <c r="G152" s="1686">
        <f>SUM(G150:G151)</f>
        <v/>
      </c>
      <c r="H152" s="1686">
        <f>SUM(H150:H151)</f>
        <v/>
      </c>
      <c r="I152" s="1686">
        <f>SUM(I150:I151)</f>
        <v/>
      </c>
      <c r="J152" s="1686">
        <f>SUM(J150:J151)</f>
        <v/>
      </c>
      <c r="K152" s="1686">
        <f>SUM(K150:K151)</f>
        <v/>
      </c>
      <c r="L152" s="1686">
        <f>SUM(L150:L151)</f>
        <v/>
      </c>
      <c r="M152" s="1686">
        <f>SUM(M150:M151)</f>
        <v/>
      </c>
      <c r="N152" s="1686">
        <f>SUM(N150:N151)</f>
        <v/>
      </c>
      <c r="O152" s="1686">
        <f>SUM(O150:O151)</f>
        <v/>
      </c>
      <c r="P152" s="1686">
        <f>SUM(P150:P151)</f>
        <v/>
      </c>
      <c r="Q152" s="1686">
        <f>SUM(Q150:Q151)</f>
        <v/>
      </c>
    </row>
    <row r="153" ht="12.75" customFormat="1" customHeight="1" s="1654">
      <c r="B153" s="1675" t="n"/>
      <c r="C153" s="1672" t="n"/>
      <c r="D153" s="1673" t="n"/>
      <c r="E153" s="1673" t="n"/>
      <c r="F153" s="1674" t="n"/>
      <c r="G153" s="1674" t="n"/>
      <c r="H153" s="1674" t="n"/>
      <c r="I153" s="1674" t="n"/>
      <c r="J153" s="1674" t="n"/>
      <c r="K153" s="1674" t="n"/>
      <c r="L153" s="1674" t="n"/>
      <c r="M153" s="1674" t="n"/>
      <c r="N153" s="1674" t="n"/>
      <c r="O153" s="1674" t="n"/>
      <c r="P153" s="1674" t="n"/>
      <c r="Q153" s="1674" t="n"/>
    </row>
    <row r="154" ht="12.75" customFormat="1" customHeight="1" s="1654">
      <c r="B154" s="1675" t="inlineStr">
        <is>
          <t>Deposit</t>
        </is>
      </c>
      <c r="C154" s="1680">
        <f>+$C$143</f>
        <v/>
      </c>
      <c r="D154" s="1673" t="n"/>
      <c r="E154" s="1673" t="n"/>
      <c r="F154" s="1687">
        <f>+F152*$C$140*$C154</f>
        <v/>
      </c>
      <c r="G154" s="1687">
        <f>+G152*$C$140*$C154</f>
        <v/>
      </c>
      <c r="H154" s="1687">
        <f>+H152*$C$140*$C154</f>
        <v/>
      </c>
      <c r="I154" s="1687">
        <f>+I152*$C$140*$C154</f>
        <v/>
      </c>
      <c r="J154" s="1687">
        <f>+J152*$C$140*$C154</f>
        <v/>
      </c>
      <c r="K154" s="1687">
        <f>+K152*$C$140*$C154</f>
        <v/>
      </c>
      <c r="L154" s="1687">
        <f>+L152*$C$140*$C154</f>
        <v/>
      </c>
      <c r="M154" s="1687">
        <f>+M152*$C$140*$C154</f>
        <v/>
      </c>
      <c r="N154" s="1687">
        <f>+N152*$C$140*$C154</f>
        <v/>
      </c>
      <c r="O154" s="1687">
        <f>+O152*$C$140*$C154</f>
        <v/>
      </c>
      <c r="P154" s="1687">
        <f>+P152*$C$140*$C154</f>
        <v/>
      </c>
      <c r="Q154" s="1687">
        <f>+Q152*$C$140*$C154</f>
        <v/>
      </c>
    </row>
    <row r="155" ht="12.75" customFormat="1" customHeight="1" s="1654">
      <c r="B155" s="1675" t="inlineStr">
        <is>
          <t>Final Payment</t>
        </is>
      </c>
      <c r="C155" s="1680">
        <f>+$C$144</f>
        <v/>
      </c>
      <c r="D155" s="1673" t="n"/>
      <c r="E155" s="1673" t="n"/>
      <c r="F155" s="1687">
        <f>+E152*$C$140*$C155</f>
        <v/>
      </c>
      <c r="G155" s="1687">
        <f>+F152*$C$140*$C155</f>
        <v/>
      </c>
      <c r="H155" s="1687">
        <f>+G152*$C$140*$C155</f>
        <v/>
      </c>
      <c r="I155" s="1687">
        <f>+H152*$C$140*$C155</f>
        <v/>
      </c>
      <c r="J155" s="1687">
        <f>+C152*$C$140*$C155</f>
        <v/>
      </c>
      <c r="K155" s="1687">
        <f>+J152*$C$140*$C155</f>
        <v/>
      </c>
      <c r="L155" s="1687">
        <f>+E152*$C$140*$C155</f>
        <v/>
      </c>
      <c r="M155" s="1687">
        <f>+L152*$C$140*$C155</f>
        <v/>
      </c>
      <c r="N155" s="1687">
        <f>+M152*$C$140*$C155</f>
        <v/>
      </c>
      <c r="O155" s="1687">
        <f>+N152*$C$140*$C155</f>
        <v/>
      </c>
      <c r="P155" s="1687">
        <f>+O152*$C$140*$C155</f>
        <v/>
      </c>
      <c r="Q155" s="1687">
        <f>+P152*$C$140*$C155</f>
        <v/>
      </c>
    </row>
    <row r="156" ht="12.75" customFormat="1" customHeight="1" s="1654">
      <c r="B156" s="1671" t="inlineStr">
        <is>
          <t xml:space="preserve">Total Cash Requirements </t>
        </is>
      </c>
      <c r="C156" s="1684" t="n"/>
      <c r="D156" s="1685" t="n"/>
      <c r="E156" s="1685" t="n"/>
      <c r="F156" s="1688">
        <f>SUM(F154:F155)</f>
        <v/>
      </c>
      <c r="G156" s="1688">
        <f>SUM(G154:G155)</f>
        <v/>
      </c>
      <c r="H156" s="1688">
        <f>SUM(H154:H155)</f>
        <v/>
      </c>
      <c r="I156" s="1688">
        <f>SUM(I154:I155)</f>
        <v/>
      </c>
      <c r="J156" s="1688">
        <f>SUM(J154:J155)</f>
        <v/>
      </c>
      <c r="K156" s="1688">
        <f>SUM(K154:K155)</f>
        <v/>
      </c>
      <c r="L156" s="1688">
        <f>SUM(L154:L155)</f>
        <v/>
      </c>
      <c r="M156" s="1688">
        <f>SUM(M154:M155)</f>
        <v/>
      </c>
      <c r="N156" s="1688">
        <f>SUM(N154:N155)</f>
        <v/>
      </c>
      <c r="O156" s="1688">
        <f>SUM(O154:O155)</f>
        <v/>
      </c>
      <c r="P156" s="1688">
        <f>SUM(P154:P155)</f>
        <v/>
      </c>
      <c r="Q156" s="1688">
        <f>SUM(Q154:Q155)</f>
        <v/>
      </c>
    </row>
    <row r="157" ht="12.75" customFormat="1" customHeight="1" s="1654">
      <c r="B157" s="1675" t="n"/>
      <c r="C157" s="1672" t="n"/>
      <c r="D157" s="1673" t="n"/>
      <c r="E157" s="1673" t="n"/>
      <c r="F157" s="1687" t="n"/>
      <c r="G157" s="1687" t="n"/>
      <c r="H157" s="1687" t="n"/>
      <c r="I157" s="1687" t="n"/>
      <c r="J157" s="1687" t="n"/>
      <c r="K157" s="1687" t="n"/>
      <c r="L157" s="1687" t="n"/>
      <c r="M157" s="1687" t="n"/>
      <c r="N157" s="1687" t="n"/>
      <c r="O157" s="1687" t="n"/>
      <c r="P157" s="1687" t="n"/>
      <c r="Q157" s="1687" t="n"/>
    </row>
    <row r="158" ht="12.75" customFormat="1" customHeight="1" s="1654">
      <c r="B158" s="1671" t="inlineStr">
        <is>
          <t>Companion App</t>
        </is>
      </c>
      <c r="C158" s="1672" t="n"/>
      <c r="D158" s="1673" t="n"/>
      <c r="E158" s="1673" t="n"/>
      <c r="F158" s="1687" t="n"/>
      <c r="G158" s="1687" t="n"/>
      <c r="H158" s="1687" t="n"/>
      <c r="I158" s="1687" t="n"/>
      <c r="J158" s="1687" t="n"/>
      <c r="K158" s="1687" t="n"/>
      <c r="L158" s="1687" t="n"/>
      <c r="M158" s="1687" t="n"/>
      <c r="N158" s="1687" t="n"/>
      <c r="O158" s="1687" t="n"/>
      <c r="P158" s="1687" t="n"/>
      <c r="Q158" s="1687" t="n"/>
    </row>
    <row r="159" ht="12.75" customFormat="1" customHeight="1" s="1654">
      <c r="B159" s="1675" t="inlineStr">
        <is>
          <t>Units Ordered for Sale</t>
        </is>
      </c>
      <c r="C159" s="1672" t="n"/>
      <c r="D159" s="1673" t="n"/>
      <c r="E159" s="1673" t="n"/>
      <c r="F159" s="1683" t="n">
        <v>0</v>
      </c>
      <c r="G159" s="1683" t="n">
        <v>0</v>
      </c>
      <c r="H159" s="1683" t="n">
        <v>0</v>
      </c>
      <c r="I159" s="1683" t="n">
        <v>0</v>
      </c>
      <c r="J159" s="1683" t="n">
        <v>0</v>
      </c>
      <c r="K159" s="1683" t="n">
        <v>0</v>
      </c>
      <c r="L159" s="1683" t="n">
        <v>0</v>
      </c>
      <c r="M159" s="1683" t="n">
        <v>0</v>
      </c>
      <c r="N159" s="1683" t="n">
        <v>0</v>
      </c>
      <c r="O159" s="1683" t="n">
        <v>0</v>
      </c>
      <c r="P159" s="1689">
        <f>ROUNDDOWN(('3F. Revenue &amp; COGS Assumptions'!G40+(($C$147-30)/30)*'3F. Revenue &amp; COGS Assumptions'!H40),0)</f>
        <v/>
      </c>
      <c r="Q159" s="1689">
        <f>ROUNDDOWN(('3F. Revenue &amp; COGS Assumptions'!H40+(($C$147-30)/30)*'3F. Revenue &amp; COGS Assumptions'!I40),0)</f>
        <v/>
      </c>
    </row>
    <row r="160" ht="12.75" customFormat="1" customHeight="1" s="1654">
      <c r="B160" s="1675" t="inlineStr">
        <is>
          <t>Units Ordered for Warranty</t>
        </is>
      </c>
      <c r="C160" s="1672" t="n"/>
      <c r="D160" s="1673" t="n"/>
      <c r="E160" s="1673" t="n"/>
      <c r="F160" s="1683" t="n">
        <v>0</v>
      </c>
      <c r="G160" s="1683" t="n">
        <v>0</v>
      </c>
      <c r="H160" s="1683" t="n">
        <v>0</v>
      </c>
      <c r="I160" s="1683" t="n">
        <v>0</v>
      </c>
      <c r="J160" s="1683" t="n">
        <v>0</v>
      </c>
      <c r="K160" s="1683" t="n">
        <v>0</v>
      </c>
      <c r="L160" s="1683" t="n">
        <v>0</v>
      </c>
      <c r="M160" s="1683" t="n">
        <v>0</v>
      </c>
      <c r="N160" s="1683" t="n">
        <v>0</v>
      </c>
      <c r="O160" s="1683" t="n">
        <v>0</v>
      </c>
      <c r="P160" s="1689">
        <f>+ROUNDDOWN(P159*$C$146,0)</f>
        <v/>
      </c>
      <c r="Q160" s="1689">
        <f>+ROUNDDOWN(Q159*$C$146,0)</f>
        <v/>
      </c>
    </row>
    <row r="161" ht="12.75" customFormat="1" customHeight="1" s="1654">
      <c r="B161" s="1671" t="inlineStr">
        <is>
          <t>Total Units Ordered</t>
        </is>
      </c>
      <c r="C161" s="1684" t="n"/>
      <c r="D161" s="1685" t="n"/>
      <c r="E161" s="1685" t="n"/>
      <c r="F161" s="1686">
        <f>SUM(F159:F160)</f>
        <v/>
      </c>
      <c r="G161" s="1686">
        <f>SUM(G159:G160)</f>
        <v/>
      </c>
      <c r="H161" s="1686">
        <f>SUM(H159:H160)</f>
        <v/>
      </c>
      <c r="I161" s="1686">
        <f>SUM(I159:I160)</f>
        <v/>
      </c>
      <c r="J161" s="1686">
        <f>SUM(J159:J160)</f>
        <v/>
      </c>
      <c r="K161" s="1686">
        <f>SUM(K159:K160)</f>
        <v/>
      </c>
      <c r="L161" s="1686">
        <f>SUM(L159:L160)</f>
        <v/>
      </c>
      <c r="M161" s="1686">
        <f>SUM(M159:M160)</f>
        <v/>
      </c>
      <c r="N161" s="1686">
        <f>SUM(N159:N160)</f>
        <v/>
      </c>
      <c r="O161" s="1686">
        <f>SUM(O159:O160)</f>
        <v/>
      </c>
      <c r="P161" s="1690">
        <f>SUM(P159:P160)</f>
        <v/>
      </c>
      <c r="Q161" s="1690">
        <f>SUM(Q159:Q160)</f>
        <v/>
      </c>
    </row>
    <row r="162" ht="12.75" customFormat="1" customHeight="1" s="1654">
      <c r="B162" s="1675" t="n"/>
      <c r="C162" s="1672" t="n"/>
      <c r="D162" s="1673" t="n"/>
      <c r="E162" s="1673" t="n"/>
      <c r="F162" s="1687" t="n"/>
      <c r="G162" s="1687" t="n"/>
      <c r="H162" s="1687" t="n"/>
      <c r="I162" s="1687" t="n"/>
      <c r="J162" s="1687" t="n"/>
      <c r="K162" s="1687" t="n"/>
      <c r="L162" s="1687" t="n"/>
      <c r="M162" s="1687" t="n"/>
      <c r="N162" s="1687" t="n"/>
      <c r="O162" s="1687" t="n"/>
      <c r="P162" s="1687" t="n"/>
      <c r="Q162" s="1687" t="n"/>
    </row>
    <row r="163" ht="12.75" customFormat="1" customHeight="1" s="1654">
      <c r="B163" s="1675" t="inlineStr">
        <is>
          <t>Deposit</t>
        </is>
      </c>
      <c r="C163" s="1680">
        <f>+$C$143</f>
        <v/>
      </c>
      <c r="D163" s="1673" t="n"/>
      <c r="E163" s="1673" t="n"/>
      <c r="F163" s="1687">
        <f>+F161*$C$140*$C163</f>
        <v/>
      </c>
      <c r="G163" s="1687">
        <f>+G161*$C$140*$C163</f>
        <v/>
      </c>
      <c r="H163" s="1687">
        <f>+H161*$C$140*$C163</f>
        <v/>
      </c>
      <c r="I163" s="1687">
        <f>+I161*$C$140*$C163</f>
        <v/>
      </c>
      <c r="J163" s="1687">
        <f>+J161*$C$140*$C163</f>
        <v/>
      </c>
      <c r="K163" s="1687">
        <f>+K161*$C$140*$C163</f>
        <v/>
      </c>
      <c r="L163" s="1687">
        <f>+L161*$C$140*$C163</f>
        <v/>
      </c>
      <c r="M163" s="1687">
        <f>+M161*$C$140*$C163</f>
        <v/>
      </c>
      <c r="N163" s="1687">
        <f>+N161*$C$140*$C163</f>
        <v/>
      </c>
      <c r="O163" s="1687">
        <f>+O161*$C$140*$C163</f>
        <v/>
      </c>
      <c r="P163" s="1687">
        <f>+P161*$C$141*$C163</f>
        <v/>
      </c>
      <c r="Q163" s="1687">
        <f>+Q161*$C$141*$C163</f>
        <v/>
      </c>
    </row>
    <row r="164" ht="12.75" customFormat="1" customHeight="1" s="1654">
      <c r="B164" s="1675" t="inlineStr">
        <is>
          <t>Final Payment</t>
        </is>
      </c>
      <c r="C164" s="1680">
        <f>+$C$144</f>
        <v/>
      </c>
      <c r="D164" s="1673" t="n"/>
      <c r="E164" s="1673" t="n"/>
      <c r="F164" s="1687">
        <f>+E161*$C$140*$C164</f>
        <v/>
      </c>
      <c r="G164" s="1687">
        <f>+F161*$C$140*$C164</f>
        <v/>
      </c>
      <c r="H164" s="1687">
        <f>+G161*$C$140*$C164</f>
        <v/>
      </c>
      <c r="I164" s="1687">
        <f>+H161*$C$140*$C164</f>
        <v/>
      </c>
      <c r="J164" s="1687">
        <f>+C161*$C$140*$C164</f>
        <v/>
      </c>
      <c r="K164" s="1687">
        <f>+J161*$C$140*$C164</f>
        <v/>
      </c>
      <c r="L164" s="1687">
        <f>+E161*$C$140*$C164</f>
        <v/>
      </c>
      <c r="M164" s="1687">
        <f>+L161*$C$140*$C164</f>
        <v/>
      </c>
      <c r="N164" s="1687">
        <f>+M161*$C$140*$C164</f>
        <v/>
      </c>
      <c r="O164" s="1687">
        <f>+N161*$C$140*$C164</f>
        <v/>
      </c>
      <c r="P164" s="1687">
        <f>+O161*$C$140*$C164</f>
        <v/>
      </c>
      <c r="Q164" s="1687">
        <f>+P161*$C$141*$C164</f>
        <v/>
      </c>
    </row>
    <row r="165" ht="12.75" customFormat="1" customHeight="1" s="1654">
      <c r="B165" s="1671" t="inlineStr">
        <is>
          <t>Total Cash Requirements</t>
        </is>
      </c>
      <c r="C165" s="1684" t="n"/>
      <c r="D165" s="1685" t="n"/>
      <c r="E165" s="1685" t="n"/>
      <c r="F165" s="1688">
        <f>SUM(F163:F164)</f>
        <v/>
      </c>
      <c r="G165" s="1688">
        <f>SUM(G163:G164)</f>
        <v/>
      </c>
      <c r="H165" s="1688">
        <f>SUM(H163:H164)</f>
        <v/>
      </c>
      <c r="I165" s="1688">
        <f>SUM(I163:I164)</f>
        <v/>
      </c>
      <c r="J165" s="1688">
        <f>SUM(J163:J164)</f>
        <v/>
      </c>
      <c r="K165" s="1688">
        <f>SUM(K163:K164)</f>
        <v/>
      </c>
      <c r="L165" s="1688">
        <f>SUM(L163:L164)</f>
        <v/>
      </c>
      <c r="M165" s="1688">
        <f>SUM(M163:M164)</f>
        <v/>
      </c>
      <c r="N165" s="1688">
        <f>SUM(N163:N164)</f>
        <v/>
      </c>
      <c r="O165" s="1688">
        <f>SUM(O163:O164)</f>
        <v/>
      </c>
      <c r="P165" s="1688">
        <f>SUM(P163:P164)</f>
        <v/>
      </c>
      <c r="Q165" s="1688">
        <f>SUM(Q163:Q164)</f>
        <v/>
      </c>
    </row>
    <row r="166" ht="12.75" customFormat="1" customHeight="1" s="1654">
      <c r="B166" s="1691" t="n"/>
      <c r="C166" s="1674" t="n"/>
      <c r="D166" s="1673" t="n"/>
      <c r="E166" s="1673" t="n"/>
      <c r="F166" s="1687" t="n"/>
      <c r="G166" s="1687" t="n"/>
      <c r="H166" s="1687" t="n"/>
      <c r="I166" s="1687" t="n"/>
      <c r="J166" s="1687" t="n"/>
      <c r="K166" s="1687" t="n"/>
      <c r="L166" s="1687" t="n"/>
      <c r="M166" s="1687" t="n"/>
      <c r="N166" s="1687" t="n"/>
      <c r="O166" s="1687" t="n"/>
      <c r="P166" s="1687" t="n"/>
      <c r="Q166" s="1687" t="n"/>
    </row>
    <row r="167" ht="12.75" customFormat="1" customHeight="1" s="1654">
      <c r="B167" s="1692" t="inlineStr">
        <is>
          <t>Computer App</t>
        </is>
      </c>
      <c r="C167" s="1674" t="n"/>
      <c r="D167" s="1673" t="n"/>
      <c r="E167" s="1673" t="n"/>
      <c r="F167" s="1687" t="n"/>
      <c r="G167" s="1687" t="n"/>
      <c r="H167" s="1687" t="n"/>
      <c r="I167" s="1687" t="n"/>
      <c r="J167" s="1687" t="n"/>
      <c r="K167" s="1687" t="n"/>
      <c r="L167" s="1687" t="n"/>
      <c r="M167" s="1687" t="n"/>
      <c r="N167" s="1687" t="n"/>
      <c r="O167" s="1687" t="n"/>
      <c r="P167" s="1687" t="n"/>
      <c r="Q167" s="1687" t="n"/>
    </row>
    <row r="168" ht="12.75" customFormat="1" customHeight="1" s="1654">
      <c r="B168" s="1675" t="inlineStr">
        <is>
          <t>Units Ordered for Sale</t>
        </is>
      </c>
      <c r="C168" s="1672" t="n"/>
      <c r="D168" s="1673" t="n"/>
      <c r="E168" s="1673" t="n"/>
      <c r="F168" s="1683" t="n">
        <v>0</v>
      </c>
      <c r="G168" s="1683" t="n">
        <v>0</v>
      </c>
      <c r="H168" s="1683" t="n">
        <v>0</v>
      </c>
      <c r="I168" s="1683" t="n">
        <v>0</v>
      </c>
      <c r="J168" s="1683" t="n">
        <v>0</v>
      </c>
      <c r="K168" s="1683" t="n">
        <v>0</v>
      </c>
      <c r="L168" s="1683" t="n">
        <v>0</v>
      </c>
      <c r="M168" s="1683" t="n">
        <v>0</v>
      </c>
      <c r="N168" s="1683" t="n">
        <v>0</v>
      </c>
      <c r="O168" s="1683" t="n">
        <v>0</v>
      </c>
      <c r="P168" s="1674">
        <f>ROUNDDOWN(('3F. Revenue &amp; COGS Assumptions'!G51+(($C$147-30)/30)*'3F. Revenue &amp; COGS Assumptions'!H51),0)</f>
        <v/>
      </c>
      <c r="Q168" s="1674">
        <f>ROUNDDOWN(('3F. Revenue &amp; COGS Assumptions'!H51+(($C$147-30)/30)*'3F. Revenue &amp; COGS Assumptions'!I51),0)</f>
        <v/>
      </c>
    </row>
    <row r="169" ht="12.75" customFormat="1" customHeight="1" s="1654">
      <c r="B169" s="1675" t="inlineStr">
        <is>
          <t>Units Ordered for Warranty</t>
        </is>
      </c>
      <c r="C169" s="1672" t="n"/>
      <c r="D169" s="1673" t="n"/>
      <c r="E169" s="1673" t="n"/>
      <c r="F169" s="1683" t="n">
        <v>0</v>
      </c>
      <c r="G169" s="1683" t="n">
        <v>0</v>
      </c>
      <c r="H169" s="1683" t="n">
        <v>0</v>
      </c>
      <c r="I169" s="1683" t="n">
        <v>0</v>
      </c>
      <c r="J169" s="1683" t="n">
        <v>0</v>
      </c>
      <c r="K169" s="1683" t="n">
        <v>0</v>
      </c>
      <c r="L169" s="1683" t="n">
        <v>0</v>
      </c>
      <c r="M169" s="1683" t="n">
        <v>0</v>
      </c>
      <c r="N169" s="1683" t="n">
        <v>0</v>
      </c>
      <c r="O169" s="1683" t="n">
        <v>0</v>
      </c>
      <c r="P169" s="1674">
        <f>+ROUNDDOWN(P168*$C$146,0)</f>
        <v/>
      </c>
      <c r="Q169" s="1674">
        <f>+ROUNDDOWN(Q168*$C$146,0)</f>
        <v/>
      </c>
    </row>
    <row r="170" ht="12.75" customFormat="1" customHeight="1" s="1654">
      <c r="B170" s="1671" t="inlineStr">
        <is>
          <t>Total Units Ordered</t>
        </is>
      </c>
      <c r="C170" s="1684" t="n"/>
      <c r="D170" s="1685" t="n"/>
      <c r="E170" s="1685" t="n"/>
      <c r="F170" s="1686">
        <f>SUM(F168:F169)</f>
        <v/>
      </c>
      <c r="G170" s="1686">
        <f>SUM(G168:G169)</f>
        <v/>
      </c>
      <c r="H170" s="1686">
        <f>SUM(H168:H169)</f>
        <v/>
      </c>
      <c r="I170" s="1686">
        <f>SUM(I168:I169)</f>
        <v/>
      </c>
      <c r="J170" s="1686">
        <f>SUM(J168:J169)</f>
        <v/>
      </c>
      <c r="K170" s="1686">
        <f>SUM(K168:K169)</f>
        <v/>
      </c>
      <c r="L170" s="1686">
        <f>SUM(L168:L169)</f>
        <v/>
      </c>
      <c r="M170" s="1686">
        <f>SUM(M168:M169)</f>
        <v/>
      </c>
      <c r="N170" s="1686">
        <f>SUM(N168:N169)</f>
        <v/>
      </c>
      <c r="O170" s="1686">
        <f>SUM(O168:O169)</f>
        <v/>
      </c>
      <c r="P170" s="1693">
        <f>SUM(P168:P169)</f>
        <v/>
      </c>
      <c r="Q170" s="1693">
        <f>SUM(Q168:Q169)</f>
        <v/>
      </c>
    </row>
    <row r="171" ht="12.75" customFormat="1" customHeight="1" s="1654">
      <c r="B171" s="1675" t="n"/>
      <c r="C171" s="1672" t="n"/>
      <c r="D171" s="1673" t="n"/>
      <c r="E171" s="1673" t="n"/>
      <c r="F171" s="1687" t="n"/>
      <c r="G171" s="1687" t="n"/>
      <c r="H171" s="1687" t="n"/>
      <c r="I171" s="1687" t="n"/>
      <c r="J171" s="1687" t="n"/>
      <c r="K171" s="1687" t="n"/>
      <c r="L171" s="1687" t="n"/>
      <c r="M171" s="1687" t="n"/>
      <c r="N171" s="1687" t="n"/>
      <c r="O171" s="1687" t="n"/>
      <c r="P171" s="1687" t="n"/>
      <c r="Q171" s="1687" t="n"/>
    </row>
    <row r="172" ht="12.75" customFormat="1" customHeight="1" s="1654">
      <c r="B172" s="1675" t="inlineStr">
        <is>
          <t>Deposit</t>
        </is>
      </c>
      <c r="C172" s="1680">
        <f>+$C$143</f>
        <v/>
      </c>
      <c r="D172" s="1673" t="n"/>
      <c r="E172" s="1673" t="n"/>
      <c r="F172" s="1687">
        <f>+F170*$C$140*$C172</f>
        <v/>
      </c>
      <c r="G172" s="1687">
        <f>+G170*$C$140*$C172</f>
        <v/>
      </c>
      <c r="H172" s="1687">
        <f>+H170*$C$140*$C172</f>
        <v/>
      </c>
      <c r="I172" s="1687">
        <f>+I170*$C$140*$C172</f>
        <v/>
      </c>
      <c r="J172" s="1687">
        <f>+J170*$C$140*$C172</f>
        <v/>
      </c>
      <c r="K172" s="1687">
        <f>+K170*$C$140*$C172</f>
        <v/>
      </c>
      <c r="L172" s="1687">
        <f>+L170*$C$140*$C172</f>
        <v/>
      </c>
      <c r="M172" s="1687">
        <f>+M170*$C$140*$C172</f>
        <v/>
      </c>
      <c r="N172" s="1687">
        <f>+N170*$C$140*$C172</f>
        <v/>
      </c>
      <c r="O172" s="1687">
        <f>+O170*$C$140*$C172</f>
        <v/>
      </c>
      <c r="P172" s="1687">
        <f>+P170*$C$142*$C172</f>
        <v/>
      </c>
      <c r="Q172" s="1687">
        <f>+Q170*$C$142*$C172</f>
        <v/>
      </c>
    </row>
    <row r="173" ht="12.75" customFormat="1" customHeight="1" s="1654">
      <c r="B173" s="1675" t="inlineStr">
        <is>
          <t>Final Payment</t>
        </is>
      </c>
      <c r="C173" s="1680">
        <f>+$C$144</f>
        <v/>
      </c>
      <c r="D173" s="1673" t="n"/>
      <c r="E173" s="1673" t="n"/>
      <c r="F173" s="1687">
        <f>+E170*$C$140*$C173</f>
        <v/>
      </c>
      <c r="G173" s="1687">
        <f>+F170*$C$140*$C173</f>
        <v/>
      </c>
      <c r="H173" s="1687">
        <f>+G170*$C$140*$C173</f>
        <v/>
      </c>
      <c r="I173" s="1687">
        <f>+H170*$C$140*$C173</f>
        <v/>
      </c>
      <c r="J173" s="1687">
        <f>+C170*$C$140*$C173</f>
        <v/>
      </c>
      <c r="K173" s="1687">
        <f>+J170*$C$140*$C173</f>
        <v/>
      </c>
      <c r="L173" s="1687">
        <f>+E170*$C$140*$C173</f>
        <v/>
      </c>
      <c r="M173" s="1687">
        <f>+L170*$C$140*$C173</f>
        <v/>
      </c>
      <c r="N173" s="1687">
        <f>+M170*$C$140*$C173</f>
        <v/>
      </c>
      <c r="O173" s="1687">
        <f>+N170*$C$140*$C173</f>
        <v/>
      </c>
      <c r="P173" s="1687">
        <f>+O170*$C$140*$C173</f>
        <v/>
      </c>
      <c r="Q173" s="1687">
        <f>+P170*$C$142*$C173</f>
        <v/>
      </c>
    </row>
    <row r="174" ht="12.75" customFormat="1" customHeight="1" s="1654">
      <c r="B174" s="1671" t="inlineStr">
        <is>
          <t>Total Cash Requirements</t>
        </is>
      </c>
      <c r="C174" s="1684" t="n"/>
      <c r="D174" s="1685" t="n"/>
      <c r="E174" s="1685" t="n"/>
      <c r="F174" s="1688">
        <f>SUM(F172:F173)</f>
        <v/>
      </c>
      <c r="G174" s="1688">
        <f>SUM(G172:G173)</f>
        <v/>
      </c>
      <c r="H174" s="1688">
        <f>SUM(H172:H173)</f>
        <v/>
      </c>
      <c r="I174" s="1688">
        <f>SUM(I172:I173)</f>
        <v/>
      </c>
      <c r="J174" s="1688">
        <f>SUM(J172:J173)</f>
        <v/>
      </c>
      <c r="K174" s="1688">
        <f>SUM(K172:K173)</f>
        <v/>
      </c>
      <c r="L174" s="1688">
        <f>SUM(L172:L173)</f>
        <v/>
      </c>
      <c r="M174" s="1688">
        <f>SUM(M172:M173)</f>
        <v/>
      </c>
      <c r="N174" s="1688">
        <f>SUM(N172:N173)</f>
        <v/>
      </c>
      <c r="O174" s="1688">
        <f>SUM(O172:O173)</f>
        <v/>
      </c>
      <c r="P174" s="1688">
        <f>SUM(P172:P173)</f>
        <v/>
      </c>
      <c r="Q174" s="1688">
        <f>SUM(Q172:Q173)</f>
        <v/>
      </c>
    </row>
    <row r="175" ht="12.75" customFormat="1" customHeight="1" s="1654">
      <c r="B175" s="1691" t="n"/>
      <c r="C175" s="1674" t="n"/>
      <c r="D175" s="1673" t="n"/>
      <c r="E175" s="1673" t="n"/>
      <c r="F175" s="1687" t="n"/>
      <c r="G175" s="1687" t="n"/>
      <c r="H175" s="1687" t="n"/>
      <c r="I175" s="1687" t="n"/>
      <c r="J175" s="1687" t="n"/>
      <c r="K175" s="1687" t="n"/>
      <c r="L175" s="1687" t="n"/>
      <c r="M175" s="1687" t="n"/>
      <c r="N175" s="1687" t="n"/>
      <c r="O175" s="1687" t="n"/>
      <c r="P175" s="1687" t="n"/>
      <c r="Q175" s="1687" t="n"/>
    </row>
    <row r="176" ht="12.75" customFormat="1" customHeight="1" s="1654">
      <c r="B176" s="1694" t="inlineStr">
        <is>
          <t>Total Cash Requirements - ALL</t>
        </is>
      </c>
      <c r="C176" s="1674" t="n"/>
      <c r="D176" s="1673" t="n"/>
      <c r="E176" s="1673" t="n"/>
      <c r="F176" s="1695">
        <f>+F156+F165+F174</f>
        <v/>
      </c>
      <c r="G176" s="1695">
        <f>+G156+G165+G174</f>
        <v/>
      </c>
      <c r="H176" s="1695">
        <f>+H156+H165+H174</f>
        <v/>
      </c>
      <c r="I176" s="1695">
        <f>+I156+I165+I174</f>
        <v/>
      </c>
      <c r="J176" s="1695">
        <f>+J156+J165+J174</f>
        <v/>
      </c>
      <c r="K176" s="1695">
        <f>+K156+K165+K174</f>
        <v/>
      </c>
      <c r="L176" s="1695">
        <f>+L156+L165+L174</f>
        <v/>
      </c>
      <c r="M176" s="1695">
        <f>+M156+M165+M174</f>
        <v/>
      </c>
      <c r="N176" s="1695">
        <f>+N156+N165+N174</f>
        <v/>
      </c>
      <c r="O176" s="1695">
        <f>+O156+O165+O174</f>
        <v/>
      </c>
      <c r="P176" s="1695">
        <f>+P156+P165+P174</f>
        <v/>
      </c>
      <c r="Q176" s="1695">
        <f>+Q156+Q165+Q174</f>
        <v/>
      </c>
    </row>
    <row r="177" ht="12.75" customFormat="1" customHeight="1" s="1654">
      <c r="B177" s="1694" t="n"/>
      <c r="C177" s="1674" t="n"/>
      <c r="D177" s="1673" t="n"/>
      <c r="E177" s="1673" t="n"/>
      <c r="F177" s="1687" t="n"/>
      <c r="G177" s="1687" t="n"/>
      <c r="H177" s="1687" t="n"/>
      <c r="I177" s="1687" t="n"/>
      <c r="J177" s="1687" t="n"/>
      <c r="K177" s="1687" t="n"/>
      <c r="L177" s="1687" t="n"/>
      <c r="M177" s="1687" t="n"/>
      <c r="N177" s="1687" t="n"/>
      <c r="O177" s="1687" t="n"/>
      <c r="P177" s="1687" t="n"/>
      <c r="Q177" s="1687" t="n"/>
    </row>
    <row r="178" ht="12.75" customFormat="1" customHeight="1" s="1654">
      <c r="B178" s="1694" t="inlineStr">
        <is>
          <t>Inventory Balance</t>
        </is>
      </c>
      <c r="C178" s="1696" t="n"/>
      <c r="D178" s="1685" t="n"/>
      <c r="E178" s="1685" t="n"/>
      <c r="F178" s="1697">
        <f>+F173+E172+F164+E163+F155+E154</f>
        <v/>
      </c>
      <c r="G178" s="1697">
        <f>+G173+F172+G164+F163+G155+F154</f>
        <v/>
      </c>
      <c r="H178" s="1697">
        <f>+H173+G172+H164+G163+H155+G154</f>
        <v/>
      </c>
      <c r="I178" s="1697">
        <f>+I173+H172+I164+H163+I155+H154</f>
        <v/>
      </c>
      <c r="J178" s="1697">
        <f>+J173+C172+J164+C163+J155+C154</f>
        <v/>
      </c>
      <c r="K178" s="1697">
        <f>+K173+J172+K164+J163+K155+J154</f>
        <v/>
      </c>
      <c r="L178" s="1697">
        <f>+L173+E172+L164+E163+L155+E154</f>
        <v/>
      </c>
      <c r="M178" s="1697">
        <f>+M173+L172+M164+L163+M155+L154</f>
        <v/>
      </c>
      <c r="N178" s="1697">
        <f>+N173+M172+N164+M163+N155+M154</f>
        <v/>
      </c>
      <c r="O178" s="1697">
        <f>+O173+N172+O164+N163+O155+N154</f>
        <v/>
      </c>
      <c r="P178" s="1697">
        <f>+P173+O172+P164+O163+P155+O154</f>
        <v/>
      </c>
      <c r="Q178" s="1697">
        <f>+Q173+P172+Q164+P163+Q155+P154</f>
        <v/>
      </c>
    </row>
    <row r="179" ht="12.75" customFormat="1" customHeight="1" s="1654">
      <c r="B179" s="1692" t="inlineStr">
        <is>
          <t>Less: Warranty Inventory Balance - BS</t>
        </is>
      </c>
      <c r="C179" s="1696" t="n"/>
      <c r="D179" s="1685" t="n"/>
      <c r="E179" s="1685" t="n"/>
      <c r="F179" s="1697" t="n">
        <v>0</v>
      </c>
      <c r="G179" s="1697" t="n">
        <v>0</v>
      </c>
      <c r="H179" s="1697" t="n">
        <v>0</v>
      </c>
      <c r="I179" s="1697" t="n">
        <v>0</v>
      </c>
      <c r="J179" s="1697" t="n">
        <v>0</v>
      </c>
      <c r="K179" s="1697" t="n">
        <v>0</v>
      </c>
      <c r="L179" s="1697" t="n">
        <v>0</v>
      </c>
      <c r="M179" s="1697" t="n">
        <v>0</v>
      </c>
      <c r="N179" s="1697" t="n">
        <v>0</v>
      </c>
      <c r="O179" s="1697" t="n">
        <v>0</v>
      </c>
      <c r="P179" s="1697" t="n">
        <v>0</v>
      </c>
      <c r="Q179" s="1697">
        <f>+('6B. Pre-Launch Exps. - Detail'!P151*'6B. Pre-Launch Exps. - Detail'!$C$140)+('6B. Pre-Launch Exps. - Detail'!P160*'6B. Pre-Launch Exps. - Detail'!$C$141)+('6B. Pre-Launch Exps. - Detail'!P169*'6B. Pre-Launch Exps. - Detail'!$C$142)</f>
        <v/>
      </c>
    </row>
    <row r="180" ht="12.75" customFormat="1" customHeight="1" s="1654">
      <c r="B180" s="1694" t="inlineStr">
        <is>
          <t>Inventory Balance - BS</t>
        </is>
      </c>
      <c r="C180" s="1674" t="n"/>
      <c r="D180" s="1673" t="n"/>
      <c r="E180" s="1673" t="n"/>
      <c r="F180" s="1688">
        <f>+F178-F179</f>
        <v/>
      </c>
      <c r="G180" s="1688">
        <f>+G178-G179</f>
        <v/>
      </c>
      <c r="H180" s="1688">
        <f>+H178-H179</f>
        <v/>
      </c>
      <c r="I180" s="1688">
        <f>+I178-I179</f>
        <v/>
      </c>
      <c r="J180" s="1688">
        <f>+J178-J179</f>
        <v/>
      </c>
      <c r="K180" s="1688">
        <f>+K178-K179</f>
        <v/>
      </c>
      <c r="L180" s="1688">
        <f>+L178-L179</f>
        <v/>
      </c>
      <c r="M180" s="1688">
        <f>+M178-M179</f>
        <v/>
      </c>
      <c r="N180" s="1688">
        <f>+N178-N179</f>
        <v/>
      </c>
      <c r="O180" s="1688">
        <f>+O178-O179</f>
        <v/>
      </c>
      <c r="P180" s="1688">
        <f>+P178-P179</f>
        <v/>
      </c>
      <c r="Q180" s="1688">
        <f>+Q178-Q179</f>
        <v/>
      </c>
    </row>
    <row r="181" ht="12.75" customFormat="1" customHeight="1" s="1654">
      <c r="B181" s="1694" t="n"/>
      <c r="C181" s="1674" t="n"/>
      <c r="D181" s="1673" t="n"/>
      <c r="E181" s="1673" t="n"/>
      <c r="F181" s="1687" t="n"/>
      <c r="G181" s="1687" t="n"/>
      <c r="H181" s="1687" t="n"/>
      <c r="I181" s="1687" t="n"/>
      <c r="J181" s="1687" t="n"/>
      <c r="K181" s="1687" t="n"/>
      <c r="L181" s="1687" t="n"/>
      <c r="M181" s="1687" t="n"/>
      <c r="N181" s="1687" t="n"/>
      <c r="O181" s="1687" t="n"/>
      <c r="P181" s="1687" t="n"/>
      <c r="Q181" s="1687" t="n"/>
    </row>
    <row r="182" ht="12.75" customFormat="1" customHeight="1" s="1654">
      <c r="B182" s="1694" t="inlineStr">
        <is>
          <t>CMO Deposits Balance</t>
        </is>
      </c>
      <c r="C182" s="1696" t="n"/>
      <c r="D182" s="1685" t="n"/>
      <c r="E182" s="1685" t="n"/>
      <c r="F182" s="1697">
        <f>+F172+F163+F154</f>
        <v/>
      </c>
      <c r="G182" s="1697">
        <f>+G172+G163+G154</f>
        <v/>
      </c>
      <c r="H182" s="1697">
        <f>+H172+H163+H154</f>
        <v/>
      </c>
      <c r="I182" s="1697">
        <f>+I172+I163+I154</f>
        <v/>
      </c>
      <c r="J182" s="1697">
        <f>+J172+J163+J154</f>
        <v/>
      </c>
      <c r="K182" s="1697">
        <f>+K172+K163+K154</f>
        <v/>
      </c>
      <c r="L182" s="1697">
        <f>+L172+L163+L154</f>
        <v/>
      </c>
      <c r="M182" s="1697">
        <f>+M172+M163+M154</f>
        <v/>
      </c>
      <c r="N182" s="1697">
        <f>+N172+N163+N154</f>
        <v/>
      </c>
      <c r="O182" s="1697">
        <f>+O172+O163+O154</f>
        <v/>
      </c>
      <c r="P182" s="1697">
        <f>+P172+P163+P154</f>
        <v/>
      </c>
      <c r="Q182" s="1697">
        <f>+Q172+Q163+Q154</f>
        <v/>
      </c>
    </row>
    <row r="183" ht="12.75" customFormat="1" customHeight="1" s="1654">
      <c r="B183" s="1698" t="n"/>
      <c r="C183" s="1699" t="n"/>
      <c r="D183" s="1700" t="n"/>
      <c r="E183" s="1700" t="n"/>
      <c r="F183" s="1699" t="n"/>
      <c r="G183" s="1699" t="n"/>
      <c r="H183" s="1699" t="n"/>
      <c r="I183" s="1699" t="n"/>
      <c r="J183" s="1699" t="n"/>
      <c r="K183" s="1699" t="n"/>
      <c r="L183" s="1699" t="n"/>
      <c r="M183" s="1699" t="n"/>
      <c r="N183" s="1699" t="n"/>
      <c r="O183" s="1699" t="n"/>
      <c r="P183" s="1699" t="n"/>
      <c r="Q183" s="1699" t="n"/>
    </row>
    <row r="184" ht="12.75" customFormat="1" customHeight="1" s="1654">
      <c r="B184" s="1694" t="inlineStr">
        <is>
          <t>Customer Deposits</t>
        </is>
      </c>
      <c r="C184" s="1674" t="n"/>
      <c r="D184" s="1673" t="n"/>
      <c r="E184" s="1673" t="n"/>
      <c r="F184" s="1674" t="n"/>
      <c r="G184" s="1674" t="n"/>
      <c r="H184" s="1674" t="n"/>
      <c r="I184" s="1674" t="n"/>
      <c r="J184" s="1674" t="n"/>
      <c r="K184" s="1674" t="n"/>
      <c r="L184" s="1674" t="n"/>
      <c r="M184" s="1674" t="n"/>
      <c r="N184" s="1674" t="n"/>
      <c r="O184" s="1674" t="n"/>
      <c r="P184" s="1674" t="n"/>
      <c r="Q184" s="1674" t="n"/>
    </row>
    <row r="185" ht="12.75" customFormat="1" customHeight="1" s="1654">
      <c r="B185" s="1691" t="inlineStr">
        <is>
          <t>Deposit</t>
        </is>
      </c>
      <c r="C185" s="1679" t="n">
        <v>0.3</v>
      </c>
      <c r="D185" s="1678" t="inlineStr">
        <is>
          <t>on order</t>
        </is>
      </c>
      <c r="E185" s="1673" t="n"/>
      <c r="F185" s="1674" t="n"/>
      <c r="G185" s="1674" t="n"/>
      <c r="H185" s="1674" t="n"/>
      <c r="I185" s="1674" t="n"/>
      <c r="J185" s="1674" t="n"/>
      <c r="K185" s="1674" t="n"/>
      <c r="L185" s="1674" t="n"/>
      <c r="M185" s="1674" t="n"/>
      <c r="N185" s="1674" t="n"/>
      <c r="O185" s="1674" t="n"/>
      <c r="P185" s="1674" t="n"/>
      <c r="Q185" s="1674" t="n"/>
    </row>
    <row r="186" ht="12.75" customFormat="1" customHeight="1" s="1654">
      <c r="B186" s="1691" t="inlineStr">
        <is>
          <t>Final Payment</t>
        </is>
      </c>
      <c r="C186" s="1680">
        <f>1-C185</f>
        <v/>
      </c>
      <c r="D186" s="1678" t="inlineStr">
        <is>
          <t>on Delivery</t>
        </is>
      </c>
      <c r="E186" s="1673" t="n"/>
      <c r="F186" s="1674" t="n"/>
      <c r="G186" s="1674" t="n"/>
      <c r="H186" s="1674" t="n"/>
      <c r="I186" s="1674" t="n"/>
      <c r="J186" s="1674" t="n"/>
      <c r="K186" s="1674" t="n"/>
      <c r="L186" s="1674" t="n"/>
      <c r="M186" s="1674" t="n"/>
      <c r="N186" s="1674" t="n"/>
      <c r="O186" s="1674" t="n"/>
      <c r="P186" s="1674" t="n"/>
      <c r="Q186" s="1674" t="n"/>
    </row>
    <row r="187" ht="12.75" customFormat="1" customHeight="1" s="1654">
      <c r="B187" s="1691" t="inlineStr">
        <is>
          <t>Time from Order to Delivery</t>
        </is>
      </c>
      <c r="C187" s="1681" t="n">
        <v>30</v>
      </c>
      <c r="D187" s="1678" t="inlineStr">
        <is>
          <t>Days</t>
        </is>
      </c>
      <c r="E187" s="1673" t="n"/>
      <c r="F187" s="1674" t="n"/>
      <c r="G187" s="1674" t="n"/>
      <c r="H187" s="1674" t="n"/>
      <c r="I187" s="1674" t="n"/>
      <c r="J187" s="1674" t="n"/>
      <c r="K187" s="1674" t="n"/>
      <c r="L187" s="1674" t="n"/>
      <c r="M187" s="1674" t="n"/>
      <c r="N187" s="1674" t="n"/>
      <c r="O187" s="1674" t="n"/>
      <c r="P187" s="1674" t="n"/>
      <c r="Q187" s="1674" t="n"/>
    </row>
    <row r="188" ht="12.75" customFormat="1" customHeight="1" s="1654">
      <c r="B188" s="1691" t="inlineStr">
        <is>
          <t>Price -  Phone</t>
        </is>
      </c>
      <c r="C188" s="1677">
        <f>+'3F. Revenue &amp; COGS Assumptions'!G35</f>
        <v/>
      </c>
      <c r="D188" s="1678" t="inlineStr">
        <is>
          <t>/unit (incl shipping)</t>
        </is>
      </c>
      <c r="E188" s="1673" t="n"/>
      <c r="F188" s="1674" t="n"/>
      <c r="G188" s="1674" t="n"/>
      <c r="H188" s="1674" t="n"/>
      <c r="I188" s="1674" t="n"/>
      <c r="J188" s="1674" t="n"/>
      <c r="K188" s="1674" t="n"/>
      <c r="L188" s="1674" t="n"/>
      <c r="M188" s="1674" t="n"/>
      <c r="N188" s="1674" t="n"/>
      <c r="O188" s="1674" t="n"/>
      <c r="P188" s="1674" t="n"/>
      <c r="Q188" s="1674" t="n"/>
    </row>
    <row r="189" ht="12.75" customFormat="1" customHeight="1" s="1654">
      <c r="B189" s="1691" t="inlineStr">
        <is>
          <t>Price - Companion App</t>
        </is>
      </c>
      <c r="C189" s="1677">
        <f>+'3F. Revenue &amp; COGS Assumptions'!F44</f>
        <v/>
      </c>
      <c r="D189" s="1678" t="inlineStr">
        <is>
          <t>/unit (incl shipping)</t>
        </is>
      </c>
      <c r="E189" s="1673" t="n"/>
      <c r="F189" s="1674" t="n"/>
      <c r="G189" s="1674" t="n"/>
      <c r="H189" s="1674" t="n"/>
      <c r="I189" s="1674" t="n"/>
      <c r="J189" s="1674" t="n"/>
      <c r="K189" s="1674" t="n"/>
      <c r="L189" s="1674" t="n"/>
      <c r="M189" s="1674" t="n"/>
      <c r="N189" s="1674" t="n"/>
      <c r="O189" s="1674" t="n"/>
      <c r="P189" s="1674" t="n"/>
      <c r="Q189" s="1674" t="n"/>
    </row>
    <row r="190" ht="12.75" customFormat="1" customHeight="1" s="1654">
      <c r="B190" s="1691" t="inlineStr">
        <is>
          <t>Price - Computer App</t>
        </is>
      </c>
      <c r="C190" s="1677">
        <f>+'3F. Revenue &amp; COGS Assumptions'!F55</f>
        <v/>
      </c>
      <c r="D190" s="1678" t="inlineStr">
        <is>
          <t>/unit (incl shipping)</t>
        </is>
      </c>
      <c r="E190" s="1673" t="n"/>
      <c r="F190" s="1674" t="n"/>
      <c r="G190" s="1674" t="n"/>
      <c r="H190" s="1674" t="n"/>
      <c r="I190" s="1674" t="n"/>
      <c r="J190" s="1674" t="n"/>
      <c r="K190" s="1674" t="n"/>
      <c r="L190" s="1674" t="n"/>
      <c r="M190" s="1674" t="n"/>
      <c r="N190" s="1674" t="n"/>
      <c r="O190" s="1674" t="n"/>
      <c r="P190" s="1674" t="n"/>
      <c r="Q190" s="1674" t="n"/>
    </row>
    <row r="191" ht="12.75" customFormat="1" customHeight="1" s="1654">
      <c r="B191" s="1691" t="n"/>
      <c r="C191" s="1674" t="n"/>
      <c r="D191" s="1673" t="n"/>
      <c r="E191" s="1673" t="n"/>
      <c r="F191" s="1674" t="n"/>
      <c r="G191" s="1674" t="n"/>
      <c r="H191" s="1674" t="n"/>
      <c r="I191" s="1674" t="n"/>
      <c r="J191" s="1674" t="n"/>
      <c r="K191" s="1674" t="n"/>
      <c r="L191" s="1674" t="n"/>
      <c r="M191" s="1674" t="n"/>
      <c r="N191" s="1674" t="n"/>
      <c r="O191" s="1674" t="n"/>
      <c r="P191" s="1674" t="n"/>
      <c r="Q191" s="1674" t="n"/>
    </row>
    <row r="192" ht="12.75" customFormat="1" customHeight="1" s="1654">
      <c r="B192" s="1691" t="n"/>
      <c r="C192" s="1674" t="n"/>
      <c r="D192" s="1673" t="n"/>
      <c r="E192" s="1673" t="n"/>
      <c r="F192" s="1674" t="n"/>
      <c r="G192" s="1674" t="n"/>
      <c r="H192" s="1674" t="n"/>
      <c r="I192" s="1674" t="n"/>
      <c r="J192" s="1674" t="n"/>
      <c r="K192" s="1674" t="n"/>
      <c r="L192" s="1674" t="n"/>
      <c r="M192" s="1674" t="n"/>
      <c r="N192" s="1674" t="n"/>
      <c r="O192" s="1674" t="n"/>
      <c r="P192" s="1674" t="n"/>
      <c r="Q192" s="1674" t="n"/>
    </row>
    <row r="193" ht="12.75" customFormat="1" customHeight="1" s="1654">
      <c r="B193" s="1671" t="inlineStr">
        <is>
          <t xml:space="preserve"> PHone</t>
        </is>
      </c>
      <c r="C193" s="1672" t="n"/>
      <c r="D193" s="1673" t="n"/>
      <c r="E193" s="1673" t="n"/>
      <c r="F193" s="1674" t="n"/>
      <c r="G193" s="1674" t="n"/>
      <c r="H193" s="1674" t="n"/>
      <c r="I193" s="1674" t="n"/>
      <c r="J193" s="1674" t="n"/>
      <c r="K193" s="1674" t="n"/>
      <c r="L193" s="1674" t="n"/>
      <c r="M193" s="1674" t="n"/>
      <c r="N193" s="1674" t="n"/>
      <c r="O193" s="1674" t="n"/>
      <c r="P193" s="1674" t="n"/>
      <c r="Q193" s="1674" t="n"/>
    </row>
    <row r="194" ht="12.75" customFormat="1" customHeight="1" s="1654">
      <c r="B194" s="1675" t="inlineStr">
        <is>
          <t>Units Ordered</t>
        </is>
      </c>
      <c r="C194" s="1672" t="n"/>
      <c r="D194" s="1673" t="n"/>
      <c r="E194" s="1673" t="n"/>
      <c r="F194" s="1683" t="n">
        <v>0</v>
      </c>
      <c r="G194" s="1683" t="n">
        <v>0</v>
      </c>
      <c r="H194" s="1683" t="n">
        <v>0</v>
      </c>
      <c r="I194" s="1683" t="n">
        <v>0</v>
      </c>
      <c r="J194" s="1683" t="n">
        <v>0</v>
      </c>
      <c r="K194" s="1683">
        <f>+'3F. Revenue &amp; COGS Assumptions'!A29</f>
        <v/>
      </c>
      <c r="L194" s="1683" t="n">
        <v>0</v>
      </c>
      <c r="M194" s="1683" t="n">
        <v>0</v>
      </c>
      <c r="N194" s="1683" t="n">
        <v>0</v>
      </c>
      <c r="O194" s="1683" t="n">
        <v>0</v>
      </c>
      <c r="P194" s="1683" t="n">
        <v>0</v>
      </c>
      <c r="Q194" s="1683">
        <f>+'3F. Revenue &amp; COGS Assumptions'!G29</f>
        <v/>
      </c>
    </row>
    <row r="195" ht="12.75" customFormat="1" customHeight="1" s="1654">
      <c r="B195" s="1675" t="n"/>
      <c r="C195" s="1672" t="n"/>
      <c r="D195" s="1673" t="n"/>
      <c r="E195" s="1673" t="n"/>
      <c r="F195" s="1674" t="n"/>
      <c r="G195" s="1674" t="n"/>
      <c r="H195" s="1674" t="n"/>
      <c r="I195" s="1674" t="n"/>
      <c r="J195" s="1674" t="n"/>
      <c r="K195" s="1674" t="n"/>
      <c r="L195" s="1674" t="n"/>
      <c r="M195" s="1674" t="n"/>
      <c r="N195" s="1674" t="n"/>
      <c r="O195" s="1674" t="n"/>
      <c r="P195" s="1674" t="n"/>
      <c r="Q195" s="1674" t="n"/>
    </row>
    <row r="196" ht="12.75" customFormat="1" customHeight="1" s="1654">
      <c r="B196" s="1675" t="inlineStr">
        <is>
          <t>Deposit</t>
        </is>
      </c>
      <c r="C196" s="1680">
        <f>+$C$185</f>
        <v/>
      </c>
      <c r="D196" s="1673" t="n"/>
      <c r="E196" s="1673" t="n"/>
      <c r="F196" s="1687">
        <f>+F194*$C$188*$C$196</f>
        <v/>
      </c>
      <c r="G196" s="1687">
        <f>+G194*$C$188*$C$196</f>
        <v/>
      </c>
      <c r="H196" s="1687">
        <f>+H194*$C$188*$C$196</f>
        <v/>
      </c>
      <c r="I196" s="1687">
        <f>+I194*$C$188*$C$196</f>
        <v/>
      </c>
      <c r="J196" s="1687">
        <f>+J194*$C$188*$C$196</f>
        <v/>
      </c>
      <c r="K196" s="1687">
        <f>+K194*$C$188*$C$196</f>
        <v/>
      </c>
      <c r="L196" s="1687">
        <f>+L194*$C$188*$C$196</f>
        <v/>
      </c>
      <c r="M196" s="1687">
        <f>+M194*$C$188*$C$196</f>
        <v/>
      </c>
      <c r="N196" s="1687">
        <f>+N194*$C$188*$C$196</f>
        <v/>
      </c>
      <c r="O196" s="1687">
        <f>+O194*$C$188*$C$196</f>
        <v/>
      </c>
      <c r="P196" s="1687">
        <f>+P194*$C$188*$C$196</f>
        <v/>
      </c>
      <c r="Q196" s="1687">
        <f>+Q194*$C$188*$C$196</f>
        <v/>
      </c>
    </row>
    <row r="197" ht="12.75" customFormat="1" customHeight="1" s="1654">
      <c r="B197" s="1675" t="inlineStr">
        <is>
          <t>Final Payment</t>
        </is>
      </c>
      <c r="C197" s="1680">
        <f>+$C$186</f>
        <v/>
      </c>
      <c r="D197" s="1673" t="n"/>
      <c r="E197" s="1673" t="n"/>
      <c r="F197" s="1687">
        <f>+E194*$C$188*$C$197</f>
        <v/>
      </c>
      <c r="G197" s="1687">
        <f>+F194*$C$188*$C$197</f>
        <v/>
      </c>
      <c r="H197" s="1687">
        <f>+G194*$C$188*$C$197</f>
        <v/>
      </c>
      <c r="I197" s="1687">
        <f>+H194*$C$188*$C$197</f>
        <v/>
      </c>
      <c r="J197" s="1687">
        <f>+I194*$C$188*$C$197</f>
        <v/>
      </c>
      <c r="K197" s="1687">
        <f>+J194*$C$188*$C$197</f>
        <v/>
      </c>
      <c r="L197" s="1687">
        <f>+E194*$C$188*$C$197</f>
        <v/>
      </c>
      <c r="M197" s="1687">
        <f>+L194*$C$188*$C$197</f>
        <v/>
      </c>
      <c r="N197" s="1687">
        <f>+M194*$C$188*$C$197</f>
        <v/>
      </c>
      <c r="O197" s="1687">
        <f>+N194*$C$188*$C$197</f>
        <v/>
      </c>
      <c r="P197" s="1687">
        <f>+O194*$C$188*$C$197</f>
        <v/>
      </c>
      <c r="Q197" s="1687">
        <f>+P194*$C$188*$C$197</f>
        <v/>
      </c>
    </row>
    <row r="198" ht="12.75" customFormat="1" customHeight="1" s="1654">
      <c r="B198" s="1671" t="inlineStr">
        <is>
          <t xml:space="preserve">Total Cash Generated </t>
        </is>
      </c>
      <c r="C198" s="1684" t="n"/>
      <c r="D198" s="1685" t="n"/>
      <c r="E198" s="1685" t="n"/>
      <c r="F198" s="1688">
        <f>SUM(F196:F197)</f>
        <v/>
      </c>
      <c r="G198" s="1688">
        <f>SUM(G196:G197)</f>
        <v/>
      </c>
      <c r="H198" s="1688">
        <f>SUM(H196:H197)</f>
        <v/>
      </c>
      <c r="I198" s="1688">
        <f>SUM(I196:I197)</f>
        <v/>
      </c>
      <c r="J198" s="1688">
        <f>SUM(J196:J197)</f>
        <v/>
      </c>
      <c r="K198" s="1688">
        <f>SUM(K196:K197)</f>
        <v/>
      </c>
      <c r="L198" s="1688">
        <f>SUM(L196:L197)</f>
        <v/>
      </c>
      <c r="M198" s="1688">
        <f>SUM(M196:M197)</f>
        <v/>
      </c>
      <c r="N198" s="1688">
        <f>SUM(N196:N197)</f>
        <v/>
      </c>
      <c r="O198" s="1688">
        <f>SUM(O196:O197)</f>
        <v/>
      </c>
      <c r="P198" s="1688">
        <f>SUM(P196:P197)</f>
        <v/>
      </c>
      <c r="Q198" s="1688">
        <f>SUM(Q196:Q197)</f>
        <v/>
      </c>
    </row>
    <row r="199" ht="12.75" customFormat="1" customHeight="1" s="1654">
      <c r="B199" s="1675" t="n"/>
      <c r="C199" s="1672" t="n"/>
      <c r="D199" s="1673" t="n"/>
      <c r="E199" s="1673" t="n"/>
      <c r="F199" s="1687" t="n"/>
      <c r="G199" s="1687" t="n"/>
      <c r="H199" s="1687" t="n"/>
      <c r="I199" s="1687" t="n"/>
      <c r="J199" s="1687" t="n"/>
      <c r="K199" s="1687" t="n"/>
      <c r="L199" s="1687" t="n"/>
      <c r="M199" s="1687" t="n"/>
      <c r="N199" s="1687" t="n"/>
      <c r="O199" s="1687" t="n"/>
      <c r="P199" s="1687" t="n"/>
      <c r="Q199" s="1687" t="n"/>
    </row>
    <row r="200" ht="12.75" customFormat="1" customHeight="1" s="1654">
      <c r="B200" s="1671" t="inlineStr">
        <is>
          <t>Companion App</t>
        </is>
      </c>
      <c r="C200" s="1672" t="n"/>
      <c r="D200" s="1673" t="n"/>
      <c r="E200" s="1673" t="n"/>
      <c r="F200" s="1687" t="n"/>
      <c r="G200" s="1687" t="n"/>
      <c r="H200" s="1687" t="n"/>
      <c r="I200" s="1687" t="n"/>
      <c r="J200" s="1687" t="n"/>
      <c r="K200" s="1687" t="n"/>
      <c r="L200" s="1687" t="n"/>
      <c r="M200" s="1687" t="n"/>
      <c r="N200" s="1687" t="n"/>
      <c r="O200" s="1687" t="n"/>
      <c r="P200" s="1687" t="n"/>
      <c r="Q200" s="1687" t="n"/>
    </row>
    <row r="201" ht="12.75" customFormat="1" customHeight="1" s="1654">
      <c r="B201" s="1675" t="inlineStr">
        <is>
          <t>Units Ordered for Sale</t>
        </is>
      </c>
      <c r="C201" s="1672" t="n"/>
      <c r="D201" s="1673" t="n"/>
      <c r="E201" s="1673" t="n"/>
      <c r="F201" s="1687" t="n">
        <v>0</v>
      </c>
      <c r="G201" s="1687" t="n">
        <v>0</v>
      </c>
      <c r="H201" s="1687" t="n">
        <v>0</v>
      </c>
      <c r="I201" s="1687" t="n">
        <v>0</v>
      </c>
      <c r="J201" s="1687" t="n">
        <v>0</v>
      </c>
      <c r="K201" s="1687" t="n">
        <v>0</v>
      </c>
      <c r="L201" s="1687" t="n">
        <v>0</v>
      </c>
      <c r="M201" s="1687" t="n">
        <v>0</v>
      </c>
      <c r="N201" s="1687" t="n">
        <v>0</v>
      </c>
      <c r="O201" s="1687" t="n">
        <v>0</v>
      </c>
      <c r="P201" s="1687" t="n">
        <v>0</v>
      </c>
      <c r="Q201" s="1687">
        <f>+'3F. Revenue &amp; COGS Assumptions'!G40</f>
        <v/>
      </c>
    </row>
    <row r="202" ht="12.75" customFormat="1" customHeight="1" s="1654">
      <c r="B202" s="1675" t="n"/>
      <c r="C202" s="1672" t="n"/>
      <c r="D202" s="1673" t="n"/>
      <c r="E202" s="1673" t="n"/>
      <c r="F202" s="1687" t="n"/>
      <c r="G202" s="1687" t="n"/>
      <c r="H202" s="1687" t="n"/>
      <c r="I202" s="1687" t="n"/>
      <c r="J202" s="1687" t="n"/>
      <c r="K202" s="1687" t="n"/>
      <c r="L202" s="1687" t="n"/>
      <c r="M202" s="1687" t="n"/>
      <c r="N202" s="1687" t="n"/>
      <c r="O202" s="1687" t="n"/>
      <c r="P202" s="1687" t="n"/>
      <c r="Q202" s="1687" t="n"/>
    </row>
    <row r="203" ht="12.75" customFormat="1" customHeight="1" s="1654">
      <c r="B203" s="1675" t="inlineStr">
        <is>
          <t>Deposit</t>
        </is>
      </c>
      <c r="C203" s="1680">
        <f>+C196</f>
        <v/>
      </c>
      <c r="D203" s="1673" t="n"/>
      <c r="E203" s="1673" t="n"/>
      <c r="F203" s="1687">
        <f>+F201*$C$189*$C$196</f>
        <v/>
      </c>
      <c r="G203" s="1687">
        <f>+G201*$C$189*$C$196</f>
        <v/>
      </c>
      <c r="H203" s="1687">
        <f>+H201*$C$189*$C$196</f>
        <v/>
      </c>
      <c r="I203" s="1687">
        <f>+I201*$C$189*$C$196</f>
        <v/>
      </c>
      <c r="J203" s="1687">
        <f>+J201*$C$189*$C$196</f>
        <v/>
      </c>
      <c r="K203" s="1687">
        <f>+K201*$C$189*$C$196</f>
        <v/>
      </c>
      <c r="L203" s="1687">
        <f>+L201*$C$189*$C$196</f>
        <v/>
      </c>
      <c r="M203" s="1687">
        <f>+M201*$C$189*$C$196</f>
        <v/>
      </c>
      <c r="N203" s="1687">
        <f>+N201*$C$189*$C$196</f>
        <v/>
      </c>
      <c r="O203" s="1687">
        <f>+O201*$C$189*$C$196</f>
        <v/>
      </c>
      <c r="P203" s="1687">
        <f>+P201*$C$189*$C$196</f>
        <v/>
      </c>
      <c r="Q203" s="1687">
        <f>+Q201*$C$189*$C$196</f>
        <v/>
      </c>
    </row>
    <row r="204" ht="12.75" customFormat="1" customHeight="1" s="1654">
      <c r="B204" s="1675" t="inlineStr">
        <is>
          <t>Final Payment</t>
        </is>
      </c>
      <c r="C204" s="1680">
        <f>+C197</f>
        <v/>
      </c>
      <c r="D204" s="1673" t="n"/>
      <c r="E204" s="1673" t="n"/>
      <c r="F204" s="1687">
        <f>+E201*$C$189*$C$197</f>
        <v/>
      </c>
      <c r="G204" s="1687">
        <f>+F201*$C$189*$C$197</f>
        <v/>
      </c>
      <c r="H204" s="1687">
        <f>+G201*$C$189*$C$197</f>
        <v/>
      </c>
      <c r="I204" s="1687">
        <f>+H201*$C$189*$C$197</f>
        <v/>
      </c>
      <c r="J204" s="1687">
        <f>+I201*$C$189*$C$197</f>
        <v/>
      </c>
      <c r="K204" s="1687">
        <f>+J201*$C$189*$C$197</f>
        <v/>
      </c>
      <c r="L204" s="1687">
        <f>+E201*$C$189*$C$197</f>
        <v/>
      </c>
      <c r="M204" s="1687">
        <f>+L201*$C$189*$C$197</f>
        <v/>
      </c>
      <c r="N204" s="1687">
        <f>+M201*$C$189*$C$197</f>
        <v/>
      </c>
      <c r="O204" s="1687">
        <f>+N201*$C$189*$C$197</f>
        <v/>
      </c>
      <c r="P204" s="1687">
        <f>+O201*$C$189*$C$197</f>
        <v/>
      </c>
      <c r="Q204" s="1687">
        <f>+P201*$C$189*$C$197</f>
        <v/>
      </c>
    </row>
    <row r="205" ht="12.75" customFormat="1" customHeight="1" s="1654">
      <c r="B205" s="1671" t="inlineStr">
        <is>
          <t>Total Cash Generated</t>
        </is>
      </c>
      <c r="C205" s="1684" t="n"/>
      <c r="D205" s="1685" t="n"/>
      <c r="E205" s="1685" t="n"/>
      <c r="F205" s="1688">
        <f>SUM(F203:F204)</f>
        <v/>
      </c>
      <c r="G205" s="1688">
        <f>SUM(G203:G204)</f>
        <v/>
      </c>
      <c r="H205" s="1688">
        <f>SUM(H203:H204)</f>
        <v/>
      </c>
      <c r="I205" s="1688">
        <f>SUM(I203:I204)</f>
        <v/>
      </c>
      <c r="J205" s="1688">
        <f>SUM(J203:J204)</f>
        <v/>
      </c>
      <c r="K205" s="1688">
        <f>SUM(K203:K204)</f>
        <v/>
      </c>
      <c r="L205" s="1688">
        <f>SUM(L203:L204)</f>
        <v/>
      </c>
      <c r="M205" s="1688">
        <f>SUM(M203:M204)</f>
        <v/>
      </c>
      <c r="N205" s="1688">
        <f>SUM(N203:N204)</f>
        <v/>
      </c>
      <c r="O205" s="1688">
        <f>SUM(O203:O204)</f>
        <v/>
      </c>
      <c r="P205" s="1688">
        <f>SUM(P203:P204)</f>
        <v/>
      </c>
      <c r="Q205" s="1688">
        <f>SUM(Q203:Q204)</f>
        <v/>
      </c>
    </row>
    <row r="206" ht="12.75" customFormat="1" customHeight="1" s="1654">
      <c r="B206" s="1691" t="n"/>
      <c r="C206" s="1674" t="n"/>
      <c r="D206" s="1673" t="n"/>
      <c r="E206" s="1673" t="n"/>
      <c r="F206" s="1687" t="n"/>
      <c r="G206" s="1687" t="n"/>
      <c r="H206" s="1687" t="n"/>
      <c r="I206" s="1687" t="n"/>
      <c r="J206" s="1687" t="n"/>
      <c r="K206" s="1687" t="n"/>
      <c r="L206" s="1687" t="n"/>
      <c r="M206" s="1687" t="n"/>
      <c r="N206" s="1687" t="n"/>
      <c r="O206" s="1687" t="n"/>
      <c r="P206" s="1687" t="n"/>
      <c r="Q206" s="1687" t="n"/>
    </row>
    <row r="207" ht="12.75" customFormat="1" customHeight="1" s="1654">
      <c r="B207" s="1692" t="inlineStr">
        <is>
          <t>Computer App</t>
        </is>
      </c>
      <c r="C207" s="1674" t="n"/>
      <c r="D207" s="1673" t="n"/>
      <c r="E207" s="1673" t="n"/>
      <c r="F207" s="1687" t="n"/>
      <c r="G207" s="1687" t="n"/>
      <c r="H207" s="1687" t="n"/>
      <c r="I207" s="1687" t="n"/>
      <c r="J207" s="1687" t="n"/>
      <c r="K207" s="1687" t="n"/>
      <c r="L207" s="1687" t="n"/>
      <c r="M207" s="1687" t="n"/>
      <c r="N207" s="1687" t="n"/>
      <c r="O207" s="1687" t="n"/>
      <c r="P207" s="1687" t="n"/>
      <c r="Q207" s="1687" t="n"/>
    </row>
    <row r="208" ht="12.75" customFormat="1" customHeight="1" s="1654">
      <c r="B208" s="1675" t="inlineStr">
        <is>
          <t>Units Ordered for Sale</t>
        </is>
      </c>
      <c r="C208" s="1672" t="n"/>
      <c r="D208" s="1673" t="n"/>
      <c r="E208" s="1673" t="n"/>
      <c r="F208" s="1687" t="n">
        <v>0</v>
      </c>
      <c r="G208" s="1687" t="n">
        <v>0</v>
      </c>
      <c r="H208" s="1687" t="n">
        <v>0</v>
      </c>
      <c r="I208" s="1687" t="n">
        <v>0</v>
      </c>
      <c r="J208" s="1687" t="n">
        <v>0</v>
      </c>
      <c r="K208" s="1687" t="n">
        <v>0</v>
      </c>
      <c r="L208" s="1687" t="n">
        <v>0</v>
      </c>
      <c r="M208" s="1687" t="n">
        <v>0</v>
      </c>
      <c r="N208" s="1687" t="n">
        <v>0</v>
      </c>
      <c r="O208" s="1687" t="n">
        <v>0</v>
      </c>
      <c r="P208" s="1687" t="n">
        <v>0</v>
      </c>
      <c r="Q208" s="1687">
        <f>+'3F. Revenue &amp; COGS Assumptions'!G51</f>
        <v/>
      </c>
    </row>
    <row r="209" ht="12.75" customFormat="1" customHeight="1" s="1654">
      <c r="B209" s="1675" t="n"/>
      <c r="C209" s="1672" t="n"/>
      <c r="D209" s="1673" t="n"/>
      <c r="E209" s="1673" t="n"/>
      <c r="F209" s="1687" t="n"/>
      <c r="G209" s="1687" t="n"/>
      <c r="H209" s="1687" t="n"/>
      <c r="I209" s="1687" t="n"/>
      <c r="J209" s="1687" t="n"/>
      <c r="K209" s="1687" t="n"/>
      <c r="L209" s="1687" t="n"/>
      <c r="M209" s="1687" t="n"/>
      <c r="N209" s="1687" t="n"/>
      <c r="O209" s="1687" t="n"/>
      <c r="P209" s="1687" t="n"/>
      <c r="Q209" s="1687" t="n"/>
    </row>
    <row r="210" ht="12.75" customFormat="1" customHeight="1" s="1654">
      <c r="B210" s="1675" t="inlineStr">
        <is>
          <t>Deposit</t>
        </is>
      </c>
      <c r="C210" s="1680">
        <f>+C203</f>
        <v/>
      </c>
      <c r="D210" s="1673" t="n"/>
      <c r="E210" s="1673" t="n"/>
      <c r="F210" s="1687">
        <f>+F208*$C$190*$C$196</f>
        <v/>
      </c>
      <c r="G210" s="1687">
        <f>+G208*$C$190*$C$196</f>
        <v/>
      </c>
      <c r="H210" s="1687">
        <f>+H208*$C$190*$C$196</f>
        <v/>
      </c>
      <c r="I210" s="1687">
        <f>+I208*$C$190*$C$196</f>
        <v/>
      </c>
      <c r="J210" s="1687">
        <f>+J208*$C$190*$C$196</f>
        <v/>
      </c>
      <c r="K210" s="1687">
        <f>+K208*$C$190*$C$196</f>
        <v/>
      </c>
      <c r="L210" s="1687">
        <f>+L208*$C$190*$C$196</f>
        <v/>
      </c>
      <c r="M210" s="1687">
        <f>+M208*$C$190*$C$196</f>
        <v/>
      </c>
      <c r="N210" s="1687">
        <f>+N208*$C$190*$C$196</f>
        <v/>
      </c>
      <c r="O210" s="1687">
        <f>+O208*$C$190*$C$196</f>
        <v/>
      </c>
      <c r="P210" s="1687">
        <f>+P208*$C$190*$C$196</f>
        <v/>
      </c>
      <c r="Q210" s="1687">
        <f>+Q208*$C$190*$C$196</f>
        <v/>
      </c>
    </row>
    <row r="211" ht="12.75" customFormat="1" customHeight="1" s="1654">
      <c r="B211" s="1675" t="inlineStr">
        <is>
          <t>Final Payment</t>
        </is>
      </c>
      <c r="C211" s="1680">
        <f>+C204</f>
        <v/>
      </c>
      <c r="D211" s="1673" t="n"/>
      <c r="E211" s="1673" t="n"/>
      <c r="F211" s="1687">
        <f>+E208*$C$190*$C$197</f>
        <v/>
      </c>
      <c r="G211" s="1687">
        <f>+F208*$C$190*$C$197</f>
        <v/>
      </c>
      <c r="H211" s="1687">
        <f>+G208*$C$190*$C$197</f>
        <v/>
      </c>
      <c r="I211" s="1687">
        <f>+H208*$C$190*$C$197</f>
        <v/>
      </c>
      <c r="J211" s="1687">
        <f>+I208*$C$190*$C$197</f>
        <v/>
      </c>
      <c r="K211" s="1687">
        <f>+J208*$C$190*$C$197</f>
        <v/>
      </c>
      <c r="L211" s="1687">
        <f>+E208*$C$190*$C$197</f>
        <v/>
      </c>
      <c r="M211" s="1687">
        <f>+L208*$C$190*$C$197</f>
        <v/>
      </c>
      <c r="N211" s="1687">
        <f>+M208*$C$190*$C$197</f>
        <v/>
      </c>
      <c r="O211" s="1687">
        <f>+N208*$C$190*$C$197</f>
        <v/>
      </c>
      <c r="P211" s="1687">
        <f>+O208*$C$190*$C$197</f>
        <v/>
      </c>
      <c r="Q211" s="1687">
        <f>+P208*$C$190*$C$197</f>
        <v/>
      </c>
    </row>
    <row r="212" ht="12.75" customFormat="1" customHeight="1" s="1654">
      <c r="B212" s="1671" t="inlineStr">
        <is>
          <t>Total Cash Generated</t>
        </is>
      </c>
      <c r="C212" s="1684" t="n"/>
      <c r="D212" s="1685" t="n"/>
      <c r="E212" s="1685" t="n"/>
      <c r="F212" s="1688">
        <f>SUM(F210:F211)</f>
        <v/>
      </c>
      <c r="G212" s="1688">
        <f>SUM(G210:G211)</f>
        <v/>
      </c>
      <c r="H212" s="1688">
        <f>SUM(H210:H211)</f>
        <v/>
      </c>
      <c r="I212" s="1688">
        <f>SUM(I210:I211)</f>
        <v/>
      </c>
      <c r="J212" s="1688">
        <f>SUM(J210:J211)</f>
        <v/>
      </c>
      <c r="K212" s="1688">
        <f>SUM(K210:K211)</f>
        <v/>
      </c>
      <c r="L212" s="1688">
        <f>SUM(L210:L211)</f>
        <v/>
      </c>
      <c r="M212" s="1688">
        <f>SUM(M210:M211)</f>
        <v/>
      </c>
      <c r="N212" s="1688">
        <f>SUM(N210:N211)</f>
        <v/>
      </c>
      <c r="O212" s="1688">
        <f>SUM(O210:O211)</f>
        <v/>
      </c>
      <c r="P212" s="1688">
        <f>SUM(P210:P211)</f>
        <v/>
      </c>
      <c r="Q212" s="1688">
        <f>SUM(Q210:Q211)</f>
        <v/>
      </c>
    </row>
    <row r="213" ht="12.75" customFormat="1" customHeight="1" s="1654">
      <c r="B213" s="1691" t="n"/>
      <c r="C213" s="1674" t="n"/>
      <c r="D213" s="1673" t="n"/>
      <c r="E213" s="1673" t="n"/>
      <c r="F213" s="1687" t="n"/>
      <c r="G213" s="1687" t="n"/>
      <c r="H213" s="1687" t="n"/>
      <c r="I213" s="1687" t="n"/>
      <c r="J213" s="1687" t="n"/>
      <c r="K213" s="1687" t="n"/>
      <c r="L213" s="1687" t="n"/>
      <c r="M213" s="1687" t="n"/>
      <c r="N213" s="1687" t="n"/>
      <c r="O213" s="1687" t="n"/>
      <c r="P213" s="1687" t="n"/>
      <c r="Q213" s="1687" t="n"/>
    </row>
    <row r="214" ht="12.75" customFormat="1" customHeight="1" s="1654">
      <c r="B214" s="1694" t="inlineStr">
        <is>
          <t>Total Cash Generated - ALL</t>
        </is>
      </c>
      <c r="C214" s="1674" t="n"/>
      <c r="D214" s="1673" t="n"/>
      <c r="E214" s="1673" t="n"/>
      <c r="F214" s="1688">
        <f>+F198+F205+F212</f>
        <v/>
      </c>
      <c r="G214" s="1688">
        <f>+G198+G205+G212</f>
        <v/>
      </c>
      <c r="H214" s="1688">
        <f>+H198+H205+H212</f>
        <v/>
      </c>
      <c r="I214" s="1688">
        <f>+I198+I205+I212</f>
        <v/>
      </c>
      <c r="J214" s="1688">
        <f>+J198+J205+J212</f>
        <v/>
      </c>
      <c r="K214" s="1688">
        <f>+K198+K205+K212</f>
        <v/>
      </c>
      <c r="L214" s="1688">
        <f>+L198+L205+L212</f>
        <v/>
      </c>
      <c r="M214" s="1688">
        <f>+M198+M205+M212</f>
        <v/>
      </c>
      <c r="N214" s="1688">
        <f>+N198+N205+N212</f>
        <v/>
      </c>
      <c r="O214" s="1688">
        <f>+O198+O205+O212</f>
        <v/>
      </c>
      <c r="P214" s="1688">
        <f>+P198+P205+P212</f>
        <v/>
      </c>
      <c r="Q214" s="1688">
        <f>+Q198+Q205+Q212</f>
        <v/>
      </c>
    </row>
    <row r="215" ht="12.75" customFormat="1" customHeight="1" s="1654">
      <c r="B215" s="1694" t="n"/>
      <c r="C215" s="1674" t="n"/>
      <c r="D215" s="1673" t="n"/>
      <c r="E215" s="1673" t="n"/>
      <c r="F215" s="1697" t="n"/>
      <c r="G215" s="1697" t="n"/>
      <c r="H215" s="1697" t="n"/>
      <c r="I215" s="1697" t="n"/>
      <c r="J215" s="1697" t="n"/>
      <c r="K215" s="1697" t="n"/>
      <c r="L215" s="1697" t="n"/>
      <c r="M215" s="1697" t="n"/>
      <c r="N215" s="1697" t="n"/>
      <c r="O215" s="1697" t="n"/>
      <c r="P215" s="1697" t="n"/>
      <c r="Q215" s="1697" t="n"/>
    </row>
    <row r="216" ht="12.75" customFormat="1" customHeight="1" s="1654">
      <c r="B216" s="1694" t="inlineStr">
        <is>
          <t>Customer Deposits Balance</t>
        </is>
      </c>
      <c r="C216" s="1674" t="n"/>
      <c r="D216" s="1673" t="n"/>
      <c r="E216" s="1673" t="n"/>
      <c r="F216" s="1697">
        <f>+F210+F203+F196</f>
        <v/>
      </c>
      <c r="G216" s="1697">
        <f>+G210+G203+G196</f>
        <v/>
      </c>
      <c r="H216" s="1697">
        <f>+H210+H203+H196</f>
        <v/>
      </c>
      <c r="I216" s="1697">
        <f>+I210+I203+I196</f>
        <v/>
      </c>
      <c r="J216" s="1697">
        <f>+J210+J203+J196</f>
        <v/>
      </c>
      <c r="K216" s="1697">
        <f>+K210+K203+K196</f>
        <v/>
      </c>
      <c r="L216" s="1697">
        <f>+L210+L203+L196</f>
        <v/>
      </c>
      <c r="M216" s="1697">
        <f>+M210+M203+M196</f>
        <v/>
      </c>
      <c r="N216" s="1697">
        <f>+N210+N203+N196</f>
        <v/>
      </c>
      <c r="O216" s="1697">
        <f>+O210+O203+O196</f>
        <v/>
      </c>
      <c r="P216" s="1697">
        <f>+P210+P203+P196</f>
        <v/>
      </c>
      <c r="Q216" s="1697">
        <f>+Q210+Q203+Q196</f>
        <v/>
      </c>
    </row>
    <row r="217" ht="12.75" customFormat="1" customHeight="1" s="1654">
      <c r="B217" s="1698" t="n"/>
      <c r="C217" s="1699" t="n"/>
      <c r="D217" s="1700" t="n"/>
      <c r="E217" s="1700" t="n"/>
      <c r="F217" s="1699" t="n"/>
      <c r="G217" s="1699" t="n"/>
      <c r="H217" s="1699" t="n"/>
      <c r="I217" s="1699" t="n"/>
      <c r="J217" s="1699" t="n"/>
      <c r="K217" s="1699" t="n"/>
      <c r="L217" s="1699" t="n"/>
      <c r="M217" s="1699" t="n"/>
      <c r="N217" s="1699" t="n"/>
      <c r="O217" s="1699" t="n"/>
      <c r="P217" s="1699" t="n"/>
      <c r="Q217" s="1699" t="n"/>
    </row>
    <row r="218" ht="12.75" customFormat="1" customHeight="1" s="1654">
      <c r="B218" s="1694" t="inlineStr">
        <is>
          <t>Financing</t>
        </is>
      </c>
      <c r="C218" s="1674" t="n"/>
      <c r="D218" s="1673" t="n"/>
      <c r="E218" s="1673" t="n"/>
      <c r="F218" s="1674" t="n"/>
      <c r="G218" s="1674" t="n"/>
      <c r="H218" s="1674" t="n"/>
      <c r="I218" s="1674" t="n"/>
      <c r="J218" s="1674" t="n"/>
      <c r="K218" s="1674" t="n"/>
      <c r="L218" s="1674" t="n"/>
      <c r="M218" s="1674" t="n"/>
      <c r="N218" s="1674" t="n"/>
      <c r="O218" s="1674" t="n"/>
      <c r="P218" s="1674" t="n"/>
      <c r="Q218" s="1674" t="n"/>
    </row>
    <row r="219" ht="12.75" customFormat="1" customHeight="1" s="1654">
      <c r="B219" s="1692" t="inlineStr">
        <is>
          <t>Equity</t>
        </is>
      </c>
      <c r="C219" s="1674" t="n"/>
      <c r="D219" s="1673" t="n"/>
      <c r="E219" s="1673" t="n"/>
      <c r="F219" s="1674" t="n"/>
      <c r="G219" s="1674" t="n"/>
      <c r="H219" s="1674" t="n"/>
      <c r="I219" s="1674" t="n"/>
      <c r="J219" s="1674" t="n"/>
      <c r="K219" s="1674" t="n"/>
      <c r="L219" s="1674" t="n"/>
      <c r="M219" s="1674" t="n"/>
      <c r="N219" s="1674" t="n"/>
      <c r="O219" s="1674" t="n"/>
      <c r="P219" s="1674" t="n"/>
      <c r="Q219" s="1674" t="n"/>
    </row>
    <row r="220" ht="12.75" customFormat="1" customHeight="1" s="1654">
      <c r="B220" s="1701" t="inlineStr">
        <is>
          <t>Bal - Beg</t>
        </is>
      </c>
      <c r="C220" s="1702" t="n">
        <v>340000</v>
      </c>
      <c r="D220" s="1673" t="n"/>
      <c r="E220" s="1673" t="n"/>
      <c r="F220" s="1703">
        <f>+C220</f>
        <v/>
      </c>
      <c r="G220" s="1687">
        <f>+F222</f>
        <v/>
      </c>
      <c r="H220" s="1687">
        <f>+G222</f>
        <v/>
      </c>
      <c r="I220" s="1687">
        <f>+H222</f>
        <v/>
      </c>
      <c r="J220" s="1687">
        <f>+I222</f>
        <v/>
      </c>
      <c r="K220" s="1687">
        <f>+J222</f>
        <v/>
      </c>
      <c r="L220" s="1687">
        <f>+K222</f>
        <v/>
      </c>
      <c r="M220" s="1687">
        <f>+L222</f>
        <v/>
      </c>
      <c r="N220" s="1687">
        <f>+M222</f>
        <v/>
      </c>
      <c r="O220" s="1687">
        <f>+N222</f>
        <v/>
      </c>
      <c r="P220" s="1687">
        <f>+O222</f>
        <v/>
      </c>
      <c r="Q220" s="1687">
        <f>+P222</f>
        <v/>
      </c>
    </row>
    <row r="221" ht="12.75" customFormat="1" customHeight="1" s="1654">
      <c r="B221" s="1701" t="inlineStr">
        <is>
          <t>Additions</t>
        </is>
      </c>
      <c r="C221" s="1696" t="n"/>
      <c r="D221" s="1673" t="n"/>
      <c r="E221" s="1673" t="n"/>
      <c r="F221" s="1702" t="n">
        <v>0</v>
      </c>
      <c r="G221" s="1702" t="n">
        <v>0</v>
      </c>
      <c r="H221" s="1702" t="n">
        <v>0</v>
      </c>
      <c r="I221" s="1702" t="n">
        <v>0</v>
      </c>
      <c r="J221" s="1702" t="n">
        <v>0</v>
      </c>
      <c r="K221" s="1702" t="n">
        <v>0</v>
      </c>
      <c r="L221" s="1702" t="n">
        <v>0</v>
      </c>
      <c r="M221" s="1702" t="n">
        <v>0</v>
      </c>
      <c r="N221" s="1702" t="n">
        <v>0</v>
      </c>
      <c r="O221" s="1702" t="n">
        <v>0</v>
      </c>
      <c r="P221" s="1702" t="n">
        <v>0</v>
      </c>
      <c r="Q221" s="1702" t="n">
        <v>0</v>
      </c>
    </row>
    <row r="222" ht="12.75" customFormat="1" customHeight="1" s="1654">
      <c r="B222" s="1701" t="inlineStr">
        <is>
          <t>Bal - End</t>
        </is>
      </c>
      <c r="C222" s="1674" t="n"/>
      <c r="D222" s="1673" t="n"/>
      <c r="E222" s="1673" t="n"/>
      <c r="F222" s="1687">
        <f>+F220+F221</f>
        <v/>
      </c>
      <c r="G222" s="1687">
        <f>SUM(G220:G221)</f>
        <v/>
      </c>
      <c r="H222" s="1687">
        <f>SUM(H220:H221)</f>
        <v/>
      </c>
      <c r="I222" s="1687">
        <f>SUM(I220:I221)</f>
        <v/>
      </c>
      <c r="J222" s="1687">
        <f>SUM(J220:J221)</f>
        <v/>
      </c>
      <c r="K222" s="1687">
        <f>SUM(K220:K221)</f>
        <v/>
      </c>
      <c r="L222" s="1687">
        <f>+L220+L221</f>
        <v/>
      </c>
      <c r="M222" s="1687">
        <f>SUM(M220:M221)</f>
        <v/>
      </c>
      <c r="N222" s="1687">
        <f>SUM(N220:N221)</f>
        <v/>
      </c>
      <c r="O222" s="1687">
        <f>SUM(O220:O221)</f>
        <v/>
      </c>
      <c r="P222" s="1687">
        <f>SUM(P220:P221)</f>
        <v/>
      </c>
      <c r="Q222" s="1687">
        <f>SUM(Q220:Q221)</f>
        <v/>
      </c>
    </row>
    <row r="223" ht="12.75" customFormat="1" customHeight="1" s="1654">
      <c r="B223" s="1701" t="n"/>
      <c r="C223" s="1674" t="n"/>
      <c r="D223" s="1673" t="n"/>
      <c r="E223" s="1673" t="n"/>
      <c r="F223" s="1697" t="n"/>
      <c r="G223" s="1697" t="n"/>
      <c r="H223" s="1697" t="n"/>
      <c r="I223" s="1697" t="n"/>
      <c r="J223" s="1697" t="n"/>
      <c r="K223" s="1697" t="n"/>
      <c r="L223" s="1697" t="n"/>
      <c r="M223" s="1697" t="n"/>
      <c r="N223" s="1697" t="n"/>
      <c r="O223" s="1697" t="n"/>
      <c r="P223" s="1697" t="n"/>
      <c r="Q223" s="1697" t="n"/>
    </row>
    <row r="224" ht="12.75" customFormat="1" customHeight="1" s="1654">
      <c r="B224" s="1691" t="inlineStr">
        <is>
          <t>Equity Balance</t>
        </is>
      </c>
      <c r="C224" s="1674" t="n"/>
      <c r="D224" s="1673" t="n"/>
      <c r="E224" s="1673" t="n"/>
      <c r="F224" s="1697">
        <f>+F222</f>
        <v/>
      </c>
      <c r="G224" s="1697">
        <f>+G222</f>
        <v/>
      </c>
      <c r="H224" s="1697">
        <f>+H222</f>
        <v/>
      </c>
      <c r="I224" s="1697">
        <f>+I222</f>
        <v/>
      </c>
      <c r="J224" s="1697">
        <f>+J222</f>
        <v/>
      </c>
      <c r="K224" s="1697">
        <f>+K222</f>
        <v/>
      </c>
      <c r="L224" s="1697">
        <f>+L222</f>
        <v/>
      </c>
      <c r="M224" s="1697">
        <f>+M222</f>
        <v/>
      </c>
      <c r="N224" s="1697">
        <f>+N222</f>
        <v/>
      </c>
      <c r="O224" s="1697">
        <f>+O222</f>
        <v/>
      </c>
      <c r="P224" s="1697">
        <f>+P222</f>
        <v/>
      </c>
      <c r="Q224" s="1697">
        <f>+Q222</f>
        <v/>
      </c>
    </row>
    <row r="225" ht="12.75" customFormat="1" customHeight="1" s="1654">
      <c r="B225" s="1691" t="n"/>
      <c r="C225" s="1674" t="n"/>
      <c r="D225" s="1673" t="n"/>
      <c r="E225" s="1673" t="n"/>
      <c r="F225" s="1674" t="n"/>
      <c r="G225" s="1674" t="n"/>
      <c r="H225" s="1674" t="n"/>
      <c r="I225" s="1674" t="n"/>
      <c r="J225" s="1674" t="n"/>
      <c r="K225" s="1674" t="n"/>
      <c r="L225" s="1674" t="n"/>
      <c r="M225" s="1674" t="n"/>
      <c r="N225" s="1674" t="n"/>
      <c r="O225" s="1674" t="n"/>
      <c r="P225" s="1674" t="n"/>
      <c r="Q225" s="1674" t="n"/>
    </row>
    <row r="226" ht="12.75" customFormat="1" customHeight="1" s="1654">
      <c r="B226" s="1692" t="inlineStr">
        <is>
          <t>Convertible Debenture</t>
        </is>
      </c>
      <c r="C226" s="1674" t="n"/>
      <c r="D226" s="1673" t="n"/>
      <c r="E226" s="1673" t="n"/>
      <c r="F226" s="1674" t="n"/>
      <c r="G226" s="1674" t="n"/>
      <c r="H226" s="1674" t="n"/>
      <c r="I226" s="1674" t="n"/>
      <c r="J226" s="1674" t="n"/>
      <c r="K226" s="1674" t="n"/>
      <c r="L226" s="1674" t="n"/>
      <c r="M226" s="1674" t="n"/>
      <c r="N226" s="1674" t="n"/>
      <c r="O226" s="1674" t="n"/>
      <c r="P226" s="1674" t="n"/>
      <c r="Q226" s="1674" t="n"/>
    </row>
    <row r="227" ht="12.75" customFormat="1" customHeight="1" s="1654">
      <c r="B227" s="1701" t="inlineStr">
        <is>
          <t>Amount - Up To</t>
        </is>
      </c>
      <c r="C227" s="1702" t="n">
        <v>0</v>
      </c>
      <c r="D227" s="1673" t="n"/>
      <c r="E227" s="1673" t="n"/>
      <c r="F227" s="1674" t="n"/>
      <c r="G227" s="1674" t="n"/>
      <c r="H227" s="1674" t="n"/>
      <c r="I227" s="1674" t="n"/>
      <c r="J227" s="1674" t="n"/>
      <c r="K227" s="1674" t="n"/>
      <c r="L227" s="1674" t="n"/>
      <c r="M227" s="1674" t="n"/>
      <c r="N227" s="1674" t="n"/>
      <c r="O227" s="1674" t="n"/>
      <c r="P227" s="1674" t="n"/>
      <c r="Q227" s="1674" t="n"/>
    </row>
    <row r="228" ht="12.75" customFormat="1" customHeight="1" s="1654">
      <c r="B228" s="1701" t="inlineStr">
        <is>
          <t>Interest</t>
        </is>
      </c>
      <c r="C228" s="1679" t="n">
        <v>0.12</v>
      </c>
      <c r="D228" s="1673" t="n"/>
      <c r="E228" s="1673" t="n"/>
      <c r="F228" s="1674" t="n"/>
      <c r="G228" s="1674" t="n"/>
      <c r="H228" s="1674" t="n"/>
      <c r="I228" s="1674" t="n"/>
      <c r="J228" s="1674" t="n"/>
      <c r="K228" s="1674" t="n"/>
      <c r="L228" s="1674" t="n"/>
      <c r="M228" s="1674" t="n"/>
      <c r="N228" s="1674" t="n"/>
      <c r="O228" s="1674" t="n"/>
      <c r="P228" s="1674" t="n"/>
      <c r="Q228" s="1674" t="n"/>
    </row>
    <row r="229" ht="12.75" customFormat="1" customHeight="1" s="1654">
      <c r="B229" s="1691" t="n"/>
      <c r="C229" s="1674" t="n"/>
      <c r="D229" s="1673" t="n"/>
      <c r="E229" s="1673" t="n"/>
      <c r="F229" s="1674" t="n"/>
      <c r="G229" s="1674" t="n"/>
      <c r="H229" s="1674" t="n"/>
      <c r="I229" s="1674" t="n"/>
      <c r="J229" s="1674" t="n"/>
      <c r="K229" s="1674" t="n"/>
      <c r="L229" s="1674" t="n"/>
      <c r="M229" s="1674" t="n"/>
      <c r="N229" s="1674" t="n"/>
      <c r="O229" s="1674" t="n"/>
      <c r="P229" s="1674" t="n"/>
      <c r="Q229" s="1674" t="n"/>
    </row>
    <row r="230" ht="12.75" customFormat="1" customHeight="1" s="1654">
      <c r="B230" s="1701" t="inlineStr">
        <is>
          <t>Bal - Beg</t>
        </is>
      </c>
      <c r="C230" s="1674" t="n"/>
      <c r="D230" s="1673" t="n"/>
      <c r="E230" s="1673" t="n"/>
      <c r="F230" s="1687" t="n">
        <v>0</v>
      </c>
      <c r="G230" s="1704" t="n">
        <v>0</v>
      </c>
      <c r="H230" s="1704" t="n">
        <v>0</v>
      </c>
      <c r="I230" s="1687">
        <f>+H233-H232</f>
        <v/>
      </c>
      <c r="J230" s="1687">
        <f>+I233-I232</f>
        <v/>
      </c>
      <c r="K230" s="1687">
        <f>+J233-J232</f>
        <v/>
      </c>
      <c r="L230" s="1687" t="n">
        <v>0</v>
      </c>
      <c r="M230" s="1687">
        <f>+L233-L232</f>
        <v/>
      </c>
      <c r="N230" s="1687">
        <f>+M233-M232</f>
        <v/>
      </c>
      <c r="O230" s="1687">
        <f>+N233-N232</f>
        <v/>
      </c>
      <c r="P230" s="1687">
        <f>+O233-O232</f>
        <v/>
      </c>
      <c r="Q230" s="1687">
        <f>+P233-P232</f>
        <v/>
      </c>
    </row>
    <row r="231" ht="12.75" customFormat="1" customHeight="1" s="1654">
      <c r="B231" s="1701" t="inlineStr">
        <is>
          <t>Advance</t>
        </is>
      </c>
      <c r="C231" s="1674" t="n"/>
      <c r="D231" s="1673" t="n"/>
      <c r="E231" s="1673" t="n"/>
      <c r="F231" s="1687" t="n">
        <v>0</v>
      </c>
      <c r="G231" s="1704" t="n">
        <v>0</v>
      </c>
      <c r="H231" s="1704" t="n">
        <v>0</v>
      </c>
      <c r="I231" s="1687">
        <f>IF(AND('Cash Flow'!A35&lt;0,H233-H232&lt;$C227),IF(-'Cash Flow'!A35&gt;$C227,$C227,-'Cash Flow'!A35),0)</f>
        <v/>
      </c>
      <c r="J231" s="1687">
        <f>IF(AND('Cash Flow'!B35&lt;0,I233-I232&lt;$C227),IF(-'Cash Flow'!B35&gt;$C227,$C227,-'Cash Flow'!B35),0)</f>
        <v/>
      </c>
      <c r="K231" s="1687">
        <f>IF(AND('Cash Flow'!C35&lt;0,J233-J232&lt;$C227),IF(-'Cash Flow'!C35&gt;$C227,$C227,-'Cash Flow'!C35),0)</f>
        <v/>
      </c>
      <c r="L231" s="1687" t="n">
        <v>0</v>
      </c>
      <c r="M231" s="1687">
        <f>IF(AND('Cash Flow'!K35&lt;0,L233-L232&lt;$C227),IF(-'Cash Flow'!K35&gt;$C227,$C227,-'Cash Flow'!K35),0)</f>
        <v/>
      </c>
      <c r="N231" s="1687">
        <f>IF(AND('Cash Flow'!L35&lt;0,M233-M232&lt;$C227),IF(-'Cash Flow'!L35&gt;$C227,$C227,-'Cash Flow'!L35),0)</f>
        <v/>
      </c>
      <c r="O231" s="1687">
        <f>IF(AND('Cash Flow'!M35&lt;0,N233-N232&lt;$C227),IF(-'Cash Flow'!M35&gt;$C227,$C227,-'Cash Flow'!M35),0)</f>
        <v/>
      </c>
      <c r="P231" s="1687">
        <f>IF(AND('Cash Flow'!N35&lt;0,O233-O232&lt;$C227),IF(-'Cash Flow'!N35&gt;$C227,$C227,-'Cash Flow'!N35),0)</f>
        <v/>
      </c>
      <c r="Q231" s="1687">
        <f>IF(AND('Cash Flow'!O35&lt;0,P233-P232&lt;$C227),IF(-'Cash Flow'!O35&gt;$C227,$C227,-'Cash Flow'!O35),0)</f>
        <v/>
      </c>
    </row>
    <row r="232" ht="12.75" customFormat="1" customHeight="1" s="1654">
      <c r="B232" s="1701" t="inlineStr">
        <is>
          <t>Interest</t>
        </is>
      </c>
      <c r="C232" s="1674" t="n"/>
      <c r="D232" s="1673" t="n"/>
      <c r="E232" s="1673" t="n"/>
      <c r="F232" s="1687">
        <f>+F230*$C228/12</f>
        <v/>
      </c>
      <c r="G232" s="1705">
        <f>+G230*$C228/12</f>
        <v/>
      </c>
      <c r="H232" s="1705">
        <f>+H230*$C228/12</f>
        <v/>
      </c>
      <c r="I232" s="1687">
        <f>+I230*$C228/12</f>
        <v/>
      </c>
      <c r="J232" s="1687">
        <f>+J230*$C228/12</f>
        <v/>
      </c>
      <c r="K232" s="1687">
        <f>+K230*$C228/12</f>
        <v/>
      </c>
      <c r="L232" s="1687">
        <f>+L230*$C228/12</f>
        <v/>
      </c>
      <c r="M232" s="1687">
        <f>+M230*$C228/12</f>
        <v/>
      </c>
      <c r="N232" s="1687">
        <f>+N230*$C228/12</f>
        <v/>
      </c>
      <c r="O232" s="1687">
        <f>+O230*$C228/12</f>
        <v/>
      </c>
      <c r="P232" s="1687">
        <f>+P230*$C228/12</f>
        <v/>
      </c>
      <c r="Q232" s="1687">
        <f>+Q230*$C228/12</f>
        <v/>
      </c>
    </row>
    <row r="233" ht="12.75" customFormat="1" customHeight="1" s="1654">
      <c r="B233" s="1701" t="inlineStr">
        <is>
          <t>Bal - End</t>
        </is>
      </c>
      <c r="C233" s="1674" t="n"/>
      <c r="D233" s="1673" t="n"/>
      <c r="E233" s="1673" t="n"/>
      <c r="F233" s="1695">
        <f>+SUM(F230:F232)</f>
        <v/>
      </c>
      <c r="G233" s="1687">
        <f>+SUM(G230:G232)</f>
        <v/>
      </c>
      <c r="H233" s="1687">
        <f>+SUM(H230:H232)</f>
        <v/>
      </c>
      <c r="I233" s="1695">
        <f>+SUM(I230:I232)</f>
        <v/>
      </c>
      <c r="J233" s="1695">
        <f>+SUM(J230:J232)</f>
        <v/>
      </c>
      <c r="K233" s="1695">
        <f>+SUM(K230:K232)</f>
        <v/>
      </c>
      <c r="L233" s="1695">
        <f>+SUM(L230:L232)</f>
        <v/>
      </c>
      <c r="M233" s="1695">
        <f>+SUM(M230:M232)</f>
        <v/>
      </c>
      <c r="N233" s="1695">
        <f>+SUM(N230:N232)</f>
        <v/>
      </c>
      <c r="O233" s="1695">
        <f>+SUM(O230:O232)</f>
        <v/>
      </c>
      <c r="P233" s="1695">
        <f>+SUM(P230:P232)</f>
        <v/>
      </c>
      <c r="Q233" s="1695">
        <f>+SUM(Q230:Q232)</f>
        <v/>
      </c>
    </row>
    <row r="234" ht="12.75" customFormat="1" customHeight="1" s="1654">
      <c r="B234" s="1691" t="n"/>
      <c r="C234" s="1674" t="n"/>
      <c r="D234" s="1673" t="n"/>
      <c r="E234" s="1673" t="n"/>
      <c r="F234" s="1687" t="n"/>
      <c r="G234" s="1687" t="n"/>
      <c r="H234" s="1687" t="n"/>
      <c r="I234" s="1687" t="n"/>
      <c r="J234" s="1687" t="n"/>
      <c r="K234" s="1687" t="n"/>
      <c r="L234" s="1687" t="n"/>
      <c r="M234" s="1687" t="n"/>
      <c r="N234" s="1687" t="n"/>
      <c r="O234" s="1687" t="n"/>
      <c r="P234" s="1687" t="n"/>
      <c r="Q234" s="1687" t="n"/>
    </row>
    <row r="235" ht="12.75" customFormat="1" customHeight="1" s="1654">
      <c r="B235" s="1691" t="n"/>
      <c r="C235" s="1674" t="n"/>
      <c r="D235" s="1673" t="n"/>
      <c r="E235" s="1673" t="n"/>
      <c r="F235" s="1697">
        <f>+F232</f>
        <v/>
      </c>
      <c r="G235" s="1687" t="n"/>
      <c r="H235" s="1687" t="n"/>
      <c r="I235" s="1687" t="n"/>
      <c r="J235" s="1687" t="n"/>
      <c r="K235" s="1687" t="n"/>
      <c r="L235" s="1697">
        <f>+L232</f>
        <v/>
      </c>
      <c r="M235" s="1687" t="n"/>
      <c r="N235" s="1687" t="n"/>
      <c r="O235" s="1687" t="n"/>
      <c r="P235" s="1687" t="n"/>
      <c r="Q235" s="1687" t="n"/>
    </row>
    <row r="236" ht="12.75" customFormat="1" customHeight="1" s="1654">
      <c r="B236" s="1691" t="n"/>
      <c r="C236" s="1674" t="n"/>
      <c r="D236" s="1673" t="n"/>
      <c r="E236" s="1673" t="n"/>
      <c r="F236" s="1706" t="n"/>
      <c r="G236" s="1706" t="n"/>
      <c r="H236" s="1706" t="n"/>
      <c r="I236" s="1706" t="n"/>
      <c r="J236" s="1706" t="n"/>
      <c r="K236" s="1706" t="n"/>
      <c r="L236" s="1706" t="n"/>
      <c r="M236" s="1706" t="n"/>
      <c r="N236" s="1706" t="n"/>
      <c r="O236" s="1706" t="n"/>
      <c r="P236" s="1706" t="n"/>
      <c r="Q236" s="1706" t="n"/>
    </row>
    <row r="237" ht="12.75" customFormat="1" customHeight="1" s="1654">
      <c r="B237" s="1691" t="n"/>
      <c r="C237" s="1674" t="n"/>
      <c r="D237" s="1673" t="n"/>
      <c r="E237" s="1673" t="n"/>
      <c r="F237" s="1706" t="n"/>
      <c r="G237" s="1706" t="n"/>
      <c r="H237" s="1706" t="n"/>
      <c r="I237" s="1706" t="n"/>
      <c r="J237" s="1706" t="n"/>
      <c r="K237" s="1706" t="n"/>
      <c r="L237" s="1706" t="n"/>
      <c r="M237" s="1706" t="n"/>
      <c r="N237" s="1706" t="n"/>
      <c r="O237" s="1706" t="n"/>
      <c r="P237" s="1706" t="n"/>
      <c r="Q237" s="1706" t="n"/>
    </row>
    <row r="238" ht="12.75" customFormat="1" customHeight="1" s="1654">
      <c r="B238" s="1691" t="n"/>
      <c r="C238" s="1674" t="n"/>
      <c r="D238" s="1673" t="n"/>
      <c r="E238" s="1673" t="n"/>
      <c r="F238" s="1706" t="n"/>
      <c r="G238" s="1706" t="n"/>
      <c r="H238" s="1706" t="n"/>
      <c r="I238" s="1706" t="n"/>
      <c r="J238" s="1706" t="n"/>
      <c r="K238" s="1706" t="n"/>
      <c r="L238" s="1706" t="n"/>
      <c r="M238" s="1706" t="n"/>
      <c r="N238" s="1706" t="n"/>
      <c r="O238" s="1706" t="n"/>
      <c r="P238" s="1706" t="n"/>
      <c r="Q238" s="1706" t="n"/>
    </row>
    <row r="239" ht="12.75" customFormat="1" customHeight="1" s="1654">
      <c r="B239" s="1691" t="n"/>
      <c r="C239" s="1674" t="n"/>
      <c r="D239" s="1673" t="n"/>
      <c r="E239" s="1673" t="n"/>
      <c r="F239" s="1706" t="n"/>
      <c r="G239" s="1706" t="n"/>
      <c r="H239" s="1706" t="n"/>
      <c r="I239" s="1706" t="n"/>
      <c r="J239" s="1706" t="n"/>
      <c r="K239" s="1706" t="n"/>
      <c r="L239" s="1706" t="n"/>
      <c r="M239" s="1706" t="n"/>
      <c r="N239" s="1706" t="n"/>
      <c r="O239" s="1706" t="n"/>
      <c r="P239" s="1706" t="n"/>
      <c r="Q239" s="1706" t="n"/>
    </row>
    <row r="240" ht="12.75" customFormat="1" customHeight="1" s="1654">
      <c r="B240" s="1691" t="n"/>
      <c r="C240" s="1674" t="n"/>
      <c r="D240" s="1673" t="n"/>
      <c r="E240" s="1673" t="n"/>
      <c r="F240" s="1706" t="n"/>
      <c r="G240" s="1706" t="n"/>
      <c r="H240" s="1706" t="n"/>
      <c r="I240" s="1706" t="n"/>
      <c r="J240" s="1706" t="n"/>
      <c r="K240" s="1706" t="n"/>
      <c r="L240" s="1706" t="n"/>
      <c r="M240" s="1706" t="n"/>
      <c r="N240" s="1706" t="n"/>
      <c r="O240" s="1706" t="n"/>
      <c r="P240" s="1706" t="n"/>
      <c r="Q240" s="1706" t="n"/>
    </row>
    <row r="241" ht="12.75" customFormat="1" customHeight="1" s="1654">
      <c r="B241" s="1691" t="n"/>
      <c r="C241" s="1674" t="n"/>
      <c r="D241" s="1673" t="n"/>
      <c r="E241" s="1673" t="n"/>
      <c r="F241" s="1674" t="n"/>
      <c r="G241" s="1674" t="n"/>
      <c r="H241" s="1674" t="n"/>
      <c r="I241" s="1674" t="n"/>
      <c r="J241" s="1674" t="n"/>
      <c r="K241" s="1674" t="n"/>
      <c r="L241" s="1674" t="n"/>
      <c r="M241" s="1674" t="n"/>
      <c r="N241" s="1674" t="n"/>
      <c r="O241" s="1674" t="n"/>
      <c r="P241" s="1674" t="n"/>
      <c r="Q241" s="1674" t="n"/>
    </row>
    <row r="242" ht="12.75" customFormat="1" customHeight="1" s="1654">
      <c r="B242" s="1674" t="n"/>
      <c r="C242" s="1674" t="n"/>
      <c r="D242" s="1674" t="n"/>
      <c r="E242" s="1674" t="n"/>
      <c r="F242" s="1674" t="n"/>
      <c r="G242" s="1674" t="n"/>
      <c r="H242" s="1674" t="n"/>
      <c r="I242" s="1674" t="n"/>
      <c r="J242" s="1674" t="n"/>
      <c r="K242" s="1674" t="n"/>
      <c r="L242" s="1674" t="n"/>
      <c r="M242" s="1674" t="n"/>
      <c r="N242" s="1674" t="n"/>
      <c r="O242" s="1674" t="n"/>
      <c r="P242" s="1674" t="n"/>
      <c r="Q242" s="1674" t="n"/>
    </row>
    <row r="243" ht="12.75" customHeight="1" s="1883">
      <c r="B243" s="59" t="n"/>
      <c r="C243" s="59" t="n"/>
      <c r="D243" s="59" t="n"/>
      <c r="E243" s="59" t="n"/>
      <c r="F243" s="59" t="n"/>
      <c r="G243" s="59" t="n"/>
      <c r="H243" s="59" t="n"/>
      <c r="I243" s="59" t="n"/>
      <c r="J243" s="59" t="n"/>
      <c r="K243" s="59" t="n"/>
      <c r="L243" s="59" t="n"/>
      <c r="M243" s="59" t="n"/>
      <c r="N243" s="59" t="n"/>
      <c r="O243" s="59" t="n"/>
      <c r="P243" s="59" t="n"/>
      <c r="Q243" s="59" t="n"/>
    </row>
    <row r="244" ht="12.75" customHeight="1" s="1883">
      <c r="B244" s="59" t="n"/>
      <c r="C244" s="59" t="n"/>
      <c r="D244" s="59" t="n"/>
      <c r="E244" s="59" t="n"/>
      <c r="F244" s="59" t="n"/>
      <c r="G244" s="59" t="n"/>
      <c r="H244" s="59" t="n"/>
      <c r="I244" s="59" t="n"/>
      <c r="J244" s="59" t="n"/>
      <c r="K244" s="59" t="n"/>
      <c r="L244" s="59" t="n"/>
      <c r="M244" s="59" t="n"/>
      <c r="N244" s="59" t="n"/>
      <c r="O244" s="59" t="n"/>
      <c r="P244" s="59" t="n"/>
      <c r="Q244" s="59" t="n"/>
    </row>
    <row r="245" ht="12.75" customHeight="1" s="1883">
      <c r="B245" s="59" t="n"/>
      <c r="C245" s="59" t="n"/>
      <c r="D245" s="59" t="n"/>
      <c r="E245" s="59" t="n"/>
      <c r="F245" s="59" t="n"/>
      <c r="G245" s="59" t="n"/>
      <c r="H245" s="59" t="n"/>
      <c r="I245" s="59" t="n"/>
      <c r="J245" s="59" t="n"/>
      <c r="K245" s="59" t="n"/>
      <c r="L245" s="59" t="n"/>
      <c r="M245" s="59" t="n"/>
      <c r="N245" s="59" t="n"/>
      <c r="O245" s="59" t="n"/>
      <c r="P245" s="59" t="n"/>
      <c r="Q245" s="59" t="n"/>
    </row>
    <row r="246" ht="12.75" customHeight="1" s="1883">
      <c r="B246" s="59" t="n"/>
      <c r="C246" s="59" t="n"/>
      <c r="D246" s="59" t="n"/>
      <c r="E246" s="59" t="n"/>
      <c r="F246" s="59" t="n"/>
      <c r="G246" s="59" t="n"/>
      <c r="H246" s="59" t="n"/>
      <c r="I246" s="59" t="n"/>
      <c r="J246" s="59" t="n"/>
      <c r="K246" s="59" t="n"/>
      <c r="L246" s="59" t="n"/>
      <c r="M246" s="59" t="n"/>
      <c r="N246" s="59" t="n"/>
      <c r="O246" s="59" t="n"/>
      <c r="P246" s="59" t="n"/>
      <c r="Q246" s="59" t="n"/>
    </row>
    <row r="247" ht="12.75" customHeight="1" s="1883">
      <c r="B247" s="59" t="n"/>
      <c r="C247" s="59" t="n"/>
      <c r="D247" s="59" t="n"/>
      <c r="E247" s="59" t="n"/>
      <c r="F247" s="59" t="n"/>
      <c r="G247" s="59" t="n"/>
      <c r="H247" s="59" t="n"/>
      <c r="I247" s="59" t="n"/>
      <c r="J247" s="59" t="n"/>
      <c r="K247" s="59" t="n"/>
      <c r="L247" s="59" t="n"/>
      <c r="M247" s="59" t="n"/>
      <c r="N247" s="59" t="n"/>
      <c r="O247" s="59" t="n"/>
      <c r="P247" s="59" t="n"/>
      <c r="Q247" s="59" t="n"/>
    </row>
    <row r="248" ht="12.75" customHeight="1" s="1883">
      <c r="C248" s="59" t="n"/>
    </row>
    <row r="249" ht="12.75" customHeight="1" s="1883">
      <c r="C249" s="59" t="n"/>
    </row>
    <row r="250" ht="12.75" customHeight="1" s="1883">
      <c r="C250" s="59" t="n"/>
    </row>
    <row r="251" ht="12.75" customHeight="1" s="1883">
      <c r="C251" s="59" t="n"/>
    </row>
    <row r="252" ht="12.75" customHeight="1" s="1883">
      <c r="C252" s="59" t="n"/>
    </row>
    <row r="253" ht="12.75" customHeight="1" s="1883">
      <c r="C253" s="59" t="n"/>
    </row>
    <row r="254" ht="12.75" customHeight="1" s="1883">
      <c r="C254" s="59" t="n"/>
    </row>
    <row r="255" ht="12.75" customHeight="1" s="1883">
      <c r="C255" s="59" t="n"/>
    </row>
    <row r="256" ht="12.75" customHeight="1" s="1883">
      <c r="C256" s="59" t="n"/>
    </row>
    <row r="257" ht="12.75" customHeight="1" s="1883">
      <c r="C257" s="59" t="n"/>
    </row>
    <row r="258" ht="12.75" customHeight="1" s="1883">
      <c r="C258" s="59" t="n"/>
    </row>
    <row r="259" ht="12.75" customHeight="1" s="1883">
      <c r="C259" s="59" t="n"/>
    </row>
    <row r="260" ht="12.75" customHeight="1" s="1883">
      <c r="C260" s="59" t="n"/>
    </row>
    <row r="261" ht="12.75" customHeight="1" s="1883">
      <c r="C261" s="59" t="n"/>
    </row>
    <row r="262" ht="12.75" customHeight="1" s="1883">
      <c r="C262" s="59" t="n"/>
    </row>
    <row r="263" ht="12.75" customHeight="1" s="1883">
      <c r="C263" s="59" t="n"/>
    </row>
    <row r="264" ht="12.75" customHeight="1" s="1883">
      <c r="C264" s="59" t="n"/>
    </row>
    <row r="265" ht="12.75" customHeight="1" s="1883">
      <c r="C265" s="59" t="n"/>
    </row>
    <row r="266" ht="12.75" customHeight="1" s="1883">
      <c r="C266" s="55" t="n"/>
    </row>
    <row r="267" ht="12.75" customHeight="1" s="1883">
      <c r="C267" s="55" t="n"/>
    </row>
    <row r="268" ht="12.75" customHeight="1" s="1883">
      <c r="C268" s="55" t="n"/>
    </row>
    <row r="269" ht="12.75" customHeight="1" s="1883">
      <c r="C269" s="55" t="n"/>
    </row>
    <row r="270" ht="12.75" customHeight="1" s="1883">
      <c r="C270" s="55" t="n"/>
    </row>
    <row r="271" ht="12.75" customHeight="1" s="1883">
      <c r="C271" s="55" t="n"/>
    </row>
    <row r="272" ht="12.75" customHeight="1" s="1883">
      <c r="C272" s="55" t="n"/>
    </row>
    <row r="273" ht="12.75" customHeight="1" s="1883">
      <c r="C273" s="55" t="n"/>
    </row>
    <row r="274" ht="12.75" customHeight="1" s="1883">
      <c r="C274" s="55" t="n"/>
    </row>
    <row r="275" ht="12.75" customHeight="1" s="1883">
      <c r="C275" s="55" t="n"/>
    </row>
    <row r="276" ht="12.75" customHeight="1" s="1883">
      <c r="C276" s="55" t="n"/>
    </row>
    <row r="277" ht="12.75" customHeight="1" s="1883">
      <c r="C277" s="55" t="n"/>
    </row>
    <row r="278" ht="12.75" customHeight="1" s="1883">
      <c r="C278" s="55" t="n"/>
    </row>
    <row r="279" ht="12.75" customHeight="1" s="1883">
      <c r="C279" s="55" t="n"/>
    </row>
    <row r="280" ht="12.75" customHeight="1" s="1883">
      <c r="C280" s="55" t="n"/>
    </row>
    <row r="281" ht="12.75" customHeight="1" s="1883">
      <c r="C281" s="55" t="n"/>
    </row>
    <row r="282" ht="12.75" customHeight="1" s="1883">
      <c r="C282" s="55" t="n"/>
    </row>
    <row r="283" ht="12.75" customHeight="1" s="1883">
      <c r="C283" s="55" t="n"/>
    </row>
    <row r="284" ht="12.75" customHeight="1" s="1883">
      <c r="C284" s="55" t="n"/>
    </row>
    <row r="285" ht="12.75" customHeight="1" s="1883">
      <c r="C285" s="55" t="n"/>
    </row>
    <row r="286" ht="12.75" customHeight="1" s="1883">
      <c r="C286" s="55" t="n"/>
    </row>
    <row r="287" ht="12.75" customHeight="1" s="1883">
      <c r="C287" s="55" t="n"/>
    </row>
    <row r="288" ht="12.75" customHeight="1" s="1883">
      <c r="C288" s="55" t="n"/>
    </row>
    <row r="289" ht="12.75" customHeight="1" s="1883">
      <c r="C289" s="55" t="n"/>
    </row>
    <row r="290" ht="12.75" customHeight="1" s="1883">
      <c r="C290" s="55" t="n"/>
    </row>
    <row r="291" ht="12.75" customHeight="1" s="1883">
      <c r="C291" s="55" t="n"/>
    </row>
    <row r="292" ht="12.75" customHeight="1" s="1883">
      <c r="C292" s="55" t="n"/>
    </row>
    <row r="293" ht="12.75" customHeight="1" s="1883">
      <c r="C293" s="55" t="n"/>
    </row>
    <row r="294" ht="12.75" customHeight="1" s="1883">
      <c r="C294" s="55" t="n"/>
    </row>
    <row r="295" ht="12.75" customHeight="1" s="1883">
      <c r="C295" s="55" t="n"/>
    </row>
    <row r="296" ht="12.75" customHeight="1" s="1883">
      <c r="C296" s="55" t="n"/>
    </row>
    <row r="297" ht="12.75" customHeight="1" s="1883">
      <c r="C297" s="55" t="n"/>
    </row>
    <row r="298" ht="12.75" customHeight="1" s="1883">
      <c r="C298" s="55" t="n"/>
    </row>
    <row r="299" ht="12.75" customHeight="1" s="1883">
      <c r="C299" s="55" t="n"/>
    </row>
    <row r="300" ht="12.75" customHeight="1" s="1883">
      <c r="C300" s="55" t="n"/>
    </row>
    <row r="301" ht="12.75" customHeight="1" s="1883">
      <c r="C301" s="55" t="n"/>
    </row>
    <row r="302" ht="12.75" customHeight="1" s="1883">
      <c r="C302" s="55" t="n"/>
    </row>
    <row r="303" ht="12.75" customHeight="1" s="1883">
      <c r="C303" s="55" t="n"/>
    </row>
    <row r="304" ht="12.75" customHeight="1" s="1883">
      <c r="C304" s="55" t="n"/>
    </row>
    <row r="305" ht="12.75" customHeight="1" s="1883">
      <c r="C305" s="55" t="n"/>
    </row>
    <row r="306" ht="12.75" customHeight="1" s="1883">
      <c r="C306" s="55" t="n"/>
    </row>
    <row r="307" ht="12.75" customHeight="1" s="1883">
      <c r="C307" s="55" t="n"/>
    </row>
    <row r="308" ht="12.75" customHeight="1" s="1883">
      <c r="C308" s="55" t="n"/>
    </row>
    <row r="309" ht="12.75" customHeight="1" s="1883">
      <c r="C309" s="55" t="n"/>
    </row>
    <row r="310" ht="12.75" customHeight="1" s="1883">
      <c r="C310" s="55" t="n"/>
    </row>
    <row r="311" ht="12.75" customHeight="1" s="1883">
      <c r="C311" s="55" t="n"/>
    </row>
    <row r="312" ht="12.75" customHeight="1" s="1883">
      <c r="C312" s="55" t="n"/>
    </row>
    <row r="313" ht="12.75" customHeight="1" s="1883">
      <c r="C313" s="55" t="n"/>
    </row>
    <row r="314" ht="12.75" customHeight="1" s="1883">
      <c r="C314" s="55" t="n"/>
    </row>
    <row r="315" ht="12.75" customHeight="1" s="1883">
      <c r="C315" s="55" t="n"/>
    </row>
    <row r="316" ht="12.75" customHeight="1" s="1883">
      <c r="C316" s="55" t="n"/>
    </row>
    <row r="317" ht="12.75" customHeight="1" s="1883">
      <c r="C317" s="55" t="n"/>
    </row>
    <row r="318" ht="12.75" customHeight="1" s="1883">
      <c r="C318" s="55" t="n"/>
    </row>
    <row r="319" ht="12.75" customHeight="1" s="1883">
      <c r="C319" s="55" t="n"/>
    </row>
    <row r="320" ht="12.75" customHeight="1" s="1883">
      <c r="C320" s="55" t="n"/>
    </row>
    <row r="321" ht="12.75" customHeight="1" s="1883">
      <c r="C321" s="55" t="n"/>
    </row>
    <row r="322" ht="12.75" customHeight="1" s="1883">
      <c r="C322" s="55" t="n"/>
    </row>
    <row r="323" ht="12.75" customHeight="1" s="1883">
      <c r="C323" s="55" t="n"/>
    </row>
    <row r="324" ht="12.75" customHeight="1" s="1883">
      <c r="C324" s="55" t="n"/>
    </row>
    <row r="325" ht="12.75" customHeight="1" s="1883">
      <c r="C325" s="55" t="n"/>
    </row>
    <row r="326" ht="12.75" customHeight="1" s="1883">
      <c r="C326" s="55" t="n"/>
    </row>
    <row r="327" ht="12.75" customHeight="1" s="1883">
      <c r="C327" s="55" t="n"/>
    </row>
    <row r="328" ht="12.75" customHeight="1" s="1883">
      <c r="C328" s="55" t="n"/>
    </row>
    <row r="329" ht="12.75" customHeight="1" s="1883">
      <c r="C329" s="55" t="n"/>
    </row>
    <row r="330" ht="12.75" customHeight="1" s="1883">
      <c r="C330" s="55" t="n"/>
    </row>
    <row r="331" ht="12.75" customHeight="1" s="1883">
      <c r="C331" s="55" t="n"/>
    </row>
    <row r="332" ht="12.75" customHeight="1" s="1883">
      <c r="C332" s="55" t="n"/>
    </row>
    <row r="333" ht="12.75" customHeight="1" s="1883">
      <c r="C333" s="55" t="n"/>
    </row>
    <row r="334" ht="12.75" customHeight="1" s="1883">
      <c r="C334" s="55" t="n"/>
    </row>
    <row r="335" ht="12.75" customHeight="1" s="1883">
      <c r="C335" s="55" t="n"/>
    </row>
    <row r="336" ht="12.75" customHeight="1" s="1883">
      <c r="C336" s="55" t="n"/>
    </row>
    <row r="337" ht="12.75" customHeight="1" s="1883">
      <c r="C337" s="55" t="n"/>
    </row>
    <row r="338" ht="12.75" customHeight="1" s="1883">
      <c r="C338" s="55" t="n"/>
    </row>
    <row r="339" ht="12.75" customHeight="1" s="1883">
      <c r="C339" s="55" t="n"/>
    </row>
    <row r="340" ht="12.75" customHeight="1" s="1883">
      <c r="C340" s="55" t="n"/>
    </row>
    <row r="341" ht="12.75" customHeight="1" s="1883">
      <c r="C341" s="55" t="n"/>
    </row>
    <row r="342" ht="12.75" customHeight="1" s="1883">
      <c r="C342" s="55" t="n"/>
    </row>
    <row r="343" ht="12.75" customHeight="1" s="1883">
      <c r="C343" s="55" t="n"/>
    </row>
    <row r="344" ht="12.75" customHeight="1" s="1883">
      <c r="C344" s="55" t="n"/>
    </row>
    <row r="345" ht="12.75" customHeight="1" s="1883">
      <c r="C345" s="55" t="n"/>
    </row>
    <row r="346" ht="12.75" customHeight="1" s="1883">
      <c r="C346" s="55" t="n"/>
    </row>
    <row r="347" ht="12.75" customHeight="1" s="1883">
      <c r="C347" s="55" t="n"/>
    </row>
    <row r="348" ht="12.75" customHeight="1" s="1883">
      <c r="C348" s="55" t="n"/>
    </row>
    <row r="349" ht="12.75" customHeight="1" s="1883">
      <c r="C349" s="55" t="n"/>
    </row>
    <row r="350" ht="12.75" customHeight="1" s="1883">
      <c r="C350" s="55" t="n"/>
    </row>
    <row r="351" ht="12.75" customHeight="1" s="1883">
      <c r="C351" s="55" t="n"/>
    </row>
    <row r="352" ht="12.75" customHeight="1" s="1883">
      <c r="C352" s="55" t="n"/>
    </row>
    <row r="353" ht="12.75" customHeight="1" s="1883">
      <c r="C353" s="55" t="n"/>
    </row>
    <row r="354" ht="12.75" customHeight="1" s="1883">
      <c r="C354" s="55" t="n"/>
    </row>
    <row r="355" ht="12.75" customHeight="1" s="1883">
      <c r="C355" s="55" t="n"/>
    </row>
    <row r="356" ht="12.75" customHeight="1" s="1883">
      <c r="C356" s="55" t="n"/>
    </row>
    <row r="357" ht="12.75" customHeight="1" s="1883">
      <c r="C357" s="55" t="n"/>
    </row>
    <row r="358" ht="12.75" customHeight="1" s="1883">
      <c r="C358" s="55" t="n"/>
    </row>
    <row r="359" ht="12.75" customHeight="1" s="1883">
      <c r="C359" s="55" t="n"/>
    </row>
    <row r="360" ht="12.75" customHeight="1" s="1883">
      <c r="C360" s="55" t="n"/>
    </row>
    <row r="361" ht="12.75" customHeight="1" s="1883">
      <c r="C361" s="55" t="n"/>
    </row>
    <row r="362" ht="12.75" customHeight="1" s="1883">
      <c r="C362" s="55" t="n"/>
    </row>
    <row r="363" ht="12.75" customHeight="1" s="1883">
      <c r="C363" s="55" t="n"/>
    </row>
    <row r="364" ht="12.75" customHeight="1" s="1883">
      <c r="C364" s="55" t="n"/>
    </row>
    <row r="365" ht="12.75" customHeight="1" s="1883">
      <c r="C365" s="55" t="n"/>
    </row>
    <row r="366" ht="12.75" customHeight="1" s="1883">
      <c r="C366" s="55" t="n"/>
    </row>
    <row r="367" ht="12.75" customHeight="1" s="1883">
      <c r="C367" s="55" t="n"/>
    </row>
    <row r="368" ht="12.75" customHeight="1" s="1883">
      <c r="C368" s="55" t="n"/>
    </row>
    <row r="369" ht="12.75" customHeight="1" s="1883">
      <c r="C369" s="55" t="n"/>
    </row>
    <row r="370" ht="12.75" customHeight="1" s="1883">
      <c r="C370" s="55" t="n"/>
    </row>
    <row r="371" ht="12.75" customHeight="1" s="1883">
      <c r="C371" s="55" t="n"/>
    </row>
    <row r="372" ht="12.75" customHeight="1" s="1883">
      <c r="C372" s="55" t="n"/>
    </row>
    <row r="373" ht="12.75" customHeight="1" s="1883">
      <c r="C373" s="55" t="n"/>
    </row>
    <row r="374" ht="12.75" customHeight="1" s="1883">
      <c r="C374" s="55" t="n"/>
    </row>
    <row r="375" ht="12.75" customHeight="1" s="1883">
      <c r="C375" s="55" t="n"/>
    </row>
    <row r="376" ht="12.75" customHeight="1" s="1883">
      <c r="C376" s="55" t="n"/>
    </row>
    <row r="377" ht="12.75" customHeight="1" s="1883">
      <c r="C377" s="55" t="n"/>
    </row>
    <row r="378" ht="12.75" customHeight="1" s="1883">
      <c r="C378" s="55" t="n"/>
    </row>
    <row r="379" ht="12.75" customHeight="1" s="1883">
      <c r="C379" s="55" t="n"/>
    </row>
    <row r="380" ht="12.75" customHeight="1" s="1883">
      <c r="C380" s="55" t="n"/>
    </row>
    <row r="381" ht="12.75" customHeight="1" s="1883">
      <c r="C381" s="55" t="n"/>
    </row>
    <row r="382" ht="12.75" customHeight="1" s="1883">
      <c r="C382" s="55" t="n"/>
    </row>
    <row r="383" ht="12.75" customHeight="1" s="1883">
      <c r="C383" s="55" t="n"/>
    </row>
    <row r="384" ht="12.75" customHeight="1" s="1883">
      <c r="C384" s="55" t="n"/>
    </row>
    <row r="385" ht="12.75" customHeight="1" s="1883">
      <c r="C385" s="55" t="n"/>
    </row>
    <row r="386" ht="12.75" customHeight="1" s="1883">
      <c r="C386" s="55" t="n"/>
    </row>
    <row r="387" ht="12.75" customHeight="1" s="1883">
      <c r="C387" s="55" t="n"/>
    </row>
    <row r="388" ht="12.75" customHeight="1" s="1883">
      <c r="C388" s="55" t="n"/>
    </row>
    <row r="389" ht="12.75" customHeight="1" s="1883">
      <c r="C389" s="55" t="n"/>
    </row>
    <row r="390" ht="12.75" customHeight="1" s="1883">
      <c r="C390" s="55" t="n"/>
    </row>
    <row r="391" ht="12.75" customHeight="1" s="1883">
      <c r="C391" s="55" t="n"/>
    </row>
    <row r="392" ht="12.75" customHeight="1" s="1883">
      <c r="C392" s="55" t="n"/>
    </row>
    <row r="393" ht="12.75" customHeight="1" s="1883">
      <c r="C393" s="55" t="n"/>
    </row>
    <row r="394" ht="12.75" customHeight="1" s="1883">
      <c r="C394" s="55" t="n"/>
    </row>
    <row r="395" ht="12.75" customHeight="1" s="1883">
      <c r="C395" s="55" t="n"/>
    </row>
    <row r="396" ht="12.75" customHeight="1" s="1883">
      <c r="C396" s="55" t="n"/>
    </row>
    <row r="397" ht="12.75" customHeight="1" s="1883">
      <c r="C397" s="55" t="n"/>
    </row>
    <row r="398" ht="12.75" customHeight="1" s="1883">
      <c r="C398" s="55" t="n"/>
    </row>
    <row r="399" ht="12.75" customHeight="1" s="1883">
      <c r="C399" s="55" t="n"/>
    </row>
    <row r="400" ht="12.75" customHeight="1" s="1883">
      <c r="C400" s="55" t="n"/>
    </row>
    <row r="401" ht="12.75" customHeight="1" s="1883">
      <c r="C401" s="55" t="n"/>
    </row>
    <row r="402" ht="12.75" customHeight="1" s="1883">
      <c r="C402" s="55" t="n"/>
    </row>
    <row r="403" ht="12.75" customHeight="1" s="1883">
      <c r="C403" s="55" t="n"/>
    </row>
    <row r="404" ht="12.75" customHeight="1" s="1883">
      <c r="C404" s="55" t="n"/>
    </row>
    <row r="405" ht="12.75" customHeight="1" s="1883">
      <c r="C405" s="55" t="n"/>
    </row>
    <row r="406" ht="12.75" customHeight="1" s="1883">
      <c r="C406" s="55" t="n"/>
    </row>
    <row r="407" ht="12.75" customHeight="1" s="1883">
      <c r="C407" s="55" t="n"/>
    </row>
    <row r="408" ht="12.75" customHeight="1" s="1883">
      <c r="C408" s="55" t="n"/>
    </row>
    <row r="409" ht="12.75" customHeight="1" s="1883">
      <c r="C409" s="55" t="n"/>
    </row>
    <row r="410" ht="12.75" customHeight="1" s="1883">
      <c r="C410" s="55" t="n"/>
    </row>
    <row r="411" ht="12.75" customHeight="1" s="1883">
      <c r="C411" s="55" t="n"/>
    </row>
    <row r="412" ht="12.75" customHeight="1" s="1883">
      <c r="C412" s="55" t="n"/>
    </row>
    <row r="413" ht="12.75" customHeight="1" s="1883">
      <c r="C413" s="55" t="n"/>
    </row>
    <row r="414" ht="12.75" customHeight="1" s="1883">
      <c r="C414" s="55" t="n"/>
    </row>
    <row r="415" ht="12.75" customHeight="1" s="1883">
      <c r="C415" s="55" t="n"/>
    </row>
    <row r="416" ht="12.75" customHeight="1" s="1883">
      <c r="C416" s="55" t="n"/>
    </row>
    <row r="417" ht="12.75" customHeight="1" s="1883">
      <c r="C417" s="55" t="n"/>
    </row>
    <row r="418" ht="12.75" customHeight="1" s="1883">
      <c r="C418" s="55" t="n"/>
    </row>
    <row r="419" ht="12.75" customHeight="1" s="1883">
      <c r="C419" s="55" t="n"/>
    </row>
    <row r="420" ht="12.75" customHeight="1" s="1883">
      <c r="C420" s="55" t="n"/>
    </row>
    <row r="421" ht="12.75" customHeight="1" s="1883">
      <c r="C421" s="55" t="n"/>
    </row>
    <row r="422" ht="12.75" customHeight="1" s="1883">
      <c r="C422" s="55" t="n"/>
    </row>
    <row r="423" ht="12.75" customHeight="1" s="1883">
      <c r="C423" s="55" t="n"/>
    </row>
    <row r="424" ht="12.75" customHeight="1" s="1883">
      <c r="C424" s="55" t="n"/>
    </row>
    <row r="425" ht="12.75" customHeight="1" s="1883">
      <c r="C425" s="55" t="n"/>
    </row>
    <row r="426" ht="12.75" customHeight="1" s="1883">
      <c r="C426" s="55" t="n"/>
    </row>
    <row r="427" ht="12.75" customHeight="1" s="1883">
      <c r="C427" s="55" t="n"/>
    </row>
    <row r="428" ht="12.75" customHeight="1" s="1883">
      <c r="C428" s="55" t="n"/>
    </row>
    <row r="429" ht="12.75" customHeight="1" s="1883">
      <c r="C429" s="55" t="n"/>
    </row>
    <row r="430" ht="12.75" customHeight="1" s="1883">
      <c r="C430" s="55" t="n"/>
    </row>
    <row r="431" ht="12.75" customHeight="1" s="1883">
      <c r="C431" s="55" t="n"/>
    </row>
    <row r="432" ht="12.75" customHeight="1" s="1883">
      <c r="C432" s="55" t="n"/>
    </row>
    <row r="433" ht="12.75" customHeight="1" s="1883">
      <c r="C433" s="55" t="n"/>
    </row>
    <row r="434" ht="12.75" customHeight="1" s="1883">
      <c r="C434" s="55" t="n"/>
    </row>
    <row r="435" ht="12.75" customHeight="1" s="1883">
      <c r="C435" s="55" t="n"/>
    </row>
    <row r="436" ht="12.75" customHeight="1" s="1883">
      <c r="C436" s="55" t="n"/>
    </row>
    <row r="437" ht="12.75" customHeight="1" s="1883">
      <c r="C437" s="55" t="n"/>
    </row>
    <row r="438" ht="12.75" customHeight="1" s="1883">
      <c r="C438" s="55" t="n"/>
    </row>
    <row r="439" ht="12.75" customHeight="1" s="1883">
      <c r="C439" s="55" t="n"/>
    </row>
    <row r="440" ht="12.75" customHeight="1" s="1883">
      <c r="C440" s="55" t="n"/>
    </row>
    <row r="441" ht="12.75" customHeight="1" s="1883">
      <c r="C441" s="55" t="n"/>
    </row>
    <row r="442" ht="12.75" customHeight="1" s="1883">
      <c r="C442" s="55" t="n"/>
    </row>
    <row r="443" ht="12.75" customHeight="1" s="1883">
      <c r="C443" s="55" t="n"/>
    </row>
    <row r="444" ht="12.75" customHeight="1" s="1883">
      <c r="C444" s="55" t="n"/>
    </row>
    <row r="445" ht="12.75" customHeight="1" s="1883">
      <c r="C445" s="55" t="n"/>
    </row>
    <row r="446" ht="12.75" customHeight="1" s="1883">
      <c r="C446" s="55" t="n"/>
    </row>
    <row r="447" ht="12.75" customHeight="1" s="1883">
      <c r="C447" s="55" t="n"/>
    </row>
    <row r="448" ht="12.75" customHeight="1" s="1883">
      <c r="C448" s="55" t="n"/>
    </row>
    <row r="449" ht="12.75" customHeight="1" s="1883">
      <c r="C449" s="55" t="n"/>
    </row>
    <row r="450" ht="12.75" customHeight="1" s="1883">
      <c r="C450" s="55" t="n"/>
    </row>
    <row r="451" ht="12.75" customHeight="1" s="1883">
      <c r="C451" s="55" t="n"/>
    </row>
    <row r="452" ht="12.75" customHeight="1" s="1883">
      <c r="C452" s="55" t="n"/>
    </row>
    <row r="453" ht="12.75" customHeight="1" s="1883">
      <c r="C453" s="55" t="n"/>
    </row>
    <row r="454" ht="12.75" customHeight="1" s="1883">
      <c r="C454" s="55" t="n"/>
    </row>
    <row r="455" ht="12.75" customHeight="1" s="1883">
      <c r="C455" s="55" t="n"/>
    </row>
    <row r="456" ht="12.75" customHeight="1" s="1883">
      <c r="C456" s="55" t="n"/>
    </row>
    <row r="457" ht="12.75" customHeight="1" s="1883">
      <c r="C457" s="55" t="n"/>
    </row>
    <row r="458" ht="12.75" customHeight="1" s="1883">
      <c r="C458" s="55" t="n"/>
    </row>
    <row r="459" ht="12.75" customHeight="1" s="1883">
      <c r="C459" s="55" t="n"/>
    </row>
    <row r="460" ht="12.75" customHeight="1" s="1883">
      <c r="C460" s="55" t="n"/>
    </row>
    <row r="461" ht="12.75" customHeight="1" s="1883">
      <c r="C461" s="55" t="n"/>
    </row>
    <row r="462" ht="12.75" customHeight="1" s="1883">
      <c r="C462" s="55" t="n"/>
    </row>
    <row r="463" ht="12.75" customHeight="1" s="1883">
      <c r="C463" s="55" t="n"/>
    </row>
    <row r="464" ht="12.75" customHeight="1" s="1883">
      <c r="C464" s="55" t="n"/>
    </row>
    <row r="465" ht="12.75" customHeight="1" s="1883">
      <c r="C465" s="55" t="n"/>
    </row>
    <row r="466" ht="12.75" customHeight="1" s="1883">
      <c r="C466" s="55" t="n"/>
    </row>
    <row r="467" ht="12.75" customHeight="1" s="1883">
      <c r="C467" s="55" t="n"/>
    </row>
    <row r="468" ht="12.75" customHeight="1" s="1883">
      <c r="C468" s="55" t="n"/>
    </row>
    <row r="469" ht="12.75" customHeight="1" s="1883">
      <c r="C469" s="55" t="n"/>
    </row>
    <row r="470" ht="12.75" customHeight="1" s="1883">
      <c r="C470" s="55" t="n"/>
    </row>
    <row r="471" ht="12.75" customHeight="1" s="1883">
      <c r="C471" s="55" t="n"/>
    </row>
    <row r="472" ht="12.75" customHeight="1" s="1883">
      <c r="C472" s="55" t="n"/>
    </row>
    <row r="473" ht="12.75" customHeight="1" s="1883">
      <c r="C473" s="55" t="n"/>
    </row>
    <row r="474" ht="12.75" customHeight="1" s="1883">
      <c r="C474" s="55" t="n"/>
    </row>
    <row r="475" ht="12.75" customHeight="1" s="1883">
      <c r="C475" s="55" t="n"/>
    </row>
    <row r="476" ht="12.75" customHeight="1" s="1883">
      <c r="C476" s="55" t="n"/>
    </row>
    <row r="477" ht="12.75" customHeight="1" s="1883">
      <c r="C477" s="55" t="n"/>
    </row>
    <row r="478" ht="12.75" customHeight="1" s="1883">
      <c r="C478" s="55" t="n"/>
    </row>
    <row r="479" ht="12.75" customHeight="1" s="1883">
      <c r="C479" s="55" t="n"/>
    </row>
    <row r="480" ht="12.75" customHeight="1" s="1883">
      <c r="C480" s="55" t="n"/>
    </row>
    <row r="481" ht="12.75" customHeight="1" s="1883">
      <c r="C481" s="55" t="n"/>
    </row>
    <row r="482" ht="12.75" customHeight="1" s="1883">
      <c r="C482" s="55" t="n"/>
    </row>
    <row r="483" ht="12.75" customHeight="1" s="1883">
      <c r="C483" s="55" t="n"/>
    </row>
    <row r="484" ht="12.75" customHeight="1" s="1883">
      <c r="C484" s="55" t="n"/>
    </row>
    <row r="485" ht="12.75" customHeight="1" s="1883">
      <c r="C485" s="55" t="n"/>
    </row>
    <row r="486" ht="12.75" customHeight="1" s="1883">
      <c r="C486" s="55" t="n"/>
    </row>
    <row r="487" ht="12.75" customHeight="1" s="1883">
      <c r="C487" s="55" t="n"/>
    </row>
    <row r="488" ht="12.75" customHeight="1" s="1883">
      <c r="C488" s="55" t="n"/>
    </row>
    <row r="489" ht="12.75" customHeight="1" s="1883">
      <c r="C489" s="55" t="n"/>
    </row>
    <row r="490" ht="12.75" customHeight="1" s="1883">
      <c r="C490" s="55" t="n"/>
    </row>
    <row r="491" ht="12.75" customHeight="1" s="1883">
      <c r="C491" s="55" t="n"/>
    </row>
    <row r="492" ht="12.75" customHeight="1" s="1883">
      <c r="C492" s="55" t="n"/>
    </row>
    <row r="493" ht="12.75" customHeight="1" s="1883">
      <c r="C493" s="55" t="n"/>
    </row>
    <row r="494" ht="12.75" customHeight="1" s="1883">
      <c r="C494" s="55" t="n"/>
    </row>
    <row r="495" ht="12.75" customHeight="1" s="1883">
      <c r="C495" s="55" t="n"/>
    </row>
    <row r="496" ht="12.75" customHeight="1" s="1883">
      <c r="C496" s="55" t="n"/>
    </row>
    <row r="497" ht="12.75" customHeight="1" s="1883">
      <c r="C497" s="55" t="n"/>
    </row>
    <row r="498" ht="12.75" customHeight="1" s="1883">
      <c r="C498" s="55" t="n"/>
    </row>
    <row r="499" ht="12.75" customHeight="1" s="1883">
      <c r="C499" s="55" t="n"/>
    </row>
    <row r="500" ht="12.75" customHeight="1" s="1883">
      <c r="C500" s="55" t="n"/>
    </row>
    <row r="501" ht="12.75" customHeight="1" s="1883">
      <c r="C501" s="55" t="n"/>
    </row>
    <row r="502" ht="12.75" customHeight="1" s="1883">
      <c r="C502" s="55" t="n"/>
    </row>
    <row r="503" ht="12.75" customHeight="1" s="1883">
      <c r="C503" s="55" t="n"/>
    </row>
    <row r="504" ht="12.75" customHeight="1" s="1883">
      <c r="C504" s="55" t="n"/>
    </row>
    <row r="505" ht="12.75" customHeight="1" s="1883">
      <c r="C505" s="55" t="n"/>
    </row>
    <row r="506" ht="12.75" customHeight="1" s="1883">
      <c r="C506" s="55" t="n"/>
    </row>
    <row r="507" ht="12.75" customHeight="1" s="1883">
      <c r="C507" s="55" t="n"/>
    </row>
    <row r="508" ht="12.75" customHeight="1" s="1883">
      <c r="C508" s="55" t="n"/>
    </row>
    <row r="509" ht="12.75" customHeight="1" s="1883">
      <c r="C509" s="55" t="n"/>
    </row>
    <row r="510" ht="12.75" customHeight="1" s="1883">
      <c r="C510" s="55" t="n"/>
    </row>
    <row r="511" ht="12.75" customHeight="1" s="1883">
      <c r="C511" s="55" t="n"/>
    </row>
    <row r="512" ht="12.75" customHeight="1" s="1883">
      <c r="C512" s="55" t="n"/>
    </row>
    <row r="513" ht="12.75" customHeight="1" s="1883">
      <c r="C513" s="55" t="n"/>
    </row>
    <row r="514" ht="12.75" customHeight="1" s="1883">
      <c r="C514" s="55" t="n"/>
    </row>
    <row r="515" ht="12.75" customHeight="1" s="1883">
      <c r="C515" s="55" t="n"/>
    </row>
    <row r="516" ht="12.75" customHeight="1" s="1883">
      <c r="C516" s="55" t="n"/>
    </row>
    <row r="517" ht="12.75" customHeight="1" s="1883">
      <c r="C517" s="55" t="n"/>
    </row>
    <row r="518" ht="12.75" customHeight="1" s="1883">
      <c r="C518" s="55" t="n"/>
    </row>
    <row r="519" ht="12.75" customHeight="1" s="1883">
      <c r="C519" s="55" t="n"/>
    </row>
    <row r="520" ht="12.75" customHeight="1" s="1883">
      <c r="C520" s="55" t="n"/>
    </row>
    <row r="521" ht="12.75" customHeight="1" s="1883">
      <c r="C521" s="55" t="n"/>
    </row>
    <row r="522" ht="12.75" customHeight="1" s="1883">
      <c r="C522" s="55" t="n"/>
    </row>
    <row r="523" ht="12.75" customHeight="1" s="1883">
      <c r="C523" s="55" t="n"/>
    </row>
    <row r="524" ht="12.75" customHeight="1" s="1883">
      <c r="C524" s="55" t="n"/>
    </row>
    <row r="525" ht="12.75" customHeight="1" s="1883">
      <c r="C525" s="55" t="n"/>
    </row>
    <row r="526" ht="12.75" customHeight="1" s="1883">
      <c r="C526" s="55" t="n"/>
    </row>
    <row r="527" ht="12.75" customHeight="1" s="1883">
      <c r="C527" s="55" t="n"/>
    </row>
    <row r="528" ht="12.75" customHeight="1" s="1883">
      <c r="C528" s="55" t="n"/>
    </row>
    <row r="529" ht="12.75" customHeight="1" s="1883">
      <c r="C529" s="55" t="n"/>
    </row>
    <row r="530" ht="12.75" customHeight="1" s="1883">
      <c r="C530" s="55" t="n"/>
    </row>
    <row r="531" ht="12.75" customHeight="1" s="1883">
      <c r="C531" s="55" t="n"/>
    </row>
    <row r="532" ht="12.75" customHeight="1" s="1883">
      <c r="C532" s="55" t="n"/>
    </row>
    <row r="533" ht="12.75" customHeight="1" s="1883">
      <c r="C533" s="55" t="n"/>
    </row>
    <row r="534" ht="12.75" customHeight="1" s="1883">
      <c r="C534" s="55" t="n"/>
    </row>
    <row r="535" ht="12.75" customHeight="1" s="1883">
      <c r="C535" s="55" t="n"/>
    </row>
    <row r="536" ht="12.75" customHeight="1" s="1883">
      <c r="C536" s="55" t="n"/>
    </row>
    <row r="537" ht="12.75" customHeight="1" s="1883">
      <c r="C537" s="55" t="n"/>
    </row>
    <row r="538" ht="12.75" customHeight="1" s="1883">
      <c r="C538" s="55" t="n"/>
    </row>
    <row r="539" ht="12.75" customHeight="1" s="1883">
      <c r="C539" s="55" t="n"/>
    </row>
    <row r="540" ht="12.75" customHeight="1" s="1883">
      <c r="C540" s="55" t="n"/>
    </row>
    <row r="541" ht="12.75" customHeight="1" s="1883">
      <c r="C541" s="55" t="n"/>
    </row>
    <row r="542" ht="12.75" customHeight="1" s="1883">
      <c r="C542" s="55" t="n"/>
    </row>
    <row r="543" ht="12.75" customHeight="1" s="1883">
      <c r="C543" s="55" t="n"/>
    </row>
    <row r="544" ht="12.75" customHeight="1" s="1883">
      <c r="C544" s="55" t="n"/>
    </row>
    <row r="545" ht="12.75" customHeight="1" s="1883">
      <c r="C545" s="55" t="n"/>
    </row>
    <row r="546" ht="12.75" customHeight="1" s="1883">
      <c r="C546" s="55" t="n"/>
    </row>
    <row r="547" ht="12.75" customHeight="1" s="1883">
      <c r="C547" s="55" t="n"/>
    </row>
    <row r="548" ht="12.75" customHeight="1" s="1883">
      <c r="C548" s="55" t="n"/>
    </row>
    <row r="549" ht="12.75" customHeight="1" s="1883">
      <c r="C549" s="55" t="n"/>
    </row>
    <row r="550" ht="12.75" customHeight="1" s="1883">
      <c r="C550" s="55" t="n"/>
    </row>
    <row r="551" ht="12.75" customHeight="1" s="1883">
      <c r="C551" s="55" t="n"/>
    </row>
    <row r="552" ht="12.75" customHeight="1" s="1883">
      <c r="C552" s="55" t="n"/>
    </row>
    <row r="553" ht="12.75" customHeight="1" s="1883">
      <c r="C553" s="55" t="n"/>
    </row>
    <row r="554" ht="12.75" customHeight="1" s="1883">
      <c r="C554" s="55" t="n"/>
    </row>
    <row r="555" ht="12.75" customHeight="1" s="1883">
      <c r="C555" s="55" t="n"/>
    </row>
    <row r="556" ht="12.75" customHeight="1" s="1883">
      <c r="C556" s="55" t="n"/>
    </row>
    <row r="557" ht="12.75" customHeight="1" s="1883">
      <c r="C557" s="55" t="n"/>
    </row>
    <row r="558" ht="12.75" customHeight="1" s="1883">
      <c r="C558" s="55" t="n"/>
    </row>
    <row r="559" ht="12.75" customHeight="1" s="1883">
      <c r="C559" s="55" t="n"/>
    </row>
    <row r="560" ht="12.75" customHeight="1" s="1883">
      <c r="C560" s="55" t="n"/>
    </row>
    <row r="561" ht="12.75" customHeight="1" s="1883">
      <c r="C561" s="55" t="n"/>
    </row>
    <row r="562" ht="12.75" customHeight="1" s="1883">
      <c r="C562" s="55" t="n"/>
    </row>
    <row r="563" ht="12.75" customHeight="1" s="1883">
      <c r="C563" s="55" t="n"/>
    </row>
    <row r="564" ht="12.75" customHeight="1" s="1883">
      <c r="C564" s="55" t="n"/>
    </row>
    <row r="565" ht="12.75" customHeight="1" s="1883">
      <c r="C565" s="55" t="n"/>
    </row>
    <row r="566" ht="12.75" customHeight="1" s="1883">
      <c r="C566" s="55" t="n"/>
    </row>
    <row r="567" ht="12.75" customHeight="1" s="1883">
      <c r="C567" s="55" t="n"/>
    </row>
    <row r="568" ht="12.75" customHeight="1" s="1883">
      <c r="C568" s="55" t="n"/>
    </row>
    <row r="569" ht="12.75" customHeight="1" s="1883">
      <c r="C569" s="55" t="n"/>
    </row>
    <row r="570" ht="12.75" customHeight="1" s="1883">
      <c r="C570" s="55" t="n"/>
    </row>
    <row r="571" ht="12.75" customHeight="1" s="1883">
      <c r="C571" s="55" t="n"/>
    </row>
    <row r="572" ht="12.75" customHeight="1" s="1883">
      <c r="C572" s="55" t="n"/>
    </row>
    <row r="573" ht="12.75" customHeight="1" s="1883">
      <c r="C573" s="55" t="n"/>
    </row>
    <row r="574" ht="12.75" customHeight="1" s="1883">
      <c r="C574" s="55" t="n"/>
    </row>
    <row r="575" ht="12.75" customHeight="1" s="1883">
      <c r="C575" s="55" t="n"/>
    </row>
    <row r="576" ht="12.75" customHeight="1" s="1883">
      <c r="C576" s="55" t="n"/>
    </row>
    <row r="577" ht="12.75" customHeight="1" s="1883">
      <c r="C577" s="55" t="n"/>
    </row>
    <row r="578" ht="12.75" customHeight="1" s="1883">
      <c r="C578" s="55" t="n"/>
    </row>
    <row r="579" ht="12.75" customHeight="1" s="1883">
      <c r="C579" s="55" t="n"/>
    </row>
    <row r="580" ht="12.75" customHeight="1" s="1883">
      <c r="C580" s="55" t="n"/>
    </row>
    <row r="581" ht="12.75" customHeight="1" s="1883">
      <c r="C581" s="55" t="n"/>
    </row>
    <row r="582" ht="12.75" customHeight="1" s="1883">
      <c r="C582" s="55" t="n"/>
    </row>
    <row r="583" ht="12.75" customHeight="1" s="1883">
      <c r="C583" s="55" t="n"/>
    </row>
    <row r="584" ht="12.75" customHeight="1" s="1883">
      <c r="C584" s="55" t="n"/>
    </row>
    <row r="585" ht="12.75" customHeight="1" s="1883">
      <c r="C585" s="55" t="n"/>
    </row>
    <row r="586" ht="12.75" customHeight="1" s="1883">
      <c r="C586" s="55" t="n"/>
    </row>
    <row r="587" ht="12.75" customHeight="1" s="1883">
      <c r="C587" s="55" t="n"/>
    </row>
    <row r="588" ht="12.75" customHeight="1" s="1883">
      <c r="C588" s="55" t="n"/>
    </row>
    <row r="589" ht="12.75" customHeight="1" s="1883">
      <c r="C589" s="55" t="n"/>
    </row>
    <row r="590" ht="12.75" customHeight="1" s="1883">
      <c r="C590" s="55" t="n"/>
    </row>
    <row r="591" ht="12.75" customHeight="1" s="1883">
      <c r="C591" s="55" t="n"/>
    </row>
    <row r="592" ht="12.75" customHeight="1" s="1883">
      <c r="C592" s="55" t="n"/>
    </row>
    <row r="593" ht="12.75" customHeight="1" s="1883">
      <c r="C593" s="55" t="n"/>
    </row>
    <row r="594" ht="12.75" customHeight="1" s="1883">
      <c r="C594" s="55" t="n"/>
    </row>
    <row r="595" ht="12.75" customHeight="1" s="1883">
      <c r="C595" s="55" t="n"/>
    </row>
    <row r="596" ht="12.75" customHeight="1" s="1883">
      <c r="C596" s="55" t="n"/>
    </row>
    <row r="597" ht="12.75" customHeight="1" s="1883">
      <c r="C597" s="55" t="n"/>
    </row>
    <row r="598" ht="12.75" customHeight="1" s="1883">
      <c r="C598" s="55" t="n"/>
    </row>
    <row r="599" ht="12.75" customHeight="1" s="1883">
      <c r="C599" s="55" t="n"/>
    </row>
    <row r="600" ht="12.75" customHeight="1" s="1883">
      <c r="C600" s="55" t="n"/>
    </row>
    <row r="601" ht="12.75" customHeight="1" s="1883">
      <c r="C601" s="55" t="n"/>
    </row>
    <row r="602" ht="12.75" customHeight="1" s="1883">
      <c r="C602" s="55" t="n"/>
    </row>
    <row r="603" ht="12.75" customHeight="1" s="1883">
      <c r="C603" s="55" t="n"/>
    </row>
    <row r="604" ht="12.75" customHeight="1" s="1883">
      <c r="C604" s="55" t="n"/>
    </row>
    <row r="605" ht="12.75" customHeight="1" s="1883">
      <c r="C605" s="55" t="n"/>
    </row>
    <row r="606" ht="12.75" customHeight="1" s="1883">
      <c r="C606" s="55" t="n"/>
    </row>
    <row r="607" ht="12.75" customHeight="1" s="1883">
      <c r="C607" s="55" t="n"/>
    </row>
    <row r="608" ht="12.75" customHeight="1" s="1883">
      <c r="C608" s="55" t="n"/>
    </row>
    <row r="609" ht="12.75" customHeight="1" s="1883">
      <c r="C609" s="55" t="n"/>
    </row>
    <row r="610" ht="12.75" customHeight="1" s="1883">
      <c r="C610" s="55" t="n"/>
    </row>
    <row r="611" ht="12.75" customHeight="1" s="1883">
      <c r="C611" s="55" t="n"/>
    </row>
    <row r="612" ht="12.75" customHeight="1" s="1883">
      <c r="C612" s="55" t="n"/>
    </row>
    <row r="613" ht="12.75" customHeight="1" s="1883">
      <c r="C613" s="55" t="n"/>
    </row>
    <row r="614" ht="12.75" customHeight="1" s="1883">
      <c r="C614" s="55" t="n"/>
    </row>
    <row r="615" ht="12.75" customHeight="1" s="1883">
      <c r="C615" s="55" t="n"/>
    </row>
    <row r="616" ht="12.75" customHeight="1" s="1883">
      <c r="C616" s="55" t="n"/>
    </row>
    <row r="617" ht="12.75" customHeight="1" s="1883">
      <c r="C617" s="55" t="n"/>
    </row>
    <row r="618" ht="12.75" customHeight="1" s="1883">
      <c r="C618" s="55" t="n"/>
    </row>
    <row r="619" ht="12.75" customHeight="1" s="1883">
      <c r="C619" s="55" t="n"/>
    </row>
    <row r="620" ht="12.75" customHeight="1" s="1883">
      <c r="C620" s="55" t="n"/>
    </row>
    <row r="621" ht="12.75" customHeight="1" s="1883">
      <c r="C621" s="55" t="n"/>
    </row>
    <row r="622" ht="12.75" customHeight="1" s="1883">
      <c r="C622" s="55" t="n"/>
    </row>
    <row r="623" ht="12.75" customHeight="1" s="1883">
      <c r="C623" s="55" t="n"/>
    </row>
    <row r="624" ht="12.75" customHeight="1" s="1883">
      <c r="C624" s="55" t="n"/>
    </row>
    <row r="625" ht="12.75" customHeight="1" s="1883">
      <c r="C625" s="55" t="n"/>
    </row>
    <row r="626" ht="12.75" customHeight="1" s="1883">
      <c r="C626" s="55" t="n"/>
    </row>
    <row r="627" ht="12.75" customHeight="1" s="1883">
      <c r="C627" s="55" t="n"/>
    </row>
    <row r="628" ht="12.75" customHeight="1" s="1883">
      <c r="C628" s="55" t="n"/>
    </row>
    <row r="629" ht="12.75" customHeight="1" s="1883">
      <c r="C629" s="55" t="n"/>
    </row>
    <row r="630" ht="12.75" customHeight="1" s="1883">
      <c r="C630" s="55" t="n"/>
    </row>
    <row r="631" ht="12.75" customHeight="1" s="1883">
      <c r="C631" s="55" t="n"/>
    </row>
    <row r="632" ht="12.75" customHeight="1" s="1883">
      <c r="C632" s="55" t="n"/>
    </row>
    <row r="633" ht="12.75" customHeight="1" s="1883">
      <c r="C633" s="55" t="n"/>
    </row>
    <row r="634" ht="12.75" customHeight="1" s="1883">
      <c r="C634" s="55" t="n"/>
    </row>
    <row r="635" ht="12.75" customHeight="1" s="1883">
      <c r="C635" s="55" t="n"/>
    </row>
    <row r="636" ht="12.75" customHeight="1" s="1883">
      <c r="C636" s="55" t="n"/>
    </row>
    <row r="637" ht="12.75" customHeight="1" s="1883">
      <c r="C637" s="55" t="n"/>
    </row>
    <row r="638" ht="12.75" customHeight="1" s="1883">
      <c r="C638" s="55" t="n"/>
    </row>
    <row r="639" ht="12.75" customHeight="1" s="1883">
      <c r="C639" s="55" t="n"/>
    </row>
    <row r="640" ht="12.75" customHeight="1" s="1883">
      <c r="C640" s="55" t="n"/>
    </row>
    <row r="641" ht="12.75" customHeight="1" s="1883">
      <c r="C641" s="55" t="n"/>
    </row>
    <row r="642" ht="12.75" customHeight="1" s="1883">
      <c r="C642" s="55" t="n"/>
    </row>
    <row r="643" ht="12.75" customHeight="1" s="1883">
      <c r="C643" s="55" t="n"/>
    </row>
    <row r="644" ht="12.75" customHeight="1" s="1883">
      <c r="C644" s="55" t="n"/>
    </row>
    <row r="645" ht="12.75" customHeight="1" s="1883">
      <c r="C645" s="55" t="n"/>
    </row>
    <row r="646" ht="12.75" customHeight="1" s="1883">
      <c r="C646" s="55" t="n"/>
    </row>
    <row r="647" ht="12.75" customHeight="1" s="1883">
      <c r="C647" s="55" t="n"/>
    </row>
    <row r="648" ht="12.75" customHeight="1" s="1883">
      <c r="C648" s="55" t="n"/>
    </row>
    <row r="649" ht="12.75" customHeight="1" s="1883">
      <c r="C649" s="55" t="n"/>
    </row>
    <row r="650" ht="12.75" customHeight="1" s="1883">
      <c r="C650" s="55" t="n"/>
    </row>
    <row r="651" ht="12.75" customHeight="1" s="1883">
      <c r="C651" s="55" t="n"/>
    </row>
    <row r="652" ht="12.75" customHeight="1" s="1883">
      <c r="C652" s="55" t="n"/>
    </row>
    <row r="653" ht="12.75" customHeight="1" s="1883">
      <c r="C653" s="55" t="n"/>
    </row>
    <row r="654" ht="12.75" customHeight="1" s="1883">
      <c r="C654" s="55" t="n"/>
    </row>
    <row r="655" ht="12.75" customHeight="1" s="1883">
      <c r="C655" s="55" t="n"/>
    </row>
    <row r="656" ht="12.75" customHeight="1" s="1883">
      <c r="C656" s="55" t="n"/>
    </row>
    <row r="657" ht="12.75" customHeight="1" s="1883">
      <c r="C657" s="55" t="n"/>
    </row>
    <row r="658" ht="12.75" customHeight="1" s="1883">
      <c r="C658" s="55" t="n"/>
    </row>
    <row r="659" ht="12.75" customHeight="1" s="1883">
      <c r="C659" s="55" t="n"/>
    </row>
    <row r="660" ht="12.75" customHeight="1" s="1883">
      <c r="C660" s="55" t="n"/>
    </row>
    <row r="661" ht="12.75" customHeight="1" s="1883">
      <c r="C661" s="55" t="n"/>
    </row>
    <row r="662" ht="12.75" customHeight="1" s="1883">
      <c r="C662" s="55" t="n"/>
    </row>
    <row r="663" ht="12.75" customHeight="1" s="1883">
      <c r="C663" s="55" t="n"/>
    </row>
    <row r="664" ht="12.75" customHeight="1" s="1883">
      <c r="C664" s="55" t="n"/>
    </row>
    <row r="665" ht="12.75" customHeight="1" s="1883">
      <c r="C665" s="55" t="n"/>
    </row>
    <row r="666" ht="12.75" customHeight="1" s="1883">
      <c r="C666" s="55" t="n"/>
    </row>
    <row r="667" ht="12.75" customHeight="1" s="1883">
      <c r="C667" s="55" t="n"/>
    </row>
    <row r="668" ht="12.75" customHeight="1" s="1883">
      <c r="C668" s="55" t="n"/>
    </row>
    <row r="669" ht="12.75" customHeight="1" s="1883">
      <c r="C669" s="55" t="n"/>
    </row>
    <row r="670" ht="12.75" customHeight="1" s="1883">
      <c r="C670" s="55" t="n"/>
    </row>
    <row r="671" ht="12.75" customHeight="1" s="1883">
      <c r="C671" s="55" t="n"/>
    </row>
    <row r="672" ht="12.75" customHeight="1" s="1883">
      <c r="C672" s="55" t="n"/>
    </row>
    <row r="673" ht="12.75" customHeight="1" s="1883">
      <c r="C673" s="55" t="n"/>
    </row>
    <row r="674" ht="12.75" customHeight="1" s="1883">
      <c r="C674" s="55" t="n"/>
    </row>
    <row r="675" ht="12.75" customHeight="1" s="1883">
      <c r="C675" s="55" t="n"/>
    </row>
    <row r="676" ht="12.75" customHeight="1" s="1883">
      <c r="C676" s="55" t="n"/>
    </row>
    <row r="677" ht="12.75" customHeight="1" s="1883">
      <c r="C677" s="55" t="n"/>
    </row>
    <row r="678" ht="12.75" customHeight="1" s="1883">
      <c r="C678" s="55" t="n"/>
    </row>
    <row r="679" ht="12.75" customHeight="1" s="1883">
      <c r="C679" s="55" t="n"/>
    </row>
    <row r="680" ht="12.75" customHeight="1" s="1883">
      <c r="C680" s="55" t="n"/>
    </row>
    <row r="681" ht="12.75" customHeight="1" s="1883">
      <c r="C681" s="55" t="n"/>
    </row>
    <row r="682" ht="12.75" customHeight="1" s="1883">
      <c r="C682" s="55" t="n"/>
    </row>
    <row r="683" ht="12.75" customHeight="1" s="1883">
      <c r="C683" s="55" t="n"/>
    </row>
    <row r="684" ht="12.75" customHeight="1" s="1883">
      <c r="C684" s="55" t="n"/>
    </row>
    <row r="685" ht="12.75" customHeight="1" s="1883">
      <c r="C685" s="55" t="n"/>
    </row>
    <row r="686" ht="12.75" customHeight="1" s="1883">
      <c r="C686" s="55" t="n"/>
    </row>
    <row r="687" ht="12.75" customHeight="1" s="1883">
      <c r="C687" s="55" t="n"/>
    </row>
    <row r="688" ht="12.75" customHeight="1" s="1883">
      <c r="C688" s="55" t="n"/>
    </row>
    <row r="689" ht="12.75" customHeight="1" s="1883">
      <c r="C689" s="55" t="n"/>
    </row>
    <row r="690" ht="12.75" customHeight="1" s="1883">
      <c r="C690" s="55" t="n"/>
    </row>
    <row r="691" ht="12.75" customHeight="1" s="1883">
      <c r="C691" s="55" t="n"/>
    </row>
    <row r="692" ht="12.75" customHeight="1" s="1883">
      <c r="C692" s="55" t="n"/>
    </row>
    <row r="693" ht="12.75" customHeight="1" s="1883">
      <c r="C693" s="55" t="n"/>
    </row>
    <row r="694" ht="12.75" customHeight="1" s="1883">
      <c r="C694" s="55" t="n"/>
    </row>
    <row r="695" ht="12.75" customHeight="1" s="1883">
      <c r="C695" s="55" t="n"/>
    </row>
    <row r="696" ht="12.75" customHeight="1" s="1883">
      <c r="C696" s="55" t="n"/>
    </row>
    <row r="697" ht="12.75" customHeight="1" s="1883">
      <c r="C697" s="55" t="n"/>
    </row>
    <row r="698" ht="12.75" customHeight="1" s="1883">
      <c r="C698" s="55" t="n"/>
    </row>
    <row r="699" ht="12.75" customHeight="1" s="1883">
      <c r="C699" s="55" t="n"/>
    </row>
    <row r="700" ht="12.75" customHeight="1" s="1883">
      <c r="C700" s="55" t="n"/>
    </row>
    <row r="701" ht="12.75" customHeight="1" s="1883">
      <c r="C701" s="55" t="n"/>
    </row>
    <row r="702" ht="12.75" customHeight="1" s="1883">
      <c r="C702" s="55" t="n"/>
    </row>
    <row r="703" ht="12.75" customHeight="1" s="1883">
      <c r="C703" s="55" t="n"/>
    </row>
    <row r="704" ht="12.75" customHeight="1" s="1883">
      <c r="C704" s="55" t="n"/>
    </row>
    <row r="705" ht="12.75" customHeight="1" s="1883">
      <c r="C705" s="55" t="n"/>
    </row>
    <row r="706" ht="12.75" customHeight="1" s="1883">
      <c r="C706" s="55" t="n"/>
    </row>
    <row r="707" ht="12.75" customHeight="1" s="1883">
      <c r="C707" s="55" t="n"/>
    </row>
    <row r="708" ht="12.75" customHeight="1" s="1883">
      <c r="C708" s="55" t="n"/>
    </row>
    <row r="709" ht="12.75" customHeight="1" s="1883">
      <c r="C709" s="55" t="n"/>
    </row>
    <row r="710" ht="12.75" customHeight="1" s="1883">
      <c r="C710" s="55" t="n"/>
    </row>
    <row r="711" ht="12.75" customHeight="1" s="1883">
      <c r="C711" s="55" t="n"/>
    </row>
    <row r="712" ht="12.75" customHeight="1" s="1883">
      <c r="C712" s="55" t="n"/>
    </row>
    <row r="713" ht="12.75" customHeight="1" s="1883">
      <c r="C713" s="55" t="n"/>
    </row>
    <row r="714" ht="12.75" customHeight="1" s="1883">
      <c r="C714" s="55" t="n"/>
    </row>
    <row r="715" ht="12.75" customHeight="1" s="1883">
      <c r="C715" s="55" t="n"/>
    </row>
    <row r="716" ht="12.75" customHeight="1" s="1883">
      <c r="C716" s="55" t="n"/>
    </row>
    <row r="717" ht="12.75" customHeight="1" s="1883">
      <c r="C717" s="55" t="n"/>
    </row>
    <row r="718" ht="12.75" customHeight="1" s="1883">
      <c r="C718" s="55" t="n"/>
    </row>
    <row r="719" ht="12.75" customHeight="1" s="1883">
      <c r="C719" s="55" t="n"/>
    </row>
    <row r="720" ht="12.75" customHeight="1" s="1883">
      <c r="C720" s="55" t="n"/>
    </row>
    <row r="721" ht="12.75" customHeight="1" s="1883">
      <c r="C721" s="55" t="n"/>
    </row>
    <row r="722" ht="12.75" customHeight="1" s="1883">
      <c r="C722" s="55" t="n"/>
    </row>
    <row r="723" ht="12.75" customHeight="1" s="1883">
      <c r="C723" s="55" t="n"/>
    </row>
    <row r="724" ht="12.75" customHeight="1" s="1883">
      <c r="C724" s="55" t="n"/>
    </row>
    <row r="725" ht="12.75" customHeight="1" s="1883">
      <c r="C725" s="55" t="n"/>
    </row>
    <row r="726" ht="12.75" customHeight="1" s="1883">
      <c r="C726" s="55" t="n"/>
    </row>
    <row r="727" ht="12.75" customHeight="1" s="1883">
      <c r="C727" s="55" t="n"/>
    </row>
    <row r="728" ht="12.75" customHeight="1" s="1883">
      <c r="C728" s="55" t="n"/>
    </row>
    <row r="729" ht="12.75" customHeight="1" s="1883">
      <c r="C729" s="55" t="n"/>
    </row>
    <row r="730" ht="12.75" customHeight="1" s="1883">
      <c r="C730" s="55" t="n"/>
    </row>
    <row r="731" ht="12.75" customHeight="1" s="1883">
      <c r="C731" s="55" t="n"/>
    </row>
    <row r="732" ht="12.75" customHeight="1" s="1883">
      <c r="C732" s="55" t="n"/>
    </row>
    <row r="733" ht="12.75" customHeight="1" s="1883">
      <c r="C733" s="55" t="n"/>
    </row>
    <row r="734" ht="12.75" customHeight="1" s="1883">
      <c r="C734" s="55" t="n"/>
    </row>
    <row r="735" ht="12.75" customHeight="1" s="1883">
      <c r="C735" s="55" t="n"/>
    </row>
    <row r="736" ht="12.75" customHeight="1" s="1883">
      <c r="C736" s="55" t="n"/>
    </row>
    <row r="737" ht="12.75" customHeight="1" s="1883">
      <c r="C737" s="55" t="n"/>
    </row>
    <row r="738" ht="12.75" customHeight="1" s="1883">
      <c r="C738" s="55" t="n"/>
    </row>
    <row r="739" ht="12.75" customHeight="1" s="1883">
      <c r="C739" s="55" t="n"/>
    </row>
    <row r="740" ht="12.75" customHeight="1" s="1883">
      <c r="C740" s="55" t="n"/>
    </row>
    <row r="741" ht="12.75" customHeight="1" s="1883">
      <c r="C741" s="55" t="n"/>
    </row>
    <row r="742" ht="12.75" customHeight="1" s="1883">
      <c r="C742" s="55" t="n"/>
    </row>
    <row r="743" ht="12.75" customHeight="1" s="1883">
      <c r="C743" s="55" t="n"/>
    </row>
    <row r="744" ht="12.75" customHeight="1" s="1883">
      <c r="C744" s="55" t="n"/>
    </row>
    <row r="745" ht="12.75" customHeight="1" s="1883">
      <c r="C745" s="55" t="n"/>
    </row>
    <row r="746" ht="12.75" customHeight="1" s="1883">
      <c r="C746" s="55" t="n"/>
    </row>
    <row r="747" ht="12.75" customHeight="1" s="1883">
      <c r="C747" s="55" t="n"/>
    </row>
    <row r="748" ht="12.75" customHeight="1" s="1883">
      <c r="C748" s="55" t="n"/>
    </row>
    <row r="749" ht="12.75" customHeight="1" s="1883">
      <c r="C749" s="55" t="n"/>
    </row>
    <row r="750" ht="12.75" customHeight="1" s="1883">
      <c r="C750" s="55" t="n"/>
    </row>
    <row r="751" ht="12.75" customHeight="1" s="1883">
      <c r="C751" s="55" t="n"/>
    </row>
    <row r="752" ht="12.75" customHeight="1" s="1883">
      <c r="C752" s="55" t="n"/>
    </row>
    <row r="753" ht="12.75" customHeight="1" s="1883">
      <c r="C753" s="55" t="n"/>
    </row>
    <row r="754" ht="12.75" customHeight="1" s="1883">
      <c r="C754" s="55" t="n"/>
    </row>
    <row r="755" ht="12.75" customHeight="1" s="1883">
      <c r="C755" s="55" t="n"/>
    </row>
    <row r="756" ht="12.75" customHeight="1" s="1883">
      <c r="C756" s="55" t="n"/>
    </row>
    <row r="757" ht="12.75" customHeight="1" s="1883">
      <c r="C757" s="55" t="n"/>
    </row>
    <row r="758" ht="12.75" customHeight="1" s="1883">
      <c r="C758" s="55" t="n"/>
    </row>
    <row r="759" ht="12.75" customHeight="1" s="1883">
      <c r="C759" s="55" t="n"/>
    </row>
    <row r="760" ht="12.75" customHeight="1" s="1883">
      <c r="C760" s="55" t="n"/>
    </row>
    <row r="761" ht="12.75" customHeight="1" s="1883">
      <c r="C761" s="55" t="n"/>
    </row>
    <row r="762" ht="12.75" customHeight="1" s="1883">
      <c r="C762" s="55" t="n"/>
    </row>
    <row r="763" ht="12.75" customHeight="1" s="1883">
      <c r="C763" s="55" t="n"/>
    </row>
    <row r="764" ht="12.75" customHeight="1" s="1883">
      <c r="C764" s="55" t="n"/>
    </row>
    <row r="765" ht="12.75" customHeight="1" s="1883">
      <c r="C765" s="55" t="n"/>
    </row>
    <row r="766" ht="12.75" customHeight="1" s="1883">
      <c r="C766" s="55" t="n"/>
    </row>
    <row r="767" ht="12.75" customHeight="1" s="1883">
      <c r="C767" s="55" t="n"/>
    </row>
    <row r="768" ht="12.75" customHeight="1" s="1883">
      <c r="C768" s="55" t="n"/>
    </row>
    <row r="769" ht="12.75" customHeight="1" s="1883">
      <c r="C769" s="55" t="n"/>
    </row>
    <row r="770" ht="12.75" customHeight="1" s="1883">
      <c r="C770" s="55" t="n"/>
    </row>
    <row r="771" ht="12.75" customHeight="1" s="1883">
      <c r="C771" s="55" t="n"/>
    </row>
    <row r="772" ht="12.75" customHeight="1" s="1883">
      <c r="C772" s="55" t="n"/>
    </row>
    <row r="773" ht="12.75" customHeight="1" s="1883">
      <c r="C773" s="55" t="n"/>
    </row>
    <row r="774" ht="12.75" customHeight="1" s="1883">
      <c r="C774" s="55" t="n"/>
    </row>
    <row r="775" ht="12.75" customHeight="1" s="1883">
      <c r="C775" s="55" t="n"/>
    </row>
    <row r="776" ht="12.75" customHeight="1" s="1883">
      <c r="C776" s="55" t="n"/>
    </row>
    <row r="777" ht="12.75" customHeight="1" s="1883">
      <c r="C777" s="55" t="n"/>
    </row>
    <row r="778" ht="12.75" customHeight="1" s="1883">
      <c r="C778" s="55" t="n"/>
    </row>
    <row r="779" ht="12.75" customHeight="1" s="1883">
      <c r="C779" s="55" t="n"/>
    </row>
    <row r="780" ht="12.75" customHeight="1" s="1883">
      <c r="C780" s="55" t="n"/>
    </row>
    <row r="781" ht="12.75" customHeight="1" s="1883">
      <c r="C781" s="55" t="n"/>
    </row>
    <row r="782" ht="12.75" customHeight="1" s="1883">
      <c r="C782" s="55" t="n"/>
    </row>
    <row r="783" ht="12.75" customHeight="1" s="1883">
      <c r="C783" s="55" t="n"/>
    </row>
    <row r="784" ht="12.75" customHeight="1" s="1883">
      <c r="C784" s="55" t="n"/>
    </row>
    <row r="785" ht="12.75" customHeight="1" s="1883">
      <c r="C785" s="55" t="n"/>
    </row>
    <row r="786" ht="12.75" customHeight="1" s="1883">
      <c r="C786" s="55" t="n"/>
    </row>
    <row r="787" ht="12.75" customHeight="1" s="1883">
      <c r="C787" s="55" t="n"/>
    </row>
    <row r="788" ht="12.75" customHeight="1" s="1883">
      <c r="C788" s="55" t="n"/>
    </row>
    <row r="789" ht="12.75" customHeight="1" s="1883">
      <c r="C789" s="55" t="n"/>
    </row>
    <row r="790" ht="12.75" customHeight="1" s="1883">
      <c r="C790" s="55" t="n"/>
    </row>
    <row r="791" ht="12.75" customHeight="1" s="1883">
      <c r="C791" s="55" t="n"/>
    </row>
    <row r="792" ht="12.75" customHeight="1" s="1883">
      <c r="C792" s="55" t="n"/>
    </row>
    <row r="793" ht="12.75" customHeight="1" s="1883">
      <c r="C793" s="55" t="n"/>
    </row>
    <row r="794" ht="12.75" customHeight="1" s="1883">
      <c r="C794" s="55" t="n"/>
    </row>
    <row r="795" ht="12.75" customHeight="1" s="1883">
      <c r="C795" s="55" t="n"/>
    </row>
    <row r="796" ht="12.75" customHeight="1" s="1883">
      <c r="C796" s="55" t="n"/>
    </row>
    <row r="797" ht="12.75" customHeight="1" s="1883">
      <c r="C797" s="55" t="n"/>
    </row>
    <row r="798" ht="12.75" customHeight="1" s="1883">
      <c r="C798" s="55" t="n"/>
    </row>
    <row r="799" ht="12.75" customHeight="1" s="1883">
      <c r="C799" s="55" t="n"/>
    </row>
    <row r="800" ht="12.75" customHeight="1" s="1883">
      <c r="C800" s="55" t="n"/>
    </row>
    <row r="801" ht="12.75" customHeight="1" s="1883">
      <c r="C801" s="55" t="n"/>
    </row>
    <row r="802" ht="12.75" customHeight="1" s="1883">
      <c r="C802" s="55" t="n"/>
    </row>
    <row r="803" ht="12.75" customHeight="1" s="1883">
      <c r="C803" s="55" t="n"/>
    </row>
    <row r="804" ht="12.75" customHeight="1" s="1883">
      <c r="C804" s="55" t="n"/>
    </row>
    <row r="805" ht="12.75" customHeight="1" s="1883">
      <c r="C805" s="55" t="n"/>
    </row>
    <row r="806" ht="12.75" customHeight="1" s="1883">
      <c r="C806" s="55" t="n"/>
    </row>
    <row r="807" ht="12.75" customHeight="1" s="1883">
      <c r="C807" s="55" t="n"/>
    </row>
    <row r="808" ht="12.75" customHeight="1" s="1883">
      <c r="C808" s="55" t="n"/>
    </row>
    <row r="809" ht="12.75" customHeight="1" s="1883">
      <c r="C809" s="55" t="n"/>
    </row>
    <row r="810" ht="12.75" customHeight="1" s="1883">
      <c r="C810" s="55" t="n"/>
    </row>
    <row r="811" ht="12.75" customHeight="1" s="1883">
      <c r="C811" s="55" t="n"/>
    </row>
    <row r="812" ht="12.75" customHeight="1" s="1883">
      <c r="C812" s="55" t="n"/>
    </row>
    <row r="813" ht="12.75" customHeight="1" s="1883">
      <c r="C813" s="55" t="n"/>
    </row>
    <row r="814" ht="12.75" customHeight="1" s="1883">
      <c r="C814" s="55" t="n"/>
    </row>
    <row r="815" ht="12.75" customHeight="1" s="1883">
      <c r="C815" s="55" t="n"/>
    </row>
    <row r="816" ht="12.75" customHeight="1" s="1883">
      <c r="C816" s="55" t="n"/>
    </row>
    <row r="817" ht="12.75" customHeight="1" s="1883">
      <c r="C817" s="55" t="n"/>
    </row>
    <row r="818" ht="12.75" customHeight="1" s="1883">
      <c r="C818" s="55" t="n"/>
    </row>
    <row r="819" ht="12.75" customHeight="1" s="1883">
      <c r="C819" s="55" t="n"/>
    </row>
    <row r="820" ht="12.75" customHeight="1" s="1883">
      <c r="C820" s="55" t="n"/>
    </row>
    <row r="821" ht="12.75" customHeight="1" s="1883">
      <c r="C821" s="55" t="n"/>
    </row>
    <row r="822" ht="12.75" customHeight="1" s="1883">
      <c r="C822" s="55" t="n"/>
    </row>
    <row r="823" ht="12.75" customHeight="1" s="1883">
      <c r="C823" s="55" t="n"/>
    </row>
    <row r="824" ht="12.75" customHeight="1" s="1883">
      <c r="C824" s="55" t="n"/>
    </row>
    <row r="825" ht="12.75" customHeight="1" s="1883">
      <c r="C825" s="55" t="n"/>
    </row>
    <row r="826" ht="12.75" customHeight="1" s="1883">
      <c r="C826" s="55" t="n"/>
    </row>
    <row r="827" ht="12.75" customHeight="1" s="1883">
      <c r="C827" s="55" t="n"/>
    </row>
    <row r="828" ht="12.75" customHeight="1" s="1883">
      <c r="C828" s="55" t="n"/>
    </row>
    <row r="829" ht="12.75" customHeight="1" s="1883">
      <c r="C829" s="55" t="n"/>
    </row>
    <row r="830" ht="12.75" customHeight="1" s="1883">
      <c r="C830" s="55" t="n"/>
    </row>
    <row r="831" ht="12.75" customHeight="1" s="1883">
      <c r="C831" s="55" t="n"/>
    </row>
    <row r="832" ht="12.75" customHeight="1" s="1883">
      <c r="C832" s="55" t="n"/>
    </row>
    <row r="833" ht="12.75" customHeight="1" s="1883">
      <c r="C833" s="55" t="n"/>
    </row>
    <row r="834" ht="12.75" customHeight="1" s="1883">
      <c r="C834" s="55" t="n"/>
    </row>
    <row r="835" ht="12.75" customHeight="1" s="1883">
      <c r="C835" s="55" t="n"/>
    </row>
    <row r="836" ht="12.75" customHeight="1" s="1883">
      <c r="C836" s="55" t="n"/>
    </row>
    <row r="837" ht="12.75" customHeight="1" s="1883">
      <c r="C837" s="55" t="n"/>
    </row>
    <row r="838" ht="12.75" customHeight="1" s="1883">
      <c r="C838" s="55" t="n"/>
    </row>
    <row r="839" ht="12.75" customHeight="1" s="1883">
      <c r="C839" s="55" t="n"/>
    </row>
    <row r="840" ht="12.75" customHeight="1" s="1883">
      <c r="C840" s="55" t="n"/>
    </row>
    <row r="841" ht="12.75" customHeight="1" s="1883">
      <c r="C841" s="55" t="n"/>
    </row>
    <row r="842" ht="12.75" customHeight="1" s="1883">
      <c r="C842" s="55" t="n"/>
    </row>
    <row r="843" ht="12.75" customHeight="1" s="1883">
      <c r="C843" s="55" t="n"/>
    </row>
    <row r="844" ht="12.75" customHeight="1" s="1883">
      <c r="C844" s="55" t="n"/>
    </row>
    <row r="845" ht="12.75" customHeight="1" s="1883">
      <c r="C845" s="55" t="n"/>
    </row>
    <row r="846" ht="12.75" customHeight="1" s="1883">
      <c r="C846" s="55" t="n"/>
    </row>
    <row r="847" ht="12.75" customHeight="1" s="1883">
      <c r="C847" s="55" t="n"/>
    </row>
    <row r="848" ht="12.75" customHeight="1" s="1883">
      <c r="C848" s="55" t="n"/>
    </row>
    <row r="849" ht="12.75" customHeight="1" s="1883">
      <c r="C849" s="55" t="n"/>
    </row>
    <row r="850" ht="12.75" customHeight="1" s="1883">
      <c r="C850" s="55" t="n"/>
    </row>
    <row r="851" ht="12.75" customHeight="1" s="1883">
      <c r="C851" s="55" t="n"/>
    </row>
    <row r="852" ht="12.75" customHeight="1" s="1883">
      <c r="C852" s="55" t="n"/>
    </row>
    <row r="853" ht="12.75" customHeight="1" s="1883">
      <c r="C853" s="55" t="n"/>
    </row>
    <row r="854" ht="12.75" customHeight="1" s="1883">
      <c r="C854" s="55" t="n"/>
    </row>
    <row r="855" ht="12.75" customHeight="1" s="1883">
      <c r="C855" s="55" t="n"/>
    </row>
    <row r="856" ht="12.75" customHeight="1" s="1883">
      <c r="C856" s="55" t="n"/>
    </row>
    <row r="857" ht="12.75" customHeight="1" s="1883">
      <c r="C857" s="55" t="n"/>
    </row>
    <row r="858" ht="12.75" customHeight="1" s="1883">
      <c r="C858" s="55" t="n"/>
    </row>
    <row r="859" ht="12.75" customHeight="1" s="1883">
      <c r="C859" s="55" t="n"/>
    </row>
    <row r="860" ht="12.75" customHeight="1" s="1883">
      <c r="C860" s="55" t="n"/>
    </row>
    <row r="861" ht="12.75" customHeight="1" s="1883">
      <c r="C861" s="55" t="n"/>
    </row>
    <row r="862" ht="12.75" customHeight="1" s="1883">
      <c r="C862" s="55" t="n"/>
    </row>
    <row r="863" ht="12.75" customHeight="1" s="1883">
      <c r="C863" s="55" t="n"/>
    </row>
    <row r="864" ht="12.75" customHeight="1" s="1883">
      <c r="C864" s="55" t="n"/>
    </row>
    <row r="865" ht="12.75" customHeight="1" s="1883">
      <c r="C865" s="55" t="n"/>
    </row>
    <row r="866" ht="12.75" customHeight="1" s="1883">
      <c r="C866" s="55" t="n"/>
    </row>
    <row r="867" ht="12.75" customHeight="1" s="1883">
      <c r="C867" s="55" t="n"/>
    </row>
    <row r="868" ht="12.75" customHeight="1" s="1883">
      <c r="C868" s="55" t="n"/>
    </row>
    <row r="869" ht="12.75" customHeight="1" s="1883">
      <c r="C869" s="55" t="n"/>
    </row>
    <row r="870" ht="12.75" customHeight="1" s="1883">
      <c r="C870" s="55" t="n"/>
    </row>
    <row r="871" ht="12.75" customHeight="1" s="1883">
      <c r="C871" s="55" t="n"/>
    </row>
    <row r="872" ht="12.75" customHeight="1" s="1883">
      <c r="C872" s="55" t="n"/>
    </row>
    <row r="873" ht="12.75" customHeight="1" s="1883">
      <c r="C873" s="55" t="n"/>
    </row>
    <row r="874" ht="12.75" customHeight="1" s="1883">
      <c r="C874" s="55" t="n"/>
    </row>
    <row r="875" ht="12.75" customHeight="1" s="1883">
      <c r="C875" s="55" t="n"/>
    </row>
    <row r="876" ht="12.75" customHeight="1" s="1883">
      <c r="C876" s="55" t="n"/>
    </row>
    <row r="877" ht="12.75" customHeight="1" s="1883">
      <c r="C877" s="55" t="n"/>
    </row>
    <row r="878" ht="12.75" customHeight="1" s="1883">
      <c r="C878" s="55" t="n"/>
    </row>
    <row r="879" ht="12.75" customHeight="1" s="1883">
      <c r="C879" s="55" t="n"/>
    </row>
    <row r="880" ht="12.75" customHeight="1" s="1883">
      <c r="C880" s="55" t="n"/>
    </row>
    <row r="881" ht="12.75" customHeight="1" s="1883">
      <c r="C881" s="55" t="n"/>
    </row>
    <row r="882" ht="12.75" customHeight="1" s="1883">
      <c r="C882" s="55" t="n"/>
    </row>
    <row r="883" ht="12.75" customHeight="1" s="1883">
      <c r="C883" s="55" t="n"/>
    </row>
    <row r="884" ht="12.75" customHeight="1" s="1883">
      <c r="C884" s="55" t="n"/>
    </row>
    <row r="885" ht="12.75" customHeight="1" s="1883">
      <c r="C885" s="55" t="n"/>
    </row>
    <row r="886" ht="12.75" customHeight="1" s="1883">
      <c r="C886" s="55" t="n"/>
    </row>
    <row r="887" ht="12.75" customHeight="1" s="1883">
      <c r="C887" s="55" t="n"/>
    </row>
    <row r="888" ht="12.75" customHeight="1" s="1883">
      <c r="C888" s="55" t="n"/>
    </row>
    <row r="889" ht="12.75" customHeight="1" s="1883">
      <c r="C889" s="55" t="n"/>
    </row>
    <row r="890" ht="12.75" customHeight="1" s="1883">
      <c r="C890" s="55" t="n"/>
    </row>
    <row r="891" ht="12.75" customHeight="1" s="1883">
      <c r="C891" s="55" t="n"/>
    </row>
    <row r="892" ht="12.75" customHeight="1" s="1883">
      <c r="C892" s="55" t="n"/>
    </row>
    <row r="893" ht="12.75" customHeight="1" s="1883">
      <c r="C893" s="55" t="n"/>
    </row>
    <row r="894" ht="12.75" customHeight="1" s="1883">
      <c r="C894" s="55" t="n"/>
    </row>
    <row r="895" ht="12.75" customHeight="1" s="1883">
      <c r="C895" s="55" t="n"/>
    </row>
    <row r="896" ht="12.75" customHeight="1" s="1883">
      <c r="C896" s="55" t="n"/>
    </row>
    <row r="897" ht="12.75" customHeight="1" s="1883">
      <c r="C897" s="55" t="n"/>
    </row>
    <row r="898" ht="12.75" customHeight="1" s="1883">
      <c r="C898" s="55" t="n"/>
    </row>
    <row r="899" ht="12.75" customHeight="1" s="1883">
      <c r="C899" s="55" t="n"/>
    </row>
    <row r="900" ht="12.75" customHeight="1" s="1883">
      <c r="C900" s="55" t="n"/>
    </row>
    <row r="901" ht="12.75" customHeight="1" s="1883">
      <c r="C901" s="55" t="n"/>
    </row>
    <row r="902" ht="12.75" customHeight="1" s="1883">
      <c r="C902" s="55" t="n"/>
    </row>
    <row r="903" ht="12.75" customHeight="1" s="1883">
      <c r="C903" s="55" t="n"/>
    </row>
    <row r="904" ht="12.75" customHeight="1" s="1883">
      <c r="C904" s="55" t="n"/>
    </row>
    <row r="905" ht="12.75" customHeight="1" s="1883">
      <c r="C905" s="55" t="n"/>
    </row>
    <row r="906" ht="12.75" customHeight="1" s="1883">
      <c r="C906" s="55" t="n"/>
    </row>
    <row r="907" ht="12.75" customHeight="1" s="1883">
      <c r="C907" s="55" t="n"/>
    </row>
    <row r="908" ht="12.75" customHeight="1" s="1883">
      <c r="C908" s="55" t="n"/>
    </row>
    <row r="909" ht="12.75" customHeight="1" s="1883">
      <c r="C909" s="55" t="n"/>
    </row>
    <row r="910" ht="12.75" customHeight="1" s="1883">
      <c r="C910" s="55" t="n"/>
    </row>
    <row r="911" ht="12.75" customHeight="1" s="1883">
      <c r="C911" s="55" t="n"/>
    </row>
    <row r="912" ht="12.75" customHeight="1" s="1883">
      <c r="C912" s="55" t="n"/>
    </row>
    <row r="913" ht="12.75" customHeight="1" s="1883">
      <c r="C913" s="55" t="n"/>
    </row>
    <row r="914" ht="12.75" customHeight="1" s="1883">
      <c r="C914" s="55" t="n"/>
    </row>
    <row r="915" ht="12.75" customHeight="1" s="1883">
      <c r="C915" s="55" t="n"/>
    </row>
    <row r="916" ht="12.75" customHeight="1" s="1883">
      <c r="C916" s="55" t="n"/>
    </row>
    <row r="917" ht="12.75" customHeight="1" s="1883">
      <c r="C917" s="55" t="n"/>
    </row>
    <row r="918" ht="12.75" customHeight="1" s="1883">
      <c r="C918" s="55" t="n"/>
    </row>
    <row r="919" ht="12.75" customHeight="1" s="1883">
      <c r="C919" s="55" t="n"/>
    </row>
    <row r="920" ht="12.75" customHeight="1" s="1883">
      <c r="C920" s="55" t="n"/>
    </row>
    <row r="921" ht="12.75" customHeight="1" s="1883">
      <c r="C921" s="55" t="n"/>
    </row>
    <row r="922" ht="12.75" customHeight="1" s="1883">
      <c r="C922" s="55" t="n"/>
    </row>
    <row r="923" ht="12.75" customHeight="1" s="1883">
      <c r="C923" s="55" t="n"/>
    </row>
    <row r="924" ht="12.75" customHeight="1" s="1883">
      <c r="C924" s="55" t="n"/>
    </row>
    <row r="925" ht="12.75" customHeight="1" s="1883">
      <c r="C925" s="55" t="n"/>
    </row>
    <row r="926" ht="12.75" customHeight="1" s="1883">
      <c r="C926" s="55" t="n"/>
    </row>
    <row r="927" ht="12.75" customHeight="1" s="1883">
      <c r="C927" s="55" t="n"/>
    </row>
    <row r="928" ht="12.75" customHeight="1" s="1883">
      <c r="C928" s="55" t="n"/>
    </row>
    <row r="929" ht="12.75" customHeight="1" s="1883">
      <c r="C929" s="55" t="n"/>
    </row>
    <row r="930" ht="12.75" customHeight="1" s="1883">
      <c r="C930" s="55" t="n"/>
    </row>
    <row r="931" ht="12.75" customHeight="1" s="1883">
      <c r="C931" s="55" t="n"/>
    </row>
    <row r="932" ht="12.75" customHeight="1" s="1883">
      <c r="C932" s="55" t="n"/>
    </row>
    <row r="933" ht="12.75" customHeight="1" s="1883">
      <c r="C933" s="55" t="n"/>
    </row>
    <row r="934" ht="12.75" customHeight="1" s="1883">
      <c r="C934" s="55" t="n"/>
    </row>
    <row r="935" ht="12.75" customHeight="1" s="1883">
      <c r="C935" s="55" t="n"/>
    </row>
    <row r="936" ht="12.75" customHeight="1" s="1883">
      <c r="C936" s="55" t="n"/>
    </row>
    <row r="937" ht="12.75" customHeight="1" s="1883">
      <c r="C937" s="55" t="n"/>
    </row>
    <row r="938" ht="12.75" customHeight="1" s="1883">
      <c r="C938" s="55" t="n"/>
    </row>
    <row r="939" ht="12.75" customHeight="1" s="1883">
      <c r="C939" s="55" t="n"/>
    </row>
    <row r="940" ht="12.75" customHeight="1" s="1883">
      <c r="C940" s="55" t="n"/>
    </row>
    <row r="941" ht="12.75" customHeight="1" s="1883">
      <c r="C941" s="55" t="n"/>
    </row>
    <row r="942" ht="12.75" customHeight="1" s="1883">
      <c r="C942" s="55" t="n"/>
    </row>
    <row r="943" ht="12.75" customHeight="1" s="1883">
      <c r="C943" s="55" t="n"/>
    </row>
    <row r="944" ht="12.75" customHeight="1" s="1883">
      <c r="C944" s="55" t="n"/>
    </row>
    <row r="945" ht="12.75" customHeight="1" s="1883">
      <c r="C945" s="55" t="n"/>
    </row>
    <row r="946" ht="12.75" customHeight="1" s="1883">
      <c r="C946" s="55" t="n"/>
    </row>
    <row r="947" ht="12.75" customHeight="1" s="1883">
      <c r="C947" s="55" t="n"/>
    </row>
    <row r="948" ht="12.75" customHeight="1" s="1883">
      <c r="C948" s="55" t="n"/>
    </row>
    <row r="949" ht="12.75" customHeight="1" s="1883">
      <c r="C949" s="55" t="n"/>
    </row>
    <row r="950" ht="12.75" customHeight="1" s="1883">
      <c r="C950" s="55" t="n"/>
    </row>
    <row r="951" ht="12.75" customHeight="1" s="1883">
      <c r="C951" s="55" t="n"/>
    </row>
    <row r="952" ht="12.75" customHeight="1" s="1883">
      <c r="C952" s="55" t="n"/>
    </row>
    <row r="953" ht="12.75" customHeight="1" s="1883">
      <c r="C953" s="55" t="n"/>
    </row>
    <row r="954" ht="12.75" customHeight="1" s="1883">
      <c r="C954" s="55" t="n"/>
    </row>
    <row r="955" ht="12.75" customHeight="1" s="1883">
      <c r="C955" s="55" t="n"/>
    </row>
    <row r="956" ht="12.75" customHeight="1" s="1883">
      <c r="C956" s="55" t="n"/>
    </row>
    <row r="957" ht="12.75" customHeight="1" s="1883">
      <c r="C957" s="55" t="n"/>
    </row>
    <row r="958" ht="12.75" customHeight="1" s="1883">
      <c r="C958" s="55" t="n"/>
    </row>
    <row r="959" ht="12.75" customHeight="1" s="1883">
      <c r="C959" s="55" t="n"/>
    </row>
    <row r="960" ht="12.75" customHeight="1" s="1883">
      <c r="C960" s="55" t="n"/>
    </row>
    <row r="961" ht="12.75" customHeight="1" s="1883">
      <c r="C961" s="55" t="n"/>
    </row>
    <row r="962" ht="12.75" customHeight="1" s="1883">
      <c r="C962" s="55" t="n"/>
    </row>
    <row r="963" ht="12.75" customHeight="1" s="1883">
      <c r="C963" s="55" t="n"/>
    </row>
    <row r="964" ht="12.75" customHeight="1" s="1883">
      <c r="C964" s="55" t="n"/>
    </row>
    <row r="965" ht="12.75" customHeight="1" s="1883">
      <c r="C965" s="55" t="n"/>
    </row>
    <row r="966" ht="12.75" customHeight="1" s="1883">
      <c r="C966" s="55" t="n"/>
    </row>
    <row r="967" ht="12.75" customHeight="1" s="1883">
      <c r="C967" s="55" t="n"/>
    </row>
    <row r="968" ht="12.75" customHeight="1" s="1883">
      <c r="C968" s="55" t="n"/>
    </row>
    <row r="969" ht="12.75" customHeight="1" s="1883">
      <c r="C969" s="55" t="n"/>
    </row>
    <row r="970" ht="12.75" customHeight="1" s="1883">
      <c r="C970" s="55" t="n"/>
    </row>
    <row r="971" ht="12.75" customHeight="1" s="1883">
      <c r="C971" s="55" t="n"/>
    </row>
    <row r="972" ht="12.75" customHeight="1" s="1883">
      <c r="C972" s="55" t="n"/>
    </row>
    <row r="973" ht="12.75" customHeight="1" s="1883">
      <c r="C973" s="55" t="n"/>
    </row>
    <row r="974" ht="12.75" customHeight="1" s="1883">
      <c r="C974" s="55" t="n"/>
    </row>
    <row r="975" ht="12.75" customHeight="1" s="1883">
      <c r="C975" s="55" t="n"/>
    </row>
    <row r="976" ht="12.75" customHeight="1" s="1883">
      <c r="C976" s="55" t="n"/>
    </row>
    <row r="977" ht="12.75" customHeight="1" s="1883">
      <c r="C977" s="55" t="n"/>
    </row>
    <row r="978" ht="12.75" customHeight="1" s="1883">
      <c r="C978" s="55" t="n"/>
    </row>
    <row r="979" ht="12.75" customHeight="1" s="1883">
      <c r="C979" s="55" t="n"/>
    </row>
    <row r="980" ht="12.75" customHeight="1" s="1883">
      <c r="C980" s="55" t="n"/>
    </row>
    <row r="981" ht="12.75" customHeight="1" s="1883">
      <c r="C981" s="55" t="n"/>
    </row>
    <row r="982" ht="12.75" customHeight="1" s="1883">
      <c r="C982" s="55" t="n"/>
    </row>
    <row r="983" ht="12.75" customHeight="1" s="1883">
      <c r="C983" s="55" t="n"/>
    </row>
    <row r="984" ht="12.75" customHeight="1" s="1883">
      <c r="C984" s="55" t="n"/>
    </row>
    <row r="985" ht="12.75" customHeight="1" s="1883">
      <c r="C985" s="55" t="n"/>
    </row>
    <row r="986" ht="12.75" customHeight="1" s="1883">
      <c r="C986" s="55" t="n"/>
    </row>
    <row r="987" ht="12.75" customHeight="1" s="1883">
      <c r="C987" s="55" t="n"/>
    </row>
    <row r="988" ht="12.75" customHeight="1" s="1883">
      <c r="C988" s="55" t="n"/>
    </row>
    <row r="989" ht="12.75" customHeight="1" s="1883">
      <c r="C989" s="55" t="n"/>
    </row>
    <row r="990" ht="12.75" customHeight="1" s="1883">
      <c r="C990" s="55" t="n"/>
    </row>
    <row r="991" ht="12.75" customHeight="1" s="1883">
      <c r="C991" s="55" t="n"/>
    </row>
    <row r="992" ht="12.75" customHeight="1" s="1883">
      <c r="C992" s="55" t="n"/>
    </row>
    <row r="993" ht="12.75" customHeight="1" s="1883">
      <c r="C993" s="55" t="n"/>
    </row>
    <row r="994" ht="12.75" customHeight="1" s="1883">
      <c r="C994" s="55" t="n"/>
    </row>
    <row r="995" ht="12.75" customHeight="1" s="1883">
      <c r="C995" s="55" t="n"/>
    </row>
    <row r="996" ht="12.75" customHeight="1" s="1883">
      <c r="C996" s="55" t="n"/>
    </row>
    <row r="997" ht="12.75" customHeight="1" s="1883">
      <c r="C997" s="55" t="n"/>
    </row>
    <row r="998" ht="12.75" customHeight="1" s="1883">
      <c r="C998" s="55" t="n"/>
    </row>
    <row r="999" ht="12.75" customHeight="1" s="1883">
      <c r="C999" s="55" t="n"/>
    </row>
    <row r="1000" ht="12.75" customHeight="1" s="1883">
      <c r="C1000" s="55" t="n"/>
    </row>
    <row r="1001" ht="12.75" customHeight="1" s="1883">
      <c r="C1001" s="55" t="n"/>
    </row>
    <row r="1002" ht="12.75" customHeight="1" s="1883">
      <c r="C1002" s="55" t="n"/>
    </row>
    <row r="1003" ht="12.75" customHeight="1" s="1883">
      <c r="C1003" s="55" t="n"/>
    </row>
    <row r="1004" ht="12.75" customHeight="1" s="1883">
      <c r="C1004" s="55" t="n"/>
    </row>
    <row r="1005" ht="12.75" customHeight="1" s="1883">
      <c r="C1005" s="55" t="n"/>
    </row>
    <row r="1006" ht="12.75" customHeight="1" s="1883">
      <c r="C1006" s="55" t="n"/>
    </row>
    <row r="1007" ht="12.75" customHeight="1" s="1883">
      <c r="C1007" s="55" t="n"/>
    </row>
    <row r="1008" ht="12.75" customHeight="1" s="1883">
      <c r="C1008" s="55" t="n"/>
    </row>
    <row r="1009" ht="12.75" customHeight="1" s="1883">
      <c r="C1009" s="55" t="n"/>
    </row>
    <row r="1010" ht="12.75" customHeight="1" s="1883">
      <c r="C1010" s="55" t="n"/>
    </row>
    <row r="1011" ht="12.75" customHeight="1" s="1883">
      <c r="C1011" s="55" t="n"/>
    </row>
    <row r="1012" ht="12.75" customHeight="1" s="1883">
      <c r="C1012" s="55" t="n"/>
    </row>
    <row r="1013" ht="12.75" customHeight="1" s="1883">
      <c r="C1013" s="55" t="n"/>
    </row>
    <row r="1014" ht="12.75" customHeight="1" s="1883">
      <c r="C1014" s="55" t="n"/>
    </row>
    <row r="1015" ht="12.75" customHeight="1" s="1883">
      <c r="C1015" s="55" t="n"/>
    </row>
    <row r="1016" ht="12.75" customHeight="1" s="1883">
      <c r="C1016" s="55" t="n"/>
    </row>
    <row r="1017" ht="12.75" customHeight="1" s="1883">
      <c r="C1017" s="55" t="n"/>
    </row>
    <row r="1018" ht="12.75" customHeight="1" s="1883">
      <c r="C1018" s="55" t="n"/>
    </row>
    <row r="1019" ht="12.75" customHeight="1" s="1883">
      <c r="C1019" s="55" t="n"/>
    </row>
    <row r="1020" ht="12.75" customHeight="1" s="1883">
      <c r="C1020" s="55" t="n"/>
    </row>
    <row r="1021" ht="12.75" customHeight="1" s="1883">
      <c r="C1021" s="55" t="n"/>
    </row>
    <row r="1022" ht="12.75" customHeight="1" s="1883">
      <c r="C1022" s="55" t="n"/>
    </row>
    <row r="1023" ht="12.75" customHeight="1" s="1883">
      <c r="C1023" s="55" t="n"/>
    </row>
    <row r="1024" ht="12.75" customHeight="1" s="1883">
      <c r="C1024" s="55" t="n"/>
    </row>
    <row r="1025" ht="12.75" customHeight="1" s="1883">
      <c r="C1025" s="55" t="n"/>
    </row>
    <row r="1026" ht="12.75" customHeight="1" s="1883">
      <c r="C1026" s="55" t="n"/>
    </row>
    <row r="1027" ht="12.75" customHeight="1" s="1883">
      <c r="C1027" s="55" t="n"/>
    </row>
    <row r="1028" ht="12.75" customHeight="1" s="1883">
      <c r="C1028" s="55" t="n"/>
    </row>
  </sheetData>
  <mergeCells count="19">
    <mergeCell ref="I108:J108"/>
    <mergeCell ref="AN104:AO104"/>
    <mergeCell ref="I113:J113"/>
    <mergeCell ref="O108:P108"/>
    <mergeCell ref="AN100:AO100"/>
    <mergeCell ref="I112:J112"/>
    <mergeCell ref="O112:P112"/>
    <mergeCell ref="R1:R3"/>
    <mergeCell ref="AN105:AO105"/>
    <mergeCell ref="I111:J111"/>
    <mergeCell ref="AN106:AO106"/>
    <mergeCell ref="AN102:AO102"/>
    <mergeCell ref="O109:P109"/>
    <mergeCell ref="O110:P110"/>
    <mergeCell ref="I110:J110"/>
    <mergeCell ref="I109:J109"/>
    <mergeCell ref="AN101:AO101"/>
    <mergeCell ref="AN103:AO103"/>
    <mergeCell ref="O111:P111"/>
  </mergeCells>
  <pageMargins left="0.7" right="0.7" top="0.75" bottom="0.75" header="0.3" footer="0.3"/>
  <pageSetup orientation="portrait" horizontalDpi="0" verticalDpi="0"/>
  <legacyDrawing xmlns:r="http://schemas.openxmlformats.org/officeDocument/2006/relationships" r:id="anysvml"/>
</worksheet>
</file>

<file path=xl/worksheets/sheet20.xml><?xml version="1.0" encoding="utf-8"?>
<worksheet xmlns="http://schemas.openxmlformats.org/spreadsheetml/2006/main">
  <sheetPr>
    <tabColor rgb="FFCDFFCD"/>
    <outlinePr summaryBelow="1" summaryRight="1"/>
    <pageSetUpPr/>
  </sheetPr>
  <dimension ref="B2:V127"/>
  <sheetViews>
    <sheetView topLeftCell="A8" zoomScaleNormal="100" workbookViewId="0">
      <selection activeCell="G18" sqref="G18"/>
    </sheetView>
  </sheetViews>
  <sheetFormatPr baseColWidth="10" defaultColWidth="8.6640625" defaultRowHeight="13"/>
  <cols>
    <col width="2.6640625" customWidth="1" style="1883" min="1" max="4"/>
    <col width="32.33203125" customWidth="1" style="1883" min="5" max="5"/>
    <col width="2.6640625" customWidth="1" style="1883" min="6" max="6"/>
    <col width="20.1640625" customWidth="1" style="1883" min="7" max="12"/>
    <col width="18" customWidth="1" style="1883" min="13" max="18"/>
    <col width="1.6640625" customWidth="1" style="1883" min="19" max="19"/>
    <col width="18.6640625" customWidth="1" style="1883" min="20" max="20"/>
    <col width="2.6640625" customWidth="1" style="1883" min="21" max="21"/>
    <col width="12.6640625" bestFit="1" customWidth="1" style="1883" min="22" max="22"/>
  </cols>
  <sheetData>
    <row r="2" ht="15" customHeight="1" s="1883">
      <c r="B2" s="1882" t="inlineStr">
        <is>
          <t>PURE TECHNOLOGY</t>
        </is>
      </c>
    </row>
    <row r="3" ht="4.5" customHeight="1" s="1883">
      <c r="B3" s="383" t="n"/>
      <c r="C3" s="383" t="n"/>
      <c r="D3" s="383" t="n"/>
      <c r="E3" s="383" t="n"/>
      <c r="F3" s="383" t="n"/>
      <c r="G3" s="383" t="n"/>
      <c r="H3" s="383" t="n"/>
      <c r="I3" s="383" t="n"/>
      <c r="J3" s="383" t="n"/>
      <c r="K3" s="383" t="n"/>
      <c r="L3" s="383" t="n"/>
      <c r="M3" s="383" t="n"/>
      <c r="N3" s="383" t="n"/>
      <c r="O3" s="383" t="n"/>
      <c r="P3" s="383" t="n"/>
      <c r="Q3" s="383" t="n"/>
      <c r="R3" s="383" t="n"/>
      <c r="S3" s="383" t="n"/>
      <c r="T3" s="383" t="n"/>
    </row>
    <row r="4" ht="15" customHeight="1" s="1883">
      <c r="B4" s="1936" t="inlineStr">
        <is>
          <t>PURE INFLUENCE REVENUE</t>
        </is>
      </c>
    </row>
    <row r="5" ht="4.5" customHeight="1" s="1883">
      <c r="B5" s="422" t="n"/>
      <c r="C5" s="383" t="n"/>
      <c r="D5" s="383" t="n"/>
      <c r="E5" s="383" t="n"/>
      <c r="F5" s="383" t="n"/>
      <c r="G5" s="383" t="n"/>
      <c r="H5" s="383" t="n"/>
      <c r="I5" s="383" t="n"/>
      <c r="J5" s="383" t="n"/>
      <c r="K5" s="383" t="n"/>
      <c r="L5" s="383" t="n"/>
      <c r="M5" s="383" t="n"/>
      <c r="N5" s="383" t="n"/>
      <c r="O5" s="383" t="n"/>
      <c r="P5" s="383" t="n"/>
      <c r="Q5" s="383" t="n"/>
      <c r="R5" s="383" t="n"/>
      <c r="S5" s="383" t="n"/>
      <c r="T5" s="383" t="n"/>
    </row>
    <row r="6" ht="15" customHeight="1" s="1883">
      <c r="B6" s="1936" t="inlineStr">
        <is>
          <t>BY MONTH, MONTHS 1 - 60</t>
        </is>
      </c>
    </row>
    <row r="7" ht="15" customHeight="1" s="1883" thickBot="1">
      <c r="B7" s="1885" t="n"/>
      <c r="C7" s="1885" t="n"/>
      <c r="D7" s="1885" t="n"/>
      <c r="E7" s="1885" t="n"/>
      <c r="F7" s="1885" t="n"/>
      <c r="G7" s="1885" t="n"/>
      <c r="H7" s="1885" t="n"/>
      <c r="I7" s="1885" t="n"/>
      <c r="J7" s="1885" t="n"/>
      <c r="K7" s="1885" t="n"/>
      <c r="L7" s="1885" t="n"/>
      <c r="M7" s="1885" t="n"/>
      <c r="N7" s="1885" t="n"/>
      <c r="O7" s="1885" t="n"/>
      <c r="P7" s="1885" t="n"/>
      <c r="Q7" s="1885" t="n"/>
      <c r="R7" s="1885" t="n"/>
      <c r="S7" s="1885" t="n"/>
      <c r="T7" s="1885" t="n"/>
    </row>
    <row r="8" ht="15" customHeight="1" s="1883" thickTop="1">
      <c r="B8" s="383" t="n"/>
      <c r="C8" s="383" t="n"/>
      <c r="D8" s="383" t="n"/>
      <c r="E8" s="383" t="n"/>
      <c r="F8" s="383" t="n"/>
      <c r="G8" s="383" t="n"/>
      <c r="H8" s="383" t="n"/>
      <c r="I8" s="383" t="n"/>
      <c r="J8" s="383" t="n"/>
      <c r="K8" s="383" t="n"/>
      <c r="L8" s="383" t="n"/>
      <c r="M8" s="383" t="n"/>
      <c r="N8" s="383" t="n"/>
      <c r="O8" s="383" t="n"/>
      <c r="P8" s="383" t="n"/>
      <c r="Q8" s="383" t="n"/>
      <c r="R8" s="383" t="n"/>
      <c r="S8" s="383" t="n"/>
      <c r="T8" s="383" t="n"/>
    </row>
    <row r="9" ht="15" customHeight="1" s="1883">
      <c r="B9" s="383" t="n"/>
      <c r="C9" s="383" t="n"/>
      <c r="D9" s="383" t="n"/>
      <c r="E9" s="383" t="n"/>
      <c r="F9" s="383" t="n"/>
      <c r="G9" s="1882" t="inlineStr">
        <is>
          <t>Pre-Launch Month</t>
        </is>
      </c>
      <c r="S9" s="383" t="n"/>
      <c r="T9" s="386" t="inlineStr">
        <is>
          <t>Total</t>
        </is>
      </c>
    </row>
    <row r="10" ht="3" customHeight="1" s="1883">
      <c r="B10" s="383" t="n"/>
      <c r="C10" s="383" t="n"/>
      <c r="D10" s="383" t="n"/>
      <c r="E10" s="383" t="n"/>
      <c r="F10" s="383" t="n"/>
      <c r="G10" s="387" t="n"/>
      <c r="H10" s="387" t="n"/>
      <c r="I10" s="387" t="n"/>
      <c r="J10" s="387" t="n"/>
      <c r="K10" s="387" t="n"/>
      <c r="L10" s="387" t="n"/>
      <c r="M10" s="387" t="n"/>
      <c r="N10" s="387" t="n"/>
      <c r="O10" s="387" t="n"/>
      <c r="P10" s="387" t="n"/>
      <c r="Q10" s="387" t="n"/>
      <c r="R10" s="387" t="n"/>
      <c r="S10" s="383" t="n"/>
      <c r="T10" s="387" t="n"/>
    </row>
    <row r="11" ht="3" customHeight="1" s="1883">
      <c r="B11" s="383" t="n"/>
      <c r="C11" s="383" t="n"/>
      <c r="D11" s="383" t="n"/>
      <c r="E11" s="383" t="n"/>
      <c r="F11" s="383" t="n"/>
      <c r="G11" s="383" t="n"/>
      <c r="H11" s="383" t="n"/>
      <c r="I11" s="383" t="n"/>
      <c r="J11" s="383" t="n"/>
      <c r="K11" s="383" t="n"/>
      <c r="L11" s="383" t="n"/>
      <c r="M11" s="383" t="n"/>
      <c r="N11" s="383" t="n"/>
      <c r="O11" s="383" t="n"/>
      <c r="P11" s="383" t="n"/>
      <c r="Q11" s="383" t="n"/>
      <c r="R11" s="383" t="n"/>
      <c r="S11" s="383" t="n"/>
      <c r="T11" s="383" t="n"/>
    </row>
    <row r="12" ht="15" customHeight="1" s="1883">
      <c r="B12" s="383" t="n"/>
      <c r="C12" s="383" t="n"/>
      <c r="D12" s="383" t="n"/>
      <c r="E12" s="383" t="n"/>
      <c r="F12" s="383" t="n"/>
      <c r="G12" s="456" t="inlineStr">
        <is>
          <t>-12</t>
        </is>
      </c>
      <c r="H12" s="386">
        <f>((G12)+(1))</f>
        <v/>
      </c>
      <c r="I12" s="386">
        <f>((H12)+(1))</f>
        <v/>
      </c>
      <c r="J12" s="386">
        <f>((I12)+(1))</f>
        <v/>
      </c>
      <c r="K12" s="386">
        <f>((J12)+(1))</f>
        <v/>
      </c>
      <c r="L12" s="386">
        <f>((K12)+(1))</f>
        <v/>
      </c>
      <c r="M12" s="386">
        <f>((L12)+(1))</f>
        <v/>
      </c>
      <c r="N12" s="386">
        <f>((M12)+(1))</f>
        <v/>
      </c>
      <c r="O12" s="386">
        <f>((N12)+(1))</f>
        <v/>
      </c>
      <c r="P12" s="386">
        <f>((O12)+(1))</f>
        <v/>
      </c>
      <c r="Q12" s="386">
        <f>((P12)+(1))</f>
        <v/>
      </c>
      <c r="R12" s="386">
        <f>((Q12)+(1))</f>
        <v/>
      </c>
      <c r="S12" s="383" t="n"/>
      <c r="T12" s="456" t="inlineStr">
        <is>
          <t>Months - 12 to - 1</t>
        </is>
      </c>
    </row>
    <row r="13" ht="3" customHeight="1" s="1883">
      <c r="B13" s="383" t="n"/>
      <c r="C13" s="383" t="n"/>
      <c r="D13" s="383" t="n"/>
      <c r="E13" s="383" t="n"/>
      <c r="F13" s="383" t="n"/>
      <c r="G13" s="387" t="n"/>
      <c r="H13" s="387" t="n"/>
      <c r="I13" s="387" t="n"/>
      <c r="J13" s="387" t="n"/>
      <c r="K13" s="387" t="n"/>
      <c r="L13" s="387" t="n"/>
      <c r="M13" s="387" t="n"/>
      <c r="N13" s="387" t="n"/>
      <c r="O13" s="387" t="n"/>
      <c r="P13" s="387" t="n"/>
      <c r="Q13" s="387" t="n"/>
      <c r="R13" s="387" t="n"/>
      <c r="S13" s="383" t="n"/>
      <c r="T13" s="387" t="n"/>
    </row>
    <row r="14" ht="3" customHeight="1" s="1883">
      <c r="B14" s="383" t="n"/>
      <c r="C14" s="383" t="n"/>
      <c r="D14" s="383" t="n"/>
      <c r="E14" s="383" t="n"/>
      <c r="F14" s="383" t="n"/>
      <c r="G14" s="383" t="n"/>
      <c r="H14" s="383" t="n"/>
      <c r="I14" s="383" t="n"/>
      <c r="J14" s="383" t="n"/>
      <c r="K14" s="383" t="n"/>
      <c r="L14" s="383" t="n"/>
      <c r="M14" s="383" t="n"/>
      <c r="N14" s="383" t="n"/>
      <c r="O14" s="383" t="n"/>
      <c r="P14" s="383" t="n"/>
      <c r="Q14" s="383" t="n"/>
      <c r="R14" s="383" t="n"/>
      <c r="S14" s="383" t="n"/>
      <c r="T14" s="383" t="n"/>
    </row>
    <row r="15" ht="15" customHeight="1" s="1883">
      <c r="B15" s="383" t="inlineStr">
        <is>
          <t>Month-Over-Month Revenue Growth, %</t>
        </is>
      </c>
      <c r="C15" s="383" t="n"/>
      <c r="D15" s="383" t="n"/>
      <c r="E15" s="383" t="n"/>
      <c r="F15" s="383" t="n"/>
      <c r="G15" s="474" t="n">
        <v>0</v>
      </c>
      <c r="H15" s="2067">
        <f>H16/G16-1</f>
        <v/>
      </c>
      <c r="I15" s="2067">
        <f>I16/H16-1</f>
        <v/>
      </c>
      <c r="J15" s="2067">
        <f>J16/I16-1</f>
        <v/>
      </c>
      <c r="K15" s="2067">
        <f>K16/J16-1</f>
        <v/>
      </c>
      <c r="L15" s="2067">
        <f>L16/K16-1</f>
        <v/>
      </c>
      <c r="M15" s="2067">
        <f>M16/L16-1</f>
        <v/>
      </c>
      <c r="N15" s="2067">
        <f>N16/M16-1</f>
        <v/>
      </c>
      <c r="O15" s="2067">
        <f>O16/N16-1</f>
        <v/>
      </c>
      <c r="P15" s="2067">
        <f>P16/O16-1</f>
        <v/>
      </c>
      <c r="Q15" s="2067">
        <f>Q16/P16-1</f>
        <v/>
      </c>
      <c r="R15" s="2067">
        <f>R16/Q16-1</f>
        <v/>
      </c>
      <c r="S15" s="383" t="n"/>
      <c r="T15" s="383" t="n"/>
    </row>
    <row r="16" ht="15" customHeight="1" s="1883">
      <c r="B16" s="385" t="inlineStr">
        <is>
          <t>Revenue</t>
        </is>
      </c>
      <c r="C16" s="383" t="n"/>
      <c r="D16" s="383" t="n"/>
      <c r="E16" s="383" t="n"/>
      <c r="F16" s="383" t="n"/>
      <c r="G16" s="2068">
        <f>'[5]FY1 -FY5 P&amp;L Projections - 2302'!B$8</f>
        <v/>
      </c>
      <c r="H16" s="2068">
        <f>'[5]FY1 -FY5 P&amp;L Projections - 2302'!C$8</f>
        <v/>
      </c>
      <c r="I16" s="2068">
        <f>'[5]FY1 -FY5 P&amp;L Projections - 2302'!D$8</f>
        <v/>
      </c>
      <c r="J16" s="2068">
        <f>'[5]FY1 -FY5 P&amp;L Projections - 2302'!E$8</f>
        <v/>
      </c>
      <c r="K16" s="2068">
        <f>'[5]FY1 -FY5 P&amp;L Projections - 2302'!F$8</f>
        <v/>
      </c>
      <c r="L16" s="2068">
        <f>'[5]FY1 -FY5 P&amp;L Projections - 2302'!G$8</f>
        <v/>
      </c>
      <c r="M16" s="2068">
        <f>'[5]FY1 -FY5 P&amp;L Projections - 2302'!H$8</f>
        <v/>
      </c>
      <c r="N16" s="2068">
        <f>'[5]FY1 -FY5 P&amp;L Projections - 2302'!I$8</f>
        <v/>
      </c>
      <c r="O16" s="2068">
        <f>'[5]FY1 -FY5 P&amp;L Projections - 2302'!J$8</f>
        <v/>
      </c>
      <c r="P16" s="2068">
        <f>'[5]FY1 -FY5 P&amp;L Projections - 2302'!K$8</f>
        <v/>
      </c>
      <c r="Q16" s="2068">
        <f>'[5]FY1 -FY5 P&amp;L Projections - 2302'!L$8</f>
        <v/>
      </c>
      <c r="R16" s="2068">
        <f>'[5]FY1 -FY5 P&amp;L Projections - 2302'!M$8</f>
        <v/>
      </c>
      <c r="S16" s="462" t="n"/>
      <c r="T16" s="1467">
        <f>SUM(G16:R16)</f>
        <v/>
      </c>
      <c r="V16" s="1917" t="inlineStr">
        <is>
          <t>this is revenue less commission</t>
        </is>
      </c>
    </row>
    <row r="17" ht="15" customHeight="1" s="1883">
      <c r="B17" s="385" t="n"/>
      <c r="C17" s="383" t="inlineStr">
        <is>
          <t>Direct Cost of Services, as a % of Revenue</t>
        </is>
      </c>
      <c r="D17" s="383" t="n"/>
      <c r="E17" s="383" t="n"/>
      <c r="F17" s="383" t="n"/>
      <c r="G17" s="2067">
        <f>G18/G16</f>
        <v/>
      </c>
      <c r="H17" s="2067">
        <f>H18/H16</f>
        <v/>
      </c>
      <c r="I17" s="2067">
        <f>I18/I16</f>
        <v/>
      </c>
      <c r="J17" s="2067">
        <f>J18/J16</f>
        <v/>
      </c>
      <c r="K17" s="2067">
        <f>K18/K16</f>
        <v/>
      </c>
      <c r="L17" s="2067">
        <f>L18/L16</f>
        <v/>
      </c>
      <c r="M17" s="2067">
        <f>M18/M16</f>
        <v/>
      </c>
      <c r="N17" s="2067">
        <f>N18/N16</f>
        <v/>
      </c>
      <c r="O17" s="2067">
        <f>O18/O16</f>
        <v/>
      </c>
      <c r="P17" s="2067">
        <f>P18/P16</f>
        <v/>
      </c>
      <c r="Q17" s="2067">
        <f>Q18/Q16</f>
        <v/>
      </c>
      <c r="R17" s="2067">
        <f>R18/R16</f>
        <v/>
      </c>
      <c r="S17" s="462" t="n"/>
      <c r="T17" s="2069">
        <f>AVERAGE(G17:R17)</f>
        <v/>
      </c>
    </row>
    <row r="18" ht="15" customHeight="1" s="1883">
      <c r="B18" s="383" t="n"/>
      <c r="C18" s="383" t="inlineStr">
        <is>
          <t>Less: Direct Cost of Services</t>
        </is>
      </c>
      <c r="D18" s="383" t="n"/>
      <c r="E18" s="383" t="n"/>
      <c r="F18" s="383" t="n"/>
      <c r="G18" s="2070">
        <f>'[5]Monthly Burn Rate Projections -'!$B$39</f>
        <v/>
      </c>
      <c r="H18" s="2070">
        <f>'[5]Monthly Burn Rate Projections -'!$C$39</f>
        <v/>
      </c>
      <c r="I18" s="2070">
        <f>'[5]Monthly Burn Rate Projections -'!$D$39</f>
        <v/>
      </c>
      <c r="J18" s="2070">
        <f>'[5]Monthly Burn Rate Projections -'!$E$39</f>
        <v/>
      </c>
      <c r="K18" s="2070">
        <f>'[5]Monthly Burn Rate Projections -'!$F$39</f>
        <v/>
      </c>
      <c r="L18" s="2070">
        <f>'[5]Monthly Burn Rate Projections -'!$G$39</f>
        <v/>
      </c>
      <c r="M18" s="2070">
        <f>'[5]Monthly Burn Rate Projections -'!$H$39</f>
        <v/>
      </c>
      <c r="N18" s="2070">
        <f>'[5]Monthly Burn Rate Projections -'!$I$39</f>
        <v/>
      </c>
      <c r="O18" s="2070">
        <f>'[5]Monthly Burn Rate Projections -'!$J$39</f>
        <v/>
      </c>
      <c r="P18" s="2070">
        <f>'[5]Monthly Burn Rate Projections -'!$K$39</f>
        <v/>
      </c>
      <c r="Q18" s="2070">
        <f>'[5]Monthly Burn Rate Projections -'!$L$39</f>
        <v/>
      </c>
      <c r="R18" s="2070">
        <f>'[5]Monthly Burn Rate Projections -'!$M$39</f>
        <v/>
      </c>
      <c r="S18" s="462" t="n"/>
      <c r="T18" s="1467">
        <f>SUM(G18:R18)</f>
        <v/>
      </c>
      <c r="V18" s="1451">
        <f>T18/2</f>
        <v/>
      </c>
    </row>
    <row r="19" ht="3" customHeight="1" s="1883">
      <c r="B19" s="383" t="n"/>
      <c r="C19" s="383" t="n"/>
      <c r="D19" s="383" t="n"/>
      <c r="E19" s="383" t="n"/>
      <c r="F19" s="383" t="n"/>
      <c r="G19" s="508" t="n"/>
      <c r="H19" s="508" t="n"/>
      <c r="I19" s="508" t="n"/>
      <c r="J19" s="508" t="n"/>
      <c r="K19" s="508" t="n"/>
      <c r="L19" s="508" t="n"/>
      <c r="M19" s="508" t="n"/>
      <c r="N19" s="508" t="n"/>
      <c r="O19" s="508" t="n"/>
      <c r="P19" s="508" t="n"/>
      <c r="Q19" s="508" t="n"/>
      <c r="R19" s="508" t="n"/>
      <c r="S19" s="462" t="n"/>
      <c r="T19" s="508" t="n"/>
    </row>
    <row r="20" ht="3" customHeight="1" s="1883">
      <c r="B20" s="383" t="n"/>
      <c r="C20" s="383" t="n"/>
      <c r="D20" s="383" t="n"/>
      <c r="E20" s="383" t="n"/>
      <c r="F20" s="383" t="n"/>
      <c r="G20" s="462" t="n"/>
      <c r="H20" s="462" t="n"/>
      <c r="I20" s="462" t="n"/>
      <c r="J20" s="462" t="n"/>
      <c r="K20" s="462" t="n"/>
      <c r="L20" s="462" t="n"/>
      <c r="M20" s="462" t="n"/>
      <c r="N20" s="462" t="n"/>
      <c r="O20" s="462" t="n"/>
      <c r="P20" s="462" t="n"/>
      <c r="Q20" s="462" t="n"/>
      <c r="R20" s="462" t="n"/>
      <c r="S20" s="462" t="n"/>
      <c r="T20" s="462" t="n"/>
    </row>
    <row r="21" ht="15" customHeight="1" s="1883">
      <c r="B21" s="383" t="n"/>
      <c r="C21" s="383" t="n"/>
      <c r="D21" s="385" t="inlineStr">
        <is>
          <t>Net Revenue</t>
        </is>
      </c>
      <c r="E21" s="383" t="n"/>
      <c r="F21" s="383" t="n"/>
      <c r="G21" s="2071">
        <f>((G16)-(G18))</f>
        <v/>
      </c>
      <c r="H21" s="2071">
        <f>((H16)-(H18))</f>
        <v/>
      </c>
      <c r="I21" s="2071">
        <f>((I16)-(I18))</f>
        <v/>
      </c>
      <c r="J21" s="2071">
        <f>((J16)-(J18))</f>
        <v/>
      </c>
      <c r="K21" s="2071">
        <f>((K16)-(K18))</f>
        <v/>
      </c>
      <c r="L21" s="2071">
        <f>((L16)-(L18))</f>
        <v/>
      </c>
      <c r="M21" s="2071">
        <f>((M16)-(M18))</f>
        <v/>
      </c>
      <c r="N21" s="2071">
        <f>((N16)-(N18))</f>
        <v/>
      </c>
      <c r="O21" s="2071">
        <f>((O16)-(O18))</f>
        <v/>
      </c>
      <c r="P21" s="2071">
        <f>((P16)-(P18))</f>
        <v/>
      </c>
      <c r="Q21" s="2071">
        <f>((Q16)-(Q18))</f>
        <v/>
      </c>
      <c r="R21" s="2071">
        <f>((R16)-(R18))</f>
        <v/>
      </c>
      <c r="S21" s="462" t="n"/>
      <c r="T21" s="2071">
        <f>SUM(G21:R21)</f>
        <v/>
      </c>
    </row>
    <row r="22" ht="3" customHeight="1" s="1883">
      <c r="B22" s="383" t="n"/>
      <c r="C22" s="383" t="n"/>
      <c r="D22" s="383" t="n"/>
      <c r="E22" s="383" t="n"/>
      <c r="F22" s="383" t="n"/>
      <c r="G22" s="508" t="n"/>
      <c r="H22" s="508" t="n"/>
      <c r="I22" s="508" t="n"/>
      <c r="J22" s="508" t="n"/>
      <c r="K22" s="508" t="n"/>
      <c r="L22" s="508" t="n"/>
      <c r="M22" s="508" t="n"/>
      <c r="N22" s="508" t="n"/>
      <c r="O22" s="508" t="n"/>
      <c r="P22" s="508" t="n"/>
      <c r="Q22" s="508" t="n"/>
      <c r="R22" s="508" t="n"/>
      <c r="S22" s="462" t="n"/>
      <c r="T22" s="508" t="n"/>
    </row>
    <row r="23" ht="3" customHeight="1" s="1883">
      <c r="B23" s="383" t="n"/>
      <c r="C23" s="383" t="n"/>
      <c r="D23" s="383" t="n"/>
      <c r="E23" s="383" t="n"/>
      <c r="F23" s="383" t="n"/>
      <c r="G23" s="462" t="n"/>
      <c r="H23" s="462" t="n"/>
      <c r="I23" s="462" t="n"/>
      <c r="J23" s="462" t="n"/>
      <c r="K23" s="462" t="n"/>
      <c r="L23" s="462" t="n"/>
      <c r="M23" s="462" t="n"/>
      <c r="N23" s="462" t="n"/>
      <c r="O23" s="462" t="n"/>
      <c r="P23" s="462" t="n"/>
      <c r="Q23" s="462" t="n"/>
      <c r="R23" s="462" t="n"/>
      <c r="S23" s="462" t="n"/>
      <c r="T23" s="462" t="n"/>
    </row>
    <row r="24" ht="15" customHeight="1" s="1883">
      <c r="B24" s="383" t="n"/>
      <c r="C24" s="383" t="n"/>
      <c r="D24" s="383" t="n"/>
      <c r="E24" s="383" t="n"/>
      <c r="F24" s="383" t="n"/>
      <c r="G24" s="462" t="n"/>
      <c r="H24" s="462" t="n"/>
      <c r="I24" s="462" t="n"/>
      <c r="J24" s="462" t="n"/>
      <c r="K24" s="462" t="n"/>
      <c r="L24" s="462" t="n"/>
      <c r="M24" s="462" t="n"/>
      <c r="N24" s="462" t="n"/>
      <c r="O24" s="462" t="n"/>
      <c r="P24" s="462" t="n"/>
      <c r="Q24" s="462" t="n"/>
      <c r="R24" s="462" t="n"/>
      <c r="S24" s="462" t="n"/>
      <c r="T24" s="462" t="n"/>
    </row>
    <row r="25" ht="15" customHeight="1" s="1883">
      <c r="B25" s="383" t="n"/>
      <c r="C25" s="383" t="n"/>
      <c r="D25" s="383" t="n"/>
      <c r="E25" s="383" t="n"/>
      <c r="F25" s="383" t="n"/>
      <c r="G25" s="383" t="n"/>
      <c r="H25" s="383" t="n"/>
      <c r="I25" s="383" t="n"/>
      <c r="J25" s="383" t="n"/>
      <c r="K25" s="383" t="n"/>
      <c r="L25" s="383" t="n"/>
      <c r="M25" s="383" t="n"/>
      <c r="N25" s="383" t="n"/>
      <c r="O25" s="383" t="n"/>
      <c r="P25" s="383" t="n"/>
      <c r="Q25" s="383" t="n"/>
      <c r="R25" s="383" t="n"/>
      <c r="S25" s="383" t="n"/>
      <c r="T25" s="383" t="n"/>
    </row>
    <row r="26" ht="15" customHeight="1" s="1883">
      <c r="B26" s="383" t="n"/>
      <c r="C26" s="383" t="n"/>
      <c r="D26" s="383" t="n"/>
      <c r="E26" s="383" t="n"/>
      <c r="F26" s="383" t="n"/>
      <c r="G26" s="1882" t="inlineStr">
        <is>
          <t>Post-Launch Month</t>
        </is>
      </c>
      <c r="S26" s="383" t="n"/>
      <c r="T26" s="386" t="inlineStr">
        <is>
          <t>Total</t>
        </is>
      </c>
    </row>
    <row r="27" ht="3" customHeight="1" s="1883">
      <c r="B27" s="383" t="n"/>
      <c r="C27" s="383" t="n"/>
      <c r="D27" s="383" t="n"/>
      <c r="E27" s="383" t="n"/>
      <c r="F27" s="383" t="n"/>
      <c r="G27" s="387" t="n"/>
      <c r="H27" s="387" t="n"/>
      <c r="I27" s="387" t="n"/>
      <c r="J27" s="387" t="n"/>
      <c r="K27" s="387" t="n"/>
      <c r="L27" s="387" t="n"/>
      <c r="M27" s="387" t="n"/>
      <c r="N27" s="387" t="n"/>
      <c r="O27" s="387" t="n"/>
      <c r="P27" s="387" t="n"/>
      <c r="Q27" s="387" t="n"/>
      <c r="R27" s="387" t="n"/>
      <c r="S27" s="383" t="n"/>
      <c r="T27" s="387" t="n"/>
    </row>
    <row r="28" ht="3" customHeight="1" s="1883">
      <c r="B28" s="383" t="n"/>
      <c r="C28" s="383" t="n"/>
      <c r="D28" s="383" t="n"/>
      <c r="E28" s="383" t="n"/>
      <c r="F28" s="383" t="n"/>
      <c r="G28" s="383" t="n"/>
      <c r="H28" s="383" t="n"/>
      <c r="I28" s="383" t="n"/>
      <c r="J28" s="383" t="n"/>
      <c r="K28" s="383" t="n"/>
      <c r="L28" s="383" t="n"/>
      <c r="M28" s="383" t="n"/>
      <c r="N28" s="383" t="n"/>
      <c r="O28" s="383" t="n"/>
      <c r="P28" s="383" t="n"/>
      <c r="Q28" s="383" t="n"/>
      <c r="R28" s="383" t="n"/>
      <c r="S28" s="383" t="n"/>
      <c r="T28" s="383" t="n"/>
    </row>
    <row r="29" ht="15" customHeight="1" s="1883">
      <c r="B29" s="383" t="n"/>
      <c r="C29" s="383" t="n"/>
      <c r="D29" s="383" t="n"/>
      <c r="E29" s="383" t="n"/>
      <c r="F29" s="383" t="n"/>
      <c r="G29" s="456" t="n">
        <v>1</v>
      </c>
      <c r="H29" s="386">
        <f>((G29)+(1))</f>
        <v/>
      </c>
      <c r="I29" s="386">
        <f>((H29)+(1))</f>
        <v/>
      </c>
      <c r="J29" s="386">
        <f>((I29)+(1))</f>
        <v/>
      </c>
      <c r="K29" s="386">
        <f>((J29)+(1))</f>
        <v/>
      </c>
      <c r="L29" s="386">
        <f>((K29)+(1))</f>
        <v/>
      </c>
      <c r="M29" s="386">
        <f>((L29)+(1))</f>
        <v/>
      </c>
      <c r="N29" s="386">
        <f>((M29)+(1))</f>
        <v/>
      </c>
      <c r="O29" s="386">
        <f>((N29)+(1))</f>
        <v/>
      </c>
      <c r="P29" s="386">
        <f>((O29)+(1))</f>
        <v/>
      </c>
      <c r="Q29" s="386">
        <f>((P29)+(1))</f>
        <v/>
      </c>
      <c r="R29" s="386">
        <f>((Q29)+(1))</f>
        <v/>
      </c>
      <c r="S29" s="383" t="n"/>
      <c r="T29" s="456" t="inlineStr">
        <is>
          <t>Months  1 to 12</t>
        </is>
      </c>
    </row>
    <row r="30" ht="3" customHeight="1" s="1883">
      <c r="B30" s="383" t="n"/>
      <c r="C30" s="383" t="n"/>
      <c r="D30" s="383" t="n"/>
      <c r="E30" s="383" t="n"/>
      <c r="F30" s="383" t="n"/>
      <c r="G30" s="387" t="n"/>
      <c r="H30" s="387" t="n"/>
      <c r="I30" s="387" t="n"/>
      <c r="J30" s="387" t="n"/>
      <c r="K30" s="387" t="n"/>
      <c r="L30" s="387" t="n"/>
      <c r="M30" s="387" t="n"/>
      <c r="N30" s="387" t="n"/>
      <c r="O30" s="387" t="n"/>
      <c r="P30" s="387" t="n"/>
      <c r="Q30" s="387" t="n"/>
      <c r="R30" s="387" t="n"/>
      <c r="S30" s="383" t="n"/>
      <c r="T30" s="387" t="n"/>
    </row>
    <row r="31" ht="3" customHeight="1" s="1883">
      <c r="B31" s="383" t="n"/>
      <c r="C31" s="383" t="n"/>
      <c r="D31" s="383" t="n"/>
      <c r="E31" s="383" t="n"/>
      <c r="F31" s="383" t="n"/>
      <c r="G31" s="383" t="n"/>
      <c r="H31" s="383" t="n"/>
      <c r="I31" s="383" t="n"/>
      <c r="J31" s="383" t="n"/>
      <c r="K31" s="383" t="n"/>
      <c r="L31" s="383" t="n"/>
      <c r="M31" s="383" t="n"/>
      <c r="N31" s="383" t="n"/>
      <c r="O31" s="383" t="n"/>
      <c r="P31" s="383" t="n"/>
      <c r="Q31" s="383" t="n"/>
      <c r="R31" s="383" t="n"/>
      <c r="S31" s="383" t="n"/>
      <c r="T31" s="383" t="n"/>
    </row>
    <row r="32" ht="15" customHeight="1" s="1883">
      <c r="B32" s="383" t="inlineStr">
        <is>
          <t>Month-Over-Month Revenue Growth, %</t>
        </is>
      </c>
      <c r="C32" s="383" t="n"/>
      <c r="D32" s="383" t="n"/>
      <c r="E32" s="383" t="n"/>
      <c r="F32" s="383" t="n"/>
      <c r="G32" s="2067">
        <f>G33/R16-1</f>
        <v/>
      </c>
      <c r="H32" s="2067">
        <f>H33/G33-1</f>
        <v/>
      </c>
      <c r="I32" s="2067">
        <f>I33/H33-1</f>
        <v/>
      </c>
      <c r="J32" s="2067">
        <f>J33/I33-1</f>
        <v/>
      </c>
      <c r="K32" s="2067">
        <f>K33/J33-1</f>
        <v/>
      </c>
      <c r="L32" s="2067">
        <f>L33/K33-1</f>
        <v/>
      </c>
      <c r="M32" s="2067">
        <f>M33/L33-1</f>
        <v/>
      </c>
      <c r="N32" s="2067">
        <f>N33/M33-1</f>
        <v/>
      </c>
      <c r="O32" s="2067">
        <f>O33/N33-1</f>
        <v/>
      </c>
      <c r="P32" s="2067">
        <f>P33/O33-1</f>
        <v/>
      </c>
      <c r="Q32" s="2067">
        <f>Q33/P33-1</f>
        <v/>
      </c>
      <c r="R32" s="2067">
        <f>R33/Q33-1</f>
        <v/>
      </c>
      <c r="S32" s="383" t="n"/>
      <c r="T32" s="383" t="n"/>
    </row>
    <row r="33" ht="15" customHeight="1" s="1883">
      <c r="B33" s="385" t="inlineStr">
        <is>
          <t>Revenue</t>
        </is>
      </c>
      <c r="C33" s="383" t="n"/>
      <c r="D33" s="383" t="n"/>
      <c r="E33" s="383" t="n"/>
      <c r="F33" s="383" t="n"/>
      <c r="G33" s="2068">
        <f>'[5]FY1 -FY5 P&amp;L Projections - 2302'!B$17</f>
        <v/>
      </c>
      <c r="H33" s="2068">
        <f>'[5]FY1 -FY5 P&amp;L Projections - 2302'!C$17</f>
        <v/>
      </c>
      <c r="I33" s="2068">
        <f>'[5]FY1 -FY5 P&amp;L Projections - 2302'!D$17</f>
        <v/>
      </c>
      <c r="J33" s="2068">
        <f>'[5]FY1 -FY5 P&amp;L Projections - 2302'!E$17</f>
        <v/>
      </c>
      <c r="K33" s="2068">
        <f>'[5]FY1 -FY5 P&amp;L Projections - 2302'!F$17</f>
        <v/>
      </c>
      <c r="L33" s="2068">
        <f>'[5]FY1 -FY5 P&amp;L Projections - 2302'!G$17</f>
        <v/>
      </c>
      <c r="M33" s="2068">
        <f>'[5]FY1 -FY5 P&amp;L Projections - 2302'!H$17</f>
        <v/>
      </c>
      <c r="N33" s="2068">
        <f>'[5]FY1 -FY5 P&amp;L Projections - 2302'!I$17</f>
        <v/>
      </c>
      <c r="O33" s="2068">
        <f>'[5]FY1 -FY5 P&amp;L Projections - 2302'!J$17</f>
        <v/>
      </c>
      <c r="P33" s="2068">
        <f>'[5]FY1 -FY5 P&amp;L Projections - 2302'!K$17</f>
        <v/>
      </c>
      <c r="Q33" s="2068">
        <f>'[5]FY1 -FY5 P&amp;L Projections - 2302'!L$17</f>
        <v/>
      </c>
      <c r="R33" s="2068">
        <f>'[5]FY1 -FY5 P&amp;L Projections - 2302'!M$17</f>
        <v/>
      </c>
      <c r="S33" s="462" t="n"/>
      <c r="T33" s="1467">
        <f>SUM(G33:R33)</f>
        <v/>
      </c>
    </row>
    <row r="34" ht="15" customHeight="1" s="1883">
      <c r="B34" s="385" t="n"/>
      <c r="C34" s="383" t="inlineStr">
        <is>
          <t>Direct Cost of Services, as a % of Revenue</t>
        </is>
      </c>
      <c r="D34" s="383" t="n"/>
      <c r="E34" s="383" t="n"/>
      <c r="F34" s="383" t="n"/>
      <c r="G34" s="2067">
        <f>G35/G33</f>
        <v/>
      </c>
      <c r="H34" s="2067">
        <f>H35/H33</f>
        <v/>
      </c>
      <c r="I34" s="2067">
        <f>I35/I33</f>
        <v/>
      </c>
      <c r="J34" s="2067">
        <f>J35/J33</f>
        <v/>
      </c>
      <c r="K34" s="2067">
        <f>K35/K33</f>
        <v/>
      </c>
      <c r="L34" s="2067">
        <f>L35/L33</f>
        <v/>
      </c>
      <c r="M34" s="2067">
        <f>M35/M33</f>
        <v/>
      </c>
      <c r="N34" s="2067">
        <f>N35/N33</f>
        <v/>
      </c>
      <c r="O34" s="2067">
        <f>O35/O33</f>
        <v/>
      </c>
      <c r="P34" s="2067">
        <f>P35/P33</f>
        <v/>
      </c>
      <c r="Q34" s="2067">
        <f>Q35/Q33</f>
        <v/>
      </c>
      <c r="R34" s="2067">
        <f>R35/R33</f>
        <v/>
      </c>
      <c r="S34" s="462" t="n"/>
      <c r="T34" s="2069">
        <f>AVERAGE(G34:R34)</f>
        <v/>
      </c>
    </row>
    <row r="35" ht="15" customHeight="1" s="1883">
      <c r="B35" s="383" t="n"/>
      <c r="C35" s="383" t="inlineStr">
        <is>
          <t>Less: Direct Cost of Services</t>
        </is>
      </c>
      <c r="D35" s="383" t="n"/>
      <c r="E35" s="383" t="n"/>
      <c r="F35" s="383" t="n"/>
      <c r="G35" s="2070">
        <f>'[5]Monthly Burn Rate Projections -'!$B$55</f>
        <v/>
      </c>
      <c r="H35" s="2070">
        <f>'[5]Monthly Burn Rate Projections -'!$C$55</f>
        <v/>
      </c>
      <c r="I35" s="2070">
        <f>'[5]Monthly Burn Rate Projections -'!$D$55</f>
        <v/>
      </c>
      <c r="J35" s="2070">
        <f>'[5]Monthly Burn Rate Projections -'!$E$55</f>
        <v/>
      </c>
      <c r="K35" s="2070">
        <f>'[5]Monthly Burn Rate Projections -'!$F$55</f>
        <v/>
      </c>
      <c r="L35" s="2070">
        <f>'[5]Monthly Burn Rate Projections -'!$G$55</f>
        <v/>
      </c>
      <c r="M35" s="2070">
        <f>'[5]Monthly Burn Rate Projections -'!$H$55</f>
        <v/>
      </c>
      <c r="N35" s="2070">
        <f>'[5]Monthly Burn Rate Projections -'!$I$55</f>
        <v/>
      </c>
      <c r="O35" s="2070">
        <f>'[5]Monthly Burn Rate Projections -'!$J$55</f>
        <v/>
      </c>
      <c r="P35" s="2070">
        <f>'[5]Monthly Burn Rate Projections -'!$K$55</f>
        <v/>
      </c>
      <c r="Q35" s="2070">
        <f>'[5]Monthly Burn Rate Projections -'!$L$55</f>
        <v/>
      </c>
      <c r="R35" s="2070">
        <f>'[5]Monthly Burn Rate Projections -'!$M$55</f>
        <v/>
      </c>
      <c r="S35" s="462" t="n"/>
      <c r="T35" s="1466">
        <f>SUM(G35:R35)</f>
        <v/>
      </c>
    </row>
    <row r="36" ht="3" customHeight="1" s="1883">
      <c r="B36" s="383" t="n"/>
      <c r="C36" s="383" t="n"/>
      <c r="D36" s="383" t="n"/>
      <c r="E36" s="383" t="n"/>
      <c r="F36" s="383" t="n"/>
      <c r="G36" s="508" t="n"/>
      <c r="H36" s="508" t="n"/>
      <c r="I36" s="508" t="n"/>
      <c r="J36" s="508" t="n"/>
      <c r="K36" s="508" t="n"/>
      <c r="L36" s="508" t="n"/>
      <c r="M36" s="508" t="n"/>
      <c r="N36" s="508" t="n"/>
      <c r="O36" s="508" t="n"/>
      <c r="P36" s="508" t="n"/>
      <c r="Q36" s="508" t="n"/>
      <c r="R36" s="508" t="n"/>
      <c r="S36" s="462" t="n"/>
      <c r="T36" s="508" t="n"/>
    </row>
    <row r="37" ht="3" customHeight="1" s="1883">
      <c r="B37" s="383" t="n"/>
      <c r="C37" s="383" t="n"/>
      <c r="D37" s="383" t="n"/>
      <c r="E37" s="383" t="n"/>
      <c r="F37" s="383" t="n"/>
      <c r="G37" s="462" t="n"/>
      <c r="H37" s="462" t="n"/>
      <c r="I37" s="462" t="n"/>
      <c r="J37" s="462" t="n"/>
      <c r="K37" s="462" t="n"/>
      <c r="L37" s="462" t="n"/>
      <c r="M37" s="462" t="n"/>
      <c r="N37" s="462" t="n"/>
      <c r="O37" s="462" t="n"/>
      <c r="P37" s="462" t="n"/>
      <c r="Q37" s="462" t="n"/>
      <c r="R37" s="462" t="n"/>
      <c r="S37" s="462" t="n"/>
      <c r="T37" s="462" t="n"/>
    </row>
    <row r="38" ht="15" customHeight="1" s="1883">
      <c r="B38" s="383" t="n"/>
      <c r="C38" s="383" t="n"/>
      <c r="D38" s="385" t="inlineStr">
        <is>
          <t>Net Revenue</t>
        </is>
      </c>
      <c r="E38" s="383" t="n"/>
      <c r="F38" s="383" t="n"/>
      <c r="G38" s="2071">
        <f>((G33)-(G35))</f>
        <v/>
      </c>
      <c r="H38" s="2071">
        <f>((H33)-(H35))</f>
        <v/>
      </c>
      <c r="I38" s="2071">
        <f>((I33)-(I35))</f>
        <v/>
      </c>
      <c r="J38" s="2071">
        <f>((J33)-(J35))</f>
        <v/>
      </c>
      <c r="K38" s="2071">
        <f>((K33)-(K35))</f>
        <v/>
      </c>
      <c r="L38" s="2071">
        <f>((L33)-(L35))</f>
        <v/>
      </c>
      <c r="M38" s="2071">
        <f>((M33)-(M35))</f>
        <v/>
      </c>
      <c r="N38" s="2071">
        <f>((N33)-(N35))</f>
        <v/>
      </c>
      <c r="O38" s="2071">
        <f>((O33)-(O35))</f>
        <v/>
      </c>
      <c r="P38" s="2071">
        <f>((P33)-(P35))</f>
        <v/>
      </c>
      <c r="Q38" s="2071">
        <f>((Q33)-(Q35))</f>
        <v/>
      </c>
      <c r="R38" s="2071">
        <f>((R33)-(R35))</f>
        <v/>
      </c>
      <c r="S38" s="462" t="n"/>
      <c r="T38" s="2071">
        <f>SUM(G38:R38)</f>
        <v/>
      </c>
    </row>
    <row r="39" ht="3" customHeight="1" s="1883">
      <c r="B39" s="383" t="n"/>
      <c r="C39" s="383" t="n"/>
      <c r="D39" s="383" t="n"/>
      <c r="E39" s="383" t="n"/>
      <c r="F39" s="383" t="n"/>
      <c r="G39" s="508" t="n"/>
      <c r="H39" s="508" t="n"/>
      <c r="I39" s="508" t="n"/>
      <c r="J39" s="508" t="n"/>
      <c r="K39" s="508" t="n"/>
      <c r="L39" s="508" t="n"/>
      <c r="M39" s="508" t="n"/>
      <c r="N39" s="508" t="n"/>
      <c r="O39" s="508" t="n"/>
      <c r="P39" s="508" t="n"/>
      <c r="Q39" s="508" t="n"/>
      <c r="R39" s="508" t="n"/>
      <c r="S39" s="462" t="n"/>
      <c r="T39" s="508" t="n"/>
    </row>
    <row r="40" ht="3" customHeight="1" s="1883">
      <c r="B40" s="383" t="n"/>
      <c r="C40" s="383" t="n"/>
      <c r="D40" s="383" t="n"/>
      <c r="E40" s="383" t="n"/>
      <c r="F40" s="383" t="n"/>
      <c r="G40" s="462" t="n"/>
      <c r="H40" s="462" t="n"/>
      <c r="I40" s="462" t="n"/>
      <c r="J40" s="462" t="n"/>
      <c r="K40" s="462" t="n"/>
      <c r="L40" s="462" t="n"/>
      <c r="M40" s="462" t="n"/>
      <c r="N40" s="462" t="n"/>
      <c r="O40" s="462" t="n"/>
      <c r="P40" s="462" t="n"/>
      <c r="Q40" s="462" t="n"/>
      <c r="R40" s="462" t="n"/>
      <c r="S40" s="462" t="n"/>
      <c r="T40" s="462" t="n"/>
    </row>
    <row r="41" ht="15" customHeight="1" s="1883">
      <c r="B41" s="383" t="n"/>
      <c r="C41" s="383" t="n"/>
      <c r="D41" s="383" t="n"/>
      <c r="E41" s="383" t="n"/>
      <c r="F41" s="383" t="n"/>
      <c r="G41" s="462" t="n"/>
      <c r="H41" s="462" t="n"/>
      <c r="I41" s="462" t="n"/>
      <c r="J41" s="462" t="n"/>
      <c r="K41" s="462" t="n"/>
      <c r="L41" s="462" t="n"/>
      <c r="M41" s="462" t="n"/>
      <c r="N41" s="462" t="n"/>
      <c r="O41" s="462" t="n"/>
      <c r="P41" s="462" t="n"/>
      <c r="Q41" s="462" t="n"/>
      <c r="R41" s="462" t="n"/>
      <c r="S41" s="462" t="n"/>
      <c r="T41" s="462" t="n"/>
    </row>
    <row r="42" ht="15" customHeight="1" s="1883">
      <c r="B42" s="383" t="n"/>
      <c r="C42" s="383" t="n"/>
      <c r="D42" s="383" t="n"/>
      <c r="E42" s="383" t="n"/>
      <c r="F42" s="383" t="n"/>
      <c r="G42" s="383" t="n"/>
      <c r="H42" s="383" t="n"/>
      <c r="I42" s="383" t="n"/>
      <c r="J42" s="383" t="n"/>
      <c r="K42" s="383" t="n"/>
      <c r="L42" s="383" t="n"/>
      <c r="M42" s="383" t="n"/>
      <c r="N42" s="383" t="n"/>
      <c r="O42" s="383" t="n"/>
      <c r="P42" s="383" t="n"/>
      <c r="Q42" s="383" t="n"/>
      <c r="R42" s="383" t="n"/>
      <c r="S42" s="383" t="n"/>
      <c r="T42" s="383" t="n"/>
    </row>
    <row r="43" ht="15" customHeight="1" s="1883">
      <c r="B43" s="383" t="n"/>
      <c r="C43" s="383" t="n"/>
      <c r="D43" s="383" t="n"/>
      <c r="E43" s="383" t="n"/>
      <c r="F43" s="383" t="n"/>
      <c r="G43" s="1882" t="inlineStr">
        <is>
          <t>Post-Launch Month</t>
        </is>
      </c>
      <c r="S43" s="383" t="n"/>
      <c r="T43" s="386" t="inlineStr">
        <is>
          <t>Total</t>
        </is>
      </c>
    </row>
    <row r="44" ht="3" customHeight="1" s="1883">
      <c r="B44" s="383" t="n"/>
      <c r="C44" s="383" t="n"/>
      <c r="D44" s="383" t="n"/>
      <c r="E44" s="383" t="n"/>
      <c r="F44" s="383" t="n"/>
      <c r="G44" s="387" t="n"/>
      <c r="H44" s="387" t="n"/>
      <c r="I44" s="387" t="n"/>
      <c r="J44" s="387" t="n"/>
      <c r="K44" s="387" t="n"/>
      <c r="L44" s="387" t="n"/>
      <c r="M44" s="387" t="n"/>
      <c r="N44" s="387" t="n"/>
      <c r="O44" s="387" t="n"/>
      <c r="P44" s="387" t="n"/>
      <c r="Q44" s="387" t="n"/>
      <c r="R44" s="387" t="n"/>
      <c r="S44" s="383" t="n"/>
      <c r="T44" s="387" t="n"/>
    </row>
    <row r="45" ht="3" customHeight="1" s="1883">
      <c r="B45" s="383" t="n"/>
      <c r="C45" s="383" t="n"/>
      <c r="D45" s="383" t="n"/>
      <c r="E45" s="383" t="n"/>
      <c r="F45" s="383" t="n"/>
      <c r="G45" s="383" t="n"/>
      <c r="H45" s="383" t="n"/>
      <c r="I45" s="383" t="n"/>
      <c r="J45" s="383" t="n"/>
      <c r="K45" s="383" t="n"/>
      <c r="L45" s="383" t="n"/>
      <c r="M45" s="383" t="n"/>
      <c r="N45" s="383" t="n"/>
      <c r="O45" s="383" t="n"/>
      <c r="P45" s="383" t="n"/>
      <c r="Q45" s="383" t="n"/>
      <c r="R45" s="383" t="n"/>
      <c r="S45" s="383" t="n"/>
      <c r="T45" s="383" t="n"/>
    </row>
    <row r="46" ht="15" customHeight="1" s="1883">
      <c r="B46" s="383" t="n"/>
      <c r="C46" s="383" t="n"/>
      <c r="D46" s="383" t="n"/>
      <c r="E46" s="383" t="n"/>
      <c r="F46" s="383" t="n"/>
      <c r="G46" s="456" t="n">
        <v>13</v>
      </c>
      <c r="H46" s="386">
        <f>((G46)+(1))</f>
        <v/>
      </c>
      <c r="I46" s="386">
        <f>((H46)+(1))</f>
        <v/>
      </c>
      <c r="J46" s="386">
        <f>((I46)+(1))</f>
        <v/>
      </c>
      <c r="K46" s="386">
        <f>((J46)+(1))</f>
        <v/>
      </c>
      <c r="L46" s="386">
        <f>((K46)+(1))</f>
        <v/>
      </c>
      <c r="M46" s="386">
        <f>((L46)+(1))</f>
        <v/>
      </c>
      <c r="N46" s="386">
        <f>((M46)+(1))</f>
        <v/>
      </c>
      <c r="O46" s="386">
        <f>((N46)+(1))</f>
        <v/>
      </c>
      <c r="P46" s="386">
        <f>((O46)+(1))</f>
        <v/>
      </c>
      <c r="Q46" s="386">
        <f>((P46)+(1))</f>
        <v/>
      </c>
      <c r="R46" s="386">
        <f>((Q46)+(1))</f>
        <v/>
      </c>
      <c r="S46" s="383" t="n"/>
      <c r="T46" s="456" t="inlineStr">
        <is>
          <t>Months  13 - 24</t>
        </is>
      </c>
    </row>
    <row r="49" ht="15" customHeight="1" s="1883">
      <c r="B49" s="383" t="inlineStr">
        <is>
          <t>Month-Over-Month Revenue Growth, %</t>
        </is>
      </c>
      <c r="C49" s="383" t="n"/>
      <c r="D49" s="383" t="n"/>
      <c r="E49" s="383" t="n"/>
      <c r="F49" s="383" t="n"/>
      <c r="G49" s="2067">
        <f>G50/R33-1</f>
        <v/>
      </c>
      <c r="H49" s="2067">
        <f>H50/G50-1</f>
        <v/>
      </c>
      <c r="I49" s="2067">
        <f>I50/H50-1</f>
        <v/>
      </c>
      <c r="J49" s="2067">
        <f>J50/I50-1</f>
        <v/>
      </c>
      <c r="K49" s="2067">
        <f>K50/J50-1</f>
        <v/>
      </c>
      <c r="L49" s="2067">
        <f>L50/K50-1</f>
        <v/>
      </c>
      <c r="M49" s="2067">
        <f>M50/L50-1</f>
        <v/>
      </c>
      <c r="N49" s="2067">
        <f>N50/M50-1</f>
        <v/>
      </c>
      <c r="O49" s="2067">
        <f>O50/N50-1</f>
        <v/>
      </c>
      <c r="P49" s="2067">
        <f>P50/O50-1</f>
        <v/>
      </c>
      <c r="Q49" s="2067">
        <f>Q50/P50-1</f>
        <v/>
      </c>
      <c r="R49" s="2067">
        <f>R50/Q50-1</f>
        <v/>
      </c>
      <c r="S49" s="383" t="n"/>
      <c r="T49" s="383" t="n"/>
    </row>
    <row r="50" ht="15" customHeight="1" s="1883">
      <c r="B50" s="385" t="inlineStr">
        <is>
          <t>Revenue</t>
        </is>
      </c>
      <c r="C50" s="383" t="n"/>
      <c r="D50" s="383" t="n"/>
      <c r="E50" s="383" t="n"/>
      <c r="F50" s="383" t="n"/>
      <c r="G50" s="2068">
        <f>'[5]FY1 -FY5 P&amp;L Projections - 2302'!B$26</f>
        <v/>
      </c>
      <c r="H50" s="2068">
        <f>'[5]FY1 -FY5 P&amp;L Projections - 2302'!C$26</f>
        <v/>
      </c>
      <c r="I50" s="2068">
        <f>'[5]FY1 -FY5 P&amp;L Projections - 2302'!D$26</f>
        <v/>
      </c>
      <c r="J50" s="2068">
        <f>'[5]FY1 -FY5 P&amp;L Projections - 2302'!E$26</f>
        <v/>
      </c>
      <c r="K50" s="2068">
        <f>'[5]FY1 -FY5 P&amp;L Projections - 2302'!F$26</f>
        <v/>
      </c>
      <c r="L50" s="2068">
        <f>'[5]FY1 -FY5 P&amp;L Projections - 2302'!G$26</f>
        <v/>
      </c>
      <c r="M50" s="2068">
        <f>'[5]FY1 -FY5 P&amp;L Projections - 2302'!H$26</f>
        <v/>
      </c>
      <c r="N50" s="2068">
        <f>'[5]FY1 -FY5 P&amp;L Projections - 2302'!I$26</f>
        <v/>
      </c>
      <c r="O50" s="2068">
        <f>'[5]FY1 -FY5 P&amp;L Projections - 2302'!J$26</f>
        <v/>
      </c>
      <c r="P50" s="2068">
        <f>'[5]FY1 -FY5 P&amp;L Projections - 2302'!K$26</f>
        <v/>
      </c>
      <c r="Q50" s="2068">
        <f>'[5]FY1 -FY5 P&amp;L Projections - 2302'!L$26</f>
        <v/>
      </c>
      <c r="R50" s="2068">
        <f>'[5]FY1 -FY5 P&amp;L Projections - 2302'!M$26</f>
        <v/>
      </c>
      <c r="S50" s="462" t="n"/>
      <c r="T50" s="1466">
        <f>SUM(G50:R50)</f>
        <v/>
      </c>
    </row>
    <row r="51" ht="15" customHeight="1" s="1883">
      <c r="B51" s="385" t="n"/>
      <c r="C51" s="383" t="inlineStr">
        <is>
          <t>Direct Cost of Services, as a % of Revenue</t>
        </is>
      </c>
      <c r="D51" s="383" t="n"/>
      <c r="E51" s="383" t="n"/>
      <c r="F51" s="383" t="n"/>
      <c r="G51" s="2067">
        <f>G52/G50</f>
        <v/>
      </c>
      <c r="H51" s="2067">
        <f>H52/H50</f>
        <v/>
      </c>
      <c r="I51" s="2067">
        <f>I52/I50</f>
        <v/>
      </c>
      <c r="J51" s="2067">
        <f>J52/J50</f>
        <v/>
      </c>
      <c r="K51" s="2067">
        <f>K52/K50</f>
        <v/>
      </c>
      <c r="L51" s="2067">
        <f>L52/L50</f>
        <v/>
      </c>
      <c r="M51" s="2067">
        <f>M52/M50</f>
        <v/>
      </c>
      <c r="N51" s="2067">
        <f>N52/N50</f>
        <v/>
      </c>
      <c r="O51" s="2067">
        <f>O52/O50</f>
        <v/>
      </c>
      <c r="P51" s="2067">
        <f>P52/P50</f>
        <v/>
      </c>
      <c r="Q51" s="2067">
        <f>Q52/Q50</f>
        <v/>
      </c>
      <c r="R51" s="2067">
        <f>R52/R50</f>
        <v/>
      </c>
      <c r="S51" s="462" t="n"/>
      <c r="T51" s="2069">
        <f>AVERAGE(G51:R51)</f>
        <v/>
      </c>
    </row>
    <row r="52" ht="15" customHeight="1" s="1883">
      <c r="B52" s="383" t="n"/>
      <c r="C52" s="383" t="inlineStr">
        <is>
          <t>Less: Direct Cost of Services</t>
        </is>
      </c>
      <c r="D52" s="383" t="n"/>
      <c r="E52" s="383" t="n"/>
      <c r="F52" s="383" t="n"/>
      <c r="G52" s="2070">
        <f>'[5]Monthly Burn Rate Projections -'!$B$71</f>
        <v/>
      </c>
      <c r="H52" s="2070">
        <f>'[5]Monthly Burn Rate Projections -'!$C$71</f>
        <v/>
      </c>
      <c r="I52" s="2070">
        <f>'[5]Monthly Burn Rate Projections -'!$D$71</f>
        <v/>
      </c>
      <c r="J52" s="2070">
        <f>'[5]Monthly Burn Rate Projections -'!$E$71</f>
        <v/>
      </c>
      <c r="K52" s="2070">
        <f>'[5]Monthly Burn Rate Projections -'!$F$71</f>
        <v/>
      </c>
      <c r="L52" s="2070">
        <f>'[5]Monthly Burn Rate Projections -'!$G$71</f>
        <v/>
      </c>
      <c r="M52" s="2070">
        <f>'[5]Monthly Burn Rate Projections -'!$H$71</f>
        <v/>
      </c>
      <c r="N52" s="2070">
        <f>'[5]Monthly Burn Rate Projections -'!$I$71</f>
        <v/>
      </c>
      <c r="O52" s="2070">
        <f>'[5]Monthly Burn Rate Projections -'!$J$71</f>
        <v/>
      </c>
      <c r="P52" s="2070">
        <f>'[5]Monthly Burn Rate Projections -'!$K$71</f>
        <v/>
      </c>
      <c r="Q52" s="2070">
        <f>'[5]Monthly Burn Rate Projections -'!$L$71</f>
        <v/>
      </c>
      <c r="R52" s="2070">
        <f>'[5]Monthly Burn Rate Projections -'!$M$71</f>
        <v/>
      </c>
      <c r="S52" s="462" t="n"/>
      <c r="T52" s="1466">
        <f>SUM(G52:R52)</f>
        <v/>
      </c>
    </row>
    <row r="53" ht="3" customHeight="1" s="1883">
      <c r="B53" s="383" t="n"/>
      <c r="C53" s="383" t="n"/>
      <c r="D53" s="383" t="n"/>
      <c r="E53" s="383" t="n"/>
      <c r="F53" s="383" t="n"/>
      <c r="G53" s="508" t="n"/>
      <c r="H53" s="508" t="n"/>
      <c r="I53" s="508" t="n"/>
      <c r="J53" s="508" t="n"/>
      <c r="K53" s="508" t="n"/>
      <c r="L53" s="508" t="n"/>
      <c r="M53" s="508" t="n"/>
      <c r="N53" s="508" t="n"/>
      <c r="O53" s="508" t="n"/>
      <c r="P53" s="508" t="n"/>
      <c r="Q53" s="508" t="n"/>
      <c r="R53" s="508" t="n"/>
      <c r="S53" s="462" t="n"/>
      <c r="T53" s="508" t="n"/>
    </row>
    <row r="54" ht="3" customHeight="1" s="1883">
      <c r="B54" s="383" t="n"/>
      <c r="C54" s="383" t="n"/>
      <c r="D54" s="383" t="n"/>
      <c r="E54" s="383" t="n"/>
      <c r="F54" s="383" t="n"/>
      <c r="G54" s="462" t="n"/>
      <c r="H54" s="462" t="n"/>
      <c r="I54" s="462" t="n"/>
      <c r="J54" s="462" t="n"/>
      <c r="K54" s="462" t="n"/>
      <c r="L54" s="462" t="n"/>
      <c r="M54" s="462" t="n"/>
      <c r="N54" s="462" t="n"/>
      <c r="O54" s="462" t="n"/>
      <c r="P54" s="462" t="n"/>
      <c r="Q54" s="462" t="n"/>
      <c r="R54" s="462" t="n"/>
      <c r="S54" s="462" t="n"/>
      <c r="T54" s="462" t="n"/>
    </row>
    <row r="55" ht="15" customHeight="1" s="1883">
      <c r="B55" s="383" t="n"/>
      <c r="C55" s="383" t="n"/>
      <c r="D55" s="385" t="inlineStr">
        <is>
          <t>Net Revenue</t>
        </is>
      </c>
      <c r="E55" s="383" t="n"/>
      <c r="F55" s="383" t="n"/>
      <c r="G55" s="2071">
        <f>((G50)-(G52))</f>
        <v/>
      </c>
      <c r="H55" s="2071">
        <f>((H50)-(H52))</f>
        <v/>
      </c>
      <c r="I55" s="2071">
        <f>((I50)-(I52))</f>
        <v/>
      </c>
      <c r="J55" s="2071">
        <f>((J50)-(J52))</f>
        <v/>
      </c>
      <c r="K55" s="2071">
        <f>((K50)-(K52))</f>
        <v/>
      </c>
      <c r="L55" s="2071">
        <f>((L50)-(L52))</f>
        <v/>
      </c>
      <c r="M55" s="2071">
        <f>((M50)-(M52))</f>
        <v/>
      </c>
      <c r="N55" s="2071">
        <f>((N50)-(N52))</f>
        <v/>
      </c>
      <c r="O55" s="2071">
        <f>((O50)-(O52))</f>
        <v/>
      </c>
      <c r="P55" s="2071">
        <f>((P50)-(P52))</f>
        <v/>
      </c>
      <c r="Q55" s="2071">
        <f>((Q50)-(Q52))</f>
        <v/>
      </c>
      <c r="R55" s="2071">
        <f>((R50)-(R52))</f>
        <v/>
      </c>
      <c r="S55" s="462" t="n"/>
      <c r="T55" s="2072">
        <f>SUM(G55:R55)</f>
        <v/>
      </c>
    </row>
    <row r="56" ht="3" customHeight="1" s="1883">
      <c r="B56" s="383" t="n"/>
      <c r="C56" s="383" t="n"/>
      <c r="D56" s="383" t="n"/>
      <c r="E56" s="383" t="n"/>
      <c r="F56" s="383" t="n"/>
      <c r="G56" s="508" t="n"/>
      <c r="H56" s="508" t="n"/>
      <c r="I56" s="508" t="n"/>
      <c r="J56" s="508" t="n"/>
      <c r="K56" s="508" t="n"/>
      <c r="L56" s="508" t="n"/>
      <c r="M56" s="508" t="n"/>
      <c r="N56" s="508" t="n"/>
      <c r="O56" s="508" t="n"/>
      <c r="P56" s="508" t="n"/>
      <c r="Q56" s="508" t="n"/>
      <c r="R56" s="508" t="n"/>
      <c r="S56" s="462" t="n"/>
      <c r="T56" s="508" t="n"/>
    </row>
    <row r="57" ht="3" customHeight="1" s="1883">
      <c r="B57" s="383" t="n"/>
      <c r="C57" s="383" t="n"/>
      <c r="D57" s="383" t="n"/>
      <c r="E57" s="383" t="n"/>
      <c r="F57" s="383" t="n"/>
      <c r="G57" s="462" t="n"/>
      <c r="H57" s="462" t="n"/>
      <c r="I57" s="462" t="n"/>
      <c r="J57" s="462" t="n"/>
      <c r="K57" s="462" t="n"/>
      <c r="L57" s="462" t="n"/>
      <c r="M57" s="462" t="n"/>
      <c r="N57" s="462" t="n"/>
      <c r="O57" s="462" t="n"/>
      <c r="P57" s="462" t="n"/>
      <c r="Q57" s="462" t="n"/>
      <c r="R57" s="462" t="n"/>
      <c r="S57" s="462" t="n"/>
      <c r="T57" s="462" t="n"/>
    </row>
    <row r="58" ht="15" customHeight="1" s="1883">
      <c r="B58" s="383" t="n"/>
      <c r="C58" s="383" t="n"/>
      <c r="D58" s="383" t="n"/>
      <c r="E58" s="383" t="n"/>
      <c r="F58" s="383" t="n"/>
      <c r="G58" s="462" t="n"/>
      <c r="H58" s="462" t="n"/>
      <c r="I58" s="462" t="n"/>
      <c r="J58" s="462" t="n"/>
      <c r="K58" s="462" t="n"/>
      <c r="L58" s="462" t="n"/>
      <c r="M58" s="462" t="n"/>
      <c r="N58" s="462" t="n"/>
      <c r="O58" s="462" t="n"/>
      <c r="P58" s="462" t="n"/>
      <c r="Q58" s="462" t="n"/>
      <c r="R58" s="462" t="n"/>
      <c r="S58" s="462" t="n"/>
      <c r="T58" s="462" t="n"/>
    </row>
    <row r="59" ht="15" customHeight="1" s="1883">
      <c r="B59" s="383" t="n"/>
      <c r="C59" s="383" t="n"/>
      <c r="D59" s="383" t="n"/>
      <c r="E59" s="383" t="n"/>
      <c r="F59" s="383" t="n"/>
      <c r="G59" s="383" t="n"/>
      <c r="H59" s="383" t="n"/>
      <c r="I59" s="383" t="n"/>
      <c r="J59" s="383" t="n"/>
      <c r="K59" s="383" t="n"/>
      <c r="L59" s="383" t="n"/>
      <c r="M59" s="383" t="n"/>
      <c r="N59" s="383" t="n"/>
      <c r="O59" s="383" t="n"/>
      <c r="P59" s="383" t="n"/>
      <c r="Q59" s="383" t="n"/>
      <c r="R59" s="383" t="n"/>
      <c r="S59" s="383" t="n"/>
      <c r="T59" s="383" t="n"/>
    </row>
    <row r="60" ht="15" customHeight="1" s="1883">
      <c r="B60" s="383" t="n"/>
      <c r="C60" s="383" t="n"/>
      <c r="D60" s="383" t="n"/>
      <c r="E60" s="383" t="n"/>
      <c r="F60" s="383" t="n"/>
      <c r="G60" s="1882" t="inlineStr">
        <is>
          <t>Post-Launch Month</t>
        </is>
      </c>
      <c r="S60" s="383" t="n"/>
      <c r="T60" s="386" t="inlineStr">
        <is>
          <t>Total</t>
        </is>
      </c>
    </row>
    <row r="61" ht="3" customHeight="1" s="1883">
      <c r="B61" s="383" t="n"/>
      <c r="C61" s="383" t="n"/>
      <c r="D61" s="383" t="n"/>
      <c r="E61" s="383" t="n"/>
      <c r="F61" s="383" t="n"/>
      <c r="G61" s="387" t="n"/>
      <c r="H61" s="387" t="n"/>
      <c r="I61" s="387" t="n"/>
      <c r="J61" s="387" t="n"/>
      <c r="K61" s="387" t="n"/>
      <c r="L61" s="387" t="n"/>
      <c r="M61" s="387" t="n"/>
      <c r="N61" s="387" t="n"/>
      <c r="O61" s="387" t="n"/>
      <c r="P61" s="387" t="n"/>
      <c r="Q61" s="387" t="n"/>
      <c r="R61" s="387" t="n"/>
      <c r="S61" s="383" t="n"/>
      <c r="T61" s="387" t="n"/>
    </row>
    <row r="62" ht="3" customHeight="1" s="1883">
      <c r="B62" s="383" t="n"/>
      <c r="C62" s="383" t="n"/>
      <c r="D62" s="383" t="n"/>
      <c r="E62" s="383" t="n"/>
      <c r="F62" s="383" t="n"/>
      <c r="G62" s="383" t="n"/>
      <c r="H62" s="383" t="n"/>
      <c r="I62" s="383" t="n"/>
      <c r="J62" s="383" t="n"/>
      <c r="K62" s="383" t="n"/>
      <c r="L62" s="383" t="n"/>
      <c r="M62" s="383" t="n"/>
      <c r="N62" s="383" t="n"/>
      <c r="O62" s="383" t="n"/>
      <c r="P62" s="383" t="n"/>
      <c r="Q62" s="383" t="n"/>
      <c r="R62" s="383" t="n"/>
      <c r="S62" s="383" t="n"/>
      <c r="T62" s="383" t="n"/>
    </row>
    <row r="63" ht="15" customHeight="1" s="1883">
      <c r="B63" s="383" t="n"/>
      <c r="C63" s="383" t="n"/>
      <c r="D63" s="383" t="n"/>
      <c r="E63" s="383" t="n"/>
      <c r="F63" s="383" t="n"/>
      <c r="G63" s="456" t="n">
        <v>25</v>
      </c>
      <c r="H63" s="386">
        <f>((G63)+(1))</f>
        <v/>
      </c>
      <c r="I63" s="386">
        <f>((H63)+(1))</f>
        <v/>
      </c>
      <c r="J63" s="386">
        <f>((I63)+(1))</f>
        <v/>
      </c>
      <c r="K63" s="386">
        <f>((J63)+(1))</f>
        <v/>
      </c>
      <c r="L63" s="386">
        <f>((K63)+(1))</f>
        <v/>
      </c>
      <c r="M63" s="386">
        <f>((L63)+(1))</f>
        <v/>
      </c>
      <c r="N63" s="386">
        <f>((M63)+(1))</f>
        <v/>
      </c>
      <c r="O63" s="386">
        <f>((N63)+(1))</f>
        <v/>
      </c>
      <c r="P63" s="386">
        <f>((O63)+(1))</f>
        <v/>
      </c>
      <c r="Q63" s="386">
        <f>((P63)+(1))</f>
        <v/>
      </c>
      <c r="R63" s="386">
        <f>((Q63)+(1))</f>
        <v/>
      </c>
      <c r="S63" s="383" t="n"/>
      <c r="T63" s="456" t="inlineStr">
        <is>
          <t>Months  25 - 36</t>
        </is>
      </c>
    </row>
    <row r="66" ht="15" customHeight="1" s="1883">
      <c r="B66" s="383" t="inlineStr">
        <is>
          <t>Month-Over-Month Revenue Growth, %</t>
        </is>
      </c>
      <c r="C66" s="383" t="n"/>
      <c r="D66" s="383" t="n"/>
      <c r="E66" s="383" t="n"/>
      <c r="F66" s="383" t="n"/>
      <c r="G66" s="2067">
        <f>G67/R50-1</f>
        <v/>
      </c>
      <c r="H66" s="2067">
        <f>H67/G67-1</f>
        <v/>
      </c>
      <c r="I66" s="2067">
        <f>I67/H67-1</f>
        <v/>
      </c>
      <c r="J66" s="2067">
        <f>J67/I67-1</f>
        <v/>
      </c>
      <c r="K66" s="2067">
        <f>K67/J67-1</f>
        <v/>
      </c>
      <c r="L66" s="2067">
        <f>L67/K67-1</f>
        <v/>
      </c>
      <c r="M66" s="2067">
        <f>M67/L67-1</f>
        <v/>
      </c>
      <c r="N66" s="2067">
        <f>N67/M67-1</f>
        <v/>
      </c>
      <c r="O66" s="2067">
        <f>O67/N67-1</f>
        <v/>
      </c>
      <c r="P66" s="2067">
        <f>P67/O67-1</f>
        <v/>
      </c>
      <c r="Q66" s="2067">
        <f>Q67/P67-1</f>
        <v/>
      </c>
      <c r="R66" s="2067">
        <f>R67/Q67-1</f>
        <v/>
      </c>
      <c r="S66" s="383" t="n"/>
      <c r="T66" s="383" t="n"/>
    </row>
    <row r="67" ht="15" customHeight="1" s="1883">
      <c r="B67" s="385" t="inlineStr">
        <is>
          <t>Revenue</t>
        </is>
      </c>
      <c r="C67" s="383" t="n"/>
      <c r="D67" s="383" t="n"/>
      <c r="E67" s="383" t="n"/>
      <c r="F67" s="383" t="n"/>
      <c r="G67" s="2068">
        <f>'[5]FY1 -FY5 P&amp;L Projections - 2302'!B$35</f>
        <v/>
      </c>
      <c r="H67" s="2068">
        <f>'[5]FY1 -FY5 P&amp;L Projections - 2302'!C$35</f>
        <v/>
      </c>
      <c r="I67" s="2068">
        <f>'[5]FY1 -FY5 P&amp;L Projections - 2302'!D$35</f>
        <v/>
      </c>
      <c r="J67" s="2068">
        <f>'[5]FY1 -FY5 P&amp;L Projections - 2302'!E$35</f>
        <v/>
      </c>
      <c r="K67" s="2068">
        <f>'[5]FY1 -FY5 P&amp;L Projections - 2302'!F$35</f>
        <v/>
      </c>
      <c r="L67" s="2068">
        <f>'[5]FY1 -FY5 P&amp;L Projections - 2302'!G$35</f>
        <v/>
      </c>
      <c r="M67" s="2068">
        <f>'[5]FY1 -FY5 P&amp;L Projections - 2302'!H$35</f>
        <v/>
      </c>
      <c r="N67" s="2068">
        <f>'[5]FY1 -FY5 P&amp;L Projections - 2302'!I$35</f>
        <v/>
      </c>
      <c r="O67" s="2068">
        <f>'[5]FY1 -FY5 P&amp;L Projections - 2302'!J$35</f>
        <v/>
      </c>
      <c r="P67" s="2068">
        <f>'[5]FY1 -FY5 P&amp;L Projections - 2302'!K$35</f>
        <v/>
      </c>
      <c r="Q67" s="2068">
        <f>'[5]FY1 -FY5 P&amp;L Projections - 2302'!L$35</f>
        <v/>
      </c>
      <c r="R67" s="2068">
        <f>'[5]FY1 -FY5 P&amp;L Projections - 2302'!M$35</f>
        <v/>
      </c>
      <c r="S67" s="462" t="n"/>
      <c r="T67" s="1466">
        <f>SUM(G67:R67)</f>
        <v/>
      </c>
    </row>
    <row r="68" ht="15" customHeight="1" s="1883">
      <c r="B68" s="385" t="n"/>
      <c r="C68" s="383" t="inlineStr">
        <is>
          <t>Direct Cost of Services, as a % of Revenue</t>
        </is>
      </c>
      <c r="D68" s="383" t="n"/>
      <c r="E68" s="383" t="n"/>
      <c r="F68" s="383" t="n"/>
      <c r="G68" s="2067">
        <f>G69/G67</f>
        <v/>
      </c>
      <c r="H68" s="2067">
        <f>H69/H67</f>
        <v/>
      </c>
      <c r="I68" s="2067">
        <f>I69/I67</f>
        <v/>
      </c>
      <c r="J68" s="2067">
        <f>J69/J67</f>
        <v/>
      </c>
      <c r="K68" s="2067">
        <f>K69/K67</f>
        <v/>
      </c>
      <c r="L68" s="2067">
        <f>L69/L67</f>
        <v/>
      </c>
      <c r="M68" s="2067">
        <f>M69/M67</f>
        <v/>
      </c>
      <c r="N68" s="2067">
        <f>N69/N67</f>
        <v/>
      </c>
      <c r="O68" s="2067">
        <f>O69/O67</f>
        <v/>
      </c>
      <c r="P68" s="2067">
        <f>P69/P67</f>
        <v/>
      </c>
      <c r="Q68" s="2067">
        <f>Q69/Q67</f>
        <v/>
      </c>
      <c r="R68" s="2067">
        <f>R69/R67</f>
        <v/>
      </c>
      <c r="S68" s="462" t="n"/>
      <c r="T68" s="2069">
        <f>AVERAGE(G68:R68)</f>
        <v/>
      </c>
    </row>
    <row r="69" ht="15" customHeight="1" s="1883">
      <c r="B69" s="383" t="n"/>
      <c r="C69" s="383" t="inlineStr">
        <is>
          <t>Less: Direct Cost of Services</t>
        </is>
      </c>
      <c r="D69" s="383" t="n"/>
      <c r="E69" s="383" t="n"/>
      <c r="F69" s="383" t="n"/>
      <c r="G69" s="2070">
        <f>'[5]Monthly Burn Rate Projections -'!$B$87</f>
        <v/>
      </c>
      <c r="H69" s="2070">
        <f>'[5]Monthly Burn Rate Projections -'!$C$87</f>
        <v/>
      </c>
      <c r="I69" s="2070">
        <f>'[5]Monthly Burn Rate Projections -'!$D$87</f>
        <v/>
      </c>
      <c r="J69" s="2070">
        <f>'[5]Monthly Burn Rate Projections -'!$E$87</f>
        <v/>
      </c>
      <c r="K69" s="2070">
        <f>'[5]Monthly Burn Rate Projections -'!$F$87</f>
        <v/>
      </c>
      <c r="L69" s="2070">
        <f>'[5]Monthly Burn Rate Projections -'!$G$87</f>
        <v/>
      </c>
      <c r="M69" s="2070">
        <f>'[5]Monthly Burn Rate Projections -'!$H$87</f>
        <v/>
      </c>
      <c r="N69" s="2070">
        <f>'[5]Monthly Burn Rate Projections -'!$I$87</f>
        <v/>
      </c>
      <c r="O69" s="2070">
        <f>'[5]Monthly Burn Rate Projections -'!$J$87</f>
        <v/>
      </c>
      <c r="P69" s="2070">
        <f>'[5]Monthly Burn Rate Projections -'!$K$87</f>
        <v/>
      </c>
      <c r="Q69" s="2070">
        <f>'[5]Monthly Burn Rate Projections -'!$L$87</f>
        <v/>
      </c>
      <c r="R69" s="2070">
        <f>'[5]Monthly Burn Rate Projections -'!$M$87</f>
        <v/>
      </c>
      <c r="S69" s="462" t="n"/>
      <c r="T69" s="1466">
        <f>SUM(G69:R69)</f>
        <v/>
      </c>
    </row>
    <row r="70" ht="3" customHeight="1" s="1883">
      <c r="B70" s="383" t="n"/>
      <c r="C70" s="383" t="n"/>
      <c r="D70" s="383" t="n"/>
      <c r="E70" s="383" t="n"/>
      <c r="F70" s="383" t="n"/>
      <c r="G70" s="508" t="n"/>
      <c r="H70" s="508" t="n"/>
      <c r="I70" s="508" t="n"/>
      <c r="J70" s="508" t="n"/>
      <c r="K70" s="508" t="n"/>
      <c r="L70" s="508" t="n"/>
      <c r="M70" s="508" t="n"/>
      <c r="N70" s="508" t="n"/>
      <c r="O70" s="508" t="n"/>
      <c r="P70" s="508" t="n"/>
      <c r="Q70" s="508" t="n"/>
      <c r="R70" s="508" t="n"/>
      <c r="S70" s="462" t="n"/>
      <c r="T70" s="508" t="n"/>
    </row>
    <row r="71" ht="3" customHeight="1" s="1883">
      <c r="B71" s="383" t="n"/>
      <c r="C71" s="383" t="n"/>
      <c r="D71" s="383" t="n"/>
      <c r="E71" s="383" t="n"/>
      <c r="F71" s="383" t="n"/>
      <c r="G71" s="462" t="n"/>
      <c r="H71" s="462" t="n"/>
      <c r="I71" s="462" t="n"/>
      <c r="J71" s="462" t="n"/>
      <c r="K71" s="462" t="n"/>
      <c r="L71" s="462" t="n"/>
      <c r="M71" s="462" t="n"/>
      <c r="N71" s="462" t="n"/>
      <c r="O71" s="462" t="n"/>
      <c r="P71" s="462" t="n"/>
      <c r="Q71" s="462" t="n"/>
      <c r="R71" s="462" t="n"/>
      <c r="S71" s="462" t="n"/>
      <c r="T71" s="462" t="n"/>
    </row>
    <row r="72" ht="15" customHeight="1" s="1883">
      <c r="B72" s="383" t="n"/>
      <c r="C72" s="383" t="n"/>
      <c r="D72" s="385" t="inlineStr">
        <is>
          <t>Net Revenue</t>
        </is>
      </c>
      <c r="E72" s="383" t="n"/>
      <c r="F72" s="383" t="n"/>
      <c r="G72" s="2071">
        <f>((G67)-(G69))</f>
        <v/>
      </c>
      <c r="H72" s="2071">
        <f>((H67)-(H69))</f>
        <v/>
      </c>
      <c r="I72" s="2071">
        <f>((I67)-(I69))</f>
        <v/>
      </c>
      <c r="J72" s="2071">
        <f>((J67)-(J69))</f>
        <v/>
      </c>
      <c r="K72" s="2071">
        <f>((K67)-(K69))</f>
        <v/>
      </c>
      <c r="L72" s="2071">
        <f>((L67)-(L69))</f>
        <v/>
      </c>
      <c r="M72" s="2071">
        <f>((M67)-(M69))</f>
        <v/>
      </c>
      <c r="N72" s="2071">
        <f>((N67)-(N69))</f>
        <v/>
      </c>
      <c r="O72" s="2071">
        <f>((O67)-(O69))</f>
        <v/>
      </c>
      <c r="P72" s="2071">
        <f>((P67)-(P69))</f>
        <v/>
      </c>
      <c r="Q72" s="2071">
        <f>((Q67)-(Q69))</f>
        <v/>
      </c>
      <c r="R72" s="2071">
        <f>((R67)-(R69))</f>
        <v/>
      </c>
      <c r="S72" s="462" t="n"/>
      <c r="T72" s="494">
        <f>SUM(G72:R72)</f>
        <v/>
      </c>
    </row>
    <row r="73" ht="3" customHeight="1" s="1883">
      <c r="B73" s="383" t="n"/>
      <c r="C73" s="383" t="n"/>
      <c r="D73" s="383" t="n"/>
      <c r="E73" s="383" t="n"/>
      <c r="F73" s="383" t="n"/>
      <c r="G73" s="508" t="n"/>
      <c r="H73" s="508" t="n"/>
      <c r="I73" s="508" t="n"/>
      <c r="J73" s="508" t="n"/>
      <c r="K73" s="508" t="n"/>
      <c r="L73" s="508" t="n"/>
      <c r="M73" s="508" t="n"/>
      <c r="N73" s="508" t="n"/>
      <c r="O73" s="508" t="n"/>
      <c r="P73" s="508" t="n"/>
      <c r="Q73" s="508" t="n"/>
      <c r="R73" s="508" t="n"/>
      <c r="S73" s="462" t="n"/>
      <c r="T73" s="508" t="n"/>
    </row>
    <row r="74" ht="3" customHeight="1" s="1883">
      <c r="B74" s="383" t="n"/>
      <c r="C74" s="383" t="n"/>
      <c r="D74" s="383" t="n"/>
      <c r="E74" s="383" t="n"/>
      <c r="F74" s="383" t="n"/>
      <c r="G74" s="462" t="n"/>
      <c r="H74" s="462" t="n"/>
      <c r="I74" s="462" t="n"/>
      <c r="J74" s="462" t="n"/>
      <c r="K74" s="462" t="n"/>
      <c r="L74" s="462" t="n"/>
      <c r="M74" s="462" t="n"/>
      <c r="N74" s="462" t="n"/>
      <c r="O74" s="462" t="n"/>
      <c r="P74" s="462" t="n"/>
      <c r="Q74" s="462" t="n"/>
      <c r="R74" s="462" t="n"/>
      <c r="S74" s="462" t="n"/>
      <c r="T74" s="462" t="n"/>
    </row>
    <row r="75" ht="15" customHeight="1" s="1883">
      <c r="B75" s="383" t="n"/>
      <c r="C75" s="383" t="n"/>
      <c r="D75" s="383" t="n"/>
      <c r="E75" s="383" t="n"/>
      <c r="F75" s="383" t="n"/>
      <c r="G75" s="462" t="n"/>
      <c r="H75" s="462" t="n"/>
      <c r="I75" s="462" t="n"/>
      <c r="J75" s="462" t="n"/>
      <c r="K75" s="462" t="n"/>
      <c r="L75" s="462" t="n"/>
      <c r="M75" s="462" t="n"/>
      <c r="N75" s="462" t="n"/>
      <c r="O75" s="462" t="n"/>
      <c r="P75" s="462" t="n"/>
      <c r="Q75" s="462" t="n"/>
      <c r="R75" s="462" t="n"/>
      <c r="S75" s="462" t="n"/>
      <c r="T75" s="462" t="n"/>
    </row>
    <row r="76" ht="15" customHeight="1" s="1883">
      <c r="B76" s="383" t="n"/>
      <c r="C76" s="383" t="n"/>
      <c r="D76" s="383" t="n"/>
      <c r="E76" s="383" t="n"/>
      <c r="F76" s="383" t="n"/>
      <c r="G76" s="383" t="n"/>
      <c r="H76" s="383" t="n"/>
      <c r="I76" s="383" t="n"/>
      <c r="J76" s="383" t="n"/>
      <c r="K76" s="383" t="n"/>
      <c r="L76" s="383" t="n"/>
      <c r="M76" s="383" t="n"/>
      <c r="N76" s="383" t="n"/>
      <c r="O76" s="383" t="n"/>
      <c r="P76" s="383" t="n"/>
      <c r="Q76" s="383" t="n"/>
      <c r="R76" s="383" t="n"/>
      <c r="S76" s="383" t="n"/>
      <c r="T76" s="383" t="n"/>
    </row>
    <row r="77" ht="15" customHeight="1" s="1883">
      <c r="B77" s="383" t="n"/>
      <c r="C77" s="383" t="n"/>
      <c r="D77" s="383" t="n"/>
      <c r="E77" s="383" t="n"/>
      <c r="F77" s="383" t="n"/>
      <c r="G77" s="1882" t="inlineStr">
        <is>
          <t>Post-Launch Month</t>
        </is>
      </c>
      <c r="S77" s="383" t="n"/>
      <c r="T77" s="386" t="inlineStr">
        <is>
          <t>Total</t>
        </is>
      </c>
    </row>
    <row r="78" ht="3" customHeight="1" s="1883">
      <c r="B78" s="383" t="n"/>
      <c r="C78" s="383" t="n"/>
      <c r="D78" s="383" t="n"/>
      <c r="E78" s="383" t="n"/>
      <c r="F78" s="383" t="n"/>
      <c r="G78" s="387" t="n"/>
      <c r="H78" s="387" t="n"/>
      <c r="I78" s="387" t="n"/>
      <c r="J78" s="387" t="n"/>
      <c r="K78" s="387" t="n"/>
      <c r="L78" s="387" t="n"/>
      <c r="M78" s="387" t="n"/>
      <c r="N78" s="387" t="n"/>
      <c r="O78" s="387" t="n"/>
      <c r="P78" s="387" t="n"/>
      <c r="Q78" s="387" t="n"/>
      <c r="R78" s="387" t="n"/>
      <c r="S78" s="383" t="n"/>
      <c r="T78" s="387" t="n"/>
    </row>
    <row r="79" ht="3" customHeight="1" s="1883">
      <c r="B79" s="383" t="n"/>
      <c r="C79" s="383" t="n"/>
      <c r="D79" s="383" t="n"/>
      <c r="E79" s="383" t="n"/>
      <c r="F79" s="383" t="n"/>
      <c r="G79" s="383" t="n"/>
      <c r="H79" s="383" t="n"/>
      <c r="I79" s="383" t="n"/>
      <c r="J79" s="383" t="n"/>
      <c r="K79" s="383" t="n"/>
      <c r="L79" s="383" t="n"/>
      <c r="M79" s="383" t="n"/>
      <c r="N79" s="383" t="n"/>
      <c r="O79" s="383" t="n"/>
      <c r="P79" s="383" t="n"/>
      <c r="Q79" s="383" t="n"/>
      <c r="R79" s="383" t="n"/>
      <c r="S79" s="383" t="n"/>
      <c r="T79" s="383" t="n"/>
    </row>
    <row r="80" ht="15" customHeight="1" s="1883">
      <c r="B80" s="383" t="n"/>
      <c r="C80" s="383" t="n"/>
      <c r="D80" s="383" t="n"/>
      <c r="E80" s="383" t="n"/>
      <c r="F80" s="383" t="n"/>
      <c r="G80" s="456" t="n">
        <v>37</v>
      </c>
      <c r="H80" s="386">
        <f>((G80)+(1))</f>
        <v/>
      </c>
      <c r="I80" s="386">
        <f>((H80)+(1))</f>
        <v/>
      </c>
      <c r="J80" s="386">
        <f>((I80)+(1))</f>
        <v/>
      </c>
      <c r="K80" s="386">
        <f>((J80)+(1))</f>
        <v/>
      </c>
      <c r="L80" s="386">
        <f>((K80)+(1))</f>
        <v/>
      </c>
      <c r="M80" s="386">
        <f>((L80)+(1))</f>
        <v/>
      </c>
      <c r="N80" s="386">
        <f>((M80)+(1))</f>
        <v/>
      </c>
      <c r="O80" s="386">
        <f>((N80)+(1))</f>
        <v/>
      </c>
      <c r="P80" s="386">
        <f>((O80)+(1))</f>
        <v/>
      </c>
      <c r="Q80" s="386">
        <f>((P80)+(1))</f>
        <v/>
      </c>
      <c r="R80" s="386">
        <f>((Q80)+(1))</f>
        <v/>
      </c>
      <c r="S80" s="383" t="n"/>
      <c r="T80" s="456" t="inlineStr">
        <is>
          <t>Months  37 - 48</t>
        </is>
      </c>
    </row>
    <row r="83" ht="15" customHeight="1" s="1883">
      <c r="B83" s="383" t="inlineStr">
        <is>
          <t>Month-Over-Month Revenue Growth, %</t>
        </is>
      </c>
      <c r="C83" s="383" t="n"/>
      <c r="D83" s="383" t="n"/>
      <c r="E83" s="383" t="n"/>
      <c r="F83" s="383" t="n"/>
      <c r="G83" s="2067">
        <f>G84/R67-1</f>
        <v/>
      </c>
      <c r="H83" s="2067">
        <f>H84/G84-1</f>
        <v/>
      </c>
      <c r="I83" s="2067">
        <f>I84/H84-1</f>
        <v/>
      </c>
      <c r="J83" s="2067">
        <f>J84/I84-1</f>
        <v/>
      </c>
      <c r="K83" s="2067">
        <f>K84/J84-1</f>
        <v/>
      </c>
      <c r="L83" s="2067">
        <f>L84/K84-1</f>
        <v/>
      </c>
      <c r="M83" s="2067">
        <f>M84/L84-1</f>
        <v/>
      </c>
      <c r="N83" s="2067">
        <f>N84/M84-1</f>
        <v/>
      </c>
      <c r="O83" s="2067">
        <f>O84/N84-1</f>
        <v/>
      </c>
      <c r="P83" s="2067">
        <f>P84/O84-1</f>
        <v/>
      </c>
      <c r="Q83" s="2067">
        <f>Q84/P84-1</f>
        <v/>
      </c>
      <c r="R83" s="2067">
        <f>R84/Q84-1</f>
        <v/>
      </c>
      <c r="S83" s="383" t="n"/>
      <c r="T83" s="383" t="n"/>
    </row>
    <row r="84" ht="15" customHeight="1" s="1883">
      <c r="B84" s="385" t="inlineStr">
        <is>
          <t>Revenue</t>
        </is>
      </c>
      <c r="C84" s="383" t="n"/>
      <c r="D84" s="383" t="n"/>
      <c r="E84" s="383" t="n"/>
      <c r="F84" s="383" t="n"/>
      <c r="G84" s="2068">
        <f>'[5]FY1 -FY5 P&amp;L Projections - 2302'!B$44</f>
        <v/>
      </c>
      <c r="H84" s="2068">
        <f>'[5]FY1 -FY5 P&amp;L Projections - 2302'!C$44</f>
        <v/>
      </c>
      <c r="I84" s="2068">
        <f>'[5]FY1 -FY5 P&amp;L Projections - 2302'!D$44</f>
        <v/>
      </c>
      <c r="J84" s="2068">
        <f>'[5]FY1 -FY5 P&amp;L Projections - 2302'!E$44</f>
        <v/>
      </c>
      <c r="K84" s="2068">
        <f>'[5]FY1 -FY5 P&amp;L Projections - 2302'!F$44</f>
        <v/>
      </c>
      <c r="L84" s="2068">
        <f>'[5]FY1 -FY5 P&amp;L Projections - 2302'!G$44</f>
        <v/>
      </c>
      <c r="M84" s="2068">
        <f>'[5]FY1 -FY5 P&amp;L Projections - 2302'!H$44</f>
        <v/>
      </c>
      <c r="N84" s="2068">
        <f>'[5]FY1 -FY5 P&amp;L Projections - 2302'!I$44</f>
        <v/>
      </c>
      <c r="O84" s="2068">
        <f>'[5]FY1 -FY5 P&amp;L Projections - 2302'!J$44</f>
        <v/>
      </c>
      <c r="P84" s="2068">
        <f>'[5]FY1 -FY5 P&amp;L Projections - 2302'!K$44</f>
        <v/>
      </c>
      <c r="Q84" s="2068">
        <f>'[5]FY1 -FY5 P&amp;L Projections - 2302'!L$44</f>
        <v/>
      </c>
      <c r="R84" s="2068">
        <f>'[5]FY1 -FY5 P&amp;L Projections - 2302'!M$44</f>
        <v/>
      </c>
      <c r="S84" s="462" t="n"/>
      <c r="T84" s="1466">
        <f>SUM(G84:R84)</f>
        <v/>
      </c>
    </row>
    <row r="85" ht="15" customHeight="1" s="1883">
      <c r="B85" s="385" t="n"/>
      <c r="C85" s="383" t="inlineStr">
        <is>
          <t>Direct Cost of Services, as a % of Revenue</t>
        </is>
      </c>
      <c r="D85" s="383" t="n"/>
      <c r="E85" s="383" t="n"/>
      <c r="F85" s="383" t="n"/>
      <c r="G85" s="2067">
        <f>G86/G84</f>
        <v/>
      </c>
      <c r="H85" s="2067">
        <f>H86/H84</f>
        <v/>
      </c>
      <c r="I85" s="2067">
        <f>I86/I84</f>
        <v/>
      </c>
      <c r="J85" s="2067">
        <f>J86/J84</f>
        <v/>
      </c>
      <c r="K85" s="2067">
        <f>K86/K84</f>
        <v/>
      </c>
      <c r="L85" s="2067">
        <f>L86/L84</f>
        <v/>
      </c>
      <c r="M85" s="2067">
        <f>M86/M84</f>
        <v/>
      </c>
      <c r="N85" s="2067">
        <f>N86/N84</f>
        <v/>
      </c>
      <c r="O85" s="2067">
        <f>O86/O84</f>
        <v/>
      </c>
      <c r="P85" s="2067">
        <f>P86/P84</f>
        <v/>
      </c>
      <c r="Q85" s="2067">
        <f>Q86/Q84</f>
        <v/>
      </c>
      <c r="R85" s="2067">
        <f>R86/R84</f>
        <v/>
      </c>
      <c r="S85" s="462" t="n"/>
      <c r="T85" s="2069">
        <f>AVERAGE(G85:R85)</f>
        <v/>
      </c>
    </row>
    <row r="86" ht="15" customHeight="1" s="1883">
      <c r="B86" s="383" t="n"/>
      <c r="C86" s="383" t="inlineStr">
        <is>
          <t>Less: Direct Cost of Services</t>
        </is>
      </c>
      <c r="D86" s="383" t="n"/>
      <c r="E86" s="383" t="n"/>
      <c r="F86" s="383" t="n"/>
      <c r="G86" s="2070">
        <f>'[5]Monthly Burn Rate Projections -'!$B$103</f>
        <v/>
      </c>
      <c r="H86" s="2070">
        <f>'[5]Monthly Burn Rate Projections -'!$C$103</f>
        <v/>
      </c>
      <c r="I86" s="2070">
        <f>'[5]Monthly Burn Rate Projections -'!$D$103</f>
        <v/>
      </c>
      <c r="J86" s="2070">
        <f>'[5]Monthly Burn Rate Projections -'!$E$103</f>
        <v/>
      </c>
      <c r="K86" s="2070">
        <f>'[5]Monthly Burn Rate Projections -'!$F$103</f>
        <v/>
      </c>
      <c r="L86" s="2070">
        <f>'[5]Monthly Burn Rate Projections -'!$G$103</f>
        <v/>
      </c>
      <c r="M86" s="2070">
        <f>'[5]Monthly Burn Rate Projections -'!$H$103</f>
        <v/>
      </c>
      <c r="N86" s="2070">
        <f>'[5]Monthly Burn Rate Projections -'!$I$103</f>
        <v/>
      </c>
      <c r="O86" s="2070">
        <f>'[5]Monthly Burn Rate Projections -'!$J$103</f>
        <v/>
      </c>
      <c r="P86" s="2070">
        <f>'[5]Monthly Burn Rate Projections -'!$K$103</f>
        <v/>
      </c>
      <c r="Q86" s="2070">
        <f>'[5]Monthly Burn Rate Projections -'!$L$103</f>
        <v/>
      </c>
      <c r="R86" s="2070">
        <f>'[5]Monthly Burn Rate Projections -'!$M$103</f>
        <v/>
      </c>
      <c r="S86" s="462" t="n"/>
      <c r="T86" s="1466">
        <f>SUM(G86:R86)</f>
        <v/>
      </c>
    </row>
    <row r="87" ht="3" customHeight="1" s="1883">
      <c r="B87" s="383" t="n"/>
      <c r="C87" s="383" t="n"/>
      <c r="D87" s="383" t="n"/>
      <c r="E87" s="383" t="n"/>
      <c r="F87" s="383" t="n"/>
      <c r="G87" s="508" t="n"/>
      <c r="H87" s="508" t="n"/>
      <c r="I87" s="508" t="n"/>
      <c r="J87" s="508" t="n"/>
      <c r="K87" s="508" t="n"/>
      <c r="L87" s="508" t="n"/>
      <c r="M87" s="508" t="n"/>
      <c r="N87" s="508" t="n"/>
      <c r="O87" s="508" t="n"/>
      <c r="P87" s="508" t="n"/>
      <c r="Q87" s="508" t="n"/>
      <c r="R87" s="508" t="n"/>
      <c r="S87" s="462" t="n"/>
      <c r="T87" s="508" t="n"/>
    </row>
    <row r="88" ht="3" customHeight="1" s="1883">
      <c r="B88" s="383" t="n"/>
      <c r="C88" s="383" t="n"/>
      <c r="D88" s="383" t="n"/>
      <c r="E88" s="383" t="n"/>
      <c r="F88" s="383" t="n"/>
      <c r="G88" s="462" t="n"/>
      <c r="H88" s="462" t="n"/>
      <c r="I88" s="462" t="n"/>
      <c r="J88" s="462" t="n"/>
      <c r="K88" s="462" t="n"/>
      <c r="L88" s="462" t="n"/>
      <c r="M88" s="462" t="n"/>
      <c r="N88" s="462" t="n"/>
      <c r="O88" s="462" t="n"/>
      <c r="P88" s="462" t="n"/>
      <c r="Q88" s="462" t="n"/>
      <c r="R88" s="462" t="n"/>
      <c r="S88" s="462" t="n"/>
      <c r="T88" s="462" t="n"/>
    </row>
    <row r="89" ht="15" customHeight="1" s="1883">
      <c r="B89" s="383" t="n"/>
      <c r="C89" s="383" t="n"/>
      <c r="D89" s="385" t="inlineStr">
        <is>
          <t>Net Revenue</t>
        </is>
      </c>
      <c r="E89" s="383" t="n"/>
      <c r="F89" s="383" t="n"/>
      <c r="G89" s="2071">
        <f>((G84)-(G86))</f>
        <v/>
      </c>
      <c r="H89" s="2071">
        <f>((H84)-(H86))</f>
        <v/>
      </c>
      <c r="I89" s="2071">
        <f>((I84)-(I86))</f>
        <v/>
      </c>
      <c r="J89" s="2071">
        <f>((J84)-(J86))</f>
        <v/>
      </c>
      <c r="K89" s="2071">
        <f>((K84)-(K86))</f>
        <v/>
      </c>
      <c r="L89" s="2071">
        <f>((L84)-(L86))</f>
        <v/>
      </c>
      <c r="M89" s="2071">
        <f>((M84)-(M86))</f>
        <v/>
      </c>
      <c r="N89" s="2071">
        <f>((N84)-(N86))</f>
        <v/>
      </c>
      <c r="O89" s="2071">
        <f>((O84)-(O86))</f>
        <v/>
      </c>
      <c r="P89" s="2071">
        <f>((P84)-(P86))</f>
        <v/>
      </c>
      <c r="Q89" s="2071">
        <f>((Q84)-(Q86))</f>
        <v/>
      </c>
      <c r="R89" s="2071">
        <f>((R84)-(R86))</f>
        <v/>
      </c>
      <c r="S89" s="462" t="n"/>
      <c r="T89" s="494">
        <f>SUM(G89:R89)</f>
        <v/>
      </c>
    </row>
    <row r="90" ht="3" customHeight="1" s="1883">
      <c r="B90" s="383" t="n"/>
      <c r="C90" s="383" t="n"/>
      <c r="D90" s="383" t="n"/>
      <c r="E90" s="383" t="n"/>
      <c r="F90" s="383" t="n"/>
      <c r="G90" s="508" t="n"/>
      <c r="H90" s="508" t="n"/>
      <c r="I90" s="508" t="n"/>
      <c r="J90" s="508" t="n"/>
      <c r="K90" s="508" t="n"/>
      <c r="L90" s="508" t="n"/>
      <c r="M90" s="508" t="n"/>
      <c r="N90" s="508" t="n"/>
      <c r="O90" s="508" t="n"/>
      <c r="P90" s="508" t="n"/>
      <c r="Q90" s="508" t="n"/>
      <c r="R90" s="508" t="n"/>
      <c r="S90" s="462" t="n"/>
      <c r="T90" s="508" t="n"/>
    </row>
    <row r="91" ht="3" customHeight="1" s="1883">
      <c r="B91" s="383" t="n"/>
      <c r="C91" s="383" t="n"/>
      <c r="D91" s="383" t="n"/>
      <c r="E91" s="383" t="n"/>
      <c r="F91" s="383" t="n"/>
      <c r="G91" s="462" t="n"/>
      <c r="H91" s="462" t="n"/>
      <c r="I91" s="462" t="n"/>
      <c r="J91" s="462" t="n"/>
      <c r="K91" s="462" t="n"/>
      <c r="L91" s="462" t="n"/>
      <c r="M91" s="462" t="n"/>
      <c r="N91" s="462" t="n"/>
      <c r="O91" s="462" t="n"/>
      <c r="P91" s="462" t="n"/>
      <c r="Q91" s="462" t="n"/>
      <c r="R91" s="462" t="n"/>
      <c r="S91" s="462" t="n"/>
      <c r="T91" s="462" t="n"/>
    </row>
    <row r="92" ht="15" customHeight="1" s="1883">
      <c r="B92" s="383" t="n"/>
      <c r="C92" s="383" t="n"/>
      <c r="D92" s="383" t="n"/>
      <c r="E92" s="383" t="n"/>
      <c r="F92" s="383" t="n"/>
      <c r="G92" s="462" t="n"/>
      <c r="H92" s="462" t="n"/>
      <c r="I92" s="462" t="n"/>
      <c r="J92" s="462" t="n"/>
      <c r="K92" s="462" t="n"/>
      <c r="L92" s="462" t="n"/>
      <c r="M92" s="462" t="n"/>
      <c r="N92" s="462" t="n"/>
      <c r="O92" s="462" t="n"/>
      <c r="P92" s="462" t="n"/>
      <c r="Q92" s="462" t="n"/>
      <c r="R92" s="462" t="n"/>
      <c r="S92" s="462" t="n"/>
      <c r="T92" s="462" t="n"/>
    </row>
    <row r="93" ht="15" customHeight="1" s="1883">
      <c r="B93" s="383" t="n"/>
      <c r="C93" s="383" t="n"/>
      <c r="D93" s="383" t="n"/>
      <c r="E93" s="383" t="n"/>
      <c r="F93" s="383" t="n"/>
      <c r="G93" s="383" t="n"/>
      <c r="H93" s="383" t="n"/>
      <c r="I93" s="383" t="n"/>
      <c r="J93" s="383" t="n"/>
      <c r="K93" s="383" t="n"/>
      <c r="L93" s="383" t="n"/>
      <c r="M93" s="383" t="n"/>
      <c r="N93" s="383" t="n"/>
      <c r="O93" s="383" t="n"/>
      <c r="P93" s="383" t="n"/>
      <c r="Q93" s="383" t="n"/>
      <c r="R93" s="383" t="n"/>
      <c r="S93" s="383" t="n"/>
      <c r="T93" s="383" t="n"/>
    </row>
    <row r="94" ht="15" customHeight="1" s="1883">
      <c r="B94" s="383" t="n"/>
      <c r="C94" s="383" t="n"/>
      <c r="D94" s="383" t="n"/>
      <c r="E94" s="383" t="n"/>
      <c r="F94" s="383" t="n"/>
      <c r="G94" s="1882" t="inlineStr">
        <is>
          <t>Post-Launch Month</t>
        </is>
      </c>
      <c r="S94" s="383" t="n"/>
      <c r="T94" s="386" t="inlineStr">
        <is>
          <t>Total</t>
        </is>
      </c>
    </row>
    <row r="97" ht="15" customHeight="1" s="1883">
      <c r="B97" s="383" t="n"/>
      <c r="C97" s="383" t="n"/>
      <c r="D97" s="383" t="n"/>
      <c r="E97" s="383" t="n"/>
      <c r="F97" s="383" t="n"/>
      <c r="G97" s="456" t="n">
        <v>49</v>
      </c>
      <c r="H97" s="386">
        <f>((G97)+(1))</f>
        <v/>
      </c>
      <c r="I97" s="386">
        <f>((H97)+(1))</f>
        <v/>
      </c>
      <c r="J97" s="386">
        <f>((I97)+(1))</f>
        <v/>
      </c>
      <c r="K97" s="386">
        <f>((J97)+(1))</f>
        <v/>
      </c>
      <c r="L97" s="386">
        <f>((K97)+(1))</f>
        <v/>
      </c>
      <c r="M97" s="386">
        <f>((L97)+(1))</f>
        <v/>
      </c>
      <c r="N97" s="386">
        <f>((M97)+(1))</f>
        <v/>
      </c>
      <c r="O97" s="386">
        <f>((N97)+(1))</f>
        <v/>
      </c>
      <c r="P97" s="386">
        <f>((O97)+(1))</f>
        <v/>
      </c>
      <c r="Q97" s="386">
        <f>((P97)+(1))</f>
        <v/>
      </c>
      <c r="R97" s="386">
        <f>((Q97)+(1))</f>
        <v/>
      </c>
      <c r="S97" s="383" t="n"/>
      <c r="T97" s="456" t="inlineStr">
        <is>
          <t>Months  49 - 60</t>
        </is>
      </c>
    </row>
    <row r="98" ht="3" customHeight="1" s="1883">
      <c r="B98" s="383" t="n"/>
      <c r="C98" s="383" t="n"/>
      <c r="D98" s="383" t="n"/>
      <c r="E98" s="383" t="n"/>
      <c r="F98" s="383" t="n"/>
      <c r="G98" s="387" t="n"/>
      <c r="H98" s="387" t="n"/>
      <c r="I98" s="387" t="n"/>
      <c r="J98" s="387" t="n"/>
      <c r="K98" s="387" t="n"/>
      <c r="L98" s="387" t="n"/>
      <c r="M98" s="387" t="n"/>
      <c r="N98" s="387" t="n"/>
      <c r="O98" s="387" t="n"/>
      <c r="P98" s="387" t="n"/>
      <c r="Q98" s="387" t="n"/>
      <c r="R98" s="387" t="n"/>
      <c r="S98" s="383" t="n"/>
      <c r="T98" s="387" t="n"/>
    </row>
    <row r="99" ht="3" customHeight="1" s="1883">
      <c r="B99" s="383" t="n"/>
      <c r="C99" s="383" t="n"/>
      <c r="D99" s="383" t="n"/>
      <c r="E99" s="383" t="n"/>
      <c r="F99" s="383" t="n"/>
      <c r="G99" s="383" t="n"/>
      <c r="H99" s="383" t="n"/>
      <c r="I99" s="383" t="n"/>
      <c r="J99" s="383" t="n"/>
      <c r="K99" s="383" t="n"/>
      <c r="L99" s="383" t="n"/>
      <c r="M99" s="383" t="n"/>
      <c r="N99" s="383" t="n"/>
      <c r="O99" s="383" t="n"/>
      <c r="P99" s="383" t="n"/>
      <c r="Q99" s="383" t="n"/>
      <c r="R99" s="383" t="n"/>
      <c r="S99" s="383" t="n"/>
      <c r="T99" s="383" t="n"/>
    </row>
    <row r="100" ht="15" customHeight="1" s="1883">
      <c r="B100" s="383" t="inlineStr">
        <is>
          <t>Month-Over-Month Revenue Growth, %</t>
        </is>
      </c>
      <c r="C100" s="383" t="n"/>
      <c r="D100" s="383" t="n"/>
      <c r="E100" s="383" t="n"/>
      <c r="F100" s="383" t="n"/>
      <c r="G100" s="2067">
        <f>G101/R84-1</f>
        <v/>
      </c>
      <c r="H100" s="2067">
        <f>H101/G101-1</f>
        <v/>
      </c>
      <c r="I100" s="2067">
        <f>I101/H101-1</f>
        <v/>
      </c>
      <c r="J100" s="2067">
        <f>J101/I101-1</f>
        <v/>
      </c>
      <c r="K100" s="2067">
        <f>K101/J101-1</f>
        <v/>
      </c>
      <c r="L100" s="2067">
        <f>L101/K101-1</f>
        <v/>
      </c>
      <c r="M100" s="2067">
        <f>M101/L101-1</f>
        <v/>
      </c>
      <c r="N100" s="2067">
        <f>N101/M101-1</f>
        <v/>
      </c>
      <c r="O100" s="2067">
        <f>O101/N101-1</f>
        <v/>
      </c>
      <c r="P100" s="2067">
        <f>P101/O101-1</f>
        <v/>
      </c>
      <c r="Q100" s="2067">
        <f>Q101/P101-1</f>
        <v/>
      </c>
      <c r="R100" s="2067">
        <f>R101/Q101-1</f>
        <v/>
      </c>
      <c r="S100" s="383" t="n"/>
      <c r="T100" s="383" t="n"/>
    </row>
    <row r="101" ht="15" customHeight="1" s="1883">
      <c r="B101" s="385" t="inlineStr">
        <is>
          <t>Revenue</t>
        </is>
      </c>
      <c r="C101" s="383" t="n"/>
      <c r="D101" s="383" t="n"/>
      <c r="E101" s="383" t="n"/>
      <c r="F101" s="383" t="n"/>
      <c r="G101" s="2010">
        <f>R84*1.025</f>
        <v/>
      </c>
      <c r="H101" s="2010">
        <f>G101*1.025</f>
        <v/>
      </c>
      <c r="I101" s="2010">
        <f>H101*1.025</f>
        <v/>
      </c>
      <c r="J101" s="2010">
        <f>I101*1.025</f>
        <v/>
      </c>
      <c r="K101" s="2010">
        <f>J101*1.025</f>
        <v/>
      </c>
      <c r="L101" s="2010">
        <f>K101*1.025</f>
        <v/>
      </c>
      <c r="M101" s="2010">
        <f>L101*1.025</f>
        <v/>
      </c>
      <c r="N101" s="2010">
        <f>M101*1.025</f>
        <v/>
      </c>
      <c r="O101" s="2010">
        <f>N101*1.025</f>
        <v/>
      </c>
      <c r="P101" s="2010">
        <f>O101*1.025</f>
        <v/>
      </c>
      <c r="Q101" s="2010">
        <f>P101*1.025</f>
        <v/>
      </c>
      <c r="R101" s="2010">
        <f>Q101*1.025</f>
        <v/>
      </c>
      <c r="S101" s="462" t="n"/>
      <c r="T101" s="1466">
        <f>SUM(G101:R101)</f>
        <v/>
      </c>
    </row>
    <row r="102" ht="15" customHeight="1" s="1883">
      <c r="B102" s="385" t="n"/>
      <c r="C102" s="383" t="inlineStr">
        <is>
          <t>Direct Cost of Services, as a % of Revenue</t>
        </is>
      </c>
      <c r="D102" s="383" t="n"/>
      <c r="E102" s="383" t="n"/>
      <c r="F102" s="383" t="n"/>
      <c r="G102" s="2067">
        <f>G103/G101</f>
        <v/>
      </c>
      <c r="H102" s="2067">
        <f>H103/H101</f>
        <v/>
      </c>
      <c r="I102" s="2067">
        <f>I103/I101</f>
        <v/>
      </c>
      <c r="J102" s="2067">
        <f>J103/J101</f>
        <v/>
      </c>
      <c r="K102" s="2067">
        <f>K103/K101</f>
        <v/>
      </c>
      <c r="L102" s="2067">
        <f>L103/L101</f>
        <v/>
      </c>
      <c r="M102" s="2067">
        <f>M103/M101</f>
        <v/>
      </c>
      <c r="N102" s="2067">
        <f>N103/N101</f>
        <v/>
      </c>
      <c r="O102" s="2067">
        <f>O103/O101</f>
        <v/>
      </c>
      <c r="P102" s="2067">
        <f>P103/P101</f>
        <v/>
      </c>
      <c r="Q102" s="2067">
        <f>Q103/Q101</f>
        <v/>
      </c>
      <c r="R102" s="2067">
        <f>R103/R101</f>
        <v/>
      </c>
      <c r="S102" s="462" t="n"/>
      <c r="T102" s="2069">
        <f>AVERAGE(G102:R102)</f>
        <v/>
      </c>
    </row>
    <row r="103" ht="15" customHeight="1" s="1883">
      <c r="B103" s="383" t="n"/>
      <c r="C103" s="383" t="inlineStr">
        <is>
          <t>Less: Direct Cost of Services</t>
        </is>
      </c>
      <c r="D103" s="383" t="n"/>
      <c r="E103" s="383" t="n"/>
      <c r="F103" s="383" t="n"/>
      <c r="G103" s="2010">
        <f>R86*1.025</f>
        <v/>
      </c>
      <c r="H103" s="2010">
        <f>G103*1.025</f>
        <v/>
      </c>
      <c r="I103" s="2010">
        <f>H103*1.025</f>
        <v/>
      </c>
      <c r="J103" s="2010">
        <f>I103*1.025</f>
        <v/>
      </c>
      <c r="K103" s="2010">
        <f>J103*1.025</f>
        <v/>
      </c>
      <c r="L103" s="2010">
        <f>K103*1.025</f>
        <v/>
      </c>
      <c r="M103" s="2010">
        <f>L103*1.025</f>
        <v/>
      </c>
      <c r="N103" s="2010">
        <f>M103*1.025</f>
        <v/>
      </c>
      <c r="O103" s="2010">
        <f>N103*1.025</f>
        <v/>
      </c>
      <c r="P103" s="2010">
        <f>O103*1.025</f>
        <v/>
      </c>
      <c r="Q103" s="2010">
        <f>P103*1.025</f>
        <v/>
      </c>
      <c r="R103" s="2010">
        <f>Q103*1.025</f>
        <v/>
      </c>
      <c r="S103" s="462" t="n"/>
      <c r="T103" s="1466">
        <f>SUM(G103:R103)</f>
        <v/>
      </c>
    </row>
    <row r="104" ht="3" customHeight="1" s="1883">
      <c r="B104" s="383" t="n"/>
      <c r="C104" s="383" t="n"/>
      <c r="D104" s="383" t="n"/>
      <c r="E104" s="383" t="n"/>
      <c r="F104" s="383" t="n"/>
      <c r="G104" s="508" t="n"/>
      <c r="H104" s="508" t="n"/>
      <c r="I104" s="508" t="n"/>
      <c r="J104" s="508" t="n"/>
      <c r="K104" s="508" t="n"/>
      <c r="L104" s="508" t="n"/>
      <c r="M104" s="508" t="n"/>
      <c r="N104" s="508" t="n"/>
      <c r="O104" s="508" t="n"/>
      <c r="P104" s="508" t="n"/>
      <c r="Q104" s="508" t="n"/>
      <c r="R104" s="508" t="n"/>
      <c r="S104" s="462" t="n"/>
      <c r="T104" s="508" t="n"/>
    </row>
    <row r="105" ht="3" customHeight="1" s="1883">
      <c r="B105" s="383" t="n"/>
      <c r="C105" s="383" t="n"/>
      <c r="D105" s="383" t="n"/>
      <c r="E105" s="383" t="n"/>
      <c r="F105" s="383" t="n"/>
      <c r="G105" s="462" t="n"/>
      <c r="H105" s="462" t="n"/>
      <c r="I105" s="462" t="n"/>
      <c r="J105" s="462" t="n"/>
      <c r="K105" s="462" t="n"/>
      <c r="L105" s="462" t="n"/>
      <c r="M105" s="462" t="n"/>
      <c r="N105" s="462" t="n"/>
      <c r="O105" s="462" t="n"/>
      <c r="P105" s="462" t="n"/>
      <c r="Q105" s="462" t="n"/>
      <c r="R105" s="462" t="n"/>
      <c r="S105" s="462" t="n"/>
      <c r="T105" s="462" t="n"/>
    </row>
    <row r="106" ht="15" customHeight="1" s="1883">
      <c r="B106" s="383" t="n"/>
      <c r="C106" s="383" t="n"/>
      <c r="D106" s="385" t="inlineStr">
        <is>
          <t>Net Revenue</t>
        </is>
      </c>
      <c r="E106" s="383" t="n"/>
      <c r="F106" s="383" t="n"/>
      <c r="G106" s="2071">
        <f>((G101)-(G103))</f>
        <v/>
      </c>
      <c r="H106" s="2071">
        <f>((H101)-(H103))</f>
        <v/>
      </c>
      <c r="I106" s="2071">
        <f>((I101)-(I103))</f>
        <v/>
      </c>
      <c r="J106" s="2071">
        <f>((J101)-(J103))</f>
        <v/>
      </c>
      <c r="K106" s="2071">
        <f>((K101)-(K103))</f>
        <v/>
      </c>
      <c r="L106" s="2071">
        <f>((L101)-(L103))</f>
        <v/>
      </c>
      <c r="M106" s="2071">
        <f>((M101)-(M103))</f>
        <v/>
      </c>
      <c r="N106" s="2071">
        <f>((N101)-(N103))</f>
        <v/>
      </c>
      <c r="O106" s="2071">
        <f>((O101)-(O103))</f>
        <v/>
      </c>
      <c r="P106" s="2071">
        <f>((P101)-(P103))</f>
        <v/>
      </c>
      <c r="Q106" s="2071">
        <f>((Q101)-(Q103))</f>
        <v/>
      </c>
      <c r="R106" s="2071">
        <f>((R101)-(R103))</f>
        <v/>
      </c>
      <c r="S106" s="462" t="n"/>
      <c r="T106" s="494">
        <f>SUM(G106:R106)</f>
        <v/>
      </c>
    </row>
    <row r="119" ht="14" customHeight="1" s="1883" thickBot="1"/>
    <row r="120" ht="16" customHeight="1" s="1883">
      <c r="E120" s="1468" t="n"/>
      <c r="F120" s="1469" t="n"/>
      <c r="G120" s="1470" t="inlineStr">
        <is>
          <t>FY0</t>
        </is>
      </c>
      <c r="H120" s="1470" t="inlineStr">
        <is>
          <t>FY1</t>
        </is>
      </c>
      <c r="I120" s="1470" t="inlineStr">
        <is>
          <t>FY2</t>
        </is>
      </c>
      <c r="J120" s="1470" t="inlineStr">
        <is>
          <t>FY3</t>
        </is>
      </c>
      <c r="K120" s="1470" t="inlineStr">
        <is>
          <t>FY4</t>
        </is>
      </c>
      <c r="L120" s="1471" t="inlineStr">
        <is>
          <t>FY5</t>
        </is>
      </c>
      <c r="M120" s="1917" t="n"/>
    </row>
    <row r="121" ht="16" customHeight="1" s="1883">
      <c r="E121" s="1472" t="n"/>
      <c r="F121" s="1473" t="n"/>
    </row>
    <row r="122" ht="16" customHeight="1" s="1883">
      <c r="E122" s="1477" t="inlineStr">
        <is>
          <t>Revenue</t>
        </is>
      </c>
      <c r="F122" s="1473" t="n"/>
      <c r="G122" s="2073">
        <f>T16</f>
        <v/>
      </c>
      <c r="H122" s="1475">
        <f>T33</f>
        <v/>
      </c>
      <c r="I122" s="1475">
        <f>T50</f>
        <v/>
      </c>
      <c r="J122" s="1475">
        <f>T67</f>
        <v/>
      </c>
      <c r="K122" s="1475">
        <f>T84</f>
        <v/>
      </c>
      <c r="L122" s="1476">
        <f>T101</f>
        <v/>
      </c>
    </row>
    <row r="123" ht="16" customHeight="1" s="1883">
      <c r="E123" s="1472" t="n"/>
      <c r="F123" s="1473" t="n"/>
      <c r="G123" s="1473" t="n"/>
      <c r="H123" s="1473" t="n"/>
      <c r="I123" s="1473" t="n"/>
      <c r="J123" s="1473" t="n"/>
      <c r="K123" s="1473" t="n"/>
      <c r="L123" s="1478" t="n"/>
    </row>
    <row r="124" ht="16" customHeight="1" s="1883">
      <c r="E124" s="1477" t="inlineStr">
        <is>
          <t>Operating Expenses</t>
        </is>
      </c>
      <c r="F124" s="1473" t="n"/>
      <c r="G124" s="1475">
        <f>T18</f>
        <v/>
      </c>
      <c r="H124" s="1475">
        <f>T35</f>
        <v/>
      </c>
      <c r="I124" s="1475">
        <f>T52</f>
        <v/>
      </c>
      <c r="J124" s="1475">
        <f>T69</f>
        <v/>
      </c>
      <c r="K124" s="1475">
        <f>T86</f>
        <v/>
      </c>
      <c r="L124" s="1476">
        <f>T103</f>
        <v/>
      </c>
    </row>
    <row r="125" ht="16" customHeight="1" s="1883">
      <c r="E125" s="1472" t="n"/>
      <c r="F125" s="1473" t="n"/>
      <c r="G125" s="1473" t="n"/>
      <c r="H125" s="1473" t="n"/>
      <c r="I125" s="1473" t="n"/>
      <c r="J125" s="1473" t="n"/>
      <c r="K125" s="1473" t="n"/>
      <c r="L125" s="1478" t="n"/>
    </row>
    <row r="126" ht="16" customHeight="1" s="1883">
      <c r="E126" s="1479" t="inlineStr">
        <is>
          <t>EBITDA/OPERATING INCOME / (LOSS), $</t>
        </is>
      </c>
      <c r="F126" s="1480" t="n"/>
      <c r="G126" s="2073">
        <f>G122-G124</f>
        <v/>
      </c>
      <c r="H126" s="2073">
        <f>H122-H124</f>
        <v/>
      </c>
      <c r="I126" s="2073">
        <f>I122-I124</f>
        <v/>
      </c>
      <c r="J126" s="2073">
        <f>J122-J124</f>
        <v/>
      </c>
      <c r="K126" s="2073">
        <f>K122-K124</f>
        <v/>
      </c>
      <c r="L126" s="2074">
        <f>L122-L124</f>
        <v/>
      </c>
    </row>
    <row r="127" ht="17" customHeight="1" s="1883" thickBot="1">
      <c r="E127" s="1482" t="inlineStr">
        <is>
          <t>EBIDA/OPERATING MARGIN, %</t>
        </is>
      </c>
      <c r="F127" s="1483" t="n"/>
      <c r="G127" s="1484">
        <f>G126/G122</f>
        <v/>
      </c>
      <c r="H127" s="1484">
        <f>H126/H122</f>
        <v/>
      </c>
      <c r="I127" s="1484">
        <f>I126/I122</f>
        <v/>
      </c>
      <c r="J127" s="1484">
        <f>J126/J122</f>
        <v/>
      </c>
      <c r="K127" s="1484">
        <f>K126/K122</f>
        <v/>
      </c>
      <c r="L127" s="1485">
        <f>L126/L122</f>
        <v/>
      </c>
    </row>
  </sheetData>
  <mergeCells count="9">
    <mergeCell ref="G43:R43"/>
    <mergeCell ref="G77:R77"/>
    <mergeCell ref="B6:T6"/>
    <mergeCell ref="G94:R94"/>
    <mergeCell ref="B4:T4"/>
    <mergeCell ref="G60:R60"/>
    <mergeCell ref="G9:R9"/>
    <mergeCell ref="G26:R26"/>
    <mergeCell ref="B2:T2"/>
  </mergeCells>
  <pageMargins left="0.7" right="0.7" top="0.75" bottom="0.75" header="0.3" footer="0.3"/>
  <pageSetup orientation="portrait" horizontalDpi="0" verticalDpi="0"/>
  <drawing xmlns:r="http://schemas.openxmlformats.org/officeDocument/2006/relationships" r:id="rId1"/>
</worksheet>
</file>

<file path=xl/worksheets/sheet21.xml><?xml version="1.0" encoding="utf-8"?>
<worksheet xmlns="http://schemas.openxmlformats.org/spreadsheetml/2006/main">
  <sheetPr>
    <tabColor rgb="FFCDFFCD"/>
    <outlinePr summaryBelow="1" summaryRight="1"/>
    <pageSetUpPr/>
  </sheetPr>
  <dimension ref="B2:AH40"/>
  <sheetViews>
    <sheetView zoomScaleNormal="100" workbookViewId="0">
      <selection activeCell="G49" sqref="G49"/>
    </sheetView>
  </sheetViews>
  <sheetFormatPr baseColWidth="10" defaultColWidth="8.6640625" defaultRowHeight="13"/>
  <cols>
    <col width="2.6640625" customWidth="1" style="1883" min="1" max="2"/>
    <col width="31.6640625" customWidth="1" style="1883" min="3" max="3"/>
    <col width="2.5" customWidth="1" style="1883" min="4" max="4"/>
    <col width="16.6640625" customWidth="1" style="1883" min="5" max="30"/>
    <col width="15.6640625" customWidth="1" style="1883" min="31" max="34"/>
    <col width="2.6640625" customWidth="1" style="1883" min="35" max="35"/>
  </cols>
  <sheetData>
    <row r="2" ht="15" customHeight="1" s="1883">
      <c r="B2" s="385" t="inlineStr">
        <is>
          <t>PURE TECHNOLOGY</t>
        </is>
      </c>
      <c r="C2" s="385" t="n"/>
      <c r="D2" s="385" t="n"/>
      <c r="E2" s="385" t="n"/>
      <c r="F2" s="385" t="n"/>
      <c r="G2" s="385" t="n"/>
      <c r="H2" s="385" t="n"/>
      <c r="I2" s="385" t="n"/>
      <c r="J2" s="385" t="n"/>
      <c r="K2" s="385" t="n"/>
      <c r="L2" s="385" t="n"/>
      <c r="M2" s="385" t="n"/>
      <c r="N2" s="385" t="n"/>
      <c r="O2" s="385" t="n"/>
      <c r="P2" s="385" t="n"/>
      <c r="Q2" s="385" t="n"/>
      <c r="R2" s="385" t="n"/>
      <c r="S2" s="385" t="n"/>
      <c r="T2" s="385" t="n"/>
      <c r="U2" s="383" t="n"/>
      <c r="V2" s="383" t="n"/>
      <c r="W2" s="383" t="n"/>
      <c r="X2" s="383" t="n"/>
      <c r="Y2" s="383" t="n"/>
      <c r="Z2" s="383" t="n"/>
      <c r="AA2" s="383" t="n"/>
      <c r="AB2" s="383" t="n"/>
      <c r="AC2" s="383" t="n"/>
      <c r="AD2" s="383" t="n"/>
      <c r="AE2" s="383" t="n"/>
      <c r="AF2" s="383" t="n"/>
      <c r="AG2" s="383" t="n"/>
      <c r="AH2" s="383" t="n"/>
    </row>
    <row r="3" ht="4.5" customHeight="1" s="1883">
      <c r="B3" s="383" t="n"/>
      <c r="C3" s="383" t="n"/>
      <c r="D3" s="383" t="n"/>
      <c r="E3" s="383" t="n"/>
      <c r="F3" s="383" t="n"/>
      <c r="G3" s="383" t="n"/>
      <c r="H3" s="383" t="n"/>
      <c r="I3" s="383" t="n"/>
      <c r="J3" s="383" t="n"/>
      <c r="K3" s="383" t="n"/>
      <c r="L3" s="383" t="n"/>
      <c r="M3" s="383" t="n"/>
      <c r="N3" s="383" t="n"/>
      <c r="O3" s="383" t="n"/>
      <c r="P3" s="383" t="n"/>
      <c r="Q3" s="383" t="n"/>
      <c r="R3" s="383" t="n"/>
      <c r="S3" s="383" t="n"/>
      <c r="T3" s="383" t="n"/>
      <c r="U3" s="383" t="n"/>
      <c r="V3" s="383" t="n"/>
      <c r="W3" s="383" t="n"/>
      <c r="X3" s="383" t="n"/>
      <c r="Y3" s="383" t="n"/>
      <c r="Z3" s="383" t="n"/>
      <c r="AA3" s="383" t="n"/>
      <c r="AB3" s="383" t="n"/>
      <c r="AC3" s="383" t="n"/>
      <c r="AD3" s="383" t="n"/>
      <c r="AE3" s="383" t="n"/>
      <c r="AF3" s="383" t="n"/>
      <c r="AG3" s="383" t="n"/>
      <c r="AH3" s="383" t="n"/>
    </row>
    <row r="4" ht="15" customHeight="1" s="1883">
      <c r="B4" s="423" t="inlineStr">
        <is>
          <t>PURE RESEARCH REVENUE</t>
        </is>
      </c>
      <c r="C4" s="423" t="n"/>
      <c r="D4" s="423" t="n"/>
      <c r="E4" s="423" t="n"/>
      <c r="F4" s="423" t="n"/>
      <c r="G4" s="423" t="n"/>
      <c r="H4" s="423" t="n"/>
      <c r="I4" s="423" t="n"/>
      <c r="J4" s="423" t="n"/>
      <c r="K4" s="423" t="n"/>
      <c r="L4" s="423" t="n"/>
      <c r="M4" s="423" t="n"/>
      <c r="N4" s="423" t="n"/>
      <c r="O4" s="423" t="n"/>
      <c r="P4" s="423" t="n"/>
      <c r="Q4" s="423" t="n"/>
      <c r="R4" s="423" t="n"/>
      <c r="S4" s="423" t="n"/>
      <c r="T4" s="423" t="n"/>
      <c r="U4" s="383" t="n"/>
      <c r="V4" s="383" t="n"/>
      <c r="W4" s="383" t="n"/>
      <c r="X4" s="383" t="n"/>
      <c r="Y4" s="383" t="n"/>
      <c r="Z4" s="383" t="n"/>
      <c r="AA4" s="383" t="n"/>
      <c r="AB4" s="383" t="n"/>
      <c r="AC4" s="383" t="n"/>
      <c r="AD4" s="383" t="n"/>
      <c r="AE4" s="383" t="n"/>
      <c r="AF4" s="383" t="n"/>
      <c r="AG4" s="383" t="n"/>
      <c r="AH4" s="383" t="n"/>
    </row>
    <row r="5" ht="4.5" customHeight="1" s="1883">
      <c r="B5" s="422" t="n"/>
      <c r="C5" s="383" t="n"/>
      <c r="D5" s="383" t="n"/>
      <c r="E5" s="383" t="n"/>
      <c r="F5" s="383" t="n"/>
      <c r="G5" s="383" t="n"/>
      <c r="H5" s="383" t="n"/>
      <c r="I5" s="383" t="n"/>
      <c r="J5" s="383" t="n"/>
      <c r="K5" s="383" t="n"/>
      <c r="L5" s="383" t="n"/>
      <c r="M5" s="383" t="n"/>
      <c r="N5" s="383" t="n"/>
      <c r="O5" s="383" t="n"/>
      <c r="P5" s="383" t="n"/>
      <c r="Q5" s="383" t="n"/>
      <c r="R5" s="383" t="n"/>
      <c r="S5" s="383" t="n"/>
      <c r="T5" s="383" t="n"/>
      <c r="U5" s="383" t="n"/>
      <c r="V5" s="383" t="n"/>
      <c r="W5" s="383" t="n"/>
      <c r="X5" s="383" t="n"/>
      <c r="Y5" s="383" t="n"/>
      <c r="Z5" s="383" t="n"/>
      <c r="AA5" s="383" t="n"/>
      <c r="AB5" s="383" t="n"/>
      <c r="AC5" s="383" t="n"/>
      <c r="AD5" s="383" t="n"/>
      <c r="AE5" s="383" t="n"/>
      <c r="AF5" s="383" t="n"/>
      <c r="AG5" s="383" t="n"/>
      <c r="AH5" s="383" t="n"/>
    </row>
    <row r="6" ht="15" customHeight="1" s="1883">
      <c r="B6" s="423" t="inlineStr">
        <is>
          <t>BY MONTH, MONTHS 1 - 60</t>
        </is>
      </c>
      <c r="C6" s="423" t="n"/>
      <c r="D6" s="423" t="n"/>
      <c r="E6" s="423" t="n"/>
      <c r="F6" s="423" t="n"/>
      <c r="G6" s="423" t="n"/>
      <c r="H6" s="423" t="n"/>
      <c r="I6" s="423" t="n"/>
      <c r="J6" s="423" t="n"/>
      <c r="K6" s="423" t="n"/>
      <c r="L6" s="423" t="n"/>
      <c r="M6" s="423" t="n"/>
      <c r="N6" s="423" t="n"/>
      <c r="O6" s="423" t="n"/>
      <c r="P6" s="423" t="n"/>
      <c r="Q6" s="423" t="n"/>
      <c r="R6" s="423" t="n"/>
      <c r="S6" s="423" t="n"/>
      <c r="T6" s="423" t="n"/>
      <c r="U6" s="383" t="n"/>
      <c r="V6" s="383" t="n"/>
      <c r="W6" s="383" t="n"/>
      <c r="X6" s="383" t="n"/>
      <c r="Y6" s="383" t="n"/>
      <c r="Z6" s="383" t="n"/>
      <c r="AA6" s="383" t="n"/>
      <c r="AB6" s="383" t="n"/>
      <c r="AC6" s="383" t="n"/>
      <c r="AD6" s="383" t="n"/>
      <c r="AE6" s="383" t="n"/>
      <c r="AF6" s="383" t="n"/>
      <c r="AG6" s="383" t="n"/>
      <c r="AH6" s="383" t="n"/>
    </row>
    <row r="7" ht="15" customHeight="1" s="1883">
      <c r="B7" s="383" t="n"/>
      <c r="C7" s="383" t="n"/>
      <c r="D7" s="383" t="n"/>
      <c r="E7" s="383" t="n"/>
      <c r="F7" s="383" t="n"/>
      <c r="G7" s="383" t="n"/>
      <c r="H7" s="383" t="n"/>
      <c r="I7" s="383" t="n"/>
      <c r="J7" s="383" t="n"/>
      <c r="K7" s="383" t="n"/>
      <c r="L7" s="383" t="n"/>
      <c r="M7" s="383" t="n"/>
      <c r="N7" s="383" t="n"/>
      <c r="O7" s="383" t="n"/>
      <c r="P7" s="383" t="n"/>
      <c r="Q7" s="383" t="n"/>
      <c r="R7" s="383" t="n"/>
      <c r="S7" s="383" t="n"/>
      <c r="T7" s="383" t="n"/>
      <c r="U7" s="383" t="n"/>
      <c r="V7" s="383" t="n"/>
      <c r="W7" s="383" t="n"/>
      <c r="X7" s="383" t="n"/>
      <c r="Y7" s="383" t="n"/>
      <c r="Z7" s="383" t="n"/>
      <c r="AA7" s="383" t="n"/>
      <c r="AB7" s="383" t="n"/>
      <c r="AC7" s="383" t="n"/>
      <c r="AD7" s="383" t="n"/>
      <c r="AE7" s="383" t="n"/>
      <c r="AF7" s="383" t="n"/>
      <c r="AG7" s="383" t="n"/>
      <c r="AH7" s="383" t="n"/>
    </row>
    <row r="8" ht="3" customHeight="1" s="1883" thickBot="1">
      <c r="B8" s="1885" t="n"/>
      <c r="C8" s="1885" t="n"/>
      <c r="D8" s="383" t="n"/>
      <c r="E8" s="383" t="n"/>
      <c r="F8" s="383" t="n"/>
      <c r="G8" s="383" t="n"/>
      <c r="H8" s="383" t="n"/>
      <c r="I8" s="383" t="n"/>
      <c r="J8" s="383" t="n"/>
      <c r="K8" s="383" t="n"/>
      <c r="L8" s="383" t="n"/>
      <c r="M8" s="383" t="n"/>
      <c r="N8" s="383" t="n"/>
      <c r="O8" s="383" t="n"/>
      <c r="P8" s="383" t="n"/>
      <c r="Q8" s="383" t="n"/>
      <c r="R8" s="383" t="n"/>
      <c r="S8" s="383" t="n"/>
      <c r="T8" s="383" t="n"/>
      <c r="U8" s="383" t="n"/>
      <c r="V8" s="383" t="n"/>
      <c r="W8" s="383" t="n"/>
      <c r="X8" s="383" t="n"/>
      <c r="Y8" s="383" t="n"/>
      <c r="Z8" s="383" t="n"/>
      <c r="AA8" s="383" t="n"/>
      <c r="AB8" s="383" t="n"/>
      <c r="AC8" s="383" t="n"/>
      <c r="AD8" s="383" t="n"/>
      <c r="AE8" s="383" t="n"/>
      <c r="AF8" s="383" t="n"/>
      <c r="AG8" s="383" t="n"/>
      <c r="AH8" s="383" t="n"/>
    </row>
    <row r="9" ht="3" customHeight="1" s="1883" thickTop="1">
      <c r="B9" s="383" t="n"/>
      <c r="C9" s="383" t="n"/>
      <c r="D9" s="383" t="n"/>
      <c r="E9" s="383" t="n"/>
      <c r="F9" s="383" t="n"/>
      <c r="G9" s="383" t="n"/>
      <c r="H9" s="383" t="n"/>
      <c r="I9" s="383" t="n"/>
      <c r="J9" s="383" t="n"/>
      <c r="K9" s="383" t="n"/>
      <c r="L9" s="383" t="n"/>
      <c r="M9" s="383" t="n"/>
      <c r="N9" s="383" t="n"/>
      <c r="O9" s="383" t="n"/>
      <c r="P9" s="383" t="n"/>
      <c r="Q9" s="383" t="n"/>
      <c r="R9" s="383" t="n"/>
      <c r="S9" s="383" t="n"/>
      <c r="T9" s="383" t="n"/>
      <c r="U9" s="383" t="n"/>
      <c r="V9" s="383" t="n"/>
      <c r="W9" s="383" t="n"/>
      <c r="X9" s="383" t="n"/>
      <c r="Y9" s="383" t="n"/>
      <c r="Z9" s="383" t="n"/>
      <c r="AA9" s="383" t="n"/>
      <c r="AB9" s="383" t="n"/>
      <c r="AC9" s="383" t="n"/>
      <c r="AD9" s="383" t="n"/>
      <c r="AE9" s="383" t="n"/>
      <c r="AF9" s="383" t="n"/>
      <c r="AG9" s="383" t="n"/>
      <c r="AH9" s="383" t="n"/>
    </row>
    <row r="10" ht="15" customHeight="1" s="1883">
      <c r="B10" s="383" t="n"/>
      <c r="C10" s="383" t="n"/>
      <c r="D10" s="383" t="n"/>
      <c r="E10" s="383" t="n"/>
      <c r="F10" s="383" t="n"/>
      <c r="G10" s="383" t="n"/>
      <c r="H10" s="383" t="n"/>
      <c r="I10" s="383" t="n"/>
      <c r="J10" s="383" t="n"/>
      <c r="K10" s="383" t="n"/>
      <c r="L10" s="383" t="n"/>
      <c r="M10" s="383" t="n"/>
      <c r="N10" s="383" t="n"/>
      <c r="O10" s="383" t="n"/>
      <c r="P10" s="383" t="n"/>
      <c r="Q10" s="383" t="n"/>
      <c r="R10" s="383" t="n"/>
      <c r="S10" s="383" t="n"/>
      <c r="T10" s="383" t="n"/>
      <c r="U10" s="383" t="n"/>
      <c r="V10" s="383" t="n"/>
      <c r="W10" s="383" t="n"/>
      <c r="X10" s="383" t="n"/>
      <c r="Y10" s="383" t="n"/>
      <c r="Z10" s="383" t="n"/>
      <c r="AA10" s="383" t="n"/>
      <c r="AB10" s="383" t="n"/>
      <c r="AC10" s="383" t="n"/>
      <c r="AD10" s="383" t="n"/>
      <c r="AE10" s="383" t="n"/>
      <c r="AF10" s="383" t="n"/>
      <c r="AG10" s="383" t="n"/>
      <c r="AH10" s="383" t="n"/>
    </row>
    <row r="11" ht="15" customHeight="1" s="1883">
      <c r="B11" s="383" t="n"/>
      <c r="C11" s="383" t="n"/>
      <c r="D11" s="383" t="n"/>
      <c r="E11" s="1882" t="inlineStr">
        <is>
          <t>Months Relative to Launch of Core Model</t>
        </is>
      </c>
      <c r="AE11" s="383" t="n"/>
      <c r="AF11" s="383" t="n"/>
      <c r="AG11" s="383" t="n"/>
      <c r="AH11" s="383" t="n"/>
    </row>
    <row r="12" ht="3" customHeight="1" s="1883">
      <c r="B12" s="383" t="n"/>
      <c r="C12" s="383" t="n"/>
      <c r="D12" s="383" t="n"/>
      <c r="E12" s="387" t="n"/>
      <c r="F12" s="387" t="n"/>
      <c r="G12" s="387" t="n"/>
      <c r="H12" s="387" t="n"/>
      <c r="I12" s="387" t="n"/>
      <c r="J12" s="387" t="n"/>
      <c r="K12" s="387" t="n"/>
      <c r="L12" s="387" t="n"/>
      <c r="M12" s="387" t="n"/>
      <c r="N12" s="387" t="n"/>
      <c r="O12" s="387" t="n"/>
      <c r="P12" s="387" t="n"/>
      <c r="Q12" s="387" t="n"/>
      <c r="R12" s="387" t="n"/>
      <c r="S12" s="387" t="n"/>
      <c r="T12" s="387" t="n"/>
      <c r="U12" s="387" t="n"/>
      <c r="V12" s="387" t="n"/>
      <c r="W12" s="387" t="n"/>
      <c r="X12" s="387" t="n"/>
      <c r="Y12" s="387" t="n"/>
      <c r="Z12" s="387" t="n"/>
      <c r="AA12" s="387" t="n"/>
      <c r="AB12" s="387" t="n"/>
      <c r="AC12" s="387" t="n"/>
      <c r="AD12" s="387" t="n"/>
      <c r="AE12" s="387" t="n"/>
      <c r="AF12" s="387" t="n"/>
      <c r="AG12" s="387" t="n"/>
      <c r="AH12" s="387" t="n"/>
    </row>
    <row r="13" ht="3" customHeight="1" s="1883">
      <c r="B13" s="383" t="n"/>
      <c r="C13" s="383" t="n"/>
      <c r="D13" s="383" t="n"/>
      <c r="E13" s="383" t="n"/>
      <c r="F13" s="383" t="n"/>
      <c r="G13" s="383" t="n"/>
      <c r="H13" s="383" t="n"/>
      <c r="I13" s="383" t="n"/>
      <c r="J13" s="383" t="n"/>
      <c r="K13" s="383" t="n"/>
      <c r="L13" s="383" t="n"/>
      <c r="M13" s="383" t="n"/>
      <c r="N13" s="383" t="n"/>
      <c r="O13" s="383" t="n"/>
      <c r="P13" s="383" t="n"/>
      <c r="Q13" s="383" t="n"/>
      <c r="R13" s="383" t="n"/>
      <c r="S13" s="383" t="n"/>
      <c r="T13" s="383" t="n"/>
      <c r="U13" s="383" t="n"/>
      <c r="V13" s="383" t="n"/>
      <c r="W13" s="383" t="n"/>
      <c r="X13" s="383" t="n"/>
      <c r="Y13" s="383" t="n"/>
      <c r="Z13" s="383" t="n"/>
      <c r="AA13" s="383" t="n"/>
      <c r="AB13" s="383" t="n"/>
      <c r="AC13" s="383" t="n"/>
      <c r="AD13" s="383" t="n"/>
      <c r="AE13" s="383" t="n"/>
      <c r="AF13" s="383" t="n"/>
      <c r="AG13" s="383" t="n"/>
      <c r="AH13" s="383" t="n"/>
    </row>
    <row r="14" ht="15" customHeight="1" s="1883">
      <c r="B14" s="649" t="inlineStr">
        <is>
          <t>Time Period</t>
        </is>
      </c>
      <c r="C14" s="1884" t="n"/>
      <c r="D14" s="383" t="n"/>
      <c r="E14" s="1949" t="inlineStr">
        <is>
          <t>Months - 12 to - 1</t>
        </is>
      </c>
      <c r="J14" s="1946" t="inlineStr">
        <is>
          <t xml:space="preserve">Months 1 to 12 </t>
        </is>
      </c>
      <c r="N14" s="1947" t="n"/>
      <c r="O14" s="1946" t="inlineStr">
        <is>
          <t>Months 13 to 24</t>
        </is>
      </c>
      <c r="S14" s="1947" t="n"/>
      <c r="T14" s="1946" t="inlineStr">
        <is>
          <t>Months 25 to 36</t>
        </is>
      </c>
      <c r="X14" s="1947" t="n"/>
      <c r="Y14" s="1948" t="inlineStr">
        <is>
          <t>Months 37 to 48</t>
        </is>
      </c>
      <c r="AD14" s="1948" t="inlineStr">
        <is>
          <t>Months 49 to 60</t>
        </is>
      </c>
    </row>
    <row r="18" ht="15" customHeight="1" s="1883">
      <c r="B18" s="383" t="n"/>
      <c r="C18" s="383" t="n"/>
      <c r="D18" s="383" t="n"/>
      <c r="E18" s="383" t="n"/>
      <c r="F18" s="383" t="n"/>
      <c r="G18" s="383" t="n"/>
      <c r="H18" s="383" t="n"/>
      <c r="I18" s="1882" t="inlineStr">
        <is>
          <t>Net Revenue</t>
        </is>
      </c>
      <c r="J18" s="541" t="n"/>
      <c r="K18" s="1910" t="n"/>
      <c r="L18" s="1910" t="n"/>
      <c r="M18" s="1910" t="n"/>
      <c r="N18" s="1882" t="inlineStr">
        <is>
          <t>Net Revenue</t>
        </is>
      </c>
      <c r="O18" s="541" t="n"/>
      <c r="P18" s="1910" t="n"/>
      <c r="Q18" s="1910" t="n"/>
      <c r="R18" s="1910" t="n"/>
      <c r="S18" s="1882" t="inlineStr">
        <is>
          <t>Net Revenue</t>
        </is>
      </c>
      <c r="T18" s="541" t="n"/>
      <c r="U18" s="1910" t="n"/>
      <c r="V18" s="1910" t="n"/>
      <c r="W18" s="1910" t="n"/>
      <c r="X18" s="1882" t="inlineStr">
        <is>
          <t>Net Revenue</t>
        </is>
      </c>
      <c r="Y18" s="541" t="n"/>
      <c r="Z18" s="1910" t="n"/>
      <c r="AA18" s="1910" t="n"/>
      <c r="AB18" s="1910" t="n"/>
      <c r="AC18" s="1882" t="inlineStr">
        <is>
          <t>Net Revenue</t>
        </is>
      </c>
      <c r="AD18" s="541" t="n"/>
      <c r="AE18" s="1910" t="n"/>
      <c r="AF18" s="1910" t="n"/>
      <c r="AG18" s="1910" t="n"/>
      <c r="AH18" s="1882" t="inlineStr">
        <is>
          <t>Net Revenue</t>
        </is>
      </c>
    </row>
    <row r="19" ht="15" customHeight="1" s="1883">
      <c r="B19" s="383" t="n"/>
      <c r="C19" s="383" t="n"/>
      <c r="D19" s="383" t="n"/>
      <c r="E19" s="386" t="n"/>
      <c r="F19" s="386" t="n"/>
      <c r="G19" s="386" t="n"/>
      <c r="H19" s="386" t="inlineStr">
        <is>
          <t>Particpant</t>
        </is>
      </c>
      <c r="I19" s="1882" t="inlineStr">
        <is>
          <t>To</t>
        </is>
      </c>
      <c r="J19" s="433" t="n"/>
      <c r="K19" s="1882" t="n"/>
      <c r="L19" s="1882" t="n"/>
      <c r="M19" s="1882" t="inlineStr">
        <is>
          <t>Particpant</t>
        </is>
      </c>
      <c r="N19" s="1882" t="inlineStr">
        <is>
          <t>To</t>
        </is>
      </c>
      <c r="O19" s="433" t="n"/>
      <c r="P19" s="1882" t="n"/>
      <c r="Q19" s="1882" t="n"/>
      <c r="R19" s="1882" t="inlineStr">
        <is>
          <t>Particpant</t>
        </is>
      </c>
      <c r="S19" s="1882" t="inlineStr">
        <is>
          <t>To</t>
        </is>
      </c>
      <c r="T19" s="433" t="n"/>
      <c r="U19" s="1882" t="n"/>
      <c r="V19" s="1882" t="n"/>
      <c r="W19" s="1882" t="inlineStr">
        <is>
          <t>Particpant</t>
        </is>
      </c>
      <c r="X19" s="1882" t="inlineStr">
        <is>
          <t>To</t>
        </is>
      </c>
      <c r="Y19" s="433" t="n"/>
      <c r="Z19" s="1882" t="n"/>
      <c r="AA19" s="1882" t="n"/>
      <c r="AB19" s="1882" t="inlineStr">
        <is>
          <t>Particpant</t>
        </is>
      </c>
      <c r="AC19" s="1882" t="inlineStr">
        <is>
          <t>To</t>
        </is>
      </c>
      <c r="AD19" s="433" t="n"/>
      <c r="AE19" s="1882" t="n"/>
      <c r="AF19" s="1882" t="n"/>
      <c r="AG19" s="1882" t="inlineStr">
        <is>
          <t>Particpant</t>
        </is>
      </c>
      <c r="AH19" s="1882" t="inlineStr">
        <is>
          <t>To</t>
        </is>
      </c>
    </row>
    <row r="20" ht="15" customHeight="1" s="1883">
      <c r="B20" s="385" t="inlineStr">
        <is>
          <t>Product/Revenue Stream</t>
        </is>
      </c>
      <c r="D20" s="383" t="n"/>
      <c r="E20" s="386" t="inlineStr">
        <is>
          <t>Volume</t>
        </is>
      </c>
      <c r="F20" s="386" t="inlineStr">
        <is>
          <t>Price/Study</t>
        </is>
      </c>
      <c r="G20" s="386" t="inlineStr">
        <is>
          <t>Gross Revenue</t>
        </is>
      </c>
      <c r="H20" s="386" t="inlineStr">
        <is>
          <t>Revenue Share</t>
        </is>
      </c>
      <c r="I20" s="1882" t="inlineStr">
        <is>
          <t>Pure Technology</t>
        </is>
      </c>
      <c r="J20" s="433" t="inlineStr">
        <is>
          <t>Volume</t>
        </is>
      </c>
      <c r="K20" s="1882" t="inlineStr">
        <is>
          <t>Price/Study</t>
        </is>
      </c>
      <c r="L20" s="1882" t="inlineStr">
        <is>
          <t>Gross Revenue</t>
        </is>
      </c>
      <c r="M20" s="1882" t="inlineStr">
        <is>
          <t>Revenue Share</t>
        </is>
      </c>
      <c r="N20" s="1882" t="inlineStr">
        <is>
          <t>Pure Technology</t>
        </is>
      </c>
      <c r="O20" s="433" t="inlineStr">
        <is>
          <t>Volume</t>
        </is>
      </c>
      <c r="P20" s="1882" t="inlineStr">
        <is>
          <t>Price/Study</t>
        </is>
      </c>
      <c r="Q20" s="1882" t="inlineStr">
        <is>
          <t>Gross Revenue</t>
        </is>
      </c>
      <c r="R20" s="1882" t="inlineStr">
        <is>
          <t>Revenue Share</t>
        </is>
      </c>
      <c r="S20" s="1882" t="inlineStr">
        <is>
          <t>Pure Technology</t>
        </is>
      </c>
      <c r="T20" s="433" t="inlineStr">
        <is>
          <t>Volume</t>
        </is>
      </c>
      <c r="U20" s="1882" t="inlineStr">
        <is>
          <t>Price/Study</t>
        </is>
      </c>
      <c r="V20" s="1882" t="inlineStr">
        <is>
          <t>Gross Revenue</t>
        </is>
      </c>
      <c r="W20" s="1882" t="inlineStr">
        <is>
          <t>Revenue Share</t>
        </is>
      </c>
      <c r="X20" s="1882" t="inlineStr">
        <is>
          <t>Pure Technology</t>
        </is>
      </c>
      <c r="Y20" s="433" t="inlineStr">
        <is>
          <t>Volume</t>
        </is>
      </c>
      <c r="Z20" s="1882" t="inlineStr">
        <is>
          <t>Price/Study</t>
        </is>
      </c>
      <c r="AA20" s="1882" t="inlineStr">
        <is>
          <t>Gross Revenue</t>
        </is>
      </c>
      <c r="AB20" s="1882" t="inlineStr">
        <is>
          <t>Revenue Share</t>
        </is>
      </c>
      <c r="AC20" s="1882" t="inlineStr">
        <is>
          <t>Pure Technology</t>
        </is>
      </c>
      <c r="AD20" s="433" t="inlineStr">
        <is>
          <t>Volume</t>
        </is>
      </c>
      <c r="AE20" s="1882" t="inlineStr">
        <is>
          <t>Price/Study</t>
        </is>
      </c>
      <c r="AF20" s="1882" t="inlineStr">
        <is>
          <t>Gross Revenue</t>
        </is>
      </c>
      <c r="AG20" s="1882" t="inlineStr">
        <is>
          <t>Revenue Share</t>
        </is>
      </c>
      <c r="AH20" s="1882" t="inlineStr">
        <is>
          <t>Pure Technology</t>
        </is>
      </c>
    </row>
    <row r="21" ht="3" customHeight="1" s="1883">
      <c r="B21" s="387" t="n"/>
      <c r="C21" s="387" t="n"/>
      <c r="D21" s="383" t="n"/>
      <c r="E21" s="387" t="n"/>
      <c r="F21" s="387" t="n"/>
      <c r="G21" s="387" t="n"/>
      <c r="H21" s="387" t="n"/>
      <c r="I21" s="387" t="n"/>
      <c r="J21" s="540" t="n"/>
      <c r="K21" s="387" t="n"/>
      <c r="L21" s="387" t="n"/>
      <c r="M21" s="387" t="n"/>
      <c r="N21" s="572" t="n"/>
      <c r="O21" s="540" t="n"/>
      <c r="P21" s="387" t="n"/>
      <c r="Q21" s="387" t="n"/>
      <c r="R21" s="387" t="n"/>
      <c r="S21" s="572" t="n"/>
      <c r="T21" s="540" t="n"/>
      <c r="U21" s="387" t="n"/>
      <c r="V21" s="387" t="n"/>
      <c r="W21" s="387" t="n"/>
      <c r="X21" s="572" t="n"/>
      <c r="Y21" s="540" t="n"/>
      <c r="Z21" s="387" t="n"/>
      <c r="AA21" s="387" t="n"/>
      <c r="AB21" s="387" t="n"/>
      <c r="AC21" s="572" t="n"/>
      <c r="AD21" s="540" t="n"/>
      <c r="AE21" s="387" t="n"/>
      <c r="AF21" s="387" t="n"/>
      <c r="AG21" s="387" t="n"/>
      <c r="AH21" s="387" t="n"/>
    </row>
    <row r="22" ht="3" customHeight="1" s="1883">
      <c r="B22" s="383" t="n"/>
      <c r="C22" s="383" t="n"/>
      <c r="D22" s="383" t="n"/>
      <c r="E22" s="383" t="n"/>
      <c r="F22" s="383" t="n"/>
      <c r="G22" s="383" t="n"/>
      <c r="H22" s="383" t="n"/>
      <c r="I22" s="1910" t="n"/>
      <c r="J22" s="541" t="n"/>
      <c r="K22" s="1910" t="n"/>
      <c r="L22" s="1910" t="n"/>
      <c r="M22" s="1910" t="n"/>
      <c r="N22" s="651" t="n"/>
      <c r="O22" s="541" t="n"/>
      <c r="P22" s="1910" t="n"/>
      <c r="Q22" s="1910" t="n"/>
      <c r="R22" s="1910" t="n"/>
      <c r="S22" s="651" t="n"/>
      <c r="T22" s="541" t="n"/>
      <c r="U22" s="1910" t="n"/>
      <c r="V22" s="1910" t="n"/>
      <c r="W22" s="1910" t="n"/>
      <c r="X22" s="651" t="n"/>
      <c r="Y22" s="541" t="n"/>
      <c r="Z22" s="1910" t="n"/>
      <c r="AA22" s="1910" t="n"/>
      <c r="AB22" s="1910" t="n"/>
      <c r="AC22" s="651" t="n"/>
      <c r="AD22" s="541" t="n"/>
      <c r="AE22" s="1910" t="n"/>
      <c r="AF22" s="1910" t="n"/>
      <c r="AG22" s="1910" t="n"/>
      <c r="AH22" s="1910" t="n"/>
    </row>
    <row r="23" ht="15" customHeight="1" s="1883">
      <c r="B23" s="648" t="inlineStr">
        <is>
          <t>●</t>
        </is>
      </c>
      <c r="C23" s="385" t="inlineStr">
        <is>
          <t>Focus Groups &amp; Testing</t>
        </is>
      </c>
      <c r="D23" s="383" t="n"/>
      <c r="E23" s="447" t="n">
        <v>100</v>
      </c>
      <c r="F23" s="2021">
        <f>'8. Pure Research - 2 of 2'!C9</f>
        <v/>
      </c>
      <c r="G23" s="395">
        <f>((E23)*(F23))</f>
        <v/>
      </c>
      <c r="H23" s="395">
        <f>(((G23)*('8. Pure Research - 2 of 2'!$D$20))*(-1))</f>
        <v/>
      </c>
      <c r="I23" s="466">
        <f>((G23)+(H23))</f>
        <v/>
      </c>
      <c r="J23" s="654" t="n">
        <v>250</v>
      </c>
      <c r="K23" s="2023">
        <f>($F$23)</f>
        <v/>
      </c>
      <c r="L23" s="395">
        <f>((J23)*(K23))</f>
        <v/>
      </c>
      <c r="M23" s="395">
        <f>(((L23)*('8. Pure Research - 2 of 2'!$D$20))*(-1))</f>
        <v/>
      </c>
      <c r="N23" s="466">
        <f>((L23)+(M23))</f>
        <v/>
      </c>
      <c r="O23" s="654" t="n">
        <v>400</v>
      </c>
      <c r="P23" s="2023">
        <f>(($F$23)*(1.05))</f>
        <v/>
      </c>
      <c r="Q23" s="395">
        <f>((O23)*(P23))</f>
        <v/>
      </c>
      <c r="R23" s="395">
        <f>(((Q23)*('8. Pure Research - 2 of 2'!$D$20))*(-1))</f>
        <v/>
      </c>
      <c r="S23" s="466">
        <f>((Q23)+(R23))</f>
        <v/>
      </c>
      <c r="T23" s="654" t="n">
        <v>500</v>
      </c>
      <c r="U23" s="2023">
        <f>(($F$23)*(1.1))</f>
        <v/>
      </c>
      <c r="V23" s="395">
        <f>((T23)*(U23))</f>
        <v/>
      </c>
      <c r="W23" s="395">
        <f>(((V23)*('8. Pure Research - 2 of 2'!$D$20))*(-1))</f>
        <v/>
      </c>
      <c r="X23" s="466">
        <f>((V23)+(W23))</f>
        <v/>
      </c>
      <c r="Y23" s="654" t="n">
        <v>600</v>
      </c>
      <c r="Z23" s="2023">
        <f>(($F$23)*(1.12))</f>
        <v/>
      </c>
      <c r="AA23" s="395">
        <f>((Y23)*(Z23))</f>
        <v/>
      </c>
      <c r="AB23" s="395">
        <f>(((AA23)*('8. Pure Research - 2 of 2'!$D$20))*(-1))</f>
        <v/>
      </c>
      <c r="AC23" s="466">
        <f>((AA23)+(AB23))</f>
        <v/>
      </c>
      <c r="AD23" s="654" t="n">
        <v>700</v>
      </c>
      <c r="AE23" s="2023">
        <f>(($F$23)*(1.15))</f>
        <v/>
      </c>
      <c r="AF23" s="395">
        <f>((AD23)*(AE23))</f>
        <v/>
      </c>
      <c r="AG23" s="395">
        <f>(((AF23)*('8. Pure Research - 2 of 2'!$D$20))*(-1))</f>
        <v/>
      </c>
      <c r="AH23" s="466">
        <f>((AF23)+(AG23))</f>
        <v/>
      </c>
    </row>
    <row r="24" ht="15" customHeight="1" s="1883">
      <c r="B24" s="648" t="n"/>
      <c r="C24" s="385" t="n"/>
      <c r="D24" s="383" t="n"/>
      <c r="E24" s="447" t="n"/>
      <c r="F24" s="383" t="n"/>
      <c r="G24" s="383" t="n"/>
      <c r="H24" s="383" t="n"/>
      <c r="I24" s="649" t="n"/>
      <c r="J24" s="654" t="n"/>
      <c r="K24" s="1910" t="n"/>
      <c r="L24" s="383" t="n"/>
      <c r="M24" s="383" t="n"/>
      <c r="N24" s="649" t="n"/>
      <c r="O24" s="654" t="n"/>
      <c r="P24" s="1910" t="n"/>
      <c r="Q24" s="383" t="n"/>
      <c r="R24" s="383" t="n"/>
      <c r="S24" s="649" t="n"/>
      <c r="T24" s="654" t="n"/>
      <c r="U24" s="1910" t="n"/>
      <c r="V24" s="383" t="n"/>
      <c r="W24" s="383" t="n"/>
      <c r="X24" s="649" t="n"/>
      <c r="Y24" s="654" t="n"/>
      <c r="Z24" s="1910" t="n"/>
      <c r="AA24" s="383" t="n"/>
      <c r="AB24" s="383" t="n"/>
      <c r="AC24" s="649" t="n"/>
      <c r="AD24" s="654" t="n"/>
      <c r="AE24" s="1910" t="n"/>
      <c r="AF24" s="383" t="n"/>
      <c r="AG24" s="383" t="n"/>
      <c r="AH24" s="649" t="n"/>
    </row>
    <row r="25" ht="15" customHeight="1" s="1883">
      <c r="B25" s="648" t="inlineStr">
        <is>
          <t>●</t>
        </is>
      </c>
      <c r="C25" s="385" t="inlineStr">
        <is>
          <t>Mystery Shopping</t>
        </is>
      </c>
      <c r="D25" s="383" t="n"/>
      <c r="E25" s="447" t="n">
        <v>250</v>
      </c>
      <c r="F25" s="393">
        <f>'8. Pure Research - 2 of 2'!C10</f>
        <v/>
      </c>
      <c r="G25" s="462">
        <f>((E25)*(F25))</f>
        <v/>
      </c>
      <c r="H25" s="393">
        <f>(((G25)*('8. Pure Research - 2 of 2'!$D$21))*(-1))</f>
        <v/>
      </c>
      <c r="I25" s="494">
        <f>((G25)+(H25))</f>
        <v/>
      </c>
      <c r="J25" s="654" t="n">
        <v>500</v>
      </c>
      <c r="K25" s="652">
        <f>($F$25)</f>
        <v/>
      </c>
      <c r="L25" s="462">
        <f>((J25)*(K25))</f>
        <v/>
      </c>
      <c r="M25" s="393">
        <f>(((L25)*('8. Pure Research - 2 of 2'!$D$21))*(-1))</f>
        <v/>
      </c>
      <c r="N25" s="494">
        <f>((L25)+(M25))</f>
        <v/>
      </c>
      <c r="O25" s="654" t="n">
        <v>750</v>
      </c>
      <c r="P25" s="652">
        <f>(($F$25)*(1.08))</f>
        <v/>
      </c>
      <c r="Q25" s="462">
        <f>((O25)*(P25))</f>
        <v/>
      </c>
      <c r="R25" s="393">
        <f>(((Q25)*('8. Pure Research - 2 of 2'!$D$21))*(-1))</f>
        <v/>
      </c>
      <c r="S25" s="494">
        <f>((Q25)+(R25))</f>
        <v/>
      </c>
      <c r="T25" s="654" t="n">
        <v>1000</v>
      </c>
      <c r="U25" s="652">
        <f>(($F$25)*(1.15))</f>
        <v/>
      </c>
      <c r="V25" s="462">
        <f>((T25)*(U25))</f>
        <v/>
      </c>
      <c r="W25" s="393">
        <f>(((V25)*('8. Pure Research - 2 of 2'!$D$21))*(-1))</f>
        <v/>
      </c>
      <c r="X25" s="494">
        <f>((V25)+(W25))</f>
        <v/>
      </c>
      <c r="Y25" s="654" t="n">
        <v>1500</v>
      </c>
      <c r="Z25" s="652">
        <f>(($F$25)*(1.2))</f>
        <v/>
      </c>
      <c r="AA25" s="462">
        <f>((Y25)*(Z25))</f>
        <v/>
      </c>
      <c r="AB25" s="393">
        <f>(((AA25)*('8. Pure Research - 2 of 2'!$D$21))*(-1))</f>
        <v/>
      </c>
      <c r="AC25" s="494">
        <f>((AA25)+(AB25))</f>
        <v/>
      </c>
      <c r="AD25" s="654" t="n">
        <v>2000</v>
      </c>
      <c r="AE25" s="652">
        <f>(($F$25)*(1.25))</f>
        <v/>
      </c>
      <c r="AF25" s="462">
        <f>((AD25)*(AE25))</f>
        <v/>
      </c>
      <c r="AG25" s="393">
        <f>(((AF25)*('8. Pure Research - 2 of 2'!$D$21))*(-1))</f>
        <v/>
      </c>
      <c r="AH25" s="494">
        <f>((AF25)+(AG25))</f>
        <v/>
      </c>
    </row>
    <row r="26" ht="15" customHeight="1" s="1883">
      <c r="B26" s="648" t="n"/>
      <c r="C26" s="385" t="n"/>
      <c r="D26" s="383" t="n"/>
      <c r="E26" s="447" t="n"/>
      <c r="F26" s="383" t="n"/>
      <c r="G26" s="383" t="n"/>
      <c r="H26" s="383" t="n"/>
      <c r="I26" s="385" t="n"/>
      <c r="J26" s="654" t="n"/>
      <c r="K26" s="1910" t="n"/>
      <c r="L26" s="383" t="n"/>
      <c r="M26" s="383" t="n"/>
      <c r="N26" s="385" t="n"/>
      <c r="O26" s="654" t="n"/>
      <c r="P26" s="1910" t="n"/>
      <c r="Q26" s="383" t="n"/>
      <c r="R26" s="383" t="n"/>
      <c r="S26" s="385" t="n"/>
      <c r="T26" s="654" t="n"/>
      <c r="U26" s="1910" t="n"/>
      <c r="V26" s="383" t="n"/>
      <c r="W26" s="383" t="n"/>
      <c r="X26" s="385" t="n"/>
      <c r="Y26" s="654" t="n"/>
      <c r="Z26" s="1910" t="n"/>
      <c r="AA26" s="383" t="n"/>
      <c r="AB26" s="383" t="n"/>
      <c r="AC26" s="385" t="n"/>
      <c r="AD26" s="654" t="n"/>
      <c r="AE26" s="1910" t="n"/>
      <c r="AF26" s="383" t="n"/>
      <c r="AG26" s="383" t="n"/>
      <c r="AH26" s="385" t="n"/>
    </row>
    <row r="27" ht="15" customHeight="1" s="1883">
      <c r="B27" s="648" t="inlineStr">
        <is>
          <t>●</t>
        </is>
      </c>
      <c r="C27" s="385" t="inlineStr">
        <is>
          <t>Consumer Experience Studies</t>
        </is>
      </c>
      <c r="D27" s="383" t="n"/>
      <c r="E27" s="447" t="n">
        <v>750</v>
      </c>
      <c r="F27" s="393">
        <f>'8. Pure Research - 2 of 2'!C11</f>
        <v/>
      </c>
      <c r="G27" s="462">
        <f>((E27)*(F27))</f>
        <v/>
      </c>
      <c r="H27" s="393">
        <f>(((G27)*('8. Pure Research - 2 of 2'!$D$22))*(-1))</f>
        <v/>
      </c>
      <c r="I27" s="494">
        <f>((G27)+(H27))</f>
        <v/>
      </c>
      <c r="J27" s="654" t="n">
        <v>1500</v>
      </c>
      <c r="K27" s="652">
        <f>($F$27)</f>
        <v/>
      </c>
      <c r="L27" s="462">
        <f>((J27)*(K27))</f>
        <v/>
      </c>
      <c r="M27" s="393">
        <f>(((L27)*('8. Pure Research - 2 of 2'!$D$22))*(-1))</f>
        <v/>
      </c>
      <c r="N27" s="494">
        <f>((L27)+(M27))</f>
        <v/>
      </c>
      <c r="O27" s="654" t="n">
        <v>2000</v>
      </c>
      <c r="P27" s="652">
        <f>(($F$27)*(1.1))</f>
        <v/>
      </c>
      <c r="Q27" s="462">
        <f>((O27)*(P27))</f>
        <v/>
      </c>
      <c r="R27" s="393">
        <f>(((Q27)*('8. Pure Research - 2 of 2'!$D$22))*(-1))</f>
        <v/>
      </c>
      <c r="S27" s="494">
        <f>((Q27)+(R27))</f>
        <v/>
      </c>
      <c r="T27" s="654" t="n">
        <v>3000</v>
      </c>
      <c r="U27" s="652">
        <f>(($F$27)*(1.2))</f>
        <v/>
      </c>
      <c r="V27" s="462">
        <f>((T27)*(U27))</f>
        <v/>
      </c>
      <c r="W27" s="393">
        <f>(((V27)*('8. Pure Research - 2 of 2'!$D$22))*(-1))</f>
        <v/>
      </c>
      <c r="X27" s="494">
        <f>((V27)+(W27))</f>
        <v/>
      </c>
      <c r="Y27" s="654" t="n">
        <v>4000</v>
      </c>
      <c r="Z27" s="652">
        <f>(($F$27)*(1.3))</f>
        <v/>
      </c>
      <c r="AA27" s="462">
        <f>((Y27)*(Z27))</f>
        <v/>
      </c>
      <c r="AB27" s="393">
        <f>(((AA27)*('8. Pure Research - 2 of 2'!$D$22))*(-1))</f>
        <v/>
      </c>
      <c r="AC27" s="494">
        <f>((AA27)+(AB27))</f>
        <v/>
      </c>
      <c r="AD27" s="654" t="n">
        <v>5000</v>
      </c>
      <c r="AE27" s="652">
        <f>(($F$27)*(1.4))</f>
        <v/>
      </c>
      <c r="AF27" s="462">
        <f>((AD27)*(AE27))</f>
        <v/>
      </c>
      <c r="AG27" s="393">
        <f>(((AF27)*('8. Pure Research - 2 of 2'!$D$22))*(-1))</f>
        <v/>
      </c>
      <c r="AH27" s="494">
        <f>((AF27)+(AG27))</f>
        <v/>
      </c>
    </row>
    <row r="28" ht="15" customHeight="1" s="1883">
      <c r="B28" s="648" t="n"/>
      <c r="C28" s="385" t="n"/>
      <c r="D28" s="383" t="n"/>
      <c r="E28" s="447" t="n"/>
      <c r="F28" s="383" t="n"/>
      <c r="G28" s="383" t="n"/>
      <c r="H28" s="383" t="n"/>
      <c r="I28" s="385" t="n"/>
      <c r="J28" s="654" t="n"/>
      <c r="K28" s="1910" t="n"/>
      <c r="L28" s="383" t="n"/>
      <c r="M28" s="383" t="n"/>
      <c r="N28" s="385" t="n"/>
      <c r="O28" s="654" t="n"/>
      <c r="P28" s="1910" t="n"/>
      <c r="Q28" s="383" t="n"/>
      <c r="R28" s="383" t="n"/>
      <c r="S28" s="385" t="n"/>
      <c r="T28" s="654" t="n"/>
      <c r="U28" s="1910" t="n"/>
      <c r="V28" s="383" t="n"/>
      <c r="W28" s="383" t="n"/>
      <c r="X28" s="385" t="n"/>
      <c r="Y28" s="654" t="n"/>
      <c r="Z28" s="1910" t="n"/>
      <c r="AA28" s="383" t="n"/>
      <c r="AB28" s="383" t="n"/>
      <c r="AC28" s="385" t="n"/>
      <c r="AD28" s="654" t="n"/>
      <c r="AE28" s="1910" t="n"/>
      <c r="AF28" s="383" t="n"/>
      <c r="AG28" s="383" t="n"/>
      <c r="AH28" s="385" t="n"/>
    </row>
    <row r="29" ht="15" customHeight="1" s="1883">
      <c r="B29" s="648" t="inlineStr">
        <is>
          <t>●</t>
        </is>
      </c>
      <c r="C29" s="385" t="inlineStr">
        <is>
          <t>All Different Surveys</t>
        </is>
      </c>
      <c r="D29" s="383" t="n"/>
      <c r="E29" s="447" t="n">
        <v>1000</v>
      </c>
      <c r="F29" s="393">
        <f>'8. Pure Research - 2 of 2'!C12</f>
        <v/>
      </c>
      <c r="G29" s="462">
        <f>((E29)*(F29))</f>
        <v/>
      </c>
      <c r="H29" s="393">
        <f>(((G29)*('8. Pure Research - 2 of 2'!$D$23))*(-1))</f>
        <v/>
      </c>
      <c r="I29" s="494">
        <f>((G29)+(H29))</f>
        <v/>
      </c>
      <c r="J29" s="654" t="n">
        <v>2000</v>
      </c>
      <c r="K29" s="652">
        <f>($F$29)</f>
        <v/>
      </c>
      <c r="L29" s="462">
        <f>((J29)*(K29))</f>
        <v/>
      </c>
      <c r="M29" s="393">
        <f>(((L29)*('8. Pure Research - 2 of 2'!$D$23))*(-1))</f>
        <v/>
      </c>
      <c r="N29" s="494">
        <f>((L29)+(M29))</f>
        <v/>
      </c>
      <c r="O29" s="654" t="n">
        <v>3000</v>
      </c>
      <c r="P29" s="652">
        <f>(($F$29)*(2))</f>
        <v/>
      </c>
      <c r="Q29" s="462">
        <f>((O29)*(P29))</f>
        <v/>
      </c>
      <c r="R29" s="393">
        <f>(((Q29)*('8. Pure Research - 2 of 2'!$D$23))*(-1))</f>
        <v/>
      </c>
      <c r="S29" s="494">
        <f>((Q29)+(R29))</f>
        <v/>
      </c>
      <c r="T29" s="654" t="n">
        <v>4000</v>
      </c>
      <c r="U29" s="652">
        <f>(($F$29)*(2.25))</f>
        <v/>
      </c>
      <c r="V29" s="462">
        <f>((T29)*(U29))</f>
        <v/>
      </c>
      <c r="W29" s="393">
        <f>(((V29)*('8. Pure Research - 2 of 2'!$D$23))*(-1))</f>
        <v/>
      </c>
      <c r="X29" s="494">
        <f>((V29)+(W29))</f>
        <v/>
      </c>
      <c r="Y29" s="654" t="n">
        <v>5000</v>
      </c>
      <c r="Z29" s="652">
        <f>(($F$29)*(2.5))</f>
        <v/>
      </c>
      <c r="AA29" s="462">
        <f>((Y29)*(Z29))</f>
        <v/>
      </c>
      <c r="AB29" s="393">
        <f>(((AA29)*('8. Pure Research - 2 of 2'!$D$23))*(-1))</f>
        <v/>
      </c>
      <c r="AC29" s="494">
        <f>((AA29)+(AB29))</f>
        <v/>
      </c>
      <c r="AD29" s="654" t="n">
        <v>6000</v>
      </c>
      <c r="AE29" s="652">
        <f>(($F$29)*(2.75))</f>
        <v/>
      </c>
      <c r="AF29" s="462">
        <f>((AD29)*(AE29))</f>
        <v/>
      </c>
      <c r="AG29" s="393">
        <f>(((AF29)*('8. Pure Research - 2 of 2'!$D$23))*(-1))</f>
        <v/>
      </c>
      <c r="AH29" s="494">
        <f>((AF29)+(AG29))</f>
        <v/>
      </c>
    </row>
    <row r="30" ht="15" customHeight="1" s="1883">
      <c r="B30" s="648" t="n"/>
      <c r="C30" s="385" t="n"/>
      <c r="D30" s="383" t="n"/>
      <c r="E30" s="447" t="n"/>
      <c r="F30" s="383" t="n"/>
      <c r="G30" s="383" t="n"/>
      <c r="H30" s="383" t="n"/>
      <c r="I30" s="385" t="n"/>
      <c r="J30" s="654" t="n"/>
      <c r="K30" s="1910" t="n"/>
      <c r="L30" s="383" t="n"/>
      <c r="M30" s="383" t="n"/>
      <c r="N30" s="385" t="n"/>
      <c r="O30" s="654" t="n"/>
      <c r="P30" s="1910" t="n"/>
      <c r="Q30" s="383" t="n"/>
      <c r="R30" s="383" t="n"/>
      <c r="S30" s="385" t="n"/>
      <c r="T30" s="654" t="n"/>
      <c r="U30" s="1910" t="n"/>
      <c r="V30" s="383" t="n"/>
      <c r="W30" s="383" t="n"/>
      <c r="X30" s="385" t="n"/>
      <c r="Y30" s="654" t="n"/>
      <c r="Z30" s="1910" t="n"/>
      <c r="AA30" s="383" t="n"/>
      <c r="AB30" s="383" t="n"/>
      <c r="AC30" s="385" t="n"/>
      <c r="AD30" s="654" t="n"/>
      <c r="AE30" s="1910" t="n"/>
      <c r="AF30" s="383" t="n"/>
      <c r="AG30" s="383" t="n"/>
      <c r="AH30" s="385" t="n"/>
    </row>
    <row r="31" ht="15" customHeight="1" s="1883">
      <c r="B31" s="648" t="inlineStr">
        <is>
          <t>●</t>
        </is>
      </c>
      <c r="C31" s="385" t="inlineStr">
        <is>
          <t>Social Media Grassroots Influencer</t>
        </is>
      </c>
      <c r="D31" s="383" t="n"/>
      <c r="E31" s="447" t="n">
        <v>1000</v>
      </c>
      <c r="F31" s="393">
        <f>'8. Pure Research - 2 of 2'!C13</f>
        <v/>
      </c>
      <c r="G31" s="462">
        <f>((E31)*(F31))</f>
        <v/>
      </c>
      <c r="H31" s="393">
        <f>(((G31)*('8. Pure Research - 2 of 2'!$D$24))*(-1))</f>
        <v/>
      </c>
      <c r="I31" s="494">
        <f>((G31)+(H31))</f>
        <v/>
      </c>
      <c r="J31" s="654" t="n">
        <v>2000</v>
      </c>
      <c r="K31" s="652">
        <f>($F$31)</f>
        <v/>
      </c>
      <c r="L31" s="462">
        <f>((J31)*(K31))</f>
        <v/>
      </c>
      <c r="M31" s="393">
        <f>(((L31)*('8. Pure Research - 2 of 2'!$D$24))*(-1))</f>
        <v/>
      </c>
      <c r="N31" s="494">
        <f>((L31)+(M31))</f>
        <v/>
      </c>
      <c r="O31" s="654" t="n">
        <v>3000</v>
      </c>
      <c r="P31" s="652">
        <f>(($F$31)*(2))</f>
        <v/>
      </c>
      <c r="Q31" s="462">
        <f>((O31)*(P31))</f>
        <v/>
      </c>
      <c r="R31" s="393">
        <f>(((Q31)*('8. Pure Research - 2 of 2'!$D$24))*(-1))</f>
        <v/>
      </c>
      <c r="S31" s="494">
        <f>((Q31)+(R31))</f>
        <v/>
      </c>
      <c r="T31" s="654" t="n">
        <v>4000</v>
      </c>
      <c r="U31" s="652">
        <f>(($F$31)*(2.25))</f>
        <v/>
      </c>
      <c r="V31" s="462">
        <f>((T31)*(U31))</f>
        <v/>
      </c>
      <c r="W31" s="393">
        <f>(((V31)*('8. Pure Research - 2 of 2'!$D$24))*(-1))</f>
        <v/>
      </c>
      <c r="X31" s="494">
        <f>((V31)+(W31))</f>
        <v/>
      </c>
      <c r="Y31" s="654" t="n">
        <v>5000</v>
      </c>
      <c r="Z31" s="652">
        <f>(($F$31)*(2.5))</f>
        <v/>
      </c>
      <c r="AA31" s="462">
        <f>((Y31)*(Z31))</f>
        <v/>
      </c>
      <c r="AB31" s="393">
        <f>(((AA31)*('8. Pure Research - 2 of 2'!$D$24))*(-1))</f>
        <v/>
      </c>
      <c r="AC31" s="494">
        <f>((AA31)+(AB31))</f>
        <v/>
      </c>
      <c r="AD31" s="654" t="n">
        <v>6000</v>
      </c>
      <c r="AE31" s="652">
        <f>(($F$31)*(2.75))</f>
        <v/>
      </c>
      <c r="AF31" s="462">
        <f>((AD31)*(AE31))</f>
        <v/>
      </c>
      <c r="AG31" s="393">
        <f>(((AF31)*('8. Pure Research - 2 of 2'!$D$24))*(-1))</f>
        <v/>
      </c>
      <c r="AH31" s="494">
        <f>((AF31)+(AG31))</f>
        <v/>
      </c>
    </row>
    <row r="36" ht="15" customHeight="1" s="1883">
      <c r="E36" s="1950" t="inlineStr">
        <is>
          <t>Total Revenue</t>
        </is>
      </c>
      <c r="G36" s="465">
        <f>((G23)+(G25)+(G27)+(G29)+(G31))</f>
        <v/>
      </c>
      <c r="H36" s="465">
        <f>((H23)+(H25)+(H27)+(H29)+(H31))</f>
        <v/>
      </c>
      <c r="I36" s="653">
        <f>((I23)+(I25)+(I27)+(I29)+(I31))</f>
        <v/>
      </c>
      <c r="J36" s="1945" t="inlineStr">
        <is>
          <t>Total Revenue, Full Year</t>
        </is>
      </c>
      <c r="L36" s="465">
        <f>((L23)+(L25)+(L27)+(L29)+(L31))</f>
        <v/>
      </c>
      <c r="M36" s="465">
        <f>((M23)+(M25)+(M27)+(M29)+(M31))</f>
        <v/>
      </c>
      <c r="N36" s="465">
        <f>((N23)+(N25)+(N27)+(N29)+(N31))</f>
        <v/>
      </c>
      <c r="O36" s="1945" t="inlineStr">
        <is>
          <t>Total Revenue</t>
        </is>
      </c>
      <c r="Q36" s="465">
        <f>((Q23)+(Q25)+(Q27)+(Q29)+(Q31))</f>
        <v/>
      </c>
      <c r="R36" s="465">
        <f>((R23)+(R25)+(R27)+(R29)+(R31))</f>
        <v/>
      </c>
      <c r="S36" s="465">
        <f>((S23)+(S25)+(S27)+(S29)+(S31))</f>
        <v/>
      </c>
      <c r="T36" s="1945" t="inlineStr">
        <is>
          <t>Total Revenue</t>
        </is>
      </c>
      <c r="V36" s="465">
        <f>((V23)+(V25)+(V27)+(V29)+(V31))</f>
        <v/>
      </c>
      <c r="W36" s="465">
        <f>((W23)+(W25)+(W27)+(W29)+(W31))</f>
        <v/>
      </c>
      <c r="X36" s="465">
        <f>((X23)+(X25)+(X27)+(X29)+(X31))</f>
        <v/>
      </c>
      <c r="Y36" s="1945" t="inlineStr">
        <is>
          <t>Total Revenue</t>
        </is>
      </c>
      <c r="AA36" s="465">
        <f>((AA23)+(AA25)+(AA27)+(AA29)+(AA31))</f>
        <v/>
      </c>
      <c r="AB36" s="465">
        <f>((AB23)+(AB25)+(AB27)+(AB29)+(AB31))</f>
        <v/>
      </c>
      <c r="AC36" s="465">
        <f>((AC23)+(AC25)+(AC27)+(AC29)+(AC31))</f>
        <v/>
      </c>
      <c r="AD36" s="1945" t="inlineStr">
        <is>
          <t>Total Revenue</t>
        </is>
      </c>
      <c r="AF36" s="465">
        <f>((AF23)+(AF25)+(AF27)+(AF29)+(AF31))</f>
        <v/>
      </c>
      <c r="AG36" s="465">
        <f>((AG23)+(AG25)+(AG27)+(AG29)+(AG31))</f>
        <v/>
      </c>
      <c r="AH36" s="653">
        <f>((AH23)+(AH25)+(AH27)+(AH29)+(AH31))</f>
        <v/>
      </c>
    </row>
    <row r="37" ht="3" customHeight="1" s="1883">
      <c r="E37" s="383" t="n"/>
      <c r="F37" s="383" t="n"/>
      <c r="G37" s="387" t="n"/>
      <c r="H37" s="387" t="n"/>
      <c r="I37" s="387" t="n"/>
      <c r="J37" s="556" t="n"/>
      <c r="K37" s="1910" t="n"/>
      <c r="L37" s="387" t="n"/>
      <c r="M37" s="387" t="n"/>
      <c r="N37" s="572" t="n"/>
      <c r="O37" s="556" t="n"/>
      <c r="P37" s="1910" t="n"/>
      <c r="Q37" s="387" t="n"/>
      <c r="R37" s="387" t="n"/>
      <c r="S37" s="572" t="n"/>
      <c r="T37" s="556" t="n"/>
      <c r="U37" s="1910" t="n"/>
      <c r="V37" s="387" t="n"/>
      <c r="W37" s="387" t="n"/>
      <c r="X37" s="572" t="n"/>
      <c r="Y37" s="556" t="n"/>
      <c r="Z37" s="1910" t="n"/>
      <c r="AA37" s="387" t="n"/>
      <c r="AB37" s="387" t="n"/>
      <c r="AC37" s="572" t="n"/>
      <c r="AD37" s="556" t="n"/>
      <c r="AE37" s="383" t="n"/>
      <c r="AF37" s="387" t="n"/>
      <c r="AG37" s="387" t="n"/>
      <c r="AH37" s="387" t="n"/>
    </row>
    <row r="38" ht="3" customHeight="1" s="1883">
      <c r="E38" s="383" t="n"/>
      <c r="F38" s="383" t="n"/>
      <c r="G38" s="383" t="n"/>
      <c r="H38" s="383" t="n"/>
      <c r="I38" s="1910" t="n"/>
      <c r="J38" s="556" t="n"/>
      <c r="K38" s="1910" t="n"/>
      <c r="L38" s="383" t="n"/>
      <c r="M38" s="383" t="n"/>
      <c r="N38" s="383" t="n"/>
      <c r="O38" s="556" t="n"/>
      <c r="P38" s="1910" t="n"/>
      <c r="Q38" s="383" t="n"/>
      <c r="R38" s="383" t="n"/>
      <c r="S38" s="383" t="n"/>
      <c r="T38" s="556" t="n"/>
      <c r="U38" s="1910" t="n"/>
      <c r="V38" s="383" t="n"/>
      <c r="W38" s="383" t="n"/>
      <c r="X38" s="383" t="n"/>
      <c r="Y38" s="556" t="n"/>
      <c r="Z38" s="1910" t="n"/>
      <c r="AA38" s="383" t="n"/>
      <c r="AB38" s="383" t="n"/>
      <c r="AC38" s="383" t="n"/>
      <c r="AD38" s="556" t="n"/>
      <c r="AE38" s="383" t="n"/>
      <c r="AF38" s="383" t="n"/>
      <c r="AG38" s="383" t="n"/>
      <c r="AH38" s="383" t="n"/>
    </row>
    <row r="39" ht="15" customHeight="1" s="1883">
      <c r="E39" s="383" t="n"/>
      <c r="F39" s="383" t="n"/>
      <c r="G39" s="383" t="n"/>
      <c r="H39" s="383" t="n"/>
      <c r="I39" s="1910" t="n"/>
      <c r="J39" s="556" t="n"/>
      <c r="K39" s="1910" t="n"/>
      <c r="L39" s="383" t="n"/>
      <c r="M39" s="383" t="n"/>
      <c r="N39" s="383" t="n"/>
      <c r="O39" s="556" t="n"/>
      <c r="P39" s="1910" t="n"/>
      <c r="Q39" s="383" t="n"/>
      <c r="R39" s="383" t="n"/>
      <c r="S39" s="383" t="n"/>
      <c r="T39" s="556" t="n"/>
      <c r="U39" s="1910" t="n"/>
      <c r="V39" s="383" t="n"/>
      <c r="W39" s="383" t="n"/>
      <c r="X39" s="383" t="n"/>
      <c r="Y39" s="556" t="n"/>
      <c r="Z39" s="1910" t="n"/>
      <c r="AA39" s="383" t="n"/>
      <c r="AB39" s="383" t="n"/>
      <c r="AC39" s="383" t="n"/>
      <c r="AD39" s="556" t="n"/>
      <c r="AE39" s="383" t="n"/>
      <c r="AF39" s="383" t="n"/>
      <c r="AG39" s="383" t="n"/>
      <c r="AH39" s="383" t="n"/>
    </row>
    <row r="40" ht="15" customHeight="1" s="1883">
      <c r="E40" s="1950" t="inlineStr">
        <is>
          <t>Total Revenue, Monthly Average</t>
        </is>
      </c>
      <c r="G40" s="464" t="n"/>
      <c r="H40" s="464" t="n"/>
      <c r="I40" s="465">
        <f>((I36)/(12))</f>
        <v/>
      </c>
      <c r="J40" s="1945" t="inlineStr">
        <is>
          <t>Total Revenue, Monthly Average</t>
        </is>
      </c>
      <c r="L40" s="464" t="n"/>
      <c r="M40" s="464" t="n"/>
      <c r="N40" s="465">
        <f>((N36)/(12))</f>
        <v/>
      </c>
      <c r="O40" s="1945" t="inlineStr">
        <is>
          <t>Total Revenue, Monthly Average</t>
        </is>
      </c>
      <c r="Q40" s="464" t="n"/>
      <c r="R40" s="464" t="n"/>
      <c r="S40" s="465">
        <f>((S36)/(12))</f>
        <v/>
      </c>
      <c r="T40" s="1945" t="inlineStr">
        <is>
          <t>Total Revenue, Monthly Average</t>
        </is>
      </c>
      <c r="V40" s="464" t="n"/>
      <c r="W40" s="464" t="n"/>
      <c r="X40" s="465">
        <f>((X36)/(12))</f>
        <v/>
      </c>
      <c r="Y40" s="1945" t="inlineStr">
        <is>
          <t>Total Revenue, Monthly Average</t>
        </is>
      </c>
      <c r="AA40" s="464" t="n"/>
      <c r="AB40" s="464" t="n"/>
      <c r="AC40" s="465">
        <f>((AC36)/(12))</f>
        <v/>
      </c>
      <c r="AD40" s="1945" t="inlineStr">
        <is>
          <t>Total Revenue, Monthly Average</t>
        </is>
      </c>
      <c r="AF40" s="464" t="n"/>
      <c r="AG40" s="464" t="n"/>
      <c r="AH40" s="465">
        <f>((AH36)/(12))</f>
        <v/>
      </c>
    </row>
  </sheetData>
  <mergeCells count="19">
    <mergeCell ref="T14:X14"/>
    <mergeCell ref="J14:N14"/>
    <mergeCell ref="AD14:AH14"/>
    <mergeCell ref="E14:I14"/>
    <mergeCell ref="J40:K40"/>
    <mergeCell ref="O36:P36"/>
    <mergeCell ref="Y14:AC14"/>
    <mergeCell ref="E40:F40"/>
    <mergeCell ref="J36:K36"/>
    <mergeCell ref="AD40:AE40"/>
    <mergeCell ref="AD36:AE36"/>
    <mergeCell ref="Y40:Z40"/>
    <mergeCell ref="T40:U40"/>
    <mergeCell ref="O40:P40"/>
    <mergeCell ref="E36:F36"/>
    <mergeCell ref="Y36:Z36"/>
    <mergeCell ref="E11:AD11"/>
    <mergeCell ref="T36:U36"/>
    <mergeCell ref="O14:S14"/>
  </mergeCells>
  <pageMargins left="0.7" right="0.7" top="0.75" bottom="0.75" header="0.3" footer="0.3"/>
  <pageSetup orientation="portrait" horizontalDpi="0" verticalDpi="0"/>
  <legacyDrawing xmlns:r="http://schemas.openxmlformats.org/officeDocument/2006/relationships" r:id="anysvml"/>
</worksheet>
</file>

<file path=xl/worksheets/sheet22.xml><?xml version="1.0" encoding="utf-8"?>
<worksheet xmlns="http://schemas.openxmlformats.org/spreadsheetml/2006/main">
  <sheetPr>
    <tabColor rgb="FFCDFFCD"/>
    <outlinePr summaryBelow="1" summaryRight="1"/>
    <pageSetUpPr/>
  </sheetPr>
  <dimension ref="B5:E25"/>
  <sheetViews>
    <sheetView zoomScale="125" zoomScaleNormal="125" workbookViewId="0">
      <selection activeCell="G18" sqref="G18"/>
    </sheetView>
  </sheetViews>
  <sheetFormatPr baseColWidth="10" defaultColWidth="8.6640625" defaultRowHeight="13"/>
  <cols>
    <col width="34.33203125" customWidth="1" style="1883" min="2" max="2"/>
    <col width="18.6640625" customWidth="1" style="1883" min="3" max="5"/>
  </cols>
  <sheetData>
    <row r="5" ht="15" customHeight="1" s="1883">
      <c r="B5" s="383" t="n"/>
      <c r="C5" s="386" t="inlineStr">
        <is>
          <t>Total</t>
        </is>
      </c>
      <c r="D5" s="386" t="inlineStr">
        <is>
          <t>Participant</t>
        </is>
      </c>
      <c r="E5" s="386" t="inlineStr">
        <is>
          <t>Pure Technology</t>
        </is>
      </c>
    </row>
    <row r="6" ht="15" customHeight="1" s="1883">
      <c r="B6" s="385" t="inlineStr">
        <is>
          <t>Revenue Stream</t>
        </is>
      </c>
      <c r="C6" s="386" t="inlineStr">
        <is>
          <t>Revenue</t>
        </is>
      </c>
      <c r="D6" s="386" t="inlineStr">
        <is>
          <t>Revenue</t>
        </is>
      </c>
      <c r="E6" s="386" t="inlineStr">
        <is>
          <t>Revenue</t>
        </is>
      </c>
    </row>
    <row r="7" ht="3" customHeight="1" s="1883">
      <c r="B7" s="392" t="n"/>
      <c r="C7" s="646" t="n"/>
      <c r="D7" s="646" t="n"/>
      <c r="E7" s="646" t="n"/>
    </row>
    <row r="8" ht="3" customHeight="1" s="1883">
      <c r="B8" s="385" t="n"/>
      <c r="C8" s="386" t="n"/>
      <c r="D8" s="386" t="n"/>
      <c r="E8" s="386" t="n"/>
    </row>
    <row r="9" ht="15" customHeight="1" s="1883">
      <c r="B9" s="383" t="inlineStr">
        <is>
          <t>Focus Groups &amp; Testing</t>
        </is>
      </c>
      <c r="C9" s="2021" t="n">
        <v>500</v>
      </c>
      <c r="D9" s="2021" t="n">
        <v>60</v>
      </c>
      <c r="E9" s="2075">
        <f>C9-D9</f>
        <v/>
      </c>
    </row>
    <row r="10" ht="15" customHeight="1" s="1883">
      <c r="B10" s="383" t="inlineStr">
        <is>
          <t>Mystery Shopping</t>
        </is>
      </c>
      <c r="C10" s="393" t="n">
        <v>250</v>
      </c>
      <c r="D10" s="393" t="n">
        <v>30</v>
      </c>
      <c r="E10" s="605">
        <f>C10-D10</f>
        <v/>
      </c>
    </row>
    <row r="11" ht="15" customHeight="1" s="1883">
      <c r="B11" s="383" t="inlineStr">
        <is>
          <t>Consumer Experience Studies</t>
        </is>
      </c>
      <c r="C11" s="393" t="n">
        <v>37.5</v>
      </c>
      <c r="D11" s="393" t="n">
        <v>7.5</v>
      </c>
      <c r="E11" s="605">
        <f>C11-D11</f>
        <v/>
      </c>
    </row>
    <row r="12" ht="15" customHeight="1" s="1883">
      <c r="B12" s="383" t="inlineStr">
        <is>
          <t>All Different Surveys</t>
        </is>
      </c>
      <c r="C12" s="393" t="n">
        <v>8</v>
      </c>
      <c r="D12" s="393" t="n">
        <v>4</v>
      </c>
      <c r="E12" s="605">
        <f>C12-D12</f>
        <v/>
      </c>
    </row>
    <row r="13" ht="15" customHeight="1" s="1883">
      <c r="B13" s="383" t="inlineStr">
        <is>
          <t>Social Media Grassroots Influencer</t>
        </is>
      </c>
      <c r="C13" s="393" t="n">
        <v>6.67</v>
      </c>
      <c r="D13" s="393" t="n">
        <v>3</v>
      </c>
      <c r="E13" s="605">
        <f>C13-D13</f>
        <v/>
      </c>
    </row>
    <row r="14" ht="15" customHeight="1" s="1883">
      <c r="B14" s="385" t="n"/>
      <c r="C14" s="383" t="n"/>
      <c r="D14" s="383" t="n"/>
      <c r="E14" s="383" t="n"/>
    </row>
    <row r="15" ht="15" customHeight="1" s="1883">
      <c r="B15" s="385" t="n"/>
      <c r="C15" s="383" t="n"/>
      <c r="D15" s="383" t="n"/>
      <c r="E15" s="383" t="n"/>
    </row>
    <row r="16" ht="15" customHeight="1" s="1883">
      <c r="B16" s="385" t="n"/>
      <c r="C16" s="386" t="inlineStr">
        <is>
          <t>Pure Technology</t>
        </is>
      </c>
      <c r="D16" s="386" t="inlineStr">
        <is>
          <t>Participant</t>
        </is>
      </c>
      <c r="E16" s="383" t="n"/>
    </row>
    <row r="17" ht="15" customHeight="1" s="1883">
      <c r="B17" s="385" t="inlineStr">
        <is>
          <t>Revenue Stream</t>
        </is>
      </c>
      <c r="C17" s="386" t="inlineStr">
        <is>
          <t>Revenue, %</t>
        </is>
      </c>
      <c r="D17" s="386" t="inlineStr">
        <is>
          <t>Revenue, %</t>
        </is>
      </c>
    </row>
    <row r="18" ht="3" customHeight="1" s="1883">
      <c r="B18" s="392" t="n"/>
      <c r="C18" s="392" t="n"/>
      <c r="D18" s="392" t="n"/>
    </row>
    <row r="19" ht="3" customHeight="1" s="1883">
      <c r="B19" s="385" t="n"/>
      <c r="C19" s="385" t="n"/>
      <c r="D19" s="385" t="n"/>
    </row>
    <row r="20" ht="15" customHeight="1" s="1883">
      <c r="B20" s="383" t="inlineStr">
        <is>
          <t>Focus Groups &amp; Testing</t>
        </is>
      </c>
      <c r="C20" s="645">
        <f>E9/C9</f>
        <v/>
      </c>
      <c r="D20" s="608">
        <f>D9/C9</f>
        <v/>
      </c>
    </row>
    <row r="21" ht="15" customHeight="1" s="1883">
      <c r="B21" s="383" t="inlineStr">
        <is>
          <t>Mystery Shopping</t>
        </is>
      </c>
      <c r="C21" s="645">
        <f>E10/C10</f>
        <v/>
      </c>
      <c r="D21" s="608">
        <f>D10/C10</f>
        <v/>
      </c>
    </row>
    <row r="22" ht="15" customHeight="1" s="1883">
      <c r="B22" s="383" t="inlineStr">
        <is>
          <t>Consumer Experience Studies</t>
        </is>
      </c>
      <c r="C22" s="645">
        <f>E11/C11</f>
        <v/>
      </c>
      <c r="D22" s="608">
        <f>D11/C11</f>
        <v/>
      </c>
    </row>
    <row r="23" ht="15" customHeight="1" s="1883">
      <c r="B23" s="383" t="inlineStr">
        <is>
          <t>All Different Surveys</t>
        </is>
      </c>
      <c r="C23" s="645">
        <f>E12/C12</f>
        <v/>
      </c>
      <c r="D23" s="608">
        <f>D12/C12</f>
        <v/>
      </c>
    </row>
    <row r="24" ht="15" customHeight="1" s="1883">
      <c r="B24" s="383" t="inlineStr">
        <is>
          <t>Social Media Grassroots Influencer</t>
        </is>
      </c>
      <c r="C24" s="645">
        <f>E13/C13</f>
        <v/>
      </c>
      <c r="D24" s="608">
        <f>D13/C13</f>
        <v/>
      </c>
    </row>
    <row r="25" ht="15" customHeight="1" s="1883">
      <c r="B25" s="385" t="inlineStr">
        <is>
          <t>Average Revenue Share</t>
        </is>
      </c>
      <c r="C25" s="608">
        <f>AVERAGE(C20:C24)</f>
        <v/>
      </c>
      <c r="D25" s="608">
        <f>AVERAGE(D20:D24)</f>
        <v/>
      </c>
    </row>
  </sheetData>
  <pageMargins left="0.7" right="0.7" top="0.75" bottom="0.75" header="0.3" footer="0.3"/>
  <pageSetup orientation="portrait" horizontalDpi="0" verticalDpi="0"/>
</worksheet>
</file>

<file path=xl/worksheets/sheet23.xml><?xml version="1.0" encoding="utf-8"?>
<worksheet xmlns="http://schemas.openxmlformats.org/spreadsheetml/2006/main">
  <sheetPr>
    <tabColor rgb="FFCCFFCC"/>
    <outlinePr summaryBelow="1" summaryRight="1"/>
    <pageSetUpPr/>
  </sheetPr>
  <dimension ref="B8:M35"/>
  <sheetViews>
    <sheetView workbookViewId="0">
      <selection activeCell="B8" sqref="B8"/>
    </sheetView>
  </sheetViews>
  <sheetFormatPr baseColWidth="10" defaultColWidth="11.5" defaultRowHeight="13"/>
  <cols>
    <col width="18.1640625" customWidth="1" style="1883" min="8" max="8"/>
    <col width="15.6640625" bestFit="1" customWidth="1" style="1883" min="9" max="10"/>
    <col width="17.33203125" bestFit="1" customWidth="1" style="1883" min="11" max="13"/>
  </cols>
  <sheetData>
    <row r="8">
      <c r="H8" s="658" t="inlineStr">
        <is>
          <t>Pre-Launch</t>
        </is>
      </c>
      <c r="I8" s="658" t="inlineStr">
        <is>
          <t>Post-Launch</t>
        </is>
      </c>
      <c r="J8" s="658" t="n"/>
      <c r="K8" s="658" t="n"/>
      <c r="L8" s="658" t="n"/>
      <c r="M8" s="658" t="n"/>
    </row>
    <row r="9">
      <c r="H9" s="658" t="n"/>
      <c r="I9" s="658" t="n"/>
      <c r="J9" s="658" t="n"/>
      <c r="K9" s="658" t="n"/>
      <c r="L9" s="658" t="n"/>
      <c r="M9" s="658" t="n"/>
    </row>
    <row r="10">
      <c r="H10" s="658" t="n"/>
      <c r="I10" s="658" t="n"/>
      <c r="J10" s="658" t="n"/>
      <c r="K10" s="658" t="n"/>
      <c r="L10" s="658" t="n"/>
      <c r="M10" s="658" t="n"/>
    </row>
    <row r="11">
      <c r="H11" s="658" t="inlineStr">
        <is>
          <t>Year 0</t>
        </is>
      </c>
      <c r="I11" s="658" t="inlineStr">
        <is>
          <t>Year 1</t>
        </is>
      </c>
      <c r="J11" s="658" t="inlineStr">
        <is>
          <t>Year 2</t>
        </is>
      </c>
      <c r="K11" s="658" t="inlineStr">
        <is>
          <t>Year 3</t>
        </is>
      </c>
      <c r="L11" s="658" t="inlineStr">
        <is>
          <t>Year 4</t>
        </is>
      </c>
      <c r="M11" s="658" t="inlineStr">
        <is>
          <t>Year 5</t>
        </is>
      </c>
    </row>
    <row r="12">
      <c r="H12" s="658" t="inlineStr">
        <is>
          <t>Months -9 to -1</t>
        </is>
      </c>
      <c r="I12" s="658" t="inlineStr">
        <is>
          <t>Months 1 - 12</t>
        </is>
      </c>
      <c r="J12" s="658" t="inlineStr">
        <is>
          <t>Months 13 - 24</t>
        </is>
      </c>
      <c r="K12" s="658" t="inlineStr">
        <is>
          <t>Months 25 - 36</t>
        </is>
      </c>
      <c r="L12" s="658" t="inlineStr">
        <is>
          <t>Months 37 - 48</t>
        </is>
      </c>
      <c r="M12" s="658" t="inlineStr">
        <is>
          <t>Months 49 - 60</t>
        </is>
      </c>
    </row>
    <row r="13">
      <c r="B13" s="658" t="inlineStr">
        <is>
          <t>REVENUE</t>
        </is>
      </c>
      <c r="C13" s="658" t="n"/>
      <c r="D13" s="658" t="n"/>
      <c r="E13" s="658" t="n"/>
      <c r="F13" s="658" t="n"/>
      <c r="G13" s="658" t="n"/>
    </row>
    <row r="14">
      <c r="B14" s="658" t="n"/>
      <c r="C14" s="658" t="n"/>
      <c r="D14" s="658" t="n"/>
      <c r="E14" s="658" t="n"/>
      <c r="F14" s="658" t="n"/>
      <c r="G14" s="658" t="n"/>
    </row>
    <row r="15">
      <c r="B15" s="658" t="n"/>
      <c r="C15" s="658" t="n"/>
      <c r="D15" s="658" t="n"/>
      <c r="E15" s="658" t="n"/>
      <c r="F15" s="658" t="n"/>
      <c r="G15" s="658" t="n"/>
    </row>
    <row r="16">
      <c r="B16" s="658" t="inlineStr">
        <is>
          <t>●</t>
        </is>
      </c>
      <c r="C16" s="658" t="inlineStr">
        <is>
          <t>Total Net Revenue, Hardware</t>
        </is>
      </c>
      <c r="D16" s="658" t="n"/>
      <c r="E16" s="658" t="n"/>
      <c r="F16" s="658" t="n"/>
      <c r="G16" s="658" t="n"/>
      <c r="H16" s="2058" t="n">
        <v>0</v>
      </c>
      <c r="I16" s="2058" t="n">
        <v>46374900</v>
      </c>
      <c r="J16" s="2058" t="n">
        <v>248061250</v>
      </c>
      <c r="K16" s="2058" t="n">
        <v>-21873999.99999992</v>
      </c>
      <c r="L16" s="2058" t="n">
        <v>-364623599.9999999</v>
      </c>
      <c r="M16" s="2058" t="n">
        <v>-883437199.9999999</v>
      </c>
    </row>
    <row r="17">
      <c r="B17" s="658" t="inlineStr">
        <is>
          <t>●</t>
        </is>
      </c>
      <c r="C17" s="658" t="inlineStr">
        <is>
          <t>Total Net Revenue, Market Research Services</t>
        </is>
      </c>
      <c r="D17" s="658" t="n"/>
      <c r="E17" s="658" t="n"/>
      <c r="F17" s="658" t="n"/>
      <c r="G17" s="658" t="n"/>
      <c r="H17" s="2058" t="n">
        <v>0</v>
      </c>
      <c r="I17" s="2058" t="n">
        <v>64425609.16271998</v>
      </c>
      <c r="J17" s="2058" t="n">
        <v>548057809.5833333</v>
      </c>
      <c r="K17" s="2058" t="n">
        <v>1737265793.34375</v>
      </c>
      <c r="L17" s="2058" t="n">
        <v>4087845578.950834</v>
      </c>
      <c r="M17" s="2058" t="n">
        <v>5999041496.140001</v>
      </c>
    </row>
    <row r="18">
      <c r="B18" s="658" t="inlineStr">
        <is>
          <t>●</t>
        </is>
      </c>
      <c r="C18" s="658" t="inlineStr">
        <is>
          <t>Total Net Revenue, Pure Influence</t>
        </is>
      </c>
      <c r="D18" s="658" t="n"/>
      <c r="E18" s="658" t="n"/>
      <c r="F18" s="658" t="n"/>
      <c r="G18" s="658" t="n"/>
      <c r="H18" s="2058" t="n">
        <v>341130.5646787081</v>
      </c>
      <c r="I18" s="2058" t="n">
        <v>699352.7361540616</v>
      </c>
      <c r="J18" s="2058" t="n">
        <v>1180906.280150362</v>
      </c>
      <c r="K18" s="2058" t="n">
        <v>1699967.640247303</v>
      </c>
      <c r="L18" s="2058" t="n">
        <v>2226345.67356001</v>
      </c>
      <c r="M18" s="2058" t="n">
        <v>2650163.742406225</v>
      </c>
    </row>
    <row r="19">
      <c r="B19" s="658" t="inlineStr">
        <is>
          <t>●</t>
        </is>
      </c>
      <c r="C19" s="658" t="inlineStr">
        <is>
          <t>Total Net Revenue, Pure Research</t>
        </is>
      </c>
      <c r="D19" s="658" t="n"/>
      <c r="E19" s="658" t="n"/>
      <c r="F19" s="658" t="n"/>
      <c r="G19" s="658" t="n"/>
      <c r="H19" s="2058" t="n">
        <v>81600</v>
      </c>
      <c r="I19" s="2058" t="n">
        <v>181000</v>
      </c>
      <c r="J19" s="2058" t="n">
        <v>308220</v>
      </c>
      <c r="K19" s="2058" t="n">
        <v>438300</v>
      </c>
      <c r="L19" s="2058" t="n">
        <v>596232</v>
      </c>
      <c r="M19" s="2058" t="n">
        <v>770580</v>
      </c>
    </row>
    <row r="20">
      <c r="B20" s="658" t="n"/>
      <c r="C20" s="658" t="n"/>
      <c r="D20" s="658" t="n"/>
      <c r="E20" s="658" t="n"/>
      <c r="F20" s="658" t="n"/>
      <c r="G20" s="658" t="n"/>
      <c r="H20" s="2058" t="n"/>
      <c r="I20" s="2058" t="n"/>
      <c r="J20" s="2058" t="n"/>
      <c r="K20" s="2058" t="n"/>
      <c r="L20" s="2058" t="n"/>
      <c r="M20" s="2058" t="n"/>
    </row>
    <row r="21">
      <c r="B21" s="658" t="n"/>
      <c r="C21" s="658" t="n"/>
      <c r="D21" s="658" t="n"/>
      <c r="E21" s="658" t="n"/>
      <c r="F21" s="658" t="n"/>
      <c r="G21" s="658" t="n"/>
      <c r="H21" s="2058" t="n"/>
      <c r="I21" s="2058" t="n"/>
      <c r="J21" s="2058" t="n"/>
      <c r="K21" s="2058" t="n"/>
      <c r="L21" s="2058" t="n"/>
      <c r="M21" s="2058" t="n"/>
    </row>
    <row r="22">
      <c r="B22" s="658" t="n"/>
      <c r="C22" s="658" t="n"/>
      <c r="D22" s="658" t="inlineStr">
        <is>
          <t>TOTAL NET REVENUE</t>
        </is>
      </c>
      <c r="E22" s="658" t="n"/>
      <c r="F22" s="658" t="n"/>
      <c r="G22" s="658" t="n"/>
      <c r="H22" s="2058" t="n">
        <v>422730.5646787081</v>
      </c>
      <c r="I22" s="2058" t="n">
        <v>111680861.898874</v>
      </c>
      <c r="J22" s="2058" t="n">
        <v>797608185.8634837</v>
      </c>
      <c r="K22" s="2058" t="n">
        <v>1717530060.983997</v>
      </c>
      <c r="L22" s="2058" t="n">
        <v>3726044556.624394</v>
      </c>
      <c r="M22" s="2058" t="n">
        <v>5119025039.882407</v>
      </c>
    </row>
    <row r="23">
      <c r="B23" s="658" t="inlineStr">
        <is>
          <t>OPERATING EXPENSES</t>
        </is>
      </c>
      <c r="C23" s="658" t="n"/>
      <c r="D23" s="658" t="n"/>
      <c r="E23" s="658" t="n"/>
      <c r="F23" s="658" t="n"/>
      <c r="G23" s="658" t="n"/>
      <c r="H23" s="2058" t="n"/>
      <c r="I23" s="2058" t="n"/>
      <c r="J23" s="2058" t="n"/>
      <c r="K23" s="2058" t="n"/>
      <c r="L23" s="2058" t="n"/>
      <c r="M23" s="2058" t="n"/>
    </row>
    <row r="24">
      <c r="B24" s="658" t="n"/>
      <c r="C24" s="658" t="n"/>
      <c r="D24" s="658" t="n"/>
      <c r="E24" s="658" t="n"/>
      <c r="F24" s="658" t="n"/>
      <c r="G24" s="658" t="n"/>
      <c r="H24" s="2058" t="n"/>
      <c r="I24" s="2058" t="n"/>
      <c r="J24" s="2058" t="n"/>
      <c r="K24" s="2058" t="n"/>
      <c r="L24" s="2058" t="n"/>
      <c r="M24" s="2058" t="n"/>
    </row>
    <row r="25">
      <c r="B25" s="658" t="n"/>
      <c r="C25" s="658" t="n"/>
      <c r="D25" s="658" t="n"/>
      <c r="E25" s="658" t="n"/>
      <c r="F25" s="658" t="n"/>
      <c r="G25" s="658" t="n"/>
      <c r="H25" s="2058" t="n"/>
      <c r="I25" s="2058" t="n"/>
      <c r="J25" s="2058" t="n"/>
      <c r="K25" s="2058" t="n"/>
      <c r="L25" s="2058" t="n"/>
      <c r="M25" s="2058" t="n"/>
    </row>
    <row r="26">
      <c r="B26" s="658" t="inlineStr">
        <is>
          <t>●</t>
        </is>
      </c>
      <c r="C26" s="658" t="inlineStr">
        <is>
          <t>People Cost (Salaries, ER Taxes, Benefits)</t>
        </is>
      </c>
      <c r="D26" s="658" t="n"/>
      <c r="E26" s="658" t="n"/>
      <c r="F26" s="658" t="n"/>
      <c r="G26" s="658" t="n"/>
      <c r="H26" s="2058" t="n">
        <v>7078758.749999999</v>
      </c>
      <c r="I26" s="2058" t="n">
        <v>18149090.5</v>
      </c>
      <c r="J26" s="2058" t="n">
        <v>73917543.15000001</v>
      </c>
      <c r="K26" s="2058" t="n">
        <v>184336414.275</v>
      </c>
      <c r="L26" s="2058" t="n">
        <v>315998673.04085</v>
      </c>
      <c r="M26" s="2058" t="n">
        <v>462010533.4827037</v>
      </c>
    </row>
    <row r="27">
      <c r="B27" s="658" t="inlineStr">
        <is>
          <t>●</t>
        </is>
      </c>
      <c r="C27" s="658" t="inlineStr">
        <is>
          <t>Research and Development</t>
        </is>
      </c>
      <c r="D27" s="658" t="n"/>
      <c r="E27" s="658" t="n"/>
      <c r="F27" s="658" t="n"/>
      <c r="G27" s="658" t="n"/>
      <c r="H27" s="2058" t="n">
        <v>2433999.97</v>
      </c>
      <c r="I27" s="2058" t="n">
        <v>34532733.431388</v>
      </c>
      <c r="J27" s="2058" t="n">
        <v>325007977.6875</v>
      </c>
      <c r="K27" s="2058" t="n">
        <v>581858585.2012501</v>
      </c>
      <c r="L27" s="2058" t="n">
        <v>1070191634.4741</v>
      </c>
      <c r="M27" s="2058" t="n">
        <v>1411900200.8254</v>
      </c>
    </row>
    <row r="28">
      <c r="B28" s="658" t="inlineStr">
        <is>
          <t>●</t>
        </is>
      </c>
      <c r="C28" s="658" t="inlineStr">
        <is>
          <t>Sales and Marketing</t>
        </is>
      </c>
      <c r="D28" s="658" t="n"/>
      <c r="E28" s="658" t="n"/>
      <c r="F28" s="658" t="n"/>
      <c r="G28" s="658" t="n"/>
      <c r="H28" s="2058" t="n">
        <v>6274800</v>
      </c>
      <c r="I28" s="2058" t="n">
        <v>50010925.2526695</v>
      </c>
      <c r="J28" s="2058" t="n">
        <v>261463182.15</v>
      </c>
      <c r="K28" s="2058" t="n">
        <v>487289096.3343751</v>
      </c>
      <c r="L28" s="2058" t="n">
        <v>896015147.6867502</v>
      </c>
      <c r="M28" s="2058" t="n">
        <v>1158353286.4026</v>
      </c>
    </row>
    <row r="29">
      <c r="B29" s="658" t="inlineStr">
        <is>
          <t>●</t>
        </is>
      </c>
      <c r="C29" s="658" t="inlineStr">
        <is>
          <t>Occupancy</t>
        </is>
      </c>
      <c r="D29" s="658" t="n"/>
      <c r="E29" s="658" t="n"/>
      <c r="F29" s="658" t="n"/>
      <c r="G29" s="658" t="n"/>
      <c r="H29" s="2058" t="n">
        <v>175086.6666666666</v>
      </c>
      <c r="I29" s="2058" t="n">
        <v>1338750</v>
      </c>
      <c r="J29" s="2058" t="n">
        <v>7820704.237500002</v>
      </c>
      <c r="K29" s="2058" t="n">
        <v>20648160.35625</v>
      </c>
      <c r="L29" s="2058" t="n">
        <v>42418000.84275001</v>
      </c>
      <c r="M29" s="2058" t="n">
        <v>74599329.104196</v>
      </c>
    </row>
    <row r="30">
      <c r="B30" s="658" t="inlineStr">
        <is>
          <t>●</t>
        </is>
      </c>
      <c r="C30" s="658" t="inlineStr">
        <is>
          <t>General and Administrative</t>
        </is>
      </c>
      <c r="D30" s="658" t="n"/>
      <c r="E30" s="658" t="n"/>
      <c r="F30" s="658" t="n"/>
      <c r="G30" s="658" t="n"/>
      <c r="H30" s="2058" t="n">
        <v>1494934.541666667</v>
      </c>
      <c r="I30" s="2058" t="n">
        <v>8387636.99074256</v>
      </c>
      <c r="J30" s="2058" t="n">
        <v>35691420.86171875</v>
      </c>
      <c r="K30" s="2058" t="n">
        <v>69092858.13587578</v>
      </c>
      <c r="L30" s="2058" t="n">
        <v>109095859.8354529</v>
      </c>
      <c r="M30" s="2058" t="n">
        <v>142605769.2810496</v>
      </c>
    </row>
    <row r="33">
      <c r="D33" s="658" t="inlineStr">
        <is>
          <t>TOTAL OPERATING EXPENSES</t>
        </is>
      </c>
      <c r="E33" s="658" t="n"/>
      <c r="F33" s="658" t="n"/>
      <c r="G33" s="658" t="n"/>
      <c r="H33" s="2058" t="n">
        <v>17457579.92833333</v>
      </c>
      <c r="I33" s="2058" t="n">
        <v>112419136.1748001</v>
      </c>
      <c r="J33" s="2058" t="n">
        <v>703900828.0867187</v>
      </c>
      <c r="K33" s="2058" t="n">
        <v>1343225114.302751</v>
      </c>
      <c r="L33" s="2058" t="n">
        <v>2433719315.879903</v>
      </c>
      <c r="M33" s="2058" t="n">
        <v>3249469119.095949</v>
      </c>
    </row>
    <row r="34">
      <c r="D34" s="658" t="n"/>
      <c r="E34" s="658" t="inlineStr">
        <is>
          <t>EBITDA/OPERATING INCOME / (LOSS), $</t>
        </is>
      </c>
      <c r="F34" s="658" t="n"/>
      <c r="G34" s="658" t="n"/>
      <c r="H34" s="2058" t="n">
        <v>-17034849.36365462</v>
      </c>
      <c r="I34" s="2058" t="n">
        <v>-738274.2759260237</v>
      </c>
      <c r="J34" s="2058" t="n">
        <v>93707357.77676499</v>
      </c>
      <c r="K34" s="2058" t="n">
        <v>374304946.6812465</v>
      </c>
      <c r="L34" s="2058" t="n">
        <v>1292325240.744491</v>
      </c>
      <c r="M34" s="2058" t="n">
        <v>1869555920.786458</v>
      </c>
    </row>
    <row r="35">
      <c r="D35" s="658" t="n"/>
      <c r="E35" s="658" t="inlineStr">
        <is>
          <t>EBIDA/OPERATING MARGIN, %</t>
        </is>
      </c>
      <c r="F35" s="658" t="n"/>
      <c r="G35" s="658" t="n"/>
      <c r="H35" t="inlineStr">
        <is>
          <t>N/A</t>
        </is>
      </c>
      <c r="I35" t="inlineStr">
        <is>
          <t>N/A</t>
        </is>
      </c>
      <c r="J35" s="659" t="n">
        <v>0.1174854514253991</v>
      </c>
      <c r="K35" s="659" t="n">
        <v>0.2179321079636894</v>
      </c>
      <c r="L35" s="659" t="n">
        <v>0.3468356916040938</v>
      </c>
      <c r="M35" s="659" t="n">
        <v>0.365217186128358</v>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B2:N57"/>
  <sheetViews>
    <sheetView topLeftCell="A3" workbookViewId="0">
      <selection activeCell="J52" sqref="J52"/>
    </sheetView>
  </sheetViews>
  <sheetFormatPr baseColWidth="10" defaultColWidth="8.83203125" defaultRowHeight="13"/>
  <cols>
    <col width="4" customWidth="1" style="1883" min="2" max="2"/>
    <col width="45" customWidth="1" style="1883" min="3" max="3"/>
    <col width="5" customWidth="1" style="1883" min="4" max="8"/>
    <col width="18" customWidth="1" style="1883" min="9" max="14"/>
  </cols>
  <sheetData>
    <row r="2" ht="18" customHeight="1" s="1883">
      <c r="B2" s="1866" t="inlineStr">
        <is>
          <t>PUREBRAIN.AI</t>
        </is>
      </c>
    </row>
    <row r="4" ht="14" customHeight="1" s="1883">
      <c r="B4" s="1867" t="inlineStr">
        <is>
          <t>AI-POWERED BUSINESS PARTNER PLATFORM</t>
        </is>
      </c>
    </row>
    <row r="6" ht="14" customHeight="1" s="1883">
      <c r="B6" s="1867" t="inlineStr">
        <is>
          <t>PROJECTED REVENUE &amp; EXPENSES</t>
        </is>
      </c>
    </row>
    <row r="8">
      <c r="B8" s="1863" t="inlineStr">
        <is>
          <t>PRE-LAUNCH (YEAR 0) AND POST-LAUNCH (YEARS 1 - 5)</t>
        </is>
      </c>
    </row>
    <row r="12">
      <c r="I12" s="1868" t="inlineStr">
        <is>
          <t>Year 0</t>
        </is>
      </c>
      <c r="J12" s="1868" t="inlineStr">
        <is>
          <t>Year 1</t>
        </is>
      </c>
      <c r="K12" s="1868" t="inlineStr">
        <is>
          <t>Year 2</t>
        </is>
      </c>
      <c r="L12" s="1868" t="inlineStr">
        <is>
          <t>Year 3</t>
        </is>
      </c>
      <c r="M12" s="1868" t="inlineStr">
        <is>
          <t>Year 4</t>
        </is>
      </c>
      <c r="N12" s="1868" t="inlineStr">
        <is>
          <t>Year 5</t>
        </is>
      </c>
    </row>
    <row r="13">
      <c r="I13" s="1869" t="inlineStr">
        <is>
          <t>Pre-Launch</t>
        </is>
      </c>
      <c r="J13" s="1869" t="inlineStr">
        <is>
          <t>Months 1-12</t>
        </is>
      </c>
      <c r="K13" s="1869" t="inlineStr">
        <is>
          <t>Months 13-24</t>
        </is>
      </c>
      <c r="L13" s="1869" t="inlineStr">
        <is>
          <t>Months 25-36</t>
        </is>
      </c>
      <c r="M13" s="1869" t="inlineStr">
        <is>
          <t>Months 37-48</t>
        </is>
      </c>
      <c r="N13" s="1869" t="inlineStr">
        <is>
          <t>Months 49-60</t>
        </is>
      </c>
    </row>
    <row r="15" ht="14" customHeight="1" s="1883">
      <c r="B15" s="1867" t="inlineStr">
        <is>
          <t>SUBSCRIBERS</t>
        </is>
      </c>
    </row>
    <row r="16">
      <c r="B16" s="1863" t="inlineStr">
        <is>
          <t>●</t>
        </is>
      </c>
      <c r="C16" s="1863" t="inlineStr">
        <is>
          <t>End of Year Active Subscribers</t>
        </is>
      </c>
      <c r="I16" s="1864" t="n">
        <v>420000</v>
      </c>
      <c r="J16" s="1864" t="n">
        <v>1200000</v>
      </c>
      <c r="K16" s="1864" t="n">
        <v>2200000</v>
      </c>
      <c r="L16" s="1864" t="n">
        <v>5400000</v>
      </c>
      <c r="M16" s="1864" t="n">
        <v>9400000</v>
      </c>
      <c r="N16" s="1864" t="n">
        <v>12900000</v>
      </c>
    </row>
    <row r="17">
      <c r="B17" s="1863" t="inlineStr">
        <is>
          <t>●</t>
        </is>
      </c>
      <c r="C17" s="1863" t="inlineStr">
        <is>
          <t>Blended Consumer ARPU ($/mo)</t>
        </is>
      </c>
      <c r="I17" s="2076" t="n">
        <v>345</v>
      </c>
      <c r="J17" s="2076" t="n">
        <v>345</v>
      </c>
      <c r="K17" s="2076" t="n">
        <v>345</v>
      </c>
      <c r="L17" s="2076" t="n">
        <v>345</v>
      </c>
      <c r="M17" s="2076" t="n">
        <v>345</v>
      </c>
      <c r="N17" s="2076" t="n">
        <v>345</v>
      </c>
    </row>
    <row r="19" ht="14" customHeight="1" s="1883">
      <c r="B19" s="1867" t="inlineStr">
        <is>
          <t>REVENUE</t>
        </is>
      </c>
    </row>
    <row r="20">
      <c r="B20" s="1863" t="inlineStr">
        <is>
          <t>●</t>
        </is>
      </c>
      <c r="C20" s="1863" t="inlineStr">
        <is>
          <t>Consumer Subscription Revenue</t>
        </is>
      </c>
      <c r="I20" s="2076" t="n">
        <v>436805000</v>
      </c>
      <c r="J20" s="2076" t="n">
        <v>3300000000</v>
      </c>
      <c r="K20" s="2076" t="n">
        <v>4860000000</v>
      </c>
      <c r="L20" s="2076" t="n">
        <v>13770000000</v>
      </c>
      <c r="M20" s="2076" t="n">
        <v>29750000000</v>
      </c>
      <c r="N20" s="2076" t="n">
        <v>43200000000</v>
      </c>
    </row>
    <row r="21">
      <c r="B21" s="1863" t="inlineStr">
        <is>
          <t>●</t>
        </is>
      </c>
      <c r="C21" s="1863" t="inlineStr">
        <is>
          <t>Enterprise Revenue</t>
        </is>
      </c>
      <c r="I21" s="2076" t="n">
        <v>5000000</v>
      </c>
      <c r="J21" s="2076" t="n">
        <v>200000000</v>
      </c>
      <c r="K21" s="2076" t="n">
        <v>540000000</v>
      </c>
      <c r="L21" s="2076" t="n">
        <v>1530000000</v>
      </c>
      <c r="M21" s="2076" t="n">
        <v>3750000000</v>
      </c>
      <c r="N21" s="2076" t="n">
        <v>7500000000</v>
      </c>
    </row>
    <row r="22">
      <c r="C22" s="1871" t="inlineStr">
        <is>
          <t>TOTAL PUREBRAIN REVENUE</t>
        </is>
      </c>
      <c r="I22" s="2077">
        <f>I20+I21</f>
        <v/>
      </c>
      <c r="J22" s="2077">
        <f>J20+J21</f>
        <v/>
      </c>
      <c r="K22" s="2077">
        <f>K20+K21</f>
        <v/>
      </c>
      <c r="L22" s="2077">
        <f>L20+L21</f>
        <v/>
      </c>
      <c r="M22" s="2077">
        <f>M20+M21</f>
        <v/>
      </c>
      <c r="N22" s="2077">
        <f>N20+N21</f>
        <v/>
      </c>
    </row>
    <row r="24" ht="14" customHeight="1" s="1883">
      <c r="B24" s="1867" t="inlineStr">
        <is>
          <t>COST OF GOODS SOLD</t>
        </is>
      </c>
    </row>
    <row r="25">
      <c r="B25" s="1863" t="inlineStr">
        <is>
          <t>●</t>
        </is>
      </c>
      <c r="C25" s="1863" t="inlineStr">
        <is>
          <t>AI Compute Infrastructure</t>
        </is>
      </c>
      <c r="I25" s="2076" t="n">
        <v>80000000</v>
      </c>
      <c r="J25" s="2076" t="n">
        <v>504000000</v>
      </c>
      <c r="K25" s="2076" t="n">
        <v>756000000</v>
      </c>
      <c r="L25" s="2076" t="n">
        <v>1836000000</v>
      </c>
      <c r="M25" s="2076" t="n">
        <v>3518000000</v>
      </c>
      <c r="N25" s="2076" t="n">
        <v>4614000000</v>
      </c>
    </row>
    <row r="26">
      <c r="B26" s="1863" t="inlineStr">
        <is>
          <t>●</t>
        </is>
      </c>
      <c r="C26" s="1863" t="inlineStr">
        <is>
          <t>Payment Processing (3%)</t>
        </is>
      </c>
      <c r="I26" s="2076">
        <f>I22*0.03</f>
        <v/>
      </c>
      <c r="J26" s="2076">
        <f>J22*0.03</f>
        <v/>
      </c>
      <c r="K26" s="2076">
        <f>K22*0.03</f>
        <v/>
      </c>
      <c r="L26" s="2076">
        <f>L22*0.03</f>
        <v/>
      </c>
      <c r="M26" s="2076">
        <f>M22*0.03</f>
        <v/>
      </c>
      <c r="N26" s="2076">
        <f>N22*0.03</f>
        <v/>
      </c>
    </row>
    <row r="27">
      <c r="C27" s="1868" t="inlineStr">
        <is>
          <t>TOTAL COGS</t>
        </is>
      </c>
      <c r="I27" s="2077">
        <f>I25+I26</f>
        <v/>
      </c>
      <c r="J27" s="2077">
        <f>J25+J26</f>
        <v/>
      </c>
      <c r="K27" s="2077">
        <f>K25+K26</f>
        <v/>
      </c>
      <c r="L27" s="2077">
        <f>L25+L26</f>
        <v/>
      </c>
      <c r="M27" s="2077">
        <f>M25+M26</f>
        <v/>
      </c>
      <c r="N27" s="2077">
        <f>N25+N26</f>
        <v/>
      </c>
    </row>
    <row r="29">
      <c r="C29" s="1871" t="inlineStr">
        <is>
          <t>GROSS MARGIN</t>
        </is>
      </c>
      <c r="I29" s="2077">
        <f>I22-I27</f>
        <v/>
      </c>
      <c r="J29" s="2077">
        <f>J22-J27</f>
        <v/>
      </c>
      <c r="K29" s="2077">
        <f>K22-K27</f>
        <v/>
      </c>
      <c r="L29" s="2077">
        <f>L22-L27</f>
        <v/>
      </c>
      <c r="M29" s="2077">
        <f>M22-M27</f>
        <v/>
      </c>
      <c r="N29" s="2077">
        <f>N22-N27</f>
        <v/>
      </c>
    </row>
    <row r="30">
      <c r="C30" s="1873" t="inlineStr">
        <is>
          <t>Gross Margin %</t>
        </is>
      </c>
      <c r="I30" s="2078">
        <f>IFERROR(I29/I22,0)</f>
        <v/>
      </c>
      <c r="J30" s="2078">
        <f>IFERROR(J29/J22,0)</f>
        <v/>
      </c>
      <c r="K30" s="2078">
        <f>IFERROR(K29/K22,0)</f>
        <v/>
      </c>
      <c r="L30" s="2078">
        <f>IFERROR(L29/L22,0)</f>
        <v/>
      </c>
      <c r="M30" s="2078">
        <f>IFERROR(M29/M22,0)</f>
        <v/>
      </c>
      <c r="N30" s="2078">
        <f>IFERROR(N29/N22,0)</f>
        <v/>
      </c>
    </row>
    <row r="32" ht="14" customHeight="1" s="1883">
      <c r="B32" s="1867" t="inlineStr">
        <is>
          <t>OPERATING EXPENSES</t>
        </is>
      </c>
    </row>
    <row r="33">
      <c r="B33" s="1863" t="inlineStr">
        <is>
          <t>●</t>
        </is>
      </c>
      <c r="C33" s="1863" t="inlineStr">
        <is>
          <t>People Cost (PureBrain Team)</t>
        </is>
      </c>
      <c r="I33" s="2076" t="n">
        <v>0</v>
      </c>
      <c r="J33" s="2076" t="n">
        <v>240000</v>
      </c>
      <c r="K33" s="2076" t="n">
        <v>480000</v>
      </c>
      <c r="L33" s="2076" t="n">
        <v>720000</v>
      </c>
      <c r="M33" s="2076" t="n">
        <v>960000</v>
      </c>
      <c r="N33" s="2076" t="n">
        <v>1200000</v>
      </c>
    </row>
    <row r="34">
      <c r="B34" s="1863" t="inlineStr">
        <is>
          <t>●</t>
        </is>
      </c>
      <c r="C34" s="1863" t="inlineStr">
        <is>
          <t>Marketing &amp; Growth</t>
        </is>
      </c>
      <c r="I34" s="2076" t="n">
        <v>80000</v>
      </c>
      <c r="J34" s="2076" t="n">
        <v>1000000</v>
      </c>
      <c r="K34" s="2076" t="n">
        <v>3415000</v>
      </c>
      <c r="L34" s="2076" t="n">
        <v>6000000</v>
      </c>
      <c r="M34" s="2076" t="n">
        <v>10000000</v>
      </c>
      <c r="N34" s="2076" t="n">
        <v>15000000</v>
      </c>
    </row>
    <row r="35">
      <c r="B35" s="1863" t="inlineStr">
        <is>
          <t>●</t>
        </is>
      </c>
      <c r="C35" s="1863" t="inlineStr">
        <is>
          <t>Infrastructure &amp; Operations</t>
        </is>
      </c>
      <c r="I35" s="2076" t="n">
        <v>60000</v>
      </c>
      <c r="J35" s="2076" t="n">
        <v>800000</v>
      </c>
      <c r="K35" s="2076" t="n">
        <v>2732000</v>
      </c>
      <c r="L35" s="2076" t="n">
        <v>4800000</v>
      </c>
      <c r="M35" s="2076" t="n">
        <v>8000000</v>
      </c>
      <c r="N35" s="2076" t="n">
        <v>12000000</v>
      </c>
    </row>
    <row r="36">
      <c r="B36" s="1863" t="inlineStr">
        <is>
          <t>●</t>
        </is>
      </c>
      <c r="C36" s="1863" t="inlineStr">
        <is>
          <t>Legal &amp; Compliance</t>
        </is>
      </c>
      <c r="I36" s="2076" t="n">
        <v>20000</v>
      </c>
      <c r="J36" s="2076" t="n">
        <v>200000</v>
      </c>
      <c r="K36" s="2076" t="n">
        <v>683000</v>
      </c>
      <c r="L36" s="2076" t="n">
        <v>1200000</v>
      </c>
      <c r="M36" s="2076" t="n">
        <v>2000000</v>
      </c>
      <c r="N36" s="2076" t="n">
        <v>3000000</v>
      </c>
    </row>
    <row r="37">
      <c r="B37" s="1863" t="inlineStr">
        <is>
          <t>●</t>
        </is>
      </c>
      <c r="C37" s="1863" t="inlineStr">
        <is>
          <t>Misc / Contingency</t>
        </is>
      </c>
      <c r="I37" s="2076" t="n">
        <v>30000</v>
      </c>
      <c r="J37" s="2076" t="n">
        <v>400000</v>
      </c>
      <c r="K37" s="2076" t="n">
        <v>1366000</v>
      </c>
      <c r="L37" s="2076" t="n">
        <v>2400000</v>
      </c>
      <c r="M37" s="2076" t="n">
        <v>4000000</v>
      </c>
      <c r="N37" s="2076" t="n">
        <v>6000000</v>
      </c>
    </row>
    <row r="38">
      <c r="C38" s="1868" t="inlineStr">
        <is>
          <t>TOTAL OPERATING EXPENSES</t>
        </is>
      </c>
      <c r="I38" s="2077">
        <f>SUM(I33:I37)</f>
        <v/>
      </c>
      <c r="J38" s="2077">
        <f>SUM(J33:J37)</f>
        <v/>
      </c>
      <c r="K38" s="2077">
        <f>SUM(K33:K37)</f>
        <v/>
      </c>
      <c r="L38" s="2077">
        <f>SUM(L33:L37)</f>
        <v/>
      </c>
      <c r="M38" s="2077">
        <f>SUM(M33:M37)</f>
        <v/>
      </c>
      <c r="N38" s="2077">
        <f>SUM(N33:N37)</f>
        <v/>
      </c>
    </row>
    <row r="40" ht="14" customHeight="1" s="1883">
      <c r="C40" s="1867" t="inlineStr">
        <is>
          <t>EBITDA / OPERATING INCOME (LOSS)</t>
        </is>
      </c>
      <c r="I40" s="2079">
        <f>I29-I38</f>
        <v/>
      </c>
      <c r="J40" s="2079">
        <f>J29-J38</f>
        <v/>
      </c>
      <c r="K40" s="2079">
        <f>K29-K38</f>
        <v/>
      </c>
      <c r="L40" s="2079">
        <f>L29-L38</f>
        <v/>
      </c>
      <c r="M40" s="2079">
        <f>M29-M38</f>
        <v/>
      </c>
      <c r="N40" s="2079">
        <f>N29-N38</f>
        <v/>
      </c>
    </row>
    <row r="41">
      <c r="C41" s="1873" t="inlineStr">
        <is>
          <t>EBITDA Margin %</t>
        </is>
      </c>
      <c r="I41" s="2078">
        <f>IFERROR(I40/I22,0)</f>
        <v/>
      </c>
      <c r="J41" s="2078">
        <f>IFERROR(J40/J22,0)</f>
        <v/>
      </c>
      <c r="K41" s="2078">
        <f>IFERROR(K40/K22,0)</f>
        <v/>
      </c>
      <c r="L41" s="2078">
        <f>IFERROR(L40/L22,0)</f>
        <v/>
      </c>
      <c r="M41" s="2078">
        <f>IFERROR(M40/M22,0)</f>
        <v/>
      </c>
      <c r="N41" s="2078">
        <f>IFERROR(N40/N22,0)</f>
        <v/>
      </c>
    </row>
    <row r="43" ht="14" customHeight="1" s="1883">
      <c r="B43" s="1867" t="inlineStr">
        <is>
          <t>KEY METRICS</t>
        </is>
      </c>
    </row>
    <row r="44">
      <c r="B44" s="1863" t="inlineStr">
        <is>
          <t>●</t>
        </is>
      </c>
      <c r="C44" s="1863" t="inlineStr">
        <is>
          <t>Monthly Churn (blended)</t>
        </is>
      </c>
      <c r="I44" s="2080" t="n">
        <v>0.042</v>
      </c>
      <c r="J44" s="2080" t="n">
        <v>0.035</v>
      </c>
      <c r="K44" s="2080" t="n">
        <v>0.035</v>
      </c>
      <c r="L44" s="2080" t="n">
        <v>0.03</v>
      </c>
      <c r="M44" s="2080" t="n">
        <v>0.028</v>
      </c>
      <c r="N44" s="2080" t="n">
        <v>0.025</v>
      </c>
    </row>
    <row r="45">
      <c r="B45" s="1863" t="inlineStr">
        <is>
          <t>●</t>
        </is>
      </c>
      <c r="C45" s="1863" t="inlineStr">
        <is>
          <t>LTV:CAC Ratio</t>
        </is>
      </c>
      <c r="I45" s="2081" t="n">
        <v>28</v>
      </c>
      <c r="J45" s="2081" t="n">
        <v>92</v>
      </c>
      <c r="K45" s="2081" t="n">
        <v>92</v>
      </c>
      <c r="L45" s="2081" t="n">
        <v>225</v>
      </c>
      <c r="M45" s="2081" t="n">
        <v>350</v>
      </c>
      <c r="N45" s="2081" t="n">
        <v>550</v>
      </c>
    </row>
    <row r="46">
      <c r="B46" s="1863" t="inlineStr">
        <is>
          <t>●</t>
        </is>
      </c>
      <c r="C46" s="1863" t="inlineStr">
        <is>
          <t>Net Revenue Retention</t>
        </is>
      </c>
      <c r="I46" s="2080" t="n">
        <v>1.07</v>
      </c>
      <c r="J46" s="2080" t="n">
        <v>1.18</v>
      </c>
      <c r="K46" s="2080" t="n">
        <v>1.18</v>
      </c>
      <c r="L46" s="2080" t="n">
        <v>1.25</v>
      </c>
      <c r="M46" s="2080" t="n">
        <v>1.28</v>
      </c>
      <c r="N46" s="2080" t="n">
        <v>1.3</v>
      </c>
    </row>
    <row r="47">
      <c r="B47" s="1863" t="inlineStr">
        <is>
          <t>●</t>
        </is>
      </c>
      <c r="C47" s="1863" t="inlineStr">
        <is>
          <t>Headcount (PureBrain Team)</t>
        </is>
      </c>
      <c r="I47" s="1864" t="n">
        <v>0</v>
      </c>
      <c r="J47" s="1864" t="n">
        <v>2</v>
      </c>
      <c r="K47" s="1864" t="n">
        <v>4</v>
      </c>
      <c r="L47" s="1864" t="n">
        <v>6</v>
      </c>
      <c r="M47" s="1864" t="n">
        <v>8</v>
      </c>
      <c r="N47" s="1864" t="n">
        <v>10</v>
      </c>
    </row>
    <row r="48">
      <c r="B48" s="1863" t="inlineStr">
        <is>
          <t>●</t>
        </is>
      </c>
      <c r="C48" s="1863" t="inlineStr">
        <is>
          <t>Blended CAC ($)</t>
        </is>
      </c>
      <c r="I48" s="2076" t="n">
        <v>150</v>
      </c>
      <c r="J48" s="2076" t="n">
        <v>45</v>
      </c>
      <c r="K48" s="2076" t="n">
        <v>45</v>
      </c>
      <c r="L48" s="2076" t="n">
        <v>20</v>
      </c>
      <c r="M48" s="2076" t="n">
        <v>15</v>
      </c>
      <c r="N48" s="2076" t="n">
        <v>12</v>
      </c>
    </row>
    <row r="50" ht="14" customHeight="1" s="1883">
      <c r="B50" s="1867" t="inlineStr">
        <is>
          <t>PRICING TIERS</t>
        </is>
      </c>
    </row>
    <row r="51">
      <c r="C51" s="1863" t="inlineStr">
        <is>
          <t>Awakened</t>
        </is>
      </c>
      <c r="E51" s="1863" t="inlineStr">
        <is>
          <t>$197/mo</t>
        </is>
      </c>
      <c r="G51" s="1869" t="inlineStr">
        <is>
          <t>72% of users</t>
        </is>
      </c>
    </row>
    <row r="52">
      <c r="C52" s="1863" t="inlineStr">
        <is>
          <t>Partnered</t>
        </is>
      </c>
      <c r="E52" s="1863" t="inlineStr">
        <is>
          <t>$579/mo</t>
        </is>
      </c>
      <c r="G52" s="1869" t="inlineStr">
        <is>
          <t>20% of users</t>
        </is>
      </c>
    </row>
    <row r="53">
      <c r="C53" s="1863" t="inlineStr">
        <is>
          <t>Unified</t>
        </is>
      </c>
      <c r="E53" s="1863" t="inlineStr">
        <is>
          <t>$1,089/mo</t>
        </is>
      </c>
      <c r="G53" s="1869" t="inlineStr">
        <is>
          <t>8% of users</t>
        </is>
      </c>
    </row>
    <row r="54">
      <c r="C54" s="1863" t="inlineStr">
        <is>
          <t>Enterprise</t>
        </is>
      </c>
      <c r="E54" s="1863" t="inlineStr">
        <is>
          <t>$10K-$25K/mo</t>
        </is>
      </c>
      <c r="G54" s="1869" t="inlineStr">
        <is>
          <t>Separate count</t>
        </is>
      </c>
    </row>
    <row r="56">
      <c r="C56" s="1878" t="inlineStr">
        <is>
          <t>Note: Full PureBrain model with scenario engine available in separate workbook</t>
        </is>
      </c>
    </row>
    <row r="57">
      <c r="C57" s="1878" t="inlineStr">
        <is>
          <t>File: purebrain-5-year-financial-model.xlsx</t>
        </is>
      </c>
    </row>
  </sheetData>
  <pageMargins left="0.75" right="0.75" top="1" bottom="1" header="0.5" footer="0.5"/>
</worksheet>
</file>

<file path=xl/worksheets/sheet25.xml><?xml version="1.0" encoding="utf-8"?>
<worksheet xmlns="http://schemas.openxmlformats.org/spreadsheetml/2006/main">
  <sheetPr>
    <tabColor rgb="FFCDFFCD"/>
    <outlinePr summaryBelow="1" summaryRight="1"/>
    <pageSetUpPr/>
  </sheetPr>
  <dimension ref="A1:BN38"/>
  <sheetViews>
    <sheetView zoomScale="110" zoomScaleNormal="110" workbookViewId="0">
      <pane xSplit="1" ySplit="1" topLeftCell="Z2" activePane="bottomRight" state="frozen"/>
      <selection pane="topRight" activeCell="B17" sqref="B17"/>
      <selection pane="bottomLeft" activeCell="B17" sqref="B17"/>
      <selection pane="bottomRight" activeCell="B1" sqref="B1:B1048576"/>
    </sheetView>
  </sheetViews>
  <sheetFormatPr baseColWidth="10" defaultColWidth="10.83203125" defaultRowHeight="16"/>
  <cols>
    <col width="51.5" customWidth="1" style="1520" min="1" max="1"/>
    <col width="12.1640625" customWidth="1" style="1520" min="2" max="2"/>
    <col width="15.1640625" customWidth="1" style="1520" min="3" max="5"/>
    <col width="16.33203125" customWidth="1" style="1520" min="6" max="13"/>
    <col width="17.6640625" customWidth="1" style="1520" min="14" max="14"/>
    <col width="17.83203125" customWidth="1" style="1520" min="15" max="15"/>
    <col width="20" customWidth="1" style="1520" min="16" max="16"/>
    <col width="16.1640625" customWidth="1" style="1520" min="17" max="26"/>
    <col width="18.83203125" customWidth="1" style="1520" min="27" max="27"/>
    <col width="17.33203125" customWidth="1" style="1520" min="28" max="29"/>
    <col width="16.33203125" customWidth="1" style="1520" min="30" max="39"/>
    <col width="18.5" customWidth="1" style="1520" min="40" max="40"/>
    <col width="15.6640625" customWidth="1" style="1520" min="41" max="52"/>
    <col width="17.83203125" customWidth="1" style="1520" min="53" max="65"/>
    <col width="20.1640625" customWidth="1" style="1520" min="66" max="66"/>
    <col width="10.83203125" customWidth="1" style="1520" min="67" max="68"/>
    <col width="10.83203125" customWidth="1" style="1520" min="69" max="16384"/>
  </cols>
  <sheetData>
    <row r="1" ht="19" customFormat="1" customHeight="1" s="1513">
      <c r="A1" s="1512" t="inlineStr">
        <is>
          <t>REVENUE</t>
        </is>
      </c>
      <c r="B1" s="1513" t="inlineStr">
        <is>
          <t>Month 1</t>
        </is>
      </c>
      <c r="C1" s="1513" t="inlineStr">
        <is>
          <t>Month 2</t>
        </is>
      </c>
      <c r="D1" s="1513" t="inlineStr">
        <is>
          <t>Month 3</t>
        </is>
      </c>
      <c r="E1" s="1513" t="inlineStr">
        <is>
          <t>Month 4</t>
        </is>
      </c>
      <c r="F1" s="1513" t="inlineStr">
        <is>
          <t>Month 5</t>
        </is>
      </c>
      <c r="G1" s="1513" t="inlineStr">
        <is>
          <t>Month 6</t>
        </is>
      </c>
      <c r="H1" s="1513" t="inlineStr">
        <is>
          <t>Month 7</t>
        </is>
      </c>
      <c r="I1" s="1513" t="inlineStr">
        <is>
          <t>Month 8</t>
        </is>
      </c>
      <c r="J1" s="1513" t="inlineStr">
        <is>
          <t>Month 9</t>
        </is>
      </c>
      <c r="K1" s="1513" t="inlineStr">
        <is>
          <t>Month 10</t>
        </is>
      </c>
      <c r="L1" s="1513" t="inlineStr">
        <is>
          <t>Month 11</t>
        </is>
      </c>
      <c r="M1" s="1513" t="inlineStr">
        <is>
          <t>Month 12</t>
        </is>
      </c>
      <c r="N1" s="1513" t="inlineStr">
        <is>
          <t>TOTAL - Y1</t>
        </is>
      </c>
      <c r="O1" s="1513" t="inlineStr">
        <is>
          <t>Month 13</t>
        </is>
      </c>
      <c r="P1" s="1513" t="inlineStr">
        <is>
          <t>Month 14</t>
        </is>
      </c>
      <c r="Q1" s="1513" t="inlineStr">
        <is>
          <t>Month 15</t>
        </is>
      </c>
      <c r="R1" s="1513" t="inlineStr">
        <is>
          <t>Month 16</t>
        </is>
      </c>
      <c r="S1" s="1513" t="inlineStr">
        <is>
          <t>Month 17</t>
        </is>
      </c>
      <c r="T1" s="1513" t="inlineStr">
        <is>
          <t>Month 18</t>
        </is>
      </c>
      <c r="U1" s="1513" t="inlineStr">
        <is>
          <t>Month 19</t>
        </is>
      </c>
      <c r="V1" s="1513" t="inlineStr">
        <is>
          <t>Month 20</t>
        </is>
      </c>
      <c r="W1" s="1513" t="inlineStr">
        <is>
          <t>Month 21</t>
        </is>
      </c>
      <c r="X1" s="1513" t="inlineStr">
        <is>
          <t>Month 22</t>
        </is>
      </c>
      <c r="Y1" s="1513" t="inlineStr">
        <is>
          <t>Month 23</t>
        </is>
      </c>
      <c r="Z1" s="1513" t="inlineStr">
        <is>
          <t>Month 24</t>
        </is>
      </c>
      <c r="AA1" s="1513" t="inlineStr">
        <is>
          <t>TOTAL - Y2</t>
        </is>
      </c>
      <c r="AB1" s="1513" t="inlineStr">
        <is>
          <t>Month 25</t>
        </is>
      </c>
      <c r="AC1" s="1513" t="inlineStr">
        <is>
          <t>Month 26</t>
        </is>
      </c>
      <c r="AD1" s="1513" t="inlineStr">
        <is>
          <t>Month 27</t>
        </is>
      </c>
      <c r="AE1" s="1513" t="inlineStr">
        <is>
          <t>Month 28</t>
        </is>
      </c>
      <c r="AF1" s="1513" t="inlineStr">
        <is>
          <t>Month 29</t>
        </is>
      </c>
      <c r="AG1" s="1513" t="inlineStr">
        <is>
          <t>Month 30</t>
        </is>
      </c>
      <c r="AH1" s="1513" t="inlineStr">
        <is>
          <t>Month 31</t>
        </is>
      </c>
      <c r="AI1" s="1513" t="inlineStr">
        <is>
          <t>Month 32</t>
        </is>
      </c>
      <c r="AJ1" s="1513" t="inlineStr">
        <is>
          <t>Month 33</t>
        </is>
      </c>
      <c r="AK1" s="1513" t="inlineStr">
        <is>
          <t>Month 34</t>
        </is>
      </c>
      <c r="AL1" s="1513" t="inlineStr">
        <is>
          <t>Month 35</t>
        </is>
      </c>
      <c r="AM1" s="1513" t="inlineStr">
        <is>
          <t>Month 36</t>
        </is>
      </c>
      <c r="AN1" s="1513" t="inlineStr">
        <is>
          <t>TOTAL - Y3</t>
        </is>
      </c>
      <c r="AO1" s="1513" t="inlineStr">
        <is>
          <t>Month 37</t>
        </is>
      </c>
      <c r="AP1" s="1513" t="inlineStr">
        <is>
          <t>Month 38</t>
        </is>
      </c>
      <c r="AQ1" s="1513" t="inlineStr">
        <is>
          <t>Month 39</t>
        </is>
      </c>
      <c r="AR1" s="1513" t="inlineStr">
        <is>
          <t>Month 40</t>
        </is>
      </c>
      <c r="AS1" s="1513" t="inlineStr">
        <is>
          <t>Month 41</t>
        </is>
      </c>
      <c r="AT1" s="1513" t="inlineStr">
        <is>
          <t>Month 42</t>
        </is>
      </c>
      <c r="AU1" s="1513" t="inlineStr">
        <is>
          <t>Month 43</t>
        </is>
      </c>
      <c r="AV1" s="1513" t="inlineStr">
        <is>
          <t>Month 44</t>
        </is>
      </c>
      <c r="AW1" s="1513" t="inlineStr">
        <is>
          <t>Month 45</t>
        </is>
      </c>
      <c r="AX1" s="1513" t="inlineStr">
        <is>
          <t>Month 46</t>
        </is>
      </c>
      <c r="AY1" s="1513" t="inlineStr">
        <is>
          <t>Month 47</t>
        </is>
      </c>
      <c r="AZ1" s="1513" t="inlineStr">
        <is>
          <t>Month 48</t>
        </is>
      </c>
      <c r="BA1" s="1513" t="inlineStr">
        <is>
          <t>TOTAL - Y4</t>
        </is>
      </c>
      <c r="BB1" s="1513" t="inlineStr">
        <is>
          <t>Month 49</t>
        </is>
      </c>
      <c r="BC1" s="1513" t="inlineStr">
        <is>
          <t>Month 50</t>
        </is>
      </c>
      <c r="BD1" s="1513" t="inlineStr">
        <is>
          <t>Month 51</t>
        </is>
      </c>
      <c r="BE1" s="1513" t="inlineStr">
        <is>
          <t>Month 52</t>
        </is>
      </c>
      <c r="BF1" s="1513" t="inlineStr">
        <is>
          <t>Month 53</t>
        </is>
      </c>
      <c r="BG1" s="1513" t="inlineStr">
        <is>
          <t>Month 54</t>
        </is>
      </c>
      <c r="BH1" s="1513" t="inlineStr">
        <is>
          <t>Month 55</t>
        </is>
      </c>
      <c r="BI1" s="1513" t="inlineStr">
        <is>
          <t>Month 56</t>
        </is>
      </c>
      <c r="BJ1" s="1513" t="inlineStr">
        <is>
          <t>Month 57</t>
        </is>
      </c>
      <c r="BK1" s="1513" t="inlineStr">
        <is>
          <t>Month 58</t>
        </is>
      </c>
      <c r="BL1" s="1513" t="inlineStr">
        <is>
          <t>Month 59</t>
        </is>
      </c>
      <c r="BM1" s="1513" t="inlineStr">
        <is>
          <t>Month 60</t>
        </is>
      </c>
      <c r="BN1" s="1513" t="inlineStr">
        <is>
          <t>TOTAL - Y5</t>
        </is>
      </c>
    </row>
    <row r="2" ht="19" customFormat="1" customHeight="1" s="1516">
      <c r="A2" s="1514" t="inlineStr">
        <is>
          <t>Users</t>
        </is>
      </c>
      <c r="B2" s="1515">
        <f>C27</f>
        <v/>
      </c>
      <c r="C2" s="1515">
        <f>C28</f>
        <v/>
      </c>
      <c r="D2" s="1515">
        <f>C29</f>
        <v/>
      </c>
      <c r="E2" s="1515">
        <f>C30</f>
        <v/>
      </c>
      <c r="F2" s="1515">
        <f>C31</f>
        <v/>
      </c>
      <c r="G2" s="1515">
        <f>C32</f>
        <v/>
      </c>
      <c r="H2" s="1515">
        <f>C33</f>
        <v/>
      </c>
      <c r="I2" s="1515">
        <f>C34</f>
        <v/>
      </c>
      <c r="J2" s="1515">
        <f>C35</f>
        <v/>
      </c>
      <c r="K2" s="1515">
        <f>C36</f>
        <v/>
      </c>
      <c r="L2" s="1515">
        <f>C37</f>
        <v/>
      </c>
      <c r="M2" s="1515">
        <f>C38</f>
        <v/>
      </c>
      <c r="N2" s="1515" t="n"/>
      <c r="O2" s="1515">
        <f>M2*1.05</f>
        <v/>
      </c>
      <c r="P2" s="1515">
        <f>O2*1.05</f>
        <v/>
      </c>
      <c r="Q2" s="1515">
        <f>P2*1.05</f>
        <v/>
      </c>
      <c r="R2" s="1515">
        <f>Q2*1.05</f>
        <v/>
      </c>
      <c r="S2" s="1515">
        <f>R2*1.05</f>
        <v/>
      </c>
      <c r="T2" s="1515">
        <f>S2*1.05</f>
        <v/>
      </c>
      <c r="U2" s="1515">
        <f>T2*1.05</f>
        <v/>
      </c>
      <c r="V2" s="1515">
        <f>U2*1.05</f>
        <v/>
      </c>
      <c r="W2" s="1515">
        <f>V2*1.05</f>
        <v/>
      </c>
      <c r="X2" s="1515">
        <f>W2*1.05</f>
        <v/>
      </c>
      <c r="Y2" s="1515">
        <f>X2*1.05</f>
        <v/>
      </c>
      <c r="Z2" s="1515">
        <f>Y2*1.05</f>
        <v/>
      </c>
      <c r="AA2" s="1515" t="n"/>
      <c r="AB2" s="1515">
        <f>Z2*1.05</f>
        <v/>
      </c>
      <c r="AC2" s="1515">
        <f>AB2*1.05</f>
        <v/>
      </c>
      <c r="AD2" s="1515">
        <f>AC2*1.05</f>
        <v/>
      </c>
      <c r="AE2" s="1515">
        <f>AD2*1.05</f>
        <v/>
      </c>
      <c r="AF2" s="1515">
        <f>AE2*1.05</f>
        <v/>
      </c>
      <c r="AG2" s="1515">
        <f>AF2*1.05</f>
        <v/>
      </c>
      <c r="AH2" s="1515">
        <f>AG2*1.05</f>
        <v/>
      </c>
      <c r="AI2" s="1515">
        <f>AH2*1.05</f>
        <v/>
      </c>
      <c r="AJ2" s="1515">
        <f>AI2*1.05</f>
        <v/>
      </c>
      <c r="AK2" s="1515">
        <f>AJ2*1.05</f>
        <v/>
      </c>
      <c r="AL2" s="1515">
        <f>AK2*1.05</f>
        <v/>
      </c>
      <c r="AM2" s="1515">
        <f>AL2*1.05</f>
        <v/>
      </c>
      <c r="AN2" s="1515" t="n"/>
      <c r="AO2" s="1515">
        <f>AM2*1.05</f>
        <v/>
      </c>
      <c r="AP2" s="1515">
        <f>AO2*1.05</f>
        <v/>
      </c>
      <c r="AQ2" s="1515">
        <f>AP2*1.05</f>
        <v/>
      </c>
      <c r="AR2" s="1515">
        <f>AQ2*1.05</f>
        <v/>
      </c>
      <c r="AS2" s="1515">
        <f>AR2*1.05</f>
        <v/>
      </c>
      <c r="AT2" s="1515">
        <f>AS2*1.05</f>
        <v/>
      </c>
      <c r="AU2" s="1515">
        <f>AT2*1.05</f>
        <v/>
      </c>
      <c r="AV2" s="1515">
        <f>AU2*1.05</f>
        <v/>
      </c>
      <c r="AW2" s="1515">
        <f>AV2*1.05</f>
        <v/>
      </c>
      <c r="AX2" s="1515">
        <f>AW2*1.05</f>
        <v/>
      </c>
      <c r="AY2" s="1515">
        <f>AX2*1.05</f>
        <v/>
      </c>
      <c r="AZ2" s="1515">
        <f>AY2*1.05</f>
        <v/>
      </c>
      <c r="BA2" s="1515" t="n"/>
      <c r="BB2" s="1515">
        <f>AZ2*1.05</f>
        <v/>
      </c>
      <c r="BC2" s="1515">
        <f>BB2*1.05</f>
        <v/>
      </c>
      <c r="BD2" s="1515">
        <f>BC2*1.05</f>
        <v/>
      </c>
      <c r="BE2" s="1515">
        <f>BD2*1.05</f>
        <v/>
      </c>
      <c r="BF2" s="1515">
        <f>BE2*1.05</f>
        <v/>
      </c>
      <c r="BG2" s="1515">
        <f>BF2*1.05</f>
        <v/>
      </c>
      <c r="BH2" s="1515">
        <f>BG2*1.05</f>
        <v/>
      </c>
      <c r="BI2" s="1515">
        <f>BH2*1.05</f>
        <v/>
      </c>
      <c r="BJ2" s="1515">
        <f>BI2*1.05</f>
        <v/>
      </c>
      <c r="BK2" s="1515">
        <f>BJ2*1.05</f>
        <v/>
      </c>
      <c r="BL2" s="1515">
        <f>BK2*1.05</f>
        <v/>
      </c>
      <c r="BM2" s="1515">
        <f>BL2*1.05</f>
        <v/>
      </c>
      <c r="BN2" s="1515" t="n"/>
    </row>
    <row r="3" ht="19" customHeight="1" s="1883">
      <c r="A3" s="1517" t="inlineStr">
        <is>
          <t>Monthly Revenue - pass through</t>
        </is>
      </c>
      <c r="B3" s="2082">
        <f>'[6]Camera Commerce - Research'!$B$34/12*0.3*'9. Camera Commerce'!B2</f>
        <v/>
      </c>
      <c r="C3" s="2082">
        <f>'[6]Camera Commerce - Research'!$B$34/12*0.3*'9. Camera Commerce'!C2</f>
        <v/>
      </c>
      <c r="D3" s="2082">
        <f>'[6]Camera Commerce - Research'!$B$34/12*0.3*'9. Camera Commerce'!D2</f>
        <v/>
      </c>
      <c r="E3" s="2082">
        <f>'[6]Camera Commerce - Research'!$B$34/12*0.3*'9. Camera Commerce'!E2</f>
        <v/>
      </c>
      <c r="F3" s="2082">
        <f>'[6]Camera Commerce - Research'!$B$34/12*0.3*'9. Camera Commerce'!F2</f>
        <v/>
      </c>
      <c r="G3" s="2082">
        <f>'[6]Camera Commerce - Research'!$B$34/12*0.3*'9. Camera Commerce'!G2</f>
        <v/>
      </c>
      <c r="H3" s="2082">
        <f>'[6]Camera Commerce - Research'!$B$34/12*0.3*'9. Camera Commerce'!H2</f>
        <v/>
      </c>
      <c r="I3" s="2082">
        <f>'[6]Camera Commerce - Research'!$B$34/12*0.3*'9. Camera Commerce'!I2</f>
        <v/>
      </c>
      <c r="J3" s="2082">
        <f>'[6]Camera Commerce - Research'!$B$34/12*0.3*'9. Camera Commerce'!J2</f>
        <v/>
      </c>
      <c r="K3" s="2082">
        <f>'[6]Camera Commerce - Research'!$B$34/12*0.3*'9. Camera Commerce'!K2</f>
        <v/>
      </c>
      <c r="L3" s="2082">
        <f>'[6]Camera Commerce - Research'!$B$34/12*0.3*'9. Camera Commerce'!L2</f>
        <v/>
      </c>
      <c r="M3" s="2082">
        <f>'[6]Camera Commerce - Research'!$B$34/12*0.3*'9. Camera Commerce'!M2</f>
        <v/>
      </c>
      <c r="N3" s="2083">
        <f>SUM(B3:M3)</f>
        <v/>
      </c>
      <c r="O3" s="2082">
        <f>'[6]Camera Commerce - Research'!$B$34/12*0.3*'9. Camera Commerce'!O2</f>
        <v/>
      </c>
      <c r="P3" s="2082">
        <f>'[6]Camera Commerce - Research'!$B$34/12*0.3*'9. Camera Commerce'!P2</f>
        <v/>
      </c>
      <c r="Q3" s="2082">
        <f>'[6]Camera Commerce - Research'!$B$34/12*0.3*'9. Camera Commerce'!Q2</f>
        <v/>
      </c>
      <c r="R3" s="2082">
        <f>'[6]Camera Commerce - Research'!$B$34/12*0.3*'9. Camera Commerce'!R2</f>
        <v/>
      </c>
      <c r="S3" s="2082">
        <f>'[6]Camera Commerce - Research'!$B$34/12*0.3*'9. Camera Commerce'!S2</f>
        <v/>
      </c>
      <c r="T3" s="2082">
        <f>'[6]Camera Commerce - Research'!$B$34/12*0.3*'9. Camera Commerce'!T2</f>
        <v/>
      </c>
      <c r="U3" s="2082">
        <f>'[6]Camera Commerce - Research'!$B$34/12*0.3*'9. Camera Commerce'!U2</f>
        <v/>
      </c>
      <c r="V3" s="2082">
        <f>'[6]Camera Commerce - Research'!$B$34/12*0.3*'9. Camera Commerce'!V2</f>
        <v/>
      </c>
      <c r="W3" s="2082">
        <f>'[6]Camera Commerce - Research'!$B$34/12*0.3*'9. Camera Commerce'!W2</f>
        <v/>
      </c>
      <c r="X3" s="2082">
        <f>'[6]Camera Commerce - Research'!$B$34/12*0.3*'9. Camera Commerce'!X2</f>
        <v/>
      </c>
      <c r="Y3" s="2082">
        <f>'[6]Camera Commerce - Research'!$B$34/12*0.3*'9. Camera Commerce'!Y2</f>
        <v/>
      </c>
      <c r="Z3" s="2082">
        <f>'[6]Camera Commerce - Research'!$B$34/12*0.3*'9. Camera Commerce'!Z2</f>
        <v/>
      </c>
      <c r="AA3" s="2083">
        <f>SUM(O3:Z3)</f>
        <v/>
      </c>
      <c r="AB3" s="2082">
        <f>'[6]Camera Commerce - Research'!$B$34/12*0.3*'9. Camera Commerce'!AB2</f>
        <v/>
      </c>
      <c r="AC3" s="2082">
        <f>'[6]Camera Commerce - Research'!$B$34/12*0.3*'9. Camera Commerce'!AC2</f>
        <v/>
      </c>
      <c r="AD3" s="2082">
        <f>'[6]Camera Commerce - Research'!$B$34/12*0.3*'9. Camera Commerce'!AD2</f>
        <v/>
      </c>
      <c r="AE3" s="2082">
        <f>'[6]Camera Commerce - Research'!$B$34/12*0.3*'9. Camera Commerce'!AE2</f>
        <v/>
      </c>
      <c r="AF3" s="2082">
        <f>'[6]Camera Commerce - Research'!$B$34/12*0.3*'9. Camera Commerce'!AF2</f>
        <v/>
      </c>
      <c r="AG3" s="2082">
        <f>'[6]Camera Commerce - Research'!$B$34/12*0.3*'9. Camera Commerce'!AG2</f>
        <v/>
      </c>
      <c r="AH3" s="2082">
        <f>'[6]Camera Commerce - Research'!$B$34/12*0.3*'9. Camera Commerce'!AH2</f>
        <v/>
      </c>
      <c r="AI3" s="2082">
        <f>'[6]Camera Commerce - Research'!$B$34/12*0.3*'9. Camera Commerce'!AI2</f>
        <v/>
      </c>
      <c r="AJ3" s="2082">
        <f>'[6]Camera Commerce - Research'!$B$34/12*0.3*'9. Camera Commerce'!AJ2</f>
        <v/>
      </c>
      <c r="AK3" s="2082">
        <f>'[6]Camera Commerce - Research'!$B$34/12*0.3*'9. Camera Commerce'!AK2</f>
        <v/>
      </c>
      <c r="AL3" s="2082">
        <f>'[6]Camera Commerce - Research'!$B$34/12*0.3*'9. Camera Commerce'!AL2</f>
        <v/>
      </c>
      <c r="AM3" s="2082">
        <f>'[6]Camera Commerce - Research'!$B$34/12*0.3*'9. Camera Commerce'!AM2</f>
        <v/>
      </c>
      <c r="AN3" s="2083">
        <f>SUM(AB3:AM3)</f>
        <v/>
      </c>
      <c r="AO3" s="2082">
        <f>'[6]Camera Commerce - Research'!$B$34/12*0.3*'9. Camera Commerce'!AO2</f>
        <v/>
      </c>
      <c r="AP3" s="2082">
        <f>'[6]Camera Commerce - Research'!$B$34/12*0.3*'9. Camera Commerce'!AP2</f>
        <v/>
      </c>
      <c r="AQ3" s="2082">
        <f>'[6]Camera Commerce - Research'!$B$34/12*0.3*'9. Camera Commerce'!AQ2</f>
        <v/>
      </c>
      <c r="AR3" s="2082">
        <f>'[6]Camera Commerce - Research'!$B$34/12*0.3*'9. Camera Commerce'!AR2</f>
        <v/>
      </c>
      <c r="AS3" s="2082">
        <f>'[6]Camera Commerce - Research'!$B$34/12*0.3*'9. Camera Commerce'!AS2</f>
        <v/>
      </c>
      <c r="AT3" s="2082">
        <f>'[6]Camera Commerce - Research'!$B$34/12*0.3*'9. Camera Commerce'!AT2</f>
        <v/>
      </c>
      <c r="AU3" s="2082">
        <f>'[6]Camera Commerce - Research'!$B$34/12*0.3*'9. Camera Commerce'!AU2</f>
        <v/>
      </c>
      <c r="AV3" s="2082">
        <f>'[6]Camera Commerce - Research'!$B$34/12*0.3*'9. Camera Commerce'!AV2</f>
        <v/>
      </c>
      <c r="AW3" s="2082">
        <f>'[6]Camera Commerce - Research'!$B$34/12*0.3*'9. Camera Commerce'!AW2</f>
        <v/>
      </c>
      <c r="AX3" s="2082">
        <f>'[6]Camera Commerce - Research'!$B$34/12*0.3*'9. Camera Commerce'!AX2</f>
        <v/>
      </c>
      <c r="AY3" s="2082">
        <f>'[6]Camera Commerce - Research'!$B$34/12*0.3*'9. Camera Commerce'!AY2</f>
        <v/>
      </c>
      <c r="AZ3" s="2082">
        <f>'[6]Camera Commerce - Research'!$B$34/12*0.3*'9. Camera Commerce'!AZ2</f>
        <v/>
      </c>
      <c r="BA3" s="2083">
        <f>SUM(AO3:AZ3)</f>
        <v/>
      </c>
      <c r="BB3" s="2082">
        <f>'[6]Camera Commerce - Research'!$B$34/12*0.3*'9. Camera Commerce'!BB2</f>
        <v/>
      </c>
      <c r="BC3" s="2082">
        <f>'[6]Camera Commerce - Research'!$B$34/12*0.3*'9. Camera Commerce'!BC2</f>
        <v/>
      </c>
      <c r="BD3" s="2082">
        <f>'[6]Camera Commerce - Research'!$B$34/12*0.3*'9. Camera Commerce'!BD2</f>
        <v/>
      </c>
      <c r="BE3" s="2082">
        <f>'[6]Camera Commerce - Research'!$B$34/12*0.3*'9. Camera Commerce'!BE2</f>
        <v/>
      </c>
      <c r="BF3" s="2082">
        <f>'[6]Camera Commerce - Research'!$B$34/12*0.3*'9. Camera Commerce'!BF2</f>
        <v/>
      </c>
      <c r="BG3" s="2082">
        <f>'[6]Camera Commerce - Research'!$B$34/12*0.3*'9. Camera Commerce'!BG2</f>
        <v/>
      </c>
      <c r="BH3" s="2082">
        <f>'[6]Camera Commerce - Research'!$B$34/12*0.3*'9. Camera Commerce'!BH2</f>
        <v/>
      </c>
      <c r="BI3" s="2082">
        <f>'[6]Camera Commerce - Research'!$B$34/12*0.3*'9. Camera Commerce'!BI2</f>
        <v/>
      </c>
      <c r="BJ3" s="2082">
        <f>'[6]Camera Commerce - Research'!$B$34/12*0.3*'9. Camera Commerce'!BJ2</f>
        <v/>
      </c>
      <c r="BK3" s="2082">
        <f>'[6]Camera Commerce - Research'!$B$34/12*0.3*'9. Camera Commerce'!BK2</f>
        <v/>
      </c>
      <c r="BL3" s="2082">
        <f>'[6]Camera Commerce - Research'!$B$34/12*0.3*'9. Camera Commerce'!BL2</f>
        <v/>
      </c>
      <c r="BM3" s="2082">
        <f>'[6]Camera Commerce - Research'!$B$34/12*0.3*'9. Camera Commerce'!BM2</f>
        <v/>
      </c>
      <c r="BN3" s="2083">
        <f>SUM(BB3:BM3)</f>
        <v/>
      </c>
    </row>
    <row r="4" ht="19" customFormat="1" customHeight="1" s="1516">
      <c r="A4" s="1514" t="inlineStr">
        <is>
          <t>Actualized Revenue (1.6%)</t>
        </is>
      </c>
      <c r="B4" s="2084">
        <f>B3*0.016</f>
        <v/>
      </c>
      <c r="C4" s="2084">
        <f>C3*0.016</f>
        <v/>
      </c>
      <c r="D4" s="2084">
        <f>D3*0.016</f>
        <v/>
      </c>
      <c r="E4" s="2084">
        <f>E3*0.016</f>
        <v/>
      </c>
      <c r="F4" s="2084">
        <f>F3*0.016</f>
        <v/>
      </c>
      <c r="G4" s="2084">
        <f>G3*0.016</f>
        <v/>
      </c>
      <c r="H4" s="2084">
        <f>H3*0.016</f>
        <v/>
      </c>
      <c r="I4" s="2084">
        <f>I3*0.016</f>
        <v/>
      </c>
      <c r="J4" s="2084">
        <f>J3*0.016</f>
        <v/>
      </c>
      <c r="K4" s="2084">
        <f>K3*0.016</f>
        <v/>
      </c>
      <c r="L4" s="2084">
        <f>L3*0.016</f>
        <v/>
      </c>
      <c r="M4" s="2084">
        <f>M3*0.016</f>
        <v/>
      </c>
      <c r="N4" s="2085">
        <f>SUM(B4:M4)</f>
        <v/>
      </c>
      <c r="O4" s="2084">
        <f>O3*0.016</f>
        <v/>
      </c>
      <c r="P4" s="2084">
        <f>P3*0.016</f>
        <v/>
      </c>
      <c r="Q4" s="2084">
        <f>Q3*0.016</f>
        <v/>
      </c>
      <c r="R4" s="2084">
        <f>R3*0.016</f>
        <v/>
      </c>
      <c r="S4" s="2084">
        <f>S3*0.016</f>
        <v/>
      </c>
      <c r="T4" s="2084">
        <f>T3*0.016</f>
        <v/>
      </c>
      <c r="U4" s="2084">
        <f>U3*0.016</f>
        <v/>
      </c>
      <c r="V4" s="2084">
        <f>V3*0.016</f>
        <v/>
      </c>
      <c r="W4" s="2084">
        <f>W3*0.016</f>
        <v/>
      </c>
      <c r="X4" s="2084">
        <f>X3*0.016</f>
        <v/>
      </c>
      <c r="Y4" s="2084">
        <f>Y3*0.016</f>
        <v/>
      </c>
      <c r="Z4" s="2084">
        <f>Z3*0.016</f>
        <v/>
      </c>
      <c r="AA4" s="2085">
        <f>SUM(O4:Z4)</f>
        <v/>
      </c>
      <c r="AB4" s="2084">
        <f>AB3*0.016</f>
        <v/>
      </c>
      <c r="AC4" s="2084">
        <f>AC3*0.016</f>
        <v/>
      </c>
      <c r="AD4" s="2084">
        <f>AD3*0.016</f>
        <v/>
      </c>
      <c r="AE4" s="2084">
        <f>AE3*0.016</f>
        <v/>
      </c>
      <c r="AF4" s="2084">
        <f>AF3*0.016</f>
        <v/>
      </c>
      <c r="AG4" s="2084">
        <f>AG3*0.016</f>
        <v/>
      </c>
      <c r="AH4" s="2084">
        <f>AH3*0.016</f>
        <v/>
      </c>
      <c r="AI4" s="2084">
        <f>AI3*0.016</f>
        <v/>
      </c>
      <c r="AJ4" s="2084">
        <f>AJ3*0.016</f>
        <v/>
      </c>
      <c r="AK4" s="2084">
        <f>AK3*0.016</f>
        <v/>
      </c>
      <c r="AL4" s="2084">
        <f>AL3*0.016</f>
        <v/>
      </c>
      <c r="AM4" s="2084">
        <f>AM3*0.016</f>
        <v/>
      </c>
      <c r="AN4" s="2085">
        <f>SUM(AB4:AM4)</f>
        <v/>
      </c>
      <c r="AO4" s="2084">
        <f>AO3*0.016</f>
        <v/>
      </c>
      <c r="AP4" s="2084">
        <f>AP3*0.016</f>
        <v/>
      </c>
      <c r="AQ4" s="2084">
        <f>AQ3*0.016</f>
        <v/>
      </c>
      <c r="AR4" s="2084">
        <f>AR3*0.016</f>
        <v/>
      </c>
      <c r="AS4" s="2084">
        <f>AS3*0.016</f>
        <v/>
      </c>
      <c r="AT4" s="2084">
        <f>AT3*0.016</f>
        <v/>
      </c>
      <c r="AU4" s="2084">
        <f>AU3*0.016</f>
        <v/>
      </c>
      <c r="AV4" s="2084">
        <f>AV3*0.016</f>
        <v/>
      </c>
      <c r="AW4" s="2084">
        <f>AW3*0.016</f>
        <v/>
      </c>
      <c r="AX4" s="2084">
        <f>AX3*0.016</f>
        <v/>
      </c>
      <c r="AY4" s="2084">
        <f>AY3*0.016</f>
        <v/>
      </c>
      <c r="AZ4" s="2084">
        <f>AZ3*0.016</f>
        <v/>
      </c>
      <c r="BA4" s="2085">
        <f>SUM(AO4:AZ4)</f>
        <v/>
      </c>
      <c r="BB4" s="2084">
        <f>BB3*0.016</f>
        <v/>
      </c>
      <c r="BC4" s="2084">
        <f>BC3*0.016</f>
        <v/>
      </c>
      <c r="BD4" s="2084">
        <f>BD3*0.016</f>
        <v/>
      </c>
      <c r="BE4" s="2084">
        <f>BE3*0.016</f>
        <v/>
      </c>
      <c r="BF4" s="2084">
        <f>BF3*0.016</f>
        <v/>
      </c>
      <c r="BG4" s="2084">
        <f>BG3*0.016</f>
        <v/>
      </c>
      <c r="BH4" s="2084">
        <f>BH3*0.016</f>
        <v/>
      </c>
      <c r="BI4" s="2084">
        <f>BI3*0.016</f>
        <v/>
      </c>
      <c r="BJ4" s="2084">
        <f>BJ3*0.016</f>
        <v/>
      </c>
      <c r="BK4" s="2084">
        <f>BK3*0.016</f>
        <v/>
      </c>
      <c r="BL4" s="2084">
        <f>BL3*0.016</f>
        <v/>
      </c>
      <c r="BM4" s="2084">
        <f>BM3*0.016</f>
        <v/>
      </c>
      <c r="BN4" s="2085">
        <f>SUM(BB4:BM4)</f>
        <v/>
      </c>
    </row>
    <row r="5" ht="19" customHeight="1" s="1883">
      <c r="A5" s="1517" t="inlineStr">
        <is>
          <t>Influencer Revenue (.16%)</t>
        </is>
      </c>
      <c r="B5" s="2086">
        <f>B3*0.0016</f>
        <v/>
      </c>
      <c r="C5" s="2086">
        <f>C3*0.0016</f>
        <v/>
      </c>
      <c r="D5" s="2086">
        <f>D3*0.0016</f>
        <v/>
      </c>
      <c r="E5" s="2086">
        <f>E3*0.0016</f>
        <v/>
      </c>
      <c r="F5" s="2086">
        <f>F3*0.0016</f>
        <v/>
      </c>
      <c r="G5" s="2086">
        <f>G3*0.0016</f>
        <v/>
      </c>
      <c r="H5" s="2086">
        <f>H3*0.0016</f>
        <v/>
      </c>
      <c r="I5" s="2086">
        <f>I3*0.0016</f>
        <v/>
      </c>
      <c r="J5" s="2086">
        <f>J3*0.0016</f>
        <v/>
      </c>
      <c r="K5" s="2086">
        <f>K3*0.0016</f>
        <v/>
      </c>
      <c r="L5" s="2086">
        <f>L3*0.0016</f>
        <v/>
      </c>
      <c r="M5" s="2086">
        <f>M3*0.0016</f>
        <v/>
      </c>
      <c r="N5" s="2083">
        <f>SUM(B5:M5)</f>
        <v/>
      </c>
      <c r="O5" s="2086">
        <f>O3*0.0016</f>
        <v/>
      </c>
      <c r="P5" s="2086">
        <f>P3*0.0016</f>
        <v/>
      </c>
      <c r="Q5" s="2086">
        <f>Q3*0.0016</f>
        <v/>
      </c>
      <c r="R5" s="2086">
        <f>R3*0.0016</f>
        <v/>
      </c>
      <c r="S5" s="2086">
        <f>S3*0.0016</f>
        <v/>
      </c>
      <c r="T5" s="2086">
        <f>T3*0.0016</f>
        <v/>
      </c>
      <c r="U5" s="2086">
        <f>U3*0.0016</f>
        <v/>
      </c>
      <c r="V5" s="2086">
        <f>V3*0.0016</f>
        <v/>
      </c>
      <c r="W5" s="2086">
        <f>W3*0.0016</f>
        <v/>
      </c>
      <c r="X5" s="2086">
        <f>X3*0.0016</f>
        <v/>
      </c>
      <c r="Y5" s="2086">
        <f>Y3*0.0016</f>
        <v/>
      </c>
      <c r="Z5" s="2086">
        <f>Z3*0.0016</f>
        <v/>
      </c>
      <c r="AA5" s="2083">
        <f>SUM(O5:Z5)</f>
        <v/>
      </c>
      <c r="AB5" s="2086">
        <f>AB3*0.0016</f>
        <v/>
      </c>
      <c r="AC5" s="2086">
        <f>AC3*0.0016</f>
        <v/>
      </c>
      <c r="AD5" s="2086">
        <f>AD3*0.0016</f>
        <v/>
      </c>
      <c r="AE5" s="2086">
        <f>AE3*0.0016</f>
        <v/>
      </c>
      <c r="AF5" s="2086">
        <f>AF3*0.0016</f>
        <v/>
      </c>
      <c r="AG5" s="2086">
        <f>AG3*0.0016</f>
        <v/>
      </c>
      <c r="AH5" s="2086">
        <f>AH3*0.0016</f>
        <v/>
      </c>
      <c r="AI5" s="2086">
        <f>AI3*0.0016</f>
        <v/>
      </c>
      <c r="AJ5" s="2086">
        <f>AJ3*0.0016</f>
        <v/>
      </c>
      <c r="AK5" s="2086">
        <f>AK3*0.0016</f>
        <v/>
      </c>
      <c r="AL5" s="2086">
        <f>AL3*0.0016</f>
        <v/>
      </c>
      <c r="AM5" s="2086">
        <f>AM3*0.0016</f>
        <v/>
      </c>
      <c r="AN5" s="2083">
        <f>SUM(AB5:AM5)</f>
        <v/>
      </c>
      <c r="AO5" s="2086">
        <f>AO3*0.0016</f>
        <v/>
      </c>
      <c r="AP5" s="2086">
        <f>AP3*0.0016</f>
        <v/>
      </c>
      <c r="AQ5" s="2086">
        <f>AQ3*0.0016</f>
        <v/>
      </c>
      <c r="AR5" s="2086">
        <f>AR3*0.0016</f>
        <v/>
      </c>
      <c r="AS5" s="2086">
        <f>AS3*0.0016</f>
        <v/>
      </c>
      <c r="AT5" s="2086">
        <f>AT3*0.0016</f>
        <v/>
      </c>
      <c r="AU5" s="2086">
        <f>AU3*0.0016</f>
        <v/>
      </c>
      <c r="AV5" s="2086">
        <f>AV3*0.0016</f>
        <v/>
      </c>
      <c r="AW5" s="2086">
        <f>AW3*0.0016</f>
        <v/>
      </c>
      <c r="AX5" s="2086">
        <f>AX3*0.0016</f>
        <v/>
      </c>
      <c r="AY5" s="2086">
        <f>AY3*0.0016</f>
        <v/>
      </c>
      <c r="AZ5" s="2086">
        <f>AZ3*0.0016</f>
        <v/>
      </c>
      <c r="BA5" s="2083">
        <f>SUM(AO5:AZ5)</f>
        <v/>
      </c>
      <c r="BB5" s="2086">
        <f>BB3*0.0016</f>
        <v/>
      </c>
      <c r="BC5" s="2086">
        <f>BC3*0.0016</f>
        <v/>
      </c>
      <c r="BD5" s="2086">
        <f>BD3*0.0016</f>
        <v/>
      </c>
      <c r="BE5" s="2086">
        <f>BE3*0.0016</f>
        <v/>
      </c>
      <c r="BF5" s="2086">
        <f>BF3*0.0016</f>
        <v/>
      </c>
      <c r="BG5" s="2086">
        <f>BG3*0.0016</f>
        <v/>
      </c>
      <c r="BH5" s="2086">
        <f>BH3*0.0016</f>
        <v/>
      </c>
      <c r="BI5" s="2086">
        <f>BI3*0.0016</f>
        <v/>
      </c>
      <c r="BJ5" s="2086">
        <f>BJ3*0.0016</f>
        <v/>
      </c>
      <c r="BK5" s="2086">
        <f>BK3*0.0016</f>
        <v/>
      </c>
      <c r="BL5" s="2086">
        <f>BL3*0.0016</f>
        <v/>
      </c>
      <c r="BM5" s="2086">
        <f>BM3*0.0016</f>
        <v/>
      </c>
      <c r="BN5" s="2083">
        <f>SUM(BB5:BM5)</f>
        <v/>
      </c>
    </row>
    <row r="6" ht="19" customFormat="1" customHeight="1" s="1516">
      <c r="A6" s="1514" t="inlineStr">
        <is>
          <t>Contribution Margin - Our Revenue</t>
        </is>
      </c>
      <c r="B6" s="2085">
        <f>B4-B5</f>
        <v/>
      </c>
      <c r="C6" s="2085">
        <f>C4-C5</f>
        <v/>
      </c>
      <c r="D6" s="2085">
        <f>D4-D5</f>
        <v/>
      </c>
      <c r="E6" s="2085">
        <f>E4-E5</f>
        <v/>
      </c>
      <c r="F6" s="2085">
        <f>F4-F5</f>
        <v/>
      </c>
      <c r="G6" s="2085">
        <f>G4-G5</f>
        <v/>
      </c>
      <c r="H6" s="2085">
        <f>H4-H5</f>
        <v/>
      </c>
      <c r="I6" s="2085">
        <f>I4-I5</f>
        <v/>
      </c>
      <c r="J6" s="2085">
        <f>J4-J5</f>
        <v/>
      </c>
      <c r="K6" s="2085">
        <f>K4-K5</f>
        <v/>
      </c>
      <c r="L6" s="2085">
        <f>L4-L5</f>
        <v/>
      </c>
      <c r="M6" s="2085">
        <f>M4-M5</f>
        <v/>
      </c>
      <c r="N6" s="2085">
        <f>SUM(B6:M6)</f>
        <v/>
      </c>
      <c r="O6" s="2085">
        <f>O4-O5</f>
        <v/>
      </c>
      <c r="P6" s="2085">
        <f>P4-P5</f>
        <v/>
      </c>
      <c r="Q6" s="2085">
        <f>Q4-Q5</f>
        <v/>
      </c>
      <c r="R6" s="2085">
        <f>R4-R5</f>
        <v/>
      </c>
      <c r="S6" s="2085">
        <f>S4-S5</f>
        <v/>
      </c>
      <c r="T6" s="2085">
        <f>T4-T5</f>
        <v/>
      </c>
      <c r="U6" s="2085">
        <f>U4-U5</f>
        <v/>
      </c>
      <c r="V6" s="2085">
        <f>V4-V5</f>
        <v/>
      </c>
      <c r="W6" s="2085">
        <f>W4-W5</f>
        <v/>
      </c>
      <c r="X6" s="2085">
        <f>X4-X5</f>
        <v/>
      </c>
      <c r="Y6" s="2085">
        <f>Y4-Y5</f>
        <v/>
      </c>
      <c r="Z6" s="2085">
        <f>Z4-Z5</f>
        <v/>
      </c>
      <c r="AA6" s="2085">
        <f>SUM(O6:Z6)</f>
        <v/>
      </c>
      <c r="AB6" s="2085">
        <f>AB4-AB5</f>
        <v/>
      </c>
      <c r="AC6" s="2085">
        <f>AC4-AC5</f>
        <v/>
      </c>
      <c r="AD6" s="2085">
        <f>AD4-AD5</f>
        <v/>
      </c>
      <c r="AE6" s="2085">
        <f>AE4-AE5</f>
        <v/>
      </c>
      <c r="AF6" s="2085">
        <f>AF4-AF5</f>
        <v/>
      </c>
      <c r="AG6" s="2085">
        <f>AG4-AG5</f>
        <v/>
      </c>
      <c r="AH6" s="2085">
        <f>AH4-AH5</f>
        <v/>
      </c>
      <c r="AI6" s="2085">
        <f>AI4-AI5</f>
        <v/>
      </c>
      <c r="AJ6" s="2085">
        <f>AJ4-AJ5</f>
        <v/>
      </c>
      <c r="AK6" s="2085">
        <f>AK4-AK5</f>
        <v/>
      </c>
      <c r="AL6" s="2085">
        <f>AL4-AL5</f>
        <v/>
      </c>
      <c r="AM6" s="2085">
        <f>AM4-AM5</f>
        <v/>
      </c>
      <c r="AN6" s="2085">
        <f>SUM(AB6:AM6)</f>
        <v/>
      </c>
      <c r="AO6" s="2085">
        <f>AO4-AO5</f>
        <v/>
      </c>
      <c r="AP6" s="2085">
        <f>AP4-AP5</f>
        <v/>
      </c>
      <c r="AQ6" s="2085">
        <f>AQ4-AQ5</f>
        <v/>
      </c>
      <c r="AR6" s="2085">
        <f>AR4-AR5</f>
        <v/>
      </c>
      <c r="AS6" s="2085">
        <f>AS4-AS5</f>
        <v/>
      </c>
      <c r="AT6" s="2085">
        <f>AT4-AT5</f>
        <v/>
      </c>
      <c r="AU6" s="2085">
        <f>AU4-AU5</f>
        <v/>
      </c>
      <c r="AV6" s="2085">
        <f>AV4-AV5</f>
        <v/>
      </c>
      <c r="AW6" s="2085">
        <f>AW4-AW5</f>
        <v/>
      </c>
      <c r="AX6" s="2085">
        <f>AX4-AX5</f>
        <v/>
      </c>
      <c r="AY6" s="2085">
        <f>AY4-AY5</f>
        <v/>
      </c>
      <c r="AZ6" s="2085">
        <f>AZ4-AZ5</f>
        <v/>
      </c>
      <c r="BA6" s="2085">
        <f>SUM(AO6:AZ6)</f>
        <v/>
      </c>
      <c r="BB6" s="2085">
        <f>BB4-BB5</f>
        <v/>
      </c>
      <c r="BC6" s="2085">
        <f>BC4-BC5</f>
        <v/>
      </c>
      <c r="BD6" s="2085">
        <f>BD4-BD5</f>
        <v/>
      </c>
      <c r="BE6" s="2085">
        <f>BE4-BE5</f>
        <v/>
      </c>
      <c r="BF6" s="2085">
        <f>BF4-BF5</f>
        <v/>
      </c>
      <c r="BG6" s="2085">
        <f>BG4-BG5</f>
        <v/>
      </c>
      <c r="BH6" s="2085">
        <f>BH4-BH5</f>
        <v/>
      </c>
      <c r="BI6" s="2085">
        <f>BI4-BI5</f>
        <v/>
      </c>
      <c r="BJ6" s="2085">
        <f>BJ4-BJ5</f>
        <v/>
      </c>
      <c r="BK6" s="2085">
        <f>BK4-BK5</f>
        <v/>
      </c>
      <c r="BL6" s="2085">
        <f>BL4-BL5</f>
        <v/>
      </c>
      <c r="BM6" s="2085">
        <f>BM4-BM5</f>
        <v/>
      </c>
      <c r="BN6" s="2085">
        <f>SUM(BB6:BM6)</f>
        <v/>
      </c>
    </row>
    <row r="7" ht="19" customFormat="1" customHeight="1" s="1525">
      <c r="A7" s="1524" t="n"/>
    </row>
    <row r="8" ht="19" customFormat="1" customHeight="1" s="1526">
      <c r="A8" s="1512" t="inlineStr">
        <is>
          <t>EXPENSES</t>
        </is>
      </c>
    </row>
    <row r="9" customFormat="1" s="1530">
      <c r="A9" s="1527" t="inlineStr">
        <is>
          <t>Operations Team</t>
        </is>
      </c>
      <c r="B9" s="2087">
        <f>B6*0.05</f>
        <v/>
      </c>
      <c r="C9" s="2087">
        <f>C6*0.05</f>
        <v/>
      </c>
      <c r="D9" s="2087">
        <f>D6*0.05</f>
        <v/>
      </c>
      <c r="E9" s="2087">
        <f>E6*0.05</f>
        <v/>
      </c>
      <c r="F9" s="2087">
        <f>F6*0.05</f>
        <v/>
      </c>
      <c r="G9" s="2087">
        <f>G6*0.05</f>
        <v/>
      </c>
      <c r="H9" s="2087">
        <f>H6*0.05</f>
        <v/>
      </c>
      <c r="I9" s="2087">
        <f>I6*0.05</f>
        <v/>
      </c>
      <c r="J9" s="2087">
        <f>J6*0.05</f>
        <v/>
      </c>
      <c r="K9" s="2087">
        <f>K6*0.05</f>
        <v/>
      </c>
      <c r="L9" s="2087">
        <f>L6*0.05</f>
        <v/>
      </c>
      <c r="M9" s="2087">
        <f>M6*0.05</f>
        <v/>
      </c>
      <c r="N9" s="2088">
        <f>SUM(B9:M9)</f>
        <v/>
      </c>
      <c r="O9" s="2087">
        <f>O6*0.05</f>
        <v/>
      </c>
      <c r="P9" s="2087">
        <f>P6*0.05</f>
        <v/>
      </c>
      <c r="Q9" s="2087">
        <f>Q6*0.05</f>
        <v/>
      </c>
      <c r="R9" s="2087">
        <f>R6*0.05</f>
        <v/>
      </c>
      <c r="S9" s="2087">
        <f>S6*0.05</f>
        <v/>
      </c>
      <c r="T9" s="2087">
        <f>T6*0.05</f>
        <v/>
      </c>
      <c r="U9" s="2087">
        <f>U6*0.05</f>
        <v/>
      </c>
      <c r="V9" s="2087">
        <f>V6*0.05</f>
        <v/>
      </c>
      <c r="W9" s="2087">
        <f>W6*0.05</f>
        <v/>
      </c>
      <c r="X9" s="2087">
        <f>X6*0.05</f>
        <v/>
      </c>
      <c r="Y9" s="2087">
        <f>Y6*0.05</f>
        <v/>
      </c>
      <c r="Z9" s="2087">
        <f>Z6*0.05</f>
        <v/>
      </c>
      <c r="AA9" s="2088">
        <f>SUM(O9:Z9)</f>
        <v/>
      </c>
      <c r="AB9" s="2087">
        <f>AB6*0.05</f>
        <v/>
      </c>
      <c r="AC9" s="2087">
        <f>AC6*0.05</f>
        <v/>
      </c>
      <c r="AD9" s="2087">
        <f>AD6*0.05</f>
        <v/>
      </c>
      <c r="AE9" s="2087">
        <f>AE6*0.05</f>
        <v/>
      </c>
      <c r="AF9" s="2087">
        <f>AF6*0.05</f>
        <v/>
      </c>
      <c r="AG9" s="2087">
        <f>AG6*0.05</f>
        <v/>
      </c>
      <c r="AH9" s="2087">
        <f>AH6*0.05</f>
        <v/>
      </c>
      <c r="AI9" s="2087">
        <f>AI6*0.05</f>
        <v/>
      </c>
      <c r="AJ9" s="2087">
        <f>AJ6*0.05</f>
        <v/>
      </c>
      <c r="AK9" s="2087">
        <f>AK6*0.05</f>
        <v/>
      </c>
      <c r="AL9" s="2087">
        <f>AL6*0.05</f>
        <v/>
      </c>
      <c r="AM9" s="2087">
        <f>AM6*0.05</f>
        <v/>
      </c>
      <c r="AN9" s="2088">
        <f>SUM(AB9:AM9)</f>
        <v/>
      </c>
      <c r="AO9" s="2087">
        <f>AO6*0.05</f>
        <v/>
      </c>
      <c r="AP9" s="2087">
        <f>AP6*0.05</f>
        <v/>
      </c>
      <c r="AQ9" s="2087">
        <f>AQ6*0.05</f>
        <v/>
      </c>
      <c r="AR9" s="2087">
        <f>AR6*0.05</f>
        <v/>
      </c>
      <c r="AS9" s="2087">
        <f>AS6*0.05</f>
        <v/>
      </c>
      <c r="AT9" s="2087">
        <f>AT6*0.05</f>
        <v/>
      </c>
      <c r="AU9" s="2087">
        <f>AU6*0.05</f>
        <v/>
      </c>
      <c r="AV9" s="2087">
        <f>AV6*0.05</f>
        <v/>
      </c>
      <c r="AW9" s="2087">
        <f>AW6*0.05</f>
        <v/>
      </c>
      <c r="AX9" s="2087">
        <f>AX6*0.05</f>
        <v/>
      </c>
      <c r="AY9" s="2087">
        <f>AY6*0.05</f>
        <v/>
      </c>
      <c r="AZ9" s="2087">
        <f>AZ6*0.05</f>
        <v/>
      </c>
      <c r="BA9" s="2088">
        <f>SUM(AO9:AZ9)</f>
        <v/>
      </c>
      <c r="BB9" s="2087">
        <f>BB6*0.05</f>
        <v/>
      </c>
      <c r="BC9" s="2087">
        <f>BC6*0.05</f>
        <v/>
      </c>
      <c r="BD9" s="2087">
        <f>BD6*0.05</f>
        <v/>
      </c>
      <c r="BE9" s="2087">
        <f>BE6*0.05</f>
        <v/>
      </c>
      <c r="BF9" s="2087">
        <f>BF6*0.05</f>
        <v/>
      </c>
      <c r="BG9" s="2087">
        <f>BG6*0.05</f>
        <v/>
      </c>
      <c r="BH9" s="2087">
        <f>BH6*0.05</f>
        <v/>
      </c>
      <c r="BI9" s="2087">
        <f>BI6*0.05</f>
        <v/>
      </c>
      <c r="BJ9" s="2087">
        <f>BJ6*0.05</f>
        <v/>
      </c>
      <c r="BK9" s="2087">
        <f>BK6*0.05</f>
        <v/>
      </c>
      <c r="BL9" s="2087">
        <f>BL6*0.05</f>
        <v/>
      </c>
      <c r="BM9" s="2087">
        <f>BM6*0.05</f>
        <v/>
      </c>
      <c r="BN9" s="2088">
        <f>SUM(BB9:BM9)</f>
        <v/>
      </c>
    </row>
    <row r="10">
      <c r="A10" s="1531" t="inlineStr">
        <is>
          <t>Admin &amp; Support Team</t>
        </is>
      </c>
      <c r="B10" s="2086">
        <f>B6*0.05</f>
        <v/>
      </c>
      <c r="C10" s="2086">
        <f>C6*0.05</f>
        <v/>
      </c>
      <c r="D10" s="2086">
        <f>D6*0.05</f>
        <v/>
      </c>
      <c r="E10" s="2086">
        <f>E6*0.05</f>
        <v/>
      </c>
      <c r="F10" s="2086">
        <f>F6*0.05</f>
        <v/>
      </c>
      <c r="G10" s="2086">
        <f>G6*0.05</f>
        <v/>
      </c>
      <c r="H10" s="2086">
        <f>H6*0.05</f>
        <v/>
      </c>
      <c r="I10" s="2086">
        <f>I6*0.05</f>
        <v/>
      </c>
      <c r="J10" s="2086">
        <f>J6*0.05</f>
        <v/>
      </c>
      <c r="K10" s="2086">
        <f>K6*0.05</f>
        <v/>
      </c>
      <c r="L10" s="2086">
        <f>L6*0.05</f>
        <v/>
      </c>
      <c r="M10" s="2086">
        <f>M6*0.05</f>
        <v/>
      </c>
      <c r="N10" s="2083">
        <f>SUM(B10:M10)</f>
        <v/>
      </c>
      <c r="O10" s="2086">
        <f>O6*0.05</f>
        <v/>
      </c>
      <c r="P10" s="2086">
        <f>P6*0.05</f>
        <v/>
      </c>
      <c r="Q10" s="2086">
        <f>Q6*0.05</f>
        <v/>
      </c>
      <c r="R10" s="2086">
        <f>R6*0.05</f>
        <v/>
      </c>
      <c r="S10" s="2086">
        <f>S6*0.05</f>
        <v/>
      </c>
      <c r="T10" s="2086">
        <f>T6*0.05</f>
        <v/>
      </c>
      <c r="U10" s="2086">
        <f>U6*0.05</f>
        <v/>
      </c>
      <c r="V10" s="2086">
        <f>V6*0.05</f>
        <v/>
      </c>
      <c r="W10" s="2086">
        <f>W6*0.05</f>
        <v/>
      </c>
      <c r="X10" s="2086">
        <f>X6*0.05</f>
        <v/>
      </c>
      <c r="Y10" s="2086">
        <f>Y6*0.05</f>
        <v/>
      </c>
      <c r="Z10" s="2086">
        <f>Z6*0.05</f>
        <v/>
      </c>
      <c r="AA10" s="2083">
        <f>SUM(O10:Z10)</f>
        <v/>
      </c>
      <c r="AB10" s="2086">
        <f>AB6*0.05</f>
        <v/>
      </c>
      <c r="AC10" s="2086">
        <f>AC6*0.05</f>
        <v/>
      </c>
      <c r="AD10" s="2086">
        <f>AD6*0.05</f>
        <v/>
      </c>
      <c r="AE10" s="2086">
        <f>AE6*0.05</f>
        <v/>
      </c>
      <c r="AF10" s="2086">
        <f>AF6*0.05</f>
        <v/>
      </c>
      <c r="AG10" s="2086">
        <f>AG6*0.05</f>
        <v/>
      </c>
      <c r="AH10" s="2086">
        <f>AH6*0.05</f>
        <v/>
      </c>
      <c r="AI10" s="2086">
        <f>AI6*0.05</f>
        <v/>
      </c>
      <c r="AJ10" s="2086">
        <f>AJ6*0.05</f>
        <v/>
      </c>
      <c r="AK10" s="2086">
        <f>AK6*0.05</f>
        <v/>
      </c>
      <c r="AL10" s="2086">
        <f>AL6*0.05</f>
        <v/>
      </c>
      <c r="AM10" s="2086">
        <f>AM6*0.05</f>
        <v/>
      </c>
      <c r="AN10" s="2083">
        <f>SUM(AB10:AM10)</f>
        <v/>
      </c>
      <c r="AO10" s="2086">
        <f>AO6*0.05</f>
        <v/>
      </c>
      <c r="AP10" s="2086">
        <f>AP6*0.05</f>
        <v/>
      </c>
      <c r="AQ10" s="2086">
        <f>AQ6*0.05</f>
        <v/>
      </c>
      <c r="AR10" s="2086">
        <f>AR6*0.05</f>
        <v/>
      </c>
      <c r="AS10" s="2086">
        <f>AS6*0.05</f>
        <v/>
      </c>
      <c r="AT10" s="2086">
        <f>AT6*0.05</f>
        <v/>
      </c>
      <c r="AU10" s="2086">
        <f>AU6*0.05</f>
        <v/>
      </c>
      <c r="AV10" s="2086">
        <f>AV6*0.05</f>
        <v/>
      </c>
      <c r="AW10" s="2086">
        <f>AW6*0.05</f>
        <v/>
      </c>
      <c r="AX10" s="2086">
        <f>AX6*0.05</f>
        <v/>
      </c>
      <c r="AY10" s="2086">
        <f>AY6*0.05</f>
        <v/>
      </c>
      <c r="AZ10" s="2086">
        <f>AZ6*0.05</f>
        <v/>
      </c>
      <c r="BA10" s="2083">
        <f>SUM(AO10:AZ10)</f>
        <v/>
      </c>
      <c r="BB10" s="2086">
        <f>BB6*0.05</f>
        <v/>
      </c>
      <c r="BC10" s="2086">
        <f>BC6*0.05</f>
        <v/>
      </c>
      <c r="BD10" s="2086">
        <f>BD6*0.05</f>
        <v/>
      </c>
      <c r="BE10" s="2086">
        <f>BE6*0.05</f>
        <v/>
      </c>
      <c r="BF10" s="2086">
        <f>BF6*0.05</f>
        <v/>
      </c>
      <c r="BG10" s="2086">
        <f>BG6*0.05</f>
        <v/>
      </c>
      <c r="BH10" s="2086">
        <f>BH6*0.05</f>
        <v/>
      </c>
      <c r="BI10" s="2086">
        <f>BI6*0.05</f>
        <v/>
      </c>
      <c r="BJ10" s="2086">
        <f>BJ6*0.05</f>
        <v/>
      </c>
      <c r="BK10" s="2086">
        <f>BK6*0.05</f>
        <v/>
      </c>
      <c r="BL10" s="2086">
        <f>BL6*0.05</f>
        <v/>
      </c>
      <c r="BM10" s="2086">
        <f>BM6*0.05</f>
        <v/>
      </c>
      <c r="BN10" s="2083">
        <f>SUM(BB10:BM10)</f>
        <v/>
      </c>
    </row>
    <row r="11" customFormat="1" s="1530">
      <c r="A11" s="1527" t="inlineStr">
        <is>
          <t>Data Science/AI/ML Team*</t>
        </is>
      </c>
      <c r="B11" s="2087">
        <f>B6*0.05</f>
        <v/>
      </c>
      <c r="C11" s="2087">
        <f>C6*0.05</f>
        <v/>
      </c>
      <c r="D11" s="2087">
        <f>D6*0.05</f>
        <v/>
      </c>
      <c r="E11" s="2087">
        <f>E6*0.05</f>
        <v/>
      </c>
      <c r="F11" s="2087">
        <f>F6*0.05</f>
        <v/>
      </c>
      <c r="G11" s="2087">
        <f>G6*0.05</f>
        <v/>
      </c>
      <c r="H11" s="2087">
        <f>H6*0.05</f>
        <v/>
      </c>
      <c r="I11" s="2087">
        <f>I6*0.05</f>
        <v/>
      </c>
      <c r="J11" s="2087">
        <f>J6*0.05</f>
        <v/>
      </c>
      <c r="K11" s="2087">
        <f>K6*0.05</f>
        <v/>
      </c>
      <c r="L11" s="2087">
        <f>L6*0.05</f>
        <v/>
      </c>
      <c r="M11" s="2087">
        <f>M6*0.05</f>
        <v/>
      </c>
      <c r="N11" s="2088">
        <f>SUM(B11:M11)</f>
        <v/>
      </c>
      <c r="O11" s="2087">
        <f>O6*0.05</f>
        <v/>
      </c>
      <c r="P11" s="2087">
        <f>P6*0.05</f>
        <v/>
      </c>
      <c r="Q11" s="2087">
        <f>Q6*0.05</f>
        <v/>
      </c>
      <c r="R11" s="2087">
        <f>R6*0.05</f>
        <v/>
      </c>
      <c r="S11" s="2087">
        <f>S6*0.05</f>
        <v/>
      </c>
      <c r="T11" s="2087">
        <f>T6*0.05</f>
        <v/>
      </c>
      <c r="U11" s="2087">
        <f>U6*0.05</f>
        <v/>
      </c>
      <c r="V11" s="2087">
        <f>V6*0.05</f>
        <v/>
      </c>
      <c r="W11" s="2087">
        <f>W6*0.05</f>
        <v/>
      </c>
      <c r="X11" s="2087">
        <f>X6*0.05</f>
        <v/>
      </c>
      <c r="Y11" s="2087">
        <f>Y6*0.05</f>
        <v/>
      </c>
      <c r="Z11" s="2087">
        <f>Z6*0.05</f>
        <v/>
      </c>
      <c r="AA11" s="2088">
        <f>SUM(O11:Z11)</f>
        <v/>
      </c>
      <c r="AB11" s="2087">
        <f>AB6*0.05</f>
        <v/>
      </c>
      <c r="AC11" s="2087">
        <f>AC6*0.05</f>
        <v/>
      </c>
      <c r="AD11" s="2087">
        <f>AD6*0.05</f>
        <v/>
      </c>
      <c r="AE11" s="2087">
        <f>AE6*0.05</f>
        <v/>
      </c>
      <c r="AF11" s="2087">
        <f>AF6*0.05</f>
        <v/>
      </c>
      <c r="AG11" s="2087">
        <f>AG6*0.05</f>
        <v/>
      </c>
      <c r="AH11" s="2087">
        <f>AH6*0.05</f>
        <v/>
      </c>
      <c r="AI11" s="2087">
        <f>AI6*0.05</f>
        <v/>
      </c>
      <c r="AJ11" s="2087">
        <f>AJ6*0.05</f>
        <v/>
      </c>
      <c r="AK11" s="2087">
        <f>AK6*0.05</f>
        <v/>
      </c>
      <c r="AL11" s="2087">
        <f>AL6*0.05</f>
        <v/>
      </c>
      <c r="AM11" s="2087">
        <f>AM6*0.05</f>
        <v/>
      </c>
      <c r="AN11" s="2088">
        <f>SUM(AB11:AM11)</f>
        <v/>
      </c>
      <c r="AO11" s="2087">
        <f>AO6*0.05</f>
        <v/>
      </c>
      <c r="AP11" s="2087">
        <f>AP6*0.05</f>
        <v/>
      </c>
      <c r="AQ11" s="2087">
        <f>AQ6*0.05</f>
        <v/>
      </c>
      <c r="AR11" s="2087">
        <f>AR6*0.05</f>
        <v/>
      </c>
      <c r="AS11" s="2087">
        <f>AS6*0.05</f>
        <v/>
      </c>
      <c r="AT11" s="2087">
        <f>AT6*0.05</f>
        <v/>
      </c>
      <c r="AU11" s="2087">
        <f>AU6*0.05</f>
        <v/>
      </c>
      <c r="AV11" s="2087">
        <f>AV6*0.05</f>
        <v/>
      </c>
      <c r="AW11" s="2087">
        <f>AW6*0.05</f>
        <v/>
      </c>
      <c r="AX11" s="2087">
        <f>AX6*0.05</f>
        <v/>
      </c>
      <c r="AY11" s="2087">
        <f>AY6*0.05</f>
        <v/>
      </c>
      <c r="AZ11" s="2087">
        <f>AZ6*0.05</f>
        <v/>
      </c>
      <c r="BA11" s="2088">
        <f>SUM(AO11:AZ11)</f>
        <v/>
      </c>
      <c r="BB11" s="2087">
        <f>BB6*0.05</f>
        <v/>
      </c>
      <c r="BC11" s="2087">
        <f>BC6*0.05</f>
        <v/>
      </c>
      <c r="BD11" s="2087">
        <f>BD6*0.05</f>
        <v/>
      </c>
      <c r="BE11" s="2087">
        <f>BE6*0.05</f>
        <v/>
      </c>
      <c r="BF11" s="2087">
        <f>BF6*0.05</f>
        <v/>
      </c>
      <c r="BG11" s="2087">
        <f>BG6*0.05</f>
        <v/>
      </c>
      <c r="BH11" s="2087">
        <f>BH6*0.05</f>
        <v/>
      </c>
      <c r="BI11" s="2087">
        <f>BI6*0.05</f>
        <v/>
      </c>
      <c r="BJ11" s="2087">
        <f>BJ6*0.05</f>
        <v/>
      </c>
      <c r="BK11" s="2087">
        <f>BK6*0.05</f>
        <v/>
      </c>
      <c r="BL11" s="2087">
        <f>BL6*0.05</f>
        <v/>
      </c>
      <c r="BM11" s="2087">
        <f>BM6*0.05</f>
        <v/>
      </c>
      <c r="BN11" s="2088">
        <f>SUM(BB11:BM11)</f>
        <v/>
      </c>
    </row>
    <row r="12">
      <c r="A12" s="1531" t="inlineStr">
        <is>
          <t>Business Development &amp; Commercial Team</t>
        </is>
      </c>
      <c r="B12" s="2086">
        <f>B6*0.1</f>
        <v/>
      </c>
      <c r="C12" s="2086">
        <f>C6*0.1</f>
        <v/>
      </c>
      <c r="D12" s="2086">
        <f>D6*0.1</f>
        <v/>
      </c>
      <c r="E12" s="2086">
        <f>E6*0.1</f>
        <v/>
      </c>
      <c r="F12" s="2086">
        <f>F6*0.1</f>
        <v/>
      </c>
      <c r="G12" s="2086">
        <f>G6*0.1</f>
        <v/>
      </c>
      <c r="H12" s="2086">
        <f>H6*0.1</f>
        <v/>
      </c>
      <c r="I12" s="2086">
        <f>I6*0.1</f>
        <v/>
      </c>
      <c r="J12" s="2086">
        <f>J6*0.1</f>
        <v/>
      </c>
      <c r="K12" s="2086">
        <f>K6*0.1</f>
        <v/>
      </c>
      <c r="L12" s="2086">
        <f>L6*0.1</f>
        <v/>
      </c>
      <c r="M12" s="2086">
        <f>M6*0.1</f>
        <v/>
      </c>
      <c r="N12" s="2083">
        <f>SUM(B12:M12)</f>
        <v/>
      </c>
      <c r="O12" s="2086">
        <f>O6*0.1</f>
        <v/>
      </c>
      <c r="P12" s="2086">
        <f>P6*0.1</f>
        <v/>
      </c>
      <c r="Q12" s="2086">
        <f>Q6*0.1</f>
        <v/>
      </c>
      <c r="R12" s="2086">
        <f>R6*0.1</f>
        <v/>
      </c>
      <c r="S12" s="2086">
        <f>S6*0.1</f>
        <v/>
      </c>
      <c r="T12" s="2086">
        <f>T6*0.1</f>
        <v/>
      </c>
      <c r="U12" s="2086">
        <f>U6*0.1</f>
        <v/>
      </c>
      <c r="V12" s="2086">
        <f>V6*0.1</f>
        <v/>
      </c>
      <c r="W12" s="2086">
        <f>W6*0.1</f>
        <v/>
      </c>
      <c r="X12" s="2086">
        <f>X6*0.1</f>
        <v/>
      </c>
      <c r="Y12" s="2086">
        <f>Y6*0.1</f>
        <v/>
      </c>
      <c r="Z12" s="2086">
        <f>Z6*0.1</f>
        <v/>
      </c>
      <c r="AA12" s="2083">
        <f>SUM(O12:Z12)</f>
        <v/>
      </c>
      <c r="AB12" s="2086">
        <f>AB6*0.1</f>
        <v/>
      </c>
      <c r="AC12" s="2086">
        <f>AC6*0.1</f>
        <v/>
      </c>
      <c r="AD12" s="2086">
        <f>AD6*0.1</f>
        <v/>
      </c>
      <c r="AE12" s="2086">
        <f>AE6*0.1</f>
        <v/>
      </c>
      <c r="AF12" s="2086">
        <f>AF6*0.1</f>
        <v/>
      </c>
      <c r="AG12" s="2086">
        <f>AG6*0.1</f>
        <v/>
      </c>
      <c r="AH12" s="2086">
        <f>AH6*0.1</f>
        <v/>
      </c>
      <c r="AI12" s="2086">
        <f>AI6*0.1</f>
        <v/>
      </c>
      <c r="AJ12" s="2086">
        <f>AJ6*0.1</f>
        <v/>
      </c>
      <c r="AK12" s="2086">
        <f>AK6*0.1</f>
        <v/>
      </c>
      <c r="AL12" s="2086">
        <f>AL6*0.1</f>
        <v/>
      </c>
      <c r="AM12" s="2086">
        <f>AM6*0.1</f>
        <v/>
      </c>
      <c r="AN12" s="2083">
        <f>SUM(AB12:AM12)</f>
        <v/>
      </c>
      <c r="AO12" s="2086">
        <f>AO6*0.1</f>
        <v/>
      </c>
      <c r="AP12" s="2086">
        <f>AP6*0.1</f>
        <v/>
      </c>
      <c r="AQ12" s="2086">
        <f>AQ6*0.1</f>
        <v/>
      </c>
      <c r="AR12" s="2086">
        <f>AR6*0.1</f>
        <v/>
      </c>
      <c r="AS12" s="2086">
        <f>AS6*0.1</f>
        <v/>
      </c>
      <c r="AT12" s="2086">
        <f>AT6*0.1</f>
        <v/>
      </c>
      <c r="AU12" s="2086">
        <f>AU6*0.1</f>
        <v/>
      </c>
      <c r="AV12" s="2086">
        <f>AV6*0.1</f>
        <v/>
      </c>
      <c r="AW12" s="2086">
        <f>AW6*0.1</f>
        <v/>
      </c>
      <c r="AX12" s="2086">
        <f>AX6*0.1</f>
        <v/>
      </c>
      <c r="AY12" s="2086">
        <f>AY6*0.1</f>
        <v/>
      </c>
      <c r="AZ12" s="2086">
        <f>AZ6*0.1</f>
        <v/>
      </c>
      <c r="BA12" s="2083">
        <f>SUM(AO12:AZ12)</f>
        <v/>
      </c>
      <c r="BB12" s="2086">
        <f>BB6*0.1</f>
        <v/>
      </c>
      <c r="BC12" s="2086">
        <f>BC6*0.1</f>
        <v/>
      </c>
      <c r="BD12" s="2086">
        <f>BD6*0.1</f>
        <v/>
      </c>
      <c r="BE12" s="2086">
        <f>BE6*0.1</f>
        <v/>
      </c>
      <c r="BF12" s="2086">
        <f>BF6*0.1</f>
        <v/>
      </c>
      <c r="BG12" s="2086">
        <f>BG6*0.1</f>
        <v/>
      </c>
      <c r="BH12" s="2086">
        <f>BH6*0.1</f>
        <v/>
      </c>
      <c r="BI12" s="2086">
        <f>BI6*0.1</f>
        <v/>
      </c>
      <c r="BJ12" s="2086">
        <f>BJ6*0.1</f>
        <v/>
      </c>
      <c r="BK12" s="2086">
        <f>BK6*0.1</f>
        <v/>
      </c>
      <c r="BL12" s="2086">
        <f>BL6*0.1</f>
        <v/>
      </c>
      <c r="BM12" s="2086">
        <f>BM6*0.1</f>
        <v/>
      </c>
      <c r="BN12" s="2083">
        <f>SUM(BB12:BM12)</f>
        <v/>
      </c>
    </row>
    <row r="13" customFormat="1" s="1530">
      <c r="A13" s="1527" t="inlineStr">
        <is>
          <t>Software Development Team + R&amp;D - Internal</t>
        </is>
      </c>
      <c r="B13" s="2087">
        <f>B6*0.1</f>
        <v/>
      </c>
      <c r="C13" s="2087">
        <f>C6*0.1</f>
        <v/>
      </c>
      <c r="D13" s="2087">
        <f>D6*0.1</f>
        <v/>
      </c>
      <c r="E13" s="2087">
        <f>E6*0.1</f>
        <v/>
      </c>
      <c r="F13" s="2087">
        <f>F6*0.1</f>
        <v/>
      </c>
      <c r="G13" s="2087">
        <f>G6*0.1</f>
        <v/>
      </c>
      <c r="H13" s="2087">
        <f>H6*0.1</f>
        <v/>
      </c>
      <c r="I13" s="2087">
        <f>I6*0.1</f>
        <v/>
      </c>
      <c r="J13" s="2087">
        <f>J6*0.1</f>
        <v/>
      </c>
      <c r="K13" s="2087">
        <f>K6*0.1</f>
        <v/>
      </c>
      <c r="L13" s="2087">
        <f>L6*0.1</f>
        <v/>
      </c>
      <c r="M13" s="2087">
        <f>M6*0.1</f>
        <v/>
      </c>
      <c r="N13" s="2088">
        <f>SUM(B13:M13)</f>
        <v/>
      </c>
      <c r="O13" s="2087">
        <f>O6*0.1</f>
        <v/>
      </c>
      <c r="P13" s="2087">
        <f>P6*0.1</f>
        <v/>
      </c>
      <c r="Q13" s="2087">
        <f>Q6*0.1</f>
        <v/>
      </c>
      <c r="R13" s="2087">
        <f>R6*0.1</f>
        <v/>
      </c>
      <c r="S13" s="2087">
        <f>S6*0.1</f>
        <v/>
      </c>
      <c r="T13" s="2087">
        <f>T6*0.1</f>
        <v/>
      </c>
      <c r="U13" s="2087">
        <f>U6*0.1</f>
        <v/>
      </c>
      <c r="V13" s="2087">
        <f>V6*0.1</f>
        <v/>
      </c>
      <c r="W13" s="2087">
        <f>W6*0.1</f>
        <v/>
      </c>
      <c r="X13" s="2087">
        <f>X6*0.1</f>
        <v/>
      </c>
      <c r="Y13" s="2087">
        <f>Y6*0.1</f>
        <v/>
      </c>
      <c r="Z13" s="2087">
        <f>Z6*0.1</f>
        <v/>
      </c>
      <c r="AA13" s="2088">
        <f>SUM(O13:Z13)</f>
        <v/>
      </c>
      <c r="AB13" s="2087">
        <f>AB6*0.1</f>
        <v/>
      </c>
      <c r="AC13" s="2087">
        <f>AC6*0.1</f>
        <v/>
      </c>
      <c r="AD13" s="2087">
        <f>AD6*0.1</f>
        <v/>
      </c>
      <c r="AE13" s="2087">
        <f>AE6*0.1</f>
        <v/>
      </c>
      <c r="AF13" s="2087">
        <f>AF6*0.1</f>
        <v/>
      </c>
      <c r="AG13" s="2087">
        <f>AG6*0.1</f>
        <v/>
      </c>
      <c r="AH13" s="2087">
        <f>AH6*0.1</f>
        <v/>
      </c>
      <c r="AI13" s="2087">
        <f>AI6*0.1</f>
        <v/>
      </c>
      <c r="AJ13" s="2087">
        <f>AJ6*0.1</f>
        <v/>
      </c>
      <c r="AK13" s="2087">
        <f>AK6*0.1</f>
        <v/>
      </c>
      <c r="AL13" s="2087">
        <f>AL6*0.1</f>
        <v/>
      </c>
      <c r="AM13" s="2087">
        <f>AM6*0.1</f>
        <v/>
      </c>
      <c r="AN13" s="2088">
        <f>SUM(AB13:AM13)</f>
        <v/>
      </c>
      <c r="AO13" s="2087">
        <f>AO6*0.1</f>
        <v/>
      </c>
      <c r="AP13" s="2087">
        <f>AP6*0.1</f>
        <v/>
      </c>
      <c r="AQ13" s="2087">
        <f>AQ6*0.1</f>
        <v/>
      </c>
      <c r="AR13" s="2087">
        <f>AR6*0.1</f>
        <v/>
      </c>
      <c r="AS13" s="2087">
        <f>AS6*0.1</f>
        <v/>
      </c>
      <c r="AT13" s="2087">
        <f>AT6*0.1</f>
        <v/>
      </c>
      <c r="AU13" s="2087">
        <f>AU6*0.1</f>
        <v/>
      </c>
      <c r="AV13" s="2087">
        <f>AV6*0.1</f>
        <v/>
      </c>
      <c r="AW13" s="2087">
        <f>AW6*0.1</f>
        <v/>
      </c>
      <c r="AX13" s="2087">
        <f>AX6*0.1</f>
        <v/>
      </c>
      <c r="AY13" s="2087">
        <f>AY6*0.1</f>
        <v/>
      </c>
      <c r="AZ13" s="2087">
        <f>AZ6*0.1</f>
        <v/>
      </c>
      <c r="BA13" s="2088">
        <f>SUM(AO13:AZ13)</f>
        <v/>
      </c>
      <c r="BB13" s="2087">
        <f>BB6*0.1</f>
        <v/>
      </c>
      <c r="BC13" s="2087">
        <f>BC6*0.1</f>
        <v/>
      </c>
      <c r="BD13" s="2087">
        <f>BD6*0.1</f>
        <v/>
      </c>
      <c r="BE13" s="2087">
        <f>BE6*0.1</f>
        <v/>
      </c>
      <c r="BF13" s="2087">
        <f>BF6*0.1</f>
        <v/>
      </c>
      <c r="BG13" s="2087">
        <f>BG6*0.1</f>
        <v/>
      </c>
      <c r="BH13" s="2087">
        <f>BH6*0.1</f>
        <v/>
      </c>
      <c r="BI13" s="2087">
        <f>BI6*0.1</f>
        <v/>
      </c>
      <c r="BJ13" s="2087">
        <f>BJ6*0.1</f>
        <v/>
      </c>
      <c r="BK13" s="2087">
        <f>BK6*0.1</f>
        <v/>
      </c>
      <c r="BL13" s="2087">
        <f>BL6*0.1</f>
        <v/>
      </c>
      <c r="BM13" s="2087">
        <f>BM6*0.1</f>
        <v/>
      </c>
      <c r="BN13" s="2088">
        <f>SUM(BB13:BM13)</f>
        <v/>
      </c>
    </row>
    <row r="14">
      <c r="A14" s="1531" t="inlineStr">
        <is>
          <t>Quality Control/Assurance Engineers</t>
        </is>
      </c>
      <c r="B14" s="2086">
        <f>B6*0.05</f>
        <v/>
      </c>
      <c r="C14" s="2086">
        <f>C6*0.05</f>
        <v/>
      </c>
      <c r="D14" s="2086">
        <f>D6*0.05</f>
        <v/>
      </c>
      <c r="E14" s="2086">
        <f>E6*0.05</f>
        <v/>
      </c>
      <c r="F14" s="2086">
        <f>F6*0.05</f>
        <v/>
      </c>
      <c r="G14" s="2086">
        <f>G6*0.05</f>
        <v/>
      </c>
      <c r="H14" s="2086">
        <f>H6*0.05</f>
        <v/>
      </c>
      <c r="I14" s="2086">
        <f>I6*0.05</f>
        <v/>
      </c>
      <c r="J14" s="2086">
        <f>J6*0.05</f>
        <v/>
      </c>
      <c r="K14" s="2086">
        <f>K6*0.05</f>
        <v/>
      </c>
      <c r="L14" s="2086">
        <f>L6*0.05</f>
        <v/>
      </c>
      <c r="M14" s="2086">
        <f>M6*0.05</f>
        <v/>
      </c>
      <c r="N14" s="2083">
        <f>SUM(B14:M14)</f>
        <v/>
      </c>
      <c r="O14" s="2086">
        <f>O6*0.05</f>
        <v/>
      </c>
      <c r="P14" s="2086">
        <f>P6*0.05</f>
        <v/>
      </c>
      <c r="Q14" s="2086">
        <f>Q6*0.05</f>
        <v/>
      </c>
      <c r="R14" s="2086">
        <f>R6*0.05</f>
        <v/>
      </c>
      <c r="S14" s="2086">
        <f>S6*0.05</f>
        <v/>
      </c>
      <c r="T14" s="2086">
        <f>T6*0.05</f>
        <v/>
      </c>
      <c r="U14" s="2086">
        <f>U6*0.05</f>
        <v/>
      </c>
      <c r="V14" s="2086">
        <f>V6*0.05</f>
        <v/>
      </c>
      <c r="W14" s="2086">
        <f>W6*0.05</f>
        <v/>
      </c>
      <c r="X14" s="2086">
        <f>X6*0.05</f>
        <v/>
      </c>
      <c r="Y14" s="2086">
        <f>Y6*0.05</f>
        <v/>
      </c>
      <c r="Z14" s="2086">
        <f>Z6*0.05</f>
        <v/>
      </c>
      <c r="AA14" s="2083">
        <f>SUM(O14:Z14)</f>
        <v/>
      </c>
      <c r="AB14" s="2086">
        <f>AB6*0.05</f>
        <v/>
      </c>
      <c r="AC14" s="2086">
        <f>AC6*0.05</f>
        <v/>
      </c>
      <c r="AD14" s="2086">
        <f>AD6*0.05</f>
        <v/>
      </c>
      <c r="AE14" s="2086">
        <f>AE6*0.05</f>
        <v/>
      </c>
      <c r="AF14" s="2086">
        <f>AF6*0.05</f>
        <v/>
      </c>
      <c r="AG14" s="2086">
        <f>AG6*0.05</f>
        <v/>
      </c>
      <c r="AH14" s="2086">
        <f>AH6*0.05</f>
        <v/>
      </c>
      <c r="AI14" s="2086">
        <f>AI6*0.05</f>
        <v/>
      </c>
      <c r="AJ14" s="2086">
        <f>AJ6*0.05</f>
        <v/>
      </c>
      <c r="AK14" s="2086">
        <f>AK6*0.05</f>
        <v/>
      </c>
      <c r="AL14" s="2086">
        <f>AL6*0.05</f>
        <v/>
      </c>
      <c r="AM14" s="2086">
        <f>AM6*0.05</f>
        <v/>
      </c>
      <c r="AN14" s="2083">
        <f>SUM(AB14:AM14)</f>
        <v/>
      </c>
      <c r="AO14" s="2086">
        <f>AO6*0.05</f>
        <v/>
      </c>
      <c r="AP14" s="2086">
        <f>AP6*0.05</f>
        <v/>
      </c>
      <c r="AQ14" s="2086">
        <f>AQ6*0.05</f>
        <v/>
      </c>
      <c r="AR14" s="2086">
        <f>AR6*0.05</f>
        <v/>
      </c>
      <c r="AS14" s="2086">
        <f>AS6*0.05</f>
        <v/>
      </c>
      <c r="AT14" s="2086">
        <f>AT6*0.05</f>
        <v/>
      </c>
      <c r="AU14" s="2086">
        <f>AU6*0.05</f>
        <v/>
      </c>
      <c r="AV14" s="2086">
        <f>AV6*0.05</f>
        <v/>
      </c>
      <c r="AW14" s="2086">
        <f>AW6*0.05</f>
        <v/>
      </c>
      <c r="AX14" s="2086">
        <f>AX6*0.05</f>
        <v/>
      </c>
      <c r="AY14" s="2086">
        <f>AY6*0.05</f>
        <v/>
      </c>
      <c r="AZ14" s="2086">
        <f>AZ6*0.05</f>
        <v/>
      </c>
      <c r="BA14" s="2083">
        <f>SUM(AO14:AZ14)</f>
        <v/>
      </c>
      <c r="BB14" s="2086">
        <f>BB6*0.05</f>
        <v/>
      </c>
      <c r="BC14" s="2086">
        <f>BC6*0.05</f>
        <v/>
      </c>
      <c r="BD14" s="2086">
        <f>BD6*0.05</f>
        <v/>
      </c>
      <c r="BE14" s="2086">
        <f>BE6*0.05</f>
        <v/>
      </c>
      <c r="BF14" s="2086">
        <f>BF6*0.05</f>
        <v/>
      </c>
      <c r="BG14" s="2086">
        <f>BG6*0.05</f>
        <v/>
      </c>
      <c r="BH14" s="2086">
        <f>BH6*0.05</f>
        <v/>
      </c>
      <c r="BI14" s="2086">
        <f>BI6*0.05</f>
        <v/>
      </c>
      <c r="BJ14" s="2086">
        <f>BJ6*0.05</f>
        <v/>
      </c>
      <c r="BK14" s="2086">
        <f>BK6*0.05</f>
        <v/>
      </c>
      <c r="BL14" s="2086">
        <f>BL6*0.05</f>
        <v/>
      </c>
      <c r="BM14" s="2086">
        <f>BM6*0.05</f>
        <v/>
      </c>
      <c r="BN14" s="2083">
        <f>SUM(BB14:BM14)</f>
        <v/>
      </c>
    </row>
    <row r="15" customFormat="1" s="1530">
      <c r="A15" s="1527" t="inlineStr">
        <is>
          <t>Marketing &amp; Sales Team</t>
        </is>
      </c>
      <c r="B15" s="2087">
        <f>B6*0.1</f>
        <v/>
      </c>
      <c r="C15" s="2087">
        <f>C6*0.1</f>
        <v/>
      </c>
      <c r="D15" s="2087">
        <f>D6*0.1</f>
        <v/>
      </c>
      <c r="E15" s="2087">
        <f>E6*0.1</f>
        <v/>
      </c>
      <c r="F15" s="2087">
        <f>F6*0.1</f>
        <v/>
      </c>
      <c r="G15" s="2087">
        <f>G6*0.1</f>
        <v/>
      </c>
      <c r="H15" s="2087">
        <f>H6*0.1</f>
        <v/>
      </c>
      <c r="I15" s="2087">
        <f>I6*0.1</f>
        <v/>
      </c>
      <c r="J15" s="2087">
        <f>J6*0.1</f>
        <v/>
      </c>
      <c r="K15" s="2087">
        <f>K6*0.1</f>
        <v/>
      </c>
      <c r="L15" s="2087">
        <f>L6*0.1</f>
        <v/>
      </c>
      <c r="M15" s="2087">
        <f>M6*0.1</f>
        <v/>
      </c>
      <c r="N15" s="2088">
        <f>SUM(B15:M15)</f>
        <v/>
      </c>
      <c r="O15" s="2087">
        <f>O6*0.1</f>
        <v/>
      </c>
      <c r="P15" s="2087">
        <f>P6*0.1</f>
        <v/>
      </c>
      <c r="Q15" s="2087">
        <f>Q6*0.1</f>
        <v/>
      </c>
      <c r="R15" s="2087">
        <f>R6*0.1</f>
        <v/>
      </c>
      <c r="S15" s="2087">
        <f>S6*0.1</f>
        <v/>
      </c>
      <c r="T15" s="2087">
        <f>T6*0.1</f>
        <v/>
      </c>
      <c r="U15" s="2087">
        <f>U6*0.1</f>
        <v/>
      </c>
      <c r="V15" s="2087">
        <f>V6*0.1</f>
        <v/>
      </c>
      <c r="W15" s="2087">
        <f>W6*0.1</f>
        <v/>
      </c>
      <c r="X15" s="2087">
        <f>X6*0.1</f>
        <v/>
      </c>
      <c r="Y15" s="2087">
        <f>Y6*0.1</f>
        <v/>
      </c>
      <c r="Z15" s="2087">
        <f>Z6*0.1</f>
        <v/>
      </c>
      <c r="AA15" s="2088">
        <f>SUM(O15:Z15)</f>
        <v/>
      </c>
      <c r="AB15" s="2087">
        <f>AB6*0.1</f>
        <v/>
      </c>
      <c r="AC15" s="2087">
        <f>AC6*0.1</f>
        <v/>
      </c>
      <c r="AD15" s="2087">
        <f>AD6*0.1</f>
        <v/>
      </c>
      <c r="AE15" s="2087">
        <f>AE6*0.1</f>
        <v/>
      </c>
      <c r="AF15" s="2087">
        <f>AF6*0.1</f>
        <v/>
      </c>
      <c r="AG15" s="2087">
        <f>AG6*0.1</f>
        <v/>
      </c>
      <c r="AH15" s="2087">
        <f>AH6*0.1</f>
        <v/>
      </c>
      <c r="AI15" s="2087">
        <f>AI6*0.1</f>
        <v/>
      </c>
      <c r="AJ15" s="2087">
        <f>AJ6*0.1</f>
        <v/>
      </c>
      <c r="AK15" s="2087">
        <f>AK6*0.1</f>
        <v/>
      </c>
      <c r="AL15" s="2087">
        <f>AL6*0.1</f>
        <v/>
      </c>
      <c r="AM15" s="2087">
        <f>AM6*0.1</f>
        <v/>
      </c>
      <c r="AN15" s="2088">
        <f>SUM(AB15:AM15)</f>
        <v/>
      </c>
      <c r="AO15" s="2087">
        <f>AO6*0.1</f>
        <v/>
      </c>
      <c r="AP15" s="2087">
        <f>AP6*0.1</f>
        <v/>
      </c>
      <c r="AQ15" s="2087">
        <f>AQ6*0.1</f>
        <v/>
      </c>
      <c r="AR15" s="2087">
        <f>AR6*0.1</f>
        <v/>
      </c>
      <c r="AS15" s="2087">
        <f>AS6*0.1</f>
        <v/>
      </c>
      <c r="AT15" s="2087">
        <f>AT6*0.1</f>
        <v/>
      </c>
      <c r="AU15" s="2087">
        <f>AU6*0.1</f>
        <v/>
      </c>
      <c r="AV15" s="2087">
        <f>AV6*0.1</f>
        <v/>
      </c>
      <c r="AW15" s="2087">
        <f>AW6*0.1</f>
        <v/>
      </c>
      <c r="AX15" s="2087">
        <f>AX6*0.1</f>
        <v/>
      </c>
      <c r="AY15" s="2087">
        <f>AY6*0.1</f>
        <v/>
      </c>
      <c r="AZ15" s="2087">
        <f>AZ6*0.1</f>
        <v/>
      </c>
      <c r="BA15" s="2088">
        <f>SUM(AO15:AZ15)</f>
        <v/>
      </c>
      <c r="BB15" s="2087">
        <f>BB6*0.1</f>
        <v/>
      </c>
      <c r="BC15" s="2087">
        <f>BC6*0.1</f>
        <v/>
      </c>
      <c r="BD15" s="2087">
        <f>BD6*0.1</f>
        <v/>
      </c>
      <c r="BE15" s="2087">
        <f>BE6*0.1</f>
        <v/>
      </c>
      <c r="BF15" s="2087">
        <f>BF6*0.1</f>
        <v/>
      </c>
      <c r="BG15" s="2087">
        <f>BG6*0.1</f>
        <v/>
      </c>
      <c r="BH15" s="2087">
        <f>BH6*0.1</f>
        <v/>
      </c>
      <c r="BI15" s="2087">
        <f>BI6*0.1</f>
        <v/>
      </c>
      <c r="BJ15" s="2087">
        <f>BJ6*0.1</f>
        <v/>
      </c>
      <c r="BK15" s="2087">
        <f>BK6*0.1</f>
        <v/>
      </c>
      <c r="BL15" s="2087">
        <f>BL6*0.1</f>
        <v/>
      </c>
      <c r="BM15" s="2087">
        <f>BM6*0.1</f>
        <v/>
      </c>
      <c r="BN15" s="2088">
        <f>SUM(BB15:BM15)</f>
        <v/>
      </c>
    </row>
    <row r="16">
      <c r="A16" s="1531" t="inlineStr">
        <is>
          <t>Technology (Hosting, Infrastructure, Security, etc.)</t>
        </is>
      </c>
      <c r="B16" s="2086">
        <f>B6*0.05</f>
        <v/>
      </c>
      <c r="C16" s="2086">
        <f>C6*0.05</f>
        <v/>
      </c>
      <c r="D16" s="2086">
        <f>D6*0.05</f>
        <v/>
      </c>
      <c r="E16" s="2086">
        <f>E6*0.05</f>
        <v/>
      </c>
      <c r="F16" s="2086">
        <f>F6*0.05</f>
        <v/>
      </c>
      <c r="G16" s="2086">
        <f>G6*0.05</f>
        <v/>
      </c>
      <c r="H16" s="2086">
        <f>H6*0.05</f>
        <v/>
      </c>
      <c r="I16" s="2086">
        <f>I6*0.05</f>
        <v/>
      </c>
      <c r="J16" s="2086">
        <f>J6*0.05</f>
        <v/>
      </c>
      <c r="K16" s="2086">
        <f>K6*0.05</f>
        <v/>
      </c>
      <c r="L16" s="2086">
        <f>L6*0.05</f>
        <v/>
      </c>
      <c r="M16" s="2086">
        <f>M6*0.05</f>
        <v/>
      </c>
      <c r="N16" s="2083">
        <f>SUM(B16:M16)</f>
        <v/>
      </c>
      <c r="O16" s="2086">
        <f>O6*0.05</f>
        <v/>
      </c>
      <c r="P16" s="2086">
        <f>P6*0.05</f>
        <v/>
      </c>
      <c r="Q16" s="2086">
        <f>Q6*0.05</f>
        <v/>
      </c>
      <c r="R16" s="2086">
        <f>R6*0.05</f>
        <v/>
      </c>
      <c r="S16" s="2086">
        <f>S6*0.05</f>
        <v/>
      </c>
      <c r="T16" s="2086">
        <f>T6*0.05</f>
        <v/>
      </c>
      <c r="U16" s="2086">
        <f>U6*0.05</f>
        <v/>
      </c>
      <c r="V16" s="2086">
        <f>V6*0.05</f>
        <v/>
      </c>
      <c r="W16" s="2086">
        <f>W6*0.05</f>
        <v/>
      </c>
      <c r="X16" s="2086">
        <f>X6*0.05</f>
        <v/>
      </c>
      <c r="Y16" s="2086">
        <f>Y6*0.05</f>
        <v/>
      </c>
      <c r="Z16" s="2086">
        <f>Z6*0.05</f>
        <v/>
      </c>
      <c r="AA16" s="2083">
        <f>SUM(O16:Z16)</f>
        <v/>
      </c>
      <c r="AB16" s="2086">
        <f>AB6*0.05</f>
        <v/>
      </c>
      <c r="AC16" s="2086">
        <f>AC6*0.05</f>
        <v/>
      </c>
      <c r="AD16" s="2086">
        <f>AD6*0.05</f>
        <v/>
      </c>
      <c r="AE16" s="2086">
        <f>AE6*0.05</f>
        <v/>
      </c>
      <c r="AF16" s="2086">
        <f>AF6*0.05</f>
        <v/>
      </c>
      <c r="AG16" s="2086">
        <f>AG6*0.05</f>
        <v/>
      </c>
      <c r="AH16" s="2086">
        <f>AH6*0.05</f>
        <v/>
      </c>
      <c r="AI16" s="2086">
        <f>AI6*0.05</f>
        <v/>
      </c>
      <c r="AJ16" s="2086">
        <f>AJ6*0.05</f>
        <v/>
      </c>
      <c r="AK16" s="2086">
        <f>AK6*0.05</f>
        <v/>
      </c>
      <c r="AL16" s="2086">
        <f>AL6*0.05</f>
        <v/>
      </c>
      <c r="AM16" s="2086">
        <f>AM6*0.05</f>
        <v/>
      </c>
      <c r="AN16" s="2083">
        <f>SUM(AB16:AM16)</f>
        <v/>
      </c>
      <c r="AO16" s="2086">
        <f>AO6*0.05</f>
        <v/>
      </c>
      <c r="AP16" s="2086">
        <f>AP6*0.05</f>
        <v/>
      </c>
      <c r="AQ16" s="2086">
        <f>AQ6*0.05</f>
        <v/>
      </c>
      <c r="AR16" s="2086">
        <f>AR6*0.05</f>
        <v/>
      </c>
      <c r="AS16" s="2086">
        <f>AS6*0.05</f>
        <v/>
      </c>
      <c r="AT16" s="2086">
        <f>AT6*0.05</f>
        <v/>
      </c>
      <c r="AU16" s="2086">
        <f>AU6*0.05</f>
        <v/>
      </c>
      <c r="AV16" s="2086">
        <f>AV6*0.05</f>
        <v/>
      </c>
      <c r="AW16" s="2086">
        <f>AW6*0.05</f>
        <v/>
      </c>
      <c r="AX16" s="2086">
        <f>AX6*0.05</f>
        <v/>
      </c>
      <c r="AY16" s="2086">
        <f>AY6*0.05</f>
        <v/>
      </c>
      <c r="AZ16" s="2086">
        <f>AZ6*0.05</f>
        <v/>
      </c>
      <c r="BA16" s="2083">
        <f>SUM(AO16:AZ16)</f>
        <v/>
      </c>
      <c r="BB16" s="2086">
        <f>BB6*0.05</f>
        <v/>
      </c>
      <c r="BC16" s="2086">
        <f>BC6*0.05</f>
        <v/>
      </c>
      <c r="BD16" s="2086">
        <f>BD6*0.05</f>
        <v/>
      </c>
      <c r="BE16" s="2086">
        <f>BE6*0.05</f>
        <v/>
      </c>
      <c r="BF16" s="2086">
        <f>BF6*0.05</f>
        <v/>
      </c>
      <c r="BG16" s="2086">
        <f>BG6*0.05</f>
        <v/>
      </c>
      <c r="BH16" s="2086">
        <f>BH6*0.05</f>
        <v/>
      </c>
      <c r="BI16" s="2086">
        <f>BI6*0.05</f>
        <v/>
      </c>
      <c r="BJ16" s="2086">
        <f>BJ6*0.05</f>
        <v/>
      </c>
      <c r="BK16" s="2086">
        <f>BK6*0.05</f>
        <v/>
      </c>
      <c r="BL16" s="2086">
        <f>BL6*0.05</f>
        <v/>
      </c>
      <c r="BM16" s="2086">
        <f>BM6*0.05</f>
        <v/>
      </c>
      <c r="BN16" s="2083">
        <f>SUM(BB16:BM16)</f>
        <v/>
      </c>
    </row>
    <row r="17" ht="19" customFormat="1" customHeight="1" s="1525">
      <c r="A17" s="1524" t="inlineStr">
        <is>
          <t>TOTAL</t>
        </is>
      </c>
      <c r="B17" s="2089">
        <f>SUM(B9:B16)</f>
        <v/>
      </c>
      <c r="C17" s="2089">
        <f>SUM(C9:C16)</f>
        <v/>
      </c>
      <c r="D17" s="2089">
        <f>SUM(D9:D16)</f>
        <v/>
      </c>
      <c r="E17" s="2089">
        <f>SUM(E9:E16)</f>
        <v/>
      </c>
      <c r="F17" s="2089">
        <f>SUM(F9:F16)</f>
        <v/>
      </c>
      <c r="G17" s="2089">
        <f>SUM(G9:G16)</f>
        <v/>
      </c>
      <c r="H17" s="2089">
        <f>SUM(H9:H16)</f>
        <v/>
      </c>
      <c r="I17" s="2089">
        <f>SUM(I9:I16)</f>
        <v/>
      </c>
      <c r="J17" s="2089">
        <f>SUM(J9:J16)</f>
        <v/>
      </c>
      <c r="K17" s="2089">
        <f>SUM(K9:K16)</f>
        <v/>
      </c>
      <c r="L17" s="2089">
        <f>SUM(L9:L16)</f>
        <v/>
      </c>
      <c r="M17" s="2089">
        <f>SUM(M9:M16)</f>
        <v/>
      </c>
      <c r="N17" s="2090">
        <f>SUM(N9:N16)</f>
        <v/>
      </c>
      <c r="O17" s="2089">
        <f>SUM(O9:O16)</f>
        <v/>
      </c>
      <c r="P17" s="2089">
        <f>SUM(P9:P16)</f>
        <v/>
      </c>
      <c r="Q17" s="2089">
        <f>SUM(Q9:Q16)</f>
        <v/>
      </c>
      <c r="R17" s="2089">
        <f>SUM(R9:R16)</f>
        <v/>
      </c>
      <c r="S17" s="2089">
        <f>SUM(S9:S16)</f>
        <v/>
      </c>
      <c r="T17" s="2089">
        <f>SUM(T9:T16)</f>
        <v/>
      </c>
      <c r="U17" s="2089">
        <f>SUM(U9:U16)</f>
        <v/>
      </c>
      <c r="V17" s="2089">
        <f>SUM(V9:V16)</f>
        <v/>
      </c>
      <c r="W17" s="2089">
        <f>SUM(W9:W16)</f>
        <v/>
      </c>
      <c r="X17" s="2089">
        <f>SUM(X9:X16)</f>
        <v/>
      </c>
      <c r="Y17" s="2089">
        <f>SUM(Y9:Y16)</f>
        <v/>
      </c>
      <c r="Z17" s="2089">
        <f>SUM(Z9:Z16)</f>
        <v/>
      </c>
      <c r="AA17" s="2090">
        <f>SUM(AA9:AA16)</f>
        <v/>
      </c>
      <c r="AB17" s="2089">
        <f>SUM(AB9:AB16)</f>
        <v/>
      </c>
      <c r="AC17" s="2089">
        <f>SUM(AC9:AC16)</f>
        <v/>
      </c>
      <c r="AD17" s="2089">
        <f>SUM(AD9:AD16)</f>
        <v/>
      </c>
      <c r="AE17" s="2089">
        <f>SUM(AE9:AE16)</f>
        <v/>
      </c>
      <c r="AF17" s="2089">
        <f>SUM(AF9:AF16)</f>
        <v/>
      </c>
      <c r="AG17" s="2089">
        <f>SUM(AG9:AG16)</f>
        <v/>
      </c>
      <c r="AH17" s="2089">
        <f>SUM(AH9:AH16)</f>
        <v/>
      </c>
      <c r="AI17" s="2089">
        <f>SUM(AI9:AI16)</f>
        <v/>
      </c>
      <c r="AJ17" s="2089">
        <f>SUM(AJ9:AJ16)</f>
        <v/>
      </c>
      <c r="AK17" s="2089">
        <f>SUM(AK9:AK16)</f>
        <v/>
      </c>
      <c r="AL17" s="2089">
        <f>SUM(AL9:AL16)</f>
        <v/>
      </c>
      <c r="AM17" s="2089">
        <f>SUM(AM9:AM16)</f>
        <v/>
      </c>
      <c r="AN17" s="2090">
        <f>SUM(AN9:AN16)</f>
        <v/>
      </c>
      <c r="AO17" s="2089">
        <f>SUM(AO9:AO16)</f>
        <v/>
      </c>
      <c r="AP17" s="2089">
        <f>SUM(AP9:AP16)</f>
        <v/>
      </c>
      <c r="AQ17" s="2089">
        <f>SUM(AQ9:AQ16)</f>
        <v/>
      </c>
      <c r="AR17" s="2089">
        <f>SUM(AR9:AR16)</f>
        <v/>
      </c>
      <c r="AS17" s="2089">
        <f>SUM(AS9:AS16)</f>
        <v/>
      </c>
      <c r="AT17" s="2089">
        <f>SUM(AT9:AT16)</f>
        <v/>
      </c>
      <c r="AU17" s="2089">
        <f>SUM(AU9:AU16)</f>
        <v/>
      </c>
      <c r="AV17" s="2089">
        <f>SUM(AV9:AV16)</f>
        <v/>
      </c>
      <c r="AW17" s="2089">
        <f>SUM(AW9:AW16)</f>
        <v/>
      </c>
      <c r="AX17" s="2089">
        <f>SUM(AX9:AX16)</f>
        <v/>
      </c>
      <c r="AY17" s="2089">
        <f>SUM(AY9:AY16)</f>
        <v/>
      </c>
      <c r="AZ17" s="2089">
        <f>SUM(AZ9:AZ16)</f>
        <v/>
      </c>
      <c r="BA17" s="2090">
        <f>SUM(BA9:BA16)</f>
        <v/>
      </c>
      <c r="BB17" s="2089">
        <f>SUM(BB9:BB16)</f>
        <v/>
      </c>
      <c r="BC17" s="2089">
        <f>SUM(BC9:BC16)</f>
        <v/>
      </c>
      <c r="BD17" s="2089">
        <f>SUM(BD9:BD16)</f>
        <v/>
      </c>
      <c r="BE17" s="2089">
        <f>SUM(BE9:BE16)</f>
        <v/>
      </c>
      <c r="BF17" s="2089">
        <f>SUM(BF9:BF16)</f>
        <v/>
      </c>
      <c r="BG17" s="2089">
        <f>SUM(BG9:BG16)</f>
        <v/>
      </c>
      <c r="BH17" s="2089">
        <f>SUM(BH9:BH16)</f>
        <v/>
      </c>
      <c r="BI17" s="2089">
        <f>SUM(BI9:BI16)</f>
        <v/>
      </c>
      <c r="BJ17" s="2089">
        <f>SUM(BJ9:BJ16)</f>
        <v/>
      </c>
      <c r="BK17" s="2089">
        <f>SUM(BK9:BK16)</f>
        <v/>
      </c>
      <c r="BL17" s="2089">
        <f>SUM(BL9:BL16)</f>
        <v/>
      </c>
      <c r="BM17" s="2089">
        <f>SUM(BM9:BM16)</f>
        <v/>
      </c>
      <c r="BN17" s="2090">
        <f>SUM(BN9:BN16)</f>
        <v/>
      </c>
    </row>
    <row r="18">
      <c r="A18" s="1520" t="inlineStr">
        <is>
          <t>Operating Income/Loss</t>
        </is>
      </c>
      <c r="B18" s="2086">
        <f>B6-B17</f>
        <v/>
      </c>
      <c r="C18" s="2086">
        <f>C6-C17</f>
        <v/>
      </c>
      <c r="D18" s="2086">
        <f>D6-D17</f>
        <v/>
      </c>
      <c r="E18" s="2086">
        <f>E6-E17</f>
        <v/>
      </c>
      <c r="F18" s="2086">
        <f>F6-F17</f>
        <v/>
      </c>
      <c r="G18" s="2086">
        <f>G6-G17</f>
        <v/>
      </c>
      <c r="H18" s="2086">
        <f>H6-H17</f>
        <v/>
      </c>
      <c r="I18" s="2086">
        <f>I6-I17</f>
        <v/>
      </c>
      <c r="J18" s="2086">
        <f>J6-J17</f>
        <v/>
      </c>
      <c r="K18" s="2086">
        <f>K6-K17</f>
        <v/>
      </c>
      <c r="L18" s="2086">
        <f>L6-L17</f>
        <v/>
      </c>
      <c r="M18" s="2086">
        <f>M6-M17</f>
        <v/>
      </c>
      <c r="N18" s="2085">
        <f>SUM(B18:M18)</f>
        <v/>
      </c>
      <c r="O18" s="2086">
        <f>O6-O17</f>
        <v/>
      </c>
      <c r="P18" s="2086">
        <f>P6-P17</f>
        <v/>
      </c>
      <c r="Q18" s="2086">
        <f>Q6-Q17</f>
        <v/>
      </c>
      <c r="R18" s="2086">
        <f>R6-R17</f>
        <v/>
      </c>
      <c r="S18" s="2086">
        <f>S6-S17</f>
        <v/>
      </c>
      <c r="T18" s="2086">
        <f>T6-T17</f>
        <v/>
      </c>
      <c r="U18" s="2086">
        <f>U6-U17</f>
        <v/>
      </c>
      <c r="V18" s="2086">
        <f>V6-V17</f>
        <v/>
      </c>
      <c r="W18" s="2086">
        <f>W6-W17</f>
        <v/>
      </c>
      <c r="X18" s="2086">
        <f>X6-X17</f>
        <v/>
      </c>
      <c r="Y18" s="2086">
        <f>Y6-Y17</f>
        <v/>
      </c>
      <c r="Z18" s="2086">
        <f>Z6-Z17</f>
        <v/>
      </c>
      <c r="AA18" s="2085">
        <f>SUM(O18:Z18)</f>
        <v/>
      </c>
      <c r="AB18" s="2086">
        <f>AB6-AB17</f>
        <v/>
      </c>
      <c r="AC18" s="2086">
        <f>AC6-AC17</f>
        <v/>
      </c>
      <c r="AD18" s="2086">
        <f>AD6-AD17</f>
        <v/>
      </c>
      <c r="AE18" s="2086">
        <f>AE6-AE17</f>
        <v/>
      </c>
      <c r="AF18" s="2086">
        <f>AF6-AF17</f>
        <v/>
      </c>
      <c r="AG18" s="2086">
        <f>AG6-AG17</f>
        <v/>
      </c>
      <c r="AH18" s="2086">
        <f>AH6-AH17</f>
        <v/>
      </c>
      <c r="AI18" s="2086">
        <f>AI6-AI17</f>
        <v/>
      </c>
      <c r="AJ18" s="2086">
        <f>AJ6-AJ17</f>
        <v/>
      </c>
      <c r="AK18" s="2086">
        <f>AK6-AK17</f>
        <v/>
      </c>
      <c r="AL18" s="2086">
        <f>AL6-AL17</f>
        <v/>
      </c>
      <c r="AM18" s="2086">
        <f>AM6-AM17</f>
        <v/>
      </c>
      <c r="AN18" s="2085">
        <f>SUM(AB18:AM18)</f>
        <v/>
      </c>
      <c r="AO18" s="2086">
        <f>AO6-AO17</f>
        <v/>
      </c>
      <c r="AP18" s="2086">
        <f>AP6-AP17</f>
        <v/>
      </c>
      <c r="AQ18" s="2086">
        <f>AQ6-AQ17</f>
        <v/>
      </c>
      <c r="AR18" s="2086">
        <f>AR6-AR17</f>
        <v/>
      </c>
      <c r="AS18" s="2086">
        <f>AS6-AS17</f>
        <v/>
      </c>
      <c r="AT18" s="2086">
        <f>AT6-AT17</f>
        <v/>
      </c>
      <c r="AU18" s="2086">
        <f>AU6-AU17</f>
        <v/>
      </c>
      <c r="AV18" s="2086">
        <f>AV6-AV17</f>
        <v/>
      </c>
      <c r="AW18" s="2086">
        <f>AW6-AW17</f>
        <v/>
      </c>
      <c r="AX18" s="2086">
        <f>AX6-AX17</f>
        <v/>
      </c>
      <c r="AY18" s="2086">
        <f>AY6-AY17</f>
        <v/>
      </c>
      <c r="AZ18" s="2086">
        <f>AZ6-AZ17</f>
        <v/>
      </c>
      <c r="BA18" s="2085">
        <f>SUM(AO18:AZ18)</f>
        <v/>
      </c>
      <c r="BB18" s="2086">
        <f>BB6-BB17</f>
        <v/>
      </c>
      <c r="BC18" s="2086">
        <f>BC6-BC17</f>
        <v/>
      </c>
      <c r="BD18" s="2086">
        <f>BD6-BD17</f>
        <v/>
      </c>
      <c r="BE18" s="2086">
        <f>BE6-BE17</f>
        <v/>
      </c>
      <c r="BF18" s="2086">
        <f>BF6-BF17</f>
        <v/>
      </c>
      <c r="BG18" s="2086">
        <f>BG6-BG17</f>
        <v/>
      </c>
      <c r="BH18" s="2086">
        <f>BH6-BH17</f>
        <v/>
      </c>
      <c r="BI18" s="2086">
        <f>BI6-BI17</f>
        <v/>
      </c>
      <c r="BJ18" s="2086">
        <f>BJ6-BJ17</f>
        <v/>
      </c>
      <c r="BK18" s="2086">
        <f>BK6-BK17</f>
        <v/>
      </c>
      <c r="BL18" s="2086">
        <f>BL6-BL17</f>
        <v/>
      </c>
      <c r="BM18" s="2086">
        <f>BM6-BM17</f>
        <v/>
      </c>
      <c r="BN18" s="2085">
        <f>SUM(BB18:BM18)</f>
        <v/>
      </c>
    </row>
    <row r="19">
      <c r="A19" s="1520" t="inlineStr">
        <is>
          <t>Operating Margin</t>
        </is>
      </c>
      <c r="B19" s="1534">
        <f>B18/B6</f>
        <v/>
      </c>
      <c r="C19" s="1534">
        <f>C18/C6</f>
        <v/>
      </c>
      <c r="D19" s="1534">
        <f>D18/D6</f>
        <v/>
      </c>
      <c r="E19" s="1534">
        <f>E18/E6</f>
        <v/>
      </c>
      <c r="F19" s="1534">
        <f>F18/F6</f>
        <v/>
      </c>
      <c r="G19" s="1534">
        <f>G18/G6</f>
        <v/>
      </c>
      <c r="H19" s="1534">
        <f>H18/H6</f>
        <v/>
      </c>
      <c r="I19" s="1534">
        <f>I18/I6</f>
        <v/>
      </c>
      <c r="J19" s="1534">
        <f>J18/J6</f>
        <v/>
      </c>
      <c r="K19" s="1534">
        <f>K18/K6</f>
        <v/>
      </c>
      <c r="L19" s="1534">
        <f>L18/L6</f>
        <v/>
      </c>
      <c r="M19" s="1534">
        <f>M18/M6</f>
        <v/>
      </c>
      <c r="N19" s="1534">
        <f>N18/N6</f>
        <v/>
      </c>
      <c r="O19" s="1534">
        <f>O18/O6</f>
        <v/>
      </c>
      <c r="P19" s="1534">
        <f>P18/P6</f>
        <v/>
      </c>
      <c r="Q19" s="1534">
        <f>Q18/Q6</f>
        <v/>
      </c>
      <c r="R19" s="1534">
        <f>R18/R6</f>
        <v/>
      </c>
      <c r="S19" s="1534">
        <f>S18/S6</f>
        <v/>
      </c>
      <c r="T19" s="1534">
        <f>T18/T6</f>
        <v/>
      </c>
      <c r="U19" s="1534">
        <f>U18/U6</f>
        <v/>
      </c>
      <c r="V19" s="1534">
        <f>V18/V6</f>
        <v/>
      </c>
      <c r="W19" s="1534">
        <f>W18/W6</f>
        <v/>
      </c>
      <c r="X19" s="1534">
        <f>X18/X6</f>
        <v/>
      </c>
      <c r="Y19" s="1534">
        <f>Y18/Y6</f>
        <v/>
      </c>
      <c r="Z19" s="1534">
        <f>Z18/Z6</f>
        <v/>
      </c>
      <c r="AA19" s="1534">
        <f>AA18/AA6</f>
        <v/>
      </c>
      <c r="AB19" s="1534">
        <f>AB18/AB6</f>
        <v/>
      </c>
      <c r="AC19" s="1534">
        <f>AC18/AC6</f>
        <v/>
      </c>
      <c r="AD19" s="1534">
        <f>AD18/AD6</f>
        <v/>
      </c>
      <c r="AE19" s="1534">
        <f>AE18/AE6</f>
        <v/>
      </c>
      <c r="AF19" s="1534">
        <f>AF18/AF6</f>
        <v/>
      </c>
      <c r="AG19" s="1534">
        <f>AG18/AG6</f>
        <v/>
      </c>
      <c r="AH19" s="1534">
        <f>AH18/AH6</f>
        <v/>
      </c>
      <c r="AI19" s="1534">
        <f>AI18/AI6</f>
        <v/>
      </c>
      <c r="AJ19" s="1534">
        <f>AJ18/AJ6</f>
        <v/>
      </c>
      <c r="AK19" s="1534">
        <f>AK18/AK6</f>
        <v/>
      </c>
      <c r="AL19" s="1534">
        <f>AL18/AL6</f>
        <v/>
      </c>
      <c r="AM19" s="1534">
        <f>AM18/AM6</f>
        <v/>
      </c>
      <c r="AN19" s="1534">
        <f>AN18/AN6</f>
        <v/>
      </c>
      <c r="AO19" s="1534">
        <f>AO18/AO6</f>
        <v/>
      </c>
      <c r="AP19" s="1534">
        <f>AP18/AP6</f>
        <v/>
      </c>
      <c r="AQ19" s="1534">
        <f>AQ18/AQ6</f>
        <v/>
      </c>
      <c r="AR19" s="1534">
        <f>AR18/AR6</f>
        <v/>
      </c>
      <c r="AS19" s="1534">
        <f>AS18/AS6</f>
        <v/>
      </c>
      <c r="AT19" s="1534">
        <f>AT18/AT6</f>
        <v/>
      </c>
      <c r="AU19" s="1534">
        <f>AU18/AU6</f>
        <v/>
      </c>
      <c r="AV19" s="1534">
        <f>AV18/AV6</f>
        <v/>
      </c>
      <c r="AW19" s="1534">
        <f>AW18/AW6</f>
        <v/>
      </c>
      <c r="AX19" s="1534">
        <f>AX18/AX6</f>
        <v/>
      </c>
      <c r="AY19" s="1534">
        <f>AY18/AY6</f>
        <v/>
      </c>
      <c r="AZ19" s="1534">
        <f>AZ18/AZ6</f>
        <v/>
      </c>
      <c r="BA19" s="1534">
        <f>BA18/BA6</f>
        <v/>
      </c>
      <c r="BB19" s="1534">
        <f>BB18/BB6</f>
        <v/>
      </c>
      <c r="BC19" s="1534">
        <f>BC18/BC6</f>
        <v/>
      </c>
      <c r="BD19" s="1534">
        <f>BD18/BD6</f>
        <v/>
      </c>
      <c r="BE19" s="1534">
        <f>BE18/BE6</f>
        <v/>
      </c>
      <c r="BF19" s="1534">
        <f>BF18/BF6</f>
        <v/>
      </c>
      <c r="BG19" s="1534">
        <f>BG18/BG6</f>
        <v/>
      </c>
      <c r="BH19" s="1534">
        <f>BH18/BH6</f>
        <v/>
      </c>
      <c r="BI19" s="1534">
        <f>BI18/BI6</f>
        <v/>
      </c>
      <c r="BJ19" s="1534">
        <f>BJ18/BJ6</f>
        <v/>
      </c>
      <c r="BK19" s="1534">
        <f>BK18/BK6</f>
        <v/>
      </c>
      <c r="BL19" s="1534">
        <f>BL18/BL6</f>
        <v/>
      </c>
      <c r="BM19" s="1534">
        <f>BM18/BM6</f>
        <v/>
      </c>
      <c r="BN19" s="1534">
        <f>BN18/BN6</f>
        <v/>
      </c>
    </row>
    <row r="26">
      <c r="B26" s="1535" t="inlineStr">
        <is>
          <t>Month</t>
        </is>
      </c>
      <c r="C26" s="1535" t="inlineStr">
        <is>
          <t>Users</t>
        </is>
      </c>
      <c r="D26" s="1535" t="inlineStr">
        <is>
          <t>Monthly Revenue</t>
        </is>
      </c>
      <c r="E26" s="1535" t="inlineStr">
        <is>
          <t>Actualized Revenue (1.6%)</t>
        </is>
      </c>
      <c r="F26" s="1535" t="inlineStr">
        <is>
          <t>Influencer Revenue (10%)</t>
        </is>
      </c>
      <c r="G26" s="1535" t="inlineStr">
        <is>
          <t>Contribution Margin</t>
        </is>
      </c>
    </row>
    <row r="27">
      <c r="B27" s="1520" t="inlineStr">
        <is>
          <t>Month 1</t>
        </is>
      </c>
      <c r="C27" s="1536" t="n">
        <v>1</v>
      </c>
      <c r="D27" s="1536" t="n">
        <v>382.88325</v>
      </c>
      <c r="E27" s="1536" t="n">
        <v>6.126132</v>
      </c>
      <c r="F27" s="1536" t="n">
        <v>0.6126132000000001</v>
      </c>
      <c r="G27" s="1536" t="n">
        <v>5.5135188</v>
      </c>
    </row>
    <row r="28">
      <c r="B28" s="1520" t="inlineStr">
        <is>
          <t>Month 2</t>
        </is>
      </c>
      <c r="C28" s="1536" t="n">
        <v>22728.18181818182</v>
      </c>
      <c r="D28" s="1536" t="n">
        <v>8702240.121136364</v>
      </c>
      <c r="E28" s="1536" t="n">
        <v>139235.8419381818</v>
      </c>
      <c r="F28" s="1536" t="n">
        <v>13923.58419381818</v>
      </c>
      <c r="G28" s="1536" t="n">
        <v>125312.2577443636</v>
      </c>
    </row>
    <row r="29">
      <c r="B29" s="1520" t="inlineStr">
        <is>
          <t>Month 3</t>
        </is>
      </c>
      <c r="C29" s="1536" t="n">
        <v>45455.36363636364</v>
      </c>
      <c r="D29" s="1536" t="n">
        <v>17404097.35902273</v>
      </c>
      <c r="E29" s="1536" t="n">
        <v>278465.5577443637</v>
      </c>
      <c r="F29" s="1536" t="n">
        <v>27846.55577443637</v>
      </c>
      <c r="G29" s="1536" t="n">
        <v>250619.0019699273</v>
      </c>
    </row>
    <row r="30">
      <c r="B30" s="1520" t="inlineStr">
        <is>
          <t>Month 4</t>
        </is>
      </c>
      <c r="C30" s="1536" t="n">
        <v>68182.54545454546</v>
      </c>
      <c r="D30" s="1536" t="n">
        <v>26105954.59690909</v>
      </c>
      <c r="E30" s="1536" t="n">
        <v>417695.2735505454</v>
      </c>
      <c r="F30" s="1536" t="n">
        <v>41769.52735505455</v>
      </c>
      <c r="G30" s="1536" t="n">
        <v>375925.7461954909</v>
      </c>
    </row>
    <row r="31">
      <c r="B31" s="1520" t="inlineStr">
        <is>
          <t>Month 5</t>
        </is>
      </c>
      <c r="C31" s="1536" t="n">
        <v>90909.72727272728</v>
      </c>
      <c r="D31" s="1536" t="n">
        <v>34807811.83479545</v>
      </c>
      <c r="E31" s="1536" t="n">
        <v>556924.9893567272</v>
      </c>
      <c r="F31" s="1536" t="n">
        <v>55692.49893567272</v>
      </c>
      <c r="G31" s="1536" t="n">
        <v>501232.4904210545</v>
      </c>
    </row>
    <row r="32">
      <c r="B32" s="1520" t="inlineStr">
        <is>
          <t>Month 6</t>
        </is>
      </c>
      <c r="C32" s="1536" t="n">
        <v>113636.9090909091</v>
      </c>
      <c r="D32" s="1536" t="n">
        <v>43509669.07268182</v>
      </c>
      <c r="E32" s="1536" t="n">
        <v>696154.7051629091</v>
      </c>
      <c r="F32" s="1536" t="n">
        <v>69615.47051629091</v>
      </c>
      <c r="G32" s="1536" t="n">
        <v>626539.2346466182</v>
      </c>
    </row>
    <row r="33">
      <c r="B33" s="1520" t="inlineStr">
        <is>
          <t>Month 7</t>
        </is>
      </c>
      <c r="C33" s="1536" t="n">
        <v>136364.0909090909</v>
      </c>
      <c r="D33" s="1536" t="n">
        <v>52211526.31056818</v>
      </c>
      <c r="E33" s="1536" t="n">
        <v>835384.4209690909</v>
      </c>
      <c r="F33" s="1536" t="n">
        <v>83538.4420969091</v>
      </c>
      <c r="G33" s="1536" t="n">
        <v>751845.9788721818</v>
      </c>
    </row>
    <row r="34">
      <c r="B34" s="1520" t="inlineStr">
        <is>
          <t>Month 8</t>
        </is>
      </c>
      <c r="C34" s="1536" t="n">
        <v>159091.2727272727</v>
      </c>
      <c r="D34" s="1536" t="n">
        <v>60913383.54845454</v>
      </c>
      <c r="E34" s="1536" t="n">
        <v>974614.1367752727</v>
      </c>
      <c r="F34" s="1536" t="n">
        <v>97461.41367752728</v>
      </c>
      <c r="G34" s="1536" t="n">
        <v>877152.7230977453</v>
      </c>
    </row>
    <row r="35">
      <c r="B35" s="1520" t="inlineStr">
        <is>
          <t>Month 9</t>
        </is>
      </c>
      <c r="C35" s="1536" t="n">
        <v>181818.4545454546</v>
      </c>
      <c r="D35" s="1536" t="n">
        <v>69615240.78634091</v>
      </c>
      <c r="E35" s="1536" t="n">
        <v>1113843.852581454</v>
      </c>
      <c r="F35" s="1536" t="n">
        <v>111384.3852581455</v>
      </c>
      <c r="G35" s="1536" t="n">
        <v>1002459.467323309</v>
      </c>
    </row>
    <row r="36">
      <c r="B36" s="1520" t="inlineStr">
        <is>
          <t>Month 10</t>
        </is>
      </c>
      <c r="C36" s="1536" t="n">
        <v>204545.6363636364</v>
      </c>
      <c r="D36" s="1536" t="n">
        <v>78317098.02422726</v>
      </c>
      <c r="E36" s="1536" t="n">
        <v>1253073.568387636</v>
      </c>
      <c r="F36" s="1536" t="n">
        <v>125307.3568387636</v>
      </c>
      <c r="G36" s="1536" t="n">
        <v>1127766.211548873</v>
      </c>
    </row>
    <row r="37">
      <c r="B37" s="1520" t="inlineStr">
        <is>
          <t>Month 11</t>
        </is>
      </c>
      <c r="C37" s="1536" t="n">
        <v>227272.8181818182</v>
      </c>
      <c r="D37" s="1536" t="n">
        <v>87018955.26211365</v>
      </c>
      <c r="E37" s="1536" t="n">
        <v>1392303.284193818</v>
      </c>
      <c r="F37" s="1536" t="n">
        <v>139230.3284193818</v>
      </c>
      <c r="G37" s="1536" t="n">
        <v>1253072.955774437</v>
      </c>
    </row>
    <row r="38">
      <c r="B38" s="1520" t="inlineStr">
        <is>
          <t>Month 12</t>
        </is>
      </c>
      <c r="C38" s="1536" t="n">
        <v>250000</v>
      </c>
      <c r="D38" s="1536" t="n">
        <v>95720812.5</v>
      </c>
      <c r="E38" s="1536" t="n">
        <v>1531533</v>
      </c>
      <c r="F38" s="1536" t="n">
        <v>153153.3</v>
      </c>
      <c r="G38" s="1536" t="n">
        <v>1378379.7</v>
      </c>
    </row>
  </sheetData>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tabColor rgb="FFCDFFCD"/>
    <outlinePr summaryBelow="0" summaryRight="0"/>
    <pageSetUpPr/>
  </sheetPr>
  <dimension ref="A1:BN95"/>
  <sheetViews>
    <sheetView zoomScale="148" zoomScaleNormal="148" workbookViewId="0">
      <pane xSplit="1" ySplit="8" topLeftCell="D9" activePane="bottomRight" state="frozen"/>
      <selection pane="topRight" activeCell="B17" sqref="B17"/>
      <selection pane="bottomLeft" activeCell="B17" sqref="B17"/>
      <selection pane="bottomRight" activeCell="H80" sqref="H80"/>
    </sheetView>
  </sheetViews>
  <sheetFormatPr baseColWidth="10" defaultColWidth="12.6640625" defaultRowHeight="15.75" customHeight="1"/>
  <cols>
    <col width="30.6640625" customWidth="1" style="1955" min="1" max="1"/>
    <col width="14.83203125" customWidth="1" style="1955" min="2" max="2"/>
    <col width="15.83203125" customWidth="1" style="1955" min="3" max="3"/>
    <col width="15.6640625" customWidth="1" style="1955" min="4" max="4"/>
    <col width="15.5" customWidth="1" style="1955" min="5" max="5"/>
    <col width="15.83203125" customWidth="1" style="1955" min="6" max="6"/>
    <col width="15.6640625" customWidth="1" style="1955" min="7" max="7"/>
    <col width="15.33203125" customWidth="1" style="1955" min="8" max="8"/>
    <col width="15.6640625" customWidth="1" style="1955" min="9" max="9"/>
    <col width="15.5" customWidth="1" style="1955" min="10" max="15"/>
    <col width="14.33203125" customWidth="1" style="1955" min="16" max="26"/>
    <col width="15.5" customWidth="1" style="1955" min="27" max="27"/>
    <col width="14.33203125" customWidth="1" style="1955" min="28" max="36"/>
    <col width="15.83203125" customWidth="1" style="1955" min="37" max="39"/>
    <col width="15.5" customWidth="1" style="1955" min="40" max="40"/>
    <col width="15" customWidth="1" style="1955" min="41" max="42"/>
    <col width="15.6640625" customWidth="1" style="1955" min="43" max="52"/>
    <col width="15.5" customWidth="1" style="1955" min="53" max="53"/>
    <col width="15.6640625" customWidth="1" style="1955" min="54" max="65"/>
    <col width="17.33203125" customWidth="1" style="1955" min="66" max="66"/>
    <col width="12.6640625" customWidth="1" style="1955" min="67" max="68"/>
    <col width="12.6640625" customWidth="1" style="1955" min="69" max="16384"/>
  </cols>
  <sheetData>
    <row r="1" ht="15" customHeight="1" s="1883">
      <c r="A1" s="1956" t="n"/>
      <c r="B1" s="1537" t="inlineStr">
        <is>
          <t>CPG Project Financial Outlook</t>
        </is>
      </c>
    </row>
    <row r="2" ht="15" customHeight="1" s="1883">
      <c r="A2" s="1938" t="n"/>
      <c r="B2" s="1537" t="inlineStr">
        <is>
          <t>V 1.0 Updated 6.28.25</t>
        </is>
      </c>
    </row>
    <row r="3" ht="15" customHeight="1" s="1883">
      <c r="A3" s="1938" t="n"/>
      <c r="B3" s="1537" t="inlineStr">
        <is>
          <t>M. R. Schuman - CCO</t>
        </is>
      </c>
    </row>
    <row r="4" ht="15.75" customHeight="1" s="1883">
      <c r="A4" s="1957" t="n"/>
      <c r="AX4" s="1955" t="inlineStr">
        <is>
          <t>starting to account for slightly larger stores with more brands</t>
        </is>
      </c>
    </row>
    <row r="5" ht="15.75" customHeight="1" s="1883">
      <c r="A5" s="1599" t="inlineStr">
        <is>
          <t>Phone User Growth per Month</t>
        </is>
      </c>
      <c r="B5" s="1539">
        <f>B7</f>
        <v/>
      </c>
      <c r="C5" s="1539">
        <f>C7+B5</f>
        <v/>
      </c>
      <c r="D5" s="1539">
        <f>D7+C5</f>
        <v/>
      </c>
      <c r="E5" s="1539">
        <f>E7+D5</f>
        <v/>
      </c>
      <c r="F5" s="1539">
        <f>F7+E5</f>
        <v/>
      </c>
      <c r="G5" s="1539">
        <f>G7+F5</f>
        <v/>
      </c>
      <c r="H5" s="1539">
        <f>H7+G5</f>
        <v/>
      </c>
      <c r="I5" s="1539">
        <f>I7+H5</f>
        <v/>
      </c>
      <c r="J5" s="1539">
        <f>J7+I5</f>
        <v/>
      </c>
      <c r="K5" s="1539">
        <f>K7+J5</f>
        <v/>
      </c>
      <c r="L5" s="1539">
        <f>L7+K5</f>
        <v/>
      </c>
      <c r="M5" s="1539">
        <f>M7+L5</f>
        <v/>
      </c>
      <c r="O5" s="1539">
        <f>O7+M5</f>
        <v/>
      </c>
      <c r="P5" s="1539">
        <f>P7+O5</f>
        <v/>
      </c>
      <c r="Q5" s="1539">
        <f>Q7+P5</f>
        <v/>
      </c>
      <c r="R5" s="1539">
        <f>R7+Q5</f>
        <v/>
      </c>
      <c r="S5" s="1539">
        <f>S7+R5</f>
        <v/>
      </c>
      <c r="T5" s="1539">
        <f>T7+S5</f>
        <v/>
      </c>
      <c r="U5" s="1539">
        <f>U7+T5</f>
        <v/>
      </c>
      <c r="V5" s="1539">
        <f>V7+U5</f>
        <v/>
      </c>
      <c r="W5" s="1539">
        <f>W7+V5</f>
        <v/>
      </c>
      <c r="X5" s="1539">
        <f>X7+W5</f>
        <v/>
      </c>
      <c r="Y5" s="1539">
        <f>Y7+X5</f>
        <v/>
      </c>
      <c r="Z5" s="1539">
        <f>Z7+Y5</f>
        <v/>
      </c>
      <c r="AB5" s="1539">
        <f>AB7+Z5</f>
        <v/>
      </c>
      <c r="AC5" s="1539">
        <f>AC7+AB5</f>
        <v/>
      </c>
      <c r="AD5" s="1539">
        <f>AD7+AC5</f>
        <v/>
      </c>
      <c r="AE5" s="1539">
        <f>AE7+AD5</f>
        <v/>
      </c>
      <c r="AF5" s="1539">
        <f>AF7+AE5</f>
        <v/>
      </c>
      <c r="AG5" s="1539">
        <f>AG7+AF5</f>
        <v/>
      </c>
      <c r="AH5" s="1539">
        <f>AH7+AG5</f>
        <v/>
      </c>
      <c r="AI5" s="1539">
        <f>AI7+AH5</f>
        <v/>
      </c>
      <c r="AJ5" s="1539">
        <f>AJ7+AI5</f>
        <v/>
      </c>
      <c r="AK5" s="1539">
        <f>AK7+AJ5</f>
        <v/>
      </c>
      <c r="AL5" s="1539">
        <f>AL7+AK5</f>
        <v/>
      </c>
      <c r="AM5" s="1539">
        <f>AM7+AL5</f>
        <v/>
      </c>
      <c r="AO5" s="1539">
        <f>AO7+AM5</f>
        <v/>
      </c>
      <c r="AP5" s="1539">
        <f>AP7+AO5</f>
        <v/>
      </c>
      <c r="AQ5" s="1539">
        <f>AQ7+AP5</f>
        <v/>
      </c>
      <c r="AR5" s="1539">
        <f>AR7+AQ5</f>
        <v/>
      </c>
      <c r="AS5" s="1539">
        <f>AS7+AR5</f>
        <v/>
      </c>
      <c r="AT5" s="1539">
        <f>AT7+AS5</f>
        <v/>
      </c>
      <c r="AU5" s="1539">
        <f>AU7+AT5</f>
        <v/>
      </c>
      <c r="AV5" s="1539">
        <f>AV7+AU5</f>
        <v/>
      </c>
      <c r="AW5" s="1539">
        <f>AW7+AV5</f>
        <v/>
      </c>
      <c r="AX5" s="1539">
        <f>AX7+AW5</f>
        <v/>
      </c>
      <c r="AY5" s="1539">
        <f>AY7+AX5</f>
        <v/>
      </c>
      <c r="AZ5" s="1539">
        <f>AZ7+AY5</f>
        <v/>
      </c>
      <c r="BB5" s="1539">
        <f>BB7+AZ5</f>
        <v/>
      </c>
      <c r="BC5" s="1539">
        <f>BC7+BB5</f>
        <v/>
      </c>
      <c r="BD5" s="1539">
        <f>BD7+BC5</f>
        <v/>
      </c>
      <c r="BE5" s="1539">
        <f>BE7+BD5</f>
        <v/>
      </c>
      <c r="BF5" s="1539">
        <f>BF7+BE5</f>
        <v/>
      </c>
      <c r="BG5" s="1539">
        <f>BG7+BF5</f>
        <v/>
      </c>
      <c r="BH5" s="1539">
        <f>BH7+BG5</f>
        <v/>
      </c>
      <c r="BI5" s="1539">
        <f>BI7+BH5</f>
        <v/>
      </c>
      <c r="BJ5" s="1539">
        <f>BJ7+BI5</f>
        <v/>
      </c>
      <c r="BK5" s="1539">
        <f>BK7+BJ5</f>
        <v/>
      </c>
      <c r="BL5" s="1539">
        <f>BL7+BK5</f>
        <v/>
      </c>
      <c r="BM5" s="1539">
        <f>BM7+BL5</f>
        <v/>
      </c>
    </row>
    <row r="6" ht="15.75" customHeight="1" s="1883">
      <c r="A6" s="1599" t="inlineStr">
        <is>
          <t>Brands/user growth per month</t>
        </is>
      </c>
      <c r="B6" s="1955">
        <f>C36*0.1</f>
        <v/>
      </c>
      <c r="C6" s="1955">
        <f>B6*1.1</f>
        <v/>
      </c>
      <c r="D6" s="1955">
        <f>C6*1.1</f>
        <v/>
      </c>
      <c r="E6" s="1955">
        <f>D6*1.1</f>
        <v/>
      </c>
      <c r="F6" s="1955">
        <f>E6*1.1</f>
        <v/>
      </c>
      <c r="G6" s="1955">
        <f>F6*1.1</f>
        <v/>
      </c>
      <c r="H6" s="1955">
        <f>G6*1.1</f>
        <v/>
      </c>
      <c r="I6" s="1955">
        <f>H6*1.1</f>
        <v/>
      </c>
      <c r="J6" s="1955">
        <f>I6*1.1</f>
        <v/>
      </c>
      <c r="K6" s="1955">
        <f>J6*1.1</f>
        <v/>
      </c>
      <c r="L6" s="1955">
        <f>K6*1.1</f>
        <v/>
      </c>
      <c r="M6" s="1955">
        <f>L6*1.1</f>
        <v/>
      </c>
      <c r="O6" s="1955">
        <f>M6*1.1</f>
        <v/>
      </c>
      <c r="P6" s="1955">
        <f>O6*1.1</f>
        <v/>
      </c>
      <c r="Q6" s="1955">
        <f>P6*1.1</f>
        <v/>
      </c>
      <c r="R6" s="1955">
        <f>Q6*1.1</f>
        <v/>
      </c>
      <c r="S6" s="1955">
        <f>R6*1.1</f>
        <v/>
      </c>
      <c r="T6" s="1955">
        <f>S6*1.1</f>
        <v/>
      </c>
      <c r="U6" s="1955">
        <f>T6*1.05</f>
        <v/>
      </c>
      <c r="V6" s="1955">
        <f>U6*1.05</f>
        <v/>
      </c>
      <c r="W6" s="1955">
        <f>V6*1.05</f>
        <v/>
      </c>
      <c r="X6" s="1955">
        <f>W6*1.05</f>
        <v/>
      </c>
      <c r="Y6" s="1955">
        <f>X6*1.05</f>
        <v/>
      </c>
      <c r="Z6" s="1955">
        <f>Y6*1.05</f>
        <v/>
      </c>
      <c r="AB6" s="1955">
        <f>Z6*1.025</f>
        <v/>
      </c>
      <c r="AC6" s="1955">
        <f>AB6*1.025</f>
        <v/>
      </c>
      <c r="AD6" s="1955">
        <f>AC6*1.025</f>
        <v/>
      </c>
      <c r="AE6" s="1955">
        <f>AD6*1.025</f>
        <v/>
      </c>
      <c r="AF6" s="1955">
        <f>AE6*1.025</f>
        <v/>
      </c>
      <c r="AG6" s="1955">
        <f>AF6*1.025</f>
        <v/>
      </c>
      <c r="AH6" s="1955">
        <f>AG6*1.025</f>
        <v/>
      </c>
      <c r="AI6" s="1955">
        <f>AH6*1.025</f>
        <v/>
      </c>
      <c r="AJ6" s="1955">
        <f>AI6*1.025</f>
        <v/>
      </c>
      <c r="AK6" s="1955">
        <f>AJ6*1.025</f>
        <v/>
      </c>
      <c r="AL6" s="1955">
        <f>AK6*1.025</f>
        <v/>
      </c>
      <c r="AM6" s="1955">
        <f>AL6*1.025</f>
        <v/>
      </c>
      <c r="AO6" s="1955">
        <f>AM6*1.025</f>
        <v/>
      </c>
      <c r="AP6" s="1955">
        <f>AO6*1.025</f>
        <v/>
      </c>
      <c r="AQ6" s="1955">
        <f>AP6*1.025</f>
        <v/>
      </c>
      <c r="AR6" s="1955">
        <f>AQ6*1.025</f>
        <v/>
      </c>
      <c r="AS6" s="1955">
        <f>AR6*1.025</f>
        <v/>
      </c>
      <c r="AT6" s="1955">
        <f>AS6*1.025</f>
        <v/>
      </c>
      <c r="AU6" s="1955">
        <f>AT6*1.025</f>
        <v/>
      </c>
      <c r="AV6" s="1955">
        <f>AU6*1.01</f>
        <v/>
      </c>
      <c r="AW6" s="1955">
        <f>AV6*1.01</f>
        <v/>
      </c>
      <c r="AX6" s="1601">
        <f>AW6*1.01</f>
        <v/>
      </c>
      <c r="AY6" s="1955">
        <f>AX6*1.01</f>
        <v/>
      </c>
      <c r="AZ6" s="1955">
        <f>AY6*1.01</f>
        <v/>
      </c>
      <c r="BB6" s="1955">
        <f>AZ6*1.01</f>
        <v/>
      </c>
      <c r="BC6" s="1955">
        <f>BB6*1.01</f>
        <v/>
      </c>
      <c r="BD6" s="1955">
        <f>BC6*1.01</f>
        <v/>
      </c>
      <c r="BE6" s="1955">
        <f>BD6*1.01</f>
        <v/>
      </c>
      <c r="BF6" s="1955">
        <f>BE6*1.01</f>
        <v/>
      </c>
      <c r="BG6" s="1955">
        <f>BF6*1.01</f>
        <v/>
      </c>
      <c r="BH6" s="1955">
        <f>BG6*1.01</f>
        <v/>
      </c>
      <c r="BI6" s="1955">
        <f>BH6*1.01</f>
        <v/>
      </c>
      <c r="BJ6" s="1955">
        <f>BI6*1.01</f>
        <v/>
      </c>
      <c r="BK6" s="1955">
        <f>BJ6*1.01</f>
        <v/>
      </c>
      <c r="BL6" s="1955">
        <f>BK6*1.01</f>
        <v/>
      </c>
      <c r="BM6" s="1955">
        <f>BL6*1.01</f>
        <v/>
      </c>
    </row>
    <row r="7" ht="15.75" customHeight="1" s="1883" thickBot="1">
      <c r="A7" s="1955" t="inlineStr">
        <is>
          <t>Phones sold per month</t>
        </is>
      </c>
      <c r="B7" s="1539" t="n">
        <v>3000</v>
      </c>
      <c r="C7" s="1539">
        <f>ROUNDDOWN(B7*1.05,0.5)</f>
        <v/>
      </c>
      <c r="D7" s="1539">
        <f>ROUNDDOWN(C7*1.05,0.5)</f>
        <v/>
      </c>
      <c r="E7" s="1539">
        <f>ROUNDDOWN(D7*1.05,0.5)</f>
        <v/>
      </c>
      <c r="F7" s="1539">
        <f>ROUNDDOWN(E7*1.05,0.5)</f>
        <v/>
      </c>
      <c r="G7" s="1539">
        <f>ROUNDDOWN(F7*1.05,0.5)</f>
        <v/>
      </c>
      <c r="H7" s="1539">
        <f>ROUNDDOWN(G7*1.05,0.5)</f>
        <v/>
      </c>
      <c r="I7" s="1539">
        <f>ROUNDDOWN(H7*1.05,0.5)</f>
        <v/>
      </c>
      <c r="J7" s="1539">
        <f>ROUNDDOWN(I7*1.05,0.5)</f>
        <v/>
      </c>
      <c r="K7" s="1539">
        <f>ROUNDDOWN(J7*1.05,0.5)</f>
        <v/>
      </c>
      <c r="L7" s="1539">
        <f>ROUNDDOWN(K7*1.05,0.5)</f>
        <v/>
      </c>
      <c r="M7" s="1539">
        <f>ROUNDDOWN(L7*1.05,0.5)</f>
        <v/>
      </c>
      <c r="N7" s="1539" t="n"/>
      <c r="O7" s="1539">
        <f>ROUNDDOWN(M7*1.05,0.5)</f>
        <v/>
      </c>
      <c r="P7" s="1539">
        <f>ROUNDDOWN(O7*1.05,0.5)</f>
        <v/>
      </c>
      <c r="Q7" s="1539">
        <f>ROUNDDOWN(P7*1.05,0.5)</f>
        <v/>
      </c>
      <c r="R7" s="1539">
        <f>ROUNDDOWN(Q7*1.05,0.5)</f>
        <v/>
      </c>
      <c r="S7" s="1539">
        <f>ROUNDDOWN(R7*1.05,0.5)</f>
        <v/>
      </c>
      <c r="T7" s="1539">
        <f>ROUNDDOWN(S7*1.05,0.5)</f>
        <v/>
      </c>
      <c r="U7" s="1539">
        <f>ROUNDDOWN(T7*1.05,0.5)</f>
        <v/>
      </c>
      <c r="V7" s="1539">
        <f>ROUNDDOWN(U7*1.05,0.5)</f>
        <v/>
      </c>
      <c r="W7" s="1539">
        <f>ROUNDDOWN(V7*1.05,0.5)</f>
        <v/>
      </c>
      <c r="X7" s="1539">
        <f>ROUNDDOWN(W7*1.05,0.5)</f>
        <v/>
      </c>
      <c r="Y7" s="1539">
        <f>ROUNDDOWN(X7*1.05,0.5)</f>
        <v/>
      </c>
      <c r="Z7" s="1539">
        <f>ROUNDDOWN(Y7*1.05,0.5)</f>
        <v/>
      </c>
      <c r="AA7" s="1539" t="n"/>
      <c r="AB7" s="1539">
        <f>ROUNDDOWN(Z7*1.05,0.5)</f>
        <v/>
      </c>
      <c r="AC7" s="1539">
        <f>ROUNDDOWN(AB7*1.05,0.5)</f>
        <v/>
      </c>
      <c r="AD7" s="1539">
        <f>ROUNDDOWN(AC7*1.05,0.5)</f>
        <v/>
      </c>
      <c r="AE7" s="1539">
        <f>ROUNDDOWN(AD7*1.05,0.5)</f>
        <v/>
      </c>
      <c r="AF7" s="1539">
        <f>ROUNDDOWN(AE7*1.05,0.5)</f>
        <v/>
      </c>
      <c r="AG7" s="1539">
        <f>ROUNDDOWN(AF7*1.05,0.5)</f>
        <v/>
      </c>
      <c r="AH7" s="1539">
        <f>ROUNDDOWN(AG7*1.05,0.5)</f>
        <v/>
      </c>
      <c r="AI7" s="1539">
        <f>ROUNDDOWN(AH7*1.05,0.5)</f>
        <v/>
      </c>
      <c r="AJ7" s="1539">
        <f>ROUNDDOWN(AI7*1.05,0.5)</f>
        <v/>
      </c>
      <c r="AK7" s="1539">
        <f>ROUNDDOWN(AJ7*1.05,0.5)</f>
        <v/>
      </c>
      <c r="AL7" s="1539">
        <f>ROUNDDOWN(AK7*1.05,0.5)</f>
        <v/>
      </c>
      <c r="AM7" s="1539">
        <f>ROUNDDOWN(AL7*1.05,0.5)</f>
        <v/>
      </c>
      <c r="AN7" s="1539" t="n"/>
      <c r="AO7" s="1539">
        <f>ROUNDDOWN(AM7*1.05,0.5)</f>
        <v/>
      </c>
      <c r="AP7" s="1539">
        <f>ROUNDDOWN(AO7*1.05,0.5)</f>
        <v/>
      </c>
      <c r="AQ7" s="1539">
        <f>ROUNDDOWN(AP7*1.05,0.5)</f>
        <v/>
      </c>
      <c r="AR7" s="1539">
        <f>ROUNDDOWN(AQ7*1.05,0.5)</f>
        <v/>
      </c>
      <c r="AS7" s="1539">
        <f>ROUNDDOWN(AR7*1.05,0.5)</f>
        <v/>
      </c>
      <c r="AT7" s="1539">
        <f>ROUNDDOWN(AS7*1.05,0.5)</f>
        <v/>
      </c>
      <c r="AU7" s="1539">
        <f>ROUNDDOWN(AT7*1.05,0.5)</f>
        <v/>
      </c>
      <c r="AV7" s="1539">
        <f>ROUNDDOWN(AU7*1.05,0.5)</f>
        <v/>
      </c>
      <c r="AW7" s="1539">
        <f>ROUNDDOWN(AV7*1.05,0.5)</f>
        <v/>
      </c>
      <c r="AX7" s="1539">
        <f>ROUNDDOWN(AW7*1.05,0.5)</f>
        <v/>
      </c>
      <c r="AY7" s="1539">
        <f>ROUNDDOWN(AX7*1.05,0.5)</f>
        <v/>
      </c>
      <c r="AZ7" s="1539">
        <f>ROUNDDOWN(AY7*1.05,0.5)</f>
        <v/>
      </c>
      <c r="BA7" s="1539" t="n"/>
      <c r="BB7" s="1539">
        <f>ROUNDDOWN(AZ7*1.05,0.5)</f>
        <v/>
      </c>
      <c r="BC7" s="1539">
        <f>ROUNDDOWN(BB7*1.05,0.5)</f>
        <v/>
      </c>
      <c r="BD7" s="1539">
        <f>ROUNDDOWN(BC7*1.05,0.5)</f>
        <v/>
      </c>
      <c r="BE7" s="1539">
        <f>ROUNDDOWN(BD7*1.05,0.5)</f>
        <v/>
      </c>
      <c r="BF7" s="1539">
        <f>ROUNDDOWN(BE7*1.05,0.5)</f>
        <v/>
      </c>
      <c r="BG7" s="1539">
        <f>ROUNDDOWN(BF7*1.05,0.5)</f>
        <v/>
      </c>
      <c r="BH7" s="1539">
        <f>ROUNDDOWN(BG7*1.05,0.5)</f>
        <v/>
      </c>
      <c r="BI7" s="1539">
        <f>ROUNDDOWN(BH7*1.05,0.5)</f>
        <v/>
      </c>
      <c r="BJ7" s="1539">
        <f>ROUNDDOWN(BI7*1.05,0.5)</f>
        <v/>
      </c>
      <c r="BK7" s="1539">
        <f>ROUNDDOWN(BJ7*1.05,0.5)</f>
        <v/>
      </c>
      <c r="BL7" s="1539">
        <f>ROUNDDOWN(BK7*1.05,0.5)</f>
        <v/>
      </c>
      <c r="BM7" s="1539">
        <f>ROUNDDOWN(BL7*1.05,0.5)</f>
        <v/>
      </c>
    </row>
    <row r="8" ht="15" customHeight="1" s="1883">
      <c r="A8" s="1540" t="inlineStr">
        <is>
          <t>Itemization</t>
        </is>
      </c>
      <c r="B8" s="2091" t="inlineStr">
        <is>
          <t>Month 1</t>
        </is>
      </c>
      <c r="C8" s="2091" t="inlineStr">
        <is>
          <t>Month 2</t>
        </is>
      </c>
      <c r="D8" s="2091" t="inlineStr">
        <is>
          <t>Month 3</t>
        </is>
      </c>
      <c r="E8" s="2091" t="inlineStr">
        <is>
          <t>Month 4</t>
        </is>
      </c>
      <c r="F8" s="2091" t="inlineStr">
        <is>
          <t>Month 5</t>
        </is>
      </c>
      <c r="G8" s="2091" t="inlineStr">
        <is>
          <t>Month 6</t>
        </is>
      </c>
      <c r="H8" s="2091" t="inlineStr">
        <is>
          <t>Month 7</t>
        </is>
      </c>
      <c r="I8" s="2091" t="inlineStr">
        <is>
          <t>Month 8</t>
        </is>
      </c>
      <c r="J8" s="2091" t="inlineStr">
        <is>
          <t>Month 9</t>
        </is>
      </c>
      <c r="K8" s="2091" t="inlineStr">
        <is>
          <t>Month 10</t>
        </is>
      </c>
      <c r="L8" s="2091" t="inlineStr">
        <is>
          <t>Month 11</t>
        </is>
      </c>
      <c r="M8" s="2091" t="inlineStr">
        <is>
          <t>Month 12</t>
        </is>
      </c>
      <c r="N8" s="2092" t="inlineStr">
        <is>
          <t>TOTAL Y1</t>
        </is>
      </c>
      <c r="O8" s="2091" t="inlineStr">
        <is>
          <t>Month 13</t>
        </is>
      </c>
      <c r="P8" s="2091" t="inlineStr">
        <is>
          <t>Month 14</t>
        </is>
      </c>
      <c r="Q8" s="2091" t="inlineStr">
        <is>
          <t>Month 15</t>
        </is>
      </c>
      <c r="R8" s="2091" t="inlineStr">
        <is>
          <t>Month 16</t>
        </is>
      </c>
      <c r="S8" s="2091" t="inlineStr">
        <is>
          <t>Month 17</t>
        </is>
      </c>
      <c r="T8" s="2091" t="inlineStr">
        <is>
          <t>Month 18</t>
        </is>
      </c>
      <c r="U8" s="2091" t="inlineStr">
        <is>
          <t>Month 19</t>
        </is>
      </c>
      <c r="V8" s="2091" t="inlineStr">
        <is>
          <t>Month 20</t>
        </is>
      </c>
      <c r="W8" s="2091" t="inlineStr">
        <is>
          <t>Month 21</t>
        </is>
      </c>
      <c r="X8" s="2091" t="inlineStr">
        <is>
          <t>Month 22</t>
        </is>
      </c>
      <c r="Y8" s="2091" t="inlineStr">
        <is>
          <t>Month 23</t>
        </is>
      </c>
      <c r="Z8" s="2091" t="inlineStr">
        <is>
          <t>Month 24</t>
        </is>
      </c>
      <c r="AA8" s="2092" t="inlineStr">
        <is>
          <t>TOTAL Y2</t>
        </is>
      </c>
      <c r="AB8" s="2093" t="inlineStr">
        <is>
          <t>Month 25</t>
        </is>
      </c>
      <c r="AC8" s="2093" t="inlineStr">
        <is>
          <t>Month 26</t>
        </is>
      </c>
      <c r="AD8" s="2093" t="inlineStr">
        <is>
          <t>Month 27</t>
        </is>
      </c>
      <c r="AE8" s="2093" t="inlineStr">
        <is>
          <t>Month 28</t>
        </is>
      </c>
      <c r="AF8" s="2093" t="inlineStr">
        <is>
          <t>Month 29</t>
        </is>
      </c>
      <c r="AG8" s="2093" t="inlineStr">
        <is>
          <t>Month 30</t>
        </is>
      </c>
      <c r="AH8" s="2093" t="inlineStr">
        <is>
          <t>Month 31</t>
        </is>
      </c>
      <c r="AI8" s="2093" t="inlineStr">
        <is>
          <t>Month 32</t>
        </is>
      </c>
      <c r="AJ8" s="2093" t="inlineStr">
        <is>
          <t>Month 33</t>
        </is>
      </c>
      <c r="AK8" s="2093" t="inlineStr">
        <is>
          <t>Month 34</t>
        </is>
      </c>
      <c r="AL8" s="2093" t="inlineStr">
        <is>
          <t>Month 35</t>
        </is>
      </c>
      <c r="AM8" s="2093" t="inlineStr">
        <is>
          <t>Month 36</t>
        </is>
      </c>
      <c r="AN8" s="2092" t="inlineStr">
        <is>
          <t>TOTAL Y3</t>
        </is>
      </c>
      <c r="AO8" s="2093" t="inlineStr">
        <is>
          <t>Month 37</t>
        </is>
      </c>
      <c r="AP8" s="2093" t="inlineStr">
        <is>
          <t>Month 38</t>
        </is>
      </c>
      <c r="AQ8" s="2093" t="inlineStr">
        <is>
          <t>Month 39</t>
        </is>
      </c>
      <c r="AR8" s="2093" t="inlineStr">
        <is>
          <t>Month 40</t>
        </is>
      </c>
      <c r="AS8" s="2093" t="inlineStr">
        <is>
          <t>Month 41</t>
        </is>
      </c>
      <c r="AT8" s="2093" t="inlineStr">
        <is>
          <t>Month 42</t>
        </is>
      </c>
      <c r="AU8" s="2093" t="inlineStr">
        <is>
          <t>Month 43</t>
        </is>
      </c>
      <c r="AV8" s="2093" t="inlineStr">
        <is>
          <t>Month 44</t>
        </is>
      </c>
      <c r="AW8" s="2093" t="inlineStr">
        <is>
          <t>Month 45</t>
        </is>
      </c>
      <c r="AX8" s="2093" t="inlineStr">
        <is>
          <t>Month 46</t>
        </is>
      </c>
      <c r="AY8" s="2093" t="inlineStr">
        <is>
          <t>Month 47</t>
        </is>
      </c>
      <c r="AZ8" s="2093" t="inlineStr">
        <is>
          <t>Month 48</t>
        </is>
      </c>
      <c r="BA8" s="2092" t="inlineStr">
        <is>
          <t>TOTAL Y4</t>
        </is>
      </c>
      <c r="BB8" s="2093" t="inlineStr">
        <is>
          <t>Month 49</t>
        </is>
      </c>
      <c r="BC8" s="2093" t="inlineStr">
        <is>
          <t>Month 50</t>
        </is>
      </c>
      <c r="BD8" s="2093" t="inlineStr">
        <is>
          <t>Month 51</t>
        </is>
      </c>
      <c r="BE8" s="2093" t="inlineStr">
        <is>
          <t>Month 52</t>
        </is>
      </c>
      <c r="BF8" s="2093" t="inlineStr">
        <is>
          <t>Month 53</t>
        </is>
      </c>
      <c r="BG8" s="2093" t="inlineStr">
        <is>
          <t>Month 54</t>
        </is>
      </c>
      <c r="BH8" s="2093" t="inlineStr">
        <is>
          <t>Month 55</t>
        </is>
      </c>
      <c r="BI8" s="2093" t="inlineStr">
        <is>
          <t>Month 56</t>
        </is>
      </c>
      <c r="BJ8" s="2093" t="inlineStr">
        <is>
          <t>Month 57</t>
        </is>
      </c>
      <c r="BK8" s="2093" t="inlineStr">
        <is>
          <t>Month 58</t>
        </is>
      </c>
      <c r="BL8" s="2093" t="inlineStr">
        <is>
          <t>Month 59</t>
        </is>
      </c>
      <c r="BM8" s="2093" t="inlineStr">
        <is>
          <t>Month 60</t>
        </is>
      </c>
      <c r="BN8" s="2092" t="inlineStr">
        <is>
          <t>TOTAL Y5</t>
        </is>
      </c>
    </row>
    <row r="9" ht="15" customHeight="1" s="1883">
      <c r="A9" s="1544" t="inlineStr">
        <is>
          <t>Customization Revenue</t>
        </is>
      </c>
      <c r="B9" s="1545" t="n">
        <v>59375</v>
      </c>
      <c r="C9" s="1545">
        <f>Table13[[#This Row],[Month 1]]*1.005</f>
        <v/>
      </c>
      <c r="D9" s="1545">
        <f>Table13[[#This Row],[Month 2]]*1.005</f>
        <v/>
      </c>
      <c r="E9" s="1545">
        <f>Table13[[#This Row],[Month 3]]*1.005</f>
        <v/>
      </c>
      <c r="F9" s="1545">
        <f>Table13[[#This Row],[Month 4]]*1.005</f>
        <v/>
      </c>
      <c r="G9" s="1545">
        <f>Table13[[#This Row],[Month 5]]*1.005</f>
        <v/>
      </c>
      <c r="H9" s="1545">
        <f>Table13[[#This Row],[Month 6]]*1.005</f>
        <v/>
      </c>
      <c r="I9" s="1545">
        <f>Table13[[#This Row],[Month 7]]*1.005</f>
        <v/>
      </c>
      <c r="J9" s="1545">
        <f>Table13[[#This Row],[Month 8]]*1.005</f>
        <v/>
      </c>
      <c r="K9" s="1545">
        <f>Table13[[#This Row],[Month 9]]*1.005</f>
        <v/>
      </c>
      <c r="L9" s="1545">
        <f>Table13[[#This Row],[Month 9]]*1.005</f>
        <v/>
      </c>
      <c r="M9" s="1546">
        <f>Table13[[#This Row],[Month 10]]*1.005</f>
        <v/>
      </c>
      <c r="N9" s="1547">
        <f>SUM(Table13[[#This Row],[Month 1]]:Table13[[#This Row],[Month 12]])</f>
        <v/>
      </c>
      <c r="O9" s="1548">
        <f>Table13[[#This Row],[Month 12]]*1.005</f>
        <v/>
      </c>
      <c r="P9" s="1545">
        <f>Table13[[#This Row],[Month 13]]*1.005</f>
        <v/>
      </c>
      <c r="Q9" s="1545">
        <f>Table13[[#This Row],[Month 14]]*1.005</f>
        <v/>
      </c>
      <c r="R9" s="1545">
        <f>Table13[[#This Row],[Month 15]]*1.005</f>
        <v/>
      </c>
      <c r="S9" s="1545">
        <f>Table13[[#This Row],[Month 16]]*1.005</f>
        <v/>
      </c>
      <c r="T9" s="1545">
        <f>Table13[[#This Row],[Month 17]]*1.005</f>
        <v/>
      </c>
      <c r="U9" s="1545">
        <f>Table13[[#This Row],[Month 18]]*1.005</f>
        <v/>
      </c>
      <c r="V9" s="1545">
        <f>Table13[[#This Row],[Month 19]]*1.005</f>
        <v/>
      </c>
      <c r="W9" s="1545">
        <f>Table13[[#This Row],[Month 20]]*1.005</f>
        <v/>
      </c>
      <c r="X9" s="1545">
        <f>Table13[[#This Row],[Month 21]]*1.005</f>
        <v/>
      </c>
      <c r="Y9" s="1545">
        <f>Table13[[#This Row],[Month 22]]*1.005</f>
        <v/>
      </c>
      <c r="Z9" s="1546">
        <f>Table13[[#This Row],[Month 23]]*1.005</f>
        <v/>
      </c>
      <c r="AA9" s="1547">
        <f>SUM(Table13[[#This Row],[Month 13]]:Table13[[#This Row],[Month 24]])</f>
        <v/>
      </c>
      <c r="AB9" s="1548">
        <f>Table13[[#This Row],[Month 24]]*1.005</f>
        <v/>
      </c>
      <c r="AC9" s="1545">
        <f>Table13[[#This Row],[Month 25]]*1.005</f>
        <v/>
      </c>
      <c r="AD9" s="1545">
        <f>Table13[[#This Row],[Month 26]]*1.005</f>
        <v/>
      </c>
      <c r="AE9" s="1545">
        <f>Table13[[#This Row],[Month 27]]*1.005</f>
        <v/>
      </c>
      <c r="AF9" s="1545">
        <f>Table13[[#This Row],[Month 28]]*1.005</f>
        <v/>
      </c>
      <c r="AG9" s="1545">
        <f>Table13[[#This Row],[Month 29]]*1.005</f>
        <v/>
      </c>
      <c r="AH9" s="1545">
        <f>Table13[[#This Row],[Month 30]]*1.005</f>
        <v/>
      </c>
      <c r="AI9" s="1545">
        <f>Table13[[#This Row],[Month 31]]*1.005</f>
        <v/>
      </c>
      <c r="AJ9" s="1545">
        <f>Table13[[#This Row],[Month 32]]*1.005</f>
        <v/>
      </c>
      <c r="AK9" s="1545">
        <f>Table13[[#This Row],[Month 33]]*1.005</f>
        <v/>
      </c>
      <c r="AL9" s="1545">
        <f>Table13[[#This Row],[Month 34]]*1.005</f>
        <v/>
      </c>
      <c r="AM9" s="1546">
        <f>Table13[[#This Row],[Month 35]]*1.005</f>
        <v/>
      </c>
      <c r="AN9" s="1547">
        <f>SUM(Table13[[#This Row],[Month 25]]:Table13[[#This Row],[Month 36]])</f>
        <v/>
      </c>
      <c r="AO9" s="1548">
        <f>Table13[[#This Row],[Month 36]]*1.005</f>
        <v/>
      </c>
      <c r="AP9" s="1545">
        <f>Table13[[#This Row],[Month 37]]*1.005</f>
        <v/>
      </c>
      <c r="AQ9" s="1545">
        <f>Table13[[#This Row],[Month 38]]*1.005</f>
        <v/>
      </c>
      <c r="AR9" s="1545">
        <f>Table13[[#This Row],[Month 39]]*1.005</f>
        <v/>
      </c>
      <c r="AS9" s="1545">
        <f>Table13[[#This Row],[Month 40]]*1.005</f>
        <v/>
      </c>
      <c r="AT9" s="1545">
        <f>Table13[[#This Row],[Month 41]]*1.005</f>
        <v/>
      </c>
      <c r="AU9" s="1545">
        <f>Table13[[#This Row],[Month 42]]*1.005</f>
        <v/>
      </c>
      <c r="AV9" s="1545">
        <f>Table13[[#This Row],[Month 43]]*1.005</f>
        <v/>
      </c>
      <c r="AW9" s="1545">
        <f>Table13[[#This Row],[Month 44]]*1.005</f>
        <v/>
      </c>
      <c r="AX9" s="1545">
        <f>Table13[[#This Row],[Month 45]]*1.005</f>
        <v/>
      </c>
      <c r="AY9" s="1545">
        <f>Table13[[#This Row],[Month 46]]*1.005</f>
        <v/>
      </c>
      <c r="AZ9" s="1546">
        <f>Table13[[#This Row],[Month 47]]*1.005</f>
        <v/>
      </c>
      <c r="BA9" s="1547">
        <f>SUM(Table13[[#This Row],[Month 37]]:Table13[[#This Row],[Month 48]])</f>
        <v/>
      </c>
      <c r="BB9" s="1548">
        <f>Table13[[#This Row],[Month 48]]*1.005</f>
        <v/>
      </c>
      <c r="BC9" s="1545">
        <f>Table13[[#This Row],[Month 37]]*1.005</f>
        <v/>
      </c>
      <c r="BD9" s="1545">
        <f>Table13[[#This Row],[Month 38]]*1.005</f>
        <v/>
      </c>
      <c r="BE9" s="1545">
        <f>Table13[[#This Row],[Month 39]]*1.005</f>
        <v/>
      </c>
      <c r="BF9" s="1545">
        <f>Table13[[#This Row],[Month 40]]*1.005</f>
        <v/>
      </c>
      <c r="BG9" s="1545">
        <f>Table13[[#This Row],[Month 41]]*1.005</f>
        <v/>
      </c>
      <c r="BH9" s="1545">
        <f>Table13[[#This Row],[Month 42]]*1.005</f>
        <v/>
      </c>
      <c r="BI9" s="1545">
        <f>Table13[[#This Row],[Month 43]]*1.005</f>
        <v/>
      </c>
      <c r="BJ9" s="1545">
        <f>Table13[[#This Row],[Month 44]]*1.005</f>
        <v/>
      </c>
      <c r="BK9" s="1545">
        <f>Table13[[#This Row],[Month 45]]*1.005</f>
        <v/>
      </c>
      <c r="BL9" s="1545">
        <f>Table13[[#This Row],[Month 46]]*1.005</f>
        <v/>
      </c>
      <c r="BM9" s="1545">
        <f>Table13[[#This Row],[Month 47]]*1.005</f>
        <v/>
      </c>
      <c r="BN9" s="1547">
        <f>SUM(Table13[[#This Row],[Month 49]]:Table13[[#This Row],[Month 60]])</f>
        <v/>
      </c>
    </row>
    <row r="10" ht="15" customHeight="1" s="1883">
      <c r="A10" s="1549" t="inlineStr">
        <is>
          <t>Phone Revenue*</t>
        </is>
      </c>
      <c r="B10" s="1550">
        <f>H81*B7</f>
        <v/>
      </c>
      <c r="C10" s="1550">
        <f>H81*C7</f>
        <v/>
      </c>
      <c r="D10" s="1550">
        <f>H81*D7</f>
        <v/>
      </c>
      <c r="E10" s="1550">
        <f>H81*E7</f>
        <v/>
      </c>
      <c r="F10" s="1550">
        <f>H81*F7</f>
        <v/>
      </c>
      <c r="G10" s="1550">
        <f>H81*G7</f>
        <v/>
      </c>
      <c r="H10" s="1550">
        <f>H81*H7</f>
        <v/>
      </c>
      <c r="I10" s="1550">
        <f>H81*I7</f>
        <v/>
      </c>
      <c r="J10" s="1550">
        <f>H81*J7</f>
        <v/>
      </c>
      <c r="K10" s="1550">
        <f>H81*K7</f>
        <v/>
      </c>
      <c r="L10" s="1550">
        <f>H81*L7</f>
        <v/>
      </c>
      <c r="M10" s="1551">
        <f>H81*M7</f>
        <v/>
      </c>
      <c r="N10" s="1552">
        <f>SUM(Table13[[#This Row],[Month 1]]:Table13[[#This Row],[Month 12]])</f>
        <v/>
      </c>
      <c r="O10" s="1553">
        <f>H81*O7</f>
        <v/>
      </c>
      <c r="P10" s="1554">
        <f>H81*P7</f>
        <v/>
      </c>
      <c r="Q10" s="1554">
        <f>H81*Q7</f>
        <v/>
      </c>
      <c r="R10" s="1554">
        <f>H81*R7</f>
        <v/>
      </c>
      <c r="S10" s="1554">
        <f>H81*S7</f>
        <v/>
      </c>
      <c r="T10" s="1554">
        <f>H81*T7</f>
        <v/>
      </c>
      <c r="U10" s="1554">
        <f>H81*U7</f>
        <v/>
      </c>
      <c r="V10" s="1554">
        <f>H81*V7</f>
        <v/>
      </c>
      <c r="W10" s="1554">
        <f>H81*W7</f>
        <v/>
      </c>
      <c r="X10" s="1554">
        <f>H81*X7</f>
        <v/>
      </c>
      <c r="Y10" s="1554">
        <f>H81*Y7</f>
        <v/>
      </c>
      <c r="Z10" s="1551">
        <f>H81*Z7</f>
        <v/>
      </c>
      <c r="AA10" s="1552">
        <f>SUM(Table13[[#This Row],[Month 13]]:Table13[[#This Row],[Month 24]])</f>
        <v/>
      </c>
      <c r="AB10" s="1553">
        <f>H81*AB7</f>
        <v/>
      </c>
      <c r="AC10" s="1554">
        <f>H81*AC7</f>
        <v/>
      </c>
      <c r="AD10" s="1554">
        <f>H81*AD7</f>
        <v/>
      </c>
      <c r="AE10" s="1554">
        <f>H81*AE7</f>
        <v/>
      </c>
      <c r="AF10" s="1554">
        <f>H81*AF7</f>
        <v/>
      </c>
      <c r="AG10" s="1554">
        <f>H81*AG7</f>
        <v/>
      </c>
      <c r="AH10" s="1554">
        <f>H81*AH7</f>
        <v/>
      </c>
      <c r="AI10" s="1554">
        <f>H81*AI7</f>
        <v/>
      </c>
      <c r="AJ10" s="1554">
        <f>H81*AJ7</f>
        <v/>
      </c>
      <c r="AK10" s="1554">
        <f>H81*AK7</f>
        <v/>
      </c>
      <c r="AL10" s="1554">
        <f>H81*AL7</f>
        <v/>
      </c>
      <c r="AM10" s="1551">
        <f>H81*AM7</f>
        <v/>
      </c>
      <c r="AN10" s="1547">
        <f>SUM(Table13[[#This Row],[Month 25]]:Table13[[#This Row],[Month 36]])</f>
        <v/>
      </c>
      <c r="AO10" s="1553">
        <f>H81*AO7</f>
        <v/>
      </c>
      <c r="AP10" s="1554">
        <f>H81*AP7</f>
        <v/>
      </c>
      <c r="AQ10" s="1554">
        <f>H81*AQ7</f>
        <v/>
      </c>
      <c r="AR10" s="1554">
        <f>H81*AR7</f>
        <v/>
      </c>
      <c r="AS10" s="1554">
        <f>H81*AS7</f>
        <v/>
      </c>
      <c r="AT10" s="1554">
        <f>H81*AT7</f>
        <v/>
      </c>
      <c r="AU10" s="1554">
        <f>H81*AU7</f>
        <v/>
      </c>
      <c r="AV10" s="1554">
        <f>H81*AV7</f>
        <v/>
      </c>
      <c r="AW10" s="1554">
        <f>H81*AW7</f>
        <v/>
      </c>
      <c r="AX10" s="1554">
        <f>H81*AX7</f>
        <v/>
      </c>
      <c r="AY10" s="1554">
        <f>H81*AY7</f>
        <v/>
      </c>
      <c r="AZ10" s="1551">
        <f>H81*AZ7</f>
        <v/>
      </c>
      <c r="BA10" s="1547">
        <f>SUM(Table13[[#This Row],[Month 37]]:Table13[[#This Row],[Month 48]])</f>
        <v/>
      </c>
      <c r="BB10" s="1553">
        <f>H81*BB7</f>
        <v/>
      </c>
      <c r="BC10" s="1554">
        <f>H81*BC7</f>
        <v/>
      </c>
      <c r="BD10" s="1554">
        <f>H81*BD7</f>
        <v/>
      </c>
      <c r="BE10" s="1554">
        <f>H81*BE7</f>
        <v/>
      </c>
      <c r="BF10" s="1554">
        <f>H81*BF7</f>
        <v/>
      </c>
      <c r="BG10" s="1554">
        <f>H81*BG7</f>
        <v/>
      </c>
      <c r="BH10" s="1554">
        <f>H81*BH7</f>
        <v/>
      </c>
      <c r="BI10" s="1554">
        <f>H81*BI7</f>
        <v/>
      </c>
      <c r="BJ10" s="1554">
        <f>H81*BJ7</f>
        <v/>
      </c>
      <c r="BK10" s="1554">
        <f>H81*BK7</f>
        <v/>
      </c>
      <c r="BL10" s="1554">
        <f>H81*BL7</f>
        <v/>
      </c>
      <c r="BM10" s="1551">
        <f>H81*BM7</f>
        <v/>
      </c>
      <c r="BN10" s="1547">
        <f>SUM(Table13[[#This Row],[Month 49]]:Table13[[#This Row],[Month 60]])</f>
        <v/>
      </c>
    </row>
    <row r="11" ht="15" customHeight="1" s="1883">
      <c r="A11" s="1549" t="inlineStr">
        <is>
          <t>POS Revenue</t>
        </is>
      </c>
      <c r="B11" s="1545">
        <f>($C$35/12*0.03)*(B5*0.7)</f>
        <v/>
      </c>
      <c r="C11" s="1545">
        <f>($C$35/12*0.03)*(C5*0.7)</f>
        <v/>
      </c>
      <c r="D11" s="1545">
        <f>($C$35/12*0.03)*(D5*0.7)</f>
        <v/>
      </c>
      <c r="E11" s="1545">
        <f>($C$35/12*0.03)*(E5*0.7)</f>
        <v/>
      </c>
      <c r="F11" s="1545">
        <f>($C$35/12*0.03)*(F5*0.7)</f>
        <v/>
      </c>
      <c r="G11" s="1545">
        <f>($C$35/12*0.03)*(G5*0.7)</f>
        <v/>
      </c>
      <c r="H11" s="1545">
        <f>($C$35/12*0.03)*(H5*0.7)</f>
        <v/>
      </c>
      <c r="I11" s="1545">
        <f>($C$35/12*0.03)*(I5*0.7)</f>
        <v/>
      </c>
      <c r="J11" s="1545">
        <f>($C$35/12*0.03)*(J5*0.7)</f>
        <v/>
      </c>
      <c r="K11" s="1545">
        <f>($C$35/12*0.03)*(K5*0.7)</f>
        <v/>
      </c>
      <c r="L11" s="1545">
        <f>($C$35/12*0.03)*(L5*0.7)</f>
        <v/>
      </c>
      <c r="M11" s="1545">
        <f>($C$35/12*0.03)*(M5*0.7)</f>
        <v/>
      </c>
      <c r="N11" s="1552">
        <f>SUM(Table13[[#This Row],[Month 1]]:Table13[[#This Row],[Month 12]])</f>
        <v/>
      </c>
      <c r="O11" s="1545">
        <f>($C$35/12*0.03)*(O5*0.7)</f>
        <v/>
      </c>
      <c r="P11" s="1545">
        <f>($C$35/12*0.03)*(P5*0.7)</f>
        <v/>
      </c>
      <c r="Q11" s="1545">
        <f>($C$35/12*0.03)*(Q5*0.7)</f>
        <v/>
      </c>
      <c r="R11" s="1545">
        <f>($C$35/12*0.03)*(R5*0.7)</f>
        <v/>
      </c>
      <c r="S11" s="1545">
        <f>($C$35/12*0.03)*(S5*0.7)</f>
        <v/>
      </c>
      <c r="T11" s="1545">
        <f>($C$35/12*0.03)*(T5*0.7)</f>
        <v/>
      </c>
      <c r="U11" s="1545">
        <f>($C$35/12*0.03)*(U5*0.7)</f>
        <v/>
      </c>
      <c r="V11" s="1545">
        <f>($C$35/12*0.03)*(V5*0.7)</f>
        <v/>
      </c>
      <c r="W11" s="1545">
        <f>($C$35/12*0.03)*(W5*0.7)</f>
        <v/>
      </c>
      <c r="X11" s="1545">
        <f>($C$35/12*0.03)*(X5*0.7)</f>
        <v/>
      </c>
      <c r="Y11" s="1545">
        <f>($C$35/12*0.03)*(Y5*0.7)</f>
        <v/>
      </c>
      <c r="Z11" s="1545">
        <f>($C$35/12*0.03)*(Z5*0.7)</f>
        <v/>
      </c>
      <c r="AA11" s="1552">
        <f>SUM(Table13[[#This Row],[Month 13]]:Table13[[#This Row],[Month 24]])</f>
        <v/>
      </c>
      <c r="AB11" s="1545">
        <f>($C$35/12*0.03)*(AB5*0.7)</f>
        <v/>
      </c>
      <c r="AC11" s="1545">
        <f>($C$35/12*0.03)*(AC5*0.7)</f>
        <v/>
      </c>
      <c r="AD11" s="1545">
        <f>($C$35/12*0.03)*(AD5*0.7)</f>
        <v/>
      </c>
      <c r="AE11" s="1545">
        <f>($C$35/12*0.03)*(AE5*0.7)</f>
        <v/>
      </c>
      <c r="AF11" s="1545">
        <f>($C$35/12*0.03)*(AF5*0.7)</f>
        <v/>
      </c>
      <c r="AG11" s="1545">
        <f>($C$35/12*0.03)*(AG5*0.7)</f>
        <v/>
      </c>
      <c r="AH11" s="1545">
        <f>($C$35/12*0.03)*(AH5*0.7)</f>
        <v/>
      </c>
      <c r="AI11" s="1545">
        <f>($C$35/12*0.03)*(AI5*0.7)</f>
        <v/>
      </c>
      <c r="AJ11" s="1545">
        <f>($C$35/12*0.03)*(AJ5*0.7)</f>
        <v/>
      </c>
      <c r="AK11" s="1545">
        <f>($C$35/12*0.03)*(AK5*0.7)</f>
        <v/>
      </c>
      <c r="AL11" s="1545">
        <f>($C$35/12*0.03)*(AL5*0.7)</f>
        <v/>
      </c>
      <c r="AM11" s="1545">
        <f>($C$35/12*0.03)*(AM5*0.7)</f>
        <v/>
      </c>
      <c r="AN11" s="1547">
        <f>SUM(Table13[[#This Row],[Month 25]]:Table13[[#This Row],[Month 36]])</f>
        <v/>
      </c>
      <c r="AO11" s="1545">
        <f>($C$35/12*0.03)*(AO5*0.7)</f>
        <v/>
      </c>
      <c r="AP11" s="1545">
        <f>($C$35/12*0.03)*(AP5*0.7)</f>
        <v/>
      </c>
      <c r="AQ11" s="1545">
        <f>($C$35/12*0.03)*(AQ5*0.7)</f>
        <v/>
      </c>
      <c r="AR11" s="1545">
        <f>($C$35/12*0.03)*(AR5*0.7)</f>
        <v/>
      </c>
      <c r="AS11" s="1545">
        <f>($C$35/12*0.03)*(AS5*0.7)</f>
        <v/>
      </c>
      <c r="AT11" s="1545">
        <f>($C$35/12*0.03)*(AT5*0.7)</f>
        <v/>
      </c>
      <c r="AU11" s="1545">
        <f>($C$35/12*0.03)*(AU5*0.7)</f>
        <v/>
      </c>
      <c r="AV11" s="1545">
        <f>($C$35/12*0.03)*(AV5*0.7)</f>
        <v/>
      </c>
      <c r="AW11" s="1545">
        <f>($C$35/12*0.03)*(AW5*0.7)</f>
        <v/>
      </c>
      <c r="AX11" s="1545">
        <f>($C$35/12*0.03)*(AX5*0.7)</f>
        <v/>
      </c>
      <c r="AY11" s="1545">
        <f>($C$35/12*0.03)*(AY5*0.7)</f>
        <v/>
      </c>
      <c r="AZ11" s="1545">
        <f>($C$35/12*0.03)*(AZ5*0.7)</f>
        <v/>
      </c>
      <c r="BA11" s="1547">
        <f>SUM(Table13[[#This Row],[Month 37]]:Table13[[#This Row],[Month 48]])</f>
        <v/>
      </c>
      <c r="BB11" s="1545">
        <f>($C$35/12*0.03)*(BB5*0.7)</f>
        <v/>
      </c>
      <c r="BC11" s="1545">
        <f>($C$35/12*0.03)*(BC5*0.7)</f>
        <v/>
      </c>
      <c r="BD11" s="1545">
        <f>($C$35/12*0.03)*(BD5*0.7)</f>
        <v/>
      </c>
      <c r="BE11" s="1545">
        <f>($C$35/12*0.03)*(BE5*0.7)</f>
        <v/>
      </c>
      <c r="BF11" s="1545">
        <f>($C$35/12*0.03)*(BF5*0.7)</f>
        <v/>
      </c>
      <c r="BG11" s="1545">
        <f>($C$35/12*0.03)*(BG5*0.7)</f>
        <v/>
      </c>
      <c r="BH11" s="1545">
        <f>($C$35/12*0.03)*(BH5*0.7)</f>
        <v/>
      </c>
      <c r="BI11" s="1545">
        <f>($C$35/12*0.03)*(BI5*0.7)</f>
        <v/>
      </c>
      <c r="BJ11" s="1545">
        <f>($C$35/12*0.03)*(BJ5*0.7)</f>
        <v/>
      </c>
      <c r="BK11" s="1545">
        <f>($C$35/12*0.03)*(BK5*0.7)</f>
        <v/>
      </c>
      <c r="BL11" s="1545">
        <f>($C$35/12*0.03)*(BL5*0.7)</f>
        <v/>
      </c>
      <c r="BM11" s="1545">
        <f>($C$35/12*0.03)*(BM5*0.7)</f>
        <v/>
      </c>
      <c r="BN11" s="1547">
        <f>SUM(Table13[[#This Row],[Month 49]]:Table13[[#This Row],[Month 60]])</f>
        <v/>
      </c>
    </row>
    <row r="12" ht="15" customHeight="1" s="1883">
      <c r="A12" s="1549" t="inlineStr">
        <is>
          <t>SaaS Revenue</t>
        </is>
      </c>
      <c r="B12" s="1550">
        <f>($C$37*B5)*B6</f>
        <v/>
      </c>
      <c r="C12" s="1550">
        <f>($C$37*C5)*C6</f>
        <v/>
      </c>
      <c r="D12" s="1550">
        <f>($C$37*D5)*D6</f>
        <v/>
      </c>
      <c r="E12" s="1550">
        <f>($C$37*E5)*E6</f>
        <v/>
      </c>
      <c r="F12" s="1550">
        <f>($C$37*F5)*F6</f>
        <v/>
      </c>
      <c r="G12" s="1550">
        <f>($C$37*G5)*G6</f>
        <v/>
      </c>
      <c r="H12" s="1550">
        <f>($C$37*H5)*H6</f>
        <v/>
      </c>
      <c r="I12" s="1550">
        <f>($C$37*I5)*I6</f>
        <v/>
      </c>
      <c r="J12" s="1550">
        <f>($C$37*J5)*J6</f>
        <v/>
      </c>
      <c r="K12" s="1550">
        <f>($C$37*K5)*K6</f>
        <v/>
      </c>
      <c r="L12" s="1550">
        <f>($C$37*L5)*L6</f>
        <v/>
      </c>
      <c r="M12" s="1550">
        <f>($C$37*M5)*M6</f>
        <v/>
      </c>
      <c r="N12" s="1552">
        <f>SUM(Table13[[#This Row],[Month 1]]:Table13[[#This Row],[Month 12]])</f>
        <v/>
      </c>
      <c r="O12" s="1550">
        <f>($C$37*O5)*O6</f>
        <v/>
      </c>
      <c r="P12" s="1550">
        <f>($C$37*P5)*P6</f>
        <v/>
      </c>
      <c r="Q12" s="1550">
        <f>($C$37*Q5)*Q6</f>
        <v/>
      </c>
      <c r="R12" s="1550">
        <f>($C$37*R5)*R6</f>
        <v/>
      </c>
      <c r="S12" s="1550">
        <f>($C$37*S5)*S6</f>
        <v/>
      </c>
      <c r="T12" s="1550">
        <f>($C$37*T5)*T6</f>
        <v/>
      </c>
      <c r="U12" s="1550">
        <f>($C$37*U5)*U6</f>
        <v/>
      </c>
      <c r="V12" s="1550">
        <f>($C$37*V5)*V6</f>
        <v/>
      </c>
      <c r="W12" s="1550">
        <f>($C$37*W5)*W6</f>
        <v/>
      </c>
      <c r="X12" s="1550">
        <f>($C$37*X5)*X6</f>
        <v/>
      </c>
      <c r="Y12" s="1550">
        <f>($C$37*Y5)*Y6</f>
        <v/>
      </c>
      <c r="Z12" s="1550">
        <f>($C$37*Z5)*Z6</f>
        <v/>
      </c>
      <c r="AA12" s="1552">
        <f>SUM(Table13[[#This Row],[Month 13]]:Table13[[#This Row],[Month 24]])</f>
        <v/>
      </c>
      <c r="AB12" s="1550">
        <f>($C$37*AB5)*AB6</f>
        <v/>
      </c>
      <c r="AC12" s="1550">
        <f>($C$37*AC5)*AC6</f>
        <v/>
      </c>
      <c r="AD12" s="1550">
        <f>($C$37*AD5)*AD6</f>
        <v/>
      </c>
      <c r="AE12" s="1550">
        <f>($C$37*AE5)*AE6</f>
        <v/>
      </c>
      <c r="AF12" s="1550">
        <f>($C$37*AF5)*AF6</f>
        <v/>
      </c>
      <c r="AG12" s="1550">
        <f>($C$37*AG5)*AG6</f>
        <v/>
      </c>
      <c r="AH12" s="1550">
        <f>($C$37*AH5)*AH6</f>
        <v/>
      </c>
      <c r="AI12" s="1550">
        <f>($C$37*AI5)*AI6</f>
        <v/>
      </c>
      <c r="AJ12" s="1550">
        <f>($C$37*AJ5)*AJ6</f>
        <v/>
      </c>
      <c r="AK12" s="1550">
        <f>($C$37*AK5)*AK6</f>
        <v/>
      </c>
      <c r="AL12" s="1550">
        <f>($C$37*AL5)*AL6</f>
        <v/>
      </c>
      <c r="AM12" s="1550">
        <f>($C$37*AM5)*AM6</f>
        <v/>
      </c>
      <c r="AN12" s="1547">
        <f>SUM(Table13[[#This Row],[Month 25]]:Table13[[#This Row],[Month 36]])</f>
        <v/>
      </c>
      <c r="AO12" s="1550">
        <f>($C$37*AO5)*AO6</f>
        <v/>
      </c>
      <c r="AP12" s="1550">
        <f>($C$37*AP5)*AP6</f>
        <v/>
      </c>
      <c r="AQ12" s="1550">
        <f>($C$37*AQ5)*AQ6</f>
        <v/>
      </c>
      <c r="AR12" s="1550">
        <f>($C$37*AR5)*AR6</f>
        <v/>
      </c>
      <c r="AS12" s="1550">
        <f>($C$37*AS5)*AS6</f>
        <v/>
      </c>
      <c r="AT12" s="1550">
        <f>($C$37*AT5)*AT6</f>
        <v/>
      </c>
      <c r="AU12" s="1550">
        <f>($C$37*AU5)*AU6</f>
        <v/>
      </c>
      <c r="AV12" s="1550">
        <f>($C$37*AV5)*AV6</f>
        <v/>
      </c>
      <c r="AW12" s="1550">
        <f>($C$37*AW5)*AW6</f>
        <v/>
      </c>
      <c r="AX12" s="1550">
        <f>($C$37*AX5)*AX6</f>
        <v/>
      </c>
      <c r="AY12" s="1550">
        <f>($C$37*AY5)*AY6</f>
        <v/>
      </c>
      <c r="AZ12" s="1550">
        <f>($C$37*AZ5)*AZ6</f>
        <v/>
      </c>
      <c r="BA12" s="1547">
        <f>SUM(Table13[[#This Row],[Month 37]]:Table13[[#This Row],[Month 48]])</f>
        <v/>
      </c>
      <c r="BB12" s="1550">
        <f>($C$37*BB5)*BB6</f>
        <v/>
      </c>
      <c r="BC12" s="1550">
        <f>($C$37*BC5)*BC6</f>
        <v/>
      </c>
      <c r="BD12" s="1550">
        <f>($C$37*BD5)*BD6</f>
        <v/>
      </c>
      <c r="BE12" s="1550">
        <f>($C$37*BE5)*BE6</f>
        <v/>
      </c>
      <c r="BF12" s="1550">
        <f>($C$37*BF5)*BF6</f>
        <v/>
      </c>
      <c r="BG12" s="1550">
        <f>($C$37*BG5)*BG6</f>
        <v/>
      </c>
      <c r="BH12" s="1550">
        <f>($C$37*BH5)*BH6</f>
        <v/>
      </c>
      <c r="BI12" s="1550">
        <f>($C$37*BI5)*BI6</f>
        <v/>
      </c>
      <c r="BJ12" s="1550">
        <f>($C$37*BJ5)*BJ6</f>
        <v/>
      </c>
      <c r="BK12" s="1550">
        <f>($C$37*BK5)*BK6</f>
        <v/>
      </c>
      <c r="BL12" s="1550">
        <f>($C$37*BL5)*BL6</f>
        <v/>
      </c>
      <c r="BM12" s="1550">
        <f>($C$37*BM5)*BM6</f>
        <v/>
      </c>
      <c r="BN12" s="1547">
        <f>SUM(Table13[[#This Row],[Month 49]]:Table13[[#This Row],[Month 60]])</f>
        <v/>
      </c>
    </row>
    <row r="13" ht="15" customHeight="1" s="1883">
      <c r="A13" s="1549" t="inlineStr">
        <is>
          <t>Inventory and Repair Cost</t>
        </is>
      </c>
      <c r="B13" s="1545">
        <f>-57.5*100*0.25</f>
        <v/>
      </c>
      <c r="C13" s="1545">
        <f>-57.5*125*0.25</f>
        <v/>
      </c>
      <c r="D13" s="1545">
        <f>-57.5*150*0.25</f>
        <v/>
      </c>
      <c r="E13" s="1545">
        <f>-57.5*200*0.25</f>
        <v/>
      </c>
      <c r="F13" s="1545">
        <f>-57.5*250*0.25</f>
        <v/>
      </c>
      <c r="G13" s="1545">
        <f>-57.5*300*0.25</f>
        <v/>
      </c>
      <c r="H13" s="1545">
        <f>-57.5*400*0.25</f>
        <v/>
      </c>
      <c r="I13" s="1555">
        <f>-57.5*500*0.25</f>
        <v/>
      </c>
      <c r="J13" s="1555">
        <f>-57.5*500*0.25</f>
        <v/>
      </c>
      <c r="K13" s="1555">
        <f>-57.5*500*0.25</f>
        <v/>
      </c>
      <c r="L13" s="1555">
        <f>-57.5*500*0.25</f>
        <v/>
      </c>
      <c r="M13" s="1546">
        <f>-57.5*500*0.25</f>
        <v/>
      </c>
      <c r="N13" s="1547">
        <f>SUM(Table13[[#This Row],[Month 1]]:Table13[[#This Row],[Month 12]])</f>
        <v/>
      </c>
      <c r="O13" s="1556">
        <f>Table13[[#This Row],[Month 12]]*1.03</f>
        <v/>
      </c>
      <c r="P13" s="1556">
        <f>Table13[[#This Row],[Month 13]]*1.03</f>
        <v/>
      </c>
      <c r="Q13" s="1556">
        <f>Table13[[#This Row],[Month 14]]*1.03</f>
        <v/>
      </c>
      <c r="R13" s="1556">
        <f>Table13[[#This Row],[Month 15]]*1.03</f>
        <v/>
      </c>
      <c r="S13" s="1556">
        <f>Table13[[#This Row],[Month 16]]*1.03</f>
        <v/>
      </c>
      <c r="T13" s="1556">
        <f>Table13[[#This Row],[Month 17]]*1.03</f>
        <v/>
      </c>
      <c r="U13" s="1556">
        <f>Table13[[#This Row],[Month 18]]*1.03</f>
        <v/>
      </c>
      <c r="V13" s="1556">
        <f>Table13[[#This Row],[Month 19]]*1.03</f>
        <v/>
      </c>
      <c r="W13" s="1556">
        <f>Table13[[#This Row],[Month 20]]*1.03</f>
        <v/>
      </c>
      <c r="X13" s="1556">
        <f>Table13[[#This Row],[Month 21]]*1.03</f>
        <v/>
      </c>
      <c r="Y13" s="1556">
        <f>Table13[[#This Row],[Month 22]]*1.03</f>
        <v/>
      </c>
      <c r="Z13" s="1556">
        <f>Table13[[#This Row],[Month 23]]*1.03</f>
        <v/>
      </c>
      <c r="AA13" s="1547">
        <f>SUM(Table13[[#This Row],[Month 13]]:Table13[[#This Row],[Month 24]])</f>
        <v/>
      </c>
      <c r="AB13" s="1556">
        <f>Table13[[#This Row],[Month 24]]*1.03</f>
        <v/>
      </c>
      <c r="AC13" s="1556">
        <f>Table13[[#This Row],[Month 25]]*1.03</f>
        <v/>
      </c>
      <c r="AD13" s="1556">
        <f>Table13[[#This Row],[Month 26]]*1.03</f>
        <v/>
      </c>
      <c r="AE13" s="1556">
        <f>Table13[[#This Row],[Month 27]]*1.03</f>
        <v/>
      </c>
      <c r="AF13" s="1556">
        <f>Table13[[#This Row],[Month 28]]*1.03</f>
        <v/>
      </c>
      <c r="AG13" s="1556">
        <f>Table13[[#This Row],[Month 29]]*1.03</f>
        <v/>
      </c>
      <c r="AH13" s="1556">
        <f>Table13[[#This Row],[Month 30]]*1.03</f>
        <v/>
      </c>
      <c r="AI13" s="1556">
        <f>Table13[[#This Row],[Month 31]]*1.03</f>
        <v/>
      </c>
      <c r="AJ13" s="1556">
        <f>Table13[[#This Row],[Month 32]]*1.03</f>
        <v/>
      </c>
      <c r="AK13" s="1556">
        <f>Table13[[#This Row],[Month 33]]*1.03</f>
        <v/>
      </c>
      <c r="AL13" s="1556">
        <f>Table13[[#This Row],[Month 34]]*1.03</f>
        <v/>
      </c>
      <c r="AM13" s="1556">
        <f>Table13[[#This Row],[Month 35]]*1.03</f>
        <v/>
      </c>
      <c r="AN13" s="1547">
        <f>SUM(Table13[[#This Row],[Month 25]]:Table13[[#This Row],[Month 36]])</f>
        <v/>
      </c>
      <c r="AO13" s="1556">
        <f>Table13[[#This Row],[Month 36]]*1.03</f>
        <v/>
      </c>
      <c r="AP13" s="1556">
        <f>Table13[[#This Row],[Month 37]]*1.03</f>
        <v/>
      </c>
      <c r="AQ13" s="1556">
        <f>Table13[[#This Row],[Month 38]]*1.03</f>
        <v/>
      </c>
      <c r="AR13" s="1556">
        <f>Table13[[#This Row],[Month 39]]*1.03</f>
        <v/>
      </c>
      <c r="AS13" s="1556">
        <f>Table13[[#This Row],[Month 40]]*1.03</f>
        <v/>
      </c>
      <c r="AT13" s="1556">
        <f>Table13[[#This Row],[Month 41]]*1.03</f>
        <v/>
      </c>
      <c r="AU13" s="1556">
        <f>Table13[[#This Row],[Month 42]]*1.03</f>
        <v/>
      </c>
      <c r="AV13" s="1556">
        <f>Table13[[#This Row],[Month 43]]*1.03</f>
        <v/>
      </c>
      <c r="AW13" s="1556">
        <f>Table13[[#This Row],[Month 44]]*1.03</f>
        <v/>
      </c>
      <c r="AX13" s="1556">
        <f>Table13[[#This Row],[Month 45]]*1.03</f>
        <v/>
      </c>
      <c r="AY13" s="1556">
        <f>Table13[[#This Row],[Month 46]]*1.03</f>
        <v/>
      </c>
      <c r="AZ13" s="1556">
        <f>Table13[[#This Row],[Month 47]]*1.03</f>
        <v/>
      </c>
      <c r="BA13" s="1547">
        <f>SUM(Table13[[#This Row],[Month 37]]:Table13[[#This Row],[Month 48]])</f>
        <v/>
      </c>
      <c r="BB13" s="1556">
        <f>Table13[[#This Row],[Month 48]]*1.03</f>
        <v/>
      </c>
      <c r="BC13" s="1556">
        <f>Table13[[#This Row],[Month 49]]*1.03</f>
        <v/>
      </c>
      <c r="BD13" s="1556">
        <f>Table13[[#This Row],[Month 50]]*1.03</f>
        <v/>
      </c>
      <c r="BE13" s="1556">
        <f>Table13[[#This Row],[Month 51]]*1.03</f>
        <v/>
      </c>
      <c r="BF13" s="1556">
        <f>Table13[[#This Row],[Month 52]]*1.03</f>
        <v/>
      </c>
      <c r="BG13" s="1556">
        <f>Table13[[#This Row],[Month 53]]*1.03</f>
        <v/>
      </c>
      <c r="BH13" s="1556">
        <f>Table13[[#This Row],[Month 54]]*1.03</f>
        <v/>
      </c>
      <c r="BI13" s="1556">
        <f>Table13[[#This Row],[Month 55]]*1.03</f>
        <v/>
      </c>
      <c r="BJ13" s="1556">
        <f>Table13[[#This Row],[Month 56]]*1.03</f>
        <v/>
      </c>
      <c r="BK13" s="1556">
        <f>Table13[[#This Row],[Month 57]]*1.03</f>
        <v/>
      </c>
      <c r="BL13" s="1556">
        <f>Table13[[#This Row],[Month 58]]*1.03</f>
        <v/>
      </c>
      <c r="BM13" s="1556">
        <f>Table13[[#This Row],[Month 59]]*1.03</f>
        <v/>
      </c>
      <c r="BN13" s="1547">
        <f>SUM(Table13[[#This Row],[Month 49]]:Table13[[#This Row],[Month 60]])</f>
        <v/>
      </c>
    </row>
    <row r="14" ht="15" customHeight="1" s="1883">
      <c r="A14" s="1549" t="inlineStr">
        <is>
          <t>COGS</t>
        </is>
      </c>
      <c r="B14" s="1554">
        <f>-H80*B7</f>
        <v/>
      </c>
      <c r="C14" s="1554">
        <f>-H80*C7</f>
        <v/>
      </c>
      <c r="D14" s="1554">
        <f>-H80*D7</f>
        <v/>
      </c>
      <c r="E14" s="1554">
        <f>-H80*E7</f>
        <v/>
      </c>
      <c r="F14" s="1554">
        <f>-H80*F7</f>
        <v/>
      </c>
      <c r="G14" s="1554">
        <f>-H80*G7</f>
        <v/>
      </c>
      <c r="H14" s="1554">
        <f>-H80*H7</f>
        <v/>
      </c>
      <c r="I14" s="1554">
        <f>-H80*I7</f>
        <v/>
      </c>
      <c r="J14" s="1554">
        <f>-H80*J7</f>
        <v/>
      </c>
      <c r="K14" s="1554">
        <f>-H80*K7</f>
        <v/>
      </c>
      <c r="L14" s="1554">
        <f>-H80*L7</f>
        <v/>
      </c>
      <c r="M14" s="1551">
        <f>-H80*M7</f>
        <v/>
      </c>
      <c r="N14" s="1552">
        <f>SUM(Table13[[#This Row],[Month 1]]:Table13[[#This Row],[Month 12]])</f>
        <v/>
      </c>
      <c r="O14" s="1553">
        <f>-H80*O7</f>
        <v/>
      </c>
      <c r="P14" s="1554">
        <f>-H80*P7</f>
        <v/>
      </c>
      <c r="Q14" s="1554">
        <f>-H80*Q7</f>
        <v/>
      </c>
      <c r="R14" s="1554">
        <f>-H80*R7</f>
        <v/>
      </c>
      <c r="S14" s="1554">
        <f>-H80*S7</f>
        <v/>
      </c>
      <c r="T14" s="1554">
        <f>-H80*T7</f>
        <v/>
      </c>
      <c r="U14" s="1554">
        <f>-H80*U7</f>
        <v/>
      </c>
      <c r="V14" s="1554">
        <f>-H80*V7</f>
        <v/>
      </c>
      <c r="W14" s="1554">
        <f>-H80*W7</f>
        <v/>
      </c>
      <c r="X14" s="1554">
        <f>-H80*X7</f>
        <v/>
      </c>
      <c r="Y14" s="1554">
        <f>-H80*Y7</f>
        <v/>
      </c>
      <c r="Z14" s="1551">
        <f>-H80*Z7</f>
        <v/>
      </c>
      <c r="AA14" s="1552">
        <f>SUM(Table13[[#This Row],[Month 13]]:Table13[[#This Row],[Month 24]])</f>
        <v/>
      </c>
      <c r="AB14" s="1553">
        <f>-H80*AB7</f>
        <v/>
      </c>
      <c r="AC14" s="1554">
        <f>-H80*AC7</f>
        <v/>
      </c>
      <c r="AD14" s="1554">
        <f>-H80*AD7</f>
        <v/>
      </c>
      <c r="AE14" s="1554">
        <f>-H80*AE7</f>
        <v/>
      </c>
      <c r="AF14" s="1554">
        <f>-H80*AF7</f>
        <v/>
      </c>
      <c r="AG14" s="1554">
        <f>-H80*AG7</f>
        <v/>
      </c>
      <c r="AH14" s="1554">
        <f>-H80*AH7</f>
        <v/>
      </c>
      <c r="AI14" s="1554">
        <f>-H80*AI7</f>
        <v/>
      </c>
      <c r="AJ14" s="1554">
        <f>-H80*AJ7</f>
        <v/>
      </c>
      <c r="AK14" s="1554">
        <f>-H80*AK7</f>
        <v/>
      </c>
      <c r="AL14" s="1554">
        <f>-H80*AL7</f>
        <v/>
      </c>
      <c r="AM14" s="1551">
        <f>-H80*AM7</f>
        <v/>
      </c>
      <c r="AN14" s="1547">
        <f>SUM(Table13[[#This Row],[Month 25]]:Table13[[#This Row],[Month 36]])</f>
        <v/>
      </c>
      <c r="AO14" s="1553">
        <f>-H80*AO7</f>
        <v/>
      </c>
      <c r="AP14" s="1554">
        <f>-H80*AP7</f>
        <v/>
      </c>
      <c r="AQ14" s="1554">
        <f>-H80*AQ7</f>
        <v/>
      </c>
      <c r="AR14" s="1554">
        <f>-H80*AR7</f>
        <v/>
      </c>
      <c r="AS14" s="1554">
        <f>-H80*AS7</f>
        <v/>
      </c>
      <c r="AT14" s="1554">
        <f>-H80*AT7</f>
        <v/>
      </c>
      <c r="AU14" s="1554">
        <f>-H80*AU7</f>
        <v/>
      </c>
      <c r="AV14" s="1554">
        <f>-H80*AV7</f>
        <v/>
      </c>
      <c r="AW14" s="1554">
        <f>-H80*AW7</f>
        <v/>
      </c>
      <c r="AX14" s="1554">
        <f>-H80*AX7</f>
        <v/>
      </c>
      <c r="AY14" s="1554">
        <f>-H80*AY7</f>
        <v/>
      </c>
      <c r="AZ14" s="1551">
        <f>-H80*AZ7</f>
        <v/>
      </c>
      <c r="BA14" s="1547">
        <f>SUM(Table13[[#This Row],[Month 37]]:Table13[[#This Row],[Month 48]])</f>
        <v/>
      </c>
      <c r="BB14" s="1553">
        <f>-H80*BB7</f>
        <v/>
      </c>
      <c r="BC14" s="1554">
        <f>-H80*BC7</f>
        <v/>
      </c>
      <c r="BD14" s="1554">
        <f>-H80*BD7</f>
        <v/>
      </c>
      <c r="BE14" s="1554">
        <f>-H80*BE7</f>
        <v/>
      </c>
      <c r="BF14" s="1554">
        <f>-H80*BF7</f>
        <v/>
      </c>
      <c r="BG14" s="1554">
        <f>-H80*BG7</f>
        <v/>
      </c>
      <c r="BH14" s="1554">
        <f>-H80*BH7</f>
        <v/>
      </c>
      <c r="BI14" s="1554">
        <f>-H80*BI7</f>
        <v/>
      </c>
      <c r="BJ14" s="1554">
        <f>-H80*BJ7</f>
        <v/>
      </c>
      <c r="BK14" s="1554">
        <f>-H80*BK7</f>
        <v/>
      </c>
      <c r="BL14" s="1554">
        <f>-H80*BL7</f>
        <v/>
      </c>
      <c r="BM14" s="1551">
        <f>-H80*BM7</f>
        <v/>
      </c>
      <c r="BN14" s="1547">
        <f>SUM(Table13[[#This Row],[Month 49]]:Table13[[#This Row],[Month 60]])</f>
        <v/>
      </c>
    </row>
    <row r="15" ht="15" customHeight="1" s="1883">
      <c r="A15" s="1549" t="inlineStr">
        <is>
          <t>People Costs + Customer Service</t>
        </is>
      </c>
      <c r="B15" s="1555">
        <f>((20*B7)+(10000))*-1</f>
        <v/>
      </c>
      <c r="C15" s="1555">
        <f>((20*C7)+(10000))*-1</f>
        <v/>
      </c>
      <c r="D15" s="1555">
        <f>((20*D7)+(10000))*-1</f>
        <v/>
      </c>
      <c r="E15" s="1555">
        <f>((20*E7)+(10000))*-1</f>
        <v/>
      </c>
      <c r="F15" s="1555">
        <f>((20*F7)+(10000))*-1</f>
        <v/>
      </c>
      <c r="G15" s="1555">
        <f>((20*G7)+(10000))*-1</f>
        <v/>
      </c>
      <c r="H15" s="1555">
        <f>((20*H7)+(10000))*-1</f>
        <v/>
      </c>
      <c r="I15" s="1555">
        <f>((20*I7)+(10000))*-1</f>
        <v/>
      </c>
      <c r="J15" s="1555">
        <f>((20*J7)+(10000))*-1</f>
        <v/>
      </c>
      <c r="K15" s="1555">
        <f>((20*K7)+(10000))*-1</f>
        <v/>
      </c>
      <c r="L15" s="1555">
        <f>((20*L7)+(10000))*-1</f>
        <v/>
      </c>
      <c r="M15" s="1546">
        <f>((20*M7)+(10000))*-1</f>
        <v/>
      </c>
      <c r="N15" s="1547">
        <f>SUM(Table13[[#This Row],[Month 1]]:Table13[[#This Row],[Month 12]])</f>
        <v/>
      </c>
      <c r="O15" s="1556">
        <f>((20*O7)+(10000))*-1</f>
        <v/>
      </c>
      <c r="P15" s="1555">
        <f>((20*P7)+(10000))*-1</f>
        <v/>
      </c>
      <c r="Q15" s="1555">
        <f>((20*Q7)+(10000))*-1</f>
        <v/>
      </c>
      <c r="R15" s="1555">
        <f>((20*R7)+(10000))*-1</f>
        <v/>
      </c>
      <c r="S15" s="1555">
        <f>((20*S7)+(10000))*-1</f>
        <v/>
      </c>
      <c r="T15" s="1555">
        <f>((20*T7)+(10000))*-1</f>
        <v/>
      </c>
      <c r="U15" s="1555">
        <f>((20*U7)+(10000))*-1</f>
        <v/>
      </c>
      <c r="V15" s="1555">
        <f>((20*V7)+(10000))*-1</f>
        <v/>
      </c>
      <c r="W15" s="1555">
        <f>((20*W7)+(10000))*-1</f>
        <v/>
      </c>
      <c r="X15" s="1555">
        <f>((20*X7)+(10000))*-1</f>
        <v/>
      </c>
      <c r="Y15" s="1555">
        <f>((20*Y7)+(10000))*-1</f>
        <v/>
      </c>
      <c r="Z15" s="1546">
        <f>((20*Z7)+(10000))*-1</f>
        <v/>
      </c>
      <c r="AA15" s="1547">
        <f>SUM(Table13[[#This Row],[Month 13]]:Table13[[#This Row],[Month 24]])</f>
        <v/>
      </c>
      <c r="AB15" s="1556">
        <f>((20*AB7)+(10000))*-1</f>
        <v/>
      </c>
      <c r="AC15" s="1555">
        <f>((20*AC7)+(10000))*-1</f>
        <v/>
      </c>
      <c r="AD15" s="1555">
        <f>((20*AD7)+(10000))*-1</f>
        <v/>
      </c>
      <c r="AE15" s="1555">
        <f>((20*AE7)+(10000))*-1</f>
        <v/>
      </c>
      <c r="AF15" s="1555">
        <f>((20*AF7)+(10000))*-1</f>
        <v/>
      </c>
      <c r="AG15" s="1555">
        <f>((20*AG7)+(10000))*-1</f>
        <v/>
      </c>
      <c r="AH15" s="1555">
        <f>((20*AH7)+(10000))*-1</f>
        <v/>
      </c>
      <c r="AI15" s="1555">
        <f>((20*AI7)+(10000))*-1</f>
        <v/>
      </c>
      <c r="AJ15" s="1555">
        <f>((20*AJ7)+(10000))*-1</f>
        <v/>
      </c>
      <c r="AK15" s="1555">
        <f>((20*AK7)+(10000))*-1</f>
        <v/>
      </c>
      <c r="AL15" s="1555">
        <f>((20*AL7)+(10000))*-1</f>
        <v/>
      </c>
      <c r="AM15" s="1546">
        <f>((20*AM7)+(10000))*-1</f>
        <v/>
      </c>
      <c r="AN15" s="1547">
        <f>SUM(Table13[[#This Row],[Month 25]]:Table13[[#This Row],[Month 36]])</f>
        <v/>
      </c>
      <c r="AO15" s="1556">
        <f>((20*AO7)+(10000))*-1</f>
        <v/>
      </c>
      <c r="AP15" s="1555">
        <f>((20*AP7)+(10000))*-1</f>
        <v/>
      </c>
      <c r="AQ15" s="1555">
        <f>((20*AQ7)+(10000))*-1</f>
        <v/>
      </c>
      <c r="AR15" s="1555">
        <f>((20*AR7)+(10000))*-1</f>
        <v/>
      </c>
      <c r="AS15" s="1555">
        <f>((20*AS7)+(10000))*-1</f>
        <v/>
      </c>
      <c r="AT15" s="1555">
        <f>((20*AT7)+(10000))*-1</f>
        <v/>
      </c>
      <c r="AU15" s="1555">
        <f>((20*AU7)+(10000))*-1</f>
        <v/>
      </c>
      <c r="AV15" s="1555">
        <f>((20*AV7)+(10000))*-1</f>
        <v/>
      </c>
      <c r="AW15" s="1555">
        <f>((20*AW7)+(10000))*-1</f>
        <v/>
      </c>
      <c r="AX15" s="1555">
        <f>((20*AX7)+(10000))*-1</f>
        <v/>
      </c>
      <c r="AY15" s="1555">
        <f>((20*AY7)+(10000))*-1</f>
        <v/>
      </c>
      <c r="AZ15" s="1546">
        <f>((20*AZ7)+(10000))*-1</f>
        <v/>
      </c>
      <c r="BA15" s="1547">
        <f>SUM(Table13[[#This Row],[Month 37]]:Table13[[#This Row],[Month 48]])</f>
        <v/>
      </c>
      <c r="BB15" s="1556">
        <f>((20*BB7)+(10000))*-1</f>
        <v/>
      </c>
      <c r="BC15" s="1555">
        <f>((20*BC7)+(10000))*-1</f>
        <v/>
      </c>
      <c r="BD15" s="1555">
        <f>((20*BD7)+(10000))*-1</f>
        <v/>
      </c>
      <c r="BE15" s="1555">
        <f>((20*BE7)+(10000))*-1</f>
        <v/>
      </c>
      <c r="BF15" s="1555">
        <f>((20*BF7)+(10000))*-1</f>
        <v/>
      </c>
      <c r="BG15" s="1555">
        <f>((20*BG7)+(10000))*-1</f>
        <v/>
      </c>
      <c r="BH15" s="1555">
        <f>((20*BH7)+(10000))*-1</f>
        <v/>
      </c>
      <c r="BI15" s="1555">
        <f>((20*BI7)+(10000))*-1</f>
        <v/>
      </c>
      <c r="BJ15" s="1555">
        <f>((20*BJ7)+(10000))*-1</f>
        <v/>
      </c>
      <c r="BK15" s="1555">
        <f>((20*BK7)+(10000))*-1</f>
        <v/>
      </c>
      <c r="BL15" s="1555">
        <f>((20*BL7)+(10000))*-1</f>
        <v/>
      </c>
      <c r="BM15" s="1546">
        <f>((20*BM7)+(10000))*-1</f>
        <v/>
      </c>
      <c r="BN15" s="1547">
        <f>SUM(Table13[[#This Row],[Month 49]]:Table13[[#This Row],[Month 60]])</f>
        <v/>
      </c>
    </row>
    <row r="16" ht="15" customHeight="1" s="1883">
      <c r="A16" s="1549" t="inlineStr">
        <is>
          <t>Partner Revenue Share (Phone)</t>
        </is>
      </c>
      <c r="B16" s="1550">
        <f>B10*-0.1</f>
        <v/>
      </c>
      <c r="C16" s="1550">
        <f>C10*-0.1</f>
        <v/>
      </c>
      <c r="D16" s="1550">
        <f>D10*-0.1</f>
        <v/>
      </c>
      <c r="E16" s="1550">
        <f>E10*-0.1</f>
        <v/>
      </c>
      <c r="F16" s="1550">
        <f>F10*-0.1</f>
        <v/>
      </c>
      <c r="G16" s="1550">
        <f>G10*-0.1</f>
        <v/>
      </c>
      <c r="H16" s="1550">
        <f>H10*-0.1</f>
        <v/>
      </c>
      <c r="I16" s="1550">
        <f>I10*-0.1</f>
        <v/>
      </c>
      <c r="J16" s="1550">
        <f>J10*-0.1</f>
        <v/>
      </c>
      <c r="K16" s="1550">
        <f>K10*-0.1</f>
        <v/>
      </c>
      <c r="L16" s="1550">
        <f>L10*-0.1</f>
        <v/>
      </c>
      <c r="M16" s="1551">
        <f>M10*-0.1</f>
        <v/>
      </c>
      <c r="N16" s="1552">
        <f>SUM(Table13[[#This Row],[Month 1]]:Table13[[#This Row],[Month 12]])</f>
        <v/>
      </c>
      <c r="O16" s="1553">
        <f>O10*-0.1</f>
        <v/>
      </c>
      <c r="P16" s="1554">
        <f>P10*-0.1</f>
        <v/>
      </c>
      <c r="Q16" s="1554">
        <f>Q10*-0.1</f>
        <v/>
      </c>
      <c r="R16" s="1554">
        <f>R10*-0.1</f>
        <v/>
      </c>
      <c r="S16" s="1554">
        <f>S10*-0.1</f>
        <v/>
      </c>
      <c r="T16" s="1554">
        <f>T10*-0.1</f>
        <v/>
      </c>
      <c r="U16" s="1554">
        <f>U10*-0.1</f>
        <v/>
      </c>
      <c r="V16" s="1554">
        <f>V10*-0.1</f>
        <v/>
      </c>
      <c r="W16" s="1554">
        <f>W10*-0.1</f>
        <v/>
      </c>
      <c r="X16" s="1554">
        <f>X10*-0.1</f>
        <v/>
      </c>
      <c r="Y16" s="1554">
        <f>Y10*-0.1</f>
        <v/>
      </c>
      <c r="Z16" s="1551">
        <f>Z10*-0.1</f>
        <v/>
      </c>
      <c r="AA16" s="1552">
        <f>SUM(Table13[[#This Row],[Month 13]]:Table13[[#This Row],[Month 24]])</f>
        <v/>
      </c>
      <c r="AB16" s="1553">
        <f>AB10*-0.1</f>
        <v/>
      </c>
      <c r="AC16" s="1554">
        <f>AC10*-0.1</f>
        <v/>
      </c>
      <c r="AD16" s="1554">
        <f>AD10*-0.1</f>
        <v/>
      </c>
      <c r="AE16" s="1554">
        <f>AE10*-0.1</f>
        <v/>
      </c>
      <c r="AF16" s="1554">
        <f>AF10*-0.1</f>
        <v/>
      </c>
      <c r="AG16" s="1554">
        <f>AG10*-0.1</f>
        <v/>
      </c>
      <c r="AH16" s="1554">
        <f>AH10*-0.1</f>
        <v/>
      </c>
      <c r="AI16" s="1554">
        <f>AI10*-0.1</f>
        <v/>
      </c>
      <c r="AJ16" s="1554">
        <f>AJ10*-0.1</f>
        <v/>
      </c>
      <c r="AK16" s="1554">
        <f>AK10*-0.1</f>
        <v/>
      </c>
      <c r="AL16" s="1554">
        <f>AL10*-0.1</f>
        <v/>
      </c>
      <c r="AM16" s="1551">
        <f>AM10*-0.1</f>
        <v/>
      </c>
      <c r="AN16" s="1547">
        <f>SUM(Table13[[#This Row],[Month 25]]:Table13[[#This Row],[Month 36]])</f>
        <v/>
      </c>
      <c r="AO16" s="1553">
        <f>AO10*-0.1</f>
        <v/>
      </c>
      <c r="AP16" s="1554">
        <f>AP10*-0.1</f>
        <v/>
      </c>
      <c r="AQ16" s="1554">
        <f>AQ10*-0.1</f>
        <v/>
      </c>
      <c r="AR16" s="1554">
        <f>AR10*-0.1</f>
        <v/>
      </c>
      <c r="AS16" s="1554">
        <f>AS10*-0.1</f>
        <v/>
      </c>
      <c r="AT16" s="1554">
        <f>AT10*-0.1</f>
        <v/>
      </c>
      <c r="AU16" s="1554">
        <f>AU10*-0.1</f>
        <v/>
      </c>
      <c r="AV16" s="1554">
        <f>AV10*-0.1</f>
        <v/>
      </c>
      <c r="AW16" s="1554">
        <f>AW10*-0.1</f>
        <v/>
      </c>
      <c r="AX16" s="1554">
        <f>AX10*-0.1</f>
        <v/>
      </c>
      <c r="AY16" s="1554">
        <f>AY10*-0.1</f>
        <v/>
      </c>
      <c r="AZ16" s="1551">
        <f>AZ10*-0.1</f>
        <v/>
      </c>
      <c r="BA16" s="1547">
        <f>SUM(Table13[[#This Row],[Month 37]]:Table13[[#This Row],[Month 48]])</f>
        <v/>
      </c>
      <c r="BB16" s="1553">
        <f>BB10*-0.1</f>
        <v/>
      </c>
      <c r="BC16" s="1554">
        <f>BC10*-0.1</f>
        <v/>
      </c>
      <c r="BD16" s="1554">
        <f>BD10*-0.1</f>
        <v/>
      </c>
      <c r="BE16" s="1554">
        <f>BE10*-0.1</f>
        <v/>
      </c>
      <c r="BF16" s="1554">
        <f>BF10*-0.1</f>
        <v/>
      </c>
      <c r="BG16" s="1554">
        <f>BG10*-0.1</f>
        <v/>
      </c>
      <c r="BH16" s="1554">
        <f>BH10*-0.1</f>
        <v/>
      </c>
      <c r="BI16" s="1554">
        <f>BI10*-0.1</f>
        <v/>
      </c>
      <c r="BJ16" s="1554">
        <f>BJ10*-0.1</f>
        <v/>
      </c>
      <c r="BK16" s="1554">
        <f>BK10*-0.1</f>
        <v/>
      </c>
      <c r="BL16" s="1554">
        <f>BL10*-0.1</f>
        <v/>
      </c>
      <c r="BM16" s="1551">
        <f>BM10*-0.1</f>
        <v/>
      </c>
      <c r="BN16" s="1547">
        <f>SUM(Table13[[#This Row],[Month 49]]:Table13[[#This Row],[Month 60]])</f>
        <v/>
      </c>
    </row>
    <row r="17" ht="15" customHeight="1" s="1883">
      <c r="A17" s="1549" t="inlineStr">
        <is>
          <t>Partner Revenue Share (POS)</t>
        </is>
      </c>
      <c r="B17" s="1550">
        <f>B11*-0.5</f>
        <v/>
      </c>
      <c r="C17" s="1550">
        <f>C11*-0.5</f>
        <v/>
      </c>
      <c r="D17" s="1550">
        <f>D11*-0.5</f>
        <v/>
      </c>
      <c r="E17" s="1550">
        <f>E11*-0.5</f>
        <v/>
      </c>
      <c r="F17" s="1550">
        <f>F11*-0.5</f>
        <v/>
      </c>
      <c r="G17" s="1550">
        <f>G11*-0.5</f>
        <v/>
      </c>
      <c r="H17" s="1550">
        <f>H11*-0.5</f>
        <v/>
      </c>
      <c r="I17" s="1550">
        <f>I11*-0.5</f>
        <v/>
      </c>
      <c r="J17" s="1550">
        <f>J11*-0.5</f>
        <v/>
      </c>
      <c r="K17" s="1550">
        <f>K11*-0.5</f>
        <v/>
      </c>
      <c r="L17" s="1550">
        <f>L11*-0.5</f>
        <v/>
      </c>
      <c r="M17" s="1550">
        <f>M11*-0.5</f>
        <v/>
      </c>
      <c r="N17" s="1557">
        <f>SUM(Table13[[#This Row],[Month 1]]:Table13[[#This Row],[Month 12]])</f>
        <v/>
      </c>
      <c r="O17" s="1550">
        <f>O11*-0.5</f>
        <v/>
      </c>
      <c r="P17" s="1550">
        <f>P11*-0.5</f>
        <v/>
      </c>
      <c r="Q17" s="1550">
        <f>Q11*-0.5</f>
        <v/>
      </c>
      <c r="R17" s="1550">
        <f>R11*-0.5</f>
        <v/>
      </c>
      <c r="S17" s="1550">
        <f>S11*-0.5</f>
        <v/>
      </c>
      <c r="T17" s="1550">
        <f>T11*-0.5</f>
        <v/>
      </c>
      <c r="U17" s="1550">
        <f>U11*-0.5</f>
        <v/>
      </c>
      <c r="V17" s="1550">
        <f>V11*-0.5</f>
        <v/>
      </c>
      <c r="W17" s="1550">
        <f>W11*-0.5</f>
        <v/>
      </c>
      <c r="X17" s="1550">
        <f>X11*-0.5</f>
        <v/>
      </c>
      <c r="Y17" s="1550">
        <f>Y11*-0.5</f>
        <v/>
      </c>
      <c r="Z17" s="1550">
        <f>Z11*-0.5</f>
        <v/>
      </c>
      <c r="AA17" s="1557">
        <f>SUM(Table13[[#This Row],[Month 13]]:Table13[[#This Row],[Month 24]])</f>
        <v/>
      </c>
      <c r="AB17" s="1550">
        <f>AB11*-0.5</f>
        <v/>
      </c>
      <c r="AC17" s="1550">
        <f>AC11*-0.5</f>
        <v/>
      </c>
      <c r="AD17" s="1550">
        <f>AD11*-0.5</f>
        <v/>
      </c>
      <c r="AE17" s="1550">
        <f>AE11*-0.5</f>
        <v/>
      </c>
      <c r="AF17" s="1550">
        <f>AF11*-0.5</f>
        <v/>
      </c>
      <c r="AG17" s="1550">
        <f>AG11*-0.5</f>
        <v/>
      </c>
      <c r="AH17" s="1550">
        <f>AH11*-0.5</f>
        <v/>
      </c>
      <c r="AI17" s="1550">
        <f>AI11*-0.5</f>
        <v/>
      </c>
      <c r="AJ17" s="1550">
        <f>AJ11*-0.5</f>
        <v/>
      </c>
      <c r="AK17" s="1550">
        <f>AK11*-0.5</f>
        <v/>
      </c>
      <c r="AL17" s="1550">
        <f>AL11*-0.5</f>
        <v/>
      </c>
      <c r="AM17" s="1550">
        <f>AM11*-0.5</f>
        <v/>
      </c>
      <c r="AN17" s="1547">
        <f>SUM(Table13[[#This Row],[Month 25]]:Table13[[#This Row],[Month 36]])</f>
        <v/>
      </c>
      <c r="AO17" s="1550">
        <f>AO11*-0.5</f>
        <v/>
      </c>
      <c r="AP17" s="1550">
        <f>AP11*-0.5</f>
        <v/>
      </c>
      <c r="AQ17" s="1550">
        <f>AQ11*-0.5</f>
        <v/>
      </c>
      <c r="AR17" s="1550">
        <f>AR11*-0.5</f>
        <v/>
      </c>
      <c r="AS17" s="1550">
        <f>AS11*-0.5</f>
        <v/>
      </c>
      <c r="AT17" s="1550">
        <f>AT11*-0.5</f>
        <v/>
      </c>
      <c r="AU17" s="1550">
        <f>AU11*-0.5</f>
        <v/>
      </c>
      <c r="AV17" s="1550">
        <f>AV11*-0.5</f>
        <v/>
      </c>
      <c r="AW17" s="1550">
        <f>AW11*-0.5</f>
        <v/>
      </c>
      <c r="AX17" s="1550">
        <f>AX11*-0.5</f>
        <v/>
      </c>
      <c r="AY17" s="1550">
        <f>AY11*-0.5</f>
        <v/>
      </c>
      <c r="AZ17" s="1550">
        <f>AZ11*-0.5</f>
        <v/>
      </c>
      <c r="BA17" s="1547">
        <f>SUM(Table13[[#This Row],[Month 37]]:Table13[[#This Row],[Month 48]])</f>
        <v/>
      </c>
      <c r="BB17" s="1550">
        <f>BB11*-0.5</f>
        <v/>
      </c>
      <c r="BC17" s="1550">
        <f>BC11*-0.5</f>
        <v/>
      </c>
      <c r="BD17" s="1550">
        <f>BD11*-0.5</f>
        <v/>
      </c>
      <c r="BE17" s="1550">
        <f>BE11*-0.5</f>
        <v/>
      </c>
      <c r="BF17" s="1550">
        <f>BF11*-0.5</f>
        <v/>
      </c>
      <c r="BG17" s="1550">
        <f>BG11*-0.5</f>
        <v/>
      </c>
      <c r="BH17" s="1550">
        <f>BH11*-0.5</f>
        <v/>
      </c>
      <c r="BI17" s="1550">
        <f>BI11*-0.5</f>
        <v/>
      </c>
      <c r="BJ17" s="1550">
        <f>BJ11*-0.5</f>
        <v/>
      </c>
      <c r="BK17" s="1550">
        <f>BK11*-0.5</f>
        <v/>
      </c>
      <c r="BL17" s="1550">
        <f>BL11*-0.5</f>
        <v/>
      </c>
      <c r="BM17" s="1550">
        <f>BM11*-0.5</f>
        <v/>
      </c>
      <c r="BN17" s="1547">
        <f>SUM(Table13[[#This Row],[Month 49]]:Table13[[#This Row],[Month 60]])</f>
        <v/>
      </c>
    </row>
    <row r="18" ht="15" customHeight="1" s="1883">
      <c r="A18" s="1549" t="inlineStr">
        <is>
          <t>Partner Revenue Share (SaaS)</t>
        </is>
      </c>
      <c r="B18" s="1550">
        <f>B12*-0.5</f>
        <v/>
      </c>
      <c r="C18" s="1550">
        <f>C12*-0.5</f>
        <v/>
      </c>
      <c r="D18" s="1550">
        <f>D12*-0.5</f>
        <v/>
      </c>
      <c r="E18" s="1550">
        <f>E12*-0.5</f>
        <v/>
      </c>
      <c r="F18" s="1550">
        <f>F12*-0.5</f>
        <v/>
      </c>
      <c r="G18" s="1550">
        <f>G12*-0.5</f>
        <v/>
      </c>
      <c r="H18" s="1550">
        <f>H12*-0.5</f>
        <v/>
      </c>
      <c r="I18" s="1550">
        <f>I12*-0.5</f>
        <v/>
      </c>
      <c r="J18" s="1550">
        <f>J12*-0.5</f>
        <v/>
      </c>
      <c r="K18" s="1550">
        <f>K12*-0.5</f>
        <v/>
      </c>
      <c r="L18" s="1550">
        <f>L12*-0.5</f>
        <v/>
      </c>
      <c r="M18" s="1550">
        <f>M12*-0.5</f>
        <v/>
      </c>
      <c r="N18" s="1557">
        <f>SUM(Table13[[#This Row],[Month 1]]:Table13[[#This Row],[Month 12]])</f>
        <v/>
      </c>
      <c r="O18" s="1550">
        <f>O12*-0.5</f>
        <v/>
      </c>
      <c r="P18" s="1550">
        <f>P12*-0.5</f>
        <v/>
      </c>
      <c r="Q18" s="1550">
        <f>Q12*-0.5</f>
        <v/>
      </c>
      <c r="R18" s="1550">
        <f>R12*-0.5</f>
        <v/>
      </c>
      <c r="S18" s="1550">
        <f>S12*-0.5</f>
        <v/>
      </c>
      <c r="T18" s="1550">
        <f>T12*-0.5</f>
        <v/>
      </c>
      <c r="U18" s="1550">
        <f>U12*-0.5</f>
        <v/>
      </c>
      <c r="V18" s="1550">
        <f>V12*-0.5</f>
        <v/>
      </c>
      <c r="W18" s="1550">
        <f>W12*-0.5</f>
        <v/>
      </c>
      <c r="X18" s="1550">
        <f>X12*-0.5</f>
        <v/>
      </c>
      <c r="Y18" s="1550">
        <f>Y12*-0.5</f>
        <v/>
      </c>
      <c r="Z18" s="1550">
        <f>Z12*-0.5</f>
        <v/>
      </c>
      <c r="AA18" s="1557">
        <f>SUM(Table13[[#This Row],[Month 13]]:Table13[[#This Row],[Month 24]])</f>
        <v/>
      </c>
      <c r="AB18" s="1550">
        <f>AB12*-0.5</f>
        <v/>
      </c>
      <c r="AC18" s="1550">
        <f>AC12*-0.5</f>
        <v/>
      </c>
      <c r="AD18" s="1550">
        <f>AD12*-0.5</f>
        <v/>
      </c>
      <c r="AE18" s="1550">
        <f>AE12*-0.5</f>
        <v/>
      </c>
      <c r="AF18" s="1550">
        <f>AF12*-0.5</f>
        <v/>
      </c>
      <c r="AG18" s="1550">
        <f>AG12*-0.5</f>
        <v/>
      </c>
      <c r="AH18" s="1550">
        <f>AH12*-0.5</f>
        <v/>
      </c>
      <c r="AI18" s="1550">
        <f>AI12*-0.5</f>
        <v/>
      </c>
      <c r="AJ18" s="1550">
        <f>AJ12*-0.5</f>
        <v/>
      </c>
      <c r="AK18" s="1550">
        <f>AK12*-0.5</f>
        <v/>
      </c>
      <c r="AL18" s="1550">
        <f>AL12*-0.5</f>
        <v/>
      </c>
      <c r="AM18" s="1550">
        <f>AM12*-0.5</f>
        <v/>
      </c>
      <c r="AN18" s="1547">
        <f>SUM(Table13[[#This Row],[Month 25]]:Table13[[#This Row],[Month 36]])</f>
        <v/>
      </c>
      <c r="AO18" s="1550">
        <f>AO12*-0.5</f>
        <v/>
      </c>
      <c r="AP18" s="1550">
        <f>AP12*-0.5</f>
        <v/>
      </c>
      <c r="AQ18" s="1550">
        <f>AQ12*-0.5</f>
        <v/>
      </c>
      <c r="AR18" s="1550">
        <f>AR12*-0.5</f>
        <v/>
      </c>
      <c r="AS18" s="1550">
        <f>AS12*-0.5</f>
        <v/>
      </c>
      <c r="AT18" s="1550">
        <f>AT12*-0.5</f>
        <v/>
      </c>
      <c r="AU18" s="1550">
        <f>AU12*-0.5</f>
        <v/>
      </c>
      <c r="AV18" s="1550">
        <f>AV12*-0.5</f>
        <v/>
      </c>
      <c r="AW18" s="1550">
        <f>AW12*-0.5</f>
        <v/>
      </c>
      <c r="AX18" s="1550">
        <f>AX12*-0.5</f>
        <v/>
      </c>
      <c r="AY18" s="1550">
        <f>AY12*-0.5</f>
        <v/>
      </c>
      <c r="AZ18" s="1550">
        <f>AZ12*-0.5</f>
        <v/>
      </c>
      <c r="BA18" s="1547">
        <f>SUM(Table13[[#This Row],[Month 37]]:Table13[[#This Row],[Month 48]])</f>
        <v/>
      </c>
      <c r="BB18" s="1550">
        <f>BB12*-0.5</f>
        <v/>
      </c>
      <c r="BC18" s="1550">
        <f>BC12*-0.5</f>
        <v/>
      </c>
      <c r="BD18" s="1550">
        <f>BD12*-0.5</f>
        <v/>
      </c>
      <c r="BE18" s="1550">
        <f>BE12*-0.5</f>
        <v/>
      </c>
      <c r="BF18" s="1550">
        <f>BF12*-0.5</f>
        <v/>
      </c>
      <c r="BG18" s="1550">
        <f>BG12*-0.5</f>
        <v/>
      </c>
      <c r="BH18" s="1550">
        <f>BH12*-0.5</f>
        <v/>
      </c>
      <c r="BI18" s="1550">
        <f>BI12*-0.5</f>
        <v/>
      </c>
      <c r="BJ18" s="1550">
        <f>BJ12*-0.5</f>
        <v/>
      </c>
      <c r="BK18" s="1550">
        <f>BK12*-0.5</f>
        <v/>
      </c>
      <c r="BL18" s="1550">
        <f>BL12*-0.5</f>
        <v/>
      </c>
      <c r="BM18" s="1550">
        <f>BM12*-0.5</f>
        <v/>
      </c>
      <c r="BN18" s="1547">
        <f>SUM(Table13[[#This Row],[Month 49]]:Table13[[#This Row],[Month 60]])</f>
        <v/>
      </c>
    </row>
    <row r="19" ht="15" customHeight="1" s="1883">
      <c r="A19" s="1549" t="inlineStr">
        <is>
          <t>Taxes</t>
        </is>
      </c>
      <c r="B19" s="1545">
        <f>B10*-0.06</f>
        <v/>
      </c>
      <c r="C19" s="1545">
        <f>C10*-0.06</f>
        <v/>
      </c>
      <c r="D19" s="1545">
        <f>D10*-0.06</f>
        <v/>
      </c>
      <c r="E19" s="1545">
        <f>E10*-0.06</f>
        <v/>
      </c>
      <c r="F19" s="1545">
        <f>F10*-0.06</f>
        <v/>
      </c>
      <c r="G19" s="1545">
        <f>G10*-0.06</f>
        <v/>
      </c>
      <c r="H19" s="1545">
        <f>H10*-0.06</f>
        <v/>
      </c>
      <c r="I19" s="1555">
        <f>I10*-0.06</f>
        <v/>
      </c>
      <c r="J19" s="1555">
        <f>J10*-0.06</f>
        <v/>
      </c>
      <c r="K19" s="1555">
        <f>K10*-0.06</f>
        <v/>
      </c>
      <c r="L19" s="1555">
        <f>L10*-0.06</f>
        <v/>
      </c>
      <c r="M19" s="1546">
        <f>M10*-0.06</f>
        <v/>
      </c>
      <c r="N19" s="1547">
        <f>SUM(Table13[[#This Row],[Month 1]]:Table13[[#This Row],[Month 12]])</f>
        <v/>
      </c>
      <c r="O19" s="1556">
        <f>O10*-0.06</f>
        <v/>
      </c>
      <c r="P19" s="1555">
        <f>P10*-0.06</f>
        <v/>
      </c>
      <c r="Q19" s="1555">
        <f>Q10*-0.06</f>
        <v/>
      </c>
      <c r="R19" s="1555">
        <f>R10*-0.06</f>
        <v/>
      </c>
      <c r="S19" s="1555">
        <f>S10*-0.06</f>
        <v/>
      </c>
      <c r="T19" s="1555">
        <f>T10*-0.06</f>
        <v/>
      </c>
      <c r="U19" s="1555">
        <f>U10*-0.06</f>
        <v/>
      </c>
      <c r="V19" s="1555">
        <f>V10*-0.06</f>
        <v/>
      </c>
      <c r="W19" s="1555">
        <f>W10*-0.06</f>
        <v/>
      </c>
      <c r="X19" s="1555">
        <f>X10*-0.06</f>
        <v/>
      </c>
      <c r="Y19" s="1555">
        <f>Y10*-0.06</f>
        <v/>
      </c>
      <c r="Z19" s="1546">
        <f>Z10*-0.06</f>
        <v/>
      </c>
      <c r="AA19" s="1547">
        <f>SUM(Table13[[#This Row],[Month 13]]:Table13[[#This Row],[Month 24]])</f>
        <v/>
      </c>
      <c r="AB19" s="1556">
        <f>AB10*-0.06</f>
        <v/>
      </c>
      <c r="AC19" s="1555">
        <f>AC10*-0.06</f>
        <v/>
      </c>
      <c r="AD19" s="1555">
        <f>AD10*-0.06</f>
        <v/>
      </c>
      <c r="AE19" s="1555">
        <f>AE10*-0.06</f>
        <v/>
      </c>
      <c r="AF19" s="1555">
        <f>AF10*-0.06</f>
        <v/>
      </c>
      <c r="AG19" s="1555">
        <f>AG10*-0.06</f>
        <v/>
      </c>
      <c r="AH19" s="1555">
        <f>AH10*-0.06</f>
        <v/>
      </c>
      <c r="AI19" s="1555">
        <f>AI10*-0.06</f>
        <v/>
      </c>
      <c r="AJ19" s="1555">
        <f>AJ10*-0.06</f>
        <v/>
      </c>
      <c r="AK19" s="1555">
        <f>AK10*-0.06</f>
        <v/>
      </c>
      <c r="AL19" s="1555">
        <f>AL10*-0.06</f>
        <v/>
      </c>
      <c r="AM19" s="1546">
        <f>AM10*-0.06</f>
        <v/>
      </c>
      <c r="AN19" s="1547">
        <f>SUM(Table13[[#This Row],[Month 25]]:Table13[[#This Row],[Month 36]])</f>
        <v/>
      </c>
      <c r="AO19" s="1556">
        <f>AO10*-0.06</f>
        <v/>
      </c>
      <c r="AP19" s="1555">
        <f>AP10*-0.06</f>
        <v/>
      </c>
      <c r="AQ19" s="1555">
        <f>AQ10*-0.06</f>
        <v/>
      </c>
      <c r="AR19" s="1555">
        <f>AR10*-0.06</f>
        <v/>
      </c>
      <c r="AS19" s="1555">
        <f>AS10*-0.06</f>
        <v/>
      </c>
      <c r="AT19" s="1555">
        <f>AT10*-0.06</f>
        <v/>
      </c>
      <c r="AU19" s="1555">
        <f>AU10*-0.06</f>
        <v/>
      </c>
      <c r="AV19" s="1555">
        <f>AV10*-0.06</f>
        <v/>
      </c>
      <c r="AW19" s="1555">
        <f>AW10*-0.06</f>
        <v/>
      </c>
      <c r="AX19" s="1555">
        <f>AX10*-0.06</f>
        <v/>
      </c>
      <c r="AY19" s="1555">
        <f>AY10*-0.06</f>
        <v/>
      </c>
      <c r="AZ19" s="1546">
        <f>AZ10*-0.06</f>
        <v/>
      </c>
      <c r="BA19" s="1547">
        <f>SUM(Table13[[#This Row],[Month 37]]:Table13[[#This Row],[Month 48]])</f>
        <v/>
      </c>
      <c r="BB19" s="1556">
        <f>BB10*-0.06</f>
        <v/>
      </c>
      <c r="BC19" s="1555">
        <f>BC10*-0.06</f>
        <v/>
      </c>
      <c r="BD19" s="1555">
        <f>BD10*-0.06</f>
        <v/>
      </c>
      <c r="BE19" s="1555">
        <f>BE10*-0.06</f>
        <v/>
      </c>
      <c r="BF19" s="1555">
        <f>BF10*-0.06</f>
        <v/>
      </c>
      <c r="BG19" s="1555">
        <f>BG10*-0.06</f>
        <v/>
      </c>
      <c r="BH19" s="1555">
        <f>BH10*-0.06</f>
        <v/>
      </c>
      <c r="BI19" s="1555">
        <f>BI10*-0.06</f>
        <v/>
      </c>
      <c r="BJ19" s="1555">
        <f>BJ10*-0.06</f>
        <v/>
      </c>
      <c r="BK19" s="1555">
        <f>BK10*-0.06</f>
        <v/>
      </c>
      <c r="BL19" s="1555">
        <f>BL10*-0.06</f>
        <v/>
      </c>
      <c r="BM19" s="1546">
        <f>BM10*-0.06</f>
        <v/>
      </c>
      <c r="BN19" s="1547">
        <f>SUM(Table13[[#This Row],[Month 49]]:Table13[[#This Row],[Month 60]])</f>
        <v/>
      </c>
    </row>
    <row r="20" ht="15" customHeight="1" s="1883">
      <c r="A20" s="1549" t="inlineStr">
        <is>
          <t>Net Revenue</t>
        </is>
      </c>
      <c r="B20" s="1558">
        <f>SUM(B9:B19)</f>
        <v/>
      </c>
      <c r="C20" s="1558">
        <f>SUM(C9:C19)</f>
        <v/>
      </c>
      <c r="D20" s="1558">
        <f>SUM(D9:D19)</f>
        <v/>
      </c>
      <c r="E20" s="1558">
        <f>SUM(E9:E19)</f>
        <v/>
      </c>
      <c r="F20" s="1558">
        <f>SUM(F9:F19)</f>
        <v/>
      </c>
      <c r="G20" s="1558">
        <f>SUM(G9:G19)</f>
        <v/>
      </c>
      <c r="H20" s="1558">
        <f>SUM(H9:H19)</f>
        <v/>
      </c>
      <c r="I20" s="1559">
        <f>SUM(I9:I19)</f>
        <v/>
      </c>
      <c r="J20" s="1559">
        <f>SUM(J9:J19)</f>
        <v/>
      </c>
      <c r="K20" s="1559">
        <f>SUM(K9:K19)</f>
        <v/>
      </c>
      <c r="L20" s="1559">
        <f>SUM(L9:L19)</f>
        <v/>
      </c>
      <c r="M20" s="1560">
        <f>SUM(M9:M19)</f>
        <v/>
      </c>
      <c r="N20" s="1561">
        <f>SUM(Table13[[#This Row],[Month 1]]:Table13[[#This Row],[Month 12]])</f>
        <v/>
      </c>
      <c r="O20" s="1562">
        <f>SUM(O9:O19)</f>
        <v/>
      </c>
      <c r="P20" s="1559">
        <f>SUM(P9:P19)</f>
        <v/>
      </c>
      <c r="Q20" s="1559">
        <f>SUM(Q9:Q19)</f>
        <v/>
      </c>
      <c r="R20" s="1559">
        <f>SUM(R9:R19)</f>
        <v/>
      </c>
      <c r="S20" s="1559">
        <f>SUM(S9:S19)</f>
        <v/>
      </c>
      <c r="T20" s="1559">
        <f>SUM(T9:T19)</f>
        <v/>
      </c>
      <c r="U20" s="1559">
        <f>SUM(U9:U19)</f>
        <v/>
      </c>
      <c r="V20" s="1559">
        <f>SUM(V9:V19)</f>
        <v/>
      </c>
      <c r="W20" s="1559">
        <f>SUM(W9:W19)</f>
        <v/>
      </c>
      <c r="X20" s="1559">
        <f>SUM(X9:X19)</f>
        <v/>
      </c>
      <c r="Y20" s="1559">
        <f>SUM(Y9:Y19)</f>
        <v/>
      </c>
      <c r="Z20" s="1560">
        <f>SUM(Z9:Z19)</f>
        <v/>
      </c>
      <c r="AA20" s="1561">
        <f>SUM(Table13[[#This Row],[Month 13]]:Table13[[#This Row],[Month 24]])</f>
        <v/>
      </c>
      <c r="AB20" s="1562">
        <f>SUM(AB9:AB19)</f>
        <v/>
      </c>
      <c r="AC20" s="1559">
        <f>SUM(AC9:AC19)</f>
        <v/>
      </c>
      <c r="AD20" s="1559">
        <f>SUM(AD9:AD19)</f>
        <v/>
      </c>
      <c r="AE20" s="1559">
        <f>SUM(AE9:AE19)</f>
        <v/>
      </c>
      <c r="AF20" s="1559">
        <f>SUM(AF9:AF19)</f>
        <v/>
      </c>
      <c r="AG20" s="1559">
        <f>SUM(AG9:AG19)</f>
        <v/>
      </c>
      <c r="AH20" s="1559">
        <f>SUM(AH9:AH19)</f>
        <v/>
      </c>
      <c r="AI20" s="1559">
        <f>SUM(AI9:AI19)</f>
        <v/>
      </c>
      <c r="AJ20" s="1559">
        <f>SUM(AJ9:AJ19)</f>
        <v/>
      </c>
      <c r="AK20" s="1559">
        <f>SUM(AK9:AK19)</f>
        <v/>
      </c>
      <c r="AL20" s="1559">
        <f>SUM(AL9:AL19)</f>
        <v/>
      </c>
      <c r="AM20" s="1560">
        <f>SUM(AM9:AM19)</f>
        <v/>
      </c>
      <c r="AN20" s="1547">
        <f>SUM(Table13[[#This Row],[Month 25]]:Table13[[#This Row],[Month 36]])</f>
        <v/>
      </c>
      <c r="AO20" s="1562">
        <f>SUM(AO9:AO19)</f>
        <v/>
      </c>
      <c r="AP20" s="1559">
        <f>SUM(AP9:AP19)</f>
        <v/>
      </c>
      <c r="AQ20" s="1559">
        <f>SUM(AQ9:AQ19)</f>
        <v/>
      </c>
      <c r="AR20" s="1559">
        <f>SUM(AR9:AR19)</f>
        <v/>
      </c>
      <c r="AS20" s="1559">
        <f>SUM(AS9:AS19)</f>
        <v/>
      </c>
      <c r="AT20" s="1559">
        <f>SUM(AT9:AT19)</f>
        <v/>
      </c>
      <c r="AU20" s="1559">
        <f>SUM(AU9:AU19)</f>
        <v/>
      </c>
      <c r="AV20" s="1559">
        <f>SUM(AV9:AV19)</f>
        <v/>
      </c>
      <c r="AW20" s="1559">
        <f>SUM(AW9:AW19)</f>
        <v/>
      </c>
      <c r="AX20" s="1559">
        <f>SUM(AX9:AX19)</f>
        <v/>
      </c>
      <c r="AY20" s="1559">
        <f>SUM(AY9:AY19)</f>
        <v/>
      </c>
      <c r="AZ20" s="1560">
        <f>SUM(AZ9:AZ19)</f>
        <v/>
      </c>
      <c r="BA20" s="1547">
        <f>SUM(Table13[[#This Row],[Month 37]]:Table13[[#This Row],[Month 48]])</f>
        <v/>
      </c>
      <c r="BB20" s="1562">
        <f>SUM(BB9:BB19)</f>
        <v/>
      </c>
      <c r="BC20" s="1559">
        <f>SUM(BC9:BC19)</f>
        <v/>
      </c>
      <c r="BD20" s="1559">
        <f>SUM(BD9:BD19)</f>
        <v/>
      </c>
      <c r="BE20" s="1559">
        <f>SUM(BE9:BE19)</f>
        <v/>
      </c>
      <c r="BF20" s="1559">
        <f>SUM(BF9:BF19)</f>
        <v/>
      </c>
      <c r="BG20" s="1559">
        <f>SUM(BG9:BG19)</f>
        <v/>
      </c>
      <c r="BH20" s="1559">
        <f>SUM(BH9:BH19)</f>
        <v/>
      </c>
      <c r="BI20" s="1559">
        <f>SUM(BI9:BI19)</f>
        <v/>
      </c>
      <c r="BJ20" s="1559">
        <f>SUM(BJ9:BJ19)</f>
        <v/>
      </c>
      <c r="BK20" s="1559">
        <f>SUM(BK9:BK19)</f>
        <v/>
      </c>
      <c r="BL20" s="1559">
        <f>SUM(BL9:BL19)</f>
        <v/>
      </c>
      <c r="BM20" s="1560">
        <f>SUM(BM9:BM19)</f>
        <v/>
      </c>
      <c r="BN20" s="1547">
        <f>SUM(Table13[[#This Row],[Month 49]]:Table13[[#This Row],[Month 60]])</f>
        <v/>
      </c>
    </row>
    <row r="21" ht="15.75" customHeight="1" s="1883" thickBot="1">
      <c r="A21" s="1955" t="inlineStr">
        <is>
          <t>Net Revenue percentage</t>
        </is>
      </c>
      <c r="B21" s="1563">
        <f>B20/(B9+B10+B11+B12)</f>
        <v/>
      </c>
      <c r="C21" s="1563">
        <f>C20/(C9+C10+C11+C12)</f>
        <v/>
      </c>
      <c r="D21" s="1563">
        <f>D20/(D9+D10+D11+D12)</f>
        <v/>
      </c>
      <c r="E21" s="1563">
        <f>E20/(E9+E10+E11+E12)</f>
        <v/>
      </c>
      <c r="F21" s="1563">
        <f>F20/(F9+F10+F11+F12)</f>
        <v/>
      </c>
      <c r="G21" s="1563">
        <f>G20/(G9+G10+G11+G12)</f>
        <v/>
      </c>
      <c r="H21" s="1563">
        <f>H20/(H9+H10+H11+H12)</f>
        <v/>
      </c>
      <c r="I21" s="1563">
        <f>I20/(I9+I10+I11+I12)</f>
        <v/>
      </c>
      <c r="J21" s="1563">
        <f>J20/(J9+J10+J11+J12)</f>
        <v/>
      </c>
      <c r="K21" s="1563">
        <f>K20/(K9+K10+K11+K12)</f>
        <v/>
      </c>
      <c r="L21" s="1563" t="n"/>
      <c r="M21" s="1563">
        <f>M20/(M9+M10+M11+M12)</f>
        <v/>
      </c>
      <c r="N21" s="1564">
        <f>N20/(N9+N10+N11+N12)</f>
        <v/>
      </c>
      <c r="O21" s="1563">
        <f>O20/(O9+O10+O11+O12)</f>
        <v/>
      </c>
      <c r="P21" s="1563">
        <f>P20/(P9+P10+P11+P12)</f>
        <v/>
      </c>
      <c r="Q21" s="1563">
        <f>Q20/(Q9+Q10+Q11+Q12)</f>
        <v/>
      </c>
      <c r="R21" s="1563">
        <f>R20/(R9+R10+R11+R12)</f>
        <v/>
      </c>
      <c r="S21" s="1563">
        <f>S20/(S9+S10+S11+S12)</f>
        <v/>
      </c>
      <c r="T21" s="1563">
        <f>T20/(T9+T10+T11+T12)</f>
        <v/>
      </c>
      <c r="U21" s="1563">
        <f>U20/(U9+U10+U11+U12)</f>
        <v/>
      </c>
      <c r="V21" s="1563">
        <f>V20/(V9+V10+V11+V12)</f>
        <v/>
      </c>
      <c r="W21" s="1563">
        <f>W20/(W9+W10+W11+W12)</f>
        <v/>
      </c>
      <c r="X21" s="1563">
        <f>X20/(X9+X10+X11+X12)</f>
        <v/>
      </c>
      <c r="Y21" s="1563">
        <f>Y20/(Y9+Y10+Y11+Y12)</f>
        <v/>
      </c>
      <c r="Z21" s="1563">
        <f>Z20/(Z9+Z10+Z11+Z12)</f>
        <v/>
      </c>
      <c r="AA21" s="1564">
        <f>AA20/(AA9+AA10+AA11+AA12)</f>
        <v/>
      </c>
      <c r="AB21" s="1563">
        <f>AB20/(AB9+AB10+AB11+AB12)</f>
        <v/>
      </c>
      <c r="AC21" s="1563">
        <f>AC20/(AC9+AC10+AC11+AC12)</f>
        <v/>
      </c>
      <c r="AD21" s="1563">
        <f>AD20/(AD9+AD10+AD11+AD12)</f>
        <v/>
      </c>
      <c r="AE21" s="1563">
        <f>AE20/(AE9+AE10+AE11+AE12)</f>
        <v/>
      </c>
      <c r="AF21" s="1563">
        <f>AF20/(AF9+AF10+AF11+AF12)</f>
        <v/>
      </c>
      <c r="AG21" s="1563">
        <f>AG20/(AG9+AG10+AG11+AG12)</f>
        <v/>
      </c>
      <c r="AH21" s="1563">
        <f>AH20/(AH9+AH10+AH11+AH12)</f>
        <v/>
      </c>
      <c r="AI21" s="1563">
        <f>AI20/(AI9+AI10+AI11+AI12)</f>
        <v/>
      </c>
      <c r="AJ21" s="1563">
        <f>AJ20/(AJ9+AJ10+AJ11+AJ12)</f>
        <v/>
      </c>
      <c r="AK21" s="1563">
        <f>AK20/(AK9+AK10+AK11+AK12)</f>
        <v/>
      </c>
      <c r="AL21" s="1563">
        <f>AL20/(AL9+AL10+AL11+AL12)</f>
        <v/>
      </c>
      <c r="AM21" s="1563">
        <f>AM20/(AM9+AM10+AM11+AM12)</f>
        <v/>
      </c>
      <c r="AN21" s="1564">
        <f>AN20/(AN9+AN10+AN11+AN12)</f>
        <v/>
      </c>
      <c r="AO21" s="1563">
        <f>AO20/(AO9+AO10+AO11+AO12)</f>
        <v/>
      </c>
      <c r="AP21" s="1563">
        <f>AP20/(AP9+AP10+AP11+AP12)</f>
        <v/>
      </c>
      <c r="AQ21" s="1563">
        <f>AQ20/(AQ9+AQ10+AQ11+AQ12)</f>
        <v/>
      </c>
      <c r="AR21" s="1563">
        <f>AR20/(AR9+AR10+AR11+AR12)</f>
        <v/>
      </c>
      <c r="AS21" s="1563">
        <f>AS20/(AS9+AS10+AS11+AS12)</f>
        <v/>
      </c>
      <c r="AT21" s="1563">
        <f>AT20/(AT9+AT10+AT11+AT12)</f>
        <v/>
      </c>
      <c r="AU21" s="1563">
        <f>AU20/(AU9+AU10+AU11+AU12)</f>
        <v/>
      </c>
      <c r="AV21" s="1563">
        <f>AV20/(AV9+AV10+AV11+AV12)</f>
        <v/>
      </c>
      <c r="AW21" s="1563">
        <f>AW20/(AW9+AW10+AW11+AW12)</f>
        <v/>
      </c>
      <c r="AX21" s="1563">
        <f>AX20/(AX9+AX10+AX11+AX12)</f>
        <v/>
      </c>
      <c r="AY21" s="1563">
        <f>AY20/(AY9+AY10+AY11+AY12)</f>
        <v/>
      </c>
      <c r="AZ21" s="1563">
        <f>AZ20/(AZ9+AZ10+AZ11+AZ12)</f>
        <v/>
      </c>
      <c r="BA21" s="1564">
        <f>BA20/(BA9+BA10+BA11+BA12)</f>
        <v/>
      </c>
      <c r="BB21" s="1563">
        <f>BB20/(BB9+BB10+BB11+BB12)</f>
        <v/>
      </c>
      <c r="BC21" s="1563">
        <f>BC20/(BC9+BC10+BC11+BC12)</f>
        <v/>
      </c>
      <c r="BD21" s="1563">
        <f>BD20/(BD9+BD10+BD11+BD12)</f>
        <v/>
      </c>
      <c r="BE21" s="1563">
        <f>BE20/(BE9+BE10+BE11+BE12)</f>
        <v/>
      </c>
      <c r="BF21" s="1563">
        <f>BF20/(BF9+BF10+BF11+BF12)</f>
        <v/>
      </c>
      <c r="BG21" s="1563">
        <f>BG20/(BG9+BG10+BG11+BG12)</f>
        <v/>
      </c>
      <c r="BH21" s="1563">
        <f>BH20/(BH9+BH10+BH11+BH12)</f>
        <v/>
      </c>
      <c r="BI21" s="1563">
        <f>BI20/(BI9+BI10+BI11+BI12)</f>
        <v/>
      </c>
      <c r="BJ21" s="1563">
        <f>BJ20/(BJ9+BJ10+BJ11+BJ12)</f>
        <v/>
      </c>
      <c r="BK21" s="1563">
        <f>BK20/(BK9+BK10+BK11+BK12)</f>
        <v/>
      </c>
      <c r="BL21" s="1563">
        <f>BL20/(BL9+BL10+BL11+BL12)</f>
        <v/>
      </c>
      <c r="BM21" s="1563">
        <f>BM20/(BM9+BM10+BM11+BM12)</f>
        <v/>
      </c>
      <c r="BN21" s="1564">
        <f>BN20/(BN9+BN10+BN11+BN12)</f>
        <v/>
      </c>
    </row>
    <row r="22" ht="14" customHeight="1" s="1883"/>
    <row r="23" ht="14" customHeight="1" s="1883">
      <c r="A23" s="742" t="inlineStr">
        <is>
          <t>Revenue</t>
        </is>
      </c>
      <c r="B23" s="1708">
        <f>B9+B10+B11+B12</f>
        <v/>
      </c>
      <c r="C23" s="2094">
        <f>C9+C10+C11+C12</f>
        <v/>
      </c>
      <c r="D23" s="2094">
        <f>D9+D10+D11+D12</f>
        <v/>
      </c>
      <c r="E23" s="2094">
        <f>E9+E10+E11+E12</f>
        <v/>
      </c>
      <c r="F23" s="2094">
        <f>F9+F10+F11+F12</f>
        <v/>
      </c>
      <c r="G23" s="2094">
        <f>G9+G10+G11+G12</f>
        <v/>
      </c>
      <c r="H23" s="2094">
        <f>H9+H10+H11+H12</f>
        <v/>
      </c>
      <c r="I23" s="2094">
        <f>I9+I10+I11+I12</f>
        <v/>
      </c>
      <c r="J23" s="2094">
        <f>J9+J10+J11+J12</f>
        <v/>
      </c>
      <c r="K23" s="2094">
        <f>K9+K10+K11+K12</f>
        <v/>
      </c>
      <c r="L23" s="2094">
        <f>L9+L10+L11+L12</f>
        <v/>
      </c>
      <c r="M23" s="2094">
        <f>M9+M10+M11+M12</f>
        <v/>
      </c>
      <c r="N23" s="2095">
        <f>N9+N10+N11+N12</f>
        <v/>
      </c>
      <c r="O23" s="2094">
        <f>O9+O10+O11+O12</f>
        <v/>
      </c>
      <c r="P23" s="2094">
        <f>P9+P10+P11+P12</f>
        <v/>
      </c>
      <c r="Q23" s="2094">
        <f>Q9+Q10+Q11+Q12</f>
        <v/>
      </c>
      <c r="R23" s="2094">
        <f>R9+R10+R11+R12</f>
        <v/>
      </c>
      <c r="S23" s="2094">
        <f>S9+S10+S11+S12</f>
        <v/>
      </c>
      <c r="T23" s="2094">
        <f>T9+T10+T11+T12</f>
        <v/>
      </c>
      <c r="U23" s="2094">
        <f>U9+U10+U11+U12</f>
        <v/>
      </c>
      <c r="V23" s="2094">
        <f>V9+V10+V11+V12</f>
        <v/>
      </c>
      <c r="W23" s="2094">
        <f>W9+W10+W11+W12</f>
        <v/>
      </c>
      <c r="X23" s="2094">
        <f>X9+X10+X11+X12</f>
        <v/>
      </c>
      <c r="Y23" s="2094">
        <f>Y9+Y10+Y11+Y12</f>
        <v/>
      </c>
      <c r="Z23" s="2094">
        <f>Z9+Z10+Z11+Z12</f>
        <v/>
      </c>
      <c r="AA23" s="2095">
        <f>AA9+AA10+AA11+AA12</f>
        <v/>
      </c>
      <c r="AB23" s="2094">
        <f>AB9+AB10+AB11+AB12</f>
        <v/>
      </c>
      <c r="AC23" s="2094">
        <f>AC9+AC10+AC11+AC12</f>
        <v/>
      </c>
      <c r="AD23" s="2094">
        <f>AD9+AD10+AD11+AD12</f>
        <v/>
      </c>
      <c r="AE23" s="2094">
        <f>AE9+AE10+AE11+AE12</f>
        <v/>
      </c>
      <c r="AF23" s="2094">
        <f>AF9+AF10+AF11+AF12</f>
        <v/>
      </c>
      <c r="AG23" s="2094">
        <f>AG9+AG10+AG11+AG12</f>
        <v/>
      </c>
      <c r="AH23" s="2094">
        <f>AH9+AH10+AH11+AH12</f>
        <v/>
      </c>
      <c r="AI23" s="2094">
        <f>AI9+AI10+AI11+AI12</f>
        <v/>
      </c>
      <c r="AJ23" s="2094">
        <f>AJ9+AJ10+AJ11+AJ12</f>
        <v/>
      </c>
      <c r="AK23" s="2094">
        <f>AK9+AK10+AK11+AK12</f>
        <v/>
      </c>
      <c r="AL23" s="2094">
        <f>AL9+AL10+AL11+AL12</f>
        <v/>
      </c>
      <c r="AM23" s="2094">
        <f>AM9+AM10+AM11+AM12</f>
        <v/>
      </c>
      <c r="AN23" s="2095">
        <f>AN9+AN10+AN11+AN12</f>
        <v/>
      </c>
      <c r="AO23" s="2094">
        <f>AO9+AO10+AO11+AO12</f>
        <v/>
      </c>
      <c r="AP23" s="2094">
        <f>AP9+AP10+AP11+AP12</f>
        <v/>
      </c>
      <c r="AQ23" s="2094">
        <f>AQ9+AQ10+AQ11+AQ12</f>
        <v/>
      </c>
      <c r="AR23" s="2094">
        <f>AR9+AR10+AR11+AR12</f>
        <v/>
      </c>
      <c r="AS23" s="2094">
        <f>AS9+AS10+AS11+AS12</f>
        <v/>
      </c>
      <c r="AT23" s="2094">
        <f>AT9+AT10+AT11+AT12</f>
        <v/>
      </c>
      <c r="AU23" s="2094">
        <f>AU9+AU10+AU11+AU12</f>
        <v/>
      </c>
      <c r="AV23" s="2094">
        <f>AV9+AV10+AV11+AV12</f>
        <v/>
      </c>
      <c r="AW23" s="2094">
        <f>AW9+AW10+AW11+AW12</f>
        <v/>
      </c>
      <c r="AX23" s="2094">
        <f>AX9+AX10+AX11+AX12</f>
        <v/>
      </c>
      <c r="AY23" s="2094">
        <f>AY9+AY10+AY11+AY12</f>
        <v/>
      </c>
      <c r="AZ23" s="2094">
        <f>AZ9+AZ10+AZ11+AZ12</f>
        <v/>
      </c>
      <c r="BA23" s="2095">
        <f>BA9+BA10+BA11+BA12</f>
        <v/>
      </c>
      <c r="BB23" s="2094">
        <f>BB9+BB10+BB11+BB12</f>
        <v/>
      </c>
      <c r="BC23" s="2094">
        <f>BC9+BC10+BC11+BC12</f>
        <v/>
      </c>
      <c r="BD23" s="2094">
        <f>BD9+BD10+BD11+BD12</f>
        <v/>
      </c>
      <c r="BE23" s="2094">
        <f>BE9+BE10+BE11+BE12</f>
        <v/>
      </c>
      <c r="BF23" s="2094">
        <f>BF9+BF10+BF11+BF12</f>
        <v/>
      </c>
      <c r="BG23" s="2094">
        <f>BG9+BG10+BG11+BG12</f>
        <v/>
      </c>
      <c r="BH23" s="2094">
        <f>BH9+BH10+BH11+BH12</f>
        <v/>
      </c>
      <c r="BI23" s="2094">
        <f>BI9+BI10+BI11+BI12</f>
        <v/>
      </c>
      <c r="BJ23" s="2094">
        <f>BJ9+BJ10+BJ11+BJ12</f>
        <v/>
      </c>
      <c r="BK23" s="2094">
        <f>BK9+BK10+BK11+BK12</f>
        <v/>
      </c>
      <c r="BL23" s="2094">
        <f>BL9+BL10+BL11+BL12</f>
        <v/>
      </c>
      <c r="BM23" s="2094">
        <f>BM9+BM10+BM11+BM12</f>
        <v/>
      </c>
      <c r="BN23" s="2095">
        <f>BN9+BN10+BN11+BN12</f>
        <v/>
      </c>
    </row>
    <row r="24" ht="14" customHeight="1" s="1883">
      <c r="A24" s="1955" t="inlineStr">
        <is>
          <t>Expenses</t>
        </is>
      </c>
      <c r="B24" s="1709">
        <f>SUM(ABS(B13+B14+B15+B16+B17+B18+B19))</f>
        <v/>
      </c>
      <c r="C24" s="1709">
        <f>SUM(ABS(C13+C14+C15+C16+C17+C18+C19))</f>
        <v/>
      </c>
      <c r="D24" s="1709">
        <f>SUM(ABS(D13+D14+D15+D16+D17+D18+D19))</f>
        <v/>
      </c>
      <c r="E24" s="1709">
        <f>SUM(ABS(E13+E14+E15+E16+E17+E18+E19))</f>
        <v/>
      </c>
      <c r="F24" s="1709">
        <f>SUM(ABS(F13+F14+F15+F16+F17+F18+F19))</f>
        <v/>
      </c>
      <c r="G24" s="1709">
        <f>SUM(ABS(G13+G14+G15+G16+G17+G18+G19))</f>
        <v/>
      </c>
      <c r="H24" s="1709">
        <f>SUM(ABS(H13+H14+H15+H16+H17+H18+H19))</f>
        <v/>
      </c>
      <c r="I24" s="1709">
        <f>SUM(ABS(I13+I14+I15+I16+I17+I18+I19))</f>
        <v/>
      </c>
      <c r="J24" s="1709">
        <f>SUM(ABS(J13+J14+J15+J16+J17+J18+J19))</f>
        <v/>
      </c>
      <c r="K24" s="1709">
        <f>SUM(ABS(K13+K14+K15+K16+K17+K18+K19))</f>
        <v/>
      </c>
      <c r="L24" s="1709">
        <f>SUM(ABS(L13+L14+L15+L16+L17+L18+L19))</f>
        <v/>
      </c>
      <c r="M24" s="1709">
        <f>SUM(ABS(M13+M14+M15+M16+M17+M18+M19))</f>
        <v/>
      </c>
      <c r="N24" s="1709">
        <f>SUM(ABS(N13+N14+N15+N16+N17+N18+N19))</f>
        <v/>
      </c>
      <c r="O24" s="1709">
        <f>SUM(ABS(O13+O14+O15+O16+O17+O18+O19))</f>
        <v/>
      </c>
      <c r="P24" s="1709">
        <f>SUM(ABS(P13+P14+P15+P16+P17+P18+P19))</f>
        <v/>
      </c>
      <c r="Q24" s="1709">
        <f>SUM(ABS(Q13+Q14+Q15+Q16+Q17+Q18+Q19))</f>
        <v/>
      </c>
      <c r="R24" s="1709">
        <f>SUM(ABS(R13+R14+R15+R16+R17+R18+R19))</f>
        <v/>
      </c>
      <c r="S24" s="1709">
        <f>SUM(ABS(S13+S14+S15+S16+S17+S18+S19))</f>
        <v/>
      </c>
      <c r="T24" s="1709">
        <f>SUM(ABS(T13+T14+T15+T16+T17+T18+T19))</f>
        <v/>
      </c>
      <c r="U24" s="1709">
        <f>SUM(ABS(U13+U14+U15+U16+U17+U18+U19))</f>
        <v/>
      </c>
      <c r="V24" s="1709">
        <f>SUM(ABS(V13+V14+V15+V16+V17+V18+V19))</f>
        <v/>
      </c>
      <c r="W24" s="1709">
        <f>SUM(ABS(W13+W14+W15+W16+W17+W18+W19))</f>
        <v/>
      </c>
      <c r="X24" s="1709">
        <f>SUM(ABS(X13+X14+X15+X16+X17+X18+X19))</f>
        <v/>
      </c>
      <c r="Y24" s="1709">
        <f>SUM(ABS(Y13+Y14+Y15+Y16+Y17+Y18+Y19))</f>
        <v/>
      </c>
      <c r="Z24" s="1709">
        <f>SUM(ABS(Z13+Z14+Z15+Z16+Z17+Z18+Z19))</f>
        <v/>
      </c>
      <c r="AA24" s="1709">
        <f>SUM(ABS(AA13+AA14+AA15+AA16+AA17+AA18+AA19))</f>
        <v/>
      </c>
      <c r="AB24" s="1709">
        <f>SUM(ABS(AB13+AB14+AB15+AB16+AB17+AB18+AB19))</f>
        <v/>
      </c>
      <c r="AC24" s="1709">
        <f>SUM(ABS(AC13+AC14+AC15+AC16+AC17+AC18+AC19))</f>
        <v/>
      </c>
      <c r="AD24" s="1709">
        <f>SUM(ABS(AD13+AD14+AD15+AD16+AD17+AD18+AD19))</f>
        <v/>
      </c>
      <c r="AE24" s="1709">
        <f>SUM(ABS(AE13+AE14+AE15+AE16+AE17+AE18+AE19))</f>
        <v/>
      </c>
      <c r="AF24" s="1709">
        <f>SUM(ABS(AF13+AF14+AF15+AF16+AF17+AF18+AF19))</f>
        <v/>
      </c>
      <c r="AG24" s="1709">
        <f>SUM(ABS(AG13+AG14+AG15+AG16+AG17+AG18+AG19))</f>
        <v/>
      </c>
      <c r="AH24" s="1709">
        <f>SUM(ABS(AH13+AH14+AH15+AH16+AH17+AH18+AH19))</f>
        <v/>
      </c>
      <c r="AI24" s="1709">
        <f>SUM(ABS(AI13+AI14+AI15+AI16+AI17+AI18+AI19))</f>
        <v/>
      </c>
      <c r="AJ24" s="1709">
        <f>SUM(ABS(AJ13+AJ14+AJ15+AJ16+AJ17+AJ18+AJ19))</f>
        <v/>
      </c>
      <c r="AK24" s="1709">
        <f>SUM(ABS(AK13+AK14+AK15+AK16+AK17+AK18+AK19))</f>
        <v/>
      </c>
      <c r="AL24" s="1709">
        <f>SUM(ABS(AL13+AL14+AL15+AL16+AL17+AL18+AL19))</f>
        <v/>
      </c>
      <c r="AM24" s="1709">
        <f>SUM(ABS(AM13+AM14+AM15+AM16+AM17+AM18+AM19))</f>
        <v/>
      </c>
      <c r="AN24" s="1709">
        <f>SUM(ABS(AN13+AN14+AN15+AN16+AN17+AN18+AN19))</f>
        <v/>
      </c>
      <c r="AO24" s="1709">
        <f>SUM(ABS(AO13+AO14+AO15+AO16+AO17+AO18+AO19))</f>
        <v/>
      </c>
      <c r="AP24" s="1709">
        <f>SUM(ABS(AP13+AP14+AP15+AP16+AP17+AP18+AP19))</f>
        <v/>
      </c>
      <c r="AQ24" s="1709">
        <f>SUM(ABS(AQ13+AQ14+AQ15+AQ16+AQ17+AQ18+AQ19))</f>
        <v/>
      </c>
      <c r="AR24" s="1709">
        <f>SUM(ABS(AR13+AR14+AR15+AR16+AR17+AR18+AR19))</f>
        <v/>
      </c>
      <c r="AS24" s="1709">
        <f>SUM(ABS(AS13+AS14+AS15+AS16+AS17+AS18+AS19))</f>
        <v/>
      </c>
      <c r="AT24" s="1709">
        <f>SUM(ABS(AT13+AT14+AT15+AT16+AT17+AT18+AT19))</f>
        <v/>
      </c>
      <c r="AU24" s="1709">
        <f>SUM(ABS(AU13+AU14+AU15+AU16+AU17+AU18+AU19))</f>
        <v/>
      </c>
      <c r="AV24" s="1709">
        <f>SUM(ABS(AV13+AV14+AV15+AV16+AV17+AV18+AV19))</f>
        <v/>
      </c>
      <c r="AW24" s="1709">
        <f>SUM(ABS(AW13+AW14+AW15+AW16+AW17+AW18+AW19))</f>
        <v/>
      </c>
      <c r="AX24" s="1709">
        <f>SUM(ABS(AX13+AX14+AX15+AX16+AX17+AX18+AX19))</f>
        <v/>
      </c>
      <c r="AY24" s="1709">
        <f>SUM(ABS(AY13+AY14+AY15+AY16+AY17+AY18+AY19))</f>
        <v/>
      </c>
      <c r="AZ24" s="1709">
        <f>SUM(ABS(AZ13+AZ14+AZ15+AZ16+AZ17+AZ18+AZ19))</f>
        <v/>
      </c>
      <c r="BA24" s="1709">
        <f>SUM(ABS(BA13+BA14+BA15+BA16+BA17+BA18+BA19))</f>
        <v/>
      </c>
      <c r="BB24" s="1709">
        <f>SUM(ABS(BB13+BB14+BB15+BB16+BB17+BB18+BB19))</f>
        <v/>
      </c>
      <c r="BC24" s="1709">
        <f>SUM(ABS(BC13+BC14+BC15+BC16+BC17+BC18+BC19))</f>
        <v/>
      </c>
      <c r="BD24" s="1709">
        <f>SUM(ABS(BD13+BD14+BD15+BD16+BD17+BD18+BD19))</f>
        <v/>
      </c>
      <c r="BE24" s="1709">
        <f>SUM(ABS(BE13+BE14+BE15+BE16+BE17+BE18+BE19))</f>
        <v/>
      </c>
      <c r="BF24" s="1709">
        <f>SUM(ABS(BF13+BF14+BF15+BF16+BF17+BF18+BF19))</f>
        <v/>
      </c>
      <c r="BG24" s="1709">
        <f>SUM(ABS(BG13+BG14+BG15+BG16+BG17+BG18+BG19))</f>
        <v/>
      </c>
      <c r="BH24" s="1709">
        <f>SUM(ABS(BH13+BH14+BH15+BH16+BH17+BH18+BH19))</f>
        <v/>
      </c>
      <c r="BI24" s="1709">
        <f>SUM(ABS(BI13+BI14+BI15+BI16+BI17+BI18+BI19))</f>
        <v/>
      </c>
      <c r="BJ24" s="1709">
        <f>SUM(ABS(BJ13+BJ14+BJ15+BJ16+BJ17+BJ18+BJ19))</f>
        <v/>
      </c>
      <c r="BK24" s="1709">
        <f>SUM(ABS(BK13+BK14+BK15+BK16+BK17+BK18+BK19))</f>
        <v/>
      </c>
      <c r="BL24" s="1709">
        <f>SUM(ABS(BL13+BL14+BL15+BL16+BL17+BL18+BL19))</f>
        <v/>
      </c>
      <c r="BM24" s="1709">
        <f>SUM(ABS(BM13+BM14+BM15+BM16+BM17+BM18+BM19))</f>
        <v/>
      </c>
      <c r="BN24" s="1709">
        <f>SUM(ABS(BN13+BN14+BN15+BN16+BN17+BN18+BN19))</f>
        <v/>
      </c>
    </row>
    <row r="25" ht="14" customHeight="1" s="1883">
      <c r="A25" s="1955" t="inlineStr">
        <is>
          <t>Net Revenue Check</t>
        </is>
      </c>
      <c r="B25" s="1709">
        <f>Table13[[#Totals],[Month 1]]-B24</f>
        <v/>
      </c>
      <c r="C25" s="1709">
        <f>Table13[[#Totals],[Month 2]]-C24</f>
        <v/>
      </c>
      <c r="D25" s="1709">
        <f>Table13[[#Totals],[Month 3]]-D24</f>
        <v/>
      </c>
      <c r="E25" s="1709">
        <f>Table13[[#Totals],[Month 4]]-E24</f>
        <v/>
      </c>
      <c r="F25" s="1709">
        <f>Table13[[#Totals],[Month 5]]-F24</f>
        <v/>
      </c>
      <c r="G25" s="1709">
        <f>Table13[[#Totals],[Month 6]]-G24</f>
        <v/>
      </c>
      <c r="H25" s="1709">
        <f>Table13[[#Totals],[Month 7]]-H24</f>
        <v/>
      </c>
      <c r="I25" s="1709">
        <f>Table13[[#Totals],[Month 8]]-I24</f>
        <v/>
      </c>
      <c r="J25" s="1709">
        <f>Table13[[#Totals],[Month 9]]-J24</f>
        <v/>
      </c>
      <c r="K25" s="1709">
        <f>Table13[[#Totals],[Month 10]]-K24</f>
        <v/>
      </c>
      <c r="L25" s="1709">
        <f>Table13[[#Totals],[Month 11]]-L24</f>
        <v/>
      </c>
      <c r="M25" s="1709">
        <f>Table13[[#Totals],[Month 12]]-M24</f>
        <v/>
      </c>
      <c r="N25" s="1709">
        <f>Table13[[#Totals],[TOTAL Y1]]-N24</f>
        <v/>
      </c>
      <c r="O25" s="1709">
        <f>Table13[[#Totals],[Month 13]]-O24</f>
        <v/>
      </c>
      <c r="P25" s="1709">
        <f>Table13[[#Totals],[Month 14]]-P24</f>
        <v/>
      </c>
      <c r="Q25" s="1709">
        <f>Table13[[#Totals],[Month 15]]-Q24</f>
        <v/>
      </c>
      <c r="R25" s="1709">
        <f>Table13[[#Totals],[Month 16]]-R24</f>
        <v/>
      </c>
      <c r="S25" s="1709">
        <f>Table13[[#Totals],[Month 17]]-S24</f>
        <v/>
      </c>
      <c r="T25" s="1709">
        <f>Table13[[#Totals],[Month 18]]-T24</f>
        <v/>
      </c>
      <c r="U25" s="1709">
        <f>Table13[[#Totals],[Month 19]]-U24</f>
        <v/>
      </c>
      <c r="V25" s="1709">
        <f>Table13[[#Totals],[Month 20]]-V24</f>
        <v/>
      </c>
      <c r="W25" s="1709">
        <f>Table13[[#Totals],[Month 21]]-W24</f>
        <v/>
      </c>
      <c r="X25" s="1709">
        <f>Table13[[#Totals],[Month 22]]-X24</f>
        <v/>
      </c>
      <c r="Y25" s="1709">
        <f>Table13[[#Totals],[Month 23]]-Y24</f>
        <v/>
      </c>
      <c r="Z25" s="1709">
        <f>Table13[[#Totals],[Month 24]]-Z24</f>
        <v/>
      </c>
      <c r="AA25" s="1709">
        <f>Table13[[#Totals],[TOTAL Y2]]-AA24</f>
        <v/>
      </c>
      <c r="AB25" s="1709">
        <f>Table13[[#Totals],[Month 25]]-AB24</f>
        <v/>
      </c>
      <c r="AC25" s="1709">
        <f>Table13[[#Totals],[Month 26]]-AC24</f>
        <v/>
      </c>
      <c r="AD25" s="1709">
        <f>Table13[[#Totals],[Month 27]]-AD24</f>
        <v/>
      </c>
      <c r="AE25" s="1709">
        <f>Table13[[#Totals],[Month 28]]-AE24</f>
        <v/>
      </c>
      <c r="AF25" s="1709">
        <f>Table13[[#Totals],[Month 29]]-AF24</f>
        <v/>
      </c>
      <c r="AG25" s="1709">
        <f>Table13[[#Totals],[Month 30]]-AG24</f>
        <v/>
      </c>
      <c r="AH25" s="1709">
        <f>Table13[[#Totals],[Month 31]]-AH24</f>
        <v/>
      </c>
      <c r="AI25" s="1709">
        <f>Table13[[#Totals],[Month 32]]-AI24</f>
        <v/>
      </c>
      <c r="AJ25" s="1709">
        <f>Table13[[#Totals],[Month 33]]-AJ24</f>
        <v/>
      </c>
      <c r="AK25" s="1709">
        <f>Table13[[#Totals],[Month 34]]-AK24</f>
        <v/>
      </c>
      <c r="AL25" s="1709">
        <f>Table13[[#Totals],[Month 35]]-AL24</f>
        <v/>
      </c>
      <c r="AM25" s="1709">
        <f>Table13[[#Totals],[Month 36]]-AM24</f>
        <v/>
      </c>
      <c r="AN25" s="1709">
        <f>Table13[[#Totals],[TOTAL Y3]]-AN24</f>
        <v/>
      </c>
      <c r="AO25" s="1709">
        <f>Table13[[#Totals],[Month 37]]-AO24</f>
        <v/>
      </c>
      <c r="AP25" s="1709">
        <f>Table13[[#Totals],[Month 38]]-AP24</f>
        <v/>
      </c>
      <c r="AQ25" s="1709">
        <f>Table13[[#Totals],[Month 39]]-AQ24</f>
        <v/>
      </c>
      <c r="AR25" s="1709">
        <f>Table13[[#Totals],[Month 40]]-AR24</f>
        <v/>
      </c>
      <c r="AS25" s="1709">
        <f>Table13[[#Totals],[Month 41]]-AS24</f>
        <v/>
      </c>
      <c r="AT25" s="1709">
        <f>Table13[[#Totals],[Month 42]]-AT24</f>
        <v/>
      </c>
      <c r="AU25" s="1709">
        <f>Table13[[#Totals],[Month 43]]-AU24</f>
        <v/>
      </c>
      <c r="AV25" s="1709">
        <f>Table13[[#Totals],[Month 44]]-AV24</f>
        <v/>
      </c>
      <c r="AW25" s="1709">
        <f>Table13[[#Totals],[Month 45]]-AW24</f>
        <v/>
      </c>
      <c r="AX25" s="1709">
        <f>Table13[[#Totals],[Month 46]]-AX24</f>
        <v/>
      </c>
      <c r="AY25" s="1709">
        <f>Table13[[#Totals],[Month 47]]-AY24</f>
        <v/>
      </c>
      <c r="AZ25" s="1709">
        <f>Table13[[#Totals],[Month 48]]-AZ24</f>
        <v/>
      </c>
      <c r="BA25" s="1709">
        <f>Table13[[#Totals],[TOTAL Y4]]-BA24</f>
        <v/>
      </c>
      <c r="BB25" s="1709">
        <f>Table13[[#Totals],[Month 49]]-BB24</f>
        <v/>
      </c>
      <c r="BC25" s="1709">
        <f>Table13[[#Totals],[Month 50]]-BC24</f>
        <v/>
      </c>
      <c r="BD25" s="1709">
        <f>Table13[[#Totals],[Month 51]]-BD24</f>
        <v/>
      </c>
      <c r="BE25" s="1709">
        <f>Table13[[#Totals],[Month 52]]-BE24</f>
        <v/>
      </c>
      <c r="BF25" s="1709">
        <f>Table13[[#Totals],[Month 53]]-BF24</f>
        <v/>
      </c>
      <c r="BG25" s="1709">
        <f>Table13[[#Totals],[Month 54]]-BG24</f>
        <v/>
      </c>
      <c r="BH25" s="1709">
        <f>Table13[[#Totals],[Month 55]]-BH24</f>
        <v/>
      </c>
      <c r="BI25" s="1709">
        <f>Table13[[#Totals],[Month 56]]-BI24</f>
        <v/>
      </c>
      <c r="BJ25" s="1709">
        <f>Table13[[#Totals],[Month 57]]-BJ24</f>
        <v/>
      </c>
      <c r="BK25" s="1709">
        <f>Table13[[#Totals],[Month 58]]-BK24</f>
        <v/>
      </c>
      <c r="BL25" s="1709">
        <f>Table13[[#Totals],[Month 59]]-BL24</f>
        <v/>
      </c>
      <c r="BM25" s="1709">
        <f>Table13[[#Totals],[Month 60]]-BM24</f>
        <v/>
      </c>
      <c r="BN25" s="1709">
        <f>Table13[[#Totals],[TOTAL Y5]]-BN24</f>
        <v/>
      </c>
    </row>
    <row r="26" ht="14" customHeight="1" s="1883"/>
    <row r="27" ht="15" customHeight="1" s="1883">
      <c r="A27" s="1537" t="inlineStr">
        <is>
          <t>Estimated Project Cost to Initialize:</t>
        </is>
      </c>
      <c r="B27" s="1565" t="n">
        <v>5979253.6</v>
      </c>
    </row>
    <row r="28" ht="15.75" customHeight="1" s="1883">
      <c r="A28" s="1537" t="inlineStr">
        <is>
          <t>PT Fee (Included in Project Cost):</t>
        </is>
      </c>
      <c r="B28" s="1565" t="n">
        <v>749906.39</v>
      </c>
    </row>
    <row r="29" ht="15.75" customHeight="1" s="1883">
      <c r="A29" s="1537" t="inlineStr">
        <is>
          <t>Projections past initial rollout of 3,000 units assume 1,000 new units ordered with scale up</t>
        </is>
      </c>
    </row>
    <row r="30" ht="15.75" customHeight="1" s="1883">
      <c r="A30" s="1537" t="inlineStr">
        <is>
          <t>POS Projection based on small rollout at typical small store with scale per use</t>
        </is>
      </c>
    </row>
    <row r="31" ht="15.75" customHeight="1" s="1883">
      <c r="A31" s="1537" t="inlineStr">
        <is>
          <t>Pricing assumes higher economy of scale on COGS with higher output of devices</t>
        </is>
      </c>
    </row>
    <row r="32" ht="15.75" customHeight="1" s="1883">
      <c r="A32" s="1537" t="inlineStr">
        <is>
          <t xml:space="preserve">*this doesn’t include the eventual PT core model revenue which can be derived from these devices starting in late Summer 2026. </t>
        </is>
      </c>
    </row>
    <row r="35" ht="15.75" customHeight="1" s="1883">
      <c r="A35" s="1955" t="inlineStr">
        <is>
          <t>Average Revenue Per Year in Mom &amp; Pop Shops</t>
        </is>
      </c>
      <c r="C35" s="2096" t="n">
        <v>17000</v>
      </c>
      <c r="D35" s="1955" t="inlineStr">
        <is>
          <t>(some are way higher and a few lower but this is a nice average)</t>
        </is>
      </c>
    </row>
    <row r="36" ht="15.75" customHeight="1" s="1883">
      <c r="A36" s="1955" t="inlineStr">
        <is>
          <t>Average number of distinct brands</t>
        </is>
      </c>
      <c r="C36" s="1567">
        <f>AVERAGE(100,250)</f>
        <v/>
      </c>
    </row>
    <row r="37" ht="15.75" customHeight="1" s="1883">
      <c r="A37" s="1955" t="inlineStr">
        <is>
          <t>SaaS Charge to Brands = $1 per Location/month</t>
        </is>
      </c>
      <c r="C37" s="2097" t="n">
        <v>1</v>
      </c>
      <c r="E37" s="2098">
        <f>17.5*C37*B7</f>
        <v/>
      </c>
      <c r="F37" s="1955" t="inlineStr">
        <is>
          <t>doubel check saas</t>
        </is>
      </c>
    </row>
    <row r="39" ht="15.75" customHeight="1" s="1883">
      <c r="A39" s="1955" t="inlineStr">
        <is>
          <t>ASSUMPTIONS to make this viable</t>
        </is>
      </c>
    </row>
    <row r="41" ht="15.75" customHeight="1" s="1883">
      <c r="A41" s="1568" t="inlineStr">
        <is>
          <t>MAKR Collab Proposal</t>
        </is>
      </c>
      <c r="C41" s="1569" t="inlineStr">
        <is>
          <t>Pure Technology Inc.</t>
        </is>
      </c>
    </row>
    <row r="42" ht="15.75" customHeight="1" s="1883">
      <c r="A42" s="1568" t="inlineStr">
        <is>
          <t>Draft 1.0</t>
        </is>
      </c>
      <c r="C42" s="1570" t="inlineStr">
        <is>
          <t>Wecheer.io</t>
        </is>
      </c>
      <c r="J42" s="1569" t="inlineStr">
        <is>
          <t>Sample Handset Material List</t>
        </is>
      </c>
    </row>
    <row r="43" ht="15.75" customHeight="1" s="1883">
      <c r="A43" s="1571" t="n">
        <v>45778</v>
      </c>
      <c r="C43" s="1569" t="inlineStr">
        <is>
          <t>VSBLTY</t>
        </is>
      </c>
      <c r="J43" s="1569" t="inlineStr">
        <is>
          <t>Assumption of Mexico as target demographic; production finalized in Mexico for aid of distribution and appeal</t>
        </is>
      </c>
    </row>
    <row r="44" ht="15.75" customHeight="1" s="1883">
      <c r="J44" s="1951" t="inlineStr">
        <is>
          <t>Component</t>
        </is>
      </c>
      <c r="K44" s="1951" t="inlineStr">
        <is>
          <t>Specified Part</t>
        </is>
      </c>
      <c r="L44" s="1952" t="n"/>
      <c r="M44" s="1953" t="n"/>
      <c r="N44" s="1951" t="inlineStr">
        <is>
          <t>Number</t>
        </is>
      </c>
      <c r="O44" s="1951" t="inlineStr">
        <is>
          <t>Unit</t>
        </is>
      </c>
      <c r="P44" s="1951" t="inlineStr">
        <is>
          <t>Unit Cost</t>
        </is>
      </c>
      <c r="Q44" s="1951" t="inlineStr">
        <is>
          <t>Total</t>
        </is>
      </c>
    </row>
    <row r="45" ht="15.75" customHeight="1" s="1883">
      <c r="A45" s="1568" t="inlineStr">
        <is>
          <t>Summary:</t>
        </is>
      </c>
      <c r="B45" s="1569" t="inlineStr">
        <is>
          <t>Solve the challenge of small distributors of products to revamp the process of sales tracking, POS usage, and improve logistics from factory to sale</t>
        </is>
      </c>
      <c r="J45" s="1569" t="inlineStr">
        <is>
          <t>Processor</t>
        </is>
      </c>
      <c r="K45" s="1618" t="inlineStr">
        <is>
          <t>Qualcomm Snapdragon Gen 8 2 Elite</t>
        </is>
      </c>
      <c r="L45" s="1618" t="n"/>
      <c r="N45" s="1569" t="n">
        <v>3000</v>
      </c>
      <c r="O45" s="1569" t="inlineStr">
        <is>
          <t>ea</t>
        </is>
      </c>
      <c r="P45" s="1573" t="n">
        <v>180</v>
      </c>
      <c r="Q45" s="1573">
        <f>N45*P45</f>
        <v/>
      </c>
    </row>
    <row r="46" ht="15.75" customHeight="1" s="1883">
      <c r="A46" s="1568" t="inlineStr">
        <is>
          <t>Target Demographics:</t>
        </is>
      </c>
      <c r="B46" s="1569" t="inlineStr">
        <is>
          <t>Latin America, Africa, India</t>
        </is>
      </c>
      <c r="J46" s="1569" t="inlineStr">
        <is>
          <t>Data MCU</t>
        </is>
      </c>
      <c r="K46" s="1569" t="inlineStr">
        <is>
          <t>Mouser NXP iMX RT1050</t>
        </is>
      </c>
      <c r="L46" s="1569" t="n"/>
      <c r="N46" s="1569" t="n">
        <v>3000</v>
      </c>
      <c r="O46" s="1569" t="inlineStr">
        <is>
          <t>ea</t>
        </is>
      </c>
      <c r="P46" s="1573" t="n">
        <v>8</v>
      </c>
      <c r="Q46" s="1573">
        <f>N46*P46</f>
        <v/>
      </c>
    </row>
    <row r="47" ht="15.75" customHeight="1" s="1883">
      <c r="A47" s="1568" t="inlineStr">
        <is>
          <t>Proposed Scale:</t>
        </is>
      </c>
      <c r="B47" s="1569" t="inlineStr">
        <is>
          <t>Targeted initial small rollout in test market for client; 3K handsets to start to show proof of concept and gather data for improvement on larger rollout</t>
        </is>
      </c>
      <c r="J47" s="1569" t="inlineStr">
        <is>
          <t>Battery</t>
        </is>
      </c>
      <c r="K47" s="1569" t="inlineStr">
        <is>
          <t>Bienno 3.2V LiFePO4 Battery</t>
        </is>
      </c>
      <c r="L47" s="1569" t="n"/>
      <c r="N47" s="1569" t="n">
        <v>3000</v>
      </c>
      <c r="O47" s="1569" t="inlineStr">
        <is>
          <t>ea</t>
        </is>
      </c>
      <c r="P47" s="1573" t="n">
        <v>70</v>
      </c>
      <c r="Q47" s="1573">
        <f>N47*P47</f>
        <v/>
      </c>
    </row>
    <row r="48" ht="15.75" customHeight="1" s="1883">
      <c r="A48" s="1568" t="inlineStr">
        <is>
          <t>Partner Roles:</t>
        </is>
      </c>
      <c r="B48" s="1569" t="inlineStr">
        <is>
          <t>Pure Technology: Creation of handset for distribution, continued technical support, AI backend for data analysis, software integration</t>
        </is>
      </c>
      <c r="J48" s="1569" t="inlineStr">
        <is>
          <t>Rear Camera</t>
        </is>
      </c>
      <c r="K48" s="1569" t="inlineStr">
        <is>
          <t>Onsemi Hyperlux AR0820</t>
        </is>
      </c>
      <c r="L48" s="1569" t="n"/>
      <c r="N48" s="1569" t="n">
        <v>3000</v>
      </c>
      <c r="O48" s="1569" t="inlineStr">
        <is>
          <t>ea</t>
        </is>
      </c>
      <c r="P48" s="1573" t="n">
        <v>35</v>
      </c>
      <c r="Q48" s="1573">
        <f>N48*P48</f>
        <v/>
      </c>
    </row>
    <row r="49" ht="15.75" customHeight="1" s="1883">
      <c r="B49" s="1570" t="inlineStr">
        <is>
          <t>Wecheer.io: Provide POS support for small shops, gather data via scanning services, provide rewards to owners</t>
        </is>
      </c>
      <c r="J49" s="1569" t="inlineStr">
        <is>
          <t>Front Camera</t>
        </is>
      </c>
      <c r="K49" s="1569" t="inlineStr">
        <is>
          <t>Onsemi AR0544</t>
        </is>
      </c>
      <c r="L49" s="1569" t="n"/>
      <c r="N49" s="1569" t="n">
        <v>3000</v>
      </c>
      <c r="O49" s="1569" t="inlineStr">
        <is>
          <t>ea</t>
        </is>
      </c>
      <c r="P49" s="1573" t="n">
        <v>15</v>
      </c>
      <c r="Q49" s="1573">
        <f>N49*P49</f>
        <v/>
      </c>
    </row>
    <row r="50" ht="15.75" customHeight="1" s="1883">
      <c r="B50" s="1569" t="inlineStr">
        <is>
          <t>VSBLTY: Computer Vision, Customer base, advertisement in targeted areas, network industry contacts</t>
        </is>
      </c>
      <c r="J50" s="1569" t="inlineStr">
        <is>
          <t>Display Module</t>
        </is>
      </c>
      <c r="K50" s="1569" t="inlineStr">
        <is>
          <t>Sharp 5" LCD 1080p</t>
        </is>
      </c>
      <c r="L50" s="1569" t="n"/>
      <c r="N50" s="1569" t="n">
        <v>3000</v>
      </c>
      <c r="O50" s="1569" t="inlineStr">
        <is>
          <t>ea</t>
        </is>
      </c>
      <c r="P50" s="1573" t="n">
        <v>30</v>
      </c>
      <c r="Q50" s="1573">
        <f>N50*P50</f>
        <v/>
      </c>
    </row>
    <row r="51" ht="15.75" customHeight="1" s="1883">
      <c r="A51" s="1568" t="inlineStr">
        <is>
          <t>Project Scope of Work:</t>
        </is>
      </c>
      <c r="B51" s="1569" t="inlineStr">
        <is>
          <t>Handset, software, customer support, rewards</t>
        </is>
      </c>
      <c r="J51" s="1569" t="inlineStr">
        <is>
          <t>Touch Glass</t>
        </is>
      </c>
      <c r="K51" s="1569" t="inlineStr">
        <is>
          <t>Gorilla Glass Victus 3</t>
        </is>
      </c>
      <c r="L51" s="1569" t="n"/>
      <c r="N51" s="1569" t="n">
        <v>3000</v>
      </c>
      <c r="O51" s="1569" t="inlineStr">
        <is>
          <t>ea</t>
        </is>
      </c>
      <c r="P51" s="1573" t="n">
        <v>12</v>
      </c>
      <c r="Q51" s="1573">
        <f>N51*P51</f>
        <v/>
      </c>
    </row>
    <row r="52" ht="15.75" customHeight="1" s="1883">
      <c r="A52" s="1568" t="inlineStr">
        <is>
          <t>Proposed Budget:</t>
        </is>
      </c>
      <c r="B52" s="1569" t="inlineStr">
        <is>
          <t>Assumption of 3,000 units on first rollout for test market and to not overload start up teams</t>
        </is>
      </c>
      <c r="J52" s="1569" t="inlineStr">
        <is>
          <t>Touch Sensor</t>
        </is>
      </c>
      <c r="K52" s="1569" t="inlineStr">
        <is>
          <t>Touch International PCAP</t>
        </is>
      </c>
      <c r="L52" s="1569" t="n"/>
      <c r="N52" s="1569" t="n">
        <v>3000</v>
      </c>
      <c r="O52" s="1569" t="inlineStr">
        <is>
          <t>ea</t>
        </is>
      </c>
      <c r="P52" s="1573" t="n">
        <v>10</v>
      </c>
      <c r="Q52" s="1573">
        <f>N52*P52</f>
        <v/>
      </c>
    </row>
    <row r="53" ht="15.75" customHeight="1" s="1883">
      <c r="A53" s="1951" t="inlineStr">
        <is>
          <t>ITEM</t>
        </is>
      </c>
      <c r="B53" s="1953" t="n"/>
      <c r="C53" s="1951" t="inlineStr">
        <is>
          <t>Description</t>
        </is>
      </c>
      <c r="D53" s="1953" t="n"/>
      <c r="E53" s="1951" t="inlineStr">
        <is>
          <t>Number</t>
        </is>
      </c>
      <c r="F53" s="1951" t="inlineStr">
        <is>
          <t>Unit</t>
        </is>
      </c>
      <c r="G53" s="1951" t="inlineStr">
        <is>
          <t>Unit Cost</t>
        </is>
      </c>
      <c r="H53" s="1951" t="inlineStr">
        <is>
          <t>Total</t>
        </is>
      </c>
      <c r="J53" s="1569" t="inlineStr">
        <is>
          <t>Custom PCB</t>
        </is>
      </c>
      <c r="K53" s="1569" t="inlineStr">
        <is>
          <t>10-layer HDI</t>
        </is>
      </c>
      <c r="L53" s="1569" t="n"/>
      <c r="N53" s="1569" t="n">
        <v>3000</v>
      </c>
      <c r="O53" s="1569" t="inlineStr">
        <is>
          <t>ea</t>
        </is>
      </c>
      <c r="P53" s="1573" t="n">
        <v>50</v>
      </c>
      <c r="Q53" s="1573">
        <f>N53*P53</f>
        <v/>
      </c>
    </row>
    <row r="54" ht="15.75" customHeight="1" s="1883">
      <c r="A54" s="1569" t="inlineStr">
        <is>
          <t>wecheer Services</t>
        </is>
      </c>
      <c r="C54" s="1569" t="inlineStr">
        <is>
          <t>Software development, troubleshooting, service</t>
        </is>
      </c>
      <c r="E54" s="1569">
        <f>40*12</f>
        <v/>
      </c>
      <c r="F54" s="1569" t="inlineStr">
        <is>
          <t>hr</t>
        </is>
      </c>
      <c r="G54" s="1573" t="n">
        <v>275</v>
      </c>
      <c r="H54" s="1573">
        <f>E54*G54</f>
        <v/>
      </c>
      <c r="J54" s="1569" t="inlineStr">
        <is>
          <t>Memory/Storage</t>
        </is>
      </c>
      <c r="K54" s="1569" t="inlineStr">
        <is>
          <t>4GB LPDDR4X/32GB eMMC</t>
        </is>
      </c>
      <c r="L54" s="1569" t="n"/>
      <c r="N54" s="1569" t="n">
        <v>3000</v>
      </c>
      <c r="O54" s="1569" t="inlineStr">
        <is>
          <t>ea</t>
        </is>
      </c>
      <c r="P54" s="1573" t="n">
        <v>30</v>
      </c>
      <c r="Q54" s="1573">
        <f>N54*P54</f>
        <v/>
      </c>
    </row>
    <row r="55" ht="15.75" customHeight="1" s="1883">
      <c r="A55" s="1569" t="inlineStr">
        <is>
          <t>VSBLTY Services</t>
        </is>
      </c>
      <c r="C55" s="1569" t="inlineStr">
        <is>
          <t>Computer Vision, Client acquisition and negotiation, marketing, support</t>
        </is>
      </c>
      <c r="E55" s="1569">
        <f>40*20</f>
        <v/>
      </c>
      <c r="F55" s="1569" t="inlineStr">
        <is>
          <t>hr</t>
        </is>
      </c>
      <c r="G55" s="1573" t="n">
        <v>350</v>
      </c>
      <c r="H55" s="1573">
        <f>E55*G55</f>
        <v/>
      </c>
      <c r="J55" s="1569" t="inlineStr">
        <is>
          <t>Wi-Fi/BT Combo</t>
        </is>
      </c>
      <c r="K55" s="1569" t="inlineStr">
        <is>
          <t>Silicon Labs SiWx917Y</t>
        </is>
      </c>
      <c r="L55" s="1569" t="n"/>
      <c r="N55" s="1569" t="n">
        <v>3000</v>
      </c>
      <c r="O55" s="1569" t="inlineStr">
        <is>
          <t>ea</t>
        </is>
      </c>
      <c r="P55" s="1573" t="n">
        <v>15</v>
      </c>
      <c r="Q55" s="1573">
        <f>N55*P55</f>
        <v/>
      </c>
    </row>
    <row r="56" ht="15.75" customHeight="1" s="1883">
      <c r="A56" s="1569" t="inlineStr">
        <is>
          <t>PT Project Executive</t>
        </is>
      </c>
      <c r="C56" s="1569" t="inlineStr">
        <is>
          <t>Jared Sanborn</t>
        </is>
      </c>
      <c r="E56" s="1569">
        <f>40*8</f>
        <v/>
      </c>
      <c r="F56" s="1569" t="inlineStr">
        <is>
          <t>hr</t>
        </is>
      </c>
      <c r="G56" s="1573">
        <f>96.15*1.35</f>
        <v/>
      </c>
      <c r="H56" s="1573">
        <f>E56*G56</f>
        <v/>
      </c>
      <c r="J56" s="1569" t="inlineStr">
        <is>
          <t>Cellular Module</t>
        </is>
      </c>
      <c r="K56" s="1569" t="inlineStr">
        <is>
          <t>Quectel Module</t>
        </is>
      </c>
      <c r="L56" s="1569" t="n"/>
      <c r="N56" s="1569" t="n">
        <v>3000</v>
      </c>
      <c r="O56" s="1569" t="inlineStr">
        <is>
          <t>ea</t>
        </is>
      </c>
      <c r="P56" s="1573" t="n">
        <v>30</v>
      </c>
      <c r="Q56" s="1573">
        <f>N56*P56</f>
        <v/>
      </c>
    </row>
    <row r="57" ht="15.75" customHeight="1" s="1883">
      <c r="A57" s="1569" t="inlineStr">
        <is>
          <t>PT Project Director</t>
        </is>
      </c>
      <c r="C57" s="1569" t="inlineStr">
        <is>
          <t>Ed Brennan</t>
        </is>
      </c>
      <c r="E57" s="1569">
        <f>40*8</f>
        <v/>
      </c>
      <c r="F57" s="1569" t="inlineStr">
        <is>
          <t>hr</t>
        </is>
      </c>
      <c r="G57" s="1573">
        <f>96.15*1.35</f>
        <v/>
      </c>
      <c r="H57" s="1573">
        <f>E57*G57</f>
        <v/>
      </c>
      <c r="J57" s="1569" t="inlineStr">
        <is>
          <t>Sensors</t>
        </is>
      </c>
      <c r="K57" s="1569" t="inlineStr">
        <is>
          <t>Vishay AL8</t>
        </is>
      </c>
      <c r="L57" s="1569" t="n"/>
      <c r="N57" s="1569" t="n">
        <v>3000</v>
      </c>
      <c r="O57" s="1569" t="inlineStr">
        <is>
          <t>ea</t>
        </is>
      </c>
      <c r="P57" s="1573" t="n">
        <v>4</v>
      </c>
      <c r="Q57" s="1573">
        <f>N57*P57</f>
        <v/>
      </c>
    </row>
    <row r="58" ht="15.75" customHeight="1" s="1883">
      <c r="A58" s="1569" t="inlineStr">
        <is>
          <t>PT Project Manager</t>
        </is>
      </c>
      <c r="C58" s="1569" t="inlineStr">
        <is>
          <t>Roger Beaini</t>
        </is>
      </c>
      <c r="E58" s="1569">
        <f>40*20</f>
        <v/>
      </c>
      <c r="F58" s="1569" t="inlineStr">
        <is>
          <t>hr</t>
        </is>
      </c>
      <c r="G58" s="1573">
        <f>79.33*1.35</f>
        <v/>
      </c>
      <c r="H58" s="1573">
        <f>E58*G58</f>
        <v/>
      </c>
      <c r="J58" s="1569" t="inlineStr">
        <is>
          <t>Audio</t>
        </is>
      </c>
      <c r="K58" s="1569" t="inlineStr">
        <is>
          <t>Cirrus Logic CS47L35</t>
        </is>
      </c>
      <c r="L58" s="1569" t="n"/>
      <c r="N58" s="1569" t="n">
        <v>3000</v>
      </c>
      <c r="O58" s="1569" t="inlineStr">
        <is>
          <t>ea</t>
        </is>
      </c>
      <c r="P58" s="1573" t="n">
        <v>3</v>
      </c>
      <c r="Q58" s="1573">
        <f>N58*P58</f>
        <v/>
      </c>
    </row>
    <row r="59" ht="15.75" customHeight="1" s="1883">
      <c r="A59" s="1569" t="inlineStr">
        <is>
          <t>PT Project Oversight</t>
        </is>
      </c>
      <c r="C59" s="1569" t="inlineStr">
        <is>
          <t>Roger Singh &amp; Bill Myers</t>
        </is>
      </c>
      <c r="E59" s="1569">
        <f>40*24</f>
        <v/>
      </c>
      <c r="F59" s="1569" t="inlineStr">
        <is>
          <t>hr</t>
        </is>
      </c>
      <c r="G59" s="1573">
        <f>79.33*1.35</f>
        <v/>
      </c>
      <c r="H59" s="1573">
        <f>E59*G59</f>
        <v/>
      </c>
      <c r="J59" s="1569" t="inlineStr">
        <is>
          <t>Antennae/SIM/USB C</t>
        </is>
      </c>
      <c r="K59" s="1569" t="inlineStr">
        <is>
          <t>Molex Nogales MX</t>
        </is>
      </c>
      <c r="L59" s="1569" t="n"/>
      <c r="N59" s="1569" t="n">
        <v>3000</v>
      </c>
      <c r="O59" s="1569" t="inlineStr">
        <is>
          <t>ea</t>
        </is>
      </c>
      <c r="P59" s="1573" t="n">
        <v>8</v>
      </c>
      <c r="Q59" s="1573">
        <f>N59*P59</f>
        <v/>
      </c>
    </row>
    <row r="60" ht="15.75" customHeight="1" s="1883">
      <c r="A60" s="1569" t="inlineStr">
        <is>
          <t>Brill + Dev Team</t>
        </is>
      </c>
      <c r="C60" s="1569" t="inlineStr">
        <is>
          <t>Tim DeVore + Software Staff</t>
        </is>
      </c>
      <c r="E60" s="1569">
        <f>40*20</f>
        <v/>
      </c>
      <c r="F60" s="1569" t="inlineStr">
        <is>
          <t>hr</t>
        </is>
      </c>
      <c r="G60" s="1573" t="n">
        <v>350</v>
      </c>
      <c r="H60" s="1573">
        <f>E60*G60</f>
        <v/>
      </c>
      <c r="J60" s="1569" t="inlineStr">
        <is>
          <t>Fast Charge/Power</t>
        </is>
      </c>
      <c r="K60" s="1569" t="inlineStr">
        <is>
          <t>Skyworks SiP6180</t>
        </is>
      </c>
      <c r="L60" s="1569" t="n"/>
      <c r="N60" s="1569" t="n">
        <v>3000</v>
      </c>
      <c r="O60" s="1569" t="inlineStr">
        <is>
          <t>ea</t>
        </is>
      </c>
      <c r="P60" s="1573" t="n">
        <v>7</v>
      </c>
      <c r="Q60" s="1573">
        <f>N60*P60</f>
        <v/>
      </c>
    </row>
    <row r="61" ht="15.75" customHeight="1" s="1883">
      <c r="A61" s="1569" t="inlineStr">
        <is>
          <t>PureCast Integration</t>
        </is>
      </c>
      <c r="C61" s="1569" t="inlineStr">
        <is>
          <t>Tim DeVore</t>
        </is>
      </c>
      <c r="E61" s="1569" t="n">
        <v>120</v>
      </c>
      <c r="F61" s="1569" t="inlineStr">
        <is>
          <t>hr</t>
        </is>
      </c>
      <c r="G61" s="1573">
        <f>96.15*1.35</f>
        <v/>
      </c>
      <c r="H61" s="1573">
        <f>E61*G61</f>
        <v/>
      </c>
      <c r="J61" s="1569" t="inlineStr">
        <is>
          <t>GNSS</t>
        </is>
      </c>
      <c r="K61" s="1569" t="inlineStr">
        <is>
          <t>u-blox M10</t>
        </is>
      </c>
      <c r="L61" s="1569" t="n"/>
      <c r="N61" s="1569" t="n">
        <v>3000</v>
      </c>
      <c r="O61" s="1569" t="inlineStr">
        <is>
          <t>ea</t>
        </is>
      </c>
      <c r="P61" s="1573" t="n">
        <v>8</v>
      </c>
      <c r="Q61" s="1573">
        <f>N61*P61</f>
        <v/>
      </c>
    </row>
    <row r="62" ht="15.75" customHeight="1" s="1883">
      <c r="A62" s="1569" t="inlineStr">
        <is>
          <t>PT Commerce</t>
        </is>
      </c>
      <c r="C62" s="1569" t="inlineStr">
        <is>
          <t>Michael Schuman</t>
        </is>
      </c>
      <c r="E62" s="1569" t="n">
        <v>120</v>
      </c>
      <c r="F62" s="1569" t="inlineStr">
        <is>
          <t>hr</t>
        </is>
      </c>
      <c r="G62" s="1573">
        <f>96.15*1.35</f>
        <v/>
      </c>
      <c r="H62" s="1573">
        <f>E62*G62</f>
        <v/>
      </c>
      <c r="J62" s="1569" t="inlineStr">
        <is>
          <t>Certs (1st Time)</t>
        </is>
      </c>
      <c r="K62" s="1569" t="inlineStr">
        <is>
          <t>FCC/UN38.3/Wi-Fi/BT</t>
        </is>
      </c>
      <c r="L62" s="1569" t="n"/>
      <c r="N62" s="1569" t="n">
        <v>3000</v>
      </c>
      <c r="O62" s="1569" t="inlineStr">
        <is>
          <t>ea</t>
        </is>
      </c>
      <c r="P62" s="1573" t="n">
        <v>70</v>
      </c>
      <c r="Q62" s="1573">
        <f>N62*P62</f>
        <v/>
      </c>
    </row>
    <row r="63" ht="15.75" customHeight="1" s="1883">
      <c r="A63" s="1569" t="inlineStr">
        <is>
          <t>MAKR Facilitator</t>
        </is>
      </c>
      <c r="C63" s="1569" t="inlineStr">
        <is>
          <t>Rimah Harb</t>
        </is>
      </c>
      <c r="E63" s="1569" t="n">
        <v>80</v>
      </c>
      <c r="F63" s="1569" t="inlineStr">
        <is>
          <t>hr</t>
        </is>
      </c>
      <c r="G63" s="1573">
        <f>79.33*1.35</f>
        <v/>
      </c>
      <c r="H63" s="1573">
        <f>E63*G63</f>
        <v/>
      </c>
      <c r="J63" s="1569" t="inlineStr">
        <is>
          <t>Assembly</t>
        </is>
      </c>
      <c r="K63" s="1569" t="inlineStr">
        <is>
          <t>Jabil (Guadalajara)</t>
        </is>
      </c>
      <c r="L63" s="1569" t="n"/>
      <c r="N63" s="1574" t="n">
        <v>3000</v>
      </c>
      <c r="O63" s="1575" t="inlineStr">
        <is>
          <t>ea</t>
        </is>
      </c>
      <c r="P63" s="1573" t="n">
        <v>100</v>
      </c>
      <c r="Q63" s="1573">
        <f>N63*P63</f>
        <v/>
      </c>
    </row>
    <row r="64" ht="15.75" customHeight="1" s="1883">
      <c r="A64" s="1569" t="inlineStr">
        <is>
          <t>PT Project Accountant</t>
        </is>
      </c>
      <c r="C64" s="1569" t="inlineStr">
        <is>
          <t>Paula</t>
        </is>
      </c>
      <c r="E64" s="1569">
        <f>40*8</f>
        <v/>
      </c>
      <c r="F64" s="1569" t="inlineStr">
        <is>
          <t>hr</t>
        </is>
      </c>
      <c r="G64" s="1573">
        <f>37.5*1.35</f>
        <v/>
      </c>
      <c r="H64" s="1573">
        <f>E64*G64</f>
        <v/>
      </c>
      <c r="J64" s="1568" t="inlineStr">
        <is>
          <t>TOTAL</t>
        </is>
      </c>
      <c r="P64" s="1565">
        <f>SUM(P43:P63)</f>
        <v/>
      </c>
      <c r="Q64" s="1565">
        <f>SUM(Q43:Q63)</f>
        <v/>
      </c>
    </row>
    <row r="65" ht="15.75" customHeight="1" s="1883">
      <c r="A65" s="1569" t="inlineStr">
        <is>
          <t>PT Project Assistant</t>
        </is>
      </c>
      <c r="C65" s="1569" t="inlineStr">
        <is>
          <t>Mireille Dirany</t>
        </is>
      </c>
      <c r="E65" s="1569">
        <f>40*8</f>
        <v/>
      </c>
      <c r="F65" s="1569" t="inlineStr">
        <is>
          <t>hr</t>
        </is>
      </c>
      <c r="G65" s="1573">
        <f>37.5*1.35</f>
        <v/>
      </c>
      <c r="H65" s="1573">
        <f>E65*G65</f>
        <v/>
      </c>
    </row>
    <row r="66" ht="15.75" customHeight="1" s="1883">
      <c r="A66" s="1569" t="inlineStr">
        <is>
          <t>PT Apprenticeship</t>
        </is>
      </c>
      <c r="C66" s="1569" t="inlineStr">
        <is>
          <t>Intern Program (Marketing and Programming)</t>
        </is>
      </c>
      <c r="E66" s="1569" t="n">
        <v>800</v>
      </c>
      <c r="F66" s="1569" t="inlineStr">
        <is>
          <t>hr</t>
        </is>
      </c>
      <c r="G66" s="1573">
        <f>26.44*1.35</f>
        <v/>
      </c>
      <c r="H66" s="1573">
        <f>E66*G66</f>
        <v/>
      </c>
      <c r="J66" s="1568" t="inlineStr">
        <is>
          <t>ADD ALTERNATES</t>
        </is>
      </c>
    </row>
    <row r="67" ht="15.75" customHeight="1" s="1883">
      <c r="A67" s="1569" t="inlineStr">
        <is>
          <t>PT QA/QC</t>
        </is>
      </c>
      <c r="C67" s="1569" t="inlineStr">
        <is>
          <t>Thomas Tang</t>
        </is>
      </c>
      <c r="E67" s="1569">
        <f>40*8</f>
        <v/>
      </c>
      <c r="F67" s="1569" t="inlineStr">
        <is>
          <t>hr</t>
        </is>
      </c>
      <c r="G67" s="1573">
        <f>62.5*1.35</f>
        <v/>
      </c>
      <c r="H67" s="1573">
        <f>E67*G67</f>
        <v/>
      </c>
      <c r="J67" s="1569" t="inlineStr">
        <is>
          <t>8GB/64GB Memory</t>
        </is>
      </c>
      <c r="K67" s="1569" t="inlineStr">
        <is>
          <t>Upgrade to current configuration</t>
        </is>
      </c>
      <c r="L67" s="1569" t="n"/>
      <c r="N67" s="1574" t="n">
        <v>3000</v>
      </c>
      <c r="O67" s="1575" t="inlineStr">
        <is>
          <t>ea</t>
        </is>
      </c>
      <c r="P67" s="1573" t="n">
        <v>14</v>
      </c>
      <c r="Q67" s="1573">
        <f>N67*P67</f>
        <v/>
      </c>
    </row>
    <row r="68" ht="15.75" customHeight="1" s="1883">
      <c r="A68" s="1569" t="inlineStr">
        <is>
          <t>Pure Marketing Group</t>
        </is>
      </c>
      <c r="C68" s="1569" t="inlineStr">
        <is>
          <t>Presentations to owners, graphics, deliverables, launch PR</t>
        </is>
      </c>
      <c r="E68" s="1569">
        <f>40*12</f>
        <v/>
      </c>
      <c r="F68" s="1569" t="inlineStr">
        <is>
          <t>hr</t>
        </is>
      </c>
      <c r="G68" s="1573" t="n">
        <v>175</v>
      </c>
      <c r="H68" s="1573">
        <f>E68*G68</f>
        <v/>
      </c>
      <c r="J68" s="1569" t="inlineStr">
        <is>
          <t>Waterproof/Floating</t>
        </is>
      </c>
      <c r="K68" s="1569" t="inlineStr">
        <is>
          <t>IP67 cert/foam sealant</t>
        </is>
      </c>
      <c r="L68" s="1569" t="n"/>
      <c r="N68" s="1574" t="n">
        <v>3000</v>
      </c>
      <c r="O68" s="1575" t="inlineStr">
        <is>
          <t>ea</t>
        </is>
      </c>
      <c r="P68" s="1573" t="n">
        <v>28</v>
      </c>
      <c r="Q68" s="1573">
        <f>N68*P68</f>
        <v/>
      </c>
    </row>
    <row r="69" ht="15.75" customHeight="1" s="1883">
      <c r="A69" s="1569" t="inlineStr">
        <is>
          <t>PT Legal</t>
        </is>
      </c>
      <c r="C69" s="1569" t="inlineStr">
        <is>
          <t>Legal compliance team to ensure product meets regional requirements</t>
        </is>
      </c>
      <c r="E69" s="1569" t="n">
        <v>1</v>
      </c>
      <c r="F69" s="1569" t="inlineStr">
        <is>
          <t>ls</t>
        </is>
      </c>
      <c r="G69" s="1573" t="n">
        <v>25000</v>
      </c>
      <c r="H69" s="1573">
        <f>E69*G69</f>
        <v/>
      </c>
      <c r="J69" s="1569" t="inlineStr">
        <is>
          <t>Kevlar Casing</t>
        </is>
      </c>
      <c r="K69" s="1569" t="inlineStr">
        <is>
          <t>Molded case for durability</t>
        </is>
      </c>
      <c r="L69" s="1569" t="n"/>
      <c r="N69" s="1569" t="n">
        <v>3000</v>
      </c>
      <c r="O69" s="1569" t="inlineStr">
        <is>
          <t>ea</t>
        </is>
      </c>
      <c r="P69" s="1573" t="n">
        <v>125</v>
      </c>
      <c r="Q69" s="1573">
        <f>N69*P69</f>
        <v/>
      </c>
    </row>
    <row r="70" ht="15.75" customHeight="1" s="1883">
      <c r="A70" s="1575" t="inlineStr">
        <is>
          <t>Encore Repair</t>
        </is>
      </c>
      <c r="B70" s="1575" t="n"/>
      <c r="C70" s="1575" t="inlineStr">
        <is>
          <t>Two years of service + 25% assumed replacement cost</t>
        </is>
      </c>
      <c r="D70" s="1575" t="n"/>
      <c r="E70" s="1574" t="n">
        <v>1</v>
      </c>
      <c r="F70" s="1575" t="inlineStr">
        <is>
          <t>ls</t>
        </is>
      </c>
      <c r="G70" s="1576">
        <f>(3000*0.25*150)+(2500*24)</f>
        <v/>
      </c>
      <c r="H70" s="1576">
        <f>E70*G70</f>
        <v/>
      </c>
      <c r="I70" s="1575" t="n"/>
      <c r="J70" s="1575" t="n"/>
      <c r="K70" s="1575" t="n"/>
      <c r="L70" s="1575" t="n"/>
      <c r="M70" s="1575" t="n"/>
      <c r="N70" s="1575" t="n"/>
      <c r="O70" s="1575" t="n"/>
      <c r="P70" s="1577" t="n"/>
      <c r="Q70" s="1577" t="n"/>
      <c r="R70" s="1575" t="n"/>
    </row>
    <row r="71" ht="15.75" customHeight="1" s="1883">
      <c r="A71" s="1569" t="inlineStr">
        <is>
          <t>PT Project Consultant</t>
        </is>
      </c>
      <c r="C71" s="1569" t="inlineStr">
        <is>
          <t>Charles Finklestein (Microsoft and device background)</t>
        </is>
      </c>
      <c r="E71" s="1569" t="n">
        <v>120</v>
      </c>
      <c r="F71" s="1569" t="inlineStr">
        <is>
          <t>hr</t>
        </is>
      </c>
      <c r="G71" s="1573">
        <f>96.15*1.35</f>
        <v/>
      </c>
      <c r="H71" s="1573">
        <f>E71*G71</f>
        <v/>
      </c>
      <c r="J71" s="1569" t="inlineStr">
        <is>
          <t>Design Notes:</t>
        </is>
      </c>
    </row>
    <row r="72" ht="15.75" customHeight="1" s="1883">
      <c r="A72" s="1569" t="inlineStr">
        <is>
          <t>Project Testing</t>
        </is>
      </c>
      <c r="C72" s="1569" t="inlineStr">
        <is>
          <t>Development Kits + Assembly Testing + Initial Certifications</t>
        </is>
      </c>
      <c r="E72" s="1569" t="n">
        <v>1</v>
      </c>
      <c r="F72" s="1569" t="inlineStr">
        <is>
          <t>ls</t>
        </is>
      </c>
      <c r="G72" s="1573" t="n">
        <v>750000</v>
      </c>
      <c r="H72" s="1573">
        <f>E72*G72</f>
        <v/>
      </c>
      <c r="J72" s="1954" t="inlineStr">
        <is>
          <t>Dual processor system for primary phone function + secondary for data gathering/AI integration to preserve processing power</t>
        </is>
      </c>
    </row>
    <row r="73" ht="15.75" customHeight="1" s="1883">
      <c r="A73" s="1569" t="inlineStr">
        <is>
          <t>Customer Support</t>
        </is>
      </c>
      <c r="C73" s="1569" t="inlineStr">
        <is>
          <t>MAKR joint venture continued customer support</t>
        </is>
      </c>
      <c r="E73" s="1569" t="n">
        <v>1</v>
      </c>
      <c r="F73" s="1569" t="inlineStr">
        <is>
          <t>ls</t>
        </is>
      </c>
      <c r="G73" s="1573" t="n">
        <v>250000</v>
      </c>
      <c r="H73" s="1573">
        <f>E73*G73</f>
        <v/>
      </c>
    </row>
    <row r="74" ht="15.75" customHeight="1" s="1883">
      <c r="A74" s="1569" t="inlineStr">
        <is>
          <t>PT General Requirements</t>
        </is>
      </c>
      <c r="C74" s="1569" t="inlineStr">
        <is>
          <t>Rent, materials, travel for production, soft costs, etc</t>
        </is>
      </c>
      <c r="E74" s="1569" t="n">
        <v>4</v>
      </c>
      <c r="F74" s="1569" t="inlineStr">
        <is>
          <t>mo</t>
        </is>
      </c>
      <c r="G74" s="1573" t="n">
        <v>125000</v>
      </c>
      <c r="H74" s="1573">
        <f>E74*G74</f>
        <v/>
      </c>
      <c r="J74" s="1569" t="inlineStr">
        <is>
          <t>Components chosen solely in US/Mexico</t>
        </is>
      </c>
    </row>
    <row r="75" ht="15.75" customHeight="1" s="1883">
      <c r="A75" s="1569" t="inlineStr">
        <is>
          <t>3,000 Handsets</t>
        </is>
      </c>
      <c r="C75" s="1569" t="inlineStr">
        <is>
          <t>See breakdown on right hand column</t>
        </is>
      </c>
      <c r="E75" s="1569" t="n">
        <v>1</v>
      </c>
      <c r="F75" s="1569" t="inlineStr">
        <is>
          <t>ls</t>
        </is>
      </c>
      <c r="G75" s="1573">
        <f>Q64</f>
        <v/>
      </c>
      <c r="H75" s="1573">
        <f>E75*G75</f>
        <v/>
      </c>
      <c r="J75" s="1569" t="inlineStr">
        <is>
          <t>Guadalajara based assembly of components for Mexican region and USMCA tariff relief</t>
        </is>
      </c>
    </row>
    <row r="76" ht="15.75" customHeight="1" s="1883">
      <c r="A76" s="1569" t="inlineStr">
        <is>
          <t>Freight Insurance</t>
        </is>
      </c>
      <c r="C76" s="1569" t="inlineStr">
        <is>
          <t>Insurance on shipment of final product</t>
        </is>
      </c>
      <c r="E76" s="1569" t="n">
        <v>1.25</v>
      </c>
      <c r="F76" s="1569" t="inlineStr">
        <is>
          <t>percent</t>
        </is>
      </c>
      <c r="G76" s="1573">
        <f>G75*0.0125</f>
        <v/>
      </c>
      <c r="H76" s="1573">
        <f>G76</f>
        <v/>
      </c>
      <c r="J76" s="1569" t="inlineStr">
        <is>
          <t>Kevlar/Gorilla Glass design for durability compared to breakable tablets previously used</t>
        </is>
      </c>
    </row>
    <row r="77" ht="15.75" customHeight="1" s="1883">
      <c r="A77" s="1569" t="inlineStr">
        <is>
          <t>PT Fee</t>
        </is>
      </c>
      <c r="C77" s="1569" t="inlineStr">
        <is>
          <t>PT Fee on project (15%)</t>
        </is>
      </c>
      <c r="E77" s="1569" t="n">
        <v>1</v>
      </c>
      <c r="F77" s="1569" t="inlineStr">
        <is>
          <t>LS</t>
        </is>
      </c>
      <c r="G77" s="1573">
        <f>SUM(H54:H76)*0.15</f>
        <v/>
      </c>
      <c r="H77" s="1573">
        <f>E77*G77</f>
        <v/>
      </c>
      <c r="J77" s="1569" t="inlineStr">
        <is>
          <t>Jabil custom PCB for dual processor design and compatability; proprietary to Pure Technology Inc.</t>
        </is>
      </c>
    </row>
    <row r="78" ht="15.75" customHeight="1" s="1883">
      <c r="A78" s="1569" t="inlineStr">
        <is>
          <t>Project Contingency</t>
        </is>
      </c>
      <c r="C78" s="1569" t="inlineStr">
        <is>
          <t>Defects/Delays/Etc</t>
        </is>
      </c>
      <c r="E78" s="1569" t="n">
        <v>4</v>
      </c>
      <c r="F78" s="1569" t="inlineStr">
        <is>
          <t>percent</t>
        </is>
      </c>
      <c r="G78" s="1573">
        <f>SUM(H54:H77)*0.04</f>
        <v/>
      </c>
      <c r="H78" s="1573">
        <f>G78</f>
        <v/>
      </c>
      <c r="J78" s="1569" t="inlineStr">
        <is>
          <t>LiFePO4 battery in lieu of LiPo for enchanced durability and reduced heat generation</t>
        </is>
      </c>
    </row>
    <row r="79" ht="15.75" customHeight="1" s="1883">
      <c r="A79" s="1568" t="inlineStr">
        <is>
          <t>BUDGET TOTAL</t>
        </is>
      </c>
      <c r="G79" s="1573" t="n"/>
      <c r="H79" s="1565">
        <f>SUM(H46:H78)</f>
        <v/>
      </c>
      <c r="I79" s="1578" t="n"/>
    </row>
    <row r="80" ht="15.75" customHeight="1" s="1883">
      <c r="A80" s="1569" t="inlineStr">
        <is>
          <t>Cost Per Unit After Initial Purchase Order (Min 1,000 order)</t>
        </is>
      </c>
      <c r="G80" s="1573" t="n"/>
      <c r="H80" s="1573">
        <f>P64-P62</f>
        <v/>
      </c>
    </row>
    <row r="81" ht="15.75" customHeight="1" s="1883">
      <c r="A81" s="1569" t="inlineStr">
        <is>
          <t>Cost to Brands per Unit after Initial Purchase Order (Min 1,000 order)</t>
        </is>
      </c>
      <c r="H81" s="2099" t="n">
        <v>800</v>
      </c>
    </row>
    <row r="85" ht="15.75" customHeight="1" s="1883">
      <c r="A85" s="1568" t="inlineStr">
        <is>
          <t>Project Features</t>
        </is>
      </c>
      <c r="G85" s="1573" t="n"/>
    </row>
    <row r="86" ht="15.75" customHeight="1" s="1883">
      <c r="A86" s="1569" t="inlineStr">
        <is>
          <t>Handset</t>
        </is>
      </c>
      <c r="C86" s="1569" t="inlineStr">
        <is>
          <t>Portable, designed to be rugged and built for daily use at vendor's business</t>
        </is>
      </c>
      <c r="G86" s="1573" t="n"/>
    </row>
    <row r="87" ht="15.75" customHeight="1" s="1883">
      <c r="C87" s="1569" t="inlineStr">
        <is>
          <t>Full use device with cameras, wi-fi, and Android based OS</t>
        </is>
      </c>
    </row>
    <row r="88" ht="15.75" customHeight="1" s="1883">
      <c r="A88" s="1569" t="inlineStr">
        <is>
          <t>Software</t>
        </is>
      </c>
      <c r="C88" s="1569" t="inlineStr">
        <is>
          <t>wecheer services for vendor, including rewards, loyalty programs, and full receipt scanning technology to provide your business key insights</t>
        </is>
      </c>
    </row>
    <row r="89" ht="15.75" customHeight="1" s="1883">
      <c r="C89" s="1569" t="inlineStr">
        <is>
          <t>No POS? No problem! Our service will report metrics on items that are selling the most based on what you feed into the system</t>
        </is>
      </c>
    </row>
    <row r="90" ht="15.75" customHeight="1" s="1883">
      <c r="C90" s="1569" t="inlineStr">
        <is>
          <t>PureCast technology to gather assistance with your inventory? No pallet or racking system? No problem! Our tech will help you wrap your heads around what you have to work with.</t>
        </is>
      </c>
    </row>
    <row r="91" ht="15.75" customHeight="1" s="1883">
      <c r="A91" s="1569" t="inlineStr">
        <is>
          <t>Customer Support</t>
        </is>
      </c>
      <c r="C91" s="1569" t="inlineStr">
        <is>
          <t>Our team is fluent in your language and will be happy to provide assistance to you. Your handset lets you be literally one phone call away from customized support.</t>
        </is>
      </c>
    </row>
    <row r="92" ht="15.75" customHeight="1" s="1883">
      <c r="A92" s="1569" t="inlineStr">
        <is>
          <t>Rewards</t>
        </is>
      </c>
      <c r="C92" s="1569" t="inlineStr">
        <is>
          <t>As a small business owner, just by scanning in data enables you to earn rewards for you and your family while you are hard at work</t>
        </is>
      </c>
    </row>
    <row r="93" ht="15.75" customHeight="1" s="1883">
      <c r="C93" s="1569" t="inlineStr">
        <is>
          <t>Large distributors of the goods you sell are rewarded with data on small mom and pop businesses, allowing them to service your needs with never before received analysis</t>
        </is>
      </c>
    </row>
    <row r="94" ht="15.75" customHeight="1" s="1883">
      <c r="C94" s="1569" t="inlineStr">
        <is>
          <t>As the PT AI network grows, we will eventually be able to offer you potential alternatives to goods that sell and equipment at a savings to you.</t>
        </is>
      </c>
    </row>
    <row r="95" ht="15.75" customHeight="1" s="1883">
      <c r="C95" s="1569" t="inlineStr">
        <is>
          <t>Remember: With the MAKR family of companies, we work together for smarter data. What you put into us, we can reciprocate right back to you!</t>
        </is>
      </c>
    </row>
  </sheetData>
  <mergeCells count="5">
    <mergeCell ref="K44:M44"/>
    <mergeCell ref="J72:Q73"/>
    <mergeCell ref="A1:A4"/>
    <mergeCell ref="C53:D53"/>
    <mergeCell ref="A53:B53"/>
  </mergeCells>
  <dataValidations count="1">
    <dataValidation sqref="B9:BN22" showDropDown="1" showInputMessage="0" showErrorMessage="0" allowBlank="1" type="custom">
      <formula1>AND(ISNUMBER(B9),(NOT(OR(NOT(ISERROR(DATEVALUE(B9))), AND(ISNUMBER(B9), LEFT(CELL("format", B9))="D")))))</formula1>
    </dataValidation>
  </dataValidations>
  <hyperlinks>
    <hyperlink xmlns:r="http://schemas.openxmlformats.org/officeDocument/2006/relationships" ref="C42" r:id="rId1"/>
    <hyperlink xmlns:r="http://schemas.openxmlformats.org/officeDocument/2006/relationships" ref="B49" r:id="rId2"/>
  </hyperlinks>
  <pageMargins left="0.7" right="0.7" top="0.75" bottom="0.75" header="0.3" footer="0.3"/>
  <legacyDrawing xmlns:r="http://schemas.openxmlformats.org/officeDocument/2006/relationships" r:id="anysvml"/>
  <tableParts count="1">
    <tablePart xmlns:r="http://schemas.openxmlformats.org/officeDocument/2006/relationships" r:id="rId3"/>
  </tableParts>
</worksheet>
</file>

<file path=xl/worksheets/sheet27.xml><?xml version="1.0" encoding="utf-8"?>
<worksheet xmlns="http://schemas.openxmlformats.org/spreadsheetml/2006/main">
  <sheetPr>
    <tabColor rgb="FF9ACDFF"/>
    <outlinePr summaryBelow="1" summaryRight="1"/>
    <pageSetUpPr/>
  </sheetPr>
  <dimension ref="A1:DM64"/>
  <sheetViews>
    <sheetView zoomScale="111" zoomScaleNormal="111" workbookViewId="0">
      <pane xSplit="2" ySplit="3" topLeftCell="C4" activePane="bottomRight" state="frozen"/>
      <selection pane="topRight" activeCell="Q67" sqref="Q67"/>
      <selection pane="bottomLeft" activeCell="Q67" sqref="Q67"/>
      <selection pane="bottomRight" activeCell="M16" sqref="M16"/>
    </sheetView>
  </sheetViews>
  <sheetFormatPr baseColWidth="10" defaultColWidth="11.5" defaultRowHeight="13"/>
  <cols>
    <col width="17" customWidth="1" style="1883" min="1" max="1"/>
    <col width="12.6640625" bestFit="1" customWidth="1" style="1883" min="6" max="7"/>
    <col width="12.1640625" customWidth="1" style="1883" min="10" max="10"/>
    <col width="11.6640625" customWidth="1" style="1883" min="13" max="55"/>
    <col width="12.6640625" customWidth="1" style="1883" min="56" max="66"/>
    <col width="12.33203125" customWidth="1" style="1883" min="67" max="94"/>
    <col width="14.33203125" customWidth="1" style="1883" min="95" max="99"/>
    <col width="13" customWidth="1" style="1883" min="100" max="102"/>
    <col width="12.6640625" customWidth="1" style="1883" min="103" max="109"/>
    <col width="16.1640625" customWidth="1" style="1883" min="110" max="110"/>
    <col width="13" customWidth="1" style="1883" min="111" max="112"/>
  </cols>
  <sheetData>
    <row r="1" ht="20" customFormat="1" customHeight="1" s="1605">
      <c r="A1" s="1604" t="inlineStr">
        <is>
          <t>ACTUAL PROJECTIONS -until GREEN THEN EXTRAPOLATIONS</t>
        </is>
      </c>
    </row>
    <row r="2" ht="19" customFormat="1" customHeight="1" s="658">
      <c r="A2" s="658" t="inlineStr">
        <is>
          <t>Column1</t>
        </is>
      </c>
      <c r="B2" s="658" t="inlineStr">
        <is>
          <t>Column2</t>
        </is>
      </c>
      <c r="C2" s="658" t="inlineStr">
        <is>
          <t>Column3</t>
        </is>
      </c>
      <c r="D2" s="658" t="inlineStr">
        <is>
          <t>Column4</t>
        </is>
      </c>
      <c r="E2" s="658" t="inlineStr">
        <is>
          <t>Column5</t>
        </is>
      </c>
      <c r="F2" s="658" t="inlineStr">
        <is>
          <t>Column6</t>
        </is>
      </c>
      <c r="G2" s="658" t="inlineStr">
        <is>
          <t>Column7</t>
        </is>
      </c>
      <c r="H2" s="658" t="inlineStr">
        <is>
          <t>Column8</t>
        </is>
      </c>
      <c r="I2" s="658" t="inlineStr">
        <is>
          <t>Column9</t>
        </is>
      </c>
      <c r="J2" s="658" t="inlineStr">
        <is>
          <t>Column10</t>
        </is>
      </c>
      <c r="K2" s="658" t="inlineStr">
        <is>
          <t>Column11</t>
        </is>
      </c>
      <c r="L2" s="658" t="inlineStr">
        <is>
          <t>Column12</t>
        </is>
      </c>
      <c r="M2" s="658" t="inlineStr">
        <is>
          <t>Column13</t>
        </is>
      </c>
      <c r="N2" s="658" t="inlineStr">
        <is>
          <t>Column14</t>
        </is>
      </c>
      <c r="O2" s="658" t="inlineStr">
        <is>
          <t>Column15</t>
        </is>
      </c>
      <c r="P2" s="658" t="inlineStr">
        <is>
          <t>Column16</t>
        </is>
      </c>
      <c r="Q2" s="658" t="inlineStr">
        <is>
          <t>Column17</t>
        </is>
      </c>
      <c r="R2" s="658" t="inlineStr">
        <is>
          <t>Column18</t>
        </is>
      </c>
      <c r="S2" s="658" t="inlineStr">
        <is>
          <t>Column19</t>
        </is>
      </c>
      <c r="T2" s="658" t="inlineStr">
        <is>
          <t>Column20</t>
        </is>
      </c>
      <c r="U2" s="658" t="inlineStr">
        <is>
          <t>Column21</t>
        </is>
      </c>
      <c r="V2" s="658" t="inlineStr">
        <is>
          <t>Column22</t>
        </is>
      </c>
      <c r="W2" s="658" t="inlineStr">
        <is>
          <t>Column23</t>
        </is>
      </c>
      <c r="X2" s="658" t="inlineStr">
        <is>
          <t>Column24</t>
        </is>
      </c>
      <c r="Y2" s="658" t="inlineStr">
        <is>
          <t>Column25</t>
        </is>
      </c>
      <c r="Z2" s="658" t="inlineStr">
        <is>
          <t>Column26</t>
        </is>
      </c>
      <c r="AA2" s="658" t="inlineStr">
        <is>
          <t>Column27</t>
        </is>
      </c>
      <c r="AB2" s="658" t="inlineStr">
        <is>
          <t>Column28</t>
        </is>
      </c>
      <c r="AC2" s="658" t="inlineStr">
        <is>
          <t>Column29</t>
        </is>
      </c>
      <c r="AD2" s="658" t="inlineStr">
        <is>
          <t>Column30</t>
        </is>
      </c>
      <c r="AE2" s="658" t="inlineStr">
        <is>
          <t>Column31</t>
        </is>
      </c>
      <c r="AF2" s="658" t="inlineStr">
        <is>
          <t>Column32</t>
        </is>
      </c>
      <c r="AG2" s="658" t="inlineStr">
        <is>
          <t>Column33</t>
        </is>
      </c>
      <c r="AH2" s="658" t="inlineStr">
        <is>
          <t>Column34</t>
        </is>
      </c>
      <c r="AI2" s="658" t="inlineStr">
        <is>
          <t>Column35</t>
        </is>
      </c>
      <c r="AJ2" s="658" t="inlineStr">
        <is>
          <t>Column36</t>
        </is>
      </c>
      <c r="AK2" s="658" t="inlineStr">
        <is>
          <t>Column37</t>
        </is>
      </c>
      <c r="AL2" s="658" t="inlineStr">
        <is>
          <t>Column38</t>
        </is>
      </c>
      <c r="AM2" s="658" t="inlineStr">
        <is>
          <t>Column39</t>
        </is>
      </c>
      <c r="AN2" s="658" t="inlineStr">
        <is>
          <t>Column40</t>
        </is>
      </c>
      <c r="AO2" s="658" t="inlineStr">
        <is>
          <t>Column41</t>
        </is>
      </c>
      <c r="AP2" s="658" t="inlineStr">
        <is>
          <t>Column42</t>
        </is>
      </c>
      <c r="AQ2" s="658" t="inlineStr">
        <is>
          <t>Column43</t>
        </is>
      </c>
      <c r="AR2" s="658" t="inlineStr">
        <is>
          <t>Column44</t>
        </is>
      </c>
      <c r="AS2" s="658" t="inlineStr">
        <is>
          <t>Column45</t>
        </is>
      </c>
      <c r="AT2" s="658" t="inlineStr">
        <is>
          <t>Column46</t>
        </is>
      </c>
      <c r="AU2" s="658" t="inlineStr">
        <is>
          <t>Column47</t>
        </is>
      </c>
      <c r="AV2" s="658" t="inlineStr">
        <is>
          <t>Column48</t>
        </is>
      </c>
      <c r="AW2" s="658" t="inlineStr">
        <is>
          <t>Column49</t>
        </is>
      </c>
      <c r="AX2" s="658" t="inlineStr">
        <is>
          <t>Column50</t>
        </is>
      </c>
      <c r="AY2" s="658" t="inlineStr">
        <is>
          <t>Column51</t>
        </is>
      </c>
      <c r="AZ2" s="658" t="inlineStr">
        <is>
          <t>Column52</t>
        </is>
      </c>
      <c r="BA2" s="658" t="inlineStr">
        <is>
          <t>Column53</t>
        </is>
      </c>
      <c r="BB2" s="658" t="inlineStr">
        <is>
          <t>Column54</t>
        </is>
      </c>
      <c r="BC2" s="658" t="inlineStr">
        <is>
          <t>Column55</t>
        </is>
      </c>
      <c r="BD2" s="658" t="inlineStr">
        <is>
          <t>Column56</t>
        </is>
      </c>
      <c r="BE2" s="658" t="inlineStr">
        <is>
          <t>Column57</t>
        </is>
      </c>
      <c r="BF2" s="658" t="inlineStr">
        <is>
          <t>Column58</t>
        </is>
      </c>
      <c r="BG2" s="658" t="inlineStr">
        <is>
          <t>Column59</t>
        </is>
      </c>
      <c r="BH2" s="658" t="inlineStr">
        <is>
          <t>Column60</t>
        </is>
      </c>
      <c r="BI2" s="658" t="inlineStr">
        <is>
          <t>Column61</t>
        </is>
      </c>
      <c r="BJ2" s="658" t="inlineStr">
        <is>
          <t>Column62</t>
        </is>
      </c>
      <c r="BK2" s="658" t="inlineStr">
        <is>
          <t>Column63</t>
        </is>
      </c>
      <c r="BL2" s="658" t="inlineStr">
        <is>
          <t>Column64</t>
        </is>
      </c>
      <c r="BM2" s="658" t="inlineStr">
        <is>
          <t>Column65</t>
        </is>
      </c>
      <c r="BN2" s="658" t="inlineStr">
        <is>
          <t>Column66</t>
        </is>
      </c>
      <c r="BO2" s="658" t="inlineStr">
        <is>
          <t>Column67</t>
        </is>
      </c>
      <c r="BP2" s="658" t="inlineStr">
        <is>
          <t>Column68</t>
        </is>
      </c>
      <c r="BQ2" s="658" t="inlineStr">
        <is>
          <t>Column69</t>
        </is>
      </c>
      <c r="BR2" s="658" t="inlineStr">
        <is>
          <t>Column70</t>
        </is>
      </c>
      <c r="BS2" s="658" t="inlineStr">
        <is>
          <t>Column71</t>
        </is>
      </c>
      <c r="BT2" s="658" t="inlineStr">
        <is>
          <t>Column72</t>
        </is>
      </c>
      <c r="BU2" s="658" t="inlineStr">
        <is>
          <t>Column73</t>
        </is>
      </c>
      <c r="BV2" s="658" t="inlineStr">
        <is>
          <t>Column74</t>
        </is>
      </c>
      <c r="BW2" s="658" t="inlineStr">
        <is>
          <t>Column75</t>
        </is>
      </c>
      <c r="BX2" s="658" t="inlineStr">
        <is>
          <t>Column76</t>
        </is>
      </c>
      <c r="BY2" s="658" t="inlineStr">
        <is>
          <t>Column77</t>
        </is>
      </c>
      <c r="BZ2" s="658" t="inlineStr">
        <is>
          <t>Column78</t>
        </is>
      </c>
      <c r="CA2" s="658" t="inlineStr">
        <is>
          <t>Column79</t>
        </is>
      </c>
      <c r="CB2" s="658" t="inlineStr">
        <is>
          <t>Column80</t>
        </is>
      </c>
      <c r="CC2" s="658" t="inlineStr">
        <is>
          <t>Column81</t>
        </is>
      </c>
      <c r="CD2" s="658" t="inlineStr">
        <is>
          <t>Column82</t>
        </is>
      </c>
      <c r="CE2" s="658" t="inlineStr">
        <is>
          <t>Column83</t>
        </is>
      </c>
      <c r="CF2" s="658" t="inlineStr">
        <is>
          <t>Column84</t>
        </is>
      </c>
      <c r="CG2" s="658" t="inlineStr">
        <is>
          <t>Column85</t>
        </is>
      </c>
      <c r="CH2" s="658" t="inlineStr">
        <is>
          <t>Column86</t>
        </is>
      </c>
      <c r="CI2" s="658" t="inlineStr">
        <is>
          <t>Column87</t>
        </is>
      </c>
      <c r="CJ2" s="658" t="inlineStr">
        <is>
          <t>Column88</t>
        </is>
      </c>
      <c r="CK2" s="658" t="inlineStr">
        <is>
          <t>Column89</t>
        </is>
      </c>
      <c r="CL2" s="658" t="inlineStr">
        <is>
          <t>Column90</t>
        </is>
      </c>
      <c r="CM2" s="658" t="inlineStr">
        <is>
          <t>Column91</t>
        </is>
      </c>
      <c r="CN2" s="658" t="inlineStr">
        <is>
          <t>Column92</t>
        </is>
      </c>
      <c r="CO2" s="658" t="inlineStr">
        <is>
          <t>Column93</t>
        </is>
      </c>
      <c r="CP2" s="658" t="inlineStr">
        <is>
          <t>Column94</t>
        </is>
      </c>
      <c r="CQ2" s="658" t="inlineStr">
        <is>
          <t>Column95</t>
        </is>
      </c>
      <c r="CR2" s="658" t="inlineStr">
        <is>
          <t>Column96</t>
        </is>
      </c>
      <c r="CS2" s="658" t="inlineStr">
        <is>
          <t>Column97</t>
        </is>
      </c>
      <c r="CT2" s="658" t="inlineStr">
        <is>
          <t>Column98</t>
        </is>
      </c>
      <c r="CU2" s="658" t="inlineStr">
        <is>
          <t>Column99</t>
        </is>
      </c>
      <c r="CV2" s="658" t="inlineStr">
        <is>
          <t>Column100</t>
        </is>
      </c>
      <c r="CW2" s="658" t="inlineStr">
        <is>
          <t>Column101</t>
        </is>
      </c>
      <c r="CX2" s="658" t="inlineStr">
        <is>
          <t>Column102</t>
        </is>
      </c>
      <c r="CY2" s="658" t="inlineStr">
        <is>
          <t>Column103</t>
        </is>
      </c>
      <c r="CZ2" s="658" t="inlineStr">
        <is>
          <t>Column104</t>
        </is>
      </c>
      <c r="DA2" s="658" t="inlineStr">
        <is>
          <t>Column105</t>
        </is>
      </c>
      <c r="DB2" s="658" t="inlineStr">
        <is>
          <t>Column106</t>
        </is>
      </c>
      <c r="DC2" s="658" t="inlineStr">
        <is>
          <t>Column107</t>
        </is>
      </c>
      <c r="DD2" s="658" t="inlineStr">
        <is>
          <t>Column108</t>
        </is>
      </c>
      <c r="DE2" s="658" t="inlineStr">
        <is>
          <t>Column109</t>
        </is>
      </c>
      <c r="DF2" s="658" t="inlineStr">
        <is>
          <t>Column110</t>
        </is>
      </c>
      <c r="DG2" s="658" t="inlineStr">
        <is>
          <t>Column111</t>
        </is>
      </c>
      <c r="DH2" s="658" t="inlineStr">
        <is>
          <t>Column112</t>
        </is>
      </c>
      <c r="DM2" s="658" t="inlineStr">
        <is>
          <t>References</t>
        </is>
      </c>
    </row>
    <row r="3" ht="17" customHeight="1" s="1883">
      <c r="A3" s="658" t="inlineStr">
        <is>
          <t>PRODUCT LINE</t>
        </is>
      </c>
      <c r="B3" s="658" t="inlineStr">
        <is>
          <t>Category</t>
        </is>
      </c>
      <c r="C3" s="1598" t="inlineStr">
        <is>
          <t>Month 1</t>
        </is>
      </c>
      <c r="D3" s="1598" t="inlineStr">
        <is>
          <t>Month 2</t>
        </is>
      </c>
      <c r="E3" s="1598" t="inlineStr">
        <is>
          <t>Month 3</t>
        </is>
      </c>
      <c r="F3" s="1598" t="inlineStr">
        <is>
          <t>Month 4</t>
        </is>
      </c>
      <c r="G3" s="1598" t="inlineStr">
        <is>
          <t>Month 5</t>
        </is>
      </c>
      <c r="H3" s="1598" t="inlineStr">
        <is>
          <t>Month 6</t>
        </is>
      </c>
      <c r="I3" s="1598" t="inlineStr">
        <is>
          <t>Month 7</t>
        </is>
      </c>
      <c r="J3" s="1598" t="inlineStr">
        <is>
          <t>Month 8</t>
        </is>
      </c>
      <c r="K3" s="1598" t="inlineStr">
        <is>
          <t>Month 9</t>
        </is>
      </c>
      <c r="L3" s="1598" t="inlineStr">
        <is>
          <t>Month 10</t>
        </is>
      </c>
      <c r="M3" s="1598" t="inlineStr">
        <is>
          <t>Month 11</t>
        </is>
      </c>
      <c r="N3" s="1598" t="inlineStr">
        <is>
          <t>Month 12</t>
        </is>
      </c>
      <c r="O3" s="1598" t="inlineStr">
        <is>
          <t>Month 13</t>
        </is>
      </c>
      <c r="P3" s="1598" t="inlineStr">
        <is>
          <t>Month 14</t>
        </is>
      </c>
      <c r="Q3" s="1598" t="inlineStr">
        <is>
          <t>Month 15</t>
        </is>
      </c>
      <c r="R3" s="1598" t="inlineStr">
        <is>
          <t>Month 16</t>
        </is>
      </c>
      <c r="S3" s="1598" t="inlineStr">
        <is>
          <t>Month 17</t>
        </is>
      </c>
      <c r="T3" s="1598" t="inlineStr">
        <is>
          <t>Month 18</t>
        </is>
      </c>
      <c r="U3" s="1598" t="inlineStr">
        <is>
          <t>Month 19</t>
        </is>
      </c>
      <c r="V3" s="1598" t="inlineStr">
        <is>
          <t>Month 20</t>
        </is>
      </c>
      <c r="W3" s="1598" t="inlineStr">
        <is>
          <t>Month 21</t>
        </is>
      </c>
      <c r="X3" s="1598" t="inlineStr">
        <is>
          <t>Month 22</t>
        </is>
      </c>
      <c r="Y3" s="1598" t="inlineStr">
        <is>
          <t>Month 23</t>
        </is>
      </c>
      <c r="Z3" s="1598" t="inlineStr">
        <is>
          <t>Month 24</t>
        </is>
      </c>
      <c r="AA3" s="1598" t="inlineStr">
        <is>
          <t>Month 25</t>
        </is>
      </c>
      <c r="AB3" s="1598" t="inlineStr">
        <is>
          <t>Month 26</t>
        </is>
      </c>
      <c r="AC3" s="1598" t="inlineStr">
        <is>
          <t>Month 27</t>
        </is>
      </c>
      <c r="AD3" s="1598" t="inlineStr">
        <is>
          <t>Month 28</t>
        </is>
      </c>
      <c r="AE3" s="1598" t="inlineStr">
        <is>
          <t>Month 29</t>
        </is>
      </c>
      <c r="AF3" s="1598" t="inlineStr">
        <is>
          <t>Month 30</t>
        </is>
      </c>
      <c r="AG3" s="1598" t="inlineStr">
        <is>
          <t>Month 31</t>
        </is>
      </c>
      <c r="AH3" s="1598" t="inlineStr">
        <is>
          <t>Month 32</t>
        </is>
      </c>
      <c r="AI3" s="1598" t="inlineStr">
        <is>
          <t>Month 33</t>
        </is>
      </c>
      <c r="AJ3" s="1598" t="inlineStr">
        <is>
          <t>Month 34</t>
        </is>
      </c>
      <c r="AK3" s="1598" t="inlineStr">
        <is>
          <t>Month 35</t>
        </is>
      </c>
      <c r="AL3" s="1598" t="inlineStr">
        <is>
          <t>Month 36</t>
        </is>
      </c>
      <c r="AM3" s="1598" t="inlineStr">
        <is>
          <t>Month 37</t>
        </is>
      </c>
      <c r="AN3" s="1598" t="inlineStr">
        <is>
          <t>Month 38</t>
        </is>
      </c>
      <c r="AO3" s="1598" t="inlineStr">
        <is>
          <t>Month 39</t>
        </is>
      </c>
      <c r="AP3" s="1598" t="inlineStr">
        <is>
          <t>Month 40</t>
        </is>
      </c>
      <c r="AQ3" s="1598" t="inlineStr">
        <is>
          <t>Month 41</t>
        </is>
      </c>
      <c r="AR3" s="1598" t="inlineStr">
        <is>
          <t>Month 42</t>
        </is>
      </c>
      <c r="AS3" s="1598" t="inlineStr">
        <is>
          <t>Month 43</t>
        </is>
      </c>
      <c r="AT3" s="1598" t="inlineStr">
        <is>
          <t>Month 44</t>
        </is>
      </c>
      <c r="AU3" s="1598" t="inlineStr">
        <is>
          <t>Month 45</t>
        </is>
      </c>
      <c r="AV3" s="1598" t="inlineStr">
        <is>
          <t>Month 46</t>
        </is>
      </c>
      <c r="AW3" s="1598" t="inlineStr">
        <is>
          <t>Month 47</t>
        </is>
      </c>
      <c r="AX3" s="1598" t="inlineStr">
        <is>
          <t>Month 48</t>
        </is>
      </c>
      <c r="AY3" s="1598" t="inlineStr">
        <is>
          <t>Month 49</t>
        </is>
      </c>
      <c r="AZ3" s="1598" t="inlineStr">
        <is>
          <t>Month 50</t>
        </is>
      </c>
      <c r="BA3" s="1598" t="inlineStr">
        <is>
          <t>Month 51</t>
        </is>
      </c>
      <c r="BB3" s="1598" t="inlineStr">
        <is>
          <t>Month 52</t>
        </is>
      </c>
      <c r="BC3" s="1598" t="inlineStr">
        <is>
          <t>Month 53</t>
        </is>
      </c>
      <c r="BD3" s="1598" t="inlineStr">
        <is>
          <t>Month 54</t>
        </is>
      </c>
      <c r="BE3" s="1598" t="inlineStr">
        <is>
          <t>Month 55</t>
        </is>
      </c>
      <c r="BF3" s="1598" t="inlineStr">
        <is>
          <t>Month 56</t>
        </is>
      </c>
      <c r="BG3" s="1598" t="inlineStr">
        <is>
          <t>Month 57</t>
        </is>
      </c>
      <c r="BH3" s="1598" t="inlineStr">
        <is>
          <t>Month 58</t>
        </is>
      </c>
      <c r="BI3" s="1598" t="inlineStr">
        <is>
          <t>Month 59</t>
        </is>
      </c>
      <c r="BJ3" s="1598" t="inlineStr">
        <is>
          <t>Month 60</t>
        </is>
      </c>
      <c r="BK3" s="1598" t="inlineStr">
        <is>
          <t>Month 61</t>
        </is>
      </c>
      <c r="BL3" s="1598" t="inlineStr">
        <is>
          <t>Month 62</t>
        </is>
      </c>
      <c r="BM3" s="1598" t="inlineStr">
        <is>
          <t>Month 63</t>
        </is>
      </c>
      <c r="BN3" s="1598" t="inlineStr">
        <is>
          <t>Month 64</t>
        </is>
      </c>
      <c r="BO3" s="1598" t="inlineStr">
        <is>
          <t>Month 65</t>
        </is>
      </c>
      <c r="BP3" s="1598" t="inlineStr">
        <is>
          <t>Month 66</t>
        </is>
      </c>
      <c r="BQ3" s="1598" t="inlineStr">
        <is>
          <t>Month 67</t>
        </is>
      </c>
      <c r="BR3" s="1598" t="inlineStr">
        <is>
          <t>Month 68</t>
        </is>
      </c>
      <c r="BS3" s="1598" t="inlineStr">
        <is>
          <t>Month 69</t>
        </is>
      </c>
      <c r="BT3" s="1598" t="inlineStr">
        <is>
          <t>Month 70</t>
        </is>
      </c>
      <c r="BU3" s="1598" t="inlineStr">
        <is>
          <t>Month 71</t>
        </is>
      </c>
      <c r="BV3" s="1598" t="inlineStr">
        <is>
          <t>Month 72</t>
        </is>
      </c>
      <c r="BW3" s="1598" t="inlineStr">
        <is>
          <t>Month 73</t>
        </is>
      </c>
      <c r="BX3" s="1598" t="inlineStr">
        <is>
          <t>Month 74</t>
        </is>
      </c>
      <c r="BY3" s="1598" t="inlineStr">
        <is>
          <t>Month 75</t>
        </is>
      </c>
      <c r="BZ3" s="1598" t="inlineStr">
        <is>
          <t>Month 76</t>
        </is>
      </c>
      <c r="CA3" s="1598" t="inlineStr">
        <is>
          <t>Month 77</t>
        </is>
      </c>
      <c r="CB3" s="1598" t="inlineStr">
        <is>
          <t>Month 78</t>
        </is>
      </c>
      <c r="CC3" s="1598" t="inlineStr">
        <is>
          <t>Month 79</t>
        </is>
      </c>
      <c r="CD3" s="1598" t="inlineStr">
        <is>
          <t>Month 80</t>
        </is>
      </c>
      <c r="CE3" s="1598" t="inlineStr">
        <is>
          <t>Month 81</t>
        </is>
      </c>
      <c r="CF3" s="1598" t="inlineStr">
        <is>
          <t>Month 82</t>
        </is>
      </c>
      <c r="CG3" s="1598" t="inlineStr">
        <is>
          <t>Month 83</t>
        </is>
      </c>
      <c r="CH3" s="1598" t="inlineStr">
        <is>
          <t>Month 84</t>
        </is>
      </c>
      <c r="CI3" s="1598" t="inlineStr">
        <is>
          <t>Month 85</t>
        </is>
      </c>
      <c r="CJ3" s="1598" t="inlineStr">
        <is>
          <t>Month 86</t>
        </is>
      </c>
      <c r="CK3" s="1598" t="inlineStr">
        <is>
          <t>Month 87</t>
        </is>
      </c>
      <c r="CL3" s="1598" t="inlineStr">
        <is>
          <t>Month 88</t>
        </is>
      </c>
      <c r="CM3" s="1598" t="inlineStr">
        <is>
          <t>Month 89</t>
        </is>
      </c>
      <c r="CN3" s="1598" t="inlineStr">
        <is>
          <t>Month 90</t>
        </is>
      </c>
      <c r="CO3" s="1598" t="inlineStr">
        <is>
          <t>Month 91</t>
        </is>
      </c>
      <c r="CP3" s="1598" t="inlineStr">
        <is>
          <t>Month 92</t>
        </is>
      </c>
      <c r="CQ3" s="1598" t="inlineStr">
        <is>
          <t>Month 93</t>
        </is>
      </c>
      <c r="CR3" s="1598" t="inlineStr">
        <is>
          <t>Month 94</t>
        </is>
      </c>
      <c r="CS3" s="1598" t="inlineStr">
        <is>
          <t>Month 95</t>
        </is>
      </c>
      <c r="CT3" s="1598" t="inlineStr">
        <is>
          <t>Month 96</t>
        </is>
      </c>
      <c r="CU3" s="1598" t="inlineStr">
        <is>
          <t>Month 97</t>
        </is>
      </c>
      <c r="CV3" s="1598" t="inlineStr">
        <is>
          <t>Month 98</t>
        </is>
      </c>
      <c r="CW3" s="1598" t="inlineStr">
        <is>
          <t>Month 99</t>
        </is>
      </c>
      <c r="CX3" s="1598" t="inlineStr">
        <is>
          <t>Month 100</t>
        </is>
      </c>
      <c r="CY3" s="1598" t="inlineStr">
        <is>
          <t>Month 101</t>
        </is>
      </c>
      <c r="CZ3" s="1598" t="inlineStr">
        <is>
          <t>Month 102</t>
        </is>
      </c>
      <c r="DA3" s="1598" t="inlineStr">
        <is>
          <t>Month 103</t>
        </is>
      </c>
      <c r="DB3" s="1598" t="inlineStr">
        <is>
          <t>Month 104</t>
        </is>
      </c>
      <c r="DC3" s="1598" t="inlineStr">
        <is>
          <t>Month 105</t>
        </is>
      </c>
      <c r="DD3" s="1598" t="inlineStr">
        <is>
          <t>Month 106</t>
        </is>
      </c>
      <c r="DE3" s="1598" t="inlineStr">
        <is>
          <t>Month 107</t>
        </is>
      </c>
      <c r="DF3" s="658" t="n"/>
      <c r="DG3" s="1608" t="inlineStr">
        <is>
          <t>% of Market</t>
        </is>
      </c>
      <c r="DM3" s="1609" t="inlineStr">
        <is>
          <t>PT User Adoption Research.docx</t>
        </is>
      </c>
    </row>
    <row r="4">
      <c r="C4" s="1583" t="n"/>
      <c r="D4" s="1583" t="n"/>
      <c r="E4" s="1583" t="n"/>
      <c r="F4" s="1583" t="n"/>
      <c r="G4" s="1583" t="n"/>
      <c r="H4" s="1583" t="n"/>
      <c r="I4" s="1583" t="n"/>
      <c r="J4" s="1583" t="n"/>
      <c r="K4" s="1583" t="n"/>
      <c r="L4" s="1583" t="n"/>
      <c r="M4" s="1583" t="n"/>
      <c r="N4" s="1583" t="n"/>
      <c r="O4" s="1583" t="n"/>
      <c r="P4" s="1583" t="n"/>
      <c r="Q4" s="1583" t="n"/>
      <c r="R4" s="1583" t="n"/>
      <c r="S4" s="1583" t="n"/>
      <c r="T4" s="1583" t="n"/>
      <c r="U4" s="1583" t="n"/>
      <c r="V4" s="1583" t="n"/>
      <c r="W4" s="1583" t="n"/>
      <c r="X4" s="1583" t="n"/>
      <c r="Y4" s="1583" t="n"/>
      <c r="Z4" s="1583" t="n"/>
      <c r="AA4" s="1583" t="n"/>
      <c r="AB4" s="1583" t="n"/>
      <c r="AC4" s="1583" t="n"/>
      <c r="AD4" s="1583" t="n"/>
      <c r="AE4" s="1583" t="n"/>
      <c r="AF4" s="1583" t="n"/>
      <c r="AG4" s="1583" t="n"/>
      <c r="AH4" s="1583" t="n"/>
      <c r="AI4" s="1583" t="n"/>
      <c r="AJ4" s="1583" t="n"/>
      <c r="AK4" s="1583" t="n"/>
      <c r="AL4" s="1583" t="n"/>
      <c r="AM4" s="1583" t="n"/>
      <c r="AN4" s="1583" t="n"/>
      <c r="AO4" s="1583" t="n"/>
      <c r="AP4" s="1583" t="n"/>
      <c r="AQ4" s="1583" t="n"/>
      <c r="AR4" s="1583" t="n"/>
      <c r="AS4" s="1583" t="n"/>
      <c r="AT4" s="1583" t="n"/>
      <c r="AU4" s="1583" t="n"/>
      <c r="AV4" s="1583" t="n"/>
      <c r="AW4" s="1583" t="n"/>
      <c r="AX4" s="1583" t="n"/>
      <c r="AY4" s="1583" t="n"/>
      <c r="AZ4" s="1583" t="n"/>
      <c r="BA4" s="1583" t="n"/>
      <c r="BB4" s="1583" t="n"/>
      <c r="BC4" s="1583" t="n"/>
      <c r="BD4" s="1583" t="n"/>
      <c r="BE4" s="1583" t="n"/>
      <c r="BF4" s="1583" t="n"/>
      <c r="BG4" s="1583" t="n"/>
      <c r="BH4" s="1583" t="n"/>
      <c r="BI4" s="1583" t="n"/>
      <c r="BJ4" s="1583" t="n"/>
      <c r="BK4" s="1583" t="n"/>
      <c r="BL4" s="1583" t="n"/>
      <c r="BM4" s="1583" t="n"/>
      <c r="BN4" s="1583" t="n"/>
      <c r="BO4" s="1583" t="n"/>
      <c r="BP4" s="1583" t="n"/>
      <c r="BQ4" s="1583" t="n"/>
      <c r="BR4" s="1583" t="n"/>
      <c r="BS4" s="1583" t="n"/>
      <c r="BT4" s="1583" t="n"/>
      <c r="BU4" s="1583" t="n"/>
      <c r="BV4" s="1583" t="n"/>
      <c r="BW4" s="1583" t="n"/>
      <c r="BX4" s="1583" t="n"/>
      <c r="BY4" s="1583" t="n"/>
      <c r="BZ4" s="1583" t="n"/>
      <c r="CA4" s="1583" t="n"/>
      <c r="CB4" s="1583" t="n"/>
      <c r="CC4" s="1583" t="n"/>
      <c r="CD4" s="1583" t="n"/>
      <c r="CE4" s="1583" t="n"/>
      <c r="CF4" s="1583" t="n"/>
      <c r="CG4" s="1583" t="n"/>
      <c r="CH4" s="1583" t="n"/>
      <c r="CI4" s="1583" t="n"/>
      <c r="CJ4" s="1583" t="n"/>
      <c r="CK4" s="1583" t="n"/>
      <c r="CL4" s="1583" t="n"/>
      <c r="CM4" s="1583" t="n"/>
      <c r="CN4" s="1583" t="n"/>
      <c r="CO4" s="1583" t="n"/>
      <c r="CP4" s="1583" t="n"/>
      <c r="CQ4" s="1583" t="n"/>
      <c r="CR4" s="1583" t="n"/>
      <c r="CS4" s="1583" t="n"/>
      <c r="CT4" s="1583" t="n"/>
      <c r="CU4" s="1583" t="n"/>
      <c r="CV4" s="1583" t="n"/>
      <c r="CW4" s="1583" t="n"/>
      <c r="CX4" s="1583" t="n"/>
      <c r="CY4" s="1583" t="n"/>
      <c r="CZ4" s="1583" t="n"/>
      <c r="DA4" s="1583" t="n"/>
      <c r="DB4" s="1583" t="n"/>
      <c r="DC4" s="1583" t="n"/>
      <c r="DD4" s="1583" t="n"/>
      <c r="DE4" s="1583" t="n"/>
      <c r="DG4" s="1615" t="n"/>
      <c r="DH4" s="1614" t="n"/>
    </row>
    <row r="5">
      <c r="A5" s="658" t="inlineStr">
        <is>
          <t>Pure Influence</t>
        </is>
      </c>
      <c r="B5" s="658" t="inlineStr">
        <is>
          <t>Influencers</t>
        </is>
      </c>
      <c r="C5" s="1602" t="n"/>
      <c r="D5" s="1602" t="n"/>
      <c r="E5" s="1602" t="n"/>
      <c r="F5" s="1610">
        <f>'[5]Monthly User Growth'!C2</f>
        <v/>
      </c>
      <c r="G5" s="1610">
        <f>'[5]Monthly User Growth'!D2</f>
        <v/>
      </c>
      <c r="H5" s="1610">
        <f>'[5]Monthly User Growth'!E2</f>
        <v/>
      </c>
      <c r="I5" s="1610">
        <f>'[5]Monthly User Growth'!F2</f>
        <v/>
      </c>
      <c r="J5" s="1610">
        <f>'[5]Monthly User Growth'!G2</f>
        <v/>
      </c>
      <c r="K5" s="1610">
        <f>'[5]Monthly User Growth'!H2</f>
        <v/>
      </c>
      <c r="L5" s="1610">
        <f>'[5]Monthly User Growth'!I2</f>
        <v/>
      </c>
      <c r="M5" s="1610">
        <f>'[5]Monthly User Growth'!J2</f>
        <v/>
      </c>
      <c r="N5" s="1610">
        <f>'[5]Monthly User Growth'!K2</f>
        <v/>
      </c>
      <c r="O5" s="1610">
        <f>'[5]Monthly User Growth'!L2</f>
        <v/>
      </c>
      <c r="P5" s="1610">
        <f>'[5]Monthly User Growth'!M2</f>
        <v/>
      </c>
      <c r="Q5" s="1610">
        <f>'[5]Monthly User Growth'!N2</f>
        <v/>
      </c>
      <c r="R5" s="1610">
        <f>'[5]Monthly User Growth'!C6</f>
        <v/>
      </c>
      <c r="S5" s="1610">
        <f>'[5]Monthly User Growth'!D6</f>
        <v/>
      </c>
      <c r="T5" s="1610">
        <f>'[5]Monthly User Growth'!E6</f>
        <v/>
      </c>
      <c r="U5" s="1610">
        <f>'[5]Monthly User Growth'!F6</f>
        <v/>
      </c>
      <c r="V5" s="1610">
        <f>'[5]Monthly User Growth'!G6</f>
        <v/>
      </c>
      <c r="W5" s="1610">
        <f>'[5]Monthly User Growth'!H6</f>
        <v/>
      </c>
      <c r="X5" s="1610">
        <f>'[5]Monthly User Growth'!I6</f>
        <v/>
      </c>
      <c r="Y5" s="1610">
        <f>'[5]Monthly User Growth'!J6</f>
        <v/>
      </c>
      <c r="Z5" s="1610">
        <f>'[5]Monthly User Growth'!K6</f>
        <v/>
      </c>
      <c r="AA5" s="1610">
        <f>'[5]Monthly User Growth'!L6</f>
        <v/>
      </c>
      <c r="AB5" s="1610">
        <f>'[5]Monthly User Growth'!M6</f>
        <v/>
      </c>
      <c r="AC5" s="1610">
        <f>'[5]Monthly User Growth'!N6</f>
        <v/>
      </c>
      <c r="AD5" s="1610">
        <f>'[5]Monthly User Growth'!C10</f>
        <v/>
      </c>
      <c r="AE5" s="1610">
        <f>'[5]Monthly User Growth'!D10</f>
        <v/>
      </c>
      <c r="AF5" s="1610">
        <f>'[5]Monthly User Growth'!E10</f>
        <v/>
      </c>
      <c r="AG5" s="1610">
        <f>'[5]Monthly User Growth'!F10</f>
        <v/>
      </c>
      <c r="AH5" s="1610">
        <f>'[5]Monthly User Growth'!G10</f>
        <v/>
      </c>
      <c r="AI5" s="1610">
        <f>'[5]Monthly User Growth'!H10</f>
        <v/>
      </c>
      <c r="AJ5" s="1610">
        <f>'[5]Monthly User Growth'!I10</f>
        <v/>
      </c>
      <c r="AK5" s="1610">
        <f>'[5]Monthly User Growth'!J10</f>
        <v/>
      </c>
      <c r="AL5" s="1610">
        <f>'[5]Monthly User Growth'!K10</f>
        <v/>
      </c>
      <c r="AM5" s="1610">
        <f>'[5]Monthly User Growth'!L10</f>
        <v/>
      </c>
      <c r="AN5" s="1610">
        <f>'[5]Monthly User Growth'!M10</f>
        <v/>
      </c>
      <c r="AO5" s="1610">
        <f>'[5]Monthly User Growth'!N10</f>
        <v/>
      </c>
      <c r="AP5" s="1610">
        <f>'[5]Monthly User Growth'!C14</f>
        <v/>
      </c>
      <c r="AQ5" s="1610">
        <f>'[5]Monthly User Growth'!D14</f>
        <v/>
      </c>
      <c r="AR5" s="1610">
        <f>'[5]Monthly User Growth'!E14</f>
        <v/>
      </c>
      <c r="AS5" s="1610">
        <f>'[5]Monthly User Growth'!F14</f>
        <v/>
      </c>
      <c r="AT5" s="1610">
        <f>'[5]Monthly User Growth'!G14</f>
        <v/>
      </c>
      <c r="AU5" s="1610">
        <f>'[5]Monthly User Growth'!H14</f>
        <v/>
      </c>
      <c r="AV5" s="1610">
        <f>'[5]Monthly User Growth'!I14</f>
        <v/>
      </c>
      <c r="AW5" s="1610">
        <f>'[5]Monthly User Growth'!J14</f>
        <v/>
      </c>
      <c r="AX5" s="1610">
        <f>'[5]Monthly User Growth'!K14</f>
        <v/>
      </c>
      <c r="AY5" s="1610">
        <f>'[5]Monthly User Growth'!L14</f>
        <v/>
      </c>
      <c r="AZ5" s="1610">
        <f>'[5]Monthly User Growth'!M14</f>
        <v/>
      </c>
      <c r="BA5" s="1610">
        <f>'[5]Monthly User Growth'!N14</f>
        <v/>
      </c>
      <c r="BB5" s="1610">
        <f>'[5]Monthly User Growth'!C18</f>
        <v/>
      </c>
      <c r="BC5" s="1610">
        <f>'[5]Monthly User Growth'!D18</f>
        <v/>
      </c>
      <c r="BD5" s="1610">
        <f>'[5]Monthly User Growth'!E18</f>
        <v/>
      </c>
      <c r="BE5" s="1610">
        <f>'[5]Monthly User Growth'!F18</f>
        <v/>
      </c>
      <c r="BF5" s="1610">
        <f>'[5]Monthly User Growth'!G18</f>
        <v/>
      </c>
      <c r="BG5" s="1610">
        <f>'[5]Monthly User Growth'!H18</f>
        <v/>
      </c>
      <c r="BH5" s="1610">
        <f>'[5]Monthly User Growth'!I18</f>
        <v/>
      </c>
      <c r="BI5" s="1610">
        <f>'[5]Monthly User Growth'!J18</f>
        <v/>
      </c>
      <c r="BJ5" s="1610">
        <f>'[5]Monthly User Growth'!K18</f>
        <v/>
      </c>
      <c r="BK5" s="1610">
        <f>'[5]Monthly User Growth'!L18</f>
        <v/>
      </c>
      <c r="BL5" s="1610">
        <f>'[5]Monthly User Growth'!M18</f>
        <v/>
      </c>
      <c r="BM5" s="1610">
        <f>'[5]Monthly User Growth'!N18</f>
        <v/>
      </c>
      <c r="BN5" s="1603">
        <f>Table2[[#This Row],[Column65]]*1.016</f>
        <v/>
      </c>
      <c r="BO5" s="1583">
        <f>Table2[[#This Row],[Column66]]*1.016</f>
        <v/>
      </c>
      <c r="BP5" s="1583">
        <f>Table2[[#This Row],[Column67]]*1.016</f>
        <v/>
      </c>
      <c r="BQ5" s="1583">
        <f>Table2[[#This Row],[Column68]]*1.016</f>
        <v/>
      </c>
      <c r="BR5" s="1583">
        <f>Table2[[#This Row],[Column69]]*1.016</f>
        <v/>
      </c>
      <c r="BS5" s="1583">
        <f>Table2[[#This Row],[Column70]]*1.016</f>
        <v/>
      </c>
      <c r="BT5" s="1583">
        <f>Table2[[#This Row],[Column71]]*1.016</f>
        <v/>
      </c>
      <c r="BU5" s="1583">
        <f>Table2[[#This Row],[Column72]]*1.016</f>
        <v/>
      </c>
      <c r="BV5" s="1583">
        <f>Table2[[#This Row],[Column73]]*1.016</f>
        <v/>
      </c>
      <c r="BW5" s="1583">
        <f>Table2[[#This Row],[Column74]]*1.016</f>
        <v/>
      </c>
      <c r="BX5" s="1583">
        <f>Table2[[#This Row],[Column75]]*1.016</f>
        <v/>
      </c>
      <c r="BY5" s="1583">
        <f>Table2[[#This Row],[Column76]]*1.016</f>
        <v/>
      </c>
      <c r="BZ5" s="1583">
        <f>Table2[[#This Row],[Column77]]*1.016</f>
        <v/>
      </c>
      <c r="CA5" s="1583">
        <f>Table2[[#This Row],[Column78]]*1.016</f>
        <v/>
      </c>
      <c r="CB5" s="1583">
        <f>Table2[[#This Row],[Column79]]*1.016</f>
        <v/>
      </c>
      <c r="CC5" s="1583">
        <f>Table2[[#This Row],[Column80]]*1.016</f>
        <v/>
      </c>
      <c r="CD5" s="1583">
        <f>Table2[[#This Row],[Column81]]*1.016</f>
        <v/>
      </c>
      <c r="CE5" s="1583">
        <f>Table2[[#This Row],[Column82]]*1.016</f>
        <v/>
      </c>
      <c r="CF5" s="1583">
        <f>Table2[[#This Row],[Column83]]*1.016</f>
        <v/>
      </c>
      <c r="CG5" s="1583">
        <f>Table2[[#This Row],[Column84]]*1.016</f>
        <v/>
      </c>
      <c r="CH5" s="1583">
        <f>Table2[[#This Row],[Column85]]*1.016</f>
        <v/>
      </c>
      <c r="CI5" s="1583">
        <f>Table2[[#This Row],[Column86]]*1.016</f>
        <v/>
      </c>
      <c r="CJ5" s="1583">
        <f>Table2[[#This Row],[Column87]]*1.016</f>
        <v/>
      </c>
      <c r="CK5" s="1583">
        <f>Table2[[#This Row],[Column88]]*1.016</f>
        <v/>
      </c>
      <c r="CL5" s="1583">
        <f>Table2[[#This Row],[Column89]]*1.016</f>
        <v/>
      </c>
      <c r="CM5" s="1583">
        <f>Table2[[#This Row],[Column90]]*1.016</f>
        <v/>
      </c>
      <c r="CN5" s="1583">
        <f>Table2[[#This Row],[Column91]]*1.016</f>
        <v/>
      </c>
      <c r="CO5" s="1583">
        <f>Table2[[#This Row],[Column92]]*1.016</f>
        <v/>
      </c>
      <c r="CP5" s="1583">
        <f>Table2[[#This Row],[Column93]]*1.016</f>
        <v/>
      </c>
      <c r="CQ5" s="1583">
        <f>Table2[[#This Row],[Column94]]*1.016</f>
        <v/>
      </c>
      <c r="CR5" s="1583">
        <f>Table2[[#This Row],[Column95]]*1.016</f>
        <v/>
      </c>
      <c r="CS5" s="1583">
        <f>Table2[[#This Row],[Column96]]*1.016</f>
        <v/>
      </c>
      <c r="CT5" s="1583">
        <f>Table2[[#This Row],[Column97]]*1.016</f>
        <v/>
      </c>
      <c r="CU5" s="1583">
        <f>Table2[[#This Row],[Column98]]*1.016</f>
        <v/>
      </c>
      <c r="CV5" s="1583">
        <f>Table2[[#This Row],[Column99]]*1.016</f>
        <v/>
      </c>
      <c r="CW5" s="1583">
        <f>Table2[[#This Row],[Column100]]*1.016</f>
        <v/>
      </c>
      <c r="CX5" s="1583">
        <f>Table2[[#This Row],[Column101]]*1.016</f>
        <v/>
      </c>
      <c r="CY5" s="1583">
        <f>Table2[[#This Row],[Column102]]*1.016</f>
        <v/>
      </c>
      <c r="CZ5" s="1583">
        <f>Table2[[#This Row],[Column103]]*1.016</f>
        <v/>
      </c>
      <c r="DA5" s="1583">
        <f>Table2[[#This Row],[Column104]]*1.016</f>
        <v/>
      </c>
      <c r="DB5" s="1583">
        <f>Table2[[#This Row],[Column105]]*1.016</f>
        <v/>
      </c>
      <c r="DC5" s="1583">
        <f>Table2[[#This Row],[Column106]]*1.016</f>
        <v/>
      </c>
      <c r="DD5" s="1583">
        <f>Table2[[#This Row],[Column107]]*1.016</f>
        <v/>
      </c>
      <c r="DE5" s="1583">
        <f>Table2[[#This Row],[Column108]]*1.016</f>
        <v/>
      </c>
      <c r="DF5" s="1602" t="n"/>
      <c r="DG5" s="1616">
        <f>Table2[[#This Row],[Column109]]/1000000000</f>
        <v/>
      </c>
      <c r="DH5" s="1611" t="inlineStr">
        <is>
          <t>1 billion+ influencers by 2034</t>
        </is>
      </c>
    </row>
    <row r="6">
      <c r="A6" s="658" t="n"/>
      <c r="B6" s="658" t="inlineStr">
        <is>
          <t>Brands</t>
        </is>
      </c>
      <c r="C6" s="1602" t="n"/>
      <c r="D6" s="1602" t="n"/>
      <c r="E6" s="1602" t="n"/>
      <c r="F6" s="1610">
        <f>'[5]Monthly User Growth'!C3</f>
        <v/>
      </c>
      <c r="G6" s="1610">
        <f>'[5]Monthly User Growth'!D3</f>
        <v/>
      </c>
      <c r="H6" s="1610">
        <f>'[5]Monthly User Growth'!E3</f>
        <v/>
      </c>
      <c r="I6" s="1610">
        <f>'[5]Monthly User Growth'!F3</f>
        <v/>
      </c>
      <c r="J6" s="1610">
        <f>'[5]Monthly User Growth'!G3</f>
        <v/>
      </c>
      <c r="K6" s="1610">
        <f>'[5]Monthly User Growth'!H3</f>
        <v/>
      </c>
      <c r="L6" s="1610">
        <f>'[5]Monthly User Growth'!I3</f>
        <v/>
      </c>
      <c r="M6" s="1610">
        <f>'[5]Monthly User Growth'!J3</f>
        <v/>
      </c>
      <c r="N6" s="1610">
        <f>'[5]Monthly User Growth'!K3</f>
        <v/>
      </c>
      <c r="O6" s="1610">
        <f>'[5]Monthly User Growth'!L3</f>
        <v/>
      </c>
      <c r="P6" s="1610">
        <f>'[5]Monthly User Growth'!M3</f>
        <v/>
      </c>
      <c r="Q6" s="1610">
        <f>'[5]Monthly User Growth'!N3</f>
        <v/>
      </c>
      <c r="R6" s="1610">
        <f>'[5]Monthly User Growth'!C7</f>
        <v/>
      </c>
      <c r="S6" s="1610">
        <f>'[5]Monthly User Growth'!D7</f>
        <v/>
      </c>
      <c r="T6" s="1610">
        <f>'[5]Monthly User Growth'!E7</f>
        <v/>
      </c>
      <c r="U6" s="1610">
        <f>'[5]Monthly User Growth'!F7</f>
        <v/>
      </c>
      <c r="V6" s="1610">
        <f>'[5]Monthly User Growth'!G7</f>
        <v/>
      </c>
      <c r="W6" s="1610">
        <f>'[5]Monthly User Growth'!H7</f>
        <v/>
      </c>
      <c r="X6" s="1610">
        <f>'[5]Monthly User Growth'!I7</f>
        <v/>
      </c>
      <c r="Y6" s="1610">
        <f>'[5]Monthly User Growth'!J7</f>
        <v/>
      </c>
      <c r="Z6" s="1610">
        <f>'[5]Monthly User Growth'!K7</f>
        <v/>
      </c>
      <c r="AA6" s="1610">
        <f>'[5]Monthly User Growth'!L7</f>
        <v/>
      </c>
      <c r="AB6" s="1610">
        <f>'[5]Monthly User Growth'!M7</f>
        <v/>
      </c>
      <c r="AC6" s="1610">
        <f>'[5]Monthly User Growth'!N7</f>
        <v/>
      </c>
      <c r="AD6" s="1610">
        <f>'[5]Monthly User Growth'!C11</f>
        <v/>
      </c>
      <c r="AE6" s="1610">
        <f>'[5]Monthly User Growth'!D11</f>
        <v/>
      </c>
      <c r="AF6" s="1610">
        <f>'[5]Monthly User Growth'!E11</f>
        <v/>
      </c>
      <c r="AG6" s="1610">
        <f>'[5]Monthly User Growth'!F11</f>
        <v/>
      </c>
      <c r="AH6" s="1610">
        <f>'[5]Monthly User Growth'!G11</f>
        <v/>
      </c>
      <c r="AI6" s="1610">
        <f>'[5]Monthly User Growth'!H11</f>
        <v/>
      </c>
      <c r="AJ6" s="1610">
        <f>'[5]Monthly User Growth'!I11</f>
        <v/>
      </c>
      <c r="AK6" s="1610">
        <f>'[5]Monthly User Growth'!J11</f>
        <v/>
      </c>
      <c r="AL6" s="1610">
        <f>'[5]Monthly User Growth'!K11</f>
        <v/>
      </c>
      <c r="AM6" s="1610">
        <f>'[5]Monthly User Growth'!L11</f>
        <v/>
      </c>
      <c r="AN6" s="1610">
        <f>'[5]Monthly User Growth'!M11</f>
        <v/>
      </c>
      <c r="AO6" s="1610">
        <f>'[5]Monthly User Growth'!N11</f>
        <v/>
      </c>
      <c r="AP6" s="1610">
        <f>'[5]Monthly User Growth'!C15</f>
        <v/>
      </c>
      <c r="AQ6" s="1610">
        <f>'[5]Monthly User Growth'!D15</f>
        <v/>
      </c>
      <c r="AR6" s="1610">
        <f>'[5]Monthly User Growth'!E15</f>
        <v/>
      </c>
      <c r="AS6" s="1610">
        <f>'[5]Monthly User Growth'!F15</f>
        <v/>
      </c>
      <c r="AT6" s="1610">
        <f>'[5]Monthly User Growth'!G15</f>
        <v/>
      </c>
      <c r="AU6" s="1610">
        <f>'[5]Monthly User Growth'!H15</f>
        <v/>
      </c>
      <c r="AV6" s="1610">
        <f>'[5]Monthly User Growth'!I15</f>
        <v/>
      </c>
      <c r="AW6" s="1610">
        <f>'[5]Monthly User Growth'!J15</f>
        <v/>
      </c>
      <c r="AX6" s="1610">
        <f>'[5]Monthly User Growth'!K15</f>
        <v/>
      </c>
      <c r="AY6" s="1610">
        <f>'[5]Monthly User Growth'!L15</f>
        <v/>
      </c>
      <c r="AZ6" s="1610">
        <f>'[5]Monthly User Growth'!M15</f>
        <v/>
      </c>
      <c r="BA6" s="1610">
        <f>'[5]Monthly User Growth'!N15</f>
        <v/>
      </c>
      <c r="BB6" s="1610">
        <f>'[5]Monthly User Growth'!C19</f>
        <v/>
      </c>
      <c r="BC6" s="1610">
        <f>'[5]Monthly User Growth'!D19</f>
        <v/>
      </c>
      <c r="BD6" s="1610">
        <f>'[5]Monthly User Growth'!E19</f>
        <v/>
      </c>
      <c r="BE6" s="1610">
        <f>'[5]Monthly User Growth'!F19</f>
        <v/>
      </c>
      <c r="BF6" s="1610">
        <f>'[5]Monthly User Growth'!G19</f>
        <v/>
      </c>
      <c r="BG6" s="1610">
        <f>'[5]Monthly User Growth'!H19</f>
        <v/>
      </c>
      <c r="BH6" s="1610">
        <f>'[5]Monthly User Growth'!I19</f>
        <v/>
      </c>
      <c r="BI6" s="1610">
        <f>'[5]Monthly User Growth'!J19</f>
        <v/>
      </c>
      <c r="BJ6" s="1610">
        <f>'[5]Monthly User Growth'!K19</f>
        <v/>
      </c>
      <c r="BK6" s="1610">
        <f>'[5]Monthly User Growth'!L19</f>
        <v/>
      </c>
      <c r="BL6" s="1610">
        <f>'[5]Monthly User Growth'!M19</f>
        <v/>
      </c>
      <c r="BM6" s="1610">
        <f>'[5]Monthly User Growth'!N19</f>
        <v/>
      </c>
      <c r="BN6" s="1603">
        <f>Table2[[#This Row],[Column65]]*1.025</f>
        <v/>
      </c>
      <c r="BO6" s="1583">
        <f>Table2[[#This Row],[Column66]]*1.025</f>
        <v/>
      </c>
      <c r="BP6" s="1583">
        <f>Table2[[#This Row],[Column67]]*1.025</f>
        <v/>
      </c>
      <c r="BQ6" s="1583">
        <f>Table2[[#This Row],[Column68]]*1.025</f>
        <v/>
      </c>
      <c r="BR6" s="1583">
        <f>Table2[[#This Row],[Column69]]*1.025</f>
        <v/>
      </c>
      <c r="BS6" s="1583">
        <f>Table2[[#This Row],[Column70]]*1.025</f>
        <v/>
      </c>
      <c r="BT6" s="1583">
        <f>Table2[[#This Row],[Column71]]*1.025</f>
        <v/>
      </c>
      <c r="BU6" s="1583">
        <f>Table2[[#This Row],[Column72]]*1.025</f>
        <v/>
      </c>
      <c r="BV6" s="1583">
        <f>Table2[[#This Row],[Column73]]*1.025</f>
        <v/>
      </c>
      <c r="BW6" s="1583">
        <f>Table2[[#This Row],[Column74]]*1.025</f>
        <v/>
      </c>
      <c r="BX6" s="1583">
        <f>Table2[[#This Row],[Column75]]*1.025</f>
        <v/>
      </c>
      <c r="BY6" s="1583">
        <f>Table2[[#This Row],[Column76]]*1.025</f>
        <v/>
      </c>
      <c r="BZ6" s="1583">
        <f>Table2[[#This Row],[Column77]]*1.025</f>
        <v/>
      </c>
      <c r="CA6" s="1583">
        <f>Table2[[#This Row],[Column78]]*1.025</f>
        <v/>
      </c>
      <c r="CB6" s="1583">
        <f>Table2[[#This Row],[Column79]]*1.025</f>
        <v/>
      </c>
      <c r="CC6" s="1583">
        <f>Table2[[#This Row],[Column80]]*1.025</f>
        <v/>
      </c>
      <c r="CD6" s="1583">
        <f>Table2[[#This Row],[Column81]]*1.025</f>
        <v/>
      </c>
      <c r="CE6" s="1583">
        <f>Table2[[#This Row],[Column82]]*1.025</f>
        <v/>
      </c>
      <c r="CF6" s="1583">
        <f>Table2[[#This Row],[Column83]]*1.025</f>
        <v/>
      </c>
      <c r="CG6" s="1583">
        <f>Table2[[#This Row],[Column84]]*1.025</f>
        <v/>
      </c>
      <c r="CH6" s="1583">
        <f>Table2[[#This Row],[Column85]]*1.025</f>
        <v/>
      </c>
      <c r="CI6" s="1583">
        <f>Table2[[#This Row],[Column86]]*1.025</f>
        <v/>
      </c>
      <c r="CJ6" s="1583">
        <f>Table2[[#This Row],[Column87]]*1.025</f>
        <v/>
      </c>
      <c r="CK6" s="1583">
        <f>Table2[[#This Row],[Column88]]*1.025</f>
        <v/>
      </c>
      <c r="CL6" s="1583">
        <f>Table2[[#This Row],[Column89]]*1.025</f>
        <v/>
      </c>
      <c r="CM6" s="1583">
        <f>Table2[[#This Row],[Column90]]*1.025</f>
        <v/>
      </c>
      <c r="CN6" s="1583">
        <f>Table2[[#This Row],[Column91]]*1.025</f>
        <v/>
      </c>
      <c r="CO6" s="1583">
        <f>Table2[[#This Row],[Column92]]*1.025</f>
        <v/>
      </c>
      <c r="CP6" s="1583">
        <f>Table2[[#This Row],[Column93]]*1.025</f>
        <v/>
      </c>
      <c r="CQ6" s="1583">
        <f>Table2[[#This Row],[Column94]]*1.025</f>
        <v/>
      </c>
      <c r="CR6" s="1583">
        <f>Table2[[#This Row],[Column95]]*1.025</f>
        <v/>
      </c>
      <c r="CS6" s="1583">
        <f>Table2[[#This Row],[Column96]]*1.025</f>
        <v/>
      </c>
      <c r="CT6" s="1583">
        <f>Table2[[#This Row],[Column97]]*1.025</f>
        <v/>
      </c>
      <c r="CU6" s="1583">
        <f>Table2[[#This Row],[Column98]]*1.025</f>
        <v/>
      </c>
      <c r="CV6" s="1583">
        <f>Table2[[#This Row],[Column99]]*1.025</f>
        <v/>
      </c>
      <c r="CW6" s="1583">
        <f>Table2[[#This Row],[Column100]]*1.025</f>
        <v/>
      </c>
      <c r="CX6" s="1583">
        <f>Table2[[#This Row],[Column101]]*1.025</f>
        <v/>
      </c>
      <c r="CY6" s="1583">
        <f>Table2[[#This Row],[Column102]]*1.025</f>
        <v/>
      </c>
      <c r="CZ6" s="1583">
        <f>Table2[[#This Row],[Column103]]*1.025</f>
        <v/>
      </c>
      <c r="DA6" s="1583">
        <f>Table2[[#This Row],[Column104]]*1.025</f>
        <v/>
      </c>
      <c r="DB6" s="1583">
        <f>Table2[[#This Row],[Column105]]*1.025</f>
        <v/>
      </c>
      <c r="DC6" s="1583">
        <f>Table2[[#This Row],[Column106]]*1.025</f>
        <v/>
      </c>
      <c r="DD6" s="1583">
        <f>Table2[[#This Row],[Column107]]*1.025</f>
        <v/>
      </c>
      <c r="DE6" s="1583">
        <f>Table2[[#This Row],[Column108]]*1.025</f>
        <v/>
      </c>
      <c r="DF6" s="1602" t="n"/>
      <c r="DG6" s="1616">
        <f>Table2[[#This Row],[Column109]]/360000000</f>
        <v/>
      </c>
      <c r="DH6" s="1611" t="inlineStr">
        <is>
          <t>360 million companies worldwide - current #s</t>
        </is>
      </c>
    </row>
    <row r="7" customFormat="1" s="1614">
      <c r="A7" s="1611" t="n"/>
      <c r="B7" s="1611" t="inlineStr">
        <is>
          <t>Agencies</t>
        </is>
      </c>
      <c r="C7" s="1612" t="n"/>
      <c r="D7" s="1612" t="n"/>
      <c r="E7" s="1612" t="n"/>
      <c r="F7" s="1610">
        <f>'[5]Monthly User Growth'!C4</f>
        <v/>
      </c>
      <c r="G7" s="1610">
        <f>'[5]Monthly User Growth'!D4</f>
        <v/>
      </c>
      <c r="H7" s="1610">
        <f>'[5]Monthly User Growth'!E4</f>
        <v/>
      </c>
      <c r="I7" s="1610">
        <f>'[5]Monthly User Growth'!F4</f>
        <v/>
      </c>
      <c r="J7" s="1610">
        <f>'[5]Monthly User Growth'!G4</f>
        <v/>
      </c>
      <c r="K7" s="1610">
        <f>'[5]Monthly User Growth'!H4</f>
        <v/>
      </c>
      <c r="L7" s="1610">
        <f>'[5]Monthly User Growth'!I4</f>
        <v/>
      </c>
      <c r="M7" s="1610">
        <f>'[5]Monthly User Growth'!J4</f>
        <v/>
      </c>
      <c r="N7" s="1610">
        <f>'[5]Monthly User Growth'!K4</f>
        <v/>
      </c>
      <c r="O7" s="1610">
        <f>'[5]Monthly User Growth'!L4</f>
        <v/>
      </c>
      <c r="P7" s="1610">
        <f>'[5]Monthly User Growth'!M4</f>
        <v/>
      </c>
      <c r="Q7" s="1610">
        <f>'[5]Monthly User Growth'!N4</f>
        <v/>
      </c>
      <c r="R7" s="1610">
        <f>'[5]Monthly User Growth'!C$8</f>
        <v/>
      </c>
      <c r="S7" s="1610">
        <f>'[5]Monthly User Growth'!D$8</f>
        <v/>
      </c>
      <c r="T7" s="1610">
        <f>'[5]Monthly User Growth'!E$8</f>
        <v/>
      </c>
      <c r="U7" s="1610">
        <f>'[5]Monthly User Growth'!F$8</f>
        <v/>
      </c>
      <c r="V7" s="1610">
        <f>'[5]Monthly User Growth'!G$8</f>
        <v/>
      </c>
      <c r="W7" s="1610">
        <f>'[5]Monthly User Growth'!H$8</f>
        <v/>
      </c>
      <c r="X7" s="1610">
        <f>'[5]Monthly User Growth'!I$8</f>
        <v/>
      </c>
      <c r="Y7" s="1610">
        <f>'[5]Monthly User Growth'!J$8</f>
        <v/>
      </c>
      <c r="Z7" s="1610">
        <f>'[5]Monthly User Growth'!K$8</f>
        <v/>
      </c>
      <c r="AA7" s="1610">
        <f>'[5]Monthly User Growth'!L$8</f>
        <v/>
      </c>
      <c r="AB7" s="1610">
        <f>'[5]Monthly User Growth'!M$8</f>
        <v/>
      </c>
      <c r="AC7" s="1610">
        <f>'[5]Monthly User Growth'!N$8</f>
        <v/>
      </c>
      <c r="AD7" s="1610">
        <f>'[5]Monthly User Growth'!C$12</f>
        <v/>
      </c>
      <c r="AE7" s="1610">
        <f>'[5]Monthly User Growth'!D$12</f>
        <v/>
      </c>
      <c r="AF7" s="1610">
        <f>'[5]Monthly User Growth'!E$12</f>
        <v/>
      </c>
      <c r="AG7" s="1610">
        <f>'[5]Monthly User Growth'!F$12</f>
        <v/>
      </c>
      <c r="AH7" s="1610">
        <f>'[5]Monthly User Growth'!G$12</f>
        <v/>
      </c>
      <c r="AI7" s="1610">
        <f>'[5]Monthly User Growth'!H$12</f>
        <v/>
      </c>
      <c r="AJ7" s="1610">
        <f>'[5]Monthly User Growth'!I$12</f>
        <v/>
      </c>
      <c r="AK7" s="1610">
        <f>'[5]Monthly User Growth'!J$12</f>
        <v/>
      </c>
      <c r="AL7" s="1610">
        <f>'[5]Monthly User Growth'!K$12</f>
        <v/>
      </c>
      <c r="AM7" s="1610">
        <f>'[5]Monthly User Growth'!L$12</f>
        <v/>
      </c>
      <c r="AN7" s="1610">
        <f>'[5]Monthly User Growth'!M$12</f>
        <v/>
      </c>
      <c r="AO7" s="1610">
        <f>'[5]Monthly User Growth'!N$12</f>
        <v/>
      </c>
      <c r="AP7" s="1610">
        <f>'[5]Monthly User Growth'!O$12</f>
        <v/>
      </c>
      <c r="AQ7" s="1610">
        <f>'[5]Monthly User Growth'!D$16</f>
        <v/>
      </c>
      <c r="AR7" s="1610">
        <f>'[5]Monthly User Growth'!E$16</f>
        <v/>
      </c>
      <c r="AS7" s="1610">
        <f>'[5]Monthly User Growth'!F$16</f>
        <v/>
      </c>
      <c r="AT7" s="1610">
        <f>'[5]Monthly User Growth'!G$16</f>
        <v/>
      </c>
      <c r="AU7" s="1610">
        <f>'[5]Monthly User Growth'!H$16</f>
        <v/>
      </c>
      <c r="AV7" s="1610">
        <f>'[5]Monthly User Growth'!I$16</f>
        <v/>
      </c>
      <c r="AW7" s="1610">
        <f>'[5]Monthly User Growth'!J$16</f>
        <v/>
      </c>
      <c r="AX7" s="1610">
        <f>'[5]Monthly User Growth'!K$16</f>
        <v/>
      </c>
      <c r="AY7" s="1610">
        <f>'[5]Monthly User Growth'!L$16</f>
        <v/>
      </c>
      <c r="AZ7" s="1610">
        <f>'[5]Monthly User Growth'!M$16</f>
        <v/>
      </c>
      <c r="BA7" s="1610">
        <f>'[5]Monthly User Growth'!N$16</f>
        <v/>
      </c>
      <c r="BB7" s="1610">
        <f>'[5]Monthly User Growth'!C$20</f>
        <v/>
      </c>
      <c r="BC7" s="1610">
        <f>'[5]Monthly User Growth'!D$20</f>
        <v/>
      </c>
      <c r="BD7" s="1610">
        <f>'[5]Monthly User Growth'!E$20</f>
        <v/>
      </c>
      <c r="BE7" s="1610">
        <f>'[5]Monthly User Growth'!F$20</f>
        <v/>
      </c>
      <c r="BF7" s="1610">
        <f>'[5]Monthly User Growth'!G$20</f>
        <v/>
      </c>
      <c r="BG7" s="1610">
        <f>'[5]Monthly User Growth'!H$20</f>
        <v/>
      </c>
      <c r="BH7" s="1610">
        <f>'[5]Monthly User Growth'!I$20</f>
        <v/>
      </c>
      <c r="BI7" s="1610">
        <f>'[5]Monthly User Growth'!J$20</f>
        <v/>
      </c>
      <c r="BJ7" s="1610">
        <f>'[5]Monthly User Growth'!K$20</f>
        <v/>
      </c>
      <c r="BK7" s="1610">
        <f>'[5]Monthly User Growth'!L$20</f>
        <v/>
      </c>
      <c r="BL7" s="1610">
        <f>'[5]Monthly User Growth'!M$20</f>
        <v/>
      </c>
      <c r="BM7" s="1610">
        <f>'[5]Monthly User Growth'!N$20</f>
        <v/>
      </c>
      <c r="BN7" s="1613">
        <f>Table2[[#This Row],[Column65]]*1.01</f>
        <v/>
      </c>
      <c r="BO7" s="1610">
        <f>Table2[[#This Row],[Column66]]*1.01</f>
        <v/>
      </c>
      <c r="BP7" s="1610">
        <f>Table2[[#This Row],[Column67]]*1.01</f>
        <v/>
      </c>
      <c r="BQ7" s="1610">
        <f>Table2[[#This Row],[Column68]]*1.01</f>
        <v/>
      </c>
      <c r="BR7" s="1610">
        <f>Table2[[#This Row],[Column69]]*1.01</f>
        <v/>
      </c>
      <c r="BS7" s="1610">
        <f>Table2[[#This Row],[Column70]]*1.01</f>
        <v/>
      </c>
      <c r="BT7" s="1610">
        <f>Table2[[#This Row],[Column71]]*1.01</f>
        <v/>
      </c>
      <c r="BU7" s="1610">
        <f>Table2[[#This Row],[Column72]]*1.01</f>
        <v/>
      </c>
      <c r="BV7" s="1610">
        <f>Table2[[#This Row],[Column73]]*1.01</f>
        <v/>
      </c>
      <c r="BW7" s="1610">
        <f>Table2[[#This Row],[Column74]]*1.01</f>
        <v/>
      </c>
      <c r="BX7" s="1610">
        <f>Table2[[#This Row],[Column75]]*1.01</f>
        <v/>
      </c>
      <c r="BY7" s="1610">
        <f>Table2[[#This Row],[Column76]]*1.01</f>
        <v/>
      </c>
      <c r="BZ7" s="1610">
        <f>Table2[[#This Row],[Column77]]*1.01</f>
        <v/>
      </c>
      <c r="CA7" s="1610">
        <f>Table2[[#This Row],[Column78]]*1.01</f>
        <v/>
      </c>
      <c r="CB7" s="1610">
        <f>Table2[[#This Row],[Column79]]*1.01</f>
        <v/>
      </c>
      <c r="CC7" s="1610">
        <f>Table2[[#This Row],[Column80]]*1.01</f>
        <v/>
      </c>
      <c r="CD7" s="1610">
        <f>Table2[[#This Row],[Column81]]*1.01</f>
        <v/>
      </c>
      <c r="CE7" s="1610">
        <f>Table2[[#This Row],[Column82]]*1.01</f>
        <v/>
      </c>
      <c r="CF7" s="1610">
        <f>Table2[[#This Row],[Column83]]*1.01</f>
        <v/>
      </c>
      <c r="CG7" s="1610">
        <f>Table2[[#This Row],[Column84]]*1.01</f>
        <v/>
      </c>
      <c r="CH7" s="1610">
        <f>Table2[[#This Row],[Column85]]*1.01</f>
        <v/>
      </c>
      <c r="CI7" s="1610">
        <f>Table2[[#This Row],[Column86]]*1.01</f>
        <v/>
      </c>
      <c r="CJ7" s="1610">
        <f>Table2[[#This Row],[Column87]]*1.01</f>
        <v/>
      </c>
      <c r="CK7" s="1610">
        <f>Table2[[#This Row],[Column88]]*1.01</f>
        <v/>
      </c>
      <c r="CL7" s="1610">
        <f>Table2[[#This Row],[Column89]]*1.01</f>
        <v/>
      </c>
      <c r="CM7" s="1610">
        <f>Table2[[#This Row],[Column90]]*1.01</f>
        <v/>
      </c>
      <c r="CN7" s="1610">
        <f>Table2[[#This Row],[Column91]]*1.01</f>
        <v/>
      </c>
      <c r="CO7" s="1610">
        <f>Table2[[#This Row],[Column92]]*1.01</f>
        <v/>
      </c>
      <c r="CP7" s="1610">
        <f>Table2[[#This Row],[Column93]]*1.01</f>
        <v/>
      </c>
      <c r="CQ7" s="1610">
        <f>Table2[[#This Row],[Column94]]*1.01</f>
        <v/>
      </c>
      <c r="CR7" s="1610">
        <f>Table2[[#This Row],[Column95]]*1.01</f>
        <v/>
      </c>
      <c r="CS7" s="1610">
        <f>Table2[[#This Row],[Column96]]*1.01</f>
        <v/>
      </c>
      <c r="CT7" s="1610">
        <f>Table2[[#This Row],[Column97]]*1.01</f>
        <v/>
      </c>
      <c r="CU7" s="1610">
        <f>Table2[[#This Row],[Column98]]*1.01</f>
        <v/>
      </c>
      <c r="CV7" s="1610">
        <f>Table2[[#This Row],[Column99]]*1.01</f>
        <v/>
      </c>
      <c r="CW7" s="1610">
        <f>Table2[[#This Row],[Column100]]*1.01</f>
        <v/>
      </c>
      <c r="CX7" s="1610">
        <f>Table2[[#This Row],[Column101]]*1.01</f>
        <v/>
      </c>
      <c r="CY7" s="1610">
        <f>Table2[[#This Row],[Column102]]*1.01</f>
        <v/>
      </c>
      <c r="CZ7" s="1610">
        <f>Table2[[#This Row],[Column103]]*1.01</f>
        <v/>
      </c>
      <c r="DA7" s="1610">
        <f>Table2[[#This Row],[Column104]]*1.01</f>
        <v/>
      </c>
      <c r="DB7" s="1610">
        <f>Table2[[#This Row],[Column105]]*1.01</f>
        <v/>
      </c>
      <c r="DC7" s="1610">
        <f>Table2[[#This Row],[Column106]]*1.01</f>
        <v/>
      </c>
      <c r="DD7" s="1610">
        <f>Table2[[#This Row],[Column107]]*1.01</f>
        <v/>
      </c>
      <c r="DE7" s="1610">
        <f>Table2[[#This Row],[Column108]]*1.01</f>
        <v/>
      </c>
      <c r="DF7" s="1612" t="n"/>
      <c r="DG7" s="1616">
        <f>Table2[[#This Row],[Column109]]/25000</f>
        <v/>
      </c>
      <c r="DH7" s="1611" t="inlineStr">
        <is>
          <t>25000 marketing agencies worldwide</t>
        </is>
      </c>
    </row>
    <row r="8">
      <c r="C8" s="1583" t="n"/>
      <c r="D8" s="1583" t="n"/>
      <c r="E8" s="1583" t="n"/>
      <c r="F8" s="1583" t="n"/>
      <c r="G8" s="1583" t="n"/>
      <c r="H8" s="1583" t="n"/>
      <c r="I8" s="1583" t="n"/>
      <c r="J8" s="1583" t="n"/>
      <c r="K8" s="1583" t="n"/>
      <c r="L8" s="1583" t="n"/>
      <c r="M8" s="1583" t="n"/>
      <c r="N8" s="1583" t="n"/>
      <c r="O8" s="1583" t="n"/>
      <c r="P8" s="1583" t="n"/>
      <c r="Q8" s="1583" t="n"/>
      <c r="R8" s="1583" t="n"/>
      <c r="S8" s="1583" t="n"/>
      <c r="T8" s="1583" t="n"/>
      <c r="U8" s="1583" t="n"/>
      <c r="V8" s="1583" t="n"/>
      <c r="W8" s="1583" t="n"/>
      <c r="X8" s="1583" t="n"/>
      <c r="Y8" s="1583" t="n"/>
      <c r="Z8" s="1583" t="n"/>
      <c r="AA8" s="1583" t="n"/>
      <c r="AB8" s="1583" t="n"/>
      <c r="AC8" s="1583" t="n"/>
      <c r="AD8" s="1583" t="n"/>
      <c r="AE8" s="1583" t="n"/>
      <c r="AF8" s="1583" t="n"/>
      <c r="AG8" s="1583" t="n"/>
      <c r="AH8" s="1583" t="n"/>
      <c r="AI8" s="1583" t="n"/>
      <c r="AJ8" s="1583" t="n"/>
      <c r="AK8" s="1583" t="n"/>
      <c r="AL8" s="1583" t="n"/>
      <c r="AM8" s="1583" t="n"/>
      <c r="AN8" s="1583" t="n"/>
      <c r="AO8" s="1583" t="n"/>
      <c r="AP8" s="1583" t="n"/>
      <c r="AQ8" s="1583" t="n"/>
      <c r="AR8" s="1583" t="n"/>
      <c r="AS8" s="1583" t="n"/>
      <c r="AT8" s="1583" t="n"/>
      <c r="AU8" s="1583" t="n"/>
      <c r="AV8" s="1583" t="n"/>
      <c r="AW8" s="1583" t="n"/>
      <c r="AX8" s="1583" t="n"/>
      <c r="AY8" s="1583" t="n"/>
      <c r="AZ8" s="1583" t="n"/>
      <c r="BA8" s="1583" t="n"/>
      <c r="BB8" s="1583" t="n"/>
      <c r="BC8" s="1583" t="n"/>
      <c r="BD8" s="1583" t="n"/>
      <c r="BE8" s="1583" t="n"/>
      <c r="BF8" s="1583" t="n"/>
      <c r="BG8" s="1583" t="n"/>
      <c r="BH8" s="1583" t="n"/>
      <c r="BI8" s="1583" t="n"/>
      <c r="BJ8" s="1583" t="n"/>
      <c r="BK8" s="1583" t="n"/>
      <c r="BL8" s="1583" t="n"/>
      <c r="BM8" s="1583" t="n"/>
      <c r="BN8" s="1583" t="n"/>
      <c r="BO8" s="1583" t="n"/>
      <c r="BP8" s="1583" t="n"/>
      <c r="BQ8" s="1583" t="n"/>
      <c r="BR8" s="1583" t="n"/>
      <c r="BS8" s="1583" t="n"/>
      <c r="BT8" s="1583" t="n"/>
      <c r="BU8" s="1583" t="n"/>
      <c r="BV8" s="1583" t="n"/>
      <c r="BW8" s="1583" t="n"/>
      <c r="BX8" s="1583" t="n"/>
      <c r="BY8" s="1583" t="n"/>
      <c r="BZ8" s="1583" t="n"/>
      <c r="CA8" s="1583" t="n"/>
      <c r="CB8" s="1583" t="n"/>
      <c r="CC8" s="1583" t="n"/>
      <c r="CD8" s="1583" t="n"/>
      <c r="CE8" s="1583" t="n"/>
      <c r="CF8" s="1583" t="n"/>
      <c r="CG8" s="1583" t="n"/>
      <c r="CH8" s="1583" t="n"/>
      <c r="CI8" s="1583" t="n"/>
      <c r="CJ8" s="1583" t="n"/>
      <c r="CK8" s="1583" t="n"/>
      <c r="CL8" s="1583" t="n"/>
      <c r="CM8" s="1583" t="n"/>
      <c r="CN8" s="1583" t="n"/>
      <c r="CO8" s="1583" t="n"/>
      <c r="CP8" s="1583" t="n"/>
      <c r="CQ8" s="1583" t="n"/>
      <c r="CR8" s="1583" t="n"/>
      <c r="CS8" s="1583" t="n"/>
      <c r="CT8" s="1583" t="n"/>
      <c r="CU8" s="1583" t="n"/>
      <c r="CV8" s="1583" t="n"/>
      <c r="CW8" s="1583" t="n"/>
      <c r="CX8" s="1583" t="n"/>
      <c r="CY8" s="1583" t="n"/>
      <c r="CZ8" s="1583" t="n"/>
      <c r="DA8" s="1583" t="n"/>
      <c r="DB8" s="1583" t="n"/>
      <c r="DC8" s="1583" t="n"/>
      <c r="DD8" s="1583" t="n"/>
      <c r="DE8" s="1583" t="n"/>
      <c r="DG8" s="1616" t="n"/>
      <c r="DH8" s="1611" t="n"/>
    </row>
    <row r="9">
      <c r="A9" s="658" t="inlineStr">
        <is>
          <t>CPG Model</t>
        </is>
      </c>
      <c r="B9" s="658" t="inlineStr">
        <is>
          <t>Phones</t>
        </is>
      </c>
      <c r="C9" s="1602" t="n"/>
      <c r="D9" s="1602" t="n"/>
      <c r="E9" s="1602" t="n"/>
      <c r="F9" s="1583" t="n"/>
      <c r="G9" s="1583" t="n"/>
      <c r="H9" s="1583" t="n"/>
      <c r="I9" s="1583" t="n"/>
      <c r="J9" s="1583">
        <f>'10. CPG Projections'!B5</f>
        <v/>
      </c>
      <c r="K9" s="1583">
        <f>'10. CPG Projections'!C5</f>
        <v/>
      </c>
      <c r="L9" s="1583">
        <f>'10. CPG Projections'!D5</f>
        <v/>
      </c>
      <c r="M9" s="1583">
        <f>'10. CPG Projections'!E5</f>
        <v/>
      </c>
      <c r="N9" s="1583">
        <f>'10. CPG Projections'!F5</f>
        <v/>
      </c>
      <c r="O9" s="1583">
        <f>'10. CPG Projections'!G5</f>
        <v/>
      </c>
      <c r="P9" s="1583">
        <f>'10. CPG Projections'!H5</f>
        <v/>
      </c>
      <c r="Q9" s="1583">
        <f>'10. CPG Projections'!I5</f>
        <v/>
      </c>
      <c r="R9" s="1583">
        <f>'10. CPG Projections'!J5</f>
        <v/>
      </c>
      <c r="S9" s="1583">
        <f>'10. CPG Projections'!K5</f>
        <v/>
      </c>
      <c r="T9" s="1583">
        <f>'10. CPG Projections'!M5</f>
        <v/>
      </c>
      <c r="U9" s="1583">
        <f>'10. CPG Projections'!O5</f>
        <v/>
      </c>
      <c r="V9" s="1583">
        <f>'10. CPG Projections'!P5</f>
        <v/>
      </c>
      <c r="W9" s="1583">
        <f>'10. CPG Projections'!Q5</f>
        <v/>
      </c>
      <c r="X9" s="1583">
        <f>'10. CPG Projections'!R5</f>
        <v/>
      </c>
      <c r="Y9" s="1583">
        <f>'10. CPG Projections'!S5</f>
        <v/>
      </c>
      <c r="Z9" s="1583">
        <f>'10. CPG Projections'!T5</f>
        <v/>
      </c>
      <c r="AA9" s="1583">
        <f>'10. CPG Projections'!U5</f>
        <v/>
      </c>
      <c r="AB9" s="1583">
        <f>'10. CPG Projections'!V5</f>
        <v/>
      </c>
      <c r="AC9" s="1583">
        <f>'10. CPG Projections'!W5</f>
        <v/>
      </c>
      <c r="AD9" s="1583">
        <f>'10. CPG Projections'!X5</f>
        <v/>
      </c>
      <c r="AE9" s="1583">
        <f>'10. CPG Projections'!Y5</f>
        <v/>
      </c>
      <c r="AF9" s="1583">
        <f>'10. CPG Projections'!Z5</f>
        <v/>
      </c>
      <c r="AG9" s="1583">
        <f>'10. CPG Projections'!AB5</f>
        <v/>
      </c>
      <c r="AH9" s="1583">
        <f>'10. CPG Projections'!AC5</f>
        <v/>
      </c>
      <c r="AI9" s="1583">
        <f>'10. CPG Projections'!AD5</f>
        <v/>
      </c>
      <c r="AJ9" s="1583">
        <f>'10. CPG Projections'!AE5</f>
        <v/>
      </c>
      <c r="AK9" s="1583">
        <f>'10. CPG Projections'!AF5</f>
        <v/>
      </c>
      <c r="AL9" s="1583">
        <f>'10. CPG Projections'!AG5</f>
        <v/>
      </c>
      <c r="AM9" s="1583">
        <f>'10. CPG Projections'!AH5</f>
        <v/>
      </c>
      <c r="AN9" s="1583">
        <f>'10. CPG Projections'!AI5</f>
        <v/>
      </c>
      <c r="AO9" s="1583">
        <f>'10. CPG Projections'!AJ5</f>
        <v/>
      </c>
      <c r="AP9" s="1583">
        <f>'10. CPG Projections'!AK5</f>
        <v/>
      </c>
      <c r="AQ9" s="1583">
        <f>'10. CPG Projections'!AL5</f>
        <v/>
      </c>
      <c r="AR9" s="1583">
        <f>'10. CPG Projections'!AM5</f>
        <v/>
      </c>
      <c r="AS9" s="1583">
        <f>'10. CPG Projections'!AO5</f>
        <v/>
      </c>
      <c r="AT9" s="1583">
        <f>'10. CPG Projections'!AP5</f>
        <v/>
      </c>
      <c r="AU9" s="1583">
        <f>'10. CPG Projections'!AQ5</f>
        <v/>
      </c>
      <c r="AV9" s="1583">
        <f>'10. CPG Projections'!AR5</f>
        <v/>
      </c>
      <c r="AW9" s="1583">
        <f>'10. CPG Projections'!AS5</f>
        <v/>
      </c>
      <c r="AX9" s="1583">
        <f>'10. CPG Projections'!AT5</f>
        <v/>
      </c>
      <c r="AY9" s="1583">
        <f>'10. CPG Projections'!AU5</f>
        <v/>
      </c>
      <c r="AZ9" s="1583">
        <f>'10. CPG Projections'!AV5</f>
        <v/>
      </c>
      <c r="BA9" s="1583">
        <f>'10. CPG Projections'!AW5</f>
        <v/>
      </c>
      <c r="BB9" s="1583">
        <f>'10. CPG Projections'!AX5</f>
        <v/>
      </c>
      <c r="BC9" s="1583">
        <f>'10. CPG Projections'!AY5</f>
        <v/>
      </c>
      <c r="BD9" s="1583">
        <f>'10. CPG Projections'!AZ5</f>
        <v/>
      </c>
      <c r="BE9" s="1583">
        <f>'10. CPG Projections'!BB5</f>
        <v/>
      </c>
      <c r="BF9" s="1583">
        <f>'10. CPG Projections'!BC5</f>
        <v/>
      </c>
      <c r="BG9" s="1583">
        <f>'10. CPG Projections'!BD5</f>
        <v/>
      </c>
      <c r="BH9" s="1583">
        <f>'10. CPG Projections'!BE5</f>
        <v/>
      </c>
      <c r="BI9" s="1583">
        <f>'10. CPG Projections'!BF5</f>
        <v/>
      </c>
      <c r="BJ9" s="1583">
        <f>'10. CPG Projections'!BG5</f>
        <v/>
      </c>
      <c r="BK9" s="1583">
        <f>'10. CPG Projections'!BH5</f>
        <v/>
      </c>
      <c r="BL9" s="1583">
        <f>'10. CPG Projections'!BI5</f>
        <v/>
      </c>
      <c r="BM9" s="1583">
        <f>'10. CPG Projections'!BJ5</f>
        <v/>
      </c>
      <c r="BN9" s="1583">
        <f>'10. CPG Projections'!BK5</f>
        <v/>
      </c>
      <c r="BO9" s="1583">
        <f>'10. CPG Projections'!BL5</f>
        <v/>
      </c>
      <c r="BP9" s="1583">
        <f>'10. CPG Projections'!BM5</f>
        <v/>
      </c>
      <c r="BQ9" s="1603">
        <f>Table2[[#This Row],[Column68]]*1.025</f>
        <v/>
      </c>
      <c r="BR9" s="1583">
        <f>Table2[[#This Row],[Column69]]*1.025</f>
        <v/>
      </c>
      <c r="BS9" s="1583">
        <f>Table2[[#This Row],[Column70]]*1.025</f>
        <v/>
      </c>
      <c r="BT9" s="1583">
        <f>Table2[[#This Row],[Column71]]*1.025</f>
        <v/>
      </c>
      <c r="BU9" s="1583">
        <f>Table2[[#This Row],[Column72]]*1.025</f>
        <v/>
      </c>
      <c r="BV9" s="1583">
        <f>Table2[[#This Row],[Column73]]*1.025</f>
        <v/>
      </c>
      <c r="BW9" s="1583">
        <f>Table2[[#This Row],[Column74]]*1.025</f>
        <v/>
      </c>
      <c r="BX9" s="1583">
        <f>Table2[[#This Row],[Column75]]*1.025</f>
        <v/>
      </c>
      <c r="BY9" s="1583">
        <f>Table2[[#This Row],[Column76]]*1.025</f>
        <v/>
      </c>
      <c r="BZ9" s="1583">
        <f>Table2[[#This Row],[Column77]]*1.025</f>
        <v/>
      </c>
      <c r="CA9" s="1583">
        <f>Table2[[#This Row],[Column78]]*1.025</f>
        <v/>
      </c>
      <c r="CB9" s="1583">
        <f>Table2[[#This Row],[Column79]]*1.025</f>
        <v/>
      </c>
      <c r="CC9" s="1583">
        <f>Table2[[#This Row],[Column80]]*1.025</f>
        <v/>
      </c>
      <c r="CD9" s="1583">
        <f>Table2[[#This Row],[Column81]]*1.025</f>
        <v/>
      </c>
      <c r="CE9" s="1583">
        <f>Table2[[#This Row],[Column82]]*1.025</f>
        <v/>
      </c>
      <c r="CF9" s="1583">
        <f>Table2[[#This Row],[Column83]]*1.025</f>
        <v/>
      </c>
      <c r="CG9" s="1583">
        <f>Table2[[#This Row],[Column84]]*1.025</f>
        <v/>
      </c>
      <c r="CH9" s="1583">
        <f>Table2[[#This Row],[Column85]]*1.025</f>
        <v/>
      </c>
      <c r="CI9" s="1583">
        <f>Table2[[#This Row],[Column86]]*1.025</f>
        <v/>
      </c>
      <c r="CJ9" s="1583">
        <f>Table2[[#This Row],[Column87]]*1.025</f>
        <v/>
      </c>
      <c r="CK9" s="1583">
        <f>Table2[[#This Row],[Column88]]*1.025</f>
        <v/>
      </c>
      <c r="CL9" s="1583">
        <f>Table2[[#This Row],[Column89]]*1.025</f>
        <v/>
      </c>
      <c r="CM9" s="1583">
        <f>Table2[[#This Row],[Column90]]*1.025</f>
        <v/>
      </c>
      <c r="CN9" s="1583">
        <f>Table2[[#This Row],[Column91]]*1.025</f>
        <v/>
      </c>
      <c r="CO9" s="1583">
        <f>Table2[[#This Row],[Column92]]*1.025</f>
        <v/>
      </c>
      <c r="CP9" s="1583">
        <f>Table2[[#This Row],[Column93]]*1.025</f>
        <v/>
      </c>
      <c r="CQ9" s="1583">
        <f>Table2[[#This Row],[Column94]]*1.025</f>
        <v/>
      </c>
      <c r="CR9" s="1583">
        <f>Table2[[#This Row],[Column95]]*1.025</f>
        <v/>
      </c>
      <c r="CS9" s="1583">
        <f>Table2[[#This Row],[Column96]]*1.025</f>
        <v/>
      </c>
      <c r="CT9" s="1583">
        <f>Table2[[#This Row],[Column97]]*1.025</f>
        <v/>
      </c>
      <c r="CU9" s="1583">
        <f>Table2[[#This Row],[Column98]]*1.025</f>
        <v/>
      </c>
      <c r="CV9" s="1583">
        <f>Table2[[#This Row],[Column99]]*1.025</f>
        <v/>
      </c>
      <c r="CW9" s="1583">
        <f>Table2[[#This Row],[Column100]]*1.025</f>
        <v/>
      </c>
      <c r="CX9" s="1583">
        <f>Table2[[#This Row],[Column101]]*1.025</f>
        <v/>
      </c>
      <c r="CY9" s="1583">
        <f>Table2[[#This Row],[Column102]]*1.025</f>
        <v/>
      </c>
      <c r="CZ9" s="1583">
        <f>Table2[[#This Row],[Column103]]*1.025</f>
        <v/>
      </c>
      <c r="DA9" s="1583">
        <f>Table2[[#This Row],[Column104]]*1.025</f>
        <v/>
      </c>
      <c r="DB9" s="1583">
        <f>Table2[[#This Row],[Column105]]*1.025</f>
        <v/>
      </c>
      <c r="DC9" s="1583">
        <f>Table2[[#This Row],[Column106]]*1.025</f>
        <v/>
      </c>
      <c r="DD9" s="1583">
        <f>Table2[[#This Row],[Column107]]*1.025</f>
        <v/>
      </c>
      <c r="DE9" s="1583">
        <f>Table2[[#This Row],[Column108]]*1.025</f>
        <v/>
      </c>
      <c r="DF9" s="1602" t="n"/>
      <c r="DG9" s="1616">
        <f>Table2[[#This Row],[Column109]]/5000000000</f>
        <v/>
      </c>
      <c r="DH9" s="1611" t="inlineStr">
        <is>
          <t>5 billion smart phone users worldwide - current numbers</t>
        </is>
      </c>
    </row>
    <row r="10">
      <c r="A10" s="658" t="n"/>
      <c r="B10" s="658" t="inlineStr">
        <is>
          <t>Brands</t>
        </is>
      </c>
      <c r="C10" s="1602" t="n"/>
      <c r="D10" s="1602" t="n"/>
      <c r="E10" s="1602" t="n"/>
      <c r="F10" s="1583" t="n"/>
      <c r="G10" s="1583" t="n"/>
      <c r="H10" s="1583" t="n"/>
      <c r="I10" s="1583" t="n"/>
      <c r="J10" s="1583">
        <f>'10. CPG Projections'!B6</f>
        <v/>
      </c>
      <c r="K10" s="1583">
        <f>'10. CPG Projections'!C6</f>
        <v/>
      </c>
      <c r="L10" s="1583">
        <f>'10. CPG Projections'!D6</f>
        <v/>
      </c>
      <c r="M10" s="1583">
        <f>'10. CPG Projections'!E6</f>
        <v/>
      </c>
      <c r="N10" s="1583">
        <f>'10. CPG Projections'!F6</f>
        <v/>
      </c>
      <c r="O10" s="1583">
        <f>'10. CPG Projections'!G6</f>
        <v/>
      </c>
      <c r="P10" s="1583">
        <f>'10. CPG Projections'!H6</f>
        <v/>
      </c>
      <c r="Q10" s="1583">
        <f>'10. CPG Projections'!I6</f>
        <v/>
      </c>
      <c r="R10" s="1583">
        <f>'10. CPG Projections'!J6</f>
        <v/>
      </c>
      <c r="S10" s="1583">
        <f>'10. CPG Projections'!K6</f>
        <v/>
      </c>
      <c r="T10" s="1583">
        <f>'10. CPG Projections'!M6</f>
        <v/>
      </c>
      <c r="U10" s="1583">
        <f>'10. CPG Projections'!O6</f>
        <v/>
      </c>
      <c r="V10" s="1583">
        <f>'10. CPG Projections'!P6</f>
        <v/>
      </c>
      <c r="W10" s="1583">
        <f>'10. CPG Projections'!Q6</f>
        <v/>
      </c>
      <c r="X10" s="1583">
        <f>'10. CPG Projections'!R6</f>
        <v/>
      </c>
      <c r="Y10" s="1583">
        <f>'10. CPG Projections'!S6</f>
        <v/>
      </c>
      <c r="Z10" s="1583">
        <f>'10. CPG Projections'!T6</f>
        <v/>
      </c>
      <c r="AA10" s="1583">
        <f>'10. CPG Projections'!U6</f>
        <v/>
      </c>
      <c r="AB10" s="1583">
        <f>'10. CPG Projections'!V6</f>
        <v/>
      </c>
      <c r="AC10" s="1583">
        <f>'10. CPG Projections'!W6</f>
        <v/>
      </c>
      <c r="AD10" s="1583">
        <f>'10. CPG Projections'!X6</f>
        <v/>
      </c>
      <c r="AE10" s="1583">
        <f>'10. CPG Projections'!Y6</f>
        <v/>
      </c>
      <c r="AF10" s="1583">
        <f>'10. CPG Projections'!Z6</f>
        <v/>
      </c>
      <c r="AG10" s="1583">
        <f>'10. CPG Projections'!AB6</f>
        <v/>
      </c>
      <c r="AH10" s="1583">
        <f>'10. CPG Projections'!AC6</f>
        <v/>
      </c>
      <c r="AI10" s="1583">
        <f>'10. CPG Projections'!AD6</f>
        <v/>
      </c>
      <c r="AJ10" s="1583">
        <f>'10. CPG Projections'!AE6</f>
        <v/>
      </c>
      <c r="AK10" s="1583">
        <f>'10. CPG Projections'!AF6</f>
        <v/>
      </c>
      <c r="AL10" s="1583">
        <f>'10. CPG Projections'!AG6</f>
        <v/>
      </c>
      <c r="AM10" s="1583">
        <f>'10. CPG Projections'!AH6</f>
        <v/>
      </c>
      <c r="AN10" s="1583">
        <f>'10. CPG Projections'!AI6</f>
        <v/>
      </c>
      <c r="AO10" s="1583">
        <f>'10. CPG Projections'!AJ6</f>
        <v/>
      </c>
      <c r="AP10" s="1583">
        <f>'10. CPG Projections'!AK6</f>
        <v/>
      </c>
      <c r="AQ10" s="1583">
        <f>'10. CPG Projections'!AL6</f>
        <v/>
      </c>
      <c r="AR10" s="1583">
        <f>'10. CPG Projections'!AM6</f>
        <v/>
      </c>
      <c r="AS10" s="1583">
        <f>'10. CPG Projections'!AO6</f>
        <v/>
      </c>
      <c r="AT10" s="1583">
        <f>'10. CPG Projections'!AP6</f>
        <v/>
      </c>
      <c r="AU10" s="1583">
        <f>'10. CPG Projections'!AQ6</f>
        <v/>
      </c>
      <c r="AV10" s="1583">
        <f>'10. CPG Projections'!AR6</f>
        <v/>
      </c>
      <c r="AW10" s="1583">
        <f>'10. CPG Projections'!AS6</f>
        <v/>
      </c>
      <c r="AX10" s="1583">
        <f>'10. CPG Projections'!AT6</f>
        <v/>
      </c>
      <c r="AY10" s="1583">
        <f>'10. CPG Projections'!AU6</f>
        <v/>
      </c>
      <c r="AZ10" s="1583">
        <f>'10. CPG Projections'!AV6</f>
        <v/>
      </c>
      <c r="BA10" s="1583">
        <f>'10. CPG Projections'!AW6</f>
        <v/>
      </c>
      <c r="BB10" s="1583">
        <f>'10. CPG Projections'!AX6</f>
        <v/>
      </c>
      <c r="BC10" s="1583">
        <f>'10. CPG Projections'!AY6</f>
        <v/>
      </c>
      <c r="BD10" s="1583">
        <f>'10. CPG Projections'!AZ6</f>
        <v/>
      </c>
      <c r="BE10" s="1583">
        <f>'10. CPG Projections'!BB6</f>
        <v/>
      </c>
      <c r="BF10" s="1583">
        <f>'10. CPG Projections'!BC6</f>
        <v/>
      </c>
      <c r="BG10" s="1583">
        <f>'10. CPG Projections'!BD6</f>
        <v/>
      </c>
      <c r="BH10" s="1583">
        <f>'10. CPG Projections'!BE6</f>
        <v/>
      </c>
      <c r="BI10" s="1583">
        <f>'10. CPG Projections'!BF6</f>
        <v/>
      </c>
      <c r="BJ10" s="1583">
        <f>'10. CPG Projections'!BG6</f>
        <v/>
      </c>
      <c r="BK10" s="1583">
        <f>'10. CPG Projections'!BH6</f>
        <v/>
      </c>
      <c r="BL10" s="1583">
        <f>'10. CPG Projections'!BI6</f>
        <v/>
      </c>
      <c r="BM10" s="1583">
        <f>'10. CPG Projections'!BJ6</f>
        <v/>
      </c>
      <c r="BN10" s="1583">
        <f>'10. CPG Projections'!BK6</f>
        <v/>
      </c>
      <c r="BO10" s="1583">
        <f>'10. CPG Projections'!BL6</f>
        <v/>
      </c>
      <c r="BP10" s="1583">
        <f>'10. CPG Projections'!BM6</f>
        <v/>
      </c>
      <c r="BQ10" s="1603">
        <f>Table2[[#This Row],[Column68]]*1.025</f>
        <v/>
      </c>
      <c r="BR10" s="1583">
        <f>Table2[[#This Row],[Column69]]*1.025</f>
        <v/>
      </c>
      <c r="BS10" s="1583">
        <f>Table2[[#This Row],[Column70]]*1.025</f>
        <v/>
      </c>
      <c r="BT10" s="1583">
        <f>Table2[[#This Row],[Column71]]*1.025</f>
        <v/>
      </c>
      <c r="BU10" s="1583">
        <f>Table2[[#This Row],[Column72]]*1.025</f>
        <v/>
      </c>
      <c r="BV10" s="1583">
        <f>Table2[[#This Row],[Column73]]*1.025</f>
        <v/>
      </c>
      <c r="BW10" s="1583">
        <f>Table2[[#This Row],[Column74]]*1.025</f>
        <v/>
      </c>
      <c r="BX10" s="1583">
        <f>Table2[[#This Row],[Column75]]*1.025</f>
        <v/>
      </c>
      <c r="BY10" s="1583">
        <f>Table2[[#This Row],[Column76]]*1.025</f>
        <v/>
      </c>
      <c r="BZ10" s="1583">
        <f>Table2[[#This Row],[Column77]]*1.025</f>
        <v/>
      </c>
      <c r="CA10" s="1583">
        <f>Table2[[#This Row],[Column78]]*1.025</f>
        <v/>
      </c>
      <c r="CB10" s="1583">
        <f>Table2[[#This Row],[Column79]]*1.025</f>
        <v/>
      </c>
      <c r="CC10" s="1583">
        <f>Table2[[#This Row],[Column80]]*1.025</f>
        <v/>
      </c>
      <c r="CD10" s="1583">
        <f>Table2[[#This Row],[Column81]]*1.025</f>
        <v/>
      </c>
      <c r="CE10" s="1583">
        <f>Table2[[#This Row],[Column82]]*1.025</f>
        <v/>
      </c>
      <c r="CF10" s="1583">
        <f>Table2[[#This Row],[Column83]]*1.025</f>
        <v/>
      </c>
      <c r="CG10" s="1583">
        <f>Table2[[#This Row],[Column84]]*1.025</f>
        <v/>
      </c>
      <c r="CH10" s="1583">
        <f>Table2[[#This Row],[Column85]]*1.025</f>
        <v/>
      </c>
      <c r="CI10" s="1583">
        <f>Table2[[#This Row],[Column86]]*1.025</f>
        <v/>
      </c>
      <c r="CJ10" s="1583">
        <f>Table2[[#This Row],[Column87]]*1.025</f>
        <v/>
      </c>
      <c r="CK10" s="1583">
        <f>Table2[[#This Row],[Column88]]*1.025</f>
        <v/>
      </c>
      <c r="CL10" s="1583">
        <f>Table2[[#This Row],[Column89]]*1.025</f>
        <v/>
      </c>
      <c r="CM10" s="1583">
        <f>Table2[[#This Row],[Column90]]*1.025</f>
        <v/>
      </c>
      <c r="CN10" s="1583">
        <f>Table2[[#This Row],[Column91]]*1.025</f>
        <v/>
      </c>
      <c r="CO10" s="1583">
        <f>Table2[[#This Row],[Column92]]*1.025</f>
        <v/>
      </c>
      <c r="CP10" s="1583">
        <f>Table2[[#This Row],[Column93]]*1.025</f>
        <v/>
      </c>
      <c r="CQ10" s="1583">
        <f>Table2[[#This Row],[Column94]]*1.025</f>
        <v/>
      </c>
      <c r="CR10" s="1583">
        <f>Table2[[#This Row],[Column95]]*1.025</f>
        <v/>
      </c>
      <c r="CS10" s="1583">
        <f>Table2[[#This Row],[Column96]]*1.025</f>
        <v/>
      </c>
      <c r="CT10" s="1583">
        <f>Table2[[#This Row],[Column97]]*1.025</f>
        <v/>
      </c>
      <c r="CU10" s="1583">
        <f>Table2[[#This Row],[Column98]]*1.025</f>
        <v/>
      </c>
      <c r="CV10" s="1583">
        <f>Table2[[#This Row],[Column99]]*1.025</f>
        <v/>
      </c>
      <c r="CW10" s="1583">
        <f>Table2[[#This Row],[Column100]]*1.025</f>
        <v/>
      </c>
      <c r="CX10" s="1583">
        <f>Table2[[#This Row],[Column101]]*1.025</f>
        <v/>
      </c>
      <c r="CY10" s="1583">
        <f>Table2[[#This Row],[Column102]]*1.025</f>
        <v/>
      </c>
      <c r="CZ10" s="1583">
        <f>Table2[[#This Row],[Column103]]*1.025</f>
        <v/>
      </c>
      <c r="DA10" s="1583">
        <f>Table2[[#This Row],[Column104]]*1.025</f>
        <v/>
      </c>
      <c r="DB10" s="1583">
        <f>Table2[[#This Row],[Column105]]*1.025</f>
        <v/>
      </c>
      <c r="DC10" s="1583">
        <f>Table2[[#This Row],[Column106]]*1.025</f>
        <v/>
      </c>
      <c r="DD10" s="1583">
        <f>Table2[[#This Row],[Column107]]*1.025</f>
        <v/>
      </c>
      <c r="DE10" s="1583">
        <f>Table2[[#This Row],[Column108]]*1.025</f>
        <v/>
      </c>
      <c r="DF10" s="1602" t="n"/>
      <c r="DG10" s="1616">
        <f>Table2[[#This Row],[Column109]]/100000</f>
        <v/>
      </c>
      <c r="DH10" s="1611" t="inlineStr">
        <is>
          <t>100,000 CPG BRANDS currently</t>
        </is>
      </c>
    </row>
    <row r="11">
      <c r="C11" s="1583" t="n"/>
      <c r="D11" s="1583" t="n"/>
      <c r="E11" s="1583" t="n"/>
      <c r="F11" s="1583" t="n"/>
      <c r="G11" s="1583" t="n"/>
      <c r="H11" s="1583" t="n"/>
      <c r="I11" s="1583" t="n"/>
      <c r="J11" s="1583" t="n"/>
      <c r="K11" s="1583" t="n"/>
      <c r="L11" s="1583" t="n"/>
      <c r="M11" s="1583" t="n"/>
      <c r="N11" s="1583" t="n"/>
      <c r="O11" s="1583" t="n"/>
      <c r="P11" s="1583" t="n"/>
      <c r="Q11" s="1583" t="n"/>
      <c r="R11" s="1583" t="n"/>
      <c r="S11" s="1583" t="n"/>
      <c r="T11" s="1583" t="n"/>
      <c r="U11" s="1583" t="n"/>
      <c r="V11" s="1583" t="n"/>
      <c r="W11" s="1583" t="n"/>
      <c r="X11" s="1583" t="n"/>
      <c r="Y11" s="1583" t="n"/>
      <c r="Z11" s="1583" t="n"/>
      <c r="AA11" s="1583" t="n"/>
      <c r="AB11" s="1583" t="n"/>
      <c r="AC11" s="1583" t="n"/>
      <c r="AD11" s="1583" t="n"/>
      <c r="AE11" s="1583" t="n"/>
      <c r="AF11" s="1583" t="n"/>
      <c r="AG11" s="1583" t="n"/>
      <c r="AH11" s="1583" t="n"/>
      <c r="AI11" s="1583" t="n"/>
      <c r="AJ11" s="1583" t="n"/>
      <c r="AK11" s="1583" t="n"/>
      <c r="AL11" s="1583" t="n"/>
      <c r="AM11" s="1583" t="n"/>
      <c r="AN11" s="1583" t="n"/>
      <c r="AO11" s="1583" t="n"/>
      <c r="AP11" s="1583" t="n"/>
      <c r="AQ11" s="1583" t="n"/>
      <c r="AR11" s="1583" t="n"/>
      <c r="AS11" s="1583" t="n"/>
      <c r="AT11" s="1583" t="n"/>
      <c r="AU11" s="1583" t="n"/>
      <c r="AV11" s="1583" t="n"/>
      <c r="AW11" s="1583" t="n"/>
      <c r="AX11" s="1583" t="n"/>
      <c r="AY11" s="1583" t="n"/>
      <c r="AZ11" s="1583" t="n"/>
      <c r="BA11" s="1583" t="n"/>
      <c r="BB11" s="1583" t="n"/>
      <c r="BC11" s="1583" t="n"/>
      <c r="BD11" s="1583" t="n"/>
      <c r="BE11" s="1583" t="n"/>
      <c r="BF11" s="1583" t="n"/>
      <c r="BG11" s="1583" t="n"/>
      <c r="BH11" s="1583" t="n"/>
      <c r="BI11" s="1583" t="n"/>
      <c r="BJ11" s="1583" t="n"/>
      <c r="BK11" s="1583" t="n"/>
      <c r="BL11" s="1583" t="n"/>
      <c r="BM11" s="1583" t="n"/>
      <c r="BN11" s="1583" t="n"/>
      <c r="BO11" s="1583" t="n"/>
      <c r="BP11" s="1583" t="n"/>
      <c r="BQ11" s="1583" t="n"/>
      <c r="BR11" s="1583" t="n"/>
      <c r="BS11" s="1583" t="n"/>
      <c r="BT11" s="1583" t="n"/>
      <c r="BU11" s="1583" t="n"/>
      <c r="BV11" s="1583" t="n"/>
      <c r="BW11" s="1583" t="n"/>
      <c r="BX11" s="1583" t="n"/>
      <c r="BY11" s="1583" t="n"/>
      <c r="BZ11" s="1583" t="n"/>
      <c r="CA11" s="1583" t="n"/>
      <c r="CB11" s="1583" t="n"/>
      <c r="CC11" s="1583" t="n"/>
      <c r="CD11" s="1583" t="n"/>
      <c r="CE11" s="1583" t="n"/>
      <c r="CF11" s="1583" t="n"/>
      <c r="CG11" s="1583" t="n"/>
      <c r="CH11" s="1583" t="n"/>
      <c r="CI11" s="1583" t="n"/>
      <c r="CJ11" s="1583" t="n"/>
      <c r="CK11" s="1583" t="n"/>
      <c r="CL11" s="1583" t="n"/>
      <c r="CM11" s="1583" t="n"/>
      <c r="CN11" s="1583" t="n"/>
      <c r="CO11" s="1583" t="n"/>
      <c r="CP11" s="1583" t="n"/>
      <c r="CQ11" s="1583" t="n"/>
      <c r="CR11" s="1583" t="n"/>
      <c r="CS11" s="1583" t="n"/>
      <c r="CT11" s="1583" t="n"/>
      <c r="CU11" s="1583" t="n"/>
      <c r="CV11" s="1583" t="n"/>
      <c r="CW11" s="1583" t="n"/>
      <c r="CX11" s="1583" t="n"/>
      <c r="CY11" s="1583" t="n"/>
      <c r="CZ11" s="1583" t="n"/>
      <c r="DA11" s="1583" t="n"/>
      <c r="DB11" s="1583" t="n"/>
      <c r="DC11" s="1583" t="n"/>
      <c r="DD11" s="1583" t="n"/>
      <c r="DE11" s="1583" t="n"/>
      <c r="DG11" s="1616" t="n"/>
      <c r="DH11" s="1611" t="n"/>
    </row>
    <row r="12">
      <c r="A12" s="658" t="inlineStr">
        <is>
          <t>Camera Commerce</t>
        </is>
      </c>
      <c r="B12" s="658" t="inlineStr">
        <is>
          <t>App Users</t>
        </is>
      </c>
      <c r="C12" s="1602" t="n"/>
      <c r="D12" s="1602" t="n"/>
      <c r="E12" s="1602" t="n"/>
      <c r="F12" s="1583" t="n"/>
      <c r="G12" s="1583" t="n"/>
      <c r="H12" s="1583" t="n"/>
      <c r="I12" s="1583" t="n"/>
      <c r="J12" s="1583" t="n"/>
      <c r="K12" s="1583">
        <f>'9. Camera Commerce'!B2</f>
        <v/>
      </c>
      <c r="L12" s="1583">
        <f>'9. Camera Commerce'!C2</f>
        <v/>
      </c>
      <c r="M12" s="1583">
        <f>'9. Camera Commerce'!D2</f>
        <v/>
      </c>
      <c r="N12" s="1583">
        <f>'9. Camera Commerce'!E2</f>
        <v/>
      </c>
      <c r="O12" s="1583">
        <f>'9. Camera Commerce'!F2</f>
        <v/>
      </c>
      <c r="P12" s="1583">
        <f>'9. Camera Commerce'!G2</f>
        <v/>
      </c>
      <c r="Q12" s="1583">
        <f>'9. Camera Commerce'!H2</f>
        <v/>
      </c>
      <c r="R12" s="1583">
        <f>'9. Camera Commerce'!I2</f>
        <v/>
      </c>
      <c r="S12" s="1583">
        <f>'9. Camera Commerce'!J2</f>
        <v/>
      </c>
      <c r="T12" s="1583">
        <f>'9. Camera Commerce'!K2</f>
        <v/>
      </c>
      <c r="U12" s="1583">
        <f>'9. Camera Commerce'!L2</f>
        <v/>
      </c>
      <c r="V12" s="1583">
        <f>'9. Camera Commerce'!M2</f>
        <v/>
      </c>
      <c r="W12" s="1583">
        <f>'9. Camera Commerce'!O2</f>
        <v/>
      </c>
      <c r="X12" s="1583">
        <f>'9. Camera Commerce'!P2</f>
        <v/>
      </c>
      <c r="Y12" s="1583">
        <f>'9. Camera Commerce'!Q2</f>
        <v/>
      </c>
      <c r="Z12" s="1583">
        <f>'9. Camera Commerce'!R2</f>
        <v/>
      </c>
      <c r="AA12" s="1583">
        <f>'9. Camera Commerce'!S2</f>
        <v/>
      </c>
      <c r="AB12" s="1583">
        <f>'9. Camera Commerce'!T2</f>
        <v/>
      </c>
      <c r="AC12" s="1583">
        <f>'9. Camera Commerce'!U2</f>
        <v/>
      </c>
      <c r="AD12" s="1583">
        <f>'9. Camera Commerce'!V2</f>
        <v/>
      </c>
      <c r="AE12" s="1583">
        <f>'9. Camera Commerce'!W2</f>
        <v/>
      </c>
      <c r="AF12" s="1583">
        <f>'9. Camera Commerce'!X2</f>
        <v/>
      </c>
      <c r="AG12" s="1583">
        <f>'9. Camera Commerce'!Y2</f>
        <v/>
      </c>
      <c r="AH12" s="1583">
        <f>'9. Camera Commerce'!Z2</f>
        <v/>
      </c>
      <c r="AI12" s="1583">
        <f>'9. Camera Commerce'!AB2</f>
        <v/>
      </c>
      <c r="AJ12" s="1583">
        <f>'9. Camera Commerce'!AC2</f>
        <v/>
      </c>
      <c r="AK12" s="1583">
        <f>'9. Camera Commerce'!AD2</f>
        <v/>
      </c>
      <c r="AL12" s="1583">
        <f>'9. Camera Commerce'!AE2</f>
        <v/>
      </c>
      <c r="AM12" s="1583">
        <f>'9. Camera Commerce'!AF2</f>
        <v/>
      </c>
      <c r="AN12" s="1583">
        <f>'9. Camera Commerce'!AG2</f>
        <v/>
      </c>
      <c r="AO12" s="1583">
        <f>'9. Camera Commerce'!AH2</f>
        <v/>
      </c>
      <c r="AP12" s="1583">
        <f>'9. Camera Commerce'!AI2</f>
        <v/>
      </c>
      <c r="AQ12" s="1583">
        <f>'9. Camera Commerce'!AJ2</f>
        <v/>
      </c>
      <c r="AR12" s="1583">
        <f>'9. Camera Commerce'!AK2</f>
        <v/>
      </c>
      <c r="AS12" s="1583">
        <f>'9. Camera Commerce'!AL2</f>
        <v/>
      </c>
      <c r="AT12" s="1583">
        <f>'9. Camera Commerce'!AM2</f>
        <v/>
      </c>
      <c r="AU12" s="1583">
        <f>'9. Camera Commerce'!AO2</f>
        <v/>
      </c>
      <c r="AV12" s="1583">
        <f>'9. Camera Commerce'!AP2</f>
        <v/>
      </c>
      <c r="AW12" s="1583">
        <f>'9. Camera Commerce'!AQ2</f>
        <v/>
      </c>
      <c r="AX12" s="1583">
        <f>'9. Camera Commerce'!AR2</f>
        <v/>
      </c>
      <c r="AY12" s="1583">
        <f>'9. Camera Commerce'!AS2</f>
        <v/>
      </c>
      <c r="AZ12" s="1583">
        <f>'9. Camera Commerce'!AT2</f>
        <v/>
      </c>
      <c r="BA12" s="1583">
        <f>'9. Camera Commerce'!AU2</f>
        <v/>
      </c>
      <c r="BB12" s="1583">
        <f>'9. Camera Commerce'!AV2</f>
        <v/>
      </c>
      <c r="BC12" s="1583">
        <f>'9. Camera Commerce'!AW2</f>
        <v/>
      </c>
      <c r="BD12" s="1583">
        <f>'9. Camera Commerce'!AX2</f>
        <v/>
      </c>
      <c r="BE12" s="1583">
        <f>'9. Camera Commerce'!AY2</f>
        <v/>
      </c>
      <c r="BF12" s="1583">
        <f>'9. Camera Commerce'!AZ2</f>
        <v/>
      </c>
      <c r="BG12" s="1583">
        <f>'9. Camera Commerce'!BB2</f>
        <v/>
      </c>
      <c r="BH12" s="1583">
        <f>'9. Camera Commerce'!BC2</f>
        <v/>
      </c>
      <c r="BI12" s="1583">
        <f>'9. Camera Commerce'!BD2</f>
        <v/>
      </c>
      <c r="BJ12" s="1583">
        <f>'9. Camera Commerce'!BE2</f>
        <v/>
      </c>
      <c r="BK12" s="1583">
        <f>'9. Camera Commerce'!BF2</f>
        <v/>
      </c>
      <c r="BL12" s="1583">
        <f>'9. Camera Commerce'!BG2</f>
        <v/>
      </c>
      <c r="BM12" s="1583">
        <f>'9. Camera Commerce'!BH2</f>
        <v/>
      </c>
      <c r="BN12" s="1583">
        <f>'9. Camera Commerce'!BI2</f>
        <v/>
      </c>
      <c r="BO12" s="1583">
        <f>'9. Camera Commerce'!BJ2</f>
        <v/>
      </c>
      <c r="BP12" s="1583">
        <f>'9. Camera Commerce'!BK2</f>
        <v/>
      </c>
      <c r="BQ12" s="1583">
        <f>'9. Camera Commerce'!BL2</f>
        <v/>
      </c>
      <c r="BR12" s="1583">
        <f>'9. Camera Commerce'!BM2</f>
        <v/>
      </c>
      <c r="BS12" s="1603">
        <f>Table2[[#This Row],[Column70]]*1.025</f>
        <v/>
      </c>
      <c r="BT12" s="1583">
        <f>Table2[[#This Row],[Column71]]*1.025</f>
        <v/>
      </c>
      <c r="BU12" s="1583">
        <f>Table2[[#This Row],[Column72]]*1.025</f>
        <v/>
      </c>
      <c r="BV12" s="1583">
        <f>Table2[[#This Row],[Column73]]*1.025</f>
        <v/>
      </c>
      <c r="BW12" s="1583">
        <f>Table2[[#This Row],[Column74]]*1.025</f>
        <v/>
      </c>
      <c r="BX12" s="1583">
        <f>Table2[[#This Row],[Column75]]*1.025</f>
        <v/>
      </c>
      <c r="BY12" s="1583">
        <f>Table2[[#This Row],[Column76]]*1.025</f>
        <v/>
      </c>
      <c r="BZ12" s="1583">
        <f>Table2[[#This Row],[Column77]]*1.025</f>
        <v/>
      </c>
      <c r="CA12" s="1583">
        <f>Table2[[#This Row],[Column78]]*1.025</f>
        <v/>
      </c>
      <c r="CB12" s="1583">
        <f>Table2[[#This Row],[Column79]]*1.025</f>
        <v/>
      </c>
      <c r="CC12" s="1583">
        <f>Table2[[#This Row],[Column80]]*1.025</f>
        <v/>
      </c>
      <c r="CD12" s="1583">
        <f>Table2[[#This Row],[Column81]]*1.025</f>
        <v/>
      </c>
      <c r="CE12" s="1583">
        <f>Table2[[#This Row],[Column82]]*1.025</f>
        <v/>
      </c>
      <c r="CF12" s="1583">
        <f>Table2[[#This Row],[Column83]]*1.025</f>
        <v/>
      </c>
      <c r="CG12" s="1583">
        <f>Table2[[#This Row],[Column84]]*1.025</f>
        <v/>
      </c>
      <c r="CH12" s="1583">
        <f>Table2[[#This Row],[Column85]]*1.025</f>
        <v/>
      </c>
      <c r="CI12" s="1583">
        <f>Table2[[#This Row],[Column86]]*1.025</f>
        <v/>
      </c>
      <c r="CJ12" s="1583">
        <f>Table2[[#This Row],[Column87]]*1.025</f>
        <v/>
      </c>
      <c r="CK12" s="1583">
        <f>Table2[[#This Row],[Column88]]*1.025</f>
        <v/>
      </c>
      <c r="CL12" s="1583">
        <f>Table2[[#This Row],[Column89]]*1.025</f>
        <v/>
      </c>
      <c r="CM12" s="1583">
        <f>Table2[[#This Row],[Column90]]*1.025</f>
        <v/>
      </c>
      <c r="CN12" s="1583">
        <f>Table2[[#This Row],[Column91]]*1.025</f>
        <v/>
      </c>
      <c r="CO12" s="1583">
        <f>Table2[[#This Row],[Column92]]*1.025</f>
        <v/>
      </c>
      <c r="CP12" s="1583">
        <f>Table2[[#This Row],[Column93]]*1.025</f>
        <v/>
      </c>
      <c r="CQ12" s="1583">
        <f>Table2[[#This Row],[Column94]]*1.025</f>
        <v/>
      </c>
      <c r="CR12" s="1583">
        <f>Table2[[#This Row],[Column95]]*1.025</f>
        <v/>
      </c>
      <c r="CS12" s="1583">
        <f>Table2[[#This Row],[Column96]]*1.025</f>
        <v/>
      </c>
      <c r="CT12" s="1583">
        <f>Table2[[#This Row],[Column97]]*1.025</f>
        <v/>
      </c>
      <c r="CU12" s="1583">
        <f>Table2[[#This Row],[Column98]]*1.025</f>
        <v/>
      </c>
      <c r="CV12" s="1583">
        <f>Table2[[#This Row],[Column99]]*1.025</f>
        <v/>
      </c>
      <c r="CW12" s="1583">
        <f>Table2[[#This Row],[Column100]]*1.025</f>
        <v/>
      </c>
      <c r="CX12" s="1583">
        <f>Table2[[#This Row],[Column101]]*1.025</f>
        <v/>
      </c>
      <c r="CY12" s="1583">
        <f>Table2[[#This Row],[Column102]]*1.025</f>
        <v/>
      </c>
      <c r="CZ12" s="1583">
        <f>Table2[[#This Row],[Column103]]*1.025</f>
        <v/>
      </c>
      <c r="DA12" s="1583">
        <f>Table2[[#This Row],[Column104]]*1.025</f>
        <v/>
      </c>
      <c r="DB12" s="1583">
        <f>Table2[[#This Row],[Column105]]*1.025</f>
        <v/>
      </c>
      <c r="DC12" s="1583">
        <f>Table2[[#This Row],[Column106]]*1.025</f>
        <v/>
      </c>
      <c r="DD12" s="1583">
        <f>Table2[[#This Row],[Column107]]*1.025</f>
        <v/>
      </c>
      <c r="DE12" s="1583">
        <f>Table2[[#This Row],[Column108]]*1.025</f>
        <v/>
      </c>
      <c r="DF12" s="1602" t="n"/>
      <c r="DG12" s="1616">
        <f>Table2[[#This Row],[Column109]]/8291000000</f>
        <v/>
      </c>
      <c r="DH12" s="1611" t="inlineStr">
        <is>
          <t xml:space="preserve">8 billion+ people worldwide </t>
        </is>
      </c>
    </row>
    <row r="13">
      <c r="A13" s="658" t="n"/>
      <c r="B13" s="658" t="inlineStr">
        <is>
          <t>Brands</t>
        </is>
      </c>
      <c r="C13" s="1602" t="n"/>
      <c r="D13" s="1602" t="n"/>
      <c r="E13" s="1602" t="n"/>
      <c r="F13" s="1583" t="n"/>
      <c r="G13" s="1583" t="n"/>
      <c r="H13" s="1583" t="n"/>
      <c r="I13" s="1583" t="n"/>
      <c r="J13" s="1583" t="n"/>
      <c r="K13" s="1583" t="n"/>
      <c r="L13" s="1583" t="n"/>
      <c r="M13" s="1583" t="n"/>
      <c r="N13" s="1583" t="n"/>
      <c r="O13" s="1583" t="n"/>
      <c r="P13" s="1583" t="n"/>
      <c r="Q13" s="1583" t="n"/>
      <c r="R13" s="1583" t="n"/>
      <c r="S13" s="1583" t="n"/>
      <c r="T13" s="1583" t="n"/>
      <c r="U13" s="1583" t="n"/>
      <c r="V13" s="1583" t="n"/>
      <c r="W13" s="1583" t="n"/>
      <c r="X13" s="1583" t="n"/>
      <c r="Y13" s="1583" t="n"/>
      <c r="Z13" s="1583" t="n"/>
      <c r="AA13" s="1583" t="n"/>
      <c r="AB13" s="1583" t="n"/>
      <c r="AC13" s="1583" t="n"/>
      <c r="AD13" s="1583" t="n"/>
      <c r="AE13" s="1583" t="n"/>
      <c r="AF13" s="1583" t="n"/>
      <c r="AG13" s="1583" t="n"/>
      <c r="AH13" s="1583" t="n"/>
      <c r="AI13" s="1583" t="n"/>
      <c r="AJ13" s="1583" t="n"/>
      <c r="AK13" s="1583" t="n"/>
      <c r="AL13" s="1583" t="n"/>
      <c r="AM13" s="1583" t="n"/>
      <c r="AN13" s="1583" t="n"/>
      <c r="AO13" s="1583" t="n"/>
      <c r="AP13" s="1583" t="n"/>
      <c r="AQ13" s="1583" t="n"/>
      <c r="AR13" s="1583" t="n"/>
      <c r="AS13" s="1583" t="n"/>
      <c r="AT13" s="1583" t="n"/>
      <c r="AU13" s="1583" t="n"/>
      <c r="AV13" s="1583" t="n"/>
      <c r="AW13" s="1583" t="n"/>
      <c r="AX13" s="1583" t="n"/>
      <c r="AY13" s="1583" t="n"/>
      <c r="AZ13" s="1583" t="n"/>
      <c r="BA13" s="1583" t="n"/>
      <c r="BB13" s="1583" t="n"/>
      <c r="BC13" s="1583" t="n"/>
      <c r="BD13" s="1583" t="n"/>
      <c r="BE13" s="1583" t="n"/>
      <c r="BF13" s="1583" t="n"/>
      <c r="BG13" s="1583" t="n"/>
      <c r="BH13" s="1583" t="n"/>
      <c r="BI13" s="1583" t="n"/>
      <c r="BJ13" s="1583" t="n"/>
      <c r="BK13" s="1583" t="n"/>
      <c r="BL13" s="1583" t="n"/>
      <c r="BM13" s="1583" t="n"/>
      <c r="BN13" s="1583" t="n"/>
      <c r="BO13" s="1583" t="n"/>
      <c r="BP13" s="1583" t="n"/>
      <c r="BQ13" s="1583" t="n"/>
      <c r="BR13" s="1583" t="n"/>
      <c r="BS13" s="1583" t="n"/>
      <c r="BT13" s="1583" t="n"/>
      <c r="BU13" s="1583" t="n"/>
      <c r="BV13" s="1583" t="n"/>
      <c r="BW13" s="1583" t="n"/>
      <c r="BX13" s="1583" t="n"/>
      <c r="BY13" s="1583" t="n"/>
      <c r="BZ13" s="1583" t="n"/>
      <c r="CA13" s="1583" t="n"/>
      <c r="CB13" s="1583" t="n"/>
      <c r="CC13" s="1583" t="n"/>
      <c r="CD13" s="1583" t="n"/>
      <c r="CE13" s="1583" t="n"/>
      <c r="CF13" s="1583" t="n"/>
      <c r="CG13" s="1583" t="n"/>
      <c r="CH13" s="1583" t="n"/>
      <c r="CI13" s="1583" t="n"/>
      <c r="CJ13" s="1583" t="n"/>
      <c r="CK13" s="1583" t="n"/>
      <c r="CL13" s="1583" t="n"/>
      <c r="CM13" s="1583" t="n"/>
      <c r="CN13" s="1583" t="n"/>
      <c r="CO13" s="1583" t="n"/>
      <c r="CP13" s="1583" t="n"/>
      <c r="CQ13" s="1583" t="n"/>
      <c r="CR13" s="1583" t="n"/>
      <c r="CS13" s="1583" t="n"/>
      <c r="CT13" s="1583" t="n"/>
      <c r="CU13" s="1583" t="n"/>
      <c r="CV13" s="1583" t="n"/>
      <c r="CW13" s="1583" t="n"/>
      <c r="CX13" s="1583" t="n"/>
      <c r="CY13" s="1583" t="n"/>
      <c r="CZ13" s="1583" t="n"/>
      <c r="DA13" s="1583" t="n"/>
      <c r="DB13" s="1583" t="n"/>
      <c r="DC13" s="1583" t="n"/>
      <c r="DD13" s="1583" t="n"/>
      <c r="DE13" s="1583" t="n"/>
      <c r="DF13" s="1602" t="n"/>
      <c r="DG13" s="1616" t="n"/>
      <c r="DH13" s="1611" t="n"/>
    </row>
    <row r="14">
      <c r="C14" s="1583" t="n"/>
      <c r="D14" s="1583" t="n"/>
      <c r="E14" s="1583" t="n"/>
      <c r="F14" s="1583" t="n"/>
      <c r="G14" s="1583" t="n"/>
      <c r="H14" s="1583" t="n"/>
      <c r="I14" s="1583" t="n"/>
      <c r="J14" s="1583" t="n"/>
      <c r="K14" s="1583" t="n"/>
      <c r="L14" s="1583" t="n"/>
      <c r="M14" s="1583" t="n"/>
      <c r="N14" s="1583" t="n"/>
      <c r="O14" s="1583" t="n"/>
      <c r="P14" s="1583" t="n"/>
      <c r="Q14" s="1583" t="n"/>
      <c r="R14" s="1583" t="n"/>
      <c r="S14" s="1583" t="n"/>
      <c r="T14" s="1583" t="n"/>
      <c r="U14" s="1583" t="n"/>
      <c r="V14" s="1583" t="n"/>
      <c r="W14" s="1583" t="n"/>
      <c r="X14" s="1583" t="n"/>
      <c r="Y14" s="1583" t="n"/>
      <c r="Z14" s="1583" t="n"/>
      <c r="AA14" s="1583" t="n"/>
      <c r="AB14" s="1583" t="n"/>
      <c r="AC14" s="1583" t="n"/>
      <c r="AD14" s="1583" t="n"/>
      <c r="AE14" s="1583" t="n"/>
      <c r="AF14" s="1583" t="n"/>
      <c r="AG14" s="1583" t="n"/>
      <c r="AH14" s="1583" t="n"/>
      <c r="AI14" s="1583" t="n"/>
      <c r="AJ14" s="1583" t="n"/>
      <c r="AK14" s="1583" t="n"/>
      <c r="AL14" s="1583" t="n"/>
      <c r="AM14" s="1583" t="n"/>
      <c r="AN14" s="1583" t="n"/>
      <c r="AO14" s="1583" t="n"/>
      <c r="AP14" s="1583" t="n"/>
      <c r="AQ14" s="1583" t="n"/>
      <c r="AR14" s="1583" t="n"/>
      <c r="AS14" s="1583" t="n"/>
      <c r="AT14" s="1583" t="n"/>
      <c r="AU14" s="1583" t="n"/>
      <c r="AV14" s="1583" t="n"/>
      <c r="AW14" s="1583" t="n"/>
      <c r="AX14" s="1583" t="n"/>
      <c r="AY14" s="1583" t="n"/>
      <c r="AZ14" s="1583" t="n"/>
      <c r="BA14" s="1583" t="n"/>
      <c r="BB14" s="1583" t="n"/>
      <c r="BC14" s="1583" t="n"/>
      <c r="BD14" s="1583" t="n"/>
      <c r="BE14" s="1583" t="n"/>
      <c r="BF14" s="1583" t="n"/>
      <c r="BG14" s="1583" t="n"/>
      <c r="BH14" s="1583" t="n"/>
      <c r="BI14" s="1583" t="n"/>
      <c r="BJ14" s="1583" t="n"/>
      <c r="BK14" s="1583" t="n"/>
      <c r="BL14" s="1583" t="n"/>
      <c r="BM14" s="1583" t="n"/>
      <c r="BN14" s="1583" t="n"/>
      <c r="BO14" s="1583" t="n"/>
      <c r="BP14" s="1583" t="n"/>
      <c r="BQ14" s="1583" t="n"/>
      <c r="BR14" s="1583" t="n"/>
      <c r="BS14" s="1583" t="n"/>
      <c r="BT14" s="1583" t="n"/>
      <c r="BU14" s="1583" t="n"/>
      <c r="BV14" s="1583" t="n"/>
      <c r="BW14" s="1583" t="n"/>
      <c r="BX14" s="1583" t="n"/>
      <c r="BY14" s="1583" t="n"/>
      <c r="BZ14" s="1583" t="n"/>
      <c r="CA14" s="1583" t="n"/>
      <c r="CB14" s="1583" t="n"/>
      <c r="CC14" s="1583" t="n"/>
      <c r="CD14" s="1583" t="n"/>
      <c r="CE14" s="1583" t="n"/>
      <c r="CF14" s="1583" t="n"/>
      <c r="CG14" s="1583" t="n"/>
      <c r="CH14" s="1583" t="n"/>
      <c r="CI14" s="1583" t="n"/>
      <c r="CJ14" s="1583" t="n"/>
      <c r="CK14" s="1583" t="n"/>
      <c r="CL14" s="1583" t="n"/>
      <c r="CM14" s="1583" t="n"/>
      <c r="CN14" s="1583" t="n"/>
      <c r="CO14" s="1583" t="n"/>
      <c r="CP14" s="1583" t="n"/>
      <c r="CQ14" s="1583" t="n"/>
      <c r="CR14" s="1583" t="n"/>
      <c r="CS14" s="1583" t="n"/>
      <c r="CT14" s="1583" t="n"/>
      <c r="CU14" s="1583" t="n"/>
      <c r="CV14" s="1583" t="n"/>
      <c r="CW14" s="1583" t="n"/>
      <c r="CX14" s="1583" t="n"/>
      <c r="CY14" s="1583" t="n"/>
      <c r="CZ14" s="1583" t="n"/>
      <c r="DA14" s="1583" t="n"/>
      <c r="DB14" s="1583" t="n"/>
      <c r="DC14" s="1583" t="n"/>
      <c r="DD14" s="1583" t="n"/>
      <c r="DE14" s="1583" t="n"/>
      <c r="DG14" s="1616" t="n"/>
      <c r="DH14" s="1611" t="n"/>
    </row>
    <row r="15">
      <c r="A15" s="658" t="inlineStr">
        <is>
          <t>Core Model</t>
        </is>
      </c>
      <c r="B15" s="658" t="inlineStr">
        <is>
          <t>Phones</t>
        </is>
      </c>
      <c r="C15" s="1602" t="n"/>
      <c r="D15" s="1602" t="n"/>
      <c r="E15" s="1602" t="n"/>
      <c r="F15" s="1583" t="n"/>
      <c r="G15" s="1583" t="n"/>
      <c r="H15" s="1583" t="n"/>
      <c r="I15" s="1583" t="n"/>
      <c r="J15" s="1583" t="n"/>
      <c r="K15" s="1583" t="n"/>
      <c r="L15" s="1583" t="n"/>
      <c r="M15" s="1583" t="n"/>
      <c r="N15" s="1583" t="n"/>
      <c r="O15" s="1583">
        <f>'3C. Tel. - Revenue Drivers - 1 '!J75</f>
        <v/>
      </c>
      <c r="P15" s="1583">
        <f>'3C. Tel. - Revenue Drivers - 1 '!K75</f>
        <v/>
      </c>
      <c r="Q15" s="1583">
        <f>'3C. Tel. - Revenue Drivers - 1 '!L75</f>
        <v/>
      </c>
      <c r="R15" s="1583">
        <f>'3C. Tel. - Revenue Drivers - 1 '!M75</f>
        <v/>
      </c>
      <c r="S15" s="1583">
        <f>'3C. Tel. - Revenue Drivers - 1 '!N75</f>
        <v/>
      </c>
      <c r="T15" s="1583">
        <f>'3C. Tel. - Revenue Drivers - 1 '!O75</f>
        <v/>
      </c>
      <c r="U15" s="1583">
        <f>'3C. Tel. - Revenue Drivers - 1 '!P75</f>
        <v/>
      </c>
      <c r="V15" s="1583">
        <f>'3C. Tel. - Revenue Drivers - 1 '!Q75</f>
        <v/>
      </c>
      <c r="W15" s="1583">
        <f>'3C. Tel. - Revenue Drivers - 1 '!R75</f>
        <v/>
      </c>
      <c r="X15" s="1583">
        <f>'3C. Tel. - Revenue Drivers - 1 '!S75</f>
        <v/>
      </c>
      <c r="Y15" s="1583">
        <f>'3C. Tel. - Revenue Drivers - 1 '!T75</f>
        <v/>
      </c>
      <c r="Z15" s="1583">
        <f>'3C. Tel. - Revenue Drivers - 1 '!U75</f>
        <v/>
      </c>
      <c r="AA15" s="1583">
        <f>'3C. Tel. - Revenue Drivers - 1 '!J93</f>
        <v/>
      </c>
      <c r="AB15" s="1583">
        <f>'3C. Tel. - Revenue Drivers - 1 '!K93</f>
        <v/>
      </c>
      <c r="AC15" s="1583">
        <f>'3C. Tel. - Revenue Drivers - 1 '!L93</f>
        <v/>
      </c>
      <c r="AD15" s="1583">
        <f>'3C. Tel. - Revenue Drivers - 1 '!M93</f>
        <v/>
      </c>
      <c r="AE15" s="1583">
        <f>'3C. Tel. - Revenue Drivers - 1 '!N93</f>
        <v/>
      </c>
      <c r="AF15" s="1583">
        <f>'3C. Tel. - Revenue Drivers - 1 '!O93</f>
        <v/>
      </c>
      <c r="AG15" s="1583">
        <f>'3C. Tel. - Revenue Drivers - 1 '!P93</f>
        <v/>
      </c>
      <c r="AH15" s="1583">
        <f>'3C. Tel. - Revenue Drivers - 1 '!Q93</f>
        <v/>
      </c>
      <c r="AI15" s="1583">
        <f>'3C. Tel. - Revenue Drivers - 1 '!R93</f>
        <v/>
      </c>
      <c r="AJ15" s="1583">
        <f>'3C. Tel. - Revenue Drivers - 1 '!S93</f>
        <v/>
      </c>
      <c r="AK15" s="1583">
        <f>'3C. Tel. - Revenue Drivers - 1 '!T93</f>
        <v/>
      </c>
      <c r="AL15" s="1583">
        <f>'3C. Tel. - Revenue Drivers - 1 '!U93</f>
        <v/>
      </c>
      <c r="AM15" s="1583">
        <f>'3C. Tel. - Revenue Drivers - 1 '!J111</f>
        <v/>
      </c>
      <c r="AN15" s="1583">
        <f>'3C. Tel. - Revenue Drivers - 1 '!K111</f>
        <v/>
      </c>
      <c r="AO15" s="1583">
        <f>'3C. Tel. - Revenue Drivers - 1 '!L111</f>
        <v/>
      </c>
      <c r="AP15" s="1583">
        <f>'3C. Tel. - Revenue Drivers - 1 '!M111</f>
        <v/>
      </c>
      <c r="AQ15" s="1583">
        <f>'3C. Tel. - Revenue Drivers - 1 '!N111</f>
        <v/>
      </c>
      <c r="AR15" s="1583">
        <f>'3C. Tel. - Revenue Drivers - 1 '!O111</f>
        <v/>
      </c>
      <c r="AS15" s="1583">
        <f>'3C. Tel. - Revenue Drivers - 1 '!P111</f>
        <v/>
      </c>
      <c r="AT15" s="1583">
        <f>'3C. Tel. - Revenue Drivers - 1 '!Q111</f>
        <v/>
      </c>
      <c r="AU15" s="1583">
        <f>'3C. Tel. - Revenue Drivers - 1 '!R111</f>
        <v/>
      </c>
      <c r="AV15" s="1583">
        <f>'3C. Tel. - Revenue Drivers - 1 '!S111</f>
        <v/>
      </c>
      <c r="AW15" s="1583">
        <f>'3C. Tel. - Revenue Drivers - 1 '!T111</f>
        <v/>
      </c>
      <c r="AX15" s="1583">
        <f>'3C. Tel. - Revenue Drivers - 1 '!U111</f>
        <v/>
      </c>
      <c r="AY15" s="1583">
        <f>'3C. Tel. - Revenue Drivers - 1 '!J129</f>
        <v/>
      </c>
      <c r="AZ15" s="1583">
        <f>'3C. Tel. - Revenue Drivers - 1 '!K129</f>
        <v/>
      </c>
      <c r="BA15" s="1583">
        <f>'3C. Tel. - Revenue Drivers - 1 '!L129</f>
        <v/>
      </c>
      <c r="BB15" s="1583">
        <f>'3C. Tel. - Revenue Drivers - 1 '!M129</f>
        <v/>
      </c>
      <c r="BC15" s="1583">
        <f>'3C. Tel. - Revenue Drivers - 1 '!N129</f>
        <v/>
      </c>
      <c r="BD15" s="1583">
        <f>'3C. Tel. - Revenue Drivers - 1 '!O129</f>
        <v/>
      </c>
      <c r="BE15" s="1583">
        <f>'3C. Tel. - Revenue Drivers - 1 '!P129</f>
        <v/>
      </c>
      <c r="BF15" s="1583">
        <f>'3C. Tel. - Revenue Drivers - 1 '!Q129</f>
        <v/>
      </c>
      <c r="BG15" s="1583">
        <f>'3C. Tel. - Revenue Drivers - 1 '!R129</f>
        <v/>
      </c>
      <c r="BH15" s="1583">
        <f>'3C. Tel. - Revenue Drivers - 1 '!S129</f>
        <v/>
      </c>
      <c r="BI15" s="1583">
        <f>'3C. Tel. - Revenue Drivers - 1 '!T129</f>
        <v/>
      </c>
      <c r="BJ15" s="1583">
        <f>'3C. Tel. - Revenue Drivers - 1 '!U129</f>
        <v/>
      </c>
      <c r="BK15" s="1583">
        <f>'3C. Tel. - Revenue Drivers - 1 '!J147</f>
        <v/>
      </c>
      <c r="BL15" s="1583">
        <f>'3C. Tel. - Revenue Drivers - 1 '!K147</f>
        <v/>
      </c>
      <c r="BM15" s="1583">
        <f>'3C. Tel. - Revenue Drivers - 1 '!L147</f>
        <v/>
      </c>
      <c r="BN15" s="1583">
        <f>'3C. Tel. - Revenue Drivers - 1 '!M147</f>
        <v/>
      </c>
      <c r="BO15" s="1583">
        <f>'3C. Tel. - Revenue Drivers - 1 '!N147</f>
        <v/>
      </c>
      <c r="BP15" s="1583">
        <f>'3C. Tel. - Revenue Drivers - 1 '!O147</f>
        <v/>
      </c>
      <c r="BQ15" s="1583">
        <f>'3C. Tel. - Revenue Drivers - 1 '!P147</f>
        <v/>
      </c>
      <c r="BR15" s="1583">
        <f>'3C. Tel. - Revenue Drivers - 1 '!Q147</f>
        <v/>
      </c>
      <c r="BS15" s="1583">
        <f>'3C. Tel. - Revenue Drivers - 1 '!R147</f>
        <v/>
      </c>
      <c r="BT15" s="1583">
        <f>'3C. Tel. - Revenue Drivers - 1 '!S147</f>
        <v/>
      </c>
      <c r="BU15" s="1583">
        <f>'3C. Tel. - Revenue Drivers - 1 '!T147</f>
        <v/>
      </c>
      <c r="BV15" s="1583">
        <f>'3C. Tel. - Revenue Drivers - 1 '!U147</f>
        <v/>
      </c>
      <c r="BW15" s="1583">
        <f>'3C. Tel. - Revenue Drivers - 1 '!J165</f>
        <v/>
      </c>
      <c r="BX15" s="1583">
        <f>'3C. Tel. - Revenue Drivers - 1 '!K165</f>
        <v/>
      </c>
      <c r="BY15" s="1583">
        <f>'3C. Tel. - Revenue Drivers - 1 '!L165</f>
        <v/>
      </c>
      <c r="BZ15" s="1583">
        <f>'3C. Tel. - Revenue Drivers - 1 '!M165</f>
        <v/>
      </c>
      <c r="CA15" s="1583">
        <f>'3C. Tel. - Revenue Drivers - 1 '!N165</f>
        <v/>
      </c>
      <c r="CB15" s="1583">
        <f>'3C. Tel. - Revenue Drivers - 1 '!O165</f>
        <v/>
      </c>
      <c r="CC15" s="1583">
        <f>'3C. Tel. - Revenue Drivers - 1 '!P165</f>
        <v/>
      </c>
      <c r="CD15" s="1583">
        <f>'3C. Tel. - Revenue Drivers - 1 '!Q165</f>
        <v/>
      </c>
      <c r="CE15" s="1583">
        <f>'3C. Tel. - Revenue Drivers - 1 '!R165</f>
        <v/>
      </c>
      <c r="CF15" s="1583">
        <f>'3C. Tel. - Revenue Drivers - 1 '!S165</f>
        <v/>
      </c>
      <c r="CG15" s="1583">
        <f>'3C. Tel. - Revenue Drivers - 1 '!T165</f>
        <v/>
      </c>
      <c r="CH15" s="1583">
        <f>'3C. Tel. - Revenue Drivers - 1 '!U165</f>
        <v/>
      </c>
      <c r="CI15" s="1603">
        <f>Table2[[#This Row],[Column86]]*1.043</f>
        <v/>
      </c>
      <c r="CJ15" s="1583">
        <f>Table2[[#This Row],[Column87]]*1.043</f>
        <v/>
      </c>
      <c r="CK15" s="1583">
        <f>Table2[[#This Row],[Column88]]*1.043</f>
        <v/>
      </c>
      <c r="CL15" s="1583">
        <f>Table2[[#This Row],[Column89]]*1.043</f>
        <v/>
      </c>
      <c r="CM15" s="1583">
        <f>Table2[[#This Row],[Column90]]*1.043</f>
        <v/>
      </c>
      <c r="CN15" s="1583">
        <f>Table2[[#This Row],[Column91]]*1.043</f>
        <v/>
      </c>
      <c r="CO15" s="1583">
        <f>Table2[[#This Row],[Column92]]*1.043</f>
        <v/>
      </c>
      <c r="CP15" s="1583">
        <f>Table2[[#This Row],[Column93]]*1.043</f>
        <v/>
      </c>
      <c r="CQ15" s="1583">
        <f>Table2[[#This Row],[Column94]]*1.043</f>
        <v/>
      </c>
      <c r="CR15" s="1583">
        <f>Table2[[#This Row],[Column95]]*1.043</f>
        <v/>
      </c>
      <c r="CS15" s="1583">
        <f>Table2[[#This Row],[Column96]]*1.043</f>
        <v/>
      </c>
      <c r="CT15" s="1583">
        <f>Table2[[#This Row],[Column97]]*1.043</f>
        <v/>
      </c>
      <c r="CU15" s="1583">
        <f>Table2[[#This Row],[Column98]]*1.043</f>
        <v/>
      </c>
      <c r="CV15" s="1583">
        <f>Table2[[#This Row],[Column99]]*1.043</f>
        <v/>
      </c>
      <c r="CW15" s="1583">
        <f>Table2[[#This Row],[Column100]]*1.043</f>
        <v/>
      </c>
      <c r="CX15" s="1583">
        <f>Table2[[#This Row],[Column101]]*1.043</f>
        <v/>
      </c>
      <c r="CY15" s="1583">
        <f>Table2[[#This Row],[Column102]]*1.043</f>
        <v/>
      </c>
      <c r="CZ15" s="1583">
        <f>Table2[[#This Row],[Column103]]*1.043</f>
        <v/>
      </c>
      <c r="DA15" s="1583">
        <f>Table2[[#This Row],[Column104]]*1.043</f>
        <v/>
      </c>
      <c r="DB15" s="1583">
        <f>Table2[[#This Row],[Column105]]*1.043</f>
        <v/>
      </c>
      <c r="DC15" s="1583">
        <f>Table2[[#This Row],[Column106]]*1.043</f>
        <v/>
      </c>
      <c r="DD15" s="1583">
        <f>Table2[[#This Row],[Column107]]*1.043</f>
        <v/>
      </c>
      <c r="DE15" s="1583">
        <f>Table2[[#This Row],[Column108]]*1.043</f>
        <v/>
      </c>
      <c r="DF15" s="1602" t="n"/>
      <c r="DG15" s="1616">
        <f>Table2[[#This Row],[Column109]]/5000000000</f>
        <v/>
      </c>
      <c r="DH15" s="1611" t="inlineStr">
        <is>
          <t>5 billion smart phone users worldwide - current numbers</t>
        </is>
      </c>
    </row>
    <row r="16">
      <c r="A16" s="658" t="n"/>
      <c r="B16" s="658" t="inlineStr">
        <is>
          <t>Brands</t>
        </is>
      </c>
      <c r="C16" s="1602" t="n"/>
      <c r="D16" s="1602" t="n"/>
      <c r="E16" s="1602" t="n"/>
      <c r="F16" s="1583" t="n"/>
      <c r="G16" s="1583" t="n"/>
      <c r="H16" s="1583" t="n"/>
      <c r="I16" s="1583" t="n"/>
      <c r="J16" s="1583" t="n"/>
      <c r="K16" s="1583" t="n"/>
      <c r="L16" s="1583" t="n"/>
      <c r="M16" s="1583">
        <f>'[7]Sales Forecasts for Pure Techno'!L$5</f>
        <v/>
      </c>
      <c r="N16" s="1583">
        <f>'[7]Sales Forecasts for Pure Techno'!M$5</f>
        <v/>
      </c>
      <c r="O16" s="1583">
        <f>'[7]Sales Forecasts for Pure Techno'!N$5</f>
        <v/>
      </c>
      <c r="P16" s="1583">
        <f>'[7]Sales Forecasts for Pure Techno'!O$5</f>
        <v/>
      </c>
      <c r="Q16" s="1583">
        <f>'[7]Sales Forecasts for Pure Techno'!P$5</f>
        <v/>
      </c>
      <c r="R16" s="1583">
        <f>'[7]Sales Forecasts for Pure Techno'!Q$5</f>
        <v/>
      </c>
      <c r="S16" s="1583">
        <f>'[7]Sales Forecasts for Pure Techno'!R$5</f>
        <v/>
      </c>
      <c r="T16" s="1583">
        <f>'[7]Sales Forecasts for Pure Techno'!S$5</f>
        <v/>
      </c>
      <c r="U16" s="1583">
        <f>'[7]Sales Forecasts for Pure Techno'!T$5</f>
        <v/>
      </c>
      <c r="V16" s="1583">
        <f>'[7]Sales Forecasts for Pure Techno'!U$5</f>
        <v/>
      </c>
      <c r="W16" s="1583">
        <f>'[7]Sales Forecasts for Pure Techno'!V$5</f>
        <v/>
      </c>
      <c r="X16" s="1583">
        <f>'[7]Sales Forecasts for Pure Techno'!W$5</f>
        <v/>
      </c>
      <c r="Y16" s="1583">
        <f>'[7]Sales Forecasts for Pure Techno'!X$5</f>
        <v/>
      </c>
      <c r="Z16" s="1583">
        <f>'[7]Sales Forecasts for Pure Techno'!Y$5</f>
        <v/>
      </c>
      <c r="AA16" s="1603">
        <f>Table2[[#This Row],[Column26]]*1.05</f>
        <v/>
      </c>
      <c r="AB16" s="1583">
        <f>Table2[[#This Row],[Column27]]*1.05</f>
        <v/>
      </c>
      <c r="AC16" s="1583">
        <f>Table2[[#This Row],[Column28]]*1.05</f>
        <v/>
      </c>
      <c r="AD16" s="1583">
        <f>Table2[[#This Row],[Column29]]*1.05</f>
        <v/>
      </c>
      <c r="AE16" s="1583">
        <f>Table2[[#This Row],[Column30]]*1.05</f>
        <v/>
      </c>
      <c r="AF16" s="1583">
        <f>Table2[[#This Row],[Column31]]*1.05</f>
        <v/>
      </c>
      <c r="AG16" s="1583">
        <f>Table2[[#This Row],[Column32]]*1.05</f>
        <v/>
      </c>
      <c r="AH16" s="1583">
        <f>Table2[[#This Row],[Column33]]*1.05</f>
        <v/>
      </c>
      <c r="AI16" s="1583">
        <f>Table2[[#This Row],[Column34]]*1.05</f>
        <v/>
      </c>
      <c r="AJ16" s="1583">
        <f>Table2[[#This Row],[Column35]]*1.05</f>
        <v/>
      </c>
      <c r="AK16" s="1583">
        <f>Table2[[#This Row],[Column36]]*1.05</f>
        <v/>
      </c>
      <c r="AL16" s="1583">
        <f>Table2[[#This Row],[Column37]]*1.05</f>
        <v/>
      </c>
      <c r="AM16" s="1583">
        <f>Table2[[#This Row],[Column38]]*1.05</f>
        <v/>
      </c>
      <c r="AN16" s="1583">
        <f>Table2[[#This Row],[Column39]]*1.05</f>
        <v/>
      </c>
      <c r="AO16" s="1583">
        <f>Table2[[#This Row],[Column40]]*1.05</f>
        <v/>
      </c>
      <c r="AP16" s="1583">
        <f>Table2[[#This Row],[Column41]]*1.05</f>
        <v/>
      </c>
      <c r="AQ16" s="1583">
        <f>Table2[[#This Row],[Column42]]*1.05</f>
        <v/>
      </c>
      <c r="AR16" s="1583">
        <f>Table2[[#This Row],[Column43]]*1.05</f>
        <v/>
      </c>
      <c r="AS16" s="1583">
        <f>Table2[[#This Row],[Column44]]*1.05</f>
        <v/>
      </c>
      <c r="AT16" s="1583">
        <f>Table2[[#This Row],[Column45]]*1.05</f>
        <v/>
      </c>
      <c r="AU16" s="1583">
        <f>Table2[[#This Row],[Column46]]*1.05</f>
        <v/>
      </c>
      <c r="AV16" s="1583">
        <f>Table2[[#This Row],[Column47]]*1.05</f>
        <v/>
      </c>
      <c r="AW16" s="1583">
        <f>Table2[[#This Row],[Column48]]*1.05</f>
        <v/>
      </c>
      <c r="AX16" s="1583">
        <f>Table2[[#This Row],[Column49]]*1.05</f>
        <v/>
      </c>
      <c r="AY16" s="1583">
        <f>Table2[[#This Row],[Column50]]*1.05</f>
        <v/>
      </c>
      <c r="AZ16" s="1583">
        <f>Table2[[#This Row],[Column51]]*1.05</f>
        <v/>
      </c>
      <c r="BA16" s="1583">
        <f>Table2[[#This Row],[Column52]]*1.05</f>
        <v/>
      </c>
      <c r="BB16" s="1583">
        <f>Table2[[#This Row],[Column53]]*1.05</f>
        <v/>
      </c>
      <c r="BC16" s="1583">
        <f>Table2[[#This Row],[Column54]]*1.05</f>
        <v/>
      </c>
      <c r="BD16" s="1583">
        <f>Table2[[#This Row],[Column55]]*1.05</f>
        <v/>
      </c>
      <c r="BE16" s="1583">
        <f>Table2[[#This Row],[Column56]]*1.05</f>
        <v/>
      </c>
      <c r="BF16" s="1583">
        <f>Table2[[#This Row],[Column57]]*1.05</f>
        <v/>
      </c>
      <c r="BG16" s="1583">
        <f>Table2[[#This Row],[Column58]]*1.05</f>
        <v/>
      </c>
      <c r="BH16" s="1583">
        <f>Table2[[#This Row],[Column59]]*1.05</f>
        <v/>
      </c>
      <c r="BI16" s="1583">
        <f>Table2[[#This Row],[Column60]]*1.05</f>
        <v/>
      </c>
      <c r="BJ16" s="1583">
        <f>Table2[[#This Row],[Column61]]*1.05</f>
        <v/>
      </c>
      <c r="BK16" s="1583">
        <f>Table2[[#This Row],[Column62]]*1.05</f>
        <v/>
      </c>
      <c r="BL16" s="1583">
        <f>Table2[[#This Row],[Column63]]*1.05</f>
        <v/>
      </c>
      <c r="BM16" s="1583">
        <f>Table2[[#This Row],[Column64]]*1.05</f>
        <v/>
      </c>
      <c r="BN16" s="1583">
        <f>Table2[[#This Row],[Column65]]*1.05</f>
        <v/>
      </c>
      <c r="BO16" s="1583">
        <f>Table2[[#This Row],[Column66]]*1.05</f>
        <v/>
      </c>
      <c r="BP16" s="1583">
        <f>Table2[[#This Row],[Column67]]*1.05</f>
        <v/>
      </c>
      <c r="BQ16" s="1583">
        <f>Table2[[#This Row],[Column68]]*1.05</f>
        <v/>
      </c>
      <c r="BR16" s="1583">
        <f>Table2[[#This Row],[Column69]]*1.05</f>
        <v/>
      </c>
      <c r="BS16" s="1583">
        <f>Table2[[#This Row],[Column70]]*1.05</f>
        <v/>
      </c>
      <c r="BT16" s="1583">
        <f>Table2[[#This Row],[Column71]]*1.05</f>
        <v/>
      </c>
      <c r="BU16" s="1583">
        <f>Table2[[#This Row],[Column72]]*1.05</f>
        <v/>
      </c>
      <c r="BV16" s="1583">
        <f>Table2[[#This Row],[Column73]]*1.05</f>
        <v/>
      </c>
      <c r="BW16" s="1583">
        <f>Table2[[#This Row],[Column74]]*1.05</f>
        <v/>
      </c>
      <c r="BX16" s="1583">
        <f>Table2[[#This Row],[Column75]]*1.05</f>
        <v/>
      </c>
      <c r="BY16" s="1583">
        <f>Table2[[#This Row],[Column76]]*1.05</f>
        <v/>
      </c>
      <c r="BZ16" s="1583">
        <f>Table2[[#This Row],[Column77]]*1.05</f>
        <v/>
      </c>
      <c r="CA16" s="1583">
        <f>Table2[[#This Row],[Column78]]*1.05</f>
        <v/>
      </c>
      <c r="CB16" s="1583">
        <f>Table2[[#This Row],[Column79]]*1.05</f>
        <v/>
      </c>
      <c r="CC16" s="1583">
        <f>Table2[[#This Row],[Column80]]*1.05</f>
        <v/>
      </c>
      <c r="CD16" s="1583">
        <f>Table2[[#This Row],[Column81]]*1.05</f>
        <v/>
      </c>
      <c r="CE16" s="1583">
        <f>Table2[[#This Row],[Column82]]*1.05</f>
        <v/>
      </c>
      <c r="CF16" s="1583">
        <f>Table2[[#This Row],[Column83]]*1.05</f>
        <v/>
      </c>
      <c r="CG16" s="1583">
        <f>Table2[[#This Row],[Column84]]*1.05</f>
        <v/>
      </c>
      <c r="CH16" s="1583">
        <f>Table2[[#This Row],[Column85]]*1.05</f>
        <v/>
      </c>
      <c r="CI16" s="1583">
        <f>Table2[[#This Row],[Column86]]*1.05</f>
        <v/>
      </c>
      <c r="CJ16" s="1583">
        <f>Table2[[#This Row],[Column87]]*1.05</f>
        <v/>
      </c>
      <c r="CK16" s="1583">
        <f>Table2[[#This Row],[Column88]]*1.05</f>
        <v/>
      </c>
      <c r="CL16" s="1583">
        <f>Table2[[#This Row],[Column89]]*1.05</f>
        <v/>
      </c>
      <c r="CM16" s="1583">
        <f>Table2[[#This Row],[Column90]]*1.05</f>
        <v/>
      </c>
      <c r="CN16" s="1583">
        <f>Table2[[#This Row],[Column91]]*1.05</f>
        <v/>
      </c>
      <c r="CO16" s="1583">
        <f>Table2[[#This Row],[Column92]]*1.05</f>
        <v/>
      </c>
      <c r="CP16" s="1583">
        <f>Table2[[#This Row],[Column93]]*1.05</f>
        <v/>
      </c>
      <c r="CQ16" s="1583">
        <f>Table2[[#This Row],[Column94]]*1.05</f>
        <v/>
      </c>
      <c r="CR16" s="1583">
        <f>Table2[[#This Row],[Column95]]*1.05</f>
        <v/>
      </c>
      <c r="CS16" s="1583">
        <f>Table2[[#This Row],[Column96]]*1.05</f>
        <v/>
      </c>
      <c r="CT16" s="1583">
        <f>Table2[[#This Row],[Column97]]*1.05</f>
        <v/>
      </c>
      <c r="CU16" s="1583">
        <f>Table2[[#This Row],[Column98]]*1.05</f>
        <v/>
      </c>
      <c r="CV16" s="1583">
        <f>Table2[[#This Row],[Column99]]*1.05</f>
        <v/>
      </c>
      <c r="CW16" s="1583">
        <f>Table2[[#This Row],[Column100]]*1.05</f>
        <v/>
      </c>
      <c r="CX16" s="1583">
        <f>Table2[[#This Row],[Column101]]*1.05</f>
        <v/>
      </c>
      <c r="CY16" s="1583">
        <f>Table2[[#This Row],[Column102]]*1.05</f>
        <v/>
      </c>
      <c r="CZ16" s="1583">
        <f>Table2[[#This Row],[Column103]]*1.05</f>
        <v/>
      </c>
      <c r="DA16" s="1583">
        <f>Table2[[#This Row],[Column104]]*1.05</f>
        <v/>
      </c>
      <c r="DB16" s="1583">
        <f>Table2[[#This Row],[Column105]]*1.05</f>
        <v/>
      </c>
      <c r="DC16" s="1583">
        <f>Table2[[#This Row],[Column106]]*1.05</f>
        <v/>
      </c>
      <c r="DD16" s="1583">
        <f>Table2[[#This Row],[Column107]]*1.05</f>
        <v/>
      </c>
      <c r="DE16" s="1583">
        <f>Table2[[#This Row],[Column108]]*1.05</f>
        <v/>
      </c>
      <c r="DF16" s="1602" t="n"/>
      <c r="DG16" s="1616">
        <f>Table2[[#This Row],[Column109]]/360000000</f>
        <v/>
      </c>
      <c r="DH16" s="1611" t="inlineStr">
        <is>
          <t>360 million companies worldwide - current #s</t>
        </is>
      </c>
    </row>
    <row r="17">
      <c r="A17" s="658" t="inlineStr">
        <is>
          <t>TOTAL</t>
        </is>
      </c>
      <c r="B17" s="658" t="n"/>
      <c r="C17" s="1602">
        <f>SUM(C4:C16)</f>
        <v/>
      </c>
      <c r="D17" s="1602">
        <f>SUM(D4:D16)</f>
        <v/>
      </c>
      <c r="E17" s="1602">
        <f>SUM(E4:E16)</f>
        <v/>
      </c>
      <c r="F17" s="1602">
        <f>SUM(F4:F16)</f>
        <v/>
      </c>
      <c r="G17" s="1602">
        <f>SUM(G4:G16)</f>
        <v/>
      </c>
      <c r="H17" s="1602">
        <f>SUM(H4:H16)</f>
        <v/>
      </c>
      <c r="I17" s="1602">
        <f>SUM(I4:I16)</f>
        <v/>
      </c>
      <c r="J17" s="1602">
        <f>SUM(J4:J16)</f>
        <v/>
      </c>
      <c r="K17" s="1602">
        <f>SUM(K4:K16)</f>
        <v/>
      </c>
      <c r="L17" s="1602">
        <f>SUM(L4:L16)</f>
        <v/>
      </c>
      <c r="M17" s="1602">
        <f>SUM(M4:M16)</f>
        <v/>
      </c>
      <c r="N17" s="1602">
        <f>SUM(N4:N16)</f>
        <v/>
      </c>
      <c r="O17" s="1602">
        <f>SUM(O4:O16)</f>
        <v/>
      </c>
      <c r="P17" s="1602">
        <f>SUM(P4:P16)</f>
        <v/>
      </c>
      <c r="Q17" s="1602">
        <f>SUM(Q4:Q16)</f>
        <v/>
      </c>
      <c r="R17" s="1602">
        <f>SUM(R4:R16)</f>
        <v/>
      </c>
      <c r="S17" s="1602">
        <f>SUM(S4:S16)</f>
        <v/>
      </c>
      <c r="T17" s="1602">
        <f>SUM(T4:T16)</f>
        <v/>
      </c>
      <c r="U17" s="1602">
        <f>SUM(U4:U16)</f>
        <v/>
      </c>
      <c r="V17" s="1602">
        <f>SUM(V4:V16)</f>
        <v/>
      </c>
      <c r="W17" s="1602">
        <f>SUM(W4:W16)</f>
        <v/>
      </c>
      <c r="X17" s="1602">
        <f>SUM(X4:X16)</f>
        <v/>
      </c>
      <c r="Y17" s="1602">
        <f>SUM(Y4:Y16)</f>
        <v/>
      </c>
      <c r="Z17" s="1602">
        <f>SUM(Z4:Z16)</f>
        <v/>
      </c>
      <c r="AA17" s="1602">
        <f>SUM(AA4:AA16)</f>
        <v/>
      </c>
      <c r="AB17" s="1602">
        <f>SUM(AB4:AB16)</f>
        <v/>
      </c>
      <c r="AC17" s="1602">
        <f>SUM(AC4:AC16)</f>
        <v/>
      </c>
      <c r="AD17" s="1602">
        <f>SUM(AD4:AD16)</f>
        <v/>
      </c>
      <c r="AE17" s="1602">
        <f>SUM(AE4:AE16)</f>
        <v/>
      </c>
      <c r="AF17" s="1602">
        <f>SUM(AF4:AF16)</f>
        <v/>
      </c>
      <c r="AG17" s="1602">
        <f>SUM(AG4:AG16)</f>
        <v/>
      </c>
      <c r="AH17" s="1602">
        <f>SUM(AH4:AH16)</f>
        <v/>
      </c>
      <c r="AI17" s="1602">
        <f>SUM(AI4:AI16)</f>
        <v/>
      </c>
      <c r="AJ17" s="1602">
        <f>SUM(AJ4:AJ16)</f>
        <v/>
      </c>
      <c r="AK17" s="1602">
        <f>SUM(AK4:AK16)</f>
        <v/>
      </c>
      <c r="AL17" s="1602">
        <f>SUM(AL4:AL16)</f>
        <v/>
      </c>
      <c r="AM17" s="1602">
        <f>SUM(AM4:AM16)</f>
        <v/>
      </c>
      <c r="AN17" s="1602">
        <f>SUM(AN4:AN16)</f>
        <v/>
      </c>
      <c r="AO17" s="1602">
        <f>SUM(AO4:AO16)</f>
        <v/>
      </c>
      <c r="AP17" s="1602">
        <f>SUM(AP4:AP16)</f>
        <v/>
      </c>
      <c r="AQ17" s="1602">
        <f>SUM(AQ4:AQ16)</f>
        <v/>
      </c>
      <c r="AR17" s="1602">
        <f>SUM(AR4:AR16)</f>
        <v/>
      </c>
      <c r="AS17" s="1602">
        <f>SUM(AS4:AS16)</f>
        <v/>
      </c>
      <c r="AT17" s="1602">
        <f>SUM(AT4:AT16)</f>
        <v/>
      </c>
      <c r="AU17" s="1602">
        <f>SUM(AU4:AU16)</f>
        <v/>
      </c>
      <c r="AV17" s="1602">
        <f>SUM(AV4:AV16)</f>
        <v/>
      </c>
      <c r="AW17" s="1602">
        <f>SUM(AW4:AW16)</f>
        <v/>
      </c>
      <c r="AX17" s="1602">
        <f>SUM(AX4:AX16)</f>
        <v/>
      </c>
      <c r="AY17" s="1602">
        <f>SUM(AY4:AY16)</f>
        <v/>
      </c>
      <c r="AZ17" s="1602">
        <f>SUM(AZ4:AZ16)</f>
        <v/>
      </c>
      <c r="BA17" s="1602">
        <f>SUM(BA4:BA16)</f>
        <v/>
      </c>
      <c r="BB17" s="1602">
        <f>SUM(BB4:BB16)</f>
        <v/>
      </c>
      <c r="BC17" s="1602">
        <f>SUM(BC4:BC16)</f>
        <v/>
      </c>
      <c r="BD17" s="1602">
        <f>SUM(BD4:BD16)</f>
        <v/>
      </c>
      <c r="BE17" s="1602">
        <f>SUM(BE4:BE16)</f>
        <v/>
      </c>
      <c r="BF17" s="1602">
        <f>SUM(BF4:BF16)</f>
        <v/>
      </c>
      <c r="BG17" s="1602">
        <f>SUM(BG4:BG16)</f>
        <v/>
      </c>
      <c r="BH17" s="1602">
        <f>SUM(BH4:BH16)</f>
        <v/>
      </c>
      <c r="BI17" s="1602">
        <f>SUM(BI4:BI16)</f>
        <v/>
      </c>
      <c r="BJ17" s="1602">
        <f>SUM(BJ4:BJ16)</f>
        <v/>
      </c>
      <c r="BK17" s="1602">
        <f>SUM(BK4:BK16)</f>
        <v/>
      </c>
      <c r="BL17" s="1602">
        <f>SUM(BL4:BL16)</f>
        <v/>
      </c>
      <c r="BM17" s="1602">
        <f>SUM(BM4:BM16)</f>
        <v/>
      </c>
      <c r="BN17" s="1602">
        <f>SUM(BN4:BN16)</f>
        <v/>
      </c>
      <c r="BO17" s="1602">
        <f>SUM(BO4:BO16)</f>
        <v/>
      </c>
      <c r="BP17" s="1602">
        <f>SUM(BP4:BP16)</f>
        <v/>
      </c>
      <c r="BQ17" s="1602">
        <f>SUM(BQ4:BQ16)</f>
        <v/>
      </c>
      <c r="BR17" s="1602">
        <f>SUM(BR4:BR16)</f>
        <v/>
      </c>
      <c r="BS17" s="1602">
        <f>SUM(BS4:BS16)</f>
        <v/>
      </c>
      <c r="BT17" s="1602">
        <f>SUM(BT4:BT16)</f>
        <v/>
      </c>
      <c r="BU17" s="1602">
        <f>SUM(BU4:BU16)</f>
        <v/>
      </c>
      <c r="BV17" s="1602">
        <f>SUM(BV4:BV16)</f>
        <v/>
      </c>
      <c r="BW17" s="1602">
        <f>SUM(BW4:BW16)</f>
        <v/>
      </c>
      <c r="BX17" s="1602">
        <f>SUM(BX4:BX16)</f>
        <v/>
      </c>
      <c r="BY17" s="1602">
        <f>SUM(BY4:BY16)</f>
        <v/>
      </c>
      <c r="BZ17" s="1602">
        <f>SUM(BZ4:BZ16)</f>
        <v/>
      </c>
      <c r="CA17" s="1602">
        <f>SUM(CA4:CA16)</f>
        <v/>
      </c>
      <c r="CB17" s="1602">
        <f>SUM(CB4:CB16)</f>
        <v/>
      </c>
      <c r="CC17" s="1602">
        <f>SUM(CC4:CC16)</f>
        <v/>
      </c>
      <c r="CD17" s="1602">
        <f>SUM(CD4:CD16)</f>
        <v/>
      </c>
      <c r="CE17" s="1602">
        <f>SUM(CE4:CE16)</f>
        <v/>
      </c>
      <c r="CF17" s="1602">
        <f>SUM(CF4:CF16)</f>
        <v/>
      </c>
      <c r="CG17" s="1602">
        <f>SUM(CG4:CG16)</f>
        <v/>
      </c>
      <c r="CH17" s="1602">
        <f>SUM(CH4:CH16)</f>
        <v/>
      </c>
      <c r="CI17" s="1602">
        <f>SUM(CI4:CI16)</f>
        <v/>
      </c>
      <c r="CJ17" s="1602">
        <f>SUM(CJ4:CJ16)</f>
        <v/>
      </c>
      <c r="CK17" s="1602">
        <f>SUM(CK4:CK16)</f>
        <v/>
      </c>
      <c r="CL17" s="1602">
        <f>SUM(CL4:CL16)</f>
        <v/>
      </c>
      <c r="CM17" s="1602">
        <f>SUM(CM4:CM16)</f>
        <v/>
      </c>
      <c r="CN17" s="1602">
        <f>SUM(CN4:CN16)</f>
        <v/>
      </c>
      <c r="CO17" s="1602">
        <f>SUM(CO4:CO16)</f>
        <v/>
      </c>
      <c r="CP17" s="1602">
        <f>SUM(CP4:CP16)</f>
        <v/>
      </c>
      <c r="CQ17" s="1602">
        <f>SUM(CQ4:CQ16)</f>
        <v/>
      </c>
      <c r="CR17" s="1602">
        <f>SUM(CR4:CR16)</f>
        <v/>
      </c>
      <c r="CS17" s="1602">
        <f>SUM(CS4:CS16)</f>
        <v/>
      </c>
      <c r="CT17" s="1602">
        <f>SUM(CT4:CT16)</f>
        <v/>
      </c>
      <c r="CU17" s="1602">
        <f>SUM(CU4:CU16)</f>
        <v/>
      </c>
      <c r="CV17" s="1602">
        <f>SUM(CV4:CV16)</f>
        <v/>
      </c>
      <c r="CW17" s="1602">
        <f>SUM(CW4:CW16)</f>
        <v/>
      </c>
      <c r="CX17" s="1602">
        <f>SUM(CX4:CX16)</f>
        <v/>
      </c>
      <c r="CY17" s="1602">
        <f>SUM(CY4:CY16)</f>
        <v/>
      </c>
      <c r="CZ17" s="1602">
        <f>SUM(CZ4:CZ16)</f>
        <v/>
      </c>
      <c r="DA17" s="1602">
        <f>SUM(DA4:DA16)</f>
        <v/>
      </c>
      <c r="DB17" s="1602">
        <f>SUM(DB4:DB16)</f>
        <v/>
      </c>
      <c r="DC17" s="1602">
        <f>SUM(DC4:DC16)</f>
        <v/>
      </c>
      <c r="DD17" s="1602">
        <f>SUM(DD4:DD16)</f>
        <v/>
      </c>
      <c r="DE17" s="1602">
        <f>SUM(DE4:DE16)</f>
        <v/>
      </c>
      <c r="DF17" s="1602" t="n"/>
      <c r="DG17" s="1617" t="n"/>
      <c r="DH17" s="1611" t="n"/>
    </row>
    <row r="18" customFormat="1" s="1606"/>
    <row r="19" ht="20" customFormat="1" customHeight="1" s="1605">
      <c r="A19" s="1604" t="inlineStr">
        <is>
          <t>MEDIUM  PROJECTIONS 25% Boost</t>
        </is>
      </c>
    </row>
    <row r="20" ht="19" customFormat="1" customHeight="1" s="658">
      <c r="A20" s="658" t="inlineStr">
        <is>
          <t>Column1</t>
        </is>
      </c>
      <c r="B20" s="658" t="inlineStr">
        <is>
          <t>Column2</t>
        </is>
      </c>
      <c r="C20" s="658" t="inlineStr">
        <is>
          <t>Column3</t>
        </is>
      </c>
      <c r="D20" s="658" t="inlineStr">
        <is>
          <t>Column4</t>
        </is>
      </c>
      <c r="E20" s="658" t="inlineStr">
        <is>
          <t>Column5</t>
        </is>
      </c>
      <c r="F20" s="658" t="inlineStr">
        <is>
          <t>Column6</t>
        </is>
      </c>
      <c r="G20" s="658" t="inlineStr">
        <is>
          <t>Column7</t>
        </is>
      </c>
      <c r="H20" s="658" t="inlineStr">
        <is>
          <t>Column8</t>
        </is>
      </c>
      <c r="I20" s="658" t="inlineStr">
        <is>
          <t>Column9</t>
        </is>
      </c>
      <c r="J20" s="658" t="inlineStr">
        <is>
          <t>Column10</t>
        </is>
      </c>
      <c r="K20" s="658" t="inlineStr">
        <is>
          <t>Column11</t>
        </is>
      </c>
      <c r="L20" s="658" t="inlineStr">
        <is>
          <t>Column12</t>
        </is>
      </c>
      <c r="M20" s="658" t="inlineStr">
        <is>
          <t>Column13</t>
        </is>
      </c>
      <c r="N20" s="658" t="inlineStr">
        <is>
          <t>Column14</t>
        </is>
      </c>
      <c r="O20" s="658" t="inlineStr">
        <is>
          <t>Column15</t>
        </is>
      </c>
      <c r="P20" s="658" t="inlineStr">
        <is>
          <t>Column16</t>
        </is>
      </c>
      <c r="Q20" s="658" t="inlineStr">
        <is>
          <t>Column17</t>
        </is>
      </c>
      <c r="R20" s="658" t="inlineStr">
        <is>
          <t>Column18</t>
        </is>
      </c>
      <c r="S20" s="658" t="inlineStr">
        <is>
          <t>Column19</t>
        </is>
      </c>
      <c r="T20" s="658" t="inlineStr">
        <is>
          <t>Column20</t>
        </is>
      </c>
      <c r="U20" s="658" t="inlineStr">
        <is>
          <t>Column21</t>
        </is>
      </c>
      <c r="V20" s="658" t="inlineStr">
        <is>
          <t>Column22</t>
        </is>
      </c>
      <c r="W20" s="658" t="inlineStr">
        <is>
          <t>Column23</t>
        </is>
      </c>
      <c r="X20" s="658" t="inlineStr">
        <is>
          <t>Column24</t>
        </is>
      </c>
      <c r="Y20" s="658" t="inlineStr">
        <is>
          <t>Column25</t>
        </is>
      </c>
      <c r="Z20" s="658" t="inlineStr">
        <is>
          <t>Column26</t>
        </is>
      </c>
      <c r="AA20" s="658" t="inlineStr">
        <is>
          <t>Column27</t>
        </is>
      </c>
      <c r="AB20" s="658" t="inlineStr">
        <is>
          <t>Column28</t>
        </is>
      </c>
      <c r="AC20" s="658" t="inlineStr">
        <is>
          <t>Column29</t>
        </is>
      </c>
      <c r="AD20" s="658" t="inlineStr">
        <is>
          <t>Column30</t>
        </is>
      </c>
      <c r="AE20" s="658" t="inlineStr">
        <is>
          <t>Column31</t>
        </is>
      </c>
      <c r="AF20" s="658" t="inlineStr">
        <is>
          <t>Column32</t>
        </is>
      </c>
      <c r="AG20" s="658" t="inlineStr">
        <is>
          <t>Column33</t>
        </is>
      </c>
      <c r="AH20" s="658" t="inlineStr">
        <is>
          <t>Column34</t>
        </is>
      </c>
      <c r="AI20" s="658" t="inlineStr">
        <is>
          <t>Column35</t>
        </is>
      </c>
      <c r="AJ20" s="658" t="inlineStr">
        <is>
          <t>Column36</t>
        </is>
      </c>
      <c r="AK20" s="658" t="inlineStr">
        <is>
          <t>Column37</t>
        </is>
      </c>
      <c r="AL20" s="658" t="inlineStr">
        <is>
          <t>Column38</t>
        </is>
      </c>
      <c r="AM20" s="658" t="inlineStr">
        <is>
          <t>Column39</t>
        </is>
      </c>
      <c r="AN20" s="658" t="inlineStr">
        <is>
          <t>Column40</t>
        </is>
      </c>
      <c r="AO20" s="658" t="inlineStr">
        <is>
          <t>Column41</t>
        </is>
      </c>
      <c r="AP20" s="658" t="inlineStr">
        <is>
          <t>Column42</t>
        </is>
      </c>
      <c r="AQ20" s="658" t="inlineStr">
        <is>
          <t>Column43</t>
        </is>
      </c>
      <c r="AR20" s="658" t="inlineStr">
        <is>
          <t>Column44</t>
        </is>
      </c>
      <c r="AS20" s="658" t="inlineStr">
        <is>
          <t>Column45</t>
        </is>
      </c>
      <c r="AT20" s="658" t="inlineStr">
        <is>
          <t>Column46</t>
        </is>
      </c>
      <c r="AU20" s="658" t="inlineStr">
        <is>
          <t>Column47</t>
        </is>
      </c>
      <c r="AV20" s="658" t="inlineStr">
        <is>
          <t>Column48</t>
        </is>
      </c>
      <c r="AW20" s="658" t="inlineStr">
        <is>
          <t>Column49</t>
        </is>
      </c>
      <c r="AX20" s="658" t="inlineStr">
        <is>
          <t>Column50</t>
        </is>
      </c>
      <c r="AY20" s="658" t="inlineStr">
        <is>
          <t>Column51</t>
        </is>
      </c>
      <c r="AZ20" s="658" t="inlineStr">
        <is>
          <t>Column52</t>
        </is>
      </c>
      <c r="BA20" s="658" t="inlineStr">
        <is>
          <t>Column53</t>
        </is>
      </c>
      <c r="BB20" s="658" t="inlineStr">
        <is>
          <t>Column54</t>
        </is>
      </c>
      <c r="BC20" s="658" t="inlineStr">
        <is>
          <t>Column55</t>
        </is>
      </c>
      <c r="BD20" s="658" t="inlineStr">
        <is>
          <t>Column56</t>
        </is>
      </c>
      <c r="BE20" s="658" t="inlineStr">
        <is>
          <t>Column57</t>
        </is>
      </c>
      <c r="BF20" s="658" t="inlineStr">
        <is>
          <t>Column58</t>
        </is>
      </c>
      <c r="BG20" s="658" t="inlineStr">
        <is>
          <t>Column59</t>
        </is>
      </c>
      <c r="BH20" s="658" t="inlineStr">
        <is>
          <t>Column60</t>
        </is>
      </c>
      <c r="BI20" s="658" t="inlineStr">
        <is>
          <t>Column61</t>
        </is>
      </c>
      <c r="BJ20" s="658" t="inlineStr">
        <is>
          <t>Column62</t>
        </is>
      </c>
      <c r="BK20" s="658" t="inlineStr">
        <is>
          <t>Column63</t>
        </is>
      </c>
      <c r="BL20" s="658" t="inlineStr">
        <is>
          <t>Column64</t>
        </is>
      </c>
      <c r="BM20" s="658" t="inlineStr">
        <is>
          <t>Column65</t>
        </is>
      </c>
      <c r="BN20" s="658" t="inlineStr">
        <is>
          <t>Column66</t>
        </is>
      </c>
      <c r="BO20" s="658" t="inlineStr">
        <is>
          <t>Column67</t>
        </is>
      </c>
      <c r="BP20" s="658" t="inlineStr">
        <is>
          <t>Column68</t>
        </is>
      </c>
      <c r="BQ20" s="658" t="inlineStr">
        <is>
          <t>Column69</t>
        </is>
      </c>
      <c r="BR20" s="658" t="inlineStr">
        <is>
          <t>Column70</t>
        </is>
      </c>
      <c r="BS20" s="658" t="inlineStr">
        <is>
          <t>Column71</t>
        </is>
      </c>
      <c r="BT20" s="658" t="inlineStr">
        <is>
          <t>Column72</t>
        </is>
      </c>
      <c r="BU20" s="658" t="inlineStr">
        <is>
          <t>Column73</t>
        </is>
      </c>
      <c r="BV20" s="658" t="inlineStr">
        <is>
          <t>Column74</t>
        </is>
      </c>
      <c r="BW20" s="658" t="inlineStr">
        <is>
          <t>Column75</t>
        </is>
      </c>
      <c r="BX20" s="658" t="inlineStr">
        <is>
          <t>Column76</t>
        </is>
      </c>
      <c r="BY20" s="658" t="inlineStr">
        <is>
          <t>Column77</t>
        </is>
      </c>
      <c r="BZ20" s="658" t="inlineStr">
        <is>
          <t>Column78</t>
        </is>
      </c>
      <c r="CA20" s="658" t="inlineStr">
        <is>
          <t>Column79</t>
        </is>
      </c>
      <c r="CB20" s="658" t="inlineStr">
        <is>
          <t>Column80</t>
        </is>
      </c>
      <c r="CC20" s="658" t="inlineStr">
        <is>
          <t>Column81</t>
        </is>
      </c>
      <c r="CD20" s="658" t="inlineStr">
        <is>
          <t>Column82</t>
        </is>
      </c>
      <c r="CE20" s="658" t="inlineStr">
        <is>
          <t>Column83</t>
        </is>
      </c>
      <c r="CF20" s="658" t="inlineStr">
        <is>
          <t>Column84</t>
        </is>
      </c>
      <c r="CG20" s="658" t="inlineStr">
        <is>
          <t>Column85</t>
        </is>
      </c>
      <c r="CH20" s="658" t="inlineStr">
        <is>
          <t>Column86</t>
        </is>
      </c>
      <c r="CI20" s="658" t="inlineStr">
        <is>
          <t>Column87</t>
        </is>
      </c>
      <c r="CJ20" s="658" t="inlineStr">
        <is>
          <t>Column88</t>
        </is>
      </c>
      <c r="CK20" s="658" t="inlineStr">
        <is>
          <t>Column89</t>
        </is>
      </c>
      <c r="CL20" s="658" t="inlineStr">
        <is>
          <t>Column90</t>
        </is>
      </c>
      <c r="CM20" s="658" t="inlineStr">
        <is>
          <t>Column91</t>
        </is>
      </c>
      <c r="CN20" s="658" t="inlineStr">
        <is>
          <t>Column92</t>
        </is>
      </c>
      <c r="CO20" s="658" t="inlineStr">
        <is>
          <t>Column93</t>
        </is>
      </c>
      <c r="CP20" s="658" t="inlineStr">
        <is>
          <t>Column94</t>
        </is>
      </c>
      <c r="CQ20" s="658" t="inlineStr">
        <is>
          <t>Column95</t>
        </is>
      </c>
      <c r="CR20" s="658" t="inlineStr">
        <is>
          <t>Column96</t>
        </is>
      </c>
      <c r="CS20" s="658" t="inlineStr">
        <is>
          <t>Column97</t>
        </is>
      </c>
      <c r="CT20" s="658" t="inlineStr">
        <is>
          <t>Column98</t>
        </is>
      </c>
      <c r="CU20" s="658" t="inlineStr">
        <is>
          <t>Column99</t>
        </is>
      </c>
      <c r="CV20" s="658" t="inlineStr">
        <is>
          <t>Column100</t>
        </is>
      </c>
      <c r="CW20" s="658" t="inlineStr">
        <is>
          <t>Column101</t>
        </is>
      </c>
      <c r="CX20" s="658" t="inlineStr">
        <is>
          <t>Column102</t>
        </is>
      </c>
      <c r="CY20" s="658" t="inlineStr">
        <is>
          <t>Column103</t>
        </is>
      </c>
      <c r="CZ20" s="658" t="inlineStr">
        <is>
          <t>Column104</t>
        </is>
      </c>
      <c r="DA20" s="658" t="inlineStr">
        <is>
          <t>Column105</t>
        </is>
      </c>
      <c r="DB20" s="658" t="inlineStr">
        <is>
          <t>Column106</t>
        </is>
      </c>
      <c r="DC20" s="658" t="inlineStr">
        <is>
          <t>Column107</t>
        </is>
      </c>
      <c r="DD20" s="658" t="inlineStr">
        <is>
          <t>Column108</t>
        </is>
      </c>
      <c r="DE20" s="658" t="inlineStr">
        <is>
          <t>Column109</t>
        </is>
      </c>
      <c r="DF20" s="658" t="inlineStr">
        <is>
          <t>Column110</t>
        </is>
      </c>
      <c r="DG20" s="658" t="inlineStr">
        <is>
          <t>Column111</t>
        </is>
      </c>
      <c r="DH20" s="658" t="inlineStr">
        <is>
          <t>Column112</t>
        </is>
      </c>
    </row>
    <row r="21" ht="17" customHeight="1" s="1883">
      <c r="A21" s="658" t="inlineStr">
        <is>
          <t>PRODUCT LINE</t>
        </is>
      </c>
      <c r="B21" s="658" t="inlineStr">
        <is>
          <t>Category</t>
        </is>
      </c>
      <c r="C21" s="1598" t="inlineStr">
        <is>
          <t>Month 1</t>
        </is>
      </c>
      <c r="D21" s="1598" t="inlineStr">
        <is>
          <t>Month 2</t>
        </is>
      </c>
      <c r="E21" s="1598" t="inlineStr">
        <is>
          <t>Month 3</t>
        </is>
      </c>
      <c r="F21" s="1598" t="inlineStr">
        <is>
          <t>Month 4</t>
        </is>
      </c>
      <c r="G21" s="1598" t="inlineStr">
        <is>
          <t>Month 5</t>
        </is>
      </c>
      <c r="H21" s="1598" t="inlineStr">
        <is>
          <t>Month 6</t>
        </is>
      </c>
      <c r="I21" s="1598" t="inlineStr">
        <is>
          <t>Month 7</t>
        </is>
      </c>
      <c r="J21" s="1598" t="inlineStr">
        <is>
          <t>Month 8</t>
        </is>
      </c>
      <c r="K21" s="1598" t="inlineStr">
        <is>
          <t>Month 9</t>
        </is>
      </c>
      <c r="L21" s="1598" t="inlineStr">
        <is>
          <t>Month 10</t>
        </is>
      </c>
      <c r="M21" s="1598" t="inlineStr">
        <is>
          <t>Month 11</t>
        </is>
      </c>
      <c r="N21" s="1598" t="inlineStr">
        <is>
          <t>Month 12</t>
        </is>
      </c>
      <c r="O21" s="1598" t="inlineStr">
        <is>
          <t>Month 13</t>
        </is>
      </c>
      <c r="P21" s="1598" t="inlineStr">
        <is>
          <t>Month 14</t>
        </is>
      </c>
      <c r="Q21" s="1598" t="inlineStr">
        <is>
          <t>Month 15</t>
        </is>
      </c>
      <c r="R21" s="1598" t="inlineStr">
        <is>
          <t>Month 16</t>
        </is>
      </c>
      <c r="S21" s="1598" t="inlineStr">
        <is>
          <t>Month 17</t>
        </is>
      </c>
      <c r="T21" s="1598" t="inlineStr">
        <is>
          <t>Month 18</t>
        </is>
      </c>
      <c r="U21" s="1598" t="inlineStr">
        <is>
          <t>Month 19</t>
        </is>
      </c>
      <c r="V21" s="1598" t="inlineStr">
        <is>
          <t>Month 20</t>
        </is>
      </c>
      <c r="W21" s="1598" t="inlineStr">
        <is>
          <t>Month 21</t>
        </is>
      </c>
      <c r="X21" s="1598" t="inlineStr">
        <is>
          <t>Month 22</t>
        </is>
      </c>
      <c r="Y21" s="1598" t="inlineStr">
        <is>
          <t>Month 23</t>
        </is>
      </c>
      <c r="Z21" s="1598" t="inlineStr">
        <is>
          <t>Month 24</t>
        </is>
      </c>
      <c r="AA21" s="1598" t="inlineStr">
        <is>
          <t>Month 25</t>
        </is>
      </c>
      <c r="AB21" s="1598" t="inlineStr">
        <is>
          <t>Month 26</t>
        </is>
      </c>
      <c r="AC21" s="1598" t="inlineStr">
        <is>
          <t>Month 27</t>
        </is>
      </c>
      <c r="AD21" s="1598" t="inlineStr">
        <is>
          <t>Month 28</t>
        </is>
      </c>
      <c r="AE21" s="1598" t="inlineStr">
        <is>
          <t>Month 29</t>
        </is>
      </c>
      <c r="AF21" s="1598" t="inlineStr">
        <is>
          <t>Month 30</t>
        </is>
      </c>
      <c r="AG21" s="1598" t="inlineStr">
        <is>
          <t>Month 31</t>
        </is>
      </c>
      <c r="AH21" s="1598" t="inlineStr">
        <is>
          <t>Month 32</t>
        </is>
      </c>
      <c r="AI21" s="1598" t="inlineStr">
        <is>
          <t>Month 33</t>
        </is>
      </c>
      <c r="AJ21" s="1598" t="inlineStr">
        <is>
          <t>Month 34</t>
        </is>
      </c>
      <c r="AK21" s="1598" t="inlineStr">
        <is>
          <t>Month 35</t>
        </is>
      </c>
      <c r="AL21" s="1598" t="inlineStr">
        <is>
          <t>Month 36</t>
        </is>
      </c>
      <c r="AM21" s="1598" t="inlineStr">
        <is>
          <t>Month 37</t>
        </is>
      </c>
      <c r="AN21" s="1598" t="inlineStr">
        <is>
          <t>Month 38</t>
        </is>
      </c>
      <c r="AO21" s="1598" t="inlineStr">
        <is>
          <t>Month 39</t>
        </is>
      </c>
      <c r="AP21" s="1598" t="inlineStr">
        <is>
          <t>Month 40</t>
        </is>
      </c>
      <c r="AQ21" s="1598" t="inlineStr">
        <is>
          <t>Month 41</t>
        </is>
      </c>
      <c r="AR21" s="1598" t="inlineStr">
        <is>
          <t>Month 42</t>
        </is>
      </c>
      <c r="AS21" s="1598" t="inlineStr">
        <is>
          <t>Month 43</t>
        </is>
      </c>
      <c r="AT21" s="1598" t="inlineStr">
        <is>
          <t>Month 44</t>
        </is>
      </c>
      <c r="AU21" s="1598" t="inlineStr">
        <is>
          <t>Month 45</t>
        </is>
      </c>
      <c r="AV21" s="1598" t="inlineStr">
        <is>
          <t>Month 46</t>
        </is>
      </c>
      <c r="AW21" s="1598" t="inlineStr">
        <is>
          <t>Month 47</t>
        </is>
      </c>
      <c r="AX21" s="1598" t="inlineStr">
        <is>
          <t>Month 48</t>
        </is>
      </c>
      <c r="AY21" s="1598" t="inlineStr">
        <is>
          <t>Month 49</t>
        </is>
      </c>
      <c r="AZ21" s="1598" t="inlineStr">
        <is>
          <t>Month 50</t>
        </is>
      </c>
      <c r="BA21" s="1598" t="inlineStr">
        <is>
          <t>Month 51</t>
        </is>
      </c>
      <c r="BB21" s="1598" t="inlineStr">
        <is>
          <t>Month 52</t>
        </is>
      </c>
      <c r="BC21" s="1598" t="inlineStr">
        <is>
          <t>Month 53</t>
        </is>
      </c>
      <c r="BD21" s="1598" t="inlineStr">
        <is>
          <t>Month 54</t>
        </is>
      </c>
      <c r="BE21" s="1598" t="inlineStr">
        <is>
          <t>Month 55</t>
        </is>
      </c>
      <c r="BF21" s="1598" t="inlineStr">
        <is>
          <t>Month 56</t>
        </is>
      </c>
      <c r="BG21" s="1598" t="inlineStr">
        <is>
          <t>Month 57</t>
        </is>
      </c>
      <c r="BH21" s="1598" t="inlineStr">
        <is>
          <t>Month 58</t>
        </is>
      </c>
      <c r="BI21" s="1598" t="inlineStr">
        <is>
          <t>Month 59</t>
        </is>
      </c>
      <c r="BJ21" s="1598" t="inlineStr">
        <is>
          <t>Month 60</t>
        </is>
      </c>
      <c r="BK21" s="1598" t="inlineStr">
        <is>
          <t>Month 61</t>
        </is>
      </c>
      <c r="BL21" s="1598" t="inlineStr">
        <is>
          <t>Month 62</t>
        </is>
      </c>
      <c r="BM21" s="1598" t="inlineStr">
        <is>
          <t>Month 63</t>
        </is>
      </c>
      <c r="BN21" s="1598" t="inlineStr">
        <is>
          <t>Month 64</t>
        </is>
      </c>
      <c r="BO21" s="1598" t="inlineStr">
        <is>
          <t>Month 65</t>
        </is>
      </c>
      <c r="BP21" s="1598" t="inlineStr">
        <is>
          <t>Month 66</t>
        </is>
      </c>
      <c r="BQ21" s="1598" t="inlineStr">
        <is>
          <t>Month 67</t>
        </is>
      </c>
      <c r="BR21" s="1598" t="inlineStr">
        <is>
          <t>Month 68</t>
        </is>
      </c>
      <c r="BS21" s="1598" t="inlineStr">
        <is>
          <t>Month 69</t>
        </is>
      </c>
      <c r="BT21" s="1598" t="inlineStr">
        <is>
          <t>Month 70</t>
        </is>
      </c>
      <c r="BU21" s="1598" t="inlineStr">
        <is>
          <t>Month 71</t>
        </is>
      </c>
      <c r="BV21" s="1598" t="inlineStr">
        <is>
          <t>Month 72</t>
        </is>
      </c>
      <c r="BW21" s="1598" t="inlineStr">
        <is>
          <t>Month 73</t>
        </is>
      </c>
      <c r="BX21" s="1598" t="inlineStr">
        <is>
          <t>Month 74</t>
        </is>
      </c>
      <c r="BY21" s="1598" t="inlineStr">
        <is>
          <t>Month 75</t>
        </is>
      </c>
      <c r="BZ21" s="1598" t="inlineStr">
        <is>
          <t>Month 76</t>
        </is>
      </c>
      <c r="CA21" s="1598" t="inlineStr">
        <is>
          <t>Month 77</t>
        </is>
      </c>
      <c r="CB21" s="1598" t="inlineStr">
        <is>
          <t>Month 78</t>
        </is>
      </c>
      <c r="CC21" s="1598" t="inlineStr">
        <is>
          <t>Month 79</t>
        </is>
      </c>
      <c r="CD21" s="1598" t="inlineStr">
        <is>
          <t>Month 80</t>
        </is>
      </c>
      <c r="CE21" s="1598" t="inlineStr">
        <is>
          <t>Month 81</t>
        </is>
      </c>
      <c r="CF21" s="1598" t="inlineStr">
        <is>
          <t>Month 82</t>
        </is>
      </c>
      <c r="CG21" s="1598" t="inlineStr">
        <is>
          <t>Month 83</t>
        </is>
      </c>
      <c r="CH21" s="1598" t="inlineStr">
        <is>
          <t>Month 84</t>
        </is>
      </c>
      <c r="CI21" s="1598" t="inlineStr">
        <is>
          <t>Month 85</t>
        </is>
      </c>
      <c r="CJ21" s="1598" t="inlineStr">
        <is>
          <t>Month 86</t>
        </is>
      </c>
      <c r="CK21" s="1598" t="inlineStr">
        <is>
          <t>Month 87</t>
        </is>
      </c>
      <c r="CL21" s="1598" t="inlineStr">
        <is>
          <t>Month 88</t>
        </is>
      </c>
      <c r="CM21" s="1598" t="inlineStr">
        <is>
          <t>Month 89</t>
        </is>
      </c>
      <c r="CN21" s="1598" t="inlineStr">
        <is>
          <t>Month 90</t>
        </is>
      </c>
      <c r="CO21" s="1598" t="inlineStr">
        <is>
          <t>Month 91</t>
        </is>
      </c>
      <c r="CP21" s="1598" t="inlineStr">
        <is>
          <t>Month 92</t>
        </is>
      </c>
      <c r="CQ21" s="1598" t="inlineStr">
        <is>
          <t>Month 93</t>
        </is>
      </c>
      <c r="CR21" s="1598" t="inlineStr">
        <is>
          <t>Month 94</t>
        </is>
      </c>
      <c r="CS21" s="1598" t="inlineStr">
        <is>
          <t>Month 95</t>
        </is>
      </c>
      <c r="CT21" s="1598" t="inlineStr">
        <is>
          <t>Month 96</t>
        </is>
      </c>
      <c r="CU21" s="1598" t="inlineStr">
        <is>
          <t>Month 97</t>
        </is>
      </c>
      <c r="CV21" s="1598" t="inlineStr">
        <is>
          <t>Month 98</t>
        </is>
      </c>
      <c r="CW21" s="1598" t="inlineStr">
        <is>
          <t>Month 99</t>
        </is>
      </c>
      <c r="CX21" s="1598" t="inlineStr">
        <is>
          <t>Month 100</t>
        </is>
      </c>
      <c r="CY21" s="1598" t="inlineStr">
        <is>
          <t>Month 101</t>
        </is>
      </c>
      <c r="CZ21" s="1598" t="inlineStr">
        <is>
          <t>Month 102</t>
        </is>
      </c>
      <c r="DA21" s="1598" t="inlineStr">
        <is>
          <t>Month 103</t>
        </is>
      </c>
      <c r="DB21" s="1598" t="inlineStr">
        <is>
          <t>Month 104</t>
        </is>
      </c>
      <c r="DC21" s="1598" t="inlineStr">
        <is>
          <t>Month 105</t>
        </is>
      </c>
      <c r="DD21" s="1598" t="inlineStr">
        <is>
          <t>Month 106</t>
        </is>
      </c>
      <c r="DE21" s="1598" t="inlineStr">
        <is>
          <t>Month 107</t>
        </is>
      </c>
      <c r="DF21" s="658" t="n"/>
      <c r="DG21" s="1608" t="inlineStr">
        <is>
          <t>% of Market</t>
        </is>
      </c>
    </row>
    <row r="22">
      <c r="C22" s="1583" t="n"/>
      <c r="D22" s="1583" t="n"/>
      <c r="E22" s="1583" t="n"/>
      <c r="F22" s="1583" t="n"/>
      <c r="G22" s="1583" t="n"/>
      <c r="H22" s="1583" t="n"/>
      <c r="I22" s="1583" t="n"/>
      <c r="J22" s="1583" t="n"/>
      <c r="K22" s="1583" t="n"/>
      <c r="L22" s="1583" t="n"/>
      <c r="M22" s="1583" t="n"/>
      <c r="N22" s="1583" t="n"/>
      <c r="O22" s="1583" t="n"/>
      <c r="P22" s="1583" t="n"/>
      <c r="Q22" s="1583" t="n"/>
      <c r="R22" s="1583" t="n"/>
      <c r="S22" s="1583" t="n"/>
      <c r="T22" s="1583" t="n"/>
      <c r="U22" s="1583" t="n"/>
      <c r="V22" s="1583" t="n"/>
      <c r="W22" s="1583" t="n"/>
      <c r="X22" s="1583" t="n"/>
      <c r="Y22" s="1583" t="n"/>
      <c r="Z22" s="1583" t="n"/>
      <c r="AA22" s="1583" t="n"/>
      <c r="AB22" s="1583" t="n"/>
      <c r="AC22" s="1583" t="n"/>
      <c r="AD22" s="1583" t="n"/>
      <c r="AE22" s="1583" t="n"/>
      <c r="AF22" s="1583" t="n"/>
      <c r="AG22" s="1583" t="n"/>
      <c r="AH22" s="1583" t="n"/>
      <c r="AI22" s="1583" t="n"/>
      <c r="AJ22" s="1583" t="n"/>
      <c r="AK22" s="1583" t="n"/>
      <c r="AL22" s="1583" t="n"/>
      <c r="AM22" s="1583" t="n"/>
      <c r="AN22" s="1583" t="n"/>
      <c r="AO22" s="1583" t="n"/>
      <c r="AP22" s="1583" t="n"/>
      <c r="AQ22" s="1583" t="n"/>
      <c r="AR22" s="1583" t="n"/>
      <c r="AS22" s="1583" t="n"/>
      <c r="AT22" s="1583" t="n"/>
      <c r="AU22" s="1583" t="n"/>
      <c r="AV22" s="1583" t="n"/>
      <c r="AW22" s="1583" t="n"/>
      <c r="AX22" s="1583" t="n"/>
      <c r="AY22" s="1583" t="n"/>
      <c r="AZ22" s="1583" t="n"/>
      <c r="BA22" s="1583" t="n"/>
      <c r="BB22" s="1583" t="n"/>
      <c r="BC22" s="1583" t="n"/>
      <c r="BD22" s="1583" t="n"/>
      <c r="BE22" s="1583" t="n"/>
      <c r="BF22" s="1583" t="n"/>
      <c r="BG22" s="1583" t="n"/>
      <c r="BH22" s="1583" t="n"/>
      <c r="BI22" s="1583" t="n"/>
      <c r="BJ22" s="1583" t="n"/>
      <c r="BK22" s="1583" t="n"/>
      <c r="BL22" s="1583" t="n"/>
      <c r="BM22" s="1583" t="n"/>
      <c r="BN22" s="1583" t="n"/>
      <c r="BO22" s="1583" t="n"/>
      <c r="BP22" s="1583" t="n"/>
      <c r="BQ22" s="1583" t="n"/>
      <c r="BR22" s="1583" t="n"/>
      <c r="BS22" s="1583" t="n"/>
      <c r="BT22" s="1583" t="n"/>
      <c r="BU22" s="1583" t="n"/>
      <c r="BV22" s="1583" t="n"/>
      <c r="BW22" s="1583" t="n"/>
      <c r="BX22" s="1583" t="n"/>
      <c r="BY22" s="1583" t="n"/>
      <c r="BZ22" s="1583" t="n"/>
      <c r="CA22" s="1583" t="n"/>
      <c r="CB22" s="1583" t="n"/>
      <c r="CC22" s="1583" t="n"/>
      <c r="CD22" s="1583" t="n"/>
      <c r="CE22" s="1583" t="n"/>
      <c r="CF22" s="1583" t="n"/>
      <c r="CG22" s="1583" t="n"/>
      <c r="CH22" s="1583" t="n"/>
      <c r="CI22" s="1583" t="n"/>
      <c r="CJ22" s="1583" t="n"/>
      <c r="CK22" s="1583" t="n"/>
      <c r="CL22" s="1583" t="n"/>
      <c r="CM22" s="1583" t="n"/>
      <c r="CN22" s="1583" t="n"/>
      <c r="CO22" s="1583" t="n"/>
      <c r="CP22" s="1583" t="n"/>
      <c r="CQ22" s="1583" t="n"/>
      <c r="CR22" s="1583" t="n"/>
      <c r="CS22" s="1583" t="n"/>
      <c r="CT22" s="1583" t="n"/>
      <c r="CU22" s="1583" t="n"/>
      <c r="CV22" s="1583" t="n"/>
      <c r="CW22" s="1583" t="n"/>
      <c r="CX22" s="1583" t="n"/>
      <c r="CY22" s="1583" t="n"/>
      <c r="CZ22" s="1583" t="n"/>
      <c r="DA22" s="1583" t="n"/>
      <c r="DB22" s="1583" t="n"/>
      <c r="DC22" s="1583" t="n"/>
      <c r="DD22" s="1583" t="n"/>
      <c r="DE22" s="1583" t="n"/>
      <c r="DG22" s="1615" t="n"/>
      <c r="DH22" s="1614" t="n"/>
    </row>
    <row r="23">
      <c r="A23" s="658" t="inlineStr">
        <is>
          <t>Pure Influence</t>
        </is>
      </c>
      <c r="B23" s="658" t="inlineStr">
        <is>
          <t>Influencers</t>
        </is>
      </c>
      <c r="C23" s="1602" t="n"/>
      <c r="D23" s="1602" t="n"/>
      <c r="E23" s="1602" t="n"/>
      <c r="F23" s="1583">
        <f>F5*1.25</f>
        <v/>
      </c>
      <c r="G23" s="1583">
        <f>G5*1.25</f>
        <v/>
      </c>
      <c r="H23" s="1583">
        <f>H5*1.25</f>
        <v/>
      </c>
      <c r="I23" s="1583">
        <f>I5*1.25</f>
        <v/>
      </c>
      <c r="J23" s="1583">
        <f>J5*1.25</f>
        <v/>
      </c>
      <c r="K23" s="1583">
        <f>K5*1.25</f>
        <v/>
      </c>
      <c r="L23" s="1583">
        <f>L5*1.25</f>
        <v/>
      </c>
      <c r="M23" s="1583">
        <f>M5*1.25</f>
        <v/>
      </c>
      <c r="N23" s="1583">
        <f>N5*1.25</f>
        <v/>
      </c>
      <c r="O23" s="1583">
        <f>O5*1.25</f>
        <v/>
      </c>
      <c r="P23" s="1583">
        <f>P5*1.25</f>
        <v/>
      </c>
      <c r="Q23" s="1583">
        <f>Q5*1.25</f>
        <v/>
      </c>
      <c r="R23" s="1583">
        <f>R5*1.25</f>
        <v/>
      </c>
      <c r="S23" s="1583">
        <f>S5*1.25</f>
        <v/>
      </c>
      <c r="T23" s="1583">
        <f>T5*1.25</f>
        <v/>
      </c>
      <c r="U23" s="1583">
        <f>U5*1.25</f>
        <v/>
      </c>
      <c r="V23" s="1583">
        <f>V5*1.25</f>
        <v/>
      </c>
      <c r="W23" s="1583">
        <f>W5*1.25</f>
        <v/>
      </c>
      <c r="X23" s="1583">
        <f>X5*1.25</f>
        <v/>
      </c>
      <c r="Y23" s="1583">
        <f>Y5*1.25</f>
        <v/>
      </c>
      <c r="Z23" s="1583">
        <f>Z5*1.25</f>
        <v/>
      </c>
      <c r="AA23" s="1583">
        <f>AA5*1.25</f>
        <v/>
      </c>
      <c r="AB23" s="1583">
        <f>AB5*1.25</f>
        <v/>
      </c>
      <c r="AC23" s="1583">
        <f>AC5*1.25</f>
        <v/>
      </c>
      <c r="AD23" s="1583">
        <f>AD5*1.25</f>
        <v/>
      </c>
      <c r="AE23" s="1583">
        <f>AE5*1.25</f>
        <v/>
      </c>
      <c r="AF23" s="1583">
        <f>AF5*1.25</f>
        <v/>
      </c>
      <c r="AG23" s="1583">
        <f>AG5*1.25</f>
        <v/>
      </c>
      <c r="AH23" s="1583">
        <f>AH5*1.25</f>
        <v/>
      </c>
      <c r="AI23" s="1583">
        <f>AI5*1.25</f>
        <v/>
      </c>
      <c r="AJ23" s="1583">
        <f>AJ5*1.25</f>
        <v/>
      </c>
      <c r="AK23" s="1583">
        <f>AK5*1.25</f>
        <v/>
      </c>
      <c r="AL23" s="1583">
        <f>AL5*1.25</f>
        <v/>
      </c>
      <c r="AM23" s="1583">
        <f>AM5*1.25</f>
        <v/>
      </c>
      <c r="AN23" s="1583">
        <f>AN5*1.25</f>
        <v/>
      </c>
      <c r="AO23" s="1583">
        <f>AO5*1.25</f>
        <v/>
      </c>
      <c r="AP23" s="1583">
        <f>AP5*1.25</f>
        <v/>
      </c>
      <c r="AQ23" s="1583">
        <f>AQ5*1.25</f>
        <v/>
      </c>
      <c r="AR23" s="1583">
        <f>AR5*1.25</f>
        <v/>
      </c>
      <c r="AS23" s="1583">
        <f>AS5*1.25</f>
        <v/>
      </c>
      <c r="AT23" s="1583">
        <f>AT5*1.25</f>
        <v/>
      </c>
      <c r="AU23" s="1583">
        <f>AU5*1.25</f>
        <v/>
      </c>
      <c r="AV23" s="1583">
        <f>AV5*1.25</f>
        <v/>
      </c>
      <c r="AW23" s="1583">
        <f>AW5*1.25</f>
        <v/>
      </c>
      <c r="AX23" s="1583">
        <f>AX5*1.25</f>
        <v/>
      </c>
      <c r="AY23" s="1583">
        <f>AY5*1.25</f>
        <v/>
      </c>
      <c r="AZ23" s="1583">
        <f>AZ5*1.25</f>
        <v/>
      </c>
      <c r="BA23" s="1583">
        <f>BA5*1.25</f>
        <v/>
      </c>
      <c r="BB23" s="1583">
        <f>BB5*1.25</f>
        <v/>
      </c>
      <c r="BC23" s="1583">
        <f>BC5*1.25</f>
        <v/>
      </c>
      <c r="BD23" s="1583">
        <f>BD5*1.25</f>
        <v/>
      </c>
      <c r="BE23" s="1583">
        <f>BE5*1.25</f>
        <v/>
      </c>
      <c r="BF23" s="1583">
        <f>BF5*1.25</f>
        <v/>
      </c>
      <c r="BG23" s="1583">
        <f>BG5*1.25</f>
        <v/>
      </c>
      <c r="BH23" s="1583">
        <f>BH5*1.25</f>
        <v/>
      </c>
      <c r="BI23" s="1583">
        <f>BI5*1.25</f>
        <v/>
      </c>
      <c r="BJ23" s="1583">
        <f>BJ5*1.25</f>
        <v/>
      </c>
      <c r="BK23" s="1583">
        <f>BK5*1.25</f>
        <v/>
      </c>
      <c r="BL23" s="1583">
        <f>BL5*1.25</f>
        <v/>
      </c>
      <c r="BM23" s="1583">
        <f>BM5*1.25</f>
        <v/>
      </c>
      <c r="BN23" s="1583">
        <f>BN5*1.25</f>
        <v/>
      </c>
      <c r="BO23" s="1583">
        <f>BO5*1.25</f>
        <v/>
      </c>
      <c r="BP23" s="1583">
        <f>BP5*1.25</f>
        <v/>
      </c>
      <c r="BQ23" s="1583">
        <f>BQ5*1.25</f>
        <v/>
      </c>
      <c r="BR23" s="1583">
        <f>BR5*1.25</f>
        <v/>
      </c>
      <c r="BS23" s="1583">
        <f>BS5*1.25</f>
        <v/>
      </c>
      <c r="BT23" s="1583">
        <f>BT5*1.25</f>
        <v/>
      </c>
      <c r="BU23" s="1583">
        <f>BU5*1.25</f>
        <v/>
      </c>
      <c r="BV23" s="1583">
        <f>BV5*1.25</f>
        <v/>
      </c>
      <c r="BW23" s="1583">
        <f>BW5*1.25</f>
        <v/>
      </c>
      <c r="BX23" s="1583">
        <f>BX5*1.25</f>
        <v/>
      </c>
      <c r="BY23" s="1583">
        <f>BY5*1.25</f>
        <v/>
      </c>
      <c r="BZ23" s="1583">
        <f>BZ5*1.25</f>
        <v/>
      </c>
      <c r="CA23" s="1583">
        <f>CA5*1.25</f>
        <v/>
      </c>
      <c r="CB23" s="1583">
        <f>CB5*1.25</f>
        <v/>
      </c>
      <c r="CC23" s="1583">
        <f>CC5*1.25</f>
        <v/>
      </c>
      <c r="CD23" s="1583">
        <f>CD5*1.25</f>
        <v/>
      </c>
      <c r="CE23" s="1583">
        <f>CE5*1.25</f>
        <v/>
      </c>
      <c r="CF23" s="1583">
        <f>CF5*1.25</f>
        <v/>
      </c>
      <c r="CG23" s="1583">
        <f>CG5*1.25</f>
        <v/>
      </c>
      <c r="CH23" s="1583">
        <f>CH5*1.25</f>
        <v/>
      </c>
      <c r="CI23" s="1583">
        <f>CI5*1.25</f>
        <v/>
      </c>
      <c r="CJ23" s="1583">
        <f>CJ5*1.25</f>
        <v/>
      </c>
      <c r="CK23" s="1583">
        <f>CK5*1.25</f>
        <v/>
      </c>
      <c r="CL23" s="1583">
        <f>CL5*1.25</f>
        <v/>
      </c>
      <c r="CM23" s="1583">
        <f>CM5*1.25</f>
        <v/>
      </c>
      <c r="CN23" s="1583">
        <f>CN5*1.25</f>
        <v/>
      </c>
      <c r="CO23" s="1583">
        <f>CO5*1.25</f>
        <v/>
      </c>
      <c r="CP23" s="1583">
        <f>CP5*1.25</f>
        <v/>
      </c>
      <c r="CQ23" s="1583">
        <f>CQ5*1.25</f>
        <v/>
      </c>
      <c r="CR23" s="1583">
        <f>CR5*1.25</f>
        <v/>
      </c>
      <c r="CS23" s="1583">
        <f>CS5*1.25</f>
        <v/>
      </c>
      <c r="CT23" s="1583">
        <f>CT5*1.25</f>
        <v/>
      </c>
      <c r="CU23" s="1583">
        <f>CU5*1.25</f>
        <v/>
      </c>
      <c r="CV23" s="1583">
        <f>CV5*1.25</f>
        <v/>
      </c>
      <c r="CW23" s="1583">
        <f>CW5*1.25</f>
        <v/>
      </c>
      <c r="CX23" s="1583">
        <f>CX5*1.25</f>
        <v/>
      </c>
      <c r="CY23" s="1583">
        <f>CY5*1.25</f>
        <v/>
      </c>
      <c r="CZ23" s="1583">
        <f>CZ5*1.25</f>
        <v/>
      </c>
      <c r="DA23" s="1583">
        <f>DA5*1.25</f>
        <v/>
      </c>
      <c r="DB23" s="1583">
        <f>DB5*1.25</f>
        <v/>
      </c>
      <c r="DC23" s="1583">
        <f>DC5*1.25</f>
        <v/>
      </c>
      <c r="DD23" s="1583">
        <f>DD5*1.25</f>
        <v/>
      </c>
      <c r="DE23" s="1583">
        <f>DE5*1.25</f>
        <v/>
      </c>
      <c r="DF23" s="1602" t="n"/>
      <c r="DG23" s="1616">
        <f>Table24[[#This Row],[Column109]]/1000000000</f>
        <v/>
      </c>
      <c r="DH23" s="1611" t="inlineStr">
        <is>
          <t>1 billion+ influencers by 2034</t>
        </is>
      </c>
    </row>
    <row r="24">
      <c r="A24" s="658" t="n"/>
      <c r="B24" s="658" t="inlineStr">
        <is>
          <t>Brands</t>
        </is>
      </c>
      <c r="C24" s="1602" t="n"/>
      <c r="D24" s="1602" t="n"/>
      <c r="E24" s="1602" t="n"/>
      <c r="F24" s="1583">
        <f>F6*1.25</f>
        <v/>
      </c>
      <c r="G24" s="1583">
        <f>G6*1.25</f>
        <v/>
      </c>
      <c r="H24" s="1583">
        <f>H6*1.25</f>
        <v/>
      </c>
      <c r="I24" s="1583">
        <f>I6*1.25</f>
        <v/>
      </c>
      <c r="J24" s="1583">
        <f>J6*1.25</f>
        <v/>
      </c>
      <c r="K24" s="1583">
        <f>K6*1.25</f>
        <v/>
      </c>
      <c r="L24" s="1583">
        <f>L6*1.25</f>
        <v/>
      </c>
      <c r="M24" s="1583">
        <f>M6*1.25</f>
        <v/>
      </c>
      <c r="N24" s="1583">
        <f>N6*1.25</f>
        <v/>
      </c>
      <c r="O24" s="1583">
        <f>O6*1.25</f>
        <v/>
      </c>
      <c r="P24" s="1583">
        <f>P6*1.25</f>
        <v/>
      </c>
      <c r="Q24" s="1583">
        <f>Q6*1.25</f>
        <v/>
      </c>
      <c r="R24" s="1583">
        <f>R6*1.25</f>
        <v/>
      </c>
      <c r="S24" s="1583">
        <f>S6*1.25</f>
        <v/>
      </c>
      <c r="T24" s="1583">
        <f>T6*1.25</f>
        <v/>
      </c>
      <c r="U24" s="1583">
        <f>U6*1.25</f>
        <v/>
      </c>
      <c r="V24" s="1583">
        <f>V6*1.25</f>
        <v/>
      </c>
      <c r="W24" s="1583">
        <f>W6*1.25</f>
        <v/>
      </c>
      <c r="X24" s="1583">
        <f>X6*1.25</f>
        <v/>
      </c>
      <c r="Y24" s="1583">
        <f>Y6*1.25</f>
        <v/>
      </c>
      <c r="Z24" s="1583">
        <f>Z6*1.25</f>
        <v/>
      </c>
      <c r="AA24" s="1583">
        <f>AA6*1.25</f>
        <v/>
      </c>
      <c r="AB24" s="1583">
        <f>AB6*1.25</f>
        <v/>
      </c>
      <c r="AC24" s="1583">
        <f>AC6*1.25</f>
        <v/>
      </c>
      <c r="AD24" s="1583">
        <f>AD6*1.25</f>
        <v/>
      </c>
      <c r="AE24" s="1583">
        <f>AE6*1.25</f>
        <v/>
      </c>
      <c r="AF24" s="1583">
        <f>AF6*1.25</f>
        <v/>
      </c>
      <c r="AG24" s="1583">
        <f>AG6*1.25</f>
        <v/>
      </c>
      <c r="AH24" s="1583">
        <f>AH6*1.25</f>
        <v/>
      </c>
      <c r="AI24" s="1583">
        <f>AI6*1.25</f>
        <v/>
      </c>
      <c r="AJ24" s="1583">
        <f>AJ6*1.25</f>
        <v/>
      </c>
      <c r="AK24" s="1583">
        <f>AK6*1.25</f>
        <v/>
      </c>
      <c r="AL24" s="1583">
        <f>AL6*1.25</f>
        <v/>
      </c>
      <c r="AM24" s="1583">
        <f>AM6*1.25</f>
        <v/>
      </c>
      <c r="AN24" s="1583">
        <f>AN6*1.25</f>
        <v/>
      </c>
      <c r="AO24" s="1583">
        <f>AO6*1.25</f>
        <v/>
      </c>
      <c r="AP24" s="1583">
        <f>AP6*1.25</f>
        <v/>
      </c>
      <c r="AQ24" s="1583">
        <f>AQ6*1.25</f>
        <v/>
      </c>
      <c r="AR24" s="1583">
        <f>AR6*1.25</f>
        <v/>
      </c>
      <c r="AS24" s="1583">
        <f>AS6*1.25</f>
        <v/>
      </c>
      <c r="AT24" s="1583">
        <f>AT6*1.25</f>
        <v/>
      </c>
      <c r="AU24" s="1583">
        <f>AU6*1.25</f>
        <v/>
      </c>
      <c r="AV24" s="1583">
        <f>AV6*1.25</f>
        <v/>
      </c>
      <c r="AW24" s="1583">
        <f>AW6*1.25</f>
        <v/>
      </c>
      <c r="AX24" s="1583">
        <f>AX6*1.25</f>
        <v/>
      </c>
      <c r="AY24" s="1583">
        <f>AY6*1.25</f>
        <v/>
      </c>
      <c r="AZ24" s="1583">
        <f>AZ6*1.25</f>
        <v/>
      </c>
      <c r="BA24" s="1583">
        <f>BA6*1.25</f>
        <v/>
      </c>
      <c r="BB24" s="1583">
        <f>BB6*1.25</f>
        <v/>
      </c>
      <c r="BC24" s="1583">
        <f>BC6*1.25</f>
        <v/>
      </c>
      <c r="BD24" s="1583">
        <f>BD6*1.25</f>
        <v/>
      </c>
      <c r="BE24" s="1583">
        <f>BE6*1.25</f>
        <v/>
      </c>
      <c r="BF24" s="1583">
        <f>BF6*1.25</f>
        <v/>
      </c>
      <c r="BG24" s="1583">
        <f>BG6*1.25</f>
        <v/>
      </c>
      <c r="BH24" s="1583">
        <f>BH6*1.25</f>
        <v/>
      </c>
      <c r="BI24" s="1583">
        <f>BI6*1.25</f>
        <v/>
      </c>
      <c r="BJ24" s="1583">
        <f>BJ6*1.25</f>
        <v/>
      </c>
      <c r="BK24" s="1583">
        <f>BK6*1.25</f>
        <v/>
      </c>
      <c r="BL24" s="1583">
        <f>BL6*1.25</f>
        <v/>
      </c>
      <c r="BM24" s="1583">
        <f>BM6*1.25</f>
        <v/>
      </c>
      <c r="BN24" s="1583">
        <f>BN6*1.25</f>
        <v/>
      </c>
      <c r="BO24" s="1583">
        <f>BO6*1.25</f>
        <v/>
      </c>
      <c r="BP24" s="1583">
        <f>BP6*1.25</f>
        <v/>
      </c>
      <c r="BQ24" s="1583">
        <f>BQ6*1.25</f>
        <v/>
      </c>
      <c r="BR24" s="1583">
        <f>BR6*1.25</f>
        <v/>
      </c>
      <c r="BS24" s="1583">
        <f>BS6*1.25</f>
        <v/>
      </c>
      <c r="BT24" s="1583">
        <f>BT6*1.25</f>
        <v/>
      </c>
      <c r="BU24" s="1583">
        <f>BU6*1.25</f>
        <v/>
      </c>
      <c r="BV24" s="1583">
        <f>BV6*1.25</f>
        <v/>
      </c>
      <c r="BW24" s="1583">
        <f>BW6*1.25</f>
        <v/>
      </c>
      <c r="BX24" s="1583">
        <f>BX6*1.25</f>
        <v/>
      </c>
      <c r="BY24" s="1583">
        <f>BY6*1.25</f>
        <v/>
      </c>
      <c r="BZ24" s="1583">
        <f>BZ6*1.25</f>
        <v/>
      </c>
      <c r="CA24" s="1583">
        <f>CA6*1.25</f>
        <v/>
      </c>
      <c r="CB24" s="1583">
        <f>CB6*1.25</f>
        <v/>
      </c>
      <c r="CC24" s="1583">
        <f>CC6*1.25</f>
        <v/>
      </c>
      <c r="CD24" s="1583">
        <f>CD6*1.25</f>
        <v/>
      </c>
      <c r="CE24" s="1583">
        <f>CE6*1.25</f>
        <v/>
      </c>
      <c r="CF24" s="1583">
        <f>CF6*1.25</f>
        <v/>
      </c>
      <c r="CG24" s="1583">
        <f>CG6*1.25</f>
        <v/>
      </c>
      <c r="CH24" s="1583">
        <f>CH6*1.25</f>
        <v/>
      </c>
      <c r="CI24" s="1583">
        <f>CI6*1.25</f>
        <v/>
      </c>
      <c r="CJ24" s="1583">
        <f>CJ6*1.25</f>
        <v/>
      </c>
      <c r="CK24" s="1583">
        <f>CK6*1.25</f>
        <v/>
      </c>
      <c r="CL24" s="1583">
        <f>CL6*1.25</f>
        <v/>
      </c>
      <c r="CM24" s="1583">
        <f>CM6*1.25</f>
        <v/>
      </c>
      <c r="CN24" s="1583">
        <f>CN6*1.25</f>
        <v/>
      </c>
      <c r="CO24" s="1583">
        <f>CO6*1.25</f>
        <v/>
      </c>
      <c r="CP24" s="1583">
        <f>CP6*1.25</f>
        <v/>
      </c>
      <c r="CQ24" s="1583">
        <f>CQ6*1.25</f>
        <v/>
      </c>
      <c r="CR24" s="1583">
        <f>CR6*1.25</f>
        <v/>
      </c>
      <c r="CS24" s="1583">
        <f>CS6*1.25</f>
        <v/>
      </c>
      <c r="CT24" s="1583">
        <f>CT6*1.25</f>
        <v/>
      </c>
      <c r="CU24" s="1583">
        <f>CU6*1.25</f>
        <v/>
      </c>
      <c r="CV24" s="1583">
        <f>CV6*1.25</f>
        <v/>
      </c>
      <c r="CW24" s="1583">
        <f>CW6*1.25</f>
        <v/>
      </c>
      <c r="CX24" s="1583">
        <f>CX6*1.25</f>
        <v/>
      </c>
      <c r="CY24" s="1583">
        <f>CY6*1.25</f>
        <v/>
      </c>
      <c r="CZ24" s="1583">
        <f>CZ6*1.25</f>
        <v/>
      </c>
      <c r="DA24" s="1583">
        <f>DA6*1.25</f>
        <v/>
      </c>
      <c r="DB24" s="1583">
        <f>DB6*1.25</f>
        <v/>
      </c>
      <c r="DC24" s="1583">
        <f>DC6*1.25</f>
        <v/>
      </c>
      <c r="DD24" s="1583">
        <f>DD6*1.25</f>
        <v/>
      </c>
      <c r="DE24" s="1583">
        <f>DE6*1.25</f>
        <v/>
      </c>
      <c r="DF24" s="1602" t="n"/>
      <c r="DG24" s="1616">
        <f>Table24[[#This Row],[Column109]]/360000000</f>
        <v/>
      </c>
      <c r="DH24" s="1611" t="inlineStr">
        <is>
          <t>360 million companies worldwide - current #s</t>
        </is>
      </c>
    </row>
    <row r="25" customFormat="1" s="1614">
      <c r="A25" s="1611" t="n"/>
      <c r="B25" s="1611" t="inlineStr">
        <is>
          <t>Agencies</t>
        </is>
      </c>
      <c r="C25" s="1612" t="n"/>
      <c r="D25" s="1612" t="n"/>
      <c r="E25" s="1612" t="n"/>
      <c r="F25" s="1610">
        <f>F7*1.25</f>
        <v/>
      </c>
      <c r="G25" s="1610">
        <f>G7*1.25</f>
        <v/>
      </c>
      <c r="H25" s="1610">
        <f>H7*1.25</f>
        <v/>
      </c>
      <c r="I25" s="1610">
        <f>I7*1.25</f>
        <v/>
      </c>
      <c r="J25" s="1610">
        <f>J7*1.25</f>
        <v/>
      </c>
      <c r="K25" s="1610">
        <f>K7*1.25</f>
        <v/>
      </c>
      <c r="L25" s="1610">
        <f>L7*1.25</f>
        <v/>
      </c>
      <c r="M25" s="1610">
        <f>M7*1.25</f>
        <v/>
      </c>
      <c r="N25" s="1610">
        <f>N7*1.25</f>
        <v/>
      </c>
      <c r="O25" s="1610">
        <f>O7*1.25</f>
        <v/>
      </c>
      <c r="P25" s="1610">
        <f>P7*1.25</f>
        <v/>
      </c>
      <c r="Q25" s="1610">
        <f>Q7*1.25</f>
        <v/>
      </c>
      <c r="R25" s="1610">
        <f>R7*1.25</f>
        <v/>
      </c>
      <c r="S25" s="1610">
        <f>S7*1.25</f>
        <v/>
      </c>
      <c r="T25" s="1610">
        <f>T7*1.25</f>
        <v/>
      </c>
      <c r="U25" s="1610">
        <f>U7*1.25</f>
        <v/>
      </c>
      <c r="V25" s="1610">
        <f>V7*1.25</f>
        <v/>
      </c>
      <c r="W25" s="1610">
        <f>W7*1.25</f>
        <v/>
      </c>
      <c r="X25" s="1610">
        <f>X7*1.25</f>
        <v/>
      </c>
      <c r="Y25" s="1610">
        <f>Y7*1.25</f>
        <v/>
      </c>
      <c r="Z25" s="1610">
        <f>Z7*1.25</f>
        <v/>
      </c>
      <c r="AA25" s="1610">
        <f>AA7*1.25</f>
        <v/>
      </c>
      <c r="AB25" s="1610">
        <f>AB7*1.25</f>
        <v/>
      </c>
      <c r="AC25" s="1610">
        <f>AC7*1.25</f>
        <v/>
      </c>
      <c r="AD25" s="1610">
        <f>AD7*1.25</f>
        <v/>
      </c>
      <c r="AE25" s="1610">
        <f>AE7*1.25</f>
        <v/>
      </c>
      <c r="AF25" s="1610">
        <f>AF7*1.25</f>
        <v/>
      </c>
      <c r="AG25" s="1610">
        <f>AG7*1.25</f>
        <v/>
      </c>
      <c r="AH25" s="1610">
        <f>AH7*1.25</f>
        <v/>
      </c>
      <c r="AI25" s="1610">
        <f>AI7*1.25</f>
        <v/>
      </c>
      <c r="AJ25" s="1610">
        <f>AJ7*1.25</f>
        <v/>
      </c>
      <c r="AK25" s="1610">
        <f>AK7*1.25</f>
        <v/>
      </c>
      <c r="AL25" s="1610">
        <f>AL7*1.25</f>
        <v/>
      </c>
      <c r="AM25" s="1610">
        <f>AM7*1.25</f>
        <v/>
      </c>
      <c r="AN25" s="1610">
        <f>AN7*1.25</f>
        <v/>
      </c>
      <c r="AO25" s="1610">
        <f>AO7*1.25</f>
        <v/>
      </c>
      <c r="AP25" s="1610">
        <f>AP7*1.25</f>
        <v/>
      </c>
      <c r="AQ25" s="1610">
        <f>AQ7*1.25</f>
        <v/>
      </c>
      <c r="AR25" s="1610">
        <f>AR7*1.25</f>
        <v/>
      </c>
      <c r="AS25" s="1610">
        <f>AS7*1.25</f>
        <v/>
      </c>
      <c r="AT25" s="1610">
        <f>AT7*1.25</f>
        <v/>
      </c>
      <c r="AU25" s="1610">
        <f>AU7*1.25</f>
        <v/>
      </c>
      <c r="AV25" s="1610">
        <f>AV7*1.25</f>
        <v/>
      </c>
      <c r="AW25" s="1610">
        <f>AW7*1.25</f>
        <v/>
      </c>
      <c r="AX25" s="1610">
        <f>AX7*1.25</f>
        <v/>
      </c>
      <c r="AY25" s="1610">
        <f>AY7*1.25</f>
        <v/>
      </c>
      <c r="AZ25" s="1610">
        <f>AZ7*1.25</f>
        <v/>
      </c>
      <c r="BA25" s="1610">
        <f>BA7*1.25</f>
        <v/>
      </c>
      <c r="BB25" s="1610">
        <f>BB7*1.25</f>
        <v/>
      </c>
      <c r="BC25" s="1610">
        <f>BC7*1.25</f>
        <v/>
      </c>
      <c r="BD25" s="1610">
        <f>BD7*1.25</f>
        <v/>
      </c>
      <c r="BE25" s="1610">
        <f>BE7*1.25</f>
        <v/>
      </c>
      <c r="BF25" s="1610">
        <f>BF7*1.25</f>
        <v/>
      </c>
      <c r="BG25" s="1610">
        <f>BG7*1.25</f>
        <v/>
      </c>
      <c r="BH25" s="1610">
        <f>BH7*1.25</f>
        <v/>
      </c>
      <c r="BI25" s="1610">
        <f>BI7*1.25</f>
        <v/>
      </c>
      <c r="BJ25" s="1610">
        <f>BJ7*1.25</f>
        <v/>
      </c>
      <c r="BK25" s="1610">
        <f>BK7*1.25</f>
        <v/>
      </c>
      <c r="BL25" s="1610">
        <f>BL7*1.25</f>
        <v/>
      </c>
      <c r="BM25" s="1610">
        <f>BM7*1.25</f>
        <v/>
      </c>
      <c r="BN25" s="1610">
        <f>BN7*1.25</f>
        <v/>
      </c>
      <c r="BO25" s="1610">
        <f>BO7*1.25</f>
        <v/>
      </c>
      <c r="BP25" s="1610">
        <f>BP7*1.25</f>
        <v/>
      </c>
      <c r="BQ25" s="1610">
        <f>BQ7*1.25</f>
        <v/>
      </c>
      <c r="BR25" s="1610">
        <f>BR7*1.25</f>
        <v/>
      </c>
      <c r="BS25" s="1610">
        <f>BS7*1.25</f>
        <v/>
      </c>
      <c r="BT25" s="1610">
        <f>BT7*1.25</f>
        <v/>
      </c>
      <c r="BU25" s="1610">
        <f>BU7*1.25</f>
        <v/>
      </c>
      <c r="BV25" s="1610">
        <f>BV7*1.25</f>
        <v/>
      </c>
      <c r="BW25" s="1610">
        <f>BW7*1.25</f>
        <v/>
      </c>
      <c r="BX25" s="1610">
        <f>BX7*1.25</f>
        <v/>
      </c>
      <c r="BY25" s="1610">
        <f>BY7*1.25</f>
        <v/>
      </c>
      <c r="BZ25" s="1610">
        <f>BZ7*1.25</f>
        <v/>
      </c>
      <c r="CA25" s="1610">
        <f>CA7*1.25</f>
        <v/>
      </c>
      <c r="CB25" s="1610">
        <f>CB7*1.25</f>
        <v/>
      </c>
      <c r="CC25" s="1610">
        <f>CC7*1.25</f>
        <v/>
      </c>
      <c r="CD25" s="1610">
        <f>CD7*1.25</f>
        <v/>
      </c>
      <c r="CE25" s="1610">
        <f>CE7*1.25</f>
        <v/>
      </c>
      <c r="CF25" s="1610">
        <f>CF7*1.25</f>
        <v/>
      </c>
      <c r="CG25" s="1610">
        <f>CG7*1.25</f>
        <v/>
      </c>
      <c r="CH25" s="1610">
        <f>CH7*1.25</f>
        <v/>
      </c>
      <c r="CI25" s="1610">
        <f>CI7*1.25</f>
        <v/>
      </c>
      <c r="CJ25" s="1610">
        <f>CJ7*1.25</f>
        <v/>
      </c>
      <c r="CK25" s="1610">
        <f>CK7*1.25</f>
        <v/>
      </c>
      <c r="CL25" s="1610">
        <f>CL7*1.25</f>
        <v/>
      </c>
      <c r="CM25" s="1610">
        <f>CM7*1.25</f>
        <v/>
      </c>
      <c r="CN25" s="1610">
        <f>CN7*1.25</f>
        <v/>
      </c>
      <c r="CO25" s="1610">
        <f>CO7*1.25</f>
        <v/>
      </c>
      <c r="CP25" s="1610">
        <f>CP7*1.25</f>
        <v/>
      </c>
      <c r="CQ25" s="1610">
        <f>CQ7*1.25</f>
        <v/>
      </c>
      <c r="CR25" s="1610">
        <f>CR7*1.25</f>
        <v/>
      </c>
      <c r="CS25" s="1610">
        <f>CS7*1.25</f>
        <v/>
      </c>
      <c r="CT25" s="1610">
        <f>CT7*1.25</f>
        <v/>
      </c>
      <c r="CU25" s="1610">
        <f>CU7*1.25</f>
        <v/>
      </c>
      <c r="CV25" s="1610">
        <f>CV7*1.25</f>
        <v/>
      </c>
      <c r="CW25" s="1610">
        <f>CW7*1.25</f>
        <v/>
      </c>
      <c r="CX25" s="1610">
        <f>CX7*1.25</f>
        <v/>
      </c>
      <c r="CY25" s="1610">
        <f>CY7*1.25</f>
        <v/>
      </c>
      <c r="CZ25" s="1610">
        <f>CZ7*1.25</f>
        <v/>
      </c>
      <c r="DA25" s="1610">
        <f>DA7*1.25</f>
        <v/>
      </c>
      <c r="DB25" s="1610">
        <f>DB7*1.25</f>
        <v/>
      </c>
      <c r="DC25" s="1610">
        <f>DC7*1.25</f>
        <v/>
      </c>
      <c r="DD25" s="1610">
        <f>DD7*1.25</f>
        <v/>
      </c>
      <c r="DE25" s="1610">
        <f>DE7*1.25</f>
        <v/>
      </c>
      <c r="DF25" s="1612" t="n"/>
      <c r="DG25" s="1616">
        <f>Table24[[#This Row],[Column109]]/25000</f>
        <v/>
      </c>
      <c r="DH25" s="1611" t="inlineStr">
        <is>
          <t>25000 marketing agencies worldwide</t>
        </is>
      </c>
    </row>
    <row r="26">
      <c r="C26" s="1583" t="n"/>
      <c r="D26" s="1583" t="n"/>
      <c r="E26" s="1583" t="n"/>
      <c r="F26" s="1583" t="n"/>
      <c r="G26" s="1583" t="n"/>
      <c r="H26" s="1583" t="n"/>
      <c r="I26" s="1583" t="n"/>
      <c r="J26" s="1583" t="n"/>
      <c r="K26" s="1583" t="n"/>
      <c r="L26" s="1583" t="n"/>
      <c r="M26" s="1583" t="n"/>
      <c r="N26" s="1583" t="n"/>
      <c r="O26" s="1583" t="n"/>
      <c r="P26" s="1583" t="n"/>
      <c r="Q26" s="1583" t="n"/>
      <c r="R26" s="1583" t="n"/>
      <c r="S26" s="1583" t="n"/>
      <c r="T26" s="1583" t="n"/>
      <c r="U26" s="1583" t="n"/>
      <c r="V26" s="1583" t="n"/>
      <c r="W26" s="1583" t="n"/>
      <c r="X26" s="1583" t="n"/>
      <c r="Y26" s="1583" t="n"/>
      <c r="Z26" s="1583" t="n"/>
      <c r="AA26" s="1583" t="n"/>
      <c r="AB26" s="1583" t="n"/>
      <c r="AC26" s="1583" t="n"/>
      <c r="AD26" s="1583" t="n"/>
      <c r="AE26" s="1583" t="n"/>
      <c r="AF26" s="1583" t="n"/>
      <c r="AG26" s="1583" t="n"/>
      <c r="AH26" s="1583" t="n"/>
      <c r="AI26" s="1583" t="n"/>
      <c r="AJ26" s="1583" t="n"/>
      <c r="AK26" s="1583" t="n"/>
      <c r="AL26" s="1583" t="n"/>
      <c r="AM26" s="1583" t="n"/>
      <c r="AN26" s="1583" t="n"/>
      <c r="AO26" s="1583" t="n"/>
      <c r="AP26" s="1583" t="n"/>
      <c r="AQ26" s="1583" t="n"/>
      <c r="AR26" s="1583" t="n"/>
      <c r="AS26" s="1583" t="n"/>
      <c r="AT26" s="1583" t="n"/>
      <c r="AU26" s="1583" t="n"/>
      <c r="AV26" s="1583" t="n"/>
      <c r="AW26" s="1583" t="n"/>
      <c r="AX26" s="1583" t="n"/>
      <c r="AY26" s="1583" t="n"/>
      <c r="AZ26" s="1583" t="n"/>
      <c r="BA26" s="1583" t="n"/>
      <c r="BB26" s="1583" t="n"/>
      <c r="BC26" s="1583" t="n"/>
      <c r="BD26" s="1583" t="n"/>
      <c r="BE26" s="1583" t="n"/>
      <c r="BF26" s="1583" t="n"/>
      <c r="BG26" s="1583" t="n"/>
      <c r="BH26" s="1583" t="n"/>
      <c r="BI26" s="1583" t="n"/>
      <c r="BJ26" s="1583" t="n"/>
      <c r="BK26" s="1583" t="n"/>
      <c r="BL26" s="1583" t="n"/>
      <c r="BM26" s="1583" t="n"/>
      <c r="BN26" s="1583" t="n"/>
      <c r="BO26" s="1583" t="n"/>
      <c r="BP26" s="1583" t="n"/>
      <c r="BQ26" s="1583" t="n"/>
      <c r="BR26" s="1583" t="n"/>
      <c r="BS26" s="1583" t="n"/>
      <c r="BT26" s="1583" t="n"/>
      <c r="BU26" s="1583" t="n"/>
      <c r="BV26" s="1583" t="n"/>
      <c r="BW26" s="1583" t="n"/>
      <c r="BX26" s="1583" t="n"/>
      <c r="BY26" s="1583" t="n"/>
      <c r="BZ26" s="1583" t="n"/>
      <c r="CA26" s="1583" t="n"/>
      <c r="CB26" s="1583" t="n"/>
      <c r="CC26" s="1583" t="n"/>
      <c r="CD26" s="1583" t="n"/>
      <c r="CE26" s="1583" t="n"/>
      <c r="CF26" s="1583" t="n"/>
      <c r="CG26" s="1583" t="n"/>
      <c r="CH26" s="1583" t="n"/>
      <c r="CI26" s="1583" t="n"/>
      <c r="CJ26" s="1583" t="n"/>
      <c r="CK26" s="1583" t="n"/>
      <c r="CL26" s="1583" t="n"/>
      <c r="CM26" s="1583" t="n"/>
      <c r="CN26" s="1583" t="n"/>
      <c r="CO26" s="1583" t="n"/>
      <c r="CP26" s="1583" t="n"/>
      <c r="CQ26" s="1583" t="n"/>
      <c r="CR26" s="1583" t="n"/>
      <c r="CS26" s="1583" t="n"/>
      <c r="CT26" s="1583" t="n"/>
      <c r="CU26" s="1583" t="n"/>
      <c r="CV26" s="1583" t="n"/>
      <c r="CW26" s="1583" t="n"/>
      <c r="CX26" s="1583" t="n"/>
      <c r="CY26" s="1583" t="n"/>
      <c r="CZ26" s="1583" t="n"/>
      <c r="DA26" s="1583" t="n"/>
      <c r="DB26" s="1583" t="n"/>
      <c r="DC26" s="1583" t="n"/>
      <c r="DD26" s="1583" t="n"/>
      <c r="DE26" s="1583" t="n"/>
      <c r="DF26" s="1602" t="n"/>
      <c r="DG26" s="1616" t="n"/>
      <c r="DH26" s="1611" t="n"/>
    </row>
    <row r="27">
      <c r="A27" s="658" t="inlineStr">
        <is>
          <t>CPG Model</t>
        </is>
      </c>
      <c r="B27" s="658" t="inlineStr">
        <is>
          <t>Phones</t>
        </is>
      </c>
      <c r="C27" s="1602" t="n"/>
      <c r="D27" s="1602" t="n"/>
      <c r="E27" s="1602" t="n"/>
      <c r="F27" s="1583" t="n"/>
      <c r="G27" s="1583" t="n"/>
      <c r="H27" s="1583" t="n"/>
      <c r="I27" s="1583" t="n"/>
      <c r="J27" s="1583">
        <f>J9*1.25</f>
        <v/>
      </c>
      <c r="K27" s="1583">
        <f>K9*1.25</f>
        <v/>
      </c>
      <c r="L27" s="1583">
        <f>L9*1.25</f>
        <v/>
      </c>
      <c r="M27" s="1583">
        <f>M9*1.25</f>
        <v/>
      </c>
      <c r="N27" s="1583">
        <f>N9*1.25</f>
        <v/>
      </c>
      <c r="O27" s="1583">
        <f>O9*1.25</f>
        <v/>
      </c>
      <c r="P27" s="1583">
        <f>P9*1.25</f>
        <v/>
      </c>
      <c r="Q27" s="1583">
        <f>Q9*1.25</f>
        <v/>
      </c>
      <c r="R27" s="1583">
        <f>R9*1.25</f>
        <v/>
      </c>
      <c r="S27" s="1583">
        <f>S9*1.25</f>
        <v/>
      </c>
      <c r="T27" s="1583">
        <f>T9*1.25</f>
        <v/>
      </c>
      <c r="U27" s="1583">
        <f>U9*1.25</f>
        <v/>
      </c>
      <c r="V27" s="1583">
        <f>V9*1.25</f>
        <v/>
      </c>
      <c r="W27" s="1583">
        <f>W9*1.25</f>
        <v/>
      </c>
      <c r="X27" s="1583">
        <f>X9*1.25</f>
        <v/>
      </c>
      <c r="Y27" s="1583">
        <f>Y9*1.25</f>
        <v/>
      </c>
      <c r="Z27" s="1583">
        <f>Z9*1.25</f>
        <v/>
      </c>
      <c r="AA27" s="1583">
        <f>AA9*1.25</f>
        <v/>
      </c>
      <c r="AB27" s="1583">
        <f>AB9*1.25</f>
        <v/>
      </c>
      <c r="AC27" s="1583">
        <f>AC9*1.25</f>
        <v/>
      </c>
      <c r="AD27" s="1583">
        <f>AD9*1.25</f>
        <v/>
      </c>
      <c r="AE27" s="1583">
        <f>AE9*1.25</f>
        <v/>
      </c>
      <c r="AF27" s="1583">
        <f>AF9*1.25</f>
        <v/>
      </c>
      <c r="AG27" s="1583">
        <f>AG9*1.25</f>
        <v/>
      </c>
      <c r="AH27" s="1583">
        <f>AH9*1.25</f>
        <v/>
      </c>
      <c r="AI27" s="1583">
        <f>AI9*1.25</f>
        <v/>
      </c>
      <c r="AJ27" s="1583">
        <f>AJ9*1.25</f>
        <v/>
      </c>
      <c r="AK27" s="1583">
        <f>AK9*1.25</f>
        <v/>
      </c>
      <c r="AL27" s="1583">
        <f>AL9*1.25</f>
        <v/>
      </c>
      <c r="AM27" s="1583">
        <f>AM9*1.25</f>
        <v/>
      </c>
      <c r="AN27" s="1583">
        <f>AN9*1.25</f>
        <v/>
      </c>
      <c r="AO27" s="1583">
        <f>AO9*1.25</f>
        <v/>
      </c>
      <c r="AP27" s="1583">
        <f>AP9*1.25</f>
        <v/>
      </c>
      <c r="AQ27" s="1583">
        <f>AQ9*1.25</f>
        <v/>
      </c>
      <c r="AR27" s="1583">
        <f>AR9*1.25</f>
        <v/>
      </c>
      <c r="AS27" s="1583">
        <f>AS9*1.25</f>
        <v/>
      </c>
      <c r="AT27" s="1583">
        <f>AT9*1.25</f>
        <v/>
      </c>
      <c r="AU27" s="1583">
        <f>AU9*1.25</f>
        <v/>
      </c>
      <c r="AV27" s="1583">
        <f>AV9*1.25</f>
        <v/>
      </c>
      <c r="AW27" s="1583">
        <f>AW9*1.25</f>
        <v/>
      </c>
      <c r="AX27" s="1583">
        <f>AX9*1.25</f>
        <v/>
      </c>
      <c r="AY27" s="1583">
        <f>AY9*1.25</f>
        <v/>
      </c>
      <c r="AZ27" s="1583">
        <f>AZ9*1.25</f>
        <v/>
      </c>
      <c r="BA27" s="1583">
        <f>BA9*1.25</f>
        <v/>
      </c>
      <c r="BB27" s="1583">
        <f>BB9*1.25</f>
        <v/>
      </c>
      <c r="BC27" s="1583">
        <f>BC9*1.25</f>
        <v/>
      </c>
      <c r="BD27" s="1583">
        <f>BD9*1.25</f>
        <v/>
      </c>
      <c r="BE27" s="1583">
        <f>BE9*1.25</f>
        <v/>
      </c>
      <c r="BF27" s="1583">
        <f>BF9*1.25</f>
        <v/>
      </c>
      <c r="BG27" s="1583">
        <f>BG9*1.25</f>
        <v/>
      </c>
      <c r="BH27" s="1583">
        <f>BH9*1.25</f>
        <v/>
      </c>
      <c r="BI27" s="1583">
        <f>BI9*1.25</f>
        <v/>
      </c>
      <c r="BJ27" s="1583">
        <f>BJ9*1.25</f>
        <v/>
      </c>
      <c r="BK27" s="1583">
        <f>BK9*1.25</f>
        <v/>
      </c>
      <c r="BL27" s="1583">
        <f>BL9*1.25</f>
        <v/>
      </c>
      <c r="BM27" s="1583">
        <f>BM9*1.25</f>
        <v/>
      </c>
      <c r="BN27" s="1583">
        <f>BN9*1.25</f>
        <v/>
      </c>
      <c r="BO27" s="1583">
        <f>BO9*1.25</f>
        <v/>
      </c>
      <c r="BP27" s="1583">
        <f>BP9*1.25</f>
        <v/>
      </c>
      <c r="BQ27" s="1583">
        <f>BQ9*1.25</f>
        <v/>
      </c>
      <c r="BR27" s="1583">
        <f>BR9*1.25</f>
        <v/>
      </c>
      <c r="BS27" s="1583">
        <f>BS9*1.25</f>
        <v/>
      </c>
      <c r="BT27" s="1583">
        <f>BT9*1.25</f>
        <v/>
      </c>
      <c r="BU27" s="1583">
        <f>BU9*1.25</f>
        <v/>
      </c>
      <c r="BV27" s="1583">
        <f>BV9*1.25</f>
        <v/>
      </c>
      <c r="BW27" s="1583">
        <f>BW9*1.25</f>
        <v/>
      </c>
      <c r="BX27" s="1583">
        <f>BX9*1.25</f>
        <v/>
      </c>
      <c r="BY27" s="1583">
        <f>BY9*1.25</f>
        <v/>
      </c>
      <c r="BZ27" s="1583">
        <f>BZ9*1.25</f>
        <v/>
      </c>
      <c r="CA27" s="1583">
        <f>CA9*1.25</f>
        <v/>
      </c>
      <c r="CB27" s="1583">
        <f>CB9*1.25</f>
        <v/>
      </c>
      <c r="CC27" s="1583">
        <f>CC9*1.25</f>
        <v/>
      </c>
      <c r="CD27" s="1583">
        <f>CD9*1.25</f>
        <v/>
      </c>
      <c r="CE27" s="1583">
        <f>CE9*1.25</f>
        <v/>
      </c>
      <c r="CF27" s="1583">
        <f>CF9*1.25</f>
        <v/>
      </c>
      <c r="CG27" s="1583">
        <f>CG9*1.25</f>
        <v/>
      </c>
      <c r="CH27" s="1583">
        <f>CH9*1.25</f>
        <v/>
      </c>
      <c r="CI27" s="1583">
        <f>CI9*1.25</f>
        <v/>
      </c>
      <c r="CJ27" s="1583">
        <f>CJ9*1.25</f>
        <v/>
      </c>
      <c r="CK27" s="1583">
        <f>CK9*1.25</f>
        <v/>
      </c>
      <c r="CL27" s="1583">
        <f>CL9*1.25</f>
        <v/>
      </c>
      <c r="CM27" s="1583">
        <f>CM9*1.25</f>
        <v/>
      </c>
      <c r="CN27" s="1583">
        <f>CN9*1.25</f>
        <v/>
      </c>
      <c r="CO27" s="1583">
        <f>CO9*1.25</f>
        <v/>
      </c>
      <c r="CP27" s="1583">
        <f>CP9*1.25</f>
        <v/>
      </c>
      <c r="CQ27" s="1583">
        <f>CQ9*1.25</f>
        <v/>
      </c>
      <c r="CR27" s="1583">
        <f>CR9*1.25</f>
        <v/>
      </c>
      <c r="CS27" s="1583">
        <f>CS9*1.25</f>
        <v/>
      </c>
      <c r="CT27" s="1583">
        <f>CT9*1.25</f>
        <v/>
      </c>
      <c r="CU27" s="1583">
        <f>CU9*1.25</f>
        <v/>
      </c>
      <c r="CV27" s="1583">
        <f>CV9*1.25</f>
        <v/>
      </c>
      <c r="CW27" s="1583">
        <f>CW9*1.25</f>
        <v/>
      </c>
      <c r="CX27" s="1583">
        <f>CX9*1.25</f>
        <v/>
      </c>
      <c r="CY27" s="1583">
        <f>CY9*1.25</f>
        <v/>
      </c>
      <c r="CZ27" s="1583">
        <f>CZ9*1.25</f>
        <v/>
      </c>
      <c r="DA27" s="1583">
        <f>DA9*1.25</f>
        <v/>
      </c>
      <c r="DB27" s="1583">
        <f>DB9*1.25</f>
        <v/>
      </c>
      <c r="DC27" s="1583">
        <f>DC9*1.25</f>
        <v/>
      </c>
      <c r="DD27" s="1583">
        <f>DD9*1.25</f>
        <v/>
      </c>
      <c r="DE27" s="1583">
        <f>DE9*1.25</f>
        <v/>
      </c>
      <c r="DF27" s="1602" t="n"/>
      <c r="DG27" s="1616">
        <f>Table24[[#This Row],[Column109]]/5000000000</f>
        <v/>
      </c>
      <c r="DH27" s="1611" t="inlineStr">
        <is>
          <t>5 billion smart phone users worldwide - current numbers</t>
        </is>
      </c>
    </row>
    <row r="28">
      <c r="A28" s="658" t="n"/>
      <c r="B28" s="658" t="inlineStr">
        <is>
          <t>Brands</t>
        </is>
      </c>
      <c r="C28" s="1602" t="n"/>
      <c r="D28" s="1602" t="n"/>
      <c r="E28" s="1602" t="n"/>
      <c r="F28" s="1583" t="n"/>
      <c r="G28" s="1583" t="n"/>
      <c r="H28" s="1583" t="n"/>
      <c r="I28" s="1583" t="n"/>
      <c r="J28" s="1583">
        <f>J10*1.25</f>
        <v/>
      </c>
      <c r="K28" s="1583">
        <f>K10*1.25</f>
        <v/>
      </c>
      <c r="L28" s="1583">
        <f>L10*1.25</f>
        <v/>
      </c>
      <c r="M28" s="1583">
        <f>M10*1.25</f>
        <v/>
      </c>
      <c r="N28" s="1583">
        <f>N10*1.25</f>
        <v/>
      </c>
      <c r="O28" s="1583">
        <f>O10*1.25</f>
        <v/>
      </c>
      <c r="P28" s="1583">
        <f>P10*1.25</f>
        <v/>
      </c>
      <c r="Q28" s="1583">
        <f>Q10*1.25</f>
        <v/>
      </c>
      <c r="R28" s="1583">
        <f>R10*1.25</f>
        <v/>
      </c>
      <c r="S28" s="1583">
        <f>S10*1.25</f>
        <v/>
      </c>
      <c r="T28" s="1583">
        <f>T10*1.25</f>
        <v/>
      </c>
      <c r="U28" s="1583">
        <f>U10*1.25</f>
        <v/>
      </c>
      <c r="V28" s="1583">
        <f>V10*1.25</f>
        <v/>
      </c>
      <c r="W28" s="1583">
        <f>W10*1.25</f>
        <v/>
      </c>
      <c r="X28" s="1583">
        <f>X10*1.25</f>
        <v/>
      </c>
      <c r="Y28" s="1583">
        <f>Y10*1.25</f>
        <v/>
      </c>
      <c r="Z28" s="1583">
        <f>Z10*1.25</f>
        <v/>
      </c>
      <c r="AA28" s="1583">
        <f>AA10*1.25</f>
        <v/>
      </c>
      <c r="AB28" s="1583">
        <f>AB10*1.25</f>
        <v/>
      </c>
      <c r="AC28" s="1583">
        <f>AC10*1.25</f>
        <v/>
      </c>
      <c r="AD28" s="1583">
        <f>AD10*1.25</f>
        <v/>
      </c>
      <c r="AE28" s="1583">
        <f>AE10*1.25</f>
        <v/>
      </c>
      <c r="AF28" s="1583">
        <f>AF10*1.25</f>
        <v/>
      </c>
      <c r="AG28" s="1583">
        <f>AG10*1.25</f>
        <v/>
      </c>
      <c r="AH28" s="1583">
        <f>AH10*1.25</f>
        <v/>
      </c>
      <c r="AI28" s="1583">
        <f>AI10*1.25</f>
        <v/>
      </c>
      <c r="AJ28" s="1583">
        <f>AJ10*1.25</f>
        <v/>
      </c>
      <c r="AK28" s="1583">
        <f>AK10*1.25</f>
        <v/>
      </c>
      <c r="AL28" s="1583">
        <f>AL10*1.25</f>
        <v/>
      </c>
      <c r="AM28" s="1583">
        <f>AM10*1.25</f>
        <v/>
      </c>
      <c r="AN28" s="1583">
        <f>AN10*1.25</f>
        <v/>
      </c>
      <c r="AO28" s="1583">
        <f>AO10*1.25</f>
        <v/>
      </c>
      <c r="AP28" s="1583">
        <f>AP10*1.25</f>
        <v/>
      </c>
      <c r="AQ28" s="1583">
        <f>AQ10*1.25</f>
        <v/>
      </c>
      <c r="AR28" s="1583">
        <f>AR10*1.25</f>
        <v/>
      </c>
      <c r="AS28" s="1583">
        <f>AS10*1.25</f>
        <v/>
      </c>
      <c r="AT28" s="1583">
        <f>AT10*1.25</f>
        <v/>
      </c>
      <c r="AU28" s="1583">
        <f>AU10*1.25</f>
        <v/>
      </c>
      <c r="AV28" s="1583">
        <f>AV10*1.25</f>
        <v/>
      </c>
      <c r="AW28" s="1583">
        <f>AW10*1.25</f>
        <v/>
      </c>
      <c r="AX28" s="1583">
        <f>AX10*1.25</f>
        <v/>
      </c>
      <c r="AY28" s="1583">
        <f>AY10*1.25</f>
        <v/>
      </c>
      <c r="AZ28" s="1583">
        <f>AZ10*1.25</f>
        <v/>
      </c>
      <c r="BA28" s="1583">
        <f>BA10*1.25</f>
        <v/>
      </c>
      <c r="BB28" s="1583">
        <f>BB10*1.25</f>
        <v/>
      </c>
      <c r="BC28" s="1583">
        <f>BC10*1.25</f>
        <v/>
      </c>
      <c r="BD28" s="1583">
        <f>BD10*1.25</f>
        <v/>
      </c>
      <c r="BE28" s="1583">
        <f>BE10*1.25</f>
        <v/>
      </c>
      <c r="BF28" s="1583">
        <f>BF10*1.25</f>
        <v/>
      </c>
      <c r="BG28" s="1583">
        <f>BG10*1.25</f>
        <v/>
      </c>
      <c r="BH28" s="1583">
        <f>BH10*1.25</f>
        <v/>
      </c>
      <c r="BI28" s="1583">
        <f>BI10*1.25</f>
        <v/>
      </c>
      <c r="BJ28" s="1583">
        <f>BJ10*1.25</f>
        <v/>
      </c>
      <c r="BK28" s="1583">
        <f>BK10*1.25</f>
        <v/>
      </c>
      <c r="BL28" s="1583">
        <f>BL10*1.25</f>
        <v/>
      </c>
      <c r="BM28" s="1583">
        <f>BM10*1.25</f>
        <v/>
      </c>
      <c r="BN28" s="1583">
        <f>BN10*1.25</f>
        <v/>
      </c>
      <c r="BO28" s="1583">
        <f>BO10*1.25</f>
        <v/>
      </c>
      <c r="BP28" s="1583">
        <f>BP10*1.25</f>
        <v/>
      </c>
      <c r="BQ28" s="1583">
        <f>BQ10*1.25</f>
        <v/>
      </c>
      <c r="BR28" s="1583">
        <f>BR10*1.25</f>
        <v/>
      </c>
      <c r="BS28" s="1583">
        <f>BS10*1.25</f>
        <v/>
      </c>
      <c r="BT28" s="1583">
        <f>BT10*1.25</f>
        <v/>
      </c>
      <c r="BU28" s="1583">
        <f>BU10*1.25</f>
        <v/>
      </c>
      <c r="BV28" s="1583">
        <f>BV10*1.25</f>
        <v/>
      </c>
      <c r="BW28" s="1583">
        <f>BW10*1.25</f>
        <v/>
      </c>
      <c r="BX28" s="1583">
        <f>BX10*1.25</f>
        <v/>
      </c>
      <c r="BY28" s="1583">
        <f>BY10*1.25</f>
        <v/>
      </c>
      <c r="BZ28" s="1583">
        <f>BZ10*1.25</f>
        <v/>
      </c>
      <c r="CA28" s="1583">
        <f>CA10*1.25</f>
        <v/>
      </c>
      <c r="CB28" s="1583">
        <f>CB10*1.25</f>
        <v/>
      </c>
      <c r="CC28" s="1583">
        <f>CC10*1.25</f>
        <v/>
      </c>
      <c r="CD28" s="1583">
        <f>CD10*1.25</f>
        <v/>
      </c>
      <c r="CE28" s="1583">
        <f>CE10*1.25</f>
        <v/>
      </c>
      <c r="CF28" s="1583">
        <f>CF10*1.25</f>
        <v/>
      </c>
      <c r="CG28" s="1583">
        <f>CG10*1.25</f>
        <v/>
      </c>
      <c r="CH28" s="1583">
        <f>CH10*1.25</f>
        <v/>
      </c>
      <c r="CI28" s="1583">
        <f>CI10*1.25</f>
        <v/>
      </c>
      <c r="CJ28" s="1583">
        <f>CJ10*1.25</f>
        <v/>
      </c>
      <c r="CK28" s="1583">
        <f>CK10*1.25</f>
        <v/>
      </c>
      <c r="CL28" s="1583">
        <f>CL10*1.25</f>
        <v/>
      </c>
      <c r="CM28" s="1583">
        <f>CM10*1.25</f>
        <v/>
      </c>
      <c r="CN28" s="1583">
        <f>CN10*1.25</f>
        <v/>
      </c>
      <c r="CO28" s="1583">
        <f>CO10*1.25</f>
        <v/>
      </c>
      <c r="CP28" s="1583">
        <f>CP10*1.25</f>
        <v/>
      </c>
      <c r="CQ28" s="1583">
        <f>CQ10*1.25</f>
        <v/>
      </c>
      <c r="CR28" s="1583">
        <f>CR10*1.25</f>
        <v/>
      </c>
      <c r="CS28" s="1583">
        <f>CS10*1.25</f>
        <v/>
      </c>
      <c r="CT28" s="1583">
        <f>CT10*1.25</f>
        <v/>
      </c>
      <c r="CU28" s="1583">
        <f>CU10*1.25</f>
        <v/>
      </c>
      <c r="CV28" s="1583">
        <f>CV10*1.25</f>
        <v/>
      </c>
      <c r="CW28" s="1583">
        <f>CW10*1.25</f>
        <v/>
      </c>
      <c r="CX28" s="1583">
        <f>CX10*1.25</f>
        <v/>
      </c>
      <c r="CY28" s="1583">
        <f>CY10*1.25</f>
        <v/>
      </c>
      <c r="CZ28" s="1583">
        <f>CZ10*1.25</f>
        <v/>
      </c>
      <c r="DA28" s="1583">
        <f>DA10*1.25</f>
        <v/>
      </c>
      <c r="DB28" s="1583">
        <f>DB10*1.25</f>
        <v/>
      </c>
      <c r="DC28" s="1583">
        <f>DC10*1.25</f>
        <v/>
      </c>
      <c r="DD28" s="1583">
        <f>DD10*1.25</f>
        <v/>
      </c>
      <c r="DE28" s="1583">
        <f>DE10*1.25</f>
        <v/>
      </c>
      <c r="DF28" s="1602" t="n"/>
      <c r="DG28" s="1616">
        <f>Table24[[#This Row],[Column109]]/100000</f>
        <v/>
      </c>
      <c r="DH28" s="1611" t="inlineStr">
        <is>
          <t>100,000 CPG BRANDS currently</t>
        </is>
      </c>
    </row>
    <row r="29">
      <c r="C29" s="1583" t="n"/>
      <c r="D29" s="1583" t="n"/>
      <c r="E29" s="1583" t="n"/>
      <c r="F29" s="1583" t="n"/>
      <c r="G29" s="1583" t="n"/>
      <c r="H29" s="1583" t="n"/>
      <c r="I29" s="1583" t="n"/>
      <c r="J29" s="1583" t="n"/>
      <c r="K29" s="1583" t="n"/>
      <c r="L29" s="1583" t="n"/>
      <c r="M29" s="1583" t="n"/>
      <c r="N29" s="1583" t="n"/>
      <c r="O29" s="1583" t="n"/>
      <c r="P29" s="1583" t="n"/>
      <c r="Q29" s="1583" t="n"/>
      <c r="R29" s="1583" t="n"/>
      <c r="S29" s="1583" t="n"/>
      <c r="T29" s="1583" t="n"/>
      <c r="U29" s="1583" t="n"/>
      <c r="V29" s="1583" t="n"/>
      <c r="W29" s="1583" t="n"/>
      <c r="X29" s="1583" t="n"/>
      <c r="Y29" s="1583" t="n"/>
      <c r="Z29" s="1583" t="n"/>
      <c r="AA29" s="1583" t="n"/>
      <c r="AB29" s="1583" t="n"/>
      <c r="AC29" s="1583" t="n"/>
      <c r="AD29" s="1583" t="n"/>
      <c r="AE29" s="1583" t="n"/>
      <c r="AF29" s="1583" t="n"/>
      <c r="AG29" s="1583" t="n"/>
      <c r="AH29" s="1583" t="n"/>
      <c r="AI29" s="1583" t="n"/>
      <c r="AJ29" s="1583" t="n"/>
      <c r="AK29" s="1583" t="n"/>
      <c r="AL29" s="1583" t="n"/>
      <c r="AM29" s="1583" t="n"/>
      <c r="AN29" s="1583" t="n"/>
      <c r="AO29" s="1583" t="n"/>
      <c r="AP29" s="1583" t="n"/>
      <c r="AQ29" s="1583" t="n"/>
      <c r="AR29" s="1583" t="n"/>
      <c r="AS29" s="1583" t="n"/>
      <c r="AT29" s="1583" t="n"/>
      <c r="AU29" s="1583" t="n"/>
      <c r="AV29" s="1583" t="n"/>
      <c r="AW29" s="1583" t="n"/>
      <c r="AX29" s="1583" t="n"/>
      <c r="AY29" s="1583" t="n"/>
      <c r="AZ29" s="1583" t="n"/>
      <c r="BA29" s="1583" t="n"/>
      <c r="BB29" s="1583" t="n"/>
      <c r="BC29" s="1583" t="n"/>
      <c r="BD29" s="1583" t="n"/>
      <c r="BE29" s="1583" t="n"/>
      <c r="BF29" s="1583" t="n"/>
      <c r="BG29" s="1583" t="n"/>
      <c r="BH29" s="1583" t="n"/>
      <c r="BI29" s="1583" t="n"/>
      <c r="BJ29" s="1583" t="n"/>
      <c r="BK29" s="1583" t="n"/>
      <c r="BL29" s="1583" t="n"/>
      <c r="BM29" s="1583" t="n"/>
      <c r="BN29" s="1583" t="n"/>
      <c r="BO29" s="1583" t="n"/>
      <c r="BP29" s="1583" t="n"/>
      <c r="BQ29" s="1583" t="n"/>
      <c r="BR29" s="1583" t="n"/>
      <c r="BS29" s="1583" t="n"/>
      <c r="BT29" s="1583" t="n"/>
      <c r="BU29" s="1583" t="n"/>
      <c r="BV29" s="1583" t="n"/>
      <c r="BW29" s="1583" t="n"/>
      <c r="BX29" s="1583" t="n"/>
      <c r="BY29" s="1583" t="n"/>
      <c r="BZ29" s="1583" t="n"/>
      <c r="CA29" s="1583" t="n"/>
      <c r="CB29" s="1583" t="n"/>
      <c r="CC29" s="1583" t="n"/>
      <c r="CD29" s="1583" t="n"/>
      <c r="CE29" s="1583" t="n"/>
      <c r="CF29" s="1583" t="n"/>
      <c r="CG29" s="1583" t="n"/>
      <c r="CH29" s="1583" t="n"/>
      <c r="CI29" s="1583" t="n"/>
      <c r="CJ29" s="1583" t="n"/>
      <c r="CK29" s="1583" t="n"/>
      <c r="CL29" s="1583" t="n"/>
      <c r="CM29" s="1583" t="n"/>
      <c r="CN29" s="1583" t="n"/>
      <c r="CO29" s="1583" t="n"/>
      <c r="CP29" s="1583" t="n"/>
      <c r="CQ29" s="1583" t="n"/>
      <c r="CR29" s="1583" t="n"/>
      <c r="CS29" s="1583" t="n"/>
      <c r="CT29" s="1583" t="n"/>
      <c r="CU29" s="1583" t="n"/>
      <c r="CV29" s="1583" t="n"/>
      <c r="CW29" s="1583" t="n"/>
      <c r="CX29" s="1583" t="n"/>
      <c r="CY29" s="1583" t="n"/>
      <c r="CZ29" s="1583" t="n"/>
      <c r="DA29" s="1583" t="n"/>
      <c r="DB29" s="1583" t="n"/>
      <c r="DC29" s="1583" t="n"/>
      <c r="DD29" s="1583" t="n"/>
      <c r="DE29" s="1583" t="n"/>
      <c r="DF29" s="1602" t="n"/>
      <c r="DG29" s="1616" t="n"/>
      <c r="DH29" s="1611" t="n"/>
    </row>
    <row r="30">
      <c r="A30" s="658" t="inlineStr">
        <is>
          <t>Camera Commerce</t>
        </is>
      </c>
      <c r="B30" s="658" t="inlineStr">
        <is>
          <t>App Users</t>
        </is>
      </c>
      <c r="C30" s="1602" t="n"/>
      <c r="D30" s="1602" t="n"/>
      <c r="E30" s="1602" t="n"/>
      <c r="F30" s="1583" t="n"/>
      <c r="G30" s="1583" t="n"/>
      <c r="H30" s="1583" t="n"/>
      <c r="I30" s="1583" t="n"/>
      <c r="J30" s="1583" t="n"/>
      <c r="K30" s="1583">
        <f>K12*1.25</f>
        <v/>
      </c>
      <c r="L30" s="1583">
        <f>L12*1.25</f>
        <v/>
      </c>
      <c r="M30" s="1583">
        <f>M12*1.25</f>
        <v/>
      </c>
      <c r="N30" s="1583">
        <f>N12*1.25</f>
        <v/>
      </c>
      <c r="O30" s="1583">
        <f>O12*1.25</f>
        <v/>
      </c>
      <c r="P30" s="1583">
        <f>P12*1.25</f>
        <v/>
      </c>
      <c r="Q30" s="1583">
        <f>Q12*1.25</f>
        <v/>
      </c>
      <c r="R30" s="1583">
        <f>R12*1.25</f>
        <v/>
      </c>
      <c r="S30" s="1583">
        <f>S12*1.25</f>
        <v/>
      </c>
      <c r="T30" s="1583">
        <f>T12*1.25</f>
        <v/>
      </c>
      <c r="U30" s="1583">
        <f>U12*1.25</f>
        <v/>
      </c>
      <c r="V30" s="1583">
        <f>V12*1.25</f>
        <v/>
      </c>
      <c r="W30" s="1583">
        <f>W12*1.25</f>
        <v/>
      </c>
      <c r="X30" s="1583">
        <f>X12*1.25</f>
        <v/>
      </c>
      <c r="Y30" s="1583">
        <f>Y12*1.25</f>
        <v/>
      </c>
      <c r="Z30" s="1583">
        <f>Z12*1.25</f>
        <v/>
      </c>
      <c r="AA30" s="1583">
        <f>AA12*1.25</f>
        <v/>
      </c>
      <c r="AB30" s="1583">
        <f>AB12*1.25</f>
        <v/>
      </c>
      <c r="AC30" s="1583">
        <f>AC12*1.25</f>
        <v/>
      </c>
      <c r="AD30" s="1583">
        <f>AD12*1.25</f>
        <v/>
      </c>
      <c r="AE30" s="1583">
        <f>AE12*1.25</f>
        <v/>
      </c>
      <c r="AF30" s="1583">
        <f>AF12*1.25</f>
        <v/>
      </c>
      <c r="AG30" s="1583">
        <f>AG12*1.25</f>
        <v/>
      </c>
      <c r="AH30" s="1583">
        <f>AH12*1.25</f>
        <v/>
      </c>
      <c r="AI30" s="1583">
        <f>AI12*1.25</f>
        <v/>
      </c>
      <c r="AJ30" s="1583">
        <f>AJ12*1.25</f>
        <v/>
      </c>
      <c r="AK30" s="1583">
        <f>AK12*1.25</f>
        <v/>
      </c>
      <c r="AL30" s="1583">
        <f>AL12*1.25</f>
        <v/>
      </c>
      <c r="AM30" s="1583">
        <f>AM12*1.25</f>
        <v/>
      </c>
      <c r="AN30" s="1583">
        <f>AN12*1.25</f>
        <v/>
      </c>
      <c r="AO30" s="1583">
        <f>AO12*1.25</f>
        <v/>
      </c>
      <c r="AP30" s="1583">
        <f>AP12*1.25</f>
        <v/>
      </c>
      <c r="AQ30" s="1583">
        <f>AQ12*1.25</f>
        <v/>
      </c>
      <c r="AR30" s="1583">
        <f>AR12*1.25</f>
        <v/>
      </c>
      <c r="AS30" s="1583">
        <f>AS12*1.25</f>
        <v/>
      </c>
      <c r="AT30" s="1583">
        <f>AT12*1.25</f>
        <v/>
      </c>
      <c r="AU30" s="1583">
        <f>AU12*1.25</f>
        <v/>
      </c>
      <c r="AV30" s="1583">
        <f>AV12*1.25</f>
        <v/>
      </c>
      <c r="AW30" s="1583">
        <f>AW12*1.25</f>
        <v/>
      </c>
      <c r="AX30" s="1583">
        <f>AX12*1.25</f>
        <v/>
      </c>
      <c r="AY30" s="1583">
        <f>AY12*1.25</f>
        <v/>
      </c>
      <c r="AZ30" s="1583">
        <f>AZ12*1.25</f>
        <v/>
      </c>
      <c r="BA30" s="1583">
        <f>BA12*1.25</f>
        <v/>
      </c>
      <c r="BB30" s="1583">
        <f>BB12*1.25</f>
        <v/>
      </c>
      <c r="BC30" s="1583">
        <f>BC12*1.25</f>
        <v/>
      </c>
      <c r="BD30" s="1583">
        <f>BD12*1.25</f>
        <v/>
      </c>
      <c r="BE30" s="1583">
        <f>BE12*1.25</f>
        <v/>
      </c>
      <c r="BF30" s="1583">
        <f>BF12*1.25</f>
        <v/>
      </c>
      <c r="BG30" s="1583">
        <f>BG12*1.25</f>
        <v/>
      </c>
      <c r="BH30" s="1583">
        <f>BH12*1.25</f>
        <v/>
      </c>
      <c r="BI30" s="1583">
        <f>BI12*1.25</f>
        <v/>
      </c>
      <c r="BJ30" s="1583">
        <f>BJ12*1.25</f>
        <v/>
      </c>
      <c r="BK30" s="1583">
        <f>BK12*1.25</f>
        <v/>
      </c>
      <c r="BL30" s="1583">
        <f>BL12*1.25</f>
        <v/>
      </c>
      <c r="BM30" s="1583">
        <f>BM12*1.25</f>
        <v/>
      </c>
      <c r="BN30" s="1583">
        <f>BN12*1.25</f>
        <v/>
      </c>
      <c r="BO30" s="1583">
        <f>BO12*1.25</f>
        <v/>
      </c>
      <c r="BP30" s="1583">
        <f>BP12*1.25</f>
        <v/>
      </c>
      <c r="BQ30" s="1583">
        <f>BQ12*1.25</f>
        <v/>
      </c>
      <c r="BR30" s="1583">
        <f>BR12*1.25</f>
        <v/>
      </c>
      <c r="BS30" s="1583">
        <f>BS12*1.25</f>
        <v/>
      </c>
      <c r="BT30" s="1583">
        <f>BT12*1.25</f>
        <v/>
      </c>
      <c r="BU30" s="1583">
        <f>BU12*1.25</f>
        <v/>
      </c>
      <c r="BV30" s="1583">
        <f>BV12*1.25</f>
        <v/>
      </c>
      <c r="BW30" s="1583">
        <f>BW12*1.25</f>
        <v/>
      </c>
      <c r="BX30" s="1583">
        <f>BX12*1.25</f>
        <v/>
      </c>
      <c r="BY30" s="1583">
        <f>BY12*1.25</f>
        <v/>
      </c>
      <c r="BZ30" s="1583">
        <f>BZ12*1.25</f>
        <v/>
      </c>
      <c r="CA30" s="1583">
        <f>CA12*1.25</f>
        <v/>
      </c>
      <c r="CB30" s="1583">
        <f>CB12*1.25</f>
        <v/>
      </c>
      <c r="CC30" s="1583">
        <f>CC12*1.25</f>
        <v/>
      </c>
      <c r="CD30" s="1583">
        <f>CD12*1.25</f>
        <v/>
      </c>
      <c r="CE30" s="1583">
        <f>CE12*1.25</f>
        <v/>
      </c>
      <c r="CF30" s="1583">
        <f>CF12*1.25</f>
        <v/>
      </c>
      <c r="CG30" s="1583">
        <f>CG12*1.25</f>
        <v/>
      </c>
      <c r="CH30" s="1583">
        <f>CH12*1.25</f>
        <v/>
      </c>
      <c r="CI30" s="1583">
        <f>CI12*1.25</f>
        <v/>
      </c>
      <c r="CJ30" s="1583">
        <f>CJ12*1.25</f>
        <v/>
      </c>
      <c r="CK30" s="1583">
        <f>CK12*1.25</f>
        <v/>
      </c>
      <c r="CL30" s="1583">
        <f>CL12*1.25</f>
        <v/>
      </c>
      <c r="CM30" s="1583">
        <f>CM12*1.25</f>
        <v/>
      </c>
      <c r="CN30" s="1583">
        <f>CN12*1.25</f>
        <v/>
      </c>
      <c r="CO30" s="1583">
        <f>CO12*1.25</f>
        <v/>
      </c>
      <c r="CP30" s="1583">
        <f>CP12*1.25</f>
        <v/>
      </c>
      <c r="CQ30" s="1583">
        <f>CQ12*1.25</f>
        <v/>
      </c>
      <c r="CR30" s="1583">
        <f>CR12*1.25</f>
        <v/>
      </c>
      <c r="CS30" s="1583">
        <f>CS12*1.25</f>
        <v/>
      </c>
      <c r="CT30" s="1583">
        <f>CT12*1.25</f>
        <v/>
      </c>
      <c r="CU30" s="1583">
        <f>CU12*1.25</f>
        <v/>
      </c>
      <c r="CV30" s="1583">
        <f>CV12*1.25</f>
        <v/>
      </c>
      <c r="CW30" s="1583">
        <f>CW12*1.25</f>
        <v/>
      </c>
      <c r="CX30" s="1583">
        <f>CX12*1.25</f>
        <v/>
      </c>
      <c r="CY30" s="1583">
        <f>CY12*1.25</f>
        <v/>
      </c>
      <c r="CZ30" s="1583">
        <f>CZ12*1.25</f>
        <v/>
      </c>
      <c r="DA30" s="1583">
        <f>DA12*1.25</f>
        <v/>
      </c>
      <c r="DB30" s="1583">
        <f>DB12*1.25</f>
        <v/>
      </c>
      <c r="DC30" s="1583">
        <f>DC12*1.25</f>
        <v/>
      </c>
      <c r="DD30" s="1583">
        <f>DD12*1.25</f>
        <v/>
      </c>
      <c r="DE30" s="1583">
        <f>DE12*1.25</f>
        <v/>
      </c>
      <c r="DF30" s="1602" t="n"/>
      <c r="DG30" s="1616">
        <f>Table24[[#This Row],[Column109]]/8291000000</f>
        <v/>
      </c>
      <c r="DH30" s="1611" t="inlineStr">
        <is>
          <t xml:space="preserve">8 billion+ people worldwide </t>
        </is>
      </c>
    </row>
    <row r="31">
      <c r="A31" s="658" t="n"/>
      <c r="B31" s="658" t="inlineStr">
        <is>
          <t>Brands</t>
        </is>
      </c>
      <c r="C31" s="1602" t="n"/>
      <c r="D31" s="1602" t="n"/>
      <c r="E31" s="1602" t="n"/>
      <c r="F31" s="1583" t="n"/>
      <c r="G31" s="1583" t="n"/>
      <c r="H31" s="1583" t="n"/>
      <c r="I31" s="1583" t="n"/>
      <c r="J31" s="1583" t="n"/>
      <c r="K31" s="1583" t="n"/>
      <c r="L31" s="1583" t="n"/>
      <c r="M31" s="1583" t="n"/>
      <c r="N31" s="1583" t="n"/>
      <c r="O31" s="1583" t="n"/>
      <c r="P31" s="1583" t="n"/>
      <c r="Q31" s="1583" t="n"/>
      <c r="R31" s="1583" t="n"/>
      <c r="S31" s="1583" t="n"/>
      <c r="T31" s="1583" t="n"/>
      <c r="U31" s="1583" t="n"/>
      <c r="V31" s="1583" t="n"/>
      <c r="W31" s="1583" t="n"/>
      <c r="X31" s="1583" t="n"/>
      <c r="Y31" s="1583" t="n"/>
      <c r="Z31" s="1583" t="n"/>
      <c r="AA31" s="1583" t="n"/>
      <c r="AB31" s="1583" t="n"/>
      <c r="AC31" s="1583" t="n"/>
      <c r="AD31" s="1583" t="n"/>
      <c r="AE31" s="1583" t="n"/>
      <c r="AF31" s="1583" t="n"/>
      <c r="AG31" s="1583" t="n"/>
      <c r="AH31" s="1583" t="n"/>
      <c r="AI31" s="1583" t="n"/>
      <c r="AJ31" s="1583" t="n"/>
      <c r="AK31" s="1583" t="n"/>
      <c r="AL31" s="1583" t="n"/>
      <c r="AM31" s="1583" t="n"/>
      <c r="AN31" s="1583" t="n"/>
      <c r="AO31" s="1583" t="n"/>
      <c r="AP31" s="1583" t="n"/>
      <c r="AQ31" s="1583" t="n"/>
      <c r="AR31" s="1583" t="n"/>
      <c r="AS31" s="1583" t="n"/>
      <c r="AT31" s="1583" t="n"/>
      <c r="AU31" s="1583" t="n"/>
      <c r="AV31" s="1583" t="n"/>
      <c r="AW31" s="1583" t="n"/>
      <c r="AX31" s="1583" t="n"/>
      <c r="AY31" s="1583" t="n"/>
      <c r="AZ31" s="1583" t="n"/>
      <c r="BA31" s="1583" t="n"/>
      <c r="BB31" s="1583" t="n"/>
      <c r="BC31" s="1583" t="n"/>
      <c r="BD31" s="1583" t="n"/>
      <c r="BE31" s="1583" t="n"/>
      <c r="BF31" s="1583" t="n"/>
      <c r="BG31" s="1583" t="n"/>
      <c r="BH31" s="1583" t="n"/>
      <c r="BI31" s="1583" t="n"/>
      <c r="BJ31" s="1583" t="n"/>
      <c r="BK31" s="1583" t="n"/>
      <c r="BL31" s="1583" t="n"/>
      <c r="BM31" s="1583" t="n"/>
      <c r="BN31" s="1583" t="n"/>
      <c r="BO31" s="1583" t="n"/>
      <c r="BP31" s="1583" t="n"/>
      <c r="BQ31" s="1583" t="n"/>
      <c r="BR31" s="1583" t="n"/>
      <c r="BS31" s="1583" t="n"/>
      <c r="BT31" s="1583" t="n"/>
      <c r="BU31" s="1583" t="n"/>
      <c r="BV31" s="1583" t="n"/>
      <c r="BW31" s="1583" t="n"/>
      <c r="BX31" s="1583" t="n"/>
      <c r="BY31" s="1583" t="n"/>
      <c r="BZ31" s="1583" t="n"/>
      <c r="CA31" s="1583" t="n"/>
      <c r="CB31" s="1583" t="n"/>
      <c r="CC31" s="1583" t="n"/>
      <c r="CD31" s="1583" t="n"/>
      <c r="CE31" s="1583" t="n"/>
      <c r="CF31" s="1583" t="n"/>
      <c r="CG31" s="1583" t="n"/>
      <c r="CH31" s="1583" t="n"/>
      <c r="CI31" s="1583" t="n"/>
      <c r="CJ31" s="1583" t="n"/>
      <c r="CK31" s="1583" t="n"/>
      <c r="CL31" s="1583" t="n"/>
      <c r="CM31" s="1583" t="n"/>
      <c r="CN31" s="1583" t="n"/>
      <c r="CO31" s="1583" t="n"/>
      <c r="CP31" s="1583" t="n"/>
      <c r="CQ31" s="1583" t="n"/>
      <c r="CR31" s="1583" t="n"/>
      <c r="CS31" s="1583" t="n"/>
      <c r="CT31" s="1583" t="n"/>
      <c r="CU31" s="1583" t="n"/>
      <c r="CV31" s="1583" t="n"/>
      <c r="CW31" s="1583" t="n"/>
      <c r="CX31" s="1583" t="n"/>
      <c r="CY31" s="1583" t="n"/>
      <c r="CZ31" s="1583" t="n"/>
      <c r="DA31" s="1583" t="n"/>
      <c r="DB31" s="1583" t="n"/>
      <c r="DC31" s="1583" t="n"/>
      <c r="DD31" s="1583" t="n"/>
      <c r="DE31" s="1583" t="n"/>
      <c r="DF31" s="1602" t="n"/>
      <c r="DG31" s="1616" t="n"/>
      <c r="DH31" s="1611" t="n"/>
    </row>
    <row r="32">
      <c r="C32" s="1583" t="n"/>
      <c r="D32" s="1583" t="n"/>
      <c r="E32" s="1583" t="n"/>
      <c r="F32" s="1583" t="n"/>
      <c r="G32" s="1583" t="n"/>
      <c r="H32" s="1583" t="n"/>
      <c r="I32" s="1583" t="n"/>
      <c r="J32" s="1583" t="n"/>
      <c r="K32" s="1583" t="n"/>
      <c r="L32" s="1583" t="n"/>
      <c r="M32" s="1583" t="n"/>
      <c r="N32" s="1583" t="n"/>
      <c r="O32" s="1583" t="n"/>
      <c r="P32" s="1583" t="n"/>
      <c r="Q32" s="1583" t="n"/>
      <c r="R32" s="1583" t="n"/>
      <c r="S32" s="1583" t="n"/>
      <c r="T32" s="1583" t="n"/>
      <c r="U32" s="1583" t="n"/>
      <c r="V32" s="1583" t="n"/>
      <c r="W32" s="1583" t="n"/>
      <c r="X32" s="1583" t="n"/>
      <c r="Y32" s="1583" t="n"/>
      <c r="Z32" s="1583" t="n"/>
      <c r="AA32" s="1583" t="n"/>
      <c r="AB32" s="1583" t="n"/>
      <c r="AC32" s="1583" t="n"/>
      <c r="AD32" s="1583" t="n"/>
      <c r="AE32" s="1583" t="n"/>
      <c r="AF32" s="1583" t="n"/>
      <c r="AG32" s="1583" t="n"/>
      <c r="AH32" s="1583" t="n"/>
      <c r="AI32" s="1583" t="n"/>
      <c r="AJ32" s="1583" t="n"/>
      <c r="AK32" s="1583" t="n"/>
      <c r="AL32" s="1583" t="n"/>
      <c r="AM32" s="1583" t="n"/>
      <c r="AN32" s="1583" t="n"/>
      <c r="AO32" s="1583" t="n"/>
      <c r="AP32" s="1583" t="n"/>
      <c r="AQ32" s="1583" t="n"/>
      <c r="AR32" s="1583" t="n"/>
      <c r="AS32" s="1583" t="n"/>
      <c r="AT32" s="1583" t="n"/>
      <c r="AU32" s="1583" t="n"/>
      <c r="AV32" s="1583" t="n"/>
      <c r="AW32" s="1583" t="n"/>
      <c r="AX32" s="1583" t="n"/>
      <c r="AY32" s="1583" t="n"/>
      <c r="AZ32" s="1583" t="n"/>
      <c r="BA32" s="1583" t="n"/>
      <c r="BB32" s="1583" t="n"/>
      <c r="BC32" s="1583" t="n"/>
      <c r="BD32" s="1583" t="n"/>
      <c r="BE32" s="1583" t="n"/>
      <c r="BF32" s="1583" t="n"/>
      <c r="BG32" s="1583" t="n"/>
      <c r="BH32" s="1583" t="n"/>
      <c r="BI32" s="1583" t="n"/>
      <c r="BJ32" s="1583" t="n"/>
      <c r="BK32" s="1583" t="n"/>
      <c r="BL32" s="1583" t="n"/>
      <c r="BM32" s="1583" t="n"/>
      <c r="BN32" s="1583" t="n"/>
      <c r="BO32" s="1583" t="n"/>
      <c r="BP32" s="1583" t="n"/>
      <c r="BQ32" s="1583" t="n"/>
      <c r="BR32" s="1583" t="n"/>
      <c r="BS32" s="1583" t="n"/>
      <c r="BT32" s="1583" t="n"/>
      <c r="BU32" s="1583" t="n"/>
      <c r="BV32" s="1583" t="n"/>
      <c r="BW32" s="1583" t="n"/>
      <c r="BX32" s="1583" t="n"/>
      <c r="BY32" s="1583" t="n"/>
      <c r="BZ32" s="1583" t="n"/>
      <c r="CA32" s="1583" t="n"/>
      <c r="CB32" s="1583" t="n"/>
      <c r="CC32" s="1583" t="n"/>
      <c r="CD32" s="1583" t="n"/>
      <c r="CE32" s="1583" t="n"/>
      <c r="CF32" s="1583" t="n"/>
      <c r="CG32" s="1583" t="n"/>
      <c r="CH32" s="1583" t="n"/>
      <c r="CI32" s="1583" t="n"/>
      <c r="CJ32" s="1583" t="n"/>
      <c r="CK32" s="1583" t="n"/>
      <c r="CL32" s="1583" t="n"/>
      <c r="CM32" s="1583" t="n"/>
      <c r="CN32" s="1583" t="n"/>
      <c r="CO32" s="1583" t="n"/>
      <c r="CP32" s="1583" t="n"/>
      <c r="CQ32" s="1583" t="n"/>
      <c r="CR32" s="1583" t="n"/>
      <c r="CS32" s="1583" t="n"/>
      <c r="CT32" s="1583" t="n"/>
      <c r="CU32" s="1583" t="n"/>
      <c r="CV32" s="1583" t="n"/>
      <c r="CW32" s="1583" t="n"/>
      <c r="CX32" s="1583" t="n"/>
      <c r="CY32" s="1583" t="n"/>
      <c r="CZ32" s="1583" t="n"/>
      <c r="DA32" s="1583" t="n"/>
      <c r="DB32" s="1583" t="n"/>
      <c r="DC32" s="1583" t="n"/>
      <c r="DD32" s="1583" t="n"/>
      <c r="DE32" s="1583" t="n"/>
      <c r="DF32" s="1602" t="n"/>
      <c r="DG32" s="1616" t="n"/>
      <c r="DH32" s="1611" t="n"/>
    </row>
    <row r="33">
      <c r="A33" s="658" t="inlineStr">
        <is>
          <t>Core Model</t>
        </is>
      </c>
      <c r="B33" s="658" t="inlineStr">
        <is>
          <t>Phones</t>
        </is>
      </c>
      <c r="C33" s="1602" t="n"/>
      <c r="D33" s="1602" t="n"/>
      <c r="E33" s="1602" t="n"/>
      <c r="F33" s="1583" t="n"/>
      <c r="G33" s="1583" t="n"/>
      <c r="H33" s="1583" t="n"/>
      <c r="I33" s="1583" t="n"/>
      <c r="J33" s="1583" t="n"/>
      <c r="K33" s="1583" t="n"/>
      <c r="L33" s="1583" t="n"/>
      <c r="M33" s="1583" t="n"/>
      <c r="N33" s="1583" t="n"/>
      <c r="O33" s="1583">
        <f>O15*1.5</f>
        <v/>
      </c>
      <c r="P33" s="1583">
        <f>P15*1.5</f>
        <v/>
      </c>
      <c r="Q33" s="1583">
        <f>Q15*1.5</f>
        <v/>
      </c>
      <c r="R33" s="1583">
        <f>R15*1.5</f>
        <v/>
      </c>
      <c r="S33" s="1583">
        <f>S15*1.5</f>
        <v/>
      </c>
      <c r="T33" s="1583">
        <f>T15*1.5</f>
        <v/>
      </c>
      <c r="U33" s="1583">
        <f>U15*1.5</f>
        <v/>
      </c>
      <c r="V33" s="1583">
        <f>V15*1.5</f>
        <v/>
      </c>
      <c r="W33" s="1583">
        <f>W15*1.5</f>
        <v/>
      </c>
      <c r="X33" s="1583">
        <f>X15*1.5</f>
        <v/>
      </c>
      <c r="Y33" s="1583">
        <f>Y15*1.5</f>
        <v/>
      </c>
      <c r="Z33" s="1583">
        <f>Z15*1.5</f>
        <v/>
      </c>
      <c r="AA33" s="1583">
        <f>AA15*1.5</f>
        <v/>
      </c>
      <c r="AB33" s="1583">
        <f>AB15*1.5</f>
        <v/>
      </c>
      <c r="AC33" s="1583">
        <f>AC15*1.5</f>
        <v/>
      </c>
      <c r="AD33" s="1583">
        <f>AD15*1.5</f>
        <v/>
      </c>
      <c r="AE33" s="1583">
        <f>AE15*1.5</f>
        <v/>
      </c>
      <c r="AF33" s="1583">
        <f>AF15*1.5</f>
        <v/>
      </c>
      <c r="AG33" s="1583">
        <f>AG15*1.5</f>
        <v/>
      </c>
      <c r="AH33" s="1583">
        <f>AH15*1.5</f>
        <v/>
      </c>
      <c r="AI33" s="1583">
        <f>AI15*1.5</f>
        <v/>
      </c>
      <c r="AJ33" s="1583">
        <f>AJ15*1.5</f>
        <v/>
      </c>
      <c r="AK33" s="1583">
        <f>AK15*1.5</f>
        <v/>
      </c>
      <c r="AL33" s="1583">
        <f>AL15*1.5</f>
        <v/>
      </c>
      <c r="AM33" s="1583">
        <f>AM15*1.5</f>
        <v/>
      </c>
      <c r="AN33" s="1583">
        <f>AN15*1.5</f>
        <v/>
      </c>
      <c r="AO33" s="1583">
        <f>AO15*1.5</f>
        <v/>
      </c>
      <c r="AP33" s="1583">
        <f>AP15*1.5</f>
        <v/>
      </c>
      <c r="AQ33" s="1583">
        <f>AQ15*1.5</f>
        <v/>
      </c>
      <c r="AR33" s="1583">
        <f>AR15*1.5</f>
        <v/>
      </c>
      <c r="AS33" s="1583">
        <f>AS15*1.5</f>
        <v/>
      </c>
      <c r="AT33" s="1583">
        <f>AT15*1.5</f>
        <v/>
      </c>
      <c r="AU33" s="1583">
        <f>AU15*1.5</f>
        <v/>
      </c>
      <c r="AV33" s="1583">
        <f>AV15*1.5</f>
        <v/>
      </c>
      <c r="AW33" s="1583">
        <f>AW15*1.5</f>
        <v/>
      </c>
      <c r="AX33" s="1583">
        <f>AX15*1.5</f>
        <v/>
      </c>
      <c r="AY33" s="1583">
        <f>AY15*1.5</f>
        <v/>
      </c>
      <c r="AZ33" s="1583">
        <f>AZ15*1.5</f>
        <v/>
      </c>
      <c r="BA33" s="1583">
        <f>BA15*1.5</f>
        <v/>
      </c>
      <c r="BB33" s="1583">
        <f>BB15*1.5</f>
        <v/>
      </c>
      <c r="BC33" s="1583">
        <f>BC15*1.5</f>
        <v/>
      </c>
      <c r="BD33" s="1583">
        <f>BD15*1.5</f>
        <v/>
      </c>
      <c r="BE33" s="1583">
        <f>BE15*1.5</f>
        <v/>
      </c>
      <c r="BF33" s="1583">
        <f>BF15*1.5</f>
        <v/>
      </c>
      <c r="BG33" s="1583">
        <f>BG15*1.5</f>
        <v/>
      </c>
      <c r="BH33" s="1583">
        <f>BH15*1.5</f>
        <v/>
      </c>
      <c r="BI33" s="1583">
        <f>BI15*1.5</f>
        <v/>
      </c>
      <c r="BJ33" s="1583">
        <f>BJ15*1.5</f>
        <v/>
      </c>
      <c r="BK33" s="1583">
        <f>BK15*1.5</f>
        <v/>
      </c>
      <c r="BL33" s="1583">
        <f>BL15*1.5</f>
        <v/>
      </c>
      <c r="BM33" s="1583">
        <f>BM15*1.5</f>
        <v/>
      </c>
      <c r="BN33" s="1583">
        <f>BN15*1.5</f>
        <v/>
      </c>
      <c r="BO33" s="1583">
        <f>BO15*1.5</f>
        <v/>
      </c>
      <c r="BP33" s="1583">
        <f>BP15*1.5</f>
        <v/>
      </c>
      <c r="BQ33" s="1583">
        <f>BQ15*1.5</f>
        <v/>
      </c>
      <c r="BR33" s="1583">
        <f>BR15*1.5</f>
        <v/>
      </c>
      <c r="BS33" s="1583">
        <f>BS15*1.5</f>
        <v/>
      </c>
      <c r="BT33" s="1583">
        <f>BT15*1.5</f>
        <v/>
      </c>
      <c r="BU33" s="1583">
        <f>BU15*1.5</f>
        <v/>
      </c>
      <c r="BV33" s="1583">
        <f>BV15*1.5</f>
        <v/>
      </c>
      <c r="BW33" s="1583">
        <f>BW15*1.5</f>
        <v/>
      </c>
      <c r="BX33" s="1583">
        <f>BX15*1.5</f>
        <v/>
      </c>
      <c r="BY33" s="1583">
        <f>BY15*1.5</f>
        <v/>
      </c>
      <c r="BZ33" s="1583">
        <f>BZ15*1.5</f>
        <v/>
      </c>
      <c r="CA33" s="1583">
        <f>CA15*1.5</f>
        <v/>
      </c>
      <c r="CB33" s="1583">
        <f>CB15*1.5</f>
        <v/>
      </c>
      <c r="CC33" s="1583">
        <f>CC15*1.5</f>
        <v/>
      </c>
      <c r="CD33" s="1583">
        <f>CD15*1.5</f>
        <v/>
      </c>
      <c r="CE33" s="1583">
        <f>CE15*1.5</f>
        <v/>
      </c>
      <c r="CF33" s="1583">
        <f>CF15*1.5</f>
        <v/>
      </c>
      <c r="CG33" s="1583">
        <f>CG15*1.5</f>
        <v/>
      </c>
      <c r="CH33" s="1583">
        <f>CH15*1.5</f>
        <v/>
      </c>
      <c r="CI33" s="1583">
        <f>CI15*1.5</f>
        <v/>
      </c>
      <c r="CJ33" s="1583">
        <f>CJ15*1.5</f>
        <v/>
      </c>
      <c r="CK33" s="1583">
        <f>CK15*1.5</f>
        <v/>
      </c>
      <c r="CL33" s="1583">
        <f>CL15*1.5</f>
        <v/>
      </c>
      <c r="CM33" s="1583">
        <f>CM15*1.5</f>
        <v/>
      </c>
      <c r="CN33" s="1583">
        <f>CN15*1.5</f>
        <v/>
      </c>
      <c r="CO33" s="1583">
        <f>CO15*1.5</f>
        <v/>
      </c>
      <c r="CP33" s="1583">
        <f>CP15*1.5</f>
        <v/>
      </c>
      <c r="CQ33" s="1583">
        <f>CQ15*1.5</f>
        <v/>
      </c>
      <c r="CR33" s="1583">
        <f>CR15*1.5</f>
        <v/>
      </c>
      <c r="CS33" s="1583">
        <f>CS15*1.5</f>
        <v/>
      </c>
      <c r="CT33" s="1583">
        <f>CT15*1.5</f>
        <v/>
      </c>
      <c r="CU33" s="1583">
        <f>CU15*1.5</f>
        <v/>
      </c>
      <c r="CV33" s="1583">
        <f>CV15*1.5</f>
        <v/>
      </c>
      <c r="CW33" s="1583">
        <f>CW15*1.5</f>
        <v/>
      </c>
      <c r="CX33" s="1583">
        <f>CX15*1.5</f>
        <v/>
      </c>
      <c r="CY33" s="1583">
        <f>CY15*1.5</f>
        <v/>
      </c>
      <c r="CZ33" s="1583">
        <f>CZ15*1.5</f>
        <v/>
      </c>
      <c r="DA33" s="1583">
        <f>DA15*1.5</f>
        <v/>
      </c>
      <c r="DB33" s="1583">
        <f>DB15*1.5</f>
        <v/>
      </c>
      <c r="DC33" s="1583">
        <f>DC15*1.5</f>
        <v/>
      </c>
      <c r="DD33" s="1583">
        <f>DD15*1.5</f>
        <v/>
      </c>
      <c r="DE33" s="1583">
        <f>DE15*1.5</f>
        <v/>
      </c>
      <c r="DF33" s="1602" t="n"/>
      <c r="DG33" s="1616">
        <f>Table24[[#This Row],[Column109]]/5000000000</f>
        <v/>
      </c>
      <c r="DH33" s="1611" t="inlineStr">
        <is>
          <t>5 billion smart phone users worldwide - current numbers</t>
        </is>
      </c>
    </row>
    <row r="34">
      <c r="A34" s="658" t="n"/>
      <c r="B34" s="658" t="inlineStr">
        <is>
          <t>Brands</t>
        </is>
      </c>
      <c r="C34" s="1602" t="n"/>
      <c r="D34" s="1602" t="n"/>
      <c r="E34" s="1602" t="n"/>
      <c r="F34" s="1583" t="n"/>
      <c r="G34" s="1583" t="n"/>
      <c r="H34" s="1583" t="n"/>
      <c r="I34" s="1583" t="n"/>
      <c r="J34" s="1583" t="n"/>
      <c r="K34" s="1583" t="n"/>
      <c r="L34" s="1583" t="n"/>
      <c r="M34" s="1583">
        <f>M16*1.25</f>
        <v/>
      </c>
      <c r="N34" s="1583">
        <f>N16*1.25</f>
        <v/>
      </c>
      <c r="O34" s="1583">
        <f>O16*1.25</f>
        <v/>
      </c>
      <c r="P34" s="1583">
        <f>P16*1.25</f>
        <v/>
      </c>
      <c r="Q34" s="1583">
        <f>Q16*1.25</f>
        <v/>
      </c>
      <c r="R34" s="1583">
        <f>R16*1.25</f>
        <v/>
      </c>
      <c r="S34" s="1583">
        <f>S16*1.25</f>
        <v/>
      </c>
      <c r="T34" s="1583">
        <f>T16*1.25</f>
        <v/>
      </c>
      <c r="U34" s="1583">
        <f>U16*1.25</f>
        <v/>
      </c>
      <c r="V34" s="1583">
        <f>V16*1.25</f>
        <v/>
      </c>
      <c r="W34" s="1583">
        <f>W16*1.25</f>
        <v/>
      </c>
      <c r="X34" s="1583">
        <f>X16*1.25</f>
        <v/>
      </c>
      <c r="Y34" s="1583">
        <f>Y16*1.25</f>
        <v/>
      </c>
      <c r="Z34" s="1583">
        <f>Z16*1.25</f>
        <v/>
      </c>
      <c r="AA34" s="1583">
        <f>AA16*1.25</f>
        <v/>
      </c>
      <c r="AB34" s="1583">
        <f>AB16*1.25</f>
        <v/>
      </c>
      <c r="AC34" s="1583">
        <f>AC16*1.25</f>
        <v/>
      </c>
      <c r="AD34" s="1583">
        <f>AD16*1.25</f>
        <v/>
      </c>
      <c r="AE34" s="1583">
        <f>AE16*1.25</f>
        <v/>
      </c>
      <c r="AF34" s="1583">
        <f>AF16*1.25</f>
        <v/>
      </c>
      <c r="AG34" s="1583">
        <f>AG16*1.25</f>
        <v/>
      </c>
      <c r="AH34" s="1583">
        <f>AH16*1.25</f>
        <v/>
      </c>
      <c r="AI34" s="1583">
        <f>AI16*1.25</f>
        <v/>
      </c>
      <c r="AJ34" s="1583">
        <f>AJ16*1.25</f>
        <v/>
      </c>
      <c r="AK34" s="1583">
        <f>AK16*1.25</f>
        <v/>
      </c>
      <c r="AL34" s="1583">
        <f>AL16*1.25</f>
        <v/>
      </c>
      <c r="AM34" s="1583">
        <f>AM16*1.25</f>
        <v/>
      </c>
      <c r="AN34" s="1583">
        <f>AN16*1.25</f>
        <v/>
      </c>
      <c r="AO34" s="1583">
        <f>AO16*1.25</f>
        <v/>
      </c>
      <c r="AP34" s="1583">
        <f>AP16*1.25</f>
        <v/>
      </c>
      <c r="AQ34" s="1583">
        <f>AQ16*1.25</f>
        <v/>
      </c>
      <c r="AR34" s="1583">
        <f>AR16*1.25</f>
        <v/>
      </c>
      <c r="AS34" s="1583">
        <f>AS16*1.25</f>
        <v/>
      </c>
      <c r="AT34" s="1583">
        <f>AT16*1.25</f>
        <v/>
      </c>
      <c r="AU34" s="1583">
        <f>AU16*1.25</f>
        <v/>
      </c>
      <c r="AV34" s="1583">
        <f>AV16*1.25</f>
        <v/>
      </c>
      <c r="AW34" s="1583">
        <f>AW16*1.25</f>
        <v/>
      </c>
      <c r="AX34" s="1583">
        <f>AX16*1.25</f>
        <v/>
      </c>
      <c r="AY34" s="1583">
        <f>AY16*1.25</f>
        <v/>
      </c>
      <c r="AZ34" s="1583">
        <f>AZ16*1.25</f>
        <v/>
      </c>
      <c r="BA34" s="1583">
        <f>BA16*1.25</f>
        <v/>
      </c>
      <c r="BB34" s="1583">
        <f>BB16*1.25</f>
        <v/>
      </c>
      <c r="BC34" s="1583">
        <f>BC16*1.25</f>
        <v/>
      </c>
      <c r="BD34" s="1583">
        <f>BD16*1.25</f>
        <v/>
      </c>
      <c r="BE34" s="1583">
        <f>BE16*1.25</f>
        <v/>
      </c>
      <c r="BF34" s="1583">
        <f>BF16*1.25</f>
        <v/>
      </c>
      <c r="BG34" s="1583">
        <f>BG16*1.25</f>
        <v/>
      </c>
      <c r="BH34" s="1583">
        <f>BH16*1.25</f>
        <v/>
      </c>
      <c r="BI34" s="1583">
        <f>BI16*1.25</f>
        <v/>
      </c>
      <c r="BJ34" s="1583">
        <f>BJ16*1.25</f>
        <v/>
      </c>
      <c r="BK34" s="1583">
        <f>BK16*1.25</f>
        <v/>
      </c>
      <c r="BL34" s="1583">
        <f>BL16*1.25</f>
        <v/>
      </c>
      <c r="BM34" s="1583">
        <f>BM16*1.25</f>
        <v/>
      </c>
      <c r="BN34" s="1583">
        <f>BN16*1.25</f>
        <v/>
      </c>
      <c r="BO34" s="1583">
        <f>BO16*1.25</f>
        <v/>
      </c>
      <c r="BP34" s="1583">
        <f>BP16*1.25</f>
        <v/>
      </c>
      <c r="BQ34" s="1583">
        <f>BQ16*1.25</f>
        <v/>
      </c>
      <c r="BR34" s="1583">
        <f>BR16*1.25</f>
        <v/>
      </c>
      <c r="BS34" s="1583">
        <f>BS16*1.25</f>
        <v/>
      </c>
      <c r="BT34" s="1583">
        <f>BT16*1.25</f>
        <v/>
      </c>
      <c r="BU34" s="1583">
        <f>BU16*1.25</f>
        <v/>
      </c>
      <c r="BV34" s="1583">
        <f>BV16*1.25</f>
        <v/>
      </c>
      <c r="BW34" s="1583">
        <f>BW16*1.25</f>
        <v/>
      </c>
      <c r="BX34" s="1583">
        <f>BX16*1.25</f>
        <v/>
      </c>
      <c r="BY34" s="1583">
        <f>BY16*1.25</f>
        <v/>
      </c>
      <c r="BZ34" s="1583">
        <f>BZ16*1.25</f>
        <v/>
      </c>
      <c r="CA34" s="1583">
        <f>CA16*1.25</f>
        <v/>
      </c>
      <c r="CB34" s="1583">
        <f>CB16*1.25</f>
        <v/>
      </c>
      <c r="CC34" s="1583">
        <f>CC16*1.25</f>
        <v/>
      </c>
      <c r="CD34" s="1583">
        <f>CD16*1.25</f>
        <v/>
      </c>
      <c r="CE34" s="1583">
        <f>CE16*1.25</f>
        <v/>
      </c>
      <c r="CF34" s="1583">
        <f>CF16*1.25</f>
        <v/>
      </c>
      <c r="CG34" s="1583">
        <f>CG16*1.25</f>
        <v/>
      </c>
      <c r="CH34" s="1583">
        <f>CH16*1.25</f>
        <v/>
      </c>
      <c r="CI34" s="1583">
        <f>CI16*1.25</f>
        <v/>
      </c>
      <c r="CJ34" s="1583">
        <f>CJ16*1.25</f>
        <v/>
      </c>
      <c r="CK34" s="1583">
        <f>CK16*1.25</f>
        <v/>
      </c>
      <c r="CL34" s="1583">
        <f>CL16*1.25</f>
        <v/>
      </c>
      <c r="CM34" s="1583">
        <f>CM16*1.25</f>
        <v/>
      </c>
      <c r="CN34" s="1583">
        <f>CN16*1.25</f>
        <v/>
      </c>
      <c r="CO34" s="1583">
        <f>CO16*1.25</f>
        <v/>
      </c>
      <c r="CP34" s="1583">
        <f>CP16*1.25</f>
        <v/>
      </c>
      <c r="CQ34" s="1583">
        <f>CQ16*1.25</f>
        <v/>
      </c>
      <c r="CR34" s="1583">
        <f>CR16*1.25</f>
        <v/>
      </c>
      <c r="CS34" s="1583">
        <f>CS16*1.25</f>
        <v/>
      </c>
      <c r="CT34" s="1583">
        <f>CT16*1.25</f>
        <v/>
      </c>
      <c r="CU34" s="1583">
        <f>CU16*1.25</f>
        <v/>
      </c>
      <c r="CV34" s="1583">
        <f>CV16*1.25</f>
        <v/>
      </c>
      <c r="CW34" s="1583">
        <f>CW16*1.25</f>
        <v/>
      </c>
      <c r="CX34" s="1583">
        <f>CX16*1.25</f>
        <v/>
      </c>
      <c r="CY34" s="1583">
        <f>CY16*1.25</f>
        <v/>
      </c>
      <c r="CZ34" s="1583">
        <f>CZ16*1.25</f>
        <v/>
      </c>
      <c r="DA34" s="1583">
        <f>DA16*1.25</f>
        <v/>
      </c>
      <c r="DB34" s="1583">
        <f>DB16*1.25</f>
        <v/>
      </c>
      <c r="DC34" s="1583">
        <f>DC16*1.25</f>
        <v/>
      </c>
      <c r="DD34" s="1583">
        <f>DD16*1.25</f>
        <v/>
      </c>
      <c r="DE34" s="1583">
        <f>DE16*1.25</f>
        <v/>
      </c>
      <c r="DF34" s="1602" t="n"/>
      <c r="DG34" s="1616">
        <f>Table24[[#This Row],[Column109]]/360000000</f>
        <v/>
      </c>
      <c r="DH34" s="1611" t="inlineStr">
        <is>
          <t>360 million companies worldwide - current #s</t>
        </is>
      </c>
    </row>
    <row r="35">
      <c r="A35" s="658" t="inlineStr">
        <is>
          <t>TOTAL</t>
        </is>
      </c>
      <c r="B35" s="658" t="n"/>
      <c r="C35" s="1602">
        <f>SUM(C22:C34)</f>
        <v/>
      </c>
      <c r="D35" s="1602">
        <f>SUM(D22:D34)</f>
        <v/>
      </c>
      <c r="E35" s="1602">
        <f>SUM(E22:E34)</f>
        <v/>
      </c>
      <c r="F35" s="1602">
        <f>SUM(F22:F34)</f>
        <v/>
      </c>
      <c r="G35" s="1602">
        <f>SUM(G22:G34)</f>
        <v/>
      </c>
      <c r="H35" s="1602">
        <f>SUM(H22:H34)</f>
        <v/>
      </c>
      <c r="I35" s="1602">
        <f>SUM(I22:I34)</f>
        <v/>
      </c>
      <c r="J35" s="1602">
        <f>SUM(J22:J34)</f>
        <v/>
      </c>
      <c r="K35" s="1602">
        <f>SUM(K22:K34)</f>
        <v/>
      </c>
      <c r="L35" s="1602">
        <f>SUM(L22:L34)</f>
        <v/>
      </c>
      <c r="M35" s="1602">
        <f>SUM(M22:M34)</f>
        <v/>
      </c>
      <c r="N35" s="1602">
        <f>SUM(N22:N34)</f>
        <v/>
      </c>
      <c r="O35" s="1602">
        <f>SUM(O22:O34)</f>
        <v/>
      </c>
      <c r="P35" s="1602">
        <f>SUM(P22:P34)</f>
        <v/>
      </c>
      <c r="Q35" s="1602">
        <f>SUM(Q22:Q34)</f>
        <v/>
      </c>
      <c r="R35" s="1602">
        <f>SUM(R22:R34)</f>
        <v/>
      </c>
      <c r="S35" s="1602">
        <f>SUM(S22:S34)</f>
        <v/>
      </c>
      <c r="T35" s="1602">
        <f>SUM(T22:T34)</f>
        <v/>
      </c>
      <c r="U35" s="1602">
        <f>SUM(U22:U34)</f>
        <v/>
      </c>
      <c r="V35" s="1602">
        <f>SUM(V22:V34)</f>
        <v/>
      </c>
      <c r="W35" s="1602">
        <f>SUM(W22:W34)</f>
        <v/>
      </c>
      <c r="X35" s="1602">
        <f>SUM(X22:X34)</f>
        <v/>
      </c>
      <c r="Y35" s="1602">
        <f>SUM(Y22:Y34)</f>
        <v/>
      </c>
      <c r="Z35" s="1602">
        <f>SUM(Z22:Z34)</f>
        <v/>
      </c>
      <c r="AA35" s="1602">
        <f>SUM(AA22:AA34)</f>
        <v/>
      </c>
      <c r="AB35" s="1602">
        <f>SUM(AB22:AB34)</f>
        <v/>
      </c>
      <c r="AC35" s="1602">
        <f>SUM(AC22:AC34)</f>
        <v/>
      </c>
      <c r="AD35" s="1602">
        <f>SUM(AD22:AD34)</f>
        <v/>
      </c>
      <c r="AE35" s="1602">
        <f>SUM(AE22:AE34)</f>
        <v/>
      </c>
      <c r="AF35" s="1602">
        <f>SUM(AF22:AF34)</f>
        <v/>
      </c>
      <c r="AG35" s="1602">
        <f>SUM(AG22:AG34)</f>
        <v/>
      </c>
      <c r="AH35" s="1602">
        <f>SUM(AH22:AH34)</f>
        <v/>
      </c>
      <c r="AI35" s="1602">
        <f>SUM(AI22:AI34)</f>
        <v/>
      </c>
      <c r="AJ35" s="1602">
        <f>SUM(AJ22:AJ34)</f>
        <v/>
      </c>
      <c r="AK35" s="1602">
        <f>SUM(AK22:AK34)</f>
        <v/>
      </c>
      <c r="AL35" s="1602">
        <f>SUM(AL22:AL34)</f>
        <v/>
      </c>
      <c r="AM35" s="1602">
        <f>SUM(AM22:AM34)</f>
        <v/>
      </c>
      <c r="AN35" s="1602">
        <f>SUM(AN22:AN34)</f>
        <v/>
      </c>
      <c r="AO35" s="1602">
        <f>SUM(AO22:AO34)</f>
        <v/>
      </c>
      <c r="AP35" s="1602">
        <f>SUM(AP22:AP34)</f>
        <v/>
      </c>
      <c r="AQ35" s="1602">
        <f>SUM(AQ22:AQ34)</f>
        <v/>
      </c>
      <c r="AR35" s="1602">
        <f>SUM(AR22:AR34)</f>
        <v/>
      </c>
      <c r="AS35" s="1602">
        <f>SUM(AS22:AS34)</f>
        <v/>
      </c>
      <c r="AT35" s="1602">
        <f>SUM(AT22:AT34)</f>
        <v/>
      </c>
      <c r="AU35" s="1602">
        <f>SUM(AU22:AU34)</f>
        <v/>
      </c>
      <c r="AV35" s="1602">
        <f>SUM(AV22:AV34)</f>
        <v/>
      </c>
      <c r="AW35" s="1602">
        <f>SUM(AW22:AW34)</f>
        <v/>
      </c>
      <c r="AX35" s="1602">
        <f>SUM(AX22:AX34)</f>
        <v/>
      </c>
      <c r="AY35" s="1602">
        <f>SUM(AY22:AY34)</f>
        <v/>
      </c>
      <c r="AZ35" s="1602">
        <f>SUM(AZ22:AZ34)</f>
        <v/>
      </c>
      <c r="BA35" s="1602">
        <f>SUM(BA22:BA34)</f>
        <v/>
      </c>
      <c r="BB35" s="1602">
        <f>SUM(BB22:BB34)</f>
        <v/>
      </c>
      <c r="BC35" s="1602">
        <f>SUM(BC22:BC34)</f>
        <v/>
      </c>
      <c r="BD35" s="1602">
        <f>SUM(BD22:BD34)</f>
        <v/>
      </c>
      <c r="BE35" s="1602">
        <f>SUM(BE22:BE34)</f>
        <v/>
      </c>
      <c r="BF35" s="1602">
        <f>SUM(BF22:BF34)</f>
        <v/>
      </c>
      <c r="BG35" s="1602">
        <f>SUM(BG22:BG34)</f>
        <v/>
      </c>
      <c r="BH35" s="1602">
        <f>SUM(BH22:BH34)</f>
        <v/>
      </c>
      <c r="BI35" s="1602">
        <f>SUM(BI22:BI34)</f>
        <v/>
      </c>
      <c r="BJ35" s="1602">
        <f>SUM(BJ22:BJ34)</f>
        <v/>
      </c>
      <c r="BK35" s="1602">
        <f>SUM(BK22:BK34)</f>
        <v/>
      </c>
      <c r="BL35" s="1602">
        <f>SUM(BL22:BL34)</f>
        <v/>
      </c>
      <c r="BM35" s="1602">
        <f>SUM(BM22:BM34)</f>
        <v/>
      </c>
      <c r="BN35" s="1602">
        <f>SUM(BN22:BN34)</f>
        <v/>
      </c>
      <c r="BO35" s="1602">
        <f>SUM(BO22:BO34)</f>
        <v/>
      </c>
      <c r="BP35" s="1602">
        <f>SUM(BP22:BP34)</f>
        <v/>
      </c>
      <c r="BQ35" s="1602">
        <f>SUM(BQ22:BQ34)</f>
        <v/>
      </c>
      <c r="BR35" s="1602">
        <f>SUM(BR22:BR34)</f>
        <v/>
      </c>
      <c r="BS35" s="1602">
        <f>SUM(BS22:BS34)</f>
        <v/>
      </c>
      <c r="BT35" s="1602">
        <f>SUM(BT22:BT34)</f>
        <v/>
      </c>
      <c r="BU35" s="1602">
        <f>SUM(BU22:BU34)</f>
        <v/>
      </c>
      <c r="BV35" s="1602">
        <f>SUM(BV22:BV34)</f>
        <v/>
      </c>
      <c r="BW35" s="1602">
        <f>SUM(BW22:BW34)</f>
        <v/>
      </c>
      <c r="BX35" s="1602">
        <f>SUM(BX22:BX34)</f>
        <v/>
      </c>
      <c r="BY35" s="1602">
        <f>SUM(BY22:BY34)</f>
        <v/>
      </c>
      <c r="BZ35" s="1602">
        <f>SUM(BZ22:BZ34)</f>
        <v/>
      </c>
      <c r="CA35" s="1602">
        <f>SUM(CA22:CA34)</f>
        <v/>
      </c>
      <c r="CB35" s="1602">
        <f>SUM(CB22:CB34)</f>
        <v/>
      </c>
      <c r="CC35" s="1602">
        <f>SUM(CC22:CC34)</f>
        <v/>
      </c>
      <c r="CD35" s="1602">
        <f>SUM(CD22:CD34)</f>
        <v/>
      </c>
      <c r="CE35" s="1602">
        <f>SUM(CE22:CE34)</f>
        <v/>
      </c>
      <c r="CF35" s="1602">
        <f>SUM(CF22:CF34)</f>
        <v/>
      </c>
      <c r="CG35" s="1602">
        <f>SUM(CG22:CG34)</f>
        <v/>
      </c>
      <c r="CH35" s="1602">
        <f>SUM(CH22:CH34)</f>
        <v/>
      </c>
      <c r="CI35" s="1602">
        <f>SUM(CI22:CI34)</f>
        <v/>
      </c>
      <c r="CJ35" s="1602">
        <f>SUM(CJ22:CJ34)</f>
        <v/>
      </c>
      <c r="CK35" s="1602">
        <f>SUM(CK22:CK34)</f>
        <v/>
      </c>
      <c r="CL35" s="1602">
        <f>SUM(CL22:CL34)</f>
        <v/>
      </c>
      <c r="CM35" s="1602">
        <f>SUM(CM22:CM34)</f>
        <v/>
      </c>
      <c r="CN35" s="1602">
        <f>SUM(CN22:CN34)</f>
        <v/>
      </c>
      <c r="CO35" s="1602">
        <f>SUM(CO22:CO34)</f>
        <v/>
      </c>
      <c r="CP35" s="1602">
        <f>SUM(CP22:CP34)</f>
        <v/>
      </c>
      <c r="CQ35" s="1602">
        <f>SUM(CQ22:CQ34)</f>
        <v/>
      </c>
      <c r="CR35" s="1602">
        <f>SUM(CR22:CR34)</f>
        <v/>
      </c>
      <c r="CS35" s="1602">
        <f>SUM(CS22:CS34)</f>
        <v/>
      </c>
      <c r="CT35" s="1602">
        <f>SUM(CT22:CT34)</f>
        <v/>
      </c>
      <c r="CU35" s="1602">
        <f>SUM(CU22:CU34)</f>
        <v/>
      </c>
      <c r="CV35" s="1602">
        <f>SUM(CV22:CV34)</f>
        <v/>
      </c>
      <c r="CW35" s="1602">
        <f>SUM(CW22:CW34)</f>
        <v/>
      </c>
      <c r="CX35" s="1602">
        <f>SUM(CX22:CX34)</f>
        <v/>
      </c>
      <c r="CY35" s="1602">
        <f>SUM(CY22:CY34)</f>
        <v/>
      </c>
      <c r="CZ35" s="1602">
        <f>SUM(CZ22:CZ34)</f>
        <v/>
      </c>
      <c r="DA35" s="1602">
        <f>SUM(DA22:DA34)</f>
        <v/>
      </c>
      <c r="DB35" s="1602">
        <f>SUM(DB22:DB34)</f>
        <v/>
      </c>
      <c r="DC35" s="1602">
        <f>SUM(DC22:DC34)</f>
        <v/>
      </c>
      <c r="DD35" s="1602">
        <f>SUM(DD22:DD34)</f>
        <v/>
      </c>
      <c r="DE35" s="1602">
        <f>SUM(DE22:DE34)</f>
        <v/>
      </c>
      <c r="DF35" s="1602" t="n"/>
      <c r="DG35" s="1617" t="n"/>
      <c r="DH35" s="1611" t="n"/>
    </row>
    <row r="36" customFormat="1" s="1606">
      <c r="A36" s="1607" t="n"/>
    </row>
    <row r="37" ht="20" customFormat="1" customHeight="1" s="1605">
      <c r="A37" s="1604" t="inlineStr">
        <is>
          <t>JARED's  PROJECTIONS</t>
        </is>
      </c>
    </row>
    <row r="38" ht="19" customFormat="1" customHeight="1" s="658">
      <c r="A38" s="658" t="inlineStr">
        <is>
          <t>Column1</t>
        </is>
      </c>
      <c r="B38" s="658" t="inlineStr">
        <is>
          <t>Column2</t>
        </is>
      </c>
      <c r="C38" s="658" t="inlineStr">
        <is>
          <t>Column3</t>
        </is>
      </c>
      <c r="D38" s="658" t="inlineStr">
        <is>
          <t>Column4</t>
        </is>
      </c>
      <c r="E38" s="658" t="inlineStr">
        <is>
          <t>Column5</t>
        </is>
      </c>
      <c r="F38" s="658" t="inlineStr">
        <is>
          <t>Column6</t>
        </is>
      </c>
      <c r="G38" s="658" t="inlineStr">
        <is>
          <t>Column7</t>
        </is>
      </c>
      <c r="H38" s="658" t="inlineStr">
        <is>
          <t>Column8</t>
        </is>
      </c>
      <c r="I38" s="658" t="inlineStr">
        <is>
          <t>Column9</t>
        </is>
      </c>
      <c r="J38" s="658" t="inlineStr">
        <is>
          <t>Column10</t>
        </is>
      </c>
      <c r="K38" s="658" t="inlineStr">
        <is>
          <t>Column11</t>
        </is>
      </c>
      <c r="L38" s="658" t="inlineStr">
        <is>
          <t>Column12</t>
        </is>
      </c>
      <c r="M38" s="658" t="inlineStr">
        <is>
          <t>Column13</t>
        </is>
      </c>
      <c r="N38" s="658" t="inlineStr">
        <is>
          <t>Column14</t>
        </is>
      </c>
      <c r="O38" s="658" t="inlineStr">
        <is>
          <t>Column15</t>
        </is>
      </c>
      <c r="P38" s="658" t="inlineStr">
        <is>
          <t>Column16</t>
        </is>
      </c>
      <c r="Q38" s="658" t="inlineStr">
        <is>
          <t>Column17</t>
        </is>
      </c>
      <c r="R38" s="658" t="inlineStr">
        <is>
          <t>Column18</t>
        </is>
      </c>
      <c r="S38" s="658" t="inlineStr">
        <is>
          <t>Column19</t>
        </is>
      </c>
      <c r="T38" s="658" t="inlineStr">
        <is>
          <t>Column20</t>
        </is>
      </c>
      <c r="U38" s="658" t="inlineStr">
        <is>
          <t>Column21</t>
        </is>
      </c>
      <c r="V38" s="658" t="inlineStr">
        <is>
          <t>Column22</t>
        </is>
      </c>
      <c r="W38" s="658" t="inlineStr">
        <is>
          <t>Column23</t>
        </is>
      </c>
      <c r="X38" s="658" t="inlineStr">
        <is>
          <t>Column24</t>
        </is>
      </c>
      <c r="Y38" s="658" t="inlineStr">
        <is>
          <t>Column25</t>
        </is>
      </c>
      <c r="Z38" s="658" t="inlineStr">
        <is>
          <t>Column26</t>
        </is>
      </c>
      <c r="AA38" s="658" t="inlineStr">
        <is>
          <t>Column27</t>
        </is>
      </c>
      <c r="AB38" s="658" t="inlineStr">
        <is>
          <t>Column28</t>
        </is>
      </c>
      <c r="AC38" s="658" t="inlineStr">
        <is>
          <t>Column29</t>
        </is>
      </c>
      <c r="AD38" s="658" t="inlineStr">
        <is>
          <t>Column30</t>
        </is>
      </c>
      <c r="AE38" s="658" t="inlineStr">
        <is>
          <t>Column31</t>
        </is>
      </c>
      <c r="AF38" s="658" t="inlineStr">
        <is>
          <t>Column32</t>
        </is>
      </c>
      <c r="AG38" s="658" t="inlineStr">
        <is>
          <t>Column33</t>
        </is>
      </c>
      <c r="AH38" s="658" t="inlineStr">
        <is>
          <t>Column34</t>
        </is>
      </c>
      <c r="AI38" s="658" t="inlineStr">
        <is>
          <t>Column35</t>
        </is>
      </c>
      <c r="AJ38" s="658" t="inlineStr">
        <is>
          <t>Column36</t>
        </is>
      </c>
      <c r="AK38" s="658" t="inlineStr">
        <is>
          <t>Column37</t>
        </is>
      </c>
      <c r="AL38" s="658" t="inlineStr">
        <is>
          <t>Column38</t>
        </is>
      </c>
      <c r="AM38" s="658" t="inlineStr">
        <is>
          <t>Column39</t>
        </is>
      </c>
      <c r="AN38" s="658" t="inlineStr">
        <is>
          <t>Column40</t>
        </is>
      </c>
      <c r="AO38" s="658" t="inlineStr">
        <is>
          <t>Column41</t>
        </is>
      </c>
      <c r="AP38" s="658" t="inlineStr">
        <is>
          <t>Column42</t>
        </is>
      </c>
      <c r="AQ38" s="658" t="inlineStr">
        <is>
          <t>Column43</t>
        </is>
      </c>
      <c r="AR38" s="658" t="inlineStr">
        <is>
          <t>Column44</t>
        </is>
      </c>
      <c r="AS38" s="658" t="inlineStr">
        <is>
          <t>Column45</t>
        </is>
      </c>
      <c r="AT38" s="658" t="inlineStr">
        <is>
          <t>Column46</t>
        </is>
      </c>
      <c r="AU38" s="658" t="inlineStr">
        <is>
          <t>Column47</t>
        </is>
      </c>
      <c r="AV38" s="658" t="inlineStr">
        <is>
          <t>Column48</t>
        </is>
      </c>
      <c r="AW38" s="658" t="inlineStr">
        <is>
          <t>Column49</t>
        </is>
      </c>
      <c r="AX38" s="658" t="inlineStr">
        <is>
          <t>Column50</t>
        </is>
      </c>
      <c r="AY38" s="658" t="inlineStr">
        <is>
          <t>Column51</t>
        </is>
      </c>
      <c r="AZ38" s="658" t="inlineStr">
        <is>
          <t>Column52</t>
        </is>
      </c>
      <c r="BA38" s="658" t="inlineStr">
        <is>
          <t>Column53</t>
        </is>
      </c>
      <c r="BB38" s="658" t="inlineStr">
        <is>
          <t>Column54</t>
        </is>
      </c>
      <c r="BC38" s="658" t="inlineStr">
        <is>
          <t>Column55</t>
        </is>
      </c>
      <c r="BD38" s="658" t="inlineStr">
        <is>
          <t>Column56</t>
        </is>
      </c>
      <c r="BE38" s="658" t="inlineStr">
        <is>
          <t>Column57</t>
        </is>
      </c>
      <c r="BF38" s="658" t="inlineStr">
        <is>
          <t>Column58</t>
        </is>
      </c>
      <c r="BG38" s="658" t="inlineStr">
        <is>
          <t>Column59</t>
        </is>
      </c>
      <c r="BH38" s="658" t="inlineStr">
        <is>
          <t>Column60</t>
        </is>
      </c>
      <c r="BI38" s="658" t="inlineStr">
        <is>
          <t>Column61</t>
        </is>
      </c>
      <c r="BJ38" s="658" t="inlineStr">
        <is>
          <t>Column62</t>
        </is>
      </c>
      <c r="BK38" s="658" t="inlineStr">
        <is>
          <t>Column63</t>
        </is>
      </c>
      <c r="BL38" s="658" t="inlineStr">
        <is>
          <t>Column64</t>
        </is>
      </c>
      <c r="BM38" s="658" t="inlineStr">
        <is>
          <t>Column65</t>
        </is>
      </c>
      <c r="BN38" s="658" t="inlineStr">
        <is>
          <t>Column66</t>
        </is>
      </c>
      <c r="BO38" s="658" t="inlineStr">
        <is>
          <t>Column67</t>
        </is>
      </c>
      <c r="BP38" s="658" t="inlineStr">
        <is>
          <t>Column68</t>
        </is>
      </c>
      <c r="BQ38" s="658" t="inlineStr">
        <is>
          <t>Column69</t>
        </is>
      </c>
      <c r="BR38" s="658" t="inlineStr">
        <is>
          <t>Column70</t>
        </is>
      </c>
      <c r="BS38" s="658" t="inlineStr">
        <is>
          <t>Column71</t>
        </is>
      </c>
      <c r="BT38" s="658" t="inlineStr">
        <is>
          <t>Column72</t>
        </is>
      </c>
      <c r="BU38" s="658" t="inlineStr">
        <is>
          <t>Column73</t>
        </is>
      </c>
      <c r="BV38" s="658" t="inlineStr">
        <is>
          <t>Column74</t>
        </is>
      </c>
      <c r="BW38" s="658" t="inlineStr">
        <is>
          <t>Column75</t>
        </is>
      </c>
      <c r="BX38" s="658" t="inlineStr">
        <is>
          <t>Column76</t>
        </is>
      </c>
      <c r="BY38" s="658" t="inlineStr">
        <is>
          <t>Column77</t>
        </is>
      </c>
      <c r="BZ38" s="658" t="inlineStr">
        <is>
          <t>Column78</t>
        </is>
      </c>
      <c r="CA38" s="658" t="inlineStr">
        <is>
          <t>Column79</t>
        </is>
      </c>
      <c r="CB38" s="658" t="inlineStr">
        <is>
          <t>Column80</t>
        </is>
      </c>
      <c r="CC38" s="658" t="inlineStr">
        <is>
          <t>Column81</t>
        </is>
      </c>
      <c r="CD38" s="658" t="inlineStr">
        <is>
          <t>Column82</t>
        </is>
      </c>
      <c r="CE38" s="658" t="inlineStr">
        <is>
          <t>Column83</t>
        </is>
      </c>
      <c r="CF38" s="658" t="inlineStr">
        <is>
          <t>Column84</t>
        </is>
      </c>
      <c r="CG38" s="658" t="inlineStr">
        <is>
          <t>Column85</t>
        </is>
      </c>
      <c r="CH38" s="658" t="inlineStr">
        <is>
          <t>Column86</t>
        </is>
      </c>
      <c r="CI38" s="658" t="inlineStr">
        <is>
          <t>Column87</t>
        </is>
      </c>
      <c r="CJ38" s="658" t="inlineStr">
        <is>
          <t>Column88</t>
        </is>
      </c>
      <c r="CK38" s="658" t="inlineStr">
        <is>
          <t>Column89</t>
        </is>
      </c>
      <c r="CL38" s="658" t="inlineStr">
        <is>
          <t>Column90</t>
        </is>
      </c>
      <c r="CM38" s="658" t="inlineStr">
        <is>
          <t>Column91</t>
        </is>
      </c>
      <c r="CN38" s="658" t="inlineStr">
        <is>
          <t>Column92</t>
        </is>
      </c>
      <c r="CO38" s="658" t="inlineStr">
        <is>
          <t>Column93</t>
        </is>
      </c>
      <c r="CP38" s="658" t="inlineStr">
        <is>
          <t>Column94</t>
        </is>
      </c>
      <c r="CQ38" s="658" t="inlineStr">
        <is>
          <t>Column95</t>
        </is>
      </c>
      <c r="CR38" s="658" t="inlineStr">
        <is>
          <t>Column96</t>
        </is>
      </c>
      <c r="CS38" s="658" t="inlineStr">
        <is>
          <t>Column97</t>
        </is>
      </c>
      <c r="CT38" s="658" t="inlineStr">
        <is>
          <t>Column98</t>
        </is>
      </c>
      <c r="CU38" s="658" t="inlineStr">
        <is>
          <t>Column99</t>
        </is>
      </c>
      <c r="CV38" s="658" t="inlineStr">
        <is>
          <t>Column100</t>
        </is>
      </c>
      <c r="CW38" s="658" t="inlineStr">
        <is>
          <t>Column101</t>
        </is>
      </c>
      <c r="CX38" s="658" t="inlineStr">
        <is>
          <t>Column102</t>
        </is>
      </c>
      <c r="CY38" s="658" t="inlineStr">
        <is>
          <t>Column103</t>
        </is>
      </c>
      <c r="CZ38" s="658" t="inlineStr">
        <is>
          <t>Column104</t>
        </is>
      </c>
      <c r="DA38" s="658" t="inlineStr">
        <is>
          <t>Column105</t>
        </is>
      </c>
      <c r="DB38" s="658" t="inlineStr">
        <is>
          <t>Column106</t>
        </is>
      </c>
      <c r="DC38" s="658" t="inlineStr">
        <is>
          <t>Column107</t>
        </is>
      </c>
      <c r="DD38" s="658" t="inlineStr">
        <is>
          <t>Column108</t>
        </is>
      </c>
      <c r="DE38" s="658" t="inlineStr">
        <is>
          <t>Column109</t>
        </is>
      </c>
      <c r="DF38" s="658" t="inlineStr">
        <is>
          <t>Column110</t>
        </is>
      </c>
      <c r="DG38" s="658" t="inlineStr">
        <is>
          <t>Column111</t>
        </is>
      </c>
      <c r="DH38" s="658" t="inlineStr">
        <is>
          <t>Column112</t>
        </is>
      </c>
    </row>
    <row r="39" ht="17" customHeight="1" s="1883">
      <c r="A39" s="658" t="inlineStr">
        <is>
          <t>PRODUCT LINE</t>
        </is>
      </c>
      <c r="B39" s="658" t="inlineStr">
        <is>
          <t>Category</t>
        </is>
      </c>
      <c r="C39" s="1598" t="inlineStr">
        <is>
          <t>Month 1</t>
        </is>
      </c>
      <c r="D39" s="1598" t="inlineStr">
        <is>
          <t>Month 2</t>
        </is>
      </c>
      <c r="E39" s="1598" t="inlineStr">
        <is>
          <t>Month 3</t>
        </is>
      </c>
      <c r="F39" s="1598" t="inlineStr">
        <is>
          <t>Month 4</t>
        </is>
      </c>
      <c r="G39" s="1598" t="inlineStr">
        <is>
          <t>Month 5</t>
        </is>
      </c>
      <c r="H39" s="1598" t="inlineStr">
        <is>
          <t>Month 6</t>
        </is>
      </c>
      <c r="I39" s="1598" t="inlineStr">
        <is>
          <t>Month 7</t>
        </is>
      </c>
      <c r="J39" s="1598" t="inlineStr">
        <is>
          <t>Month 8</t>
        </is>
      </c>
      <c r="K39" s="1598" t="inlineStr">
        <is>
          <t>Month 9</t>
        </is>
      </c>
      <c r="L39" s="1598" t="inlineStr">
        <is>
          <t>Month 10</t>
        </is>
      </c>
      <c r="M39" s="1598" t="inlineStr">
        <is>
          <t>Month 11</t>
        </is>
      </c>
      <c r="N39" s="1598" t="inlineStr">
        <is>
          <t>Month 12</t>
        </is>
      </c>
      <c r="O39" s="1598" t="inlineStr">
        <is>
          <t>Month 13</t>
        </is>
      </c>
      <c r="P39" s="1598" t="inlineStr">
        <is>
          <t>Month 14</t>
        </is>
      </c>
      <c r="Q39" s="1598" t="inlineStr">
        <is>
          <t>Month 15</t>
        </is>
      </c>
      <c r="R39" s="1598" t="inlineStr">
        <is>
          <t>Month 16</t>
        </is>
      </c>
      <c r="S39" s="1598" t="inlineStr">
        <is>
          <t>Month 17</t>
        </is>
      </c>
      <c r="T39" s="1598" t="inlineStr">
        <is>
          <t>Month 18</t>
        </is>
      </c>
      <c r="U39" s="1598" t="inlineStr">
        <is>
          <t>Month 19</t>
        </is>
      </c>
      <c r="V39" s="1598" t="inlineStr">
        <is>
          <t>Month 20</t>
        </is>
      </c>
      <c r="W39" s="1598" t="inlineStr">
        <is>
          <t>Month 21</t>
        </is>
      </c>
      <c r="X39" s="1598" t="inlineStr">
        <is>
          <t>Month 22</t>
        </is>
      </c>
      <c r="Y39" s="1598" t="inlineStr">
        <is>
          <t>Month 23</t>
        </is>
      </c>
      <c r="Z39" s="1598" t="inlineStr">
        <is>
          <t>Month 24</t>
        </is>
      </c>
      <c r="AA39" s="1598" t="inlineStr">
        <is>
          <t>Month 25</t>
        </is>
      </c>
      <c r="AB39" s="1598" t="inlineStr">
        <is>
          <t>Month 26</t>
        </is>
      </c>
      <c r="AC39" s="1598" t="inlineStr">
        <is>
          <t>Month 27</t>
        </is>
      </c>
      <c r="AD39" s="1598" t="inlineStr">
        <is>
          <t>Month 28</t>
        </is>
      </c>
      <c r="AE39" s="1598" t="inlineStr">
        <is>
          <t>Month 29</t>
        </is>
      </c>
      <c r="AF39" s="1598" t="inlineStr">
        <is>
          <t>Month 30</t>
        </is>
      </c>
      <c r="AG39" s="1598" t="inlineStr">
        <is>
          <t>Month 31</t>
        </is>
      </c>
      <c r="AH39" s="1598" t="inlineStr">
        <is>
          <t>Month 32</t>
        </is>
      </c>
      <c r="AI39" s="1598" t="inlineStr">
        <is>
          <t>Month 33</t>
        </is>
      </c>
      <c r="AJ39" s="1598" t="inlineStr">
        <is>
          <t>Month 34</t>
        </is>
      </c>
      <c r="AK39" s="1598" t="inlineStr">
        <is>
          <t>Month 35</t>
        </is>
      </c>
      <c r="AL39" s="1598" t="inlineStr">
        <is>
          <t>Month 36</t>
        </is>
      </c>
      <c r="AM39" s="1598" t="inlineStr">
        <is>
          <t>Month 37</t>
        </is>
      </c>
      <c r="AN39" s="1598" t="inlineStr">
        <is>
          <t>Month 38</t>
        </is>
      </c>
      <c r="AO39" s="1598" t="inlineStr">
        <is>
          <t>Month 39</t>
        </is>
      </c>
      <c r="AP39" s="1598" t="inlineStr">
        <is>
          <t>Month 40</t>
        </is>
      </c>
      <c r="AQ39" s="1598" t="inlineStr">
        <is>
          <t>Month 41</t>
        </is>
      </c>
      <c r="AR39" s="1598" t="inlineStr">
        <is>
          <t>Month 42</t>
        </is>
      </c>
      <c r="AS39" s="1598" t="inlineStr">
        <is>
          <t>Month 43</t>
        </is>
      </c>
      <c r="AT39" s="1598" t="inlineStr">
        <is>
          <t>Month 44</t>
        </is>
      </c>
      <c r="AU39" s="1598" t="inlineStr">
        <is>
          <t>Month 45</t>
        </is>
      </c>
      <c r="AV39" s="1598" t="inlineStr">
        <is>
          <t>Month 46</t>
        </is>
      </c>
      <c r="AW39" s="1598" t="inlineStr">
        <is>
          <t>Month 47</t>
        </is>
      </c>
      <c r="AX39" s="1598" t="inlineStr">
        <is>
          <t>Month 48</t>
        </is>
      </c>
      <c r="AY39" s="1598" t="inlineStr">
        <is>
          <t>Month 49</t>
        </is>
      </c>
      <c r="AZ39" s="1598" t="inlineStr">
        <is>
          <t>Month 50</t>
        </is>
      </c>
      <c r="BA39" s="1598" t="inlineStr">
        <is>
          <t>Month 51</t>
        </is>
      </c>
      <c r="BB39" s="1598" t="inlineStr">
        <is>
          <t>Month 52</t>
        </is>
      </c>
      <c r="BC39" s="1598" t="inlineStr">
        <is>
          <t>Month 53</t>
        </is>
      </c>
      <c r="BD39" s="1598" t="inlineStr">
        <is>
          <t>Month 54</t>
        </is>
      </c>
      <c r="BE39" s="1598" t="inlineStr">
        <is>
          <t>Month 55</t>
        </is>
      </c>
      <c r="BF39" s="1598" t="inlineStr">
        <is>
          <t>Month 56</t>
        </is>
      </c>
      <c r="BG39" s="1598" t="inlineStr">
        <is>
          <t>Month 57</t>
        </is>
      </c>
      <c r="BH39" s="1598" t="inlineStr">
        <is>
          <t>Month 58</t>
        </is>
      </c>
      <c r="BI39" s="1598" t="inlineStr">
        <is>
          <t>Month 59</t>
        </is>
      </c>
      <c r="BJ39" s="1598" t="inlineStr">
        <is>
          <t>Month 60</t>
        </is>
      </c>
      <c r="BK39" s="1598" t="inlineStr">
        <is>
          <t>Month 61</t>
        </is>
      </c>
      <c r="BL39" s="1598" t="inlineStr">
        <is>
          <t>Month 62</t>
        </is>
      </c>
      <c r="BM39" s="1598" t="inlineStr">
        <is>
          <t>Month 63</t>
        </is>
      </c>
      <c r="BN39" s="1598" t="inlineStr">
        <is>
          <t>Month 64</t>
        </is>
      </c>
      <c r="BO39" s="1598" t="inlineStr">
        <is>
          <t>Month 65</t>
        </is>
      </c>
      <c r="BP39" s="1598" t="inlineStr">
        <is>
          <t>Month 66</t>
        </is>
      </c>
      <c r="BQ39" s="1598" t="inlineStr">
        <is>
          <t>Month 67</t>
        </is>
      </c>
      <c r="BR39" s="1598" t="inlineStr">
        <is>
          <t>Month 68</t>
        </is>
      </c>
      <c r="BS39" s="1598" t="inlineStr">
        <is>
          <t>Month 69</t>
        </is>
      </c>
      <c r="BT39" s="1598" t="inlineStr">
        <is>
          <t>Month 70</t>
        </is>
      </c>
      <c r="BU39" s="1598" t="inlineStr">
        <is>
          <t>Month 71</t>
        </is>
      </c>
      <c r="BV39" s="1598" t="inlineStr">
        <is>
          <t>Month 72</t>
        </is>
      </c>
      <c r="BW39" s="1598" t="inlineStr">
        <is>
          <t>Month 73</t>
        </is>
      </c>
      <c r="BX39" s="1598" t="inlineStr">
        <is>
          <t>Month 74</t>
        </is>
      </c>
      <c r="BY39" s="1598" t="inlineStr">
        <is>
          <t>Month 75</t>
        </is>
      </c>
      <c r="BZ39" s="1598" t="inlineStr">
        <is>
          <t>Month 76</t>
        </is>
      </c>
      <c r="CA39" s="1598" t="inlineStr">
        <is>
          <t>Month 77</t>
        </is>
      </c>
      <c r="CB39" s="1598" t="inlineStr">
        <is>
          <t>Month 78</t>
        </is>
      </c>
      <c r="CC39" s="1598" t="inlineStr">
        <is>
          <t>Month 79</t>
        </is>
      </c>
      <c r="CD39" s="1598" t="inlineStr">
        <is>
          <t>Month 80</t>
        </is>
      </c>
      <c r="CE39" s="1598" t="inlineStr">
        <is>
          <t>Month 81</t>
        </is>
      </c>
      <c r="CF39" s="1598" t="inlineStr">
        <is>
          <t>Month 82</t>
        </is>
      </c>
      <c r="CG39" s="1598" t="inlineStr">
        <is>
          <t>Month 83</t>
        </is>
      </c>
      <c r="CH39" s="1598" t="inlineStr">
        <is>
          <t>Month 84</t>
        </is>
      </c>
      <c r="CI39" s="1598" t="inlineStr">
        <is>
          <t>Month 85</t>
        </is>
      </c>
      <c r="CJ39" s="1598" t="inlineStr">
        <is>
          <t>Month 86</t>
        </is>
      </c>
      <c r="CK39" s="1598" t="inlineStr">
        <is>
          <t>Month 87</t>
        </is>
      </c>
      <c r="CL39" s="1598" t="inlineStr">
        <is>
          <t>Month 88</t>
        </is>
      </c>
      <c r="CM39" s="1598" t="inlineStr">
        <is>
          <t>Month 89</t>
        </is>
      </c>
      <c r="CN39" s="1598" t="inlineStr">
        <is>
          <t>Month 90</t>
        </is>
      </c>
      <c r="CO39" s="1598" t="inlineStr">
        <is>
          <t>Month 91</t>
        </is>
      </c>
      <c r="CP39" s="1598" t="inlineStr">
        <is>
          <t>Month 92</t>
        </is>
      </c>
      <c r="CQ39" s="1598" t="inlineStr">
        <is>
          <t>Month 93</t>
        </is>
      </c>
      <c r="CR39" s="1598" t="inlineStr">
        <is>
          <t>Month 94</t>
        </is>
      </c>
      <c r="CS39" s="1598" t="inlineStr">
        <is>
          <t>Month 95</t>
        </is>
      </c>
      <c r="CT39" s="1598" t="inlineStr">
        <is>
          <t>Month 96</t>
        </is>
      </c>
      <c r="CU39" s="1598" t="inlineStr">
        <is>
          <t>Month 97</t>
        </is>
      </c>
      <c r="CV39" s="1598" t="inlineStr">
        <is>
          <t>Month 98</t>
        </is>
      </c>
      <c r="CW39" s="1598" t="inlineStr">
        <is>
          <t>Month 99</t>
        </is>
      </c>
      <c r="CX39" s="1598" t="inlineStr">
        <is>
          <t>Month 100</t>
        </is>
      </c>
      <c r="CY39" s="1598" t="inlineStr">
        <is>
          <t>Month 101</t>
        </is>
      </c>
      <c r="CZ39" s="1598" t="inlineStr">
        <is>
          <t>Month 102</t>
        </is>
      </c>
      <c r="DA39" s="1598" t="inlineStr">
        <is>
          <t>Month 103</t>
        </is>
      </c>
      <c r="DB39" s="1598" t="inlineStr">
        <is>
          <t>Month 104</t>
        </is>
      </c>
      <c r="DC39" s="1598" t="inlineStr">
        <is>
          <t>Month 105</t>
        </is>
      </c>
      <c r="DD39" s="1598" t="inlineStr">
        <is>
          <t>Month 106</t>
        </is>
      </c>
      <c r="DE39" s="1598" t="inlineStr">
        <is>
          <t>Month 107</t>
        </is>
      </c>
      <c r="DF39" s="658" t="n"/>
      <c r="DG39" s="1608" t="inlineStr">
        <is>
          <t>% of Market</t>
        </is>
      </c>
    </row>
    <row r="40">
      <c r="C40" s="1583" t="n"/>
      <c r="D40" s="1583" t="n"/>
      <c r="E40" s="1583" t="n"/>
      <c r="F40" s="1583" t="n"/>
      <c r="G40" s="1583" t="n"/>
      <c r="H40" s="1583" t="n"/>
      <c r="I40" s="1583" t="n"/>
      <c r="J40" s="1583" t="n"/>
      <c r="K40" s="1583" t="n"/>
      <c r="L40" s="1583" t="n"/>
      <c r="M40" s="1583" t="n"/>
      <c r="N40" s="1583" t="n"/>
      <c r="O40" s="1583" t="n"/>
      <c r="P40" s="1583" t="n"/>
      <c r="Q40" s="1583" t="n"/>
      <c r="R40" s="1583" t="n"/>
      <c r="S40" s="1583" t="n"/>
      <c r="T40" s="1583" t="n"/>
      <c r="U40" s="1583" t="n"/>
      <c r="V40" s="1583" t="n"/>
      <c r="W40" s="1583" t="n"/>
      <c r="X40" s="1583" t="n"/>
      <c r="Y40" s="1583" t="n"/>
      <c r="Z40" s="1583" t="n"/>
      <c r="AA40" s="1583" t="n"/>
      <c r="AB40" s="1583" t="n"/>
      <c r="AC40" s="1583" t="n"/>
      <c r="AD40" s="1583" t="n"/>
      <c r="AE40" s="1583" t="n"/>
      <c r="AF40" s="1583" t="n"/>
      <c r="AG40" s="1583" t="n"/>
      <c r="AH40" s="1583" t="n"/>
      <c r="AI40" s="1583" t="n"/>
      <c r="AJ40" s="1583" t="n"/>
      <c r="AK40" s="1583" t="n"/>
      <c r="AL40" s="1583" t="n"/>
      <c r="AM40" s="1583" t="n"/>
      <c r="AN40" s="1583" t="n"/>
      <c r="AO40" s="1583" t="n"/>
      <c r="AP40" s="1583" t="n"/>
      <c r="AQ40" s="1583" t="n"/>
      <c r="AR40" s="1583" t="n"/>
      <c r="AS40" s="1583" t="n"/>
      <c r="AT40" s="1583" t="n"/>
      <c r="AU40" s="1583" t="n"/>
      <c r="AV40" s="1583" t="n"/>
      <c r="AW40" s="1583" t="n"/>
      <c r="AX40" s="1583" t="n"/>
      <c r="AY40" s="1583" t="n"/>
      <c r="AZ40" s="1583" t="n"/>
      <c r="BA40" s="1583" t="n"/>
      <c r="BB40" s="1583" t="n"/>
      <c r="BC40" s="1583" t="n"/>
      <c r="BD40" s="1583" t="n"/>
      <c r="BE40" s="1583" t="n"/>
      <c r="BF40" s="1583" t="n"/>
      <c r="BG40" s="1583" t="n"/>
      <c r="BH40" s="1583" t="n"/>
      <c r="BI40" s="1583" t="n"/>
      <c r="BJ40" s="1583" t="n"/>
      <c r="BK40" s="1583" t="n"/>
      <c r="BL40" s="1583" t="n"/>
      <c r="BM40" s="1583" t="n"/>
      <c r="BN40" s="1583" t="n"/>
      <c r="BO40" s="1583" t="n"/>
      <c r="BP40" s="1583" t="n"/>
      <c r="BQ40" s="1583" t="n"/>
      <c r="BR40" s="1583" t="n"/>
      <c r="BS40" s="1583" t="n"/>
      <c r="BT40" s="1583" t="n"/>
      <c r="BU40" s="1583" t="n"/>
      <c r="BV40" s="1583" t="n"/>
      <c r="BW40" s="1583" t="n"/>
      <c r="BX40" s="1583" t="n"/>
      <c r="BY40" s="1583" t="n"/>
      <c r="BZ40" s="1583" t="n"/>
      <c r="CA40" s="1583" t="n"/>
      <c r="CB40" s="1583" t="n"/>
      <c r="CC40" s="1583" t="n"/>
      <c r="CD40" s="1583" t="n"/>
      <c r="CE40" s="1583" t="n"/>
      <c r="CF40" s="1583" t="n"/>
      <c r="CG40" s="1583" t="n"/>
      <c r="CH40" s="1583" t="n"/>
      <c r="CI40" s="1583" t="n"/>
      <c r="CJ40" s="1583" t="n"/>
      <c r="CK40" s="1583" t="n"/>
      <c r="CL40" s="1583" t="n"/>
      <c r="CM40" s="1583" t="n"/>
      <c r="CN40" s="1583" t="n"/>
      <c r="CO40" s="1583" t="n"/>
      <c r="CP40" s="1583" t="n"/>
      <c r="CQ40" s="1583" t="n"/>
      <c r="CR40" s="1583" t="n"/>
      <c r="CS40" s="1583" t="n"/>
      <c r="CT40" s="1583" t="n"/>
      <c r="CU40" s="1583" t="n"/>
      <c r="CV40" s="1583" t="n"/>
      <c r="CW40" s="1583" t="n"/>
      <c r="CX40" s="1583" t="n"/>
      <c r="CY40" s="1583" t="n"/>
      <c r="CZ40" s="1583" t="n"/>
      <c r="DA40" s="1583" t="n"/>
      <c r="DB40" s="1583" t="n"/>
      <c r="DC40" s="1583" t="n"/>
      <c r="DD40" s="1583" t="n"/>
      <c r="DE40" s="1583" t="n"/>
      <c r="DG40" s="1615" t="n"/>
      <c r="DH40" s="1614" t="n"/>
    </row>
    <row r="41">
      <c r="A41" s="658" t="inlineStr">
        <is>
          <t>Pure Influence</t>
        </is>
      </c>
      <c r="B41" s="658" t="inlineStr">
        <is>
          <t>Influencers</t>
        </is>
      </c>
      <c r="C41" s="1602" t="n"/>
      <c r="D41" s="1602" t="n"/>
      <c r="E41" s="1602" t="n"/>
      <c r="F41" s="1583">
        <f>F23*1.25</f>
        <v/>
      </c>
      <c r="G41" s="1583">
        <f>G23*1.25</f>
        <v/>
      </c>
      <c r="H41" s="1583">
        <f>H23*1.25</f>
        <v/>
      </c>
      <c r="I41" s="1583">
        <f>I23*1.25</f>
        <v/>
      </c>
      <c r="J41" s="1583">
        <f>J23*1.25</f>
        <v/>
      </c>
      <c r="K41" s="1583">
        <f>K23*1.25</f>
        <v/>
      </c>
      <c r="L41" s="1583">
        <f>L23*1.25</f>
        <v/>
      </c>
      <c r="M41" s="1583">
        <f>M23*1.25</f>
        <v/>
      </c>
      <c r="N41" s="1583">
        <f>N23*1.25</f>
        <v/>
      </c>
      <c r="O41" s="1583">
        <f>O23*1.25</f>
        <v/>
      </c>
      <c r="P41" s="1583">
        <f>P23*1.25</f>
        <v/>
      </c>
      <c r="Q41" s="1583">
        <f>Q23*1.25</f>
        <v/>
      </c>
      <c r="R41" s="1583">
        <f>R23*1.25</f>
        <v/>
      </c>
      <c r="S41" s="1583">
        <f>S23*1.25</f>
        <v/>
      </c>
      <c r="T41" s="1583">
        <f>T23*1.25</f>
        <v/>
      </c>
      <c r="U41" s="1583">
        <f>U23*1.25</f>
        <v/>
      </c>
      <c r="V41" s="1583">
        <f>V23*1.25</f>
        <v/>
      </c>
      <c r="W41" s="1583">
        <f>W23*1.25</f>
        <v/>
      </c>
      <c r="X41" s="1583">
        <f>X23*1.25</f>
        <v/>
      </c>
      <c r="Y41" s="1583">
        <f>Y23*1.25</f>
        <v/>
      </c>
      <c r="Z41" s="1583">
        <f>Z23*1.25</f>
        <v/>
      </c>
      <c r="AA41" s="1583">
        <f>AA23*1.25</f>
        <v/>
      </c>
      <c r="AB41" s="1583">
        <f>AB23*1.25</f>
        <v/>
      </c>
      <c r="AC41" s="1583">
        <f>AC23*1.25</f>
        <v/>
      </c>
      <c r="AD41" s="1583">
        <f>AD23*1.25</f>
        <v/>
      </c>
      <c r="AE41" s="1583">
        <f>AE23*1.25</f>
        <v/>
      </c>
      <c r="AF41" s="1583">
        <f>AF23*1.25</f>
        <v/>
      </c>
      <c r="AG41" s="1583">
        <f>AG23*1.25</f>
        <v/>
      </c>
      <c r="AH41" s="1583">
        <f>AH23*1.25</f>
        <v/>
      </c>
      <c r="AI41" s="1583">
        <f>AI23*1.25</f>
        <v/>
      </c>
      <c r="AJ41" s="1583">
        <f>AJ23*1.25</f>
        <v/>
      </c>
      <c r="AK41" s="1583">
        <f>AK23*1.25</f>
        <v/>
      </c>
      <c r="AL41" s="1583">
        <f>AL23*1.25</f>
        <v/>
      </c>
      <c r="AM41" s="1583">
        <f>AM23*1.25</f>
        <v/>
      </c>
      <c r="AN41" s="1583">
        <f>AN23*1.25</f>
        <v/>
      </c>
      <c r="AO41" s="1583">
        <f>AO23*1.25</f>
        <v/>
      </c>
      <c r="AP41" s="1583">
        <f>AP23*1.25</f>
        <v/>
      </c>
      <c r="AQ41" s="1583">
        <f>AQ23*1.25</f>
        <v/>
      </c>
      <c r="AR41" s="1583">
        <f>AR23*1.25</f>
        <v/>
      </c>
      <c r="AS41" s="1583">
        <f>AS23*1.25</f>
        <v/>
      </c>
      <c r="AT41" s="1583">
        <f>AT23*1.25</f>
        <v/>
      </c>
      <c r="AU41" s="1583">
        <f>AU23*1.25</f>
        <v/>
      </c>
      <c r="AV41" s="1583">
        <f>AV23*1.25</f>
        <v/>
      </c>
      <c r="AW41" s="1583">
        <f>AW23*1.25</f>
        <v/>
      </c>
      <c r="AX41" s="1583">
        <f>AX23*1.25</f>
        <v/>
      </c>
      <c r="AY41" s="1583">
        <f>AY23*1.25</f>
        <v/>
      </c>
      <c r="AZ41" s="1583">
        <f>AZ23*1.25</f>
        <v/>
      </c>
      <c r="BA41" s="1583">
        <f>BA23*1.25</f>
        <v/>
      </c>
      <c r="BB41" s="1583">
        <f>BB23*1.25</f>
        <v/>
      </c>
      <c r="BC41" s="1583">
        <f>BC23*1.25</f>
        <v/>
      </c>
      <c r="BD41" s="1583">
        <f>BD23*1.25</f>
        <v/>
      </c>
      <c r="BE41" s="1583">
        <f>BE23*1.25</f>
        <v/>
      </c>
      <c r="BF41" s="1583">
        <f>BF23*1.25</f>
        <v/>
      </c>
      <c r="BG41" s="1583">
        <f>BG23*1.25</f>
        <v/>
      </c>
      <c r="BH41" s="1583">
        <f>BH23*1.25</f>
        <v/>
      </c>
      <c r="BI41" s="1583">
        <f>BI23*1.25</f>
        <v/>
      </c>
      <c r="BJ41" s="1583">
        <f>BJ23*1.25</f>
        <v/>
      </c>
      <c r="BK41" s="1583">
        <f>BK23*1.25</f>
        <v/>
      </c>
      <c r="BL41" s="1583">
        <f>BL23*1.25</f>
        <v/>
      </c>
      <c r="BM41" s="1583">
        <f>BM23*1.25</f>
        <v/>
      </c>
      <c r="BN41" s="1583">
        <f>BN23*1.25</f>
        <v/>
      </c>
      <c r="BO41" s="1583">
        <f>BO23*1.25</f>
        <v/>
      </c>
      <c r="BP41" s="1583">
        <f>BP23*1.25</f>
        <v/>
      </c>
      <c r="BQ41" s="1583">
        <f>BQ23*1.25</f>
        <v/>
      </c>
      <c r="BR41" s="1583">
        <f>BR23*1.25</f>
        <v/>
      </c>
      <c r="BS41" s="1583">
        <f>BS23*1.25</f>
        <v/>
      </c>
      <c r="BT41" s="1583">
        <f>BT23*1.25</f>
        <v/>
      </c>
      <c r="BU41" s="1583">
        <f>BU23*1.25</f>
        <v/>
      </c>
      <c r="BV41" s="1583">
        <f>BV23*1.25</f>
        <v/>
      </c>
      <c r="BW41" s="1583">
        <f>BW23*1.25</f>
        <v/>
      </c>
      <c r="BX41" s="1583">
        <f>BX23*1.25</f>
        <v/>
      </c>
      <c r="BY41" s="1583">
        <f>BY23*1.25</f>
        <v/>
      </c>
      <c r="BZ41" s="1583">
        <f>BZ23*1.25</f>
        <v/>
      </c>
      <c r="CA41" s="1583">
        <f>CA23*1.25</f>
        <v/>
      </c>
      <c r="CB41" s="1583">
        <f>CB23*1.25</f>
        <v/>
      </c>
      <c r="CC41" s="1583">
        <f>CC23*1.25</f>
        <v/>
      </c>
      <c r="CD41" s="1583">
        <f>CD23*1.25</f>
        <v/>
      </c>
      <c r="CE41" s="1583">
        <f>CE23*1.25</f>
        <v/>
      </c>
      <c r="CF41" s="1583">
        <f>CF23*1.25</f>
        <v/>
      </c>
      <c r="CG41" s="1583">
        <f>CG23*1.25</f>
        <v/>
      </c>
      <c r="CH41" s="1583">
        <f>CH23*1.25</f>
        <v/>
      </c>
      <c r="CI41" s="1583">
        <f>CI23*1.25</f>
        <v/>
      </c>
      <c r="CJ41" s="1583">
        <f>CJ23*1.25</f>
        <v/>
      </c>
      <c r="CK41" s="1583">
        <f>CK23*1.25</f>
        <v/>
      </c>
      <c r="CL41" s="1583">
        <f>CL23*1.25</f>
        <v/>
      </c>
      <c r="CM41" s="1583">
        <f>CM23*1.25</f>
        <v/>
      </c>
      <c r="CN41" s="1583">
        <f>CN23*1.25</f>
        <v/>
      </c>
      <c r="CO41" s="1583">
        <f>CO23*1.25</f>
        <v/>
      </c>
      <c r="CP41" s="1583">
        <f>CP23*1.25</f>
        <v/>
      </c>
      <c r="CQ41" s="1583">
        <f>CQ23*1.25</f>
        <v/>
      </c>
      <c r="CR41" s="1583">
        <f>CR23*1.25</f>
        <v/>
      </c>
      <c r="CS41" s="1583">
        <f>CS23*1.25</f>
        <v/>
      </c>
      <c r="CT41" s="1583">
        <f>CT23*1.25</f>
        <v/>
      </c>
      <c r="CU41" s="1583">
        <f>CU23*1.25</f>
        <v/>
      </c>
      <c r="CV41" s="1583">
        <f>CV23*1.25</f>
        <v/>
      </c>
      <c r="CW41" s="1583">
        <f>CW23*1.25</f>
        <v/>
      </c>
      <c r="CX41" s="1583">
        <f>CX23*1.25</f>
        <v/>
      </c>
      <c r="CY41" s="1583">
        <f>CY23*1.25</f>
        <v/>
      </c>
      <c r="CZ41" s="1583">
        <f>CZ23*1.25</f>
        <v/>
      </c>
      <c r="DA41" s="1583">
        <f>DA23*1.25</f>
        <v/>
      </c>
      <c r="DB41" s="1583">
        <f>DB23*1.25</f>
        <v/>
      </c>
      <c r="DC41" s="1583">
        <f>DC23*1.25</f>
        <v/>
      </c>
      <c r="DD41" s="1583">
        <f>DD23*1.25</f>
        <v/>
      </c>
      <c r="DE41" s="1583">
        <f>DE23*1.25</f>
        <v/>
      </c>
      <c r="DF41" s="1602" t="n"/>
      <c r="DG41" s="1616">
        <f>Table245[[#This Row],[Column109]]/1000000000</f>
        <v/>
      </c>
      <c r="DH41" s="1611" t="inlineStr">
        <is>
          <t>1 billion+ influencers by 2034</t>
        </is>
      </c>
    </row>
    <row r="42">
      <c r="A42" s="658" t="n"/>
      <c r="B42" s="658" t="inlineStr">
        <is>
          <t>Brands</t>
        </is>
      </c>
      <c r="C42" s="1602" t="n"/>
      <c r="D42" s="1602" t="n"/>
      <c r="E42" s="1602" t="n"/>
      <c r="F42" s="1583">
        <f>F24*1.25</f>
        <v/>
      </c>
      <c r="G42" s="1583">
        <f>G24*1.25</f>
        <v/>
      </c>
      <c r="H42" s="1583">
        <f>H24*1.25</f>
        <v/>
      </c>
      <c r="I42" s="1583">
        <f>I24*1.25</f>
        <v/>
      </c>
      <c r="J42" s="1583">
        <f>J24*1.25</f>
        <v/>
      </c>
      <c r="K42" s="1583">
        <f>K24*1.25</f>
        <v/>
      </c>
      <c r="L42" s="1583">
        <f>L24*1.25</f>
        <v/>
      </c>
      <c r="M42" s="1583">
        <f>M24*1.25</f>
        <v/>
      </c>
      <c r="N42" s="1583">
        <f>N24*1.25</f>
        <v/>
      </c>
      <c r="O42" s="1583">
        <f>O24*1.25</f>
        <v/>
      </c>
      <c r="P42" s="1583">
        <f>P24*1.25</f>
        <v/>
      </c>
      <c r="Q42" s="1583">
        <f>Q24*1.25</f>
        <v/>
      </c>
      <c r="R42" s="1583">
        <f>R24*1.25</f>
        <v/>
      </c>
      <c r="S42" s="1583">
        <f>S24*1.25</f>
        <v/>
      </c>
      <c r="T42" s="1583">
        <f>T24*1.25</f>
        <v/>
      </c>
      <c r="U42" s="1583">
        <f>U24*1.25</f>
        <v/>
      </c>
      <c r="V42" s="1583">
        <f>V24*1.25</f>
        <v/>
      </c>
      <c r="W42" s="1583">
        <f>W24*1.25</f>
        <v/>
      </c>
      <c r="X42" s="1583">
        <f>X24*1.25</f>
        <v/>
      </c>
      <c r="Y42" s="1583">
        <f>Y24*1.25</f>
        <v/>
      </c>
      <c r="Z42" s="1583">
        <f>Z24*1.25</f>
        <v/>
      </c>
      <c r="AA42" s="1583">
        <f>AA24*1.25</f>
        <v/>
      </c>
      <c r="AB42" s="1583">
        <f>AB24*1.25</f>
        <v/>
      </c>
      <c r="AC42" s="1583">
        <f>AC24*1.25</f>
        <v/>
      </c>
      <c r="AD42" s="1583">
        <f>AD24*1.25</f>
        <v/>
      </c>
      <c r="AE42" s="1583">
        <f>AE24*1.25</f>
        <v/>
      </c>
      <c r="AF42" s="1583">
        <f>AF24*1.25</f>
        <v/>
      </c>
      <c r="AG42" s="1583">
        <f>AG24*1.25</f>
        <v/>
      </c>
      <c r="AH42" s="1583">
        <f>AH24*1.25</f>
        <v/>
      </c>
      <c r="AI42" s="1583">
        <f>AI24*1.25</f>
        <v/>
      </c>
      <c r="AJ42" s="1583">
        <f>AJ24*1.25</f>
        <v/>
      </c>
      <c r="AK42" s="1583">
        <f>AK24*1.25</f>
        <v/>
      </c>
      <c r="AL42" s="1583">
        <f>AL24*1.25</f>
        <v/>
      </c>
      <c r="AM42" s="1583">
        <f>AM24*1.25</f>
        <v/>
      </c>
      <c r="AN42" s="1583">
        <f>AN24*1.25</f>
        <v/>
      </c>
      <c r="AO42" s="1583">
        <f>AO24*1.25</f>
        <v/>
      </c>
      <c r="AP42" s="1583">
        <f>AP24*1.25</f>
        <v/>
      </c>
      <c r="AQ42" s="1583">
        <f>AQ24*1.25</f>
        <v/>
      </c>
      <c r="AR42" s="1583">
        <f>AR24*1.25</f>
        <v/>
      </c>
      <c r="AS42" s="1583">
        <f>AS24*1.25</f>
        <v/>
      </c>
      <c r="AT42" s="1583">
        <f>AT24*1.25</f>
        <v/>
      </c>
      <c r="AU42" s="1583">
        <f>AU24*1.25</f>
        <v/>
      </c>
      <c r="AV42" s="1583">
        <f>AV24*1.25</f>
        <v/>
      </c>
      <c r="AW42" s="1583">
        <f>AW24*1.25</f>
        <v/>
      </c>
      <c r="AX42" s="1583">
        <f>AX24*1.25</f>
        <v/>
      </c>
      <c r="AY42" s="1583">
        <f>AY24*1.25</f>
        <v/>
      </c>
      <c r="AZ42" s="1583">
        <f>AZ24*1.25</f>
        <v/>
      </c>
      <c r="BA42" s="1583">
        <f>BA24*1.25</f>
        <v/>
      </c>
      <c r="BB42" s="1583">
        <f>BB24*1.25</f>
        <v/>
      </c>
      <c r="BC42" s="1583">
        <f>BC24*1.25</f>
        <v/>
      </c>
      <c r="BD42" s="1583">
        <f>BD24*1.25</f>
        <v/>
      </c>
      <c r="BE42" s="1583">
        <f>BE24*1.25</f>
        <v/>
      </c>
      <c r="BF42" s="1583">
        <f>BF24*1.25</f>
        <v/>
      </c>
      <c r="BG42" s="1583">
        <f>BG24*1.25</f>
        <v/>
      </c>
      <c r="BH42" s="1583">
        <f>BH24*1.25</f>
        <v/>
      </c>
      <c r="BI42" s="1583">
        <f>BI24*1.25</f>
        <v/>
      </c>
      <c r="BJ42" s="1583">
        <f>BJ24*1.25</f>
        <v/>
      </c>
      <c r="BK42" s="1583">
        <f>BK24*1.25</f>
        <v/>
      </c>
      <c r="BL42" s="1583">
        <f>BL24*1.25</f>
        <v/>
      </c>
      <c r="BM42" s="1583">
        <f>BM24*1.25</f>
        <v/>
      </c>
      <c r="BN42" s="1583">
        <f>BN24*1.25</f>
        <v/>
      </c>
      <c r="BO42" s="1583">
        <f>BO24*1.25</f>
        <v/>
      </c>
      <c r="BP42" s="1583">
        <f>BP24*1.25</f>
        <v/>
      </c>
      <c r="BQ42" s="1583">
        <f>BQ24*1.25</f>
        <v/>
      </c>
      <c r="BR42" s="1583">
        <f>BR24*1.25</f>
        <v/>
      </c>
      <c r="BS42" s="1583">
        <f>BS24*1.25</f>
        <v/>
      </c>
      <c r="BT42" s="1583">
        <f>BT24*1.25</f>
        <v/>
      </c>
      <c r="BU42" s="1583">
        <f>BU24*1.25</f>
        <v/>
      </c>
      <c r="BV42" s="1583">
        <f>BV24*1.25</f>
        <v/>
      </c>
      <c r="BW42" s="1583">
        <f>BW24*1.25</f>
        <v/>
      </c>
      <c r="BX42" s="1583">
        <f>BX24*1.25</f>
        <v/>
      </c>
      <c r="BY42" s="1583">
        <f>BY24*1.25</f>
        <v/>
      </c>
      <c r="BZ42" s="1583">
        <f>BZ24*1.25</f>
        <v/>
      </c>
      <c r="CA42" s="1583">
        <f>CA24*1.25</f>
        <v/>
      </c>
      <c r="CB42" s="1583">
        <f>CB24*1.25</f>
        <v/>
      </c>
      <c r="CC42" s="1583">
        <f>CC24*1.25</f>
        <v/>
      </c>
      <c r="CD42" s="1583">
        <f>CD24*1.25</f>
        <v/>
      </c>
      <c r="CE42" s="1583">
        <f>CE24*1.25</f>
        <v/>
      </c>
      <c r="CF42" s="1583">
        <f>CF24*1.25</f>
        <v/>
      </c>
      <c r="CG42" s="1583">
        <f>CG24*1.25</f>
        <v/>
      </c>
      <c r="CH42" s="1583">
        <f>CH24*1.25</f>
        <v/>
      </c>
      <c r="CI42" s="1583">
        <f>CI24*1.25</f>
        <v/>
      </c>
      <c r="CJ42" s="1583">
        <f>CJ24*1.25</f>
        <v/>
      </c>
      <c r="CK42" s="1583">
        <f>CK24*1.25</f>
        <v/>
      </c>
      <c r="CL42" s="1583">
        <f>CL24*1.25</f>
        <v/>
      </c>
      <c r="CM42" s="1583">
        <f>CM24*1.25</f>
        <v/>
      </c>
      <c r="CN42" s="1583">
        <f>CN24*1.25</f>
        <v/>
      </c>
      <c r="CO42" s="1583">
        <f>CO24*1.25</f>
        <v/>
      </c>
      <c r="CP42" s="1583">
        <f>CP24*1.25</f>
        <v/>
      </c>
      <c r="CQ42" s="1583">
        <f>CQ24*1.25</f>
        <v/>
      </c>
      <c r="CR42" s="1583">
        <f>CR24*1.25</f>
        <v/>
      </c>
      <c r="CS42" s="1583">
        <f>CS24*1.25</f>
        <v/>
      </c>
      <c r="CT42" s="1583">
        <f>CT24*1.25</f>
        <v/>
      </c>
      <c r="CU42" s="1583">
        <f>CU24*1.25</f>
        <v/>
      </c>
      <c r="CV42" s="1583">
        <f>CV24*1.25</f>
        <v/>
      </c>
      <c r="CW42" s="1583">
        <f>CW24*1.25</f>
        <v/>
      </c>
      <c r="CX42" s="1583">
        <f>CX24*1.25</f>
        <v/>
      </c>
      <c r="CY42" s="1583">
        <f>CY24*1.25</f>
        <v/>
      </c>
      <c r="CZ42" s="1583">
        <f>CZ24*1.25</f>
        <v/>
      </c>
      <c r="DA42" s="1583">
        <f>DA24*1.25</f>
        <v/>
      </c>
      <c r="DB42" s="1583">
        <f>DB24*1.25</f>
        <v/>
      </c>
      <c r="DC42" s="1583">
        <f>DC24*1.25</f>
        <v/>
      </c>
      <c r="DD42" s="1583">
        <f>DD24*1.25</f>
        <v/>
      </c>
      <c r="DE42" s="1583">
        <f>DE24*1.25</f>
        <v/>
      </c>
      <c r="DF42" s="1602" t="n"/>
      <c r="DG42" s="1616">
        <f>Table245[[#This Row],[Column109]]/360000000</f>
        <v/>
      </c>
      <c r="DH42" s="1611" t="inlineStr">
        <is>
          <t>360 million companies worldwide - current #s</t>
        </is>
      </c>
    </row>
    <row r="43" customFormat="1" s="1614">
      <c r="A43" s="1611" t="n"/>
      <c r="B43" s="1611" t="inlineStr">
        <is>
          <t>Agencies</t>
        </is>
      </c>
      <c r="C43" s="1612" t="n"/>
      <c r="D43" s="1612" t="n"/>
      <c r="E43" s="1612" t="n"/>
      <c r="F43" s="1610">
        <f>F25*1.25</f>
        <v/>
      </c>
      <c r="G43" s="1610">
        <f>G25*1.25</f>
        <v/>
      </c>
      <c r="H43" s="1610">
        <f>H25*1.25</f>
        <v/>
      </c>
      <c r="I43" s="1610">
        <f>I25*1.25</f>
        <v/>
      </c>
      <c r="J43" s="1610">
        <f>J25*1.25</f>
        <v/>
      </c>
      <c r="K43" s="1610">
        <f>K25*1.25</f>
        <v/>
      </c>
      <c r="L43" s="1610">
        <f>L25*1.25</f>
        <v/>
      </c>
      <c r="M43" s="1610">
        <f>M25*1.25</f>
        <v/>
      </c>
      <c r="N43" s="1610">
        <f>N25*1.25</f>
        <v/>
      </c>
      <c r="O43" s="1610">
        <f>O25*1.25</f>
        <v/>
      </c>
      <c r="P43" s="1610">
        <f>P25*1.25</f>
        <v/>
      </c>
      <c r="Q43" s="1610">
        <f>Q25*1.25</f>
        <v/>
      </c>
      <c r="R43" s="1610">
        <f>R25*1.25</f>
        <v/>
      </c>
      <c r="S43" s="1610">
        <f>S25*1.25</f>
        <v/>
      </c>
      <c r="T43" s="1610">
        <f>T25*1.25</f>
        <v/>
      </c>
      <c r="U43" s="1610">
        <f>U25*1.25</f>
        <v/>
      </c>
      <c r="V43" s="1610">
        <f>V25*1.25</f>
        <v/>
      </c>
      <c r="W43" s="1610">
        <f>W25*1.25</f>
        <v/>
      </c>
      <c r="X43" s="1610">
        <f>X25*1.25</f>
        <v/>
      </c>
      <c r="Y43" s="1610">
        <f>Y25*1.25</f>
        <v/>
      </c>
      <c r="Z43" s="1610">
        <f>Z25*1.25</f>
        <v/>
      </c>
      <c r="AA43" s="1610">
        <f>AA25*1.25</f>
        <v/>
      </c>
      <c r="AB43" s="1610">
        <f>AB25*1.25</f>
        <v/>
      </c>
      <c r="AC43" s="1610">
        <f>AC25*1.25</f>
        <v/>
      </c>
      <c r="AD43" s="1610">
        <f>AD25*1.25</f>
        <v/>
      </c>
      <c r="AE43" s="1610">
        <f>AE25*1.25</f>
        <v/>
      </c>
      <c r="AF43" s="1610">
        <f>AF25*1.25</f>
        <v/>
      </c>
      <c r="AG43" s="1610">
        <f>AG25*1.25</f>
        <v/>
      </c>
      <c r="AH43" s="1610">
        <f>AH25*1.25</f>
        <v/>
      </c>
      <c r="AI43" s="1610">
        <f>AI25*1.25</f>
        <v/>
      </c>
      <c r="AJ43" s="1610">
        <f>AJ25*1.25</f>
        <v/>
      </c>
      <c r="AK43" s="1610">
        <f>AK25*1.25</f>
        <v/>
      </c>
      <c r="AL43" s="1610">
        <f>AL25*1.25</f>
        <v/>
      </c>
      <c r="AM43" s="1610">
        <f>AM25*1.25</f>
        <v/>
      </c>
      <c r="AN43" s="1610">
        <f>AN25*1.25</f>
        <v/>
      </c>
      <c r="AO43" s="1610">
        <f>AO25*1.25</f>
        <v/>
      </c>
      <c r="AP43" s="1610">
        <f>AP25*1.25</f>
        <v/>
      </c>
      <c r="AQ43" s="1610">
        <f>AQ25*1.25</f>
        <v/>
      </c>
      <c r="AR43" s="1610">
        <f>AR25*1.25</f>
        <v/>
      </c>
      <c r="AS43" s="1610">
        <f>AS25*1.25</f>
        <v/>
      </c>
      <c r="AT43" s="1610">
        <f>AT25*1.25</f>
        <v/>
      </c>
      <c r="AU43" s="1610">
        <f>AU25*1.25</f>
        <v/>
      </c>
      <c r="AV43" s="1610">
        <f>AV25*1.25</f>
        <v/>
      </c>
      <c r="AW43" s="1610">
        <f>AW25*1.25</f>
        <v/>
      </c>
      <c r="AX43" s="1610">
        <f>AX25*1.25</f>
        <v/>
      </c>
      <c r="AY43" s="1610">
        <f>AY25*1.25</f>
        <v/>
      </c>
      <c r="AZ43" s="1610">
        <f>AZ25*1.25</f>
        <v/>
      </c>
      <c r="BA43" s="1610">
        <f>BA25*1.25</f>
        <v/>
      </c>
      <c r="BB43" s="1610">
        <f>BB25*1.25</f>
        <v/>
      </c>
      <c r="BC43" s="1610">
        <f>BC25*1.25</f>
        <v/>
      </c>
      <c r="BD43" s="1610">
        <f>BD25*1.25</f>
        <v/>
      </c>
      <c r="BE43" s="1610">
        <f>BE25*1.25</f>
        <v/>
      </c>
      <c r="BF43" s="1610">
        <f>BF25*1.25</f>
        <v/>
      </c>
      <c r="BG43" s="1610">
        <f>BG25*1.25</f>
        <v/>
      </c>
      <c r="BH43" s="1610">
        <f>BH25*1.25</f>
        <v/>
      </c>
      <c r="BI43" s="1610">
        <f>BI25*1.25</f>
        <v/>
      </c>
      <c r="BJ43" s="1610">
        <f>BJ25*1.25</f>
        <v/>
      </c>
      <c r="BK43" s="1610">
        <f>BK25*1.25</f>
        <v/>
      </c>
      <c r="BL43" s="1610">
        <f>BL25*1.25</f>
        <v/>
      </c>
      <c r="BM43" s="1610">
        <f>BM25*1.25</f>
        <v/>
      </c>
      <c r="BN43" s="1610">
        <f>BN25*1.25</f>
        <v/>
      </c>
      <c r="BO43" s="1610">
        <f>BO25*1.25</f>
        <v/>
      </c>
      <c r="BP43" s="1610">
        <f>BP25*1.25</f>
        <v/>
      </c>
      <c r="BQ43" s="1610">
        <f>BQ25*1.25</f>
        <v/>
      </c>
      <c r="BR43" s="1610">
        <f>BR25*1.25</f>
        <v/>
      </c>
      <c r="BS43" s="1610">
        <f>BS25*1.25</f>
        <v/>
      </c>
      <c r="BT43" s="1610">
        <f>BT25*1.25</f>
        <v/>
      </c>
      <c r="BU43" s="1610">
        <f>BU25*1.25</f>
        <v/>
      </c>
      <c r="BV43" s="1610">
        <f>BV25*1.25</f>
        <v/>
      </c>
      <c r="BW43" s="1610">
        <f>BW25*1.25</f>
        <v/>
      </c>
      <c r="BX43" s="1610">
        <f>BX25*1.25</f>
        <v/>
      </c>
      <c r="BY43" s="1610">
        <f>BY25*1.25</f>
        <v/>
      </c>
      <c r="BZ43" s="1610">
        <f>BZ25*1.25</f>
        <v/>
      </c>
      <c r="CA43" s="1610">
        <f>CA25*1.25</f>
        <v/>
      </c>
      <c r="CB43" s="1610">
        <f>CB25*1.25</f>
        <v/>
      </c>
      <c r="CC43" s="1610">
        <f>CC25*1.25</f>
        <v/>
      </c>
      <c r="CD43" s="1610">
        <f>CD25*1.25</f>
        <v/>
      </c>
      <c r="CE43" s="1610">
        <f>CE25*1.25</f>
        <v/>
      </c>
      <c r="CF43" s="1610">
        <f>CF25*1.25</f>
        <v/>
      </c>
      <c r="CG43" s="1610">
        <f>CG25*1.25</f>
        <v/>
      </c>
      <c r="CH43" s="1610">
        <f>CH25*1.25</f>
        <v/>
      </c>
      <c r="CI43" s="1610">
        <f>CI25*1.25</f>
        <v/>
      </c>
      <c r="CJ43" s="1610">
        <f>CJ25*1.25</f>
        <v/>
      </c>
      <c r="CK43" s="1610">
        <f>CK25*1.25</f>
        <v/>
      </c>
      <c r="CL43" s="1610">
        <f>CL25*1.25</f>
        <v/>
      </c>
      <c r="CM43" s="1610">
        <f>CM25*1.25</f>
        <v/>
      </c>
      <c r="CN43" s="1610">
        <f>CN25*1.25</f>
        <v/>
      </c>
      <c r="CO43" s="1610">
        <f>CO25*1.25</f>
        <v/>
      </c>
      <c r="CP43" s="1610">
        <f>CP25*1.25</f>
        <v/>
      </c>
      <c r="CQ43" s="1610">
        <f>CQ25*1.25</f>
        <v/>
      </c>
      <c r="CR43" s="1610">
        <f>CR25*1.25</f>
        <v/>
      </c>
      <c r="CS43" s="1610">
        <f>CS25*1.25</f>
        <v/>
      </c>
      <c r="CT43" s="1610">
        <f>CT25*1.25</f>
        <v/>
      </c>
      <c r="CU43" s="1610">
        <f>CU25*1.25</f>
        <v/>
      </c>
      <c r="CV43" s="1610">
        <f>CV25*1.25</f>
        <v/>
      </c>
      <c r="CW43" s="1610">
        <f>CW25*1.25</f>
        <v/>
      </c>
      <c r="CX43" s="1610">
        <f>CX25*1.25</f>
        <v/>
      </c>
      <c r="CY43" s="1610">
        <f>CY25*1.25</f>
        <v/>
      </c>
      <c r="CZ43" s="1610">
        <f>CZ25*1.25</f>
        <v/>
      </c>
      <c r="DA43" s="1610">
        <f>DA25*1.25</f>
        <v/>
      </c>
      <c r="DB43" s="1610">
        <f>DB25*1.25</f>
        <v/>
      </c>
      <c r="DC43" s="1610">
        <f>DC25*1.25</f>
        <v/>
      </c>
      <c r="DD43" s="1610">
        <f>DD25*1.25</f>
        <v/>
      </c>
      <c r="DE43" s="1610">
        <f>DE25*1.25</f>
        <v/>
      </c>
      <c r="DF43" s="1612" t="n"/>
      <c r="DG43" s="1616">
        <f>Table245[[#This Row],[Column109]]/25000</f>
        <v/>
      </c>
      <c r="DH43" s="1611" t="inlineStr">
        <is>
          <t>25000 marketing agencies worldwide</t>
        </is>
      </c>
    </row>
    <row r="44">
      <c r="C44" s="1583" t="n"/>
      <c r="D44" s="1583" t="n"/>
      <c r="E44" s="1583" t="n"/>
      <c r="F44" s="1583" t="n"/>
      <c r="G44" s="1583" t="n"/>
      <c r="H44" s="1583" t="n"/>
      <c r="I44" s="1583" t="n"/>
      <c r="J44" s="1583" t="n"/>
      <c r="K44" s="1583" t="n"/>
      <c r="L44" s="1583" t="n"/>
      <c r="M44" s="1583" t="n"/>
      <c r="N44" s="1583" t="n"/>
      <c r="O44" s="1583" t="n"/>
      <c r="P44" s="1583" t="n"/>
      <c r="Q44" s="1583" t="n"/>
      <c r="R44" s="1583" t="n"/>
      <c r="S44" s="1583" t="n"/>
      <c r="T44" s="1583" t="n"/>
      <c r="U44" s="1583" t="n"/>
      <c r="V44" s="1583" t="n"/>
      <c r="W44" s="1583" t="n"/>
      <c r="X44" s="1583" t="n"/>
      <c r="Y44" s="1583" t="n"/>
      <c r="Z44" s="1583" t="n"/>
      <c r="AA44" s="1583" t="n"/>
      <c r="AB44" s="1583" t="n"/>
      <c r="AC44" s="1583" t="n"/>
      <c r="AD44" s="1583" t="n"/>
      <c r="AE44" s="1583" t="n"/>
      <c r="AF44" s="1583" t="n"/>
      <c r="AG44" s="1583" t="n"/>
      <c r="AH44" s="1583" t="n"/>
      <c r="AI44" s="1583" t="n"/>
      <c r="AJ44" s="1583" t="n"/>
      <c r="AK44" s="1583" t="n"/>
      <c r="AL44" s="1583" t="n"/>
      <c r="AM44" s="1583" t="n"/>
      <c r="AN44" s="1583" t="n"/>
      <c r="AO44" s="1583" t="n"/>
      <c r="AP44" s="1583" t="n"/>
      <c r="AQ44" s="1583" t="n"/>
      <c r="AR44" s="1583" t="n"/>
      <c r="AS44" s="1583" t="n"/>
      <c r="AT44" s="1583" t="n"/>
      <c r="AU44" s="1583" t="n"/>
      <c r="AV44" s="1583" t="n"/>
      <c r="AW44" s="1583" t="n"/>
      <c r="AX44" s="1583" t="n"/>
      <c r="AY44" s="1583" t="n"/>
      <c r="AZ44" s="1583" t="n"/>
      <c r="BA44" s="1583" t="n"/>
      <c r="BB44" s="1583" t="n"/>
      <c r="BC44" s="1583" t="n"/>
      <c r="BD44" s="1583" t="n"/>
      <c r="BE44" s="1583" t="n"/>
      <c r="BF44" s="1583" t="n"/>
      <c r="BG44" s="1583" t="n"/>
      <c r="BH44" s="1583" t="n"/>
      <c r="BI44" s="1583" t="n"/>
      <c r="BJ44" s="1583" t="n"/>
      <c r="BK44" s="1583" t="n"/>
      <c r="BL44" s="1583" t="n"/>
      <c r="BM44" s="1583" t="n"/>
      <c r="BN44" s="1583" t="n"/>
      <c r="BO44" s="1583" t="n"/>
      <c r="BP44" s="1583" t="n"/>
      <c r="BQ44" s="1583" t="n"/>
      <c r="BR44" s="1583" t="n"/>
      <c r="BS44" s="1583" t="n"/>
      <c r="BT44" s="1583" t="n"/>
      <c r="BU44" s="1583" t="n"/>
      <c r="BV44" s="1583" t="n"/>
      <c r="BW44" s="1583" t="n"/>
      <c r="BX44" s="1583" t="n"/>
      <c r="BY44" s="1583" t="n"/>
      <c r="BZ44" s="1583" t="n"/>
      <c r="CA44" s="1583" t="n"/>
      <c r="CB44" s="1583" t="n"/>
      <c r="CC44" s="1583" t="n"/>
      <c r="CD44" s="1583" t="n"/>
      <c r="CE44" s="1583" t="n"/>
      <c r="CF44" s="1583" t="n"/>
      <c r="CG44" s="1583" t="n"/>
      <c r="CH44" s="1583" t="n"/>
      <c r="CI44" s="1583" t="n"/>
      <c r="CJ44" s="1583" t="n"/>
      <c r="CK44" s="1583" t="n"/>
      <c r="CL44" s="1583" t="n"/>
      <c r="CM44" s="1583" t="n"/>
      <c r="CN44" s="1583" t="n"/>
      <c r="CO44" s="1583" t="n"/>
      <c r="CP44" s="1583" t="n"/>
      <c r="CQ44" s="1583" t="n"/>
      <c r="CR44" s="1583" t="n"/>
      <c r="CS44" s="1583" t="n"/>
      <c r="CT44" s="1583" t="n"/>
      <c r="CU44" s="1583" t="n"/>
      <c r="CV44" s="1583" t="n"/>
      <c r="CW44" s="1583" t="n"/>
      <c r="CX44" s="1583" t="n"/>
      <c r="CY44" s="1583" t="n"/>
      <c r="CZ44" s="1583" t="n"/>
      <c r="DA44" s="1583" t="n"/>
      <c r="DB44" s="1583" t="n"/>
      <c r="DC44" s="1583" t="n"/>
      <c r="DD44" s="1583" t="n"/>
      <c r="DE44" s="1583" t="n"/>
      <c r="DF44" s="1602" t="n"/>
      <c r="DG44" s="1616" t="n"/>
      <c r="DH44" s="1611" t="n"/>
    </row>
    <row r="45">
      <c r="A45" s="658" t="inlineStr">
        <is>
          <t>CPG Model</t>
        </is>
      </c>
      <c r="B45" s="658" t="inlineStr">
        <is>
          <t>Phones</t>
        </is>
      </c>
      <c r="C45" s="1602" t="n"/>
      <c r="D45" s="1602" t="n"/>
      <c r="E45" s="1602" t="n"/>
      <c r="F45" s="1583" t="n"/>
      <c r="G45" s="1583" t="n"/>
      <c r="H45" s="1583" t="n"/>
      <c r="I45" s="1583" t="n"/>
      <c r="J45" s="1583">
        <f>J27*1.25</f>
        <v/>
      </c>
      <c r="K45" s="1583">
        <f>K27*1.25</f>
        <v/>
      </c>
      <c r="L45" s="1583">
        <f>L27*1.25</f>
        <v/>
      </c>
      <c r="M45" s="1583">
        <f>M27*1.25</f>
        <v/>
      </c>
      <c r="N45" s="1583">
        <f>N27*1.25</f>
        <v/>
      </c>
      <c r="O45" s="1583">
        <f>O27*1.25</f>
        <v/>
      </c>
      <c r="P45" s="1583">
        <f>P27*1.25</f>
        <v/>
      </c>
      <c r="Q45" s="1583">
        <f>Q27*1.25</f>
        <v/>
      </c>
      <c r="R45" s="1583">
        <f>R27*1.25</f>
        <v/>
      </c>
      <c r="S45" s="1583">
        <f>S27*1.25</f>
        <v/>
      </c>
      <c r="T45" s="1583">
        <f>T27*1.25</f>
        <v/>
      </c>
      <c r="U45" s="1583">
        <f>U27*1.25</f>
        <v/>
      </c>
      <c r="V45" s="1583">
        <f>V27*1.25</f>
        <v/>
      </c>
      <c r="W45" s="1583">
        <f>W27*1.25</f>
        <v/>
      </c>
      <c r="X45" s="1583">
        <f>X27*1.25</f>
        <v/>
      </c>
      <c r="Y45" s="1583">
        <f>Y27*1.25</f>
        <v/>
      </c>
      <c r="Z45" s="1583">
        <f>Z27*1.25</f>
        <v/>
      </c>
      <c r="AA45" s="1583">
        <f>AA27*1.25</f>
        <v/>
      </c>
      <c r="AB45" s="1583">
        <f>AB27*1.25</f>
        <v/>
      </c>
      <c r="AC45" s="1583">
        <f>AC27*1.25</f>
        <v/>
      </c>
      <c r="AD45" s="1583">
        <f>AD27*1.25</f>
        <v/>
      </c>
      <c r="AE45" s="1583">
        <f>AE27*1.25</f>
        <v/>
      </c>
      <c r="AF45" s="1583">
        <f>AF27*1.25</f>
        <v/>
      </c>
      <c r="AG45" s="1583">
        <f>AG27*1.25</f>
        <v/>
      </c>
      <c r="AH45" s="1583">
        <f>AH27*1.25</f>
        <v/>
      </c>
      <c r="AI45" s="1583">
        <f>AI27*1.25</f>
        <v/>
      </c>
      <c r="AJ45" s="1583">
        <f>AJ27*1.25</f>
        <v/>
      </c>
      <c r="AK45" s="1583">
        <f>AK27*1.25</f>
        <v/>
      </c>
      <c r="AL45" s="1583">
        <f>AL27*1.25</f>
        <v/>
      </c>
      <c r="AM45" s="1583">
        <f>AM27*1.25</f>
        <v/>
      </c>
      <c r="AN45" s="1583">
        <f>AN27*1.25</f>
        <v/>
      </c>
      <c r="AO45" s="1583">
        <f>AO27*1.25</f>
        <v/>
      </c>
      <c r="AP45" s="1583">
        <f>AP27*1.25</f>
        <v/>
      </c>
      <c r="AQ45" s="1583">
        <f>AQ27*1.25</f>
        <v/>
      </c>
      <c r="AR45" s="1583">
        <f>AR27*1.25</f>
        <v/>
      </c>
      <c r="AS45" s="1583">
        <f>AS27*1.25</f>
        <v/>
      </c>
      <c r="AT45" s="1583">
        <f>AT27*1.25</f>
        <v/>
      </c>
      <c r="AU45" s="1583">
        <f>AU27*1.25</f>
        <v/>
      </c>
      <c r="AV45" s="1583">
        <f>AV27*1.25</f>
        <v/>
      </c>
      <c r="AW45" s="1583">
        <f>AW27*1.25</f>
        <v/>
      </c>
      <c r="AX45" s="1583">
        <f>AX27*1.25</f>
        <v/>
      </c>
      <c r="AY45" s="1583">
        <f>AY27*1.25</f>
        <v/>
      </c>
      <c r="AZ45" s="1583">
        <f>AZ27*1.25</f>
        <v/>
      </c>
      <c r="BA45" s="1583">
        <f>BA27*1.25</f>
        <v/>
      </c>
      <c r="BB45" s="1583">
        <f>BB27*1.25</f>
        <v/>
      </c>
      <c r="BC45" s="1583">
        <f>BC27*1.25</f>
        <v/>
      </c>
      <c r="BD45" s="1583">
        <f>BD27*1.25</f>
        <v/>
      </c>
      <c r="BE45" s="1583">
        <f>BE27*1.25</f>
        <v/>
      </c>
      <c r="BF45" s="1583">
        <f>BF27*1.25</f>
        <v/>
      </c>
      <c r="BG45" s="1583">
        <f>BG27*1.25</f>
        <v/>
      </c>
      <c r="BH45" s="1583">
        <f>BH27*1.25</f>
        <v/>
      </c>
      <c r="BI45" s="1583">
        <f>BI27*1.25</f>
        <v/>
      </c>
      <c r="BJ45" s="1583">
        <f>BJ27*1.25</f>
        <v/>
      </c>
      <c r="BK45" s="1583">
        <f>BK27*1.25</f>
        <v/>
      </c>
      <c r="BL45" s="1583">
        <f>BL27*1.25</f>
        <v/>
      </c>
      <c r="BM45" s="1583">
        <f>BM27*1.25</f>
        <v/>
      </c>
      <c r="BN45" s="1583">
        <f>BN27*1.25</f>
        <v/>
      </c>
      <c r="BO45" s="1583">
        <f>BO27*1.25</f>
        <v/>
      </c>
      <c r="BP45" s="1583">
        <f>BP27*1.25</f>
        <v/>
      </c>
      <c r="BQ45" s="1583">
        <f>BQ27*1.25</f>
        <v/>
      </c>
      <c r="BR45" s="1583">
        <f>BR27*1.25</f>
        <v/>
      </c>
      <c r="BS45" s="1583">
        <f>BS27*1.25</f>
        <v/>
      </c>
      <c r="BT45" s="1583">
        <f>BT27*1.25</f>
        <v/>
      </c>
      <c r="BU45" s="1583">
        <f>BU27*1.25</f>
        <v/>
      </c>
      <c r="BV45" s="1583">
        <f>BV27*1.25</f>
        <v/>
      </c>
      <c r="BW45" s="1583">
        <f>BW27*1.25</f>
        <v/>
      </c>
      <c r="BX45" s="1583">
        <f>BX27*1.25</f>
        <v/>
      </c>
      <c r="BY45" s="1583">
        <f>BY27*1.25</f>
        <v/>
      </c>
      <c r="BZ45" s="1583">
        <f>BZ27*1.25</f>
        <v/>
      </c>
      <c r="CA45" s="1583">
        <f>CA27*1.25</f>
        <v/>
      </c>
      <c r="CB45" s="1583">
        <f>CB27*1.25</f>
        <v/>
      </c>
      <c r="CC45" s="1583">
        <f>CC27*1.25</f>
        <v/>
      </c>
      <c r="CD45" s="1583">
        <f>CD27*1.25</f>
        <v/>
      </c>
      <c r="CE45" s="1583">
        <f>CE27*1.25</f>
        <v/>
      </c>
      <c r="CF45" s="1583">
        <f>CF27*1.25</f>
        <v/>
      </c>
      <c r="CG45" s="1583">
        <f>CG27*1.25</f>
        <v/>
      </c>
      <c r="CH45" s="1583">
        <f>CH27*1.25</f>
        <v/>
      </c>
      <c r="CI45" s="1583">
        <f>CI27*1.25</f>
        <v/>
      </c>
      <c r="CJ45" s="1583">
        <f>CJ27*1.25</f>
        <v/>
      </c>
      <c r="CK45" s="1583">
        <f>CK27*1.25</f>
        <v/>
      </c>
      <c r="CL45" s="1583">
        <f>CL27*1.25</f>
        <v/>
      </c>
      <c r="CM45" s="1583">
        <f>CM27*1.25</f>
        <v/>
      </c>
      <c r="CN45" s="1583">
        <f>CN27*1.25</f>
        <v/>
      </c>
      <c r="CO45" s="1583">
        <f>CO27*1.25</f>
        <v/>
      </c>
      <c r="CP45" s="1583">
        <f>CP27*1.25</f>
        <v/>
      </c>
      <c r="CQ45" s="1583">
        <f>CQ27*1.25</f>
        <v/>
      </c>
      <c r="CR45" s="1583">
        <f>CR27*1.25</f>
        <v/>
      </c>
      <c r="CS45" s="1583">
        <f>CS27*1.25</f>
        <v/>
      </c>
      <c r="CT45" s="1583">
        <f>CT27*1.25</f>
        <v/>
      </c>
      <c r="CU45" s="1583">
        <f>CU27*1.25</f>
        <v/>
      </c>
      <c r="CV45" s="1583">
        <f>CV27*1.25</f>
        <v/>
      </c>
      <c r="CW45" s="1583">
        <f>CW27*1.25</f>
        <v/>
      </c>
      <c r="CX45" s="1583">
        <f>CX27*1.25</f>
        <v/>
      </c>
      <c r="CY45" s="1583">
        <f>CY27*1.25</f>
        <v/>
      </c>
      <c r="CZ45" s="1583">
        <f>CZ27*1.25</f>
        <v/>
      </c>
      <c r="DA45" s="1583">
        <f>DA27*1.25</f>
        <v/>
      </c>
      <c r="DB45" s="1583">
        <f>DB27*1.25</f>
        <v/>
      </c>
      <c r="DC45" s="1583">
        <f>DC27*1.25</f>
        <v/>
      </c>
      <c r="DD45" s="1583">
        <f>DD27*1.25</f>
        <v/>
      </c>
      <c r="DE45" s="1583">
        <f>DE27*1.25</f>
        <v/>
      </c>
      <c r="DF45" s="1602" t="n"/>
      <c r="DG45" s="1616">
        <f>Table245[[#This Row],[Column109]]/5000000000</f>
        <v/>
      </c>
      <c r="DH45" s="1611" t="inlineStr">
        <is>
          <t>5 billion smart phone users worldwide - current numbers</t>
        </is>
      </c>
    </row>
    <row r="46">
      <c r="A46" s="658" t="n"/>
      <c r="B46" s="658" t="inlineStr">
        <is>
          <t>Brands</t>
        </is>
      </c>
      <c r="C46" s="1602" t="n"/>
      <c r="D46" s="1602" t="n"/>
      <c r="E46" s="1602" t="n"/>
      <c r="F46" s="1583" t="n"/>
      <c r="G46" s="1583" t="n"/>
      <c r="H46" s="1583" t="n"/>
      <c r="I46" s="1583" t="n"/>
      <c r="J46" s="1583">
        <f>J28*1.25</f>
        <v/>
      </c>
      <c r="K46" s="1583">
        <f>K28*1.25</f>
        <v/>
      </c>
      <c r="L46" s="1583">
        <f>L28*1.25</f>
        <v/>
      </c>
      <c r="M46" s="1583">
        <f>M28*1.25</f>
        <v/>
      </c>
      <c r="N46" s="1583">
        <f>N28*1.25</f>
        <v/>
      </c>
      <c r="O46" s="1583">
        <f>O28*1.25</f>
        <v/>
      </c>
      <c r="P46" s="1583">
        <f>P28*1.25</f>
        <v/>
      </c>
      <c r="Q46" s="1583">
        <f>Q28*1.25</f>
        <v/>
      </c>
      <c r="R46" s="1583">
        <f>R28*1.25</f>
        <v/>
      </c>
      <c r="S46" s="1583">
        <f>S28*1.25</f>
        <v/>
      </c>
      <c r="T46" s="1583">
        <f>T28*1.25</f>
        <v/>
      </c>
      <c r="U46" s="1583">
        <f>U28*1.25</f>
        <v/>
      </c>
      <c r="V46" s="1583">
        <f>V28*1.25</f>
        <v/>
      </c>
      <c r="W46" s="1583">
        <f>W28*1.25</f>
        <v/>
      </c>
      <c r="X46" s="1583">
        <f>X28*1.25</f>
        <v/>
      </c>
      <c r="Y46" s="1583">
        <f>Y28*1.25</f>
        <v/>
      </c>
      <c r="Z46" s="1583">
        <f>Z28*1.25</f>
        <v/>
      </c>
      <c r="AA46" s="1583">
        <f>AA28*1.25</f>
        <v/>
      </c>
      <c r="AB46" s="1583">
        <f>AB28*1.25</f>
        <v/>
      </c>
      <c r="AC46" s="1583">
        <f>AC28*1.25</f>
        <v/>
      </c>
      <c r="AD46" s="1583">
        <f>AD28*1.25</f>
        <v/>
      </c>
      <c r="AE46" s="1583">
        <f>AE28*1.25</f>
        <v/>
      </c>
      <c r="AF46" s="1583">
        <f>AF28*1.25</f>
        <v/>
      </c>
      <c r="AG46" s="1583">
        <f>AG28*1.25</f>
        <v/>
      </c>
      <c r="AH46" s="1583">
        <f>AH28*1.25</f>
        <v/>
      </c>
      <c r="AI46" s="1583">
        <f>AI28*1.25</f>
        <v/>
      </c>
      <c r="AJ46" s="1583">
        <f>AJ28*1.25</f>
        <v/>
      </c>
      <c r="AK46" s="1583">
        <f>AK28*1.25</f>
        <v/>
      </c>
      <c r="AL46" s="1583">
        <f>AL28*1.25</f>
        <v/>
      </c>
      <c r="AM46" s="1583">
        <f>AM28*1.25</f>
        <v/>
      </c>
      <c r="AN46" s="1583">
        <f>AN28*1.25</f>
        <v/>
      </c>
      <c r="AO46" s="1583">
        <f>AO28*1.25</f>
        <v/>
      </c>
      <c r="AP46" s="1583">
        <f>AP28*1.25</f>
        <v/>
      </c>
      <c r="AQ46" s="1583">
        <f>AQ28*1.25</f>
        <v/>
      </c>
      <c r="AR46" s="1583">
        <f>AR28*1.25</f>
        <v/>
      </c>
      <c r="AS46" s="1583">
        <f>AS28*1.25</f>
        <v/>
      </c>
      <c r="AT46" s="1583">
        <f>AT28*1.25</f>
        <v/>
      </c>
      <c r="AU46" s="1583">
        <f>AU28*1.25</f>
        <v/>
      </c>
      <c r="AV46" s="1583">
        <f>AV28*1.25</f>
        <v/>
      </c>
      <c r="AW46" s="1583">
        <f>AW28*1.25</f>
        <v/>
      </c>
      <c r="AX46" s="1583">
        <f>AX28*1.25</f>
        <v/>
      </c>
      <c r="AY46" s="1583">
        <f>AY28*1.25</f>
        <v/>
      </c>
      <c r="AZ46" s="1583">
        <f>AZ28*1.25</f>
        <v/>
      </c>
      <c r="BA46" s="1583">
        <f>BA28*1.25</f>
        <v/>
      </c>
      <c r="BB46" s="1583">
        <f>BB28*1.25</f>
        <v/>
      </c>
      <c r="BC46" s="1583">
        <f>BC28*1.25</f>
        <v/>
      </c>
      <c r="BD46" s="1583">
        <f>BD28*1.25</f>
        <v/>
      </c>
      <c r="BE46" s="1583">
        <f>BE28*1.25</f>
        <v/>
      </c>
      <c r="BF46" s="1583">
        <f>BF28*1.25</f>
        <v/>
      </c>
      <c r="BG46" s="1583">
        <f>BG28*1.25</f>
        <v/>
      </c>
      <c r="BH46" s="1583">
        <f>BH28*1.25</f>
        <v/>
      </c>
      <c r="BI46" s="1583">
        <f>BI28*1.25</f>
        <v/>
      </c>
      <c r="BJ46" s="1583">
        <f>BJ28*1.25</f>
        <v/>
      </c>
      <c r="BK46" s="1583">
        <f>BK28*1.25</f>
        <v/>
      </c>
      <c r="BL46" s="1583">
        <f>BL28*1.25</f>
        <v/>
      </c>
      <c r="BM46" s="1583">
        <f>BM28*1.25</f>
        <v/>
      </c>
      <c r="BN46" s="1583">
        <f>BN28*1.25</f>
        <v/>
      </c>
      <c r="BO46" s="1583">
        <f>BO28*1.25</f>
        <v/>
      </c>
      <c r="BP46" s="1583">
        <f>BP28*1.25</f>
        <v/>
      </c>
      <c r="BQ46" s="1583">
        <f>BQ28*1.25</f>
        <v/>
      </c>
      <c r="BR46" s="1583">
        <f>BR28*1.25</f>
        <v/>
      </c>
      <c r="BS46" s="1583">
        <f>BS28*1.25</f>
        <v/>
      </c>
      <c r="BT46" s="1583">
        <f>BT28*1.25</f>
        <v/>
      </c>
      <c r="BU46" s="1583">
        <f>BU28*1.25</f>
        <v/>
      </c>
      <c r="BV46" s="1583">
        <f>BV28*1.25</f>
        <v/>
      </c>
      <c r="BW46" s="1583">
        <f>BW28*1.25</f>
        <v/>
      </c>
      <c r="BX46" s="1583">
        <f>BX28*1.25</f>
        <v/>
      </c>
      <c r="BY46" s="1583">
        <f>BY28*1.25</f>
        <v/>
      </c>
      <c r="BZ46" s="1583">
        <f>BZ28*1.25</f>
        <v/>
      </c>
      <c r="CA46" s="1583">
        <f>CA28*1.25</f>
        <v/>
      </c>
      <c r="CB46" s="1583">
        <f>CB28*1.25</f>
        <v/>
      </c>
      <c r="CC46" s="1583">
        <f>CC28*1.25</f>
        <v/>
      </c>
      <c r="CD46" s="1583">
        <f>CD28*1.25</f>
        <v/>
      </c>
      <c r="CE46" s="1583">
        <f>CE28*1.25</f>
        <v/>
      </c>
      <c r="CF46" s="1583">
        <f>CF28*1.25</f>
        <v/>
      </c>
      <c r="CG46" s="1583">
        <f>CG28*1.25</f>
        <v/>
      </c>
      <c r="CH46" s="1583">
        <f>CH28*1.25</f>
        <v/>
      </c>
      <c r="CI46" s="1583">
        <f>CI28*1.25</f>
        <v/>
      </c>
      <c r="CJ46" s="1583">
        <f>CJ28*1.25</f>
        <v/>
      </c>
      <c r="CK46" s="1583">
        <f>CK28*1.25</f>
        <v/>
      </c>
      <c r="CL46" s="1583">
        <f>CL28*1.25</f>
        <v/>
      </c>
      <c r="CM46" s="1583">
        <f>CM28*1.25</f>
        <v/>
      </c>
      <c r="CN46" s="1583">
        <f>CN28*1.25</f>
        <v/>
      </c>
      <c r="CO46" s="1583">
        <f>CO28*1.25</f>
        <v/>
      </c>
      <c r="CP46" s="1583">
        <f>CP28*1.25</f>
        <v/>
      </c>
      <c r="CQ46" s="1583">
        <f>CQ28*1.25</f>
        <v/>
      </c>
      <c r="CR46" s="1583">
        <f>CR28*1.25</f>
        <v/>
      </c>
      <c r="CS46" s="1583">
        <f>CS28*1.25</f>
        <v/>
      </c>
      <c r="CT46" s="1583">
        <f>CT28*1.25</f>
        <v/>
      </c>
      <c r="CU46" s="1583">
        <f>CU28*1.25</f>
        <v/>
      </c>
      <c r="CV46" s="1583">
        <f>CV28*1.25</f>
        <v/>
      </c>
      <c r="CW46" s="1583">
        <f>CW28*1.25</f>
        <v/>
      </c>
      <c r="CX46" s="1583">
        <f>CX28*1.25</f>
        <v/>
      </c>
      <c r="CY46" s="1583">
        <f>CY28*1.25</f>
        <v/>
      </c>
      <c r="CZ46" s="1583">
        <f>CZ28*1.25</f>
        <v/>
      </c>
      <c r="DA46" s="1583">
        <f>DA28*1.25</f>
        <v/>
      </c>
      <c r="DB46" s="1583">
        <f>DB28*1.25</f>
        <v/>
      </c>
      <c r="DC46" s="1583">
        <f>DC28*1.25</f>
        <v/>
      </c>
      <c r="DD46" s="1583">
        <f>DD28*1.25</f>
        <v/>
      </c>
      <c r="DE46" s="1583">
        <f>DE28*1.25</f>
        <v/>
      </c>
      <c r="DF46" s="1602" t="n"/>
      <c r="DG46" s="1616">
        <f>Table245[[#This Row],[Column109]]/100000</f>
        <v/>
      </c>
      <c r="DH46" s="1611" t="inlineStr">
        <is>
          <t>100,000 CPG BRANDS currently</t>
        </is>
      </c>
    </row>
    <row r="47">
      <c r="C47" s="1583" t="n"/>
      <c r="D47" s="1583" t="n"/>
      <c r="E47" s="1583" t="n"/>
      <c r="F47" s="1583" t="n"/>
      <c r="G47" s="1583" t="n"/>
      <c r="H47" s="1583" t="n"/>
      <c r="I47" s="1583" t="n"/>
      <c r="J47" s="1583" t="n"/>
      <c r="K47" s="1583" t="n"/>
      <c r="L47" s="1583" t="n"/>
      <c r="M47" s="1583" t="n"/>
      <c r="N47" s="1583" t="n"/>
      <c r="O47" s="1583" t="n"/>
      <c r="P47" s="1583" t="n"/>
      <c r="Q47" s="1583" t="n"/>
      <c r="R47" s="1583" t="n"/>
      <c r="S47" s="1583" t="n"/>
      <c r="T47" s="1583" t="n"/>
      <c r="U47" s="1583" t="n"/>
      <c r="V47" s="1583" t="n"/>
      <c r="W47" s="1583" t="n"/>
      <c r="X47" s="1583" t="n"/>
      <c r="Y47" s="1583" t="n"/>
      <c r="Z47" s="1583" t="n"/>
      <c r="AA47" s="1583" t="n"/>
      <c r="AB47" s="1583" t="n"/>
      <c r="AC47" s="1583" t="n"/>
      <c r="AD47" s="1583" t="n"/>
      <c r="AE47" s="1583" t="n"/>
      <c r="AF47" s="1583" t="n"/>
      <c r="AG47" s="1583" t="n"/>
      <c r="AH47" s="1583" t="n"/>
      <c r="AI47" s="1583" t="n"/>
      <c r="AJ47" s="1583" t="n"/>
      <c r="AK47" s="1583" t="n"/>
      <c r="AL47" s="1583" t="n"/>
      <c r="AM47" s="1583" t="n"/>
      <c r="AN47" s="1583" t="n"/>
      <c r="AO47" s="1583" t="n"/>
      <c r="AP47" s="1583" t="n"/>
      <c r="AQ47" s="1583" t="n"/>
      <c r="AR47" s="1583" t="n"/>
      <c r="AS47" s="1583" t="n"/>
      <c r="AT47" s="1583" t="n"/>
      <c r="AU47" s="1583" t="n"/>
      <c r="AV47" s="1583" t="n"/>
      <c r="AW47" s="1583" t="n"/>
      <c r="AX47" s="1583" t="n"/>
      <c r="AY47" s="1583" t="n"/>
      <c r="AZ47" s="1583" t="n"/>
      <c r="BA47" s="1583" t="n"/>
      <c r="BB47" s="1583" t="n"/>
      <c r="BC47" s="1583" t="n"/>
      <c r="BD47" s="1583" t="n"/>
      <c r="BE47" s="1583" t="n"/>
      <c r="BF47" s="1583" t="n"/>
      <c r="BG47" s="1583" t="n"/>
      <c r="BH47" s="1583" t="n"/>
      <c r="BI47" s="1583" t="n"/>
      <c r="BJ47" s="1583" t="n"/>
      <c r="BK47" s="1583" t="n"/>
      <c r="BL47" s="1583" t="n"/>
      <c r="BM47" s="1583" t="n"/>
      <c r="BN47" s="1583" t="n"/>
      <c r="BO47" s="1583" t="n"/>
      <c r="BP47" s="1583" t="n"/>
      <c r="BQ47" s="1583" t="n"/>
      <c r="BR47" s="1583" t="n"/>
      <c r="BS47" s="1583" t="n"/>
      <c r="BT47" s="1583" t="n"/>
      <c r="BU47" s="1583" t="n"/>
      <c r="BV47" s="1583" t="n"/>
      <c r="BW47" s="1583" t="n"/>
      <c r="BX47" s="1583" t="n"/>
      <c r="BY47" s="1583" t="n"/>
      <c r="BZ47" s="1583" t="n"/>
      <c r="CA47" s="1583" t="n"/>
      <c r="CB47" s="1583" t="n"/>
      <c r="CC47" s="1583" t="n"/>
      <c r="CD47" s="1583" t="n"/>
      <c r="CE47" s="1583" t="n"/>
      <c r="CF47" s="1583" t="n"/>
      <c r="CG47" s="1583" t="n"/>
      <c r="CH47" s="1583" t="n"/>
      <c r="CI47" s="1583" t="n"/>
      <c r="CJ47" s="1583" t="n"/>
      <c r="CK47" s="1583" t="n"/>
      <c r="CL47" s="1583" t="n"/>
      <c r="CM47" s="1583" t="n"/>
      <c r="CN47" s="1583" t="n"/>
      <c r="CO47" s="1583" t="n"/>
      <c r="CP47" s="1583" t="n"/>
      <c r="CQ47" s="1583" t="n"/>
      <c r="CR47" s="1583" t="n"/>
      <c r="CS47" s="1583" t="n"/>
      <c r="CT47" s="1583" t="n"/>
      <c r="CU47" s="1583" t="n"/>
      <c r="CV47" s="1583" t="n"/>
      <c r="CW47" s="1583" t="n"/>
      <c r="CX47" s="1583" t="n"/>
      <c r="CY47" s="1583" t="n"/>
      <c r="CZ47" s="1583" t="n"/>
      <c r="DA47" s="1583" t="n"/>
      <c r="DB47" s="1583" t="n"/>
      <c r="DC47" s="1583" t="n"/>
      <c r="DD47" s="1583" t="n"/>
      <c r="DE47" s="1583" t="n"/>
      <c r="DF47" s="1602" t="n"/>
      <c r="DG47" s="1616" t="n"/>
      <c r="DH47" s="1611" t="n"/>
    </row>
    <row r="48">
      <c r="A48" s="658" t="inlineStr">
        <is>
          <t>Camera Commerce</t>
        </is>
      </c>
      <c r="B48" s="658" t="inlineStr">
        <is>
          <t>App Users</t>
        </is>
      </c>
      <c r="C48" s="1602" t="n"/>
      <c r="D48" s="1602" t="n"/>
      <c r="E48" s="1602" t="n"/>
      <c r="F48" s="1583" t="n"/>
      <c r="G48" s="1583" t="n"/>
      <c r="H48" s="1583" t="n"/>
      <c r="I48" s="1583" t="n"/>
      <c r="J48" s="1583" t="n"/>
      <c r="K48" s="1583">
        <f>K30*1.25</f>
        <v/>
      </c>
      <c r="L48" s="1583">
        <f>L30*1.25</f>
        <v/>
      </c>
      <c r="M48" s="1583">
        <f>M30*1.25</f>
        <v/>
      </c>
      <c r="N48" s="1583">
        <f>N30*1.25</f>
        <v/>
      </c>
      <c r="O48" s="1583">
        <f>O30*1.25</f>
        <v/>
      </c>
      <c r="P48" s="1583">
        <f>P30*1.25</f>
        <v/>
      </c>
      <c r="Q48" s="1583">
        <f>Q30*1.25</f>
        <v/>
      </c>
      <c r="R48" s="1583">
        <f>R30*1.25</f>
        <v/>
      </c>
      <c r="S48" s="1583">
        <f>S30*1.25</f>
        <v/>
      </c>
      <c r="T48" s="1583">
        <f>T30*1.25</f>
        <v/>
      </c>
      <c r="U48" s="1583">
        <f>U30*1.25</f>
        <v/>
      </c>
      <c r="V48" s="1583">
        <f>V30*1.25</f>
        <v/>
      </c>
      <c r="W48" s="1583">
        <f>W30*1.25</f>
        <v/>
      </c>
      <c r="X48" s="1583">
        <f>X30*1.25</f>
        <v/>
      </c>
      <c r="Y48" s="1583">
        <f>Y30*1.25</f>
        <v/>
      </c>
      <c r="Z48" s="1583">
        <f>Z30*1.25</f>
        <v/>
      </c>
      <c r="AA48" s="1583">
        <f>AA30*1.25</f>
        <v/>
      </c>
      <c r="AB48" s="1583">
        <f>AB30*1.25</f>
        <v/>
      </c>
      <c r="AC48" s="1583">
        <f>AC30*1.25</f>
        <v/>
      </c>
      <c r="AD48" s="1583">
        <f>AD30*1.25</f>
        <v/>
      </c>
      <c r="AE48" s="1583">
        <f>AE30*1.25</f>
        <v/>
      </c>
      <c r="AF48" s="1583">
        <f>AF30*1.25</f>
        <v/>
      </c>
      <c r="AG48" s="1583">
        <f>AG30*1.25</f>
        <v/>
      </c>
      <c r="AH48" s="1583">
        <f>AH30*1.25</f>
        <v/>
      </c>
      <c r="AI48" s="1583">
        <f>AI30*1.25</f>
        <v/>
      </c>
      <c r="AJ48" s="1583">
        <f>AJ30*1.25</f>
        <v/>
      </c>
      <c r="AK48" s="1583">
        <f>AK30*1.25</f>
        <v/>
      </c>
      <c r="AL48" s="1583">
        <f>AL30*1.25</f>
        <v/>
      </c>
      <c r="AM48" s="1583">
        <f>AM30*1.25</f>
        <v/>
      </c>
      <c r="AN48" s="1583">
        <f>AN30*1.25</f>
        <v/>
      </c>
      <c r="AO48" s="1583">
        <f>AO30*1.25</f>
        <v/>
      </c>
      <c r="AP48" s="1583">
        <f>AP30*1.25</f>
        <v/>
      </c>
      <c r="AQ48" s="1583">
        <f>AQ30*1.25</f>
        <v/>
      </c>
      <c r="AR48" s="1583">
        <f>AR30*1.25</f>
        <v/>
      </c>
      <c r="AS48" s="1583">
        <f>AS30*1.25</f>
        <v/>
      </c>
      <c r="AT48" s="1583">
        <f>AT30*1.25</f>
        <v/>
      </c>
      <c r="AU48" s="1583">
        <f>AU30*1.25</f>
        <v/>
      </c>
      <c r="AV48" s="1583">
        <f>AV30*1.25</f>
        <v/>
      </c>
      <c r="AW48" s="1583">
        <f>AW30*1.25</f>
        <v/>
      </c>
      <c r="AX48" s="1583">
        <f>AX30*1.25</f>
        <v/>
      </c>
      <c r="AY48" s="1583">
        <f>AY30*1.25</f>
        <v/>
      </c>
      <c r="AZ48" s="1583">
        <f>AZ30*1.25</f>
        <v/>
      </c>
      <c r="BA48" s="1583">
        <f>BA30*1.25</f>
        <v/>
      </c>
      <c r="BB48" s="1583">
        <f>BB30*1.25</f>
        <v/>
      </c>
      <c r="BC48" s="1583">
        <f>BC30*1.25</f>
        <v/>
      </c>
      <c r="BD48" s="1583">
        <f>BD30*1.25</f>
        <v/>
      </c>
      <c r="BE48" s="1583">
        <f>BE30*1.25</f>
        <v/>
      </c>
      <c r="BF48" s="1583">
        <f>BF30*1.25</f>
        <v/>
      </c>
      <c r="BG48" s="1583">
        <f>BG30*1.25</f>
        <v/>
      </c>
      <c r="BH48" s="1583">
        <f>BH30*1.25</f>
        <v/>
      </c>
      <c r="BI48" s="1583">
        <f>BI30*1.25</f>
        <v/>
      </c>
      <c r="BJ48" s="1583">
        <f>BJ30*1.25</f>
        <v/>
      </c>
      <c r="BK48" s="1583">
        <f>BK30*1.25</f>
        <v/>
      </c>
      <c r="BL48" s="1583">
        <f>BL30*1.25</f>
        <v/>
      </c>
      <c r="BM48" s="1583">
        <f>BM30*1.25</f>
        <v/>
      </c>
      <c r="BN48" s="1583">
        <f>BN30*1.25</f>
        <v/>
      </c>
      <c r="BO48" s="1583">
        <f>BO30*1.25</f>
        <v/>
      </c>
      <c r="BP48" s="1583">
        <f>BP30*1.25</f>
        <v/>
      </c>
      <c r="BQ48" s="1583">
        <f>BQ30*1.25</f>
        <v/>
      </c>
      <c r="BR48" s="1583">
        <f>BR30*1.25</f>
        <v/>
      </c>
      <c r="BS48" s="1583">
        <f>BS30*1.25</f>
        <v/>
      </c>
      <c r="BT48" s="1583">
        <f>BT30*1.25</f>
        <v/>
      </c>
      <c r="BU48" s="1583">
        <f>BU30*1.25</f>
        <v/>
      </c>
      <c r="BV48" s="1583">
        <f>BV30*1.25</f>
        <v/>
      </c>
      <c r="BW48" s="1583">
        <f>BW30*1.25</f>
        <v/>
      </c>
      <c r="BX48" s="1583">
        <f>BX30*1.25</f>
        <v/>
      </c>
      <c r="BY48" s="1583">
        <f>BY30*1.25</f>
        <v/>
      </c>
      <c r="BZ48" s="1583">
        <f>BZ30*1.25</f>
        <v/>
      </c>
      <c r="CA48" s="1583">
        <f>CA30*1.25</f>
        <v/>
      </c>
      <c r="CB48" s="1583">
        <f>CB30*1.25</f>
        <v/>
      </c>
      <c r="CC48" s="1583">
        <f>CC30*1.25</f>
        <v/>
      </c>
      <c r="CD48" s="1583">
        <f>CD30*1.25</f>
        <v/>
      </c>
      <c r="CE48" s="1583">
        <f>CE30*1.25</f>
        <v/>
      </c>
      <c r="CF48" s="1583">
        <f>CF30*1.25</f>
        <v/>
      </c>
      <c r="CG48" s="1583">
        <f>CG30*1.25</f>
        <v/>
      </c>
      <c r="CH48" s="1583">
        <f>CH30*1.25</f>
        <v/>
      </c>
      <c r="CI48" s="1583">
        <f>CI30*1.25</f>
        <v/>
      </c>
      <c r="CJ48" s="1583">
        <f>CJ30*1.25</f>
        <v/>
      </c>
      <c r="CK48" s="1583">
        <f>CK30*1.25</f>
        <v/>
      </c>
      <c r="CL48" s="1583">
        <f>CL30*1.25</f>
        <v/>
      </c>
      <c r="CM48" s="1583">
        <f>CM30*1.25</f>
        <v/>
      </c>
      <c r="CN48" s="1583">
        <f>CN30*1.25</f>
        <v/>
      </c>
      <c r="CO48" s="1583">
        <f>CO30*1.25</f>
        <v/>
      </c>
      <c r="CP48" s="1583">
        <f>CP30*1.25</f>
        <v/>
      </c>
      <c r="CQ48" s="1583">
        <f>CQ30*1.25</f>
        <v/>
      </c>
      <c r="CR48" s="1583">
        <f>CR30*1.25</f>
        <v/>
      </c>
      <c r="CS48" s="1583">
        <f>CS30*1.25</f>
        <v/>
      </c>
      <c r="CT48" s="1583">
        <f>CT30*1.25</f>
        <v/>
      </c>
      <c r="CU48" s="1583">
        <f>CU30*1.25</f>
        <v/>
      </c>
      <c r="CV48" s="1583">
        <f>CV30*1.25</f>
        <v/>
      </c>
      <c r="CW48" s="1583">
        <f>CW30*1.25</f>
        <v/>
      </c>
      <c r="CX48" s="1583">
        <f>CX30*1.25</f>
        <v/>
      </c>
      <c r="CY48" s="1583">
        <f>CY30*1.25</f>
        <v/>
      </c>
      <c r="CZ48" s="1583">
        <f>CZ30*1.25</f>
        <v/>
      </c>
      <c r="DA48" s="1583">
        <f>DA30*1.25</f>
        <v/>
      </c>
      <c r="DB48" s="1583">
        <f>DB30*1.25</f>
        <v/>
      </c>
      <c r="DC48" s="1583">
        <f>DC30*1.25</f>
        <v/>
      </c>
      <c r="DD48" s="1583">
        <f>DD30*1.25</f>
        <v/>
      </c>
      <c r="DE48" s="1583">
        <f>DE30*1.25</f>
        <v/>
      </c>
      <c r="DF48" s="1602" t="n"/>
      <c r="DG48" s="1616">
        <f>Table245[[#This Row],[Column109]]/8291000000</f>
        <v/>
      </c>
      <c r="DH48" s="1611" t="inlineStr">
        <is>
          <t xml:space="preserve">8 billion+ people worldwide </t>
        </is>
      </c>
    </row>
    <row r="49">
      <c r="A49" s="658" t="n"/>
      <c r="B49" s="658" t="inlineStr">
        <is>
          <t>Brands</t>
        </is>
      </c>
      <c r="C49" s="1602" t="n"/>
      <c r="D49" s="1602" t="n"/>
      <c r="E49" s="1602" t="n"/>
      <c r="F49" s="1583" t="n"/>
      <c r="G49" s="1583" t="n"/>
      <c r="H49" s="1583" t="n"/>
      <c r="I49" s="1583" t="n"/>
      <c r="J49" s="1583" t="n"/>
      <c r="K49" s="1583" t="n"/>
      <c r="L49" s="1583" t="n"/>
      <c r="M49" s="1583" t="n"/>
      <c r="N49" s="1583" t="n"/>
      <c r="O49" s="1583" t="n"/>
      <c r="P49" s="1583" t="n"/>
      <c r="Q49" s="1583" t="n"/>
      <c r="R49" s="1583" t="n"/>
      <c r="S49" s="1583" t="n"/>
      <c r="T49" s="1583" t="n"/>
      <c r="U49" s="1583" t="n"/>
      <c r="V49" s="1583" t="n"/>
      <c r="W49" s="1583" t="n"/>
      <c r="X49" s="1583" t="n"/>
      <c r="Y49" s="1583" t="n"/>
      <c r="Z49" s="1583" t="n"/>
      <c r="AA49" s="1583" t="n"/>
      <c r="AB49" s="1583" t="n"/>
      <c r="AC49" s="1583" t="n"/>
      <c r="AD49" s="1583" t="n"/>
      <c r="AE49" s="1583" t="n"/>
      <c r="AF49" s="1583" t="n"/>
      <c r="AG49" s="1583" t="n"/>
      <c r="AH49" s="1583" t="n"/>
      <c r="AI49" s="1583" t="n"/>
      <c r="AJ49" s="1583" t="n"/>
      <c r="AK49" s="1583" t="n"/>
      <c r="AL49" s="1583" t="n"/>
      <c r="AM49" s="1583" t="n"/>
      <c r="AN49" s="1583" t="n"/>
      <c r="AO49" s="1583" t="n"/>
      <c r="AP49" s="1583" t="n"/>
      <c r="AQ49" s="1583" t="n"/>
      <c r="AR49" s="1583" t="n"/>
      <c r="AS49" s="1583" t="n"/>
      <c r="AT49" s="1583" t="n"/>
      <c r="AU49" s="1583" t="n"/>
      <c r="AV49" s="1583" t="n"/>
      <c r="AW49" s="1583" t="n"/>
      <c r="AX49" s="1583" t="n"/>
      <c r="AY49" s="1583" t="n"/>
      <c r="AZ49" s="1583" t="n"/>
      <c r="BA49" s="1583" t="n"/>
      <c r="BB49" s="1583" t="n"/>
      <c r="BC49" s="1583" t="n"/>
      <c r="BD49" s="1583" t="n"/>
      <c r="BE49" s="1583" t="n"/>
      <c r="BF49" s="1583" t="n"/>
      <c r="BG49" s="1583" t="n"/>
      <c r="BH49" s="1583" t="n"/>
      <c r="BI49" s="1583" t="n"/>
      <c r="BJ49" s="1583" t="n"/>
      <c r="BK49" s="1583" t="n"/>
      <c r="BL49" s="1583" t="n"/>
      <c r="BM49" s="1583" t="n"/>
      <c r="BN49" s="1583" t="n"/>
      <c r="BO49" s="1583" t="n"/>
      <c r="BP49" s="1583" t="n"/>
      <c r="BQ49" s="1583" t="n"/>
      <c r="BR49" s="1583" t="n"/>
      <c r="BS49" s="1583" t="n"/>
      <c r="BT49" s="1583" t="n"/>
      <c r="BU49" s="1583" t="n"/>
      <c r="BV49" s="1583" t="n"/>
      <c r="BW49" s="1583" t="n"/>
      <c r="BX49" s="1583" t="n"/>
      <c r="BY49" s="1583" t="n"/>
      <c r="BZ49" s="1583" t="n"/>
      <c r="CA49" s="1583" t="n"/>
      <c r="CB49" s="1583" t="n"/>
      <c r="CC49" s="1583" t="n"/>
      <c r="CD49" s="1583" t="n"/>
      <c r="CE49" s="1583" t="n"/>
      <c r="CF49" s="1583" t="n"/>
      <c r="CG49" s="1583" t="n"/>
      <c r="CH49" s="1583" t="n"/>
      <c r="CI49" s="1583" t="n"/>
      <c r="CJ49" s="1583" t="n"/>
      <c r="CK49" s="1583" t="n"/>
      <c r="CL49" s="1583" t="n"/>
      <c r="CM49" s="1583" t="n"/>
      <c r="CN49" s="1583" t="n"/>
      <c r="CO49" s="1583" t="n"/>
      <c r="CP49" s="1583" t="n"/>
      <c r="CQ49" s="1583" t="n"/>
      <c r="CR49" s="1583" t="n"/>
      <c r="CS49" s="1583" t="n"/>
      <c r="CT49" s="1583" t="n"/>
      <c r="CU49" s="1583" t="n"/>
      <c r="CV49" s="1583" t="n"/>
      <c r="CW49" s="1583" t="n"/>
      <c r="CX49" s="1583" t="n"/>
      <c r="CY49" s="1583" t="n"/>
      <c r="CZ49" s="1583" t="n"/>
      <c r="DA49" s="1583" t="n"/>
      <c r="DB49" s="1583" t="n"/>
      <c r="DC49" s="1583" t="n"/>
      <c r="DD49" s="1583" t="n"/>
      <c r="DE49" s="1583" t="n"/>
      <c r="DF49" s="1602" t="n"/>
      <c r="DG49" s="1616" t="n"/>
      <c r="DH49" s="1611" t="n"/>
    </row>
    <row r="50">
      <c r="C50" s="1583" t="n"/>
      <c r="D50" s="1583" t="n"/>
      <c r="E50" s="1583" t="n"/>
      <c r="F50" s="1583" t="n"/>
      <c r="G50" s="1583" t="n"/>
      <c r="H50" s="1583" t="n"/>
      <c r="I50" s="1583" t="n"/>
      <c r="J50" s="1583" t="n"/>
      <c r="K50" s="1583" t="n"/>
      <c r="L50" s="1583" t="n"/>
      <c r="M50" s="1583" t="n"/>
      <c r="N50" s="1583" t="n"/>
      <c r="O50" s="1583" t="n"/>
      <c r="P50" s="1583" t="n"/>
      <c r="Q50" s="1583" t="n"/>
      <c r="R50" s="1583" t="n"/>
      <c r="S50" s="1583" t="n"/>
      <c r="T50" s="1583" t="n"/>
      <c r="U50" s="1583" t="n"/>
      <c r="V50" s="1583" t="n"/>
      <c r="W50" s="1583" t="n"/>
      <c r="X50" s="1583" t="n"/>
      <c r="Y50" s="1583" t="n"/>
      <c r="Z50" s="1583" t="n"/>
      <c r="AA50" s="1583" t="n"/>
      <c r="AB50" s="1583" t="n"/>
      <c r="AC50" s="1583" t="n"/>
      <c r="AD50" s="1583" t="n"/>
      <c r="AE50" s="1583" t="n"/>
      <c r="AF50" s="1583" t="n"/>
      <c r="AG50" s="1583" t="n"/>
      <c r="AH50" s="1583" t="n"/>
      <c r="AI50" s="1583" t="n"/>
      <c r="AJ50" s="1583" t="n"/>
      <c r="AK50" s="1583" t="n"/>
      <c r="AL50" s="1583" t="n"/>
      <c r="AM50" s="1583" t="n"/>
      <c r="AN50" s="1583" t="n"/>
      <c r="AO50" s="1583" t="n"/>
      <c r="AP50" s="1583" t="n"/>
      <c r="AQ50" s="1583" t="n"/>
      <c r="AR50" s="1583" t="n"/>
      <c r="AS50" s="1583" t="n"/>
      <c r="AT50" s="1583" t="n"/>
      <c r="AU50" s="1583" t="n"/>
      <c r="AV50" s="1583" t="n"/>
      <c r="AW50" s="1583" t="n"/>
      <c r="AX50" s="1583" t="n"/>
      <c r="AY50" s="1583" t="n"/>
      <c r="AZ50" s="1583" t="n"/>
      <c r="BA50" s="1583" t="n"/>
      <c r="BB50" s="1583" t="n"/>
      <c r="BC50" s="1583" t="n"/>
      <c r="BD50" s="1583" t="n"/>
      <c r="BE50" s="1583" t="n"/>
      <c r="BF50" s="1583" t="n"/>
      <c r="BG50" s="1583" t="n"/>
      <c r="BH50" s="1583" t="n"/>
      <c r="BI50" s="1583" t="n"/>
      <c r="BJ50" s="1583" t="n"/>
      <c r="BK50" s="1583" t="n"/>
      <c r="BL50" s="1583" t="n"/>
      <c r="BM50" s="1583" t="n"/>
      <c r="BN50" s="1583" t="n"/>
      <c r="BO50" s="1583" t="n"/>
      <c r="BP50" s="1583" t="n"/>
      <c r="BQ50" s="1583" t="n"/>
      <c r="BR50" s="1583" t="n"/>
      <c r="BS50" s="1583" t="n"/>
      <c r="BT50" s="1583" t="n"/>
      <c r="BU50" s="1583" t="n"/>
      <c r="BV50" s="1583" t="n"/>
      <c r="BW50" s="1583" t="n"/>
      <c r="BX50" s="1583" t="n"/>
      <c r="BY50" s="1583" t="n"/>
      <c r="BZ50" s="1583" t="n"/>
      <c r="CA50" s="1583" t="n"/>
      <c r="CB50" s="1583" t="n"/>
      <c r="CC50" s="1583" t="n"/>
      <c r="CD50" s="1583" t="n"/>
      <c r="CE50" s="1583" t="n"/>
      <c r="CF50" s="1583" t="n"/>
      <c r="CG50" s="1583" t="n"/>
      <c r="CH50" s="1583" t="n"/>
      <c r="CI50" s="1583" t="n"/>
      <c r="CJ50" s="1583" t="n"/>
      <c r="CK50" s="1583" t="n"/>
      <c r="CL50" s="1583" t="n"/>
      <c r="CM50" s="1583" t="n"/>
      <c r="CN50" s="1583" t="n"/>
      <c r="CO50" s="1583" t="n"/>
      <c r="CP50" s="1583" t="n"/>
      <c r="CQ50" s="1583" t="n"/>
      <c r="CR50" s="1583" t="n"/>
      <c r="CS50" s="1583" t="n"/>
      <c r="CT50" s="1583" t="n"/>
      <c r="CU50" s="1583" t="n"/>
      <c r="CV50" s="1583" t="n"/>
      <c r="CW50" s="1583" t="n"/>
      <c r="CX50" s="1583" t="n"/>
      <c r="CY50" s="1583" t="n"/>
      <c r="CZ50" s="1583" t="n"/>
      <c r="DA50" s="1583" t="n"/>
      <c r="DB50" s="1583" t="n"/>
      <c r="DC50" s="1583" t="n"/>
      <c r="DD50" s="1583" t="n"/>
      <c r="DE50" s="1583" t="n"/>
      <c r="DF50" s="1602" t="n"/>
      <c r="DG50" s="1616" t="n"/>
      <c r="DH50" s="1611" t="n"/>
    </row>
    <row r="51">
      <c r="A51" s="658" t="inlineStr">
        <is>
          <t>Core Model</t>
        </is>
      </c>
      <c r="B51" s="658" t="inlineStr">
        <is>
          <t>Phones</t>
        </is>
      </c>
      <c r="C51" s="1602" t="n"/>
      <c r="D51" s="1602" t="n"/>
      <c r="E51" s="1602" t="n"/>
      <c r="F51" s="1583" t="n"/>
      <c r="G51" s="1583" t="n"/>
      <c r="H51" s="1583" t="n"/>
      <c r="I51" s="1583" t="n"/>
      <c r="J51" s="1583" t="n"/>
      <c r="K51" s="1583" t="n"/>
      <c r="L51" s="1583" t="n"/>
      <c r="M51" s="1583" t="n"/>
      <c r="N51" s="1583" t="n"/>
      <c r="O51" s="1583">
        <f>O33*2.5</f>
        <v/>
      </c>
      <c r="P51" s="1583">
        <f>P33*2.5</f>
        <v/>
      </c>
      <c r="Q51" s="1583">
        <f>Q33*2.5</f>
        <v/>
      </c>
      <c r="R51" s="1583">
        <f>R33*2.5</f>
        <v/>
      </c>
      <c r="S51" s="1583">
        <f>S33*2.5</f>
        <v/>
      </c>
      <c r="T51" s="1583">
        <f>T33*2.5</f>
        <v/>
      </c>
      <c r="U51" s="1583">
        <f>U33*2.5</f>
        <v/>
      </c>
      <c r="V51" s="1583">
        <f>V33*2.5</f>
        <v/>
      </c>
      <c r="W51" s="1583">
        <f>W33*2.5</f>
        <v/>
      </c>
      <c r="X51" s="1583">
        <f>X33*2.5</f>
        <v/>
      </c>
      <c r="Y51" s="1583">
        <f>Y33*2.5</f>
        <v/>
      </c>
      <c r="Z51" s="1583">
        <f>Z33*2.5</f>
        <v/>
      </c>
      <c r="AA51" s="1583">
        <f>AA33*2.5</f>
        <v/>
      </c>
      <c r="AB51" s="1583">
        <f>AB33*2.5</f>
        <v/>
      </c>
      <c r="AC51" s="1583">
        <f>AC33*2.5</f>
        <v/>
      </c>
      <c r="AD51" s="1583">
        <f>AD33*2.5</f>
        <v/>
      </c>
      <c r="AE51" s="1583">
        <f>AE33*2.5</f>
        <v/>
      </c>
      <c r="AF51" s="1583">
        <f>AF33*2.5</f>
        <v/>
      </c>
      <c r="AG51" s="1583">
        <f>AG33*2.5</f>
        <v/>
      </c>
      <c r="AH51" s="1583">
        <f>AH33*2.5</f>
        <v/>
      </c>
      <c r="AI51" s="1583">
        <f>AI33*2.5</f>
        <v/>
      </c>
      <c r="AJ51" s="1583">
        <f>AJ33*2.5</f>
        <v/>
      </c>
      <c r="AK51" s="1583">
        <f>AK33*2.5</f>
        <v/>
      </c>
      <c r="AL51" s="1583">
        <f>AL33*2.5</f>
        <v/>
      </c>
      <c r="AM51" s="1583">
        <f>AM33*2.5</f>
        <v/>
      </c>
      <c r="AN51" s="1583">
        <f>AN33*2.5</f>
        <v/>
      </c>
      <c r="AO51" s="1583">
        <f>AO33*2.5</f>
        <v/>
      </c>
      <c r="AP51" s="1583">
        <f>AP33*2.5</f>
        <v/>
      </c>
      <c r="AQ51" s="1583">
        <f>AQ33*2.5</f>
        <v/>
      </c>
      <c r="AR51" s="1583">
        <f>AR33*2.5</f>
        <v/>
      </c>
      <c r="AS51" s="1583">
        <f>AS33*2.5</f>
        <v/>
      </c>
      <c r="AT51" s="1583">
        <f>AT33*2.5</f>
        <v/>
      </c>
      <c r="AU51" s="1583">
        <f>AU33*2.5</f>
        <v/>
      </c>
      <c r="AV51" s="1583">
        <f>AV33*2.5</f>
        <v/>
      </c>
      <c r="AW51" s="1583">
        <f>AW33*2.5</f>
        <v/>
      </c>
      <c r="AX51" s="1583">
        <f>AX33*2.5</f>
        <v/>
      </c>
      <c r="AY51" s="1583">
        <f>AY33*2.5</f>
        <v/>
      </c>
      <c r="AZ51" s="1583">
        <f>AZ33*2.5</f>
        <v/>
      </c>
      <c r="BA51" s="1583">
        <f>BA33*2.5</f>
        <v/>
      </c>
      <c r="BB51" s="1583">
        <f>BB33*2.5</f>
        <v/>
      </c>
      <c r="BC51" s="1583">
        <f>BC33*2.5</f>
        <v/>
      </c>
      <c r="BD51" s="1583">
        <f>BD33*2.5</f>
        <v/>
      </c>
      <c r="BE51" s="1583">
        <f>BE33*2.5</f>
        <v/>
      </c>
      <c r="BF51" s="1583">
        <f>BF33*2.5</f>
        <v/>
      </c>
      <c r="BG51" s="1583">
        <f>BG33*2.5</f>
        <v/>
      </c>
      <c r="BH51" s="1583">
        <f>BH33*2.5</f>
        <v/>
      </c>
      <c r="BI51" s="1583">
        <f>BI33*2.5</f>
        <v/>
      </c>
      <c r="BJ51" s="1583">
        <f>BJ33*2.5</f>
        <v/>
      </c>
      <c r="BK51" s="1583">
        <f>BK33*2.5</f>
        <v/>
      </c>
      <c r="BL51" s="1583">
        <f>BL33*2.5</f>
        <v/>
      </c>
      <c r="BM51" s="1583">
        <f>BM33*2.5</f>
        <v/>
      </c>
      <c r="BN51" s="1583">
        <f>BN33*2.5</f>
        <v/>
      </c>
      <c r="BO51" s="1583">
        <f>BO33*2.5</f>
        <v/>
      </c>
      <c r="BP51" s="1583">
        <f>BP33*2.5</f>
        <v/>
      </c>
      <c r="BQ51" s="1583">
        <f>BQ33*2.5</f>
        <v/>
      </c>
      <c r="BR51" s="1583">
        <f>BR33*2.5</f>
        <v/>
      </c>
      <c r="BS51" s="1583">
        <f>BS33*2.5</f>
        <v/>
      </c>
      <c r="BT51" s="1583">
        <f>BT33*2.5</f>
        <v/>
      </c>
      <c r="BU51" s="1583">
        <f>BU33*2.5</f>
        <v/>
      </c>
      <c r="BV51" s="1583">
        <f>BV33*2.5</f>
        <v/>
      </c>
      <c r="BW51" s="1583">
        <f>BW33*2.5</f>
        <v/>
      </c>
      <c r="BX51" s="1583">
        <f>BX33*2.5</f>
        <v/>
      </c>
      <c r="BY51" s="1583">
        <f>BY33*2.5</f>
        <v/>
      </c>
      <c r="BZ51" s="1583">
        <f>BZ33*2.5</f>
        <v/>
      </c>
      <c r="CA51" s="1583">
        <f>CA33*2.5</f>
        <v/>
      </c>
      <c r="CB51" s="1583">
        <f>CB33*2.5</f>
        <v/>
      </c>
      <c r="CC51" s="1583">
        <f>CC33*2.5</f>
        <v/>
      </c>
      <c r="CD51" s="1583">
        <f>CD33*2.5</f>
        <v/>
      </c>
      <c r="CE51" s="1583">
        <f>CE33*2.5</f>
        <v/>
      </c>
      <c r="CF51" s="1583">
        <f>CF33*2.5</f>
        <v/>
      </c>
      <c r="CG51" s="1583">
        <f>CG33*2.5</f>
        <v/>
      </c>
      <c r="CH51" s="1583">
        <f>CH33*2.5</f>
        <v/>
      </c>
      <c r="CI51" s="1583">
        <f>CI33*2.5</f>
        <v/>
      </c>
      <c r="CJ51" s="1583">
        <f>CJ33*2.5</f>
        <v/>
      </c>
      <c r="CK51" s="1583">
        <f>CK33*2.5</f>
        <v/>
      </c>
      <c r="CL51" s="1583">
        <f>CL33*2.5</f>
        <v/>
      </c>
      <c r="CM51" s="1583">
        <f>CM33*2.5</f>
        <v/>
      </c>
      <c r="CN51" s="1583">
        <f>CN33*2.5</f>
        <v/>
      </c>
      <c r="CO51" s="1583">
        <f>CO33*2.5</f>
        <v/>
      </c>
      <c r="CP51" s="1583">
        <f>CP33*2.5</f>
        <v/>
      </c>
      <c r="CQ51" s="1583">
        <f>CQ33*2.5</f>
        <v/>
      </c>
      <c r="CR51" s="1583">
        <f>CR33*2.5</f>
        <v/>
      </c>
      <c r="CS51" s="1583">
        <f>CS33*2.5</f>
        <v/>
      </c>
      <c r="CT51" s="1583">
        <f>CT33*2.5</f>
        <v/>
      </c>
      <c r="CU51" s="1583">
        <f>CU33*2.5</f>
        <v/>
      </c>
      <c r="CV51" s="1583">
        <f>CV33*2.5</f>
        <v/>
      </c>
      <c r="CW51" s="1583">
        <f>CW33*2.5</f>
        <v/>
      </c>
      <c r="CX51" s="1583">
        <f>CX33*2.5</f>
        <v/>
      </c>
      <c r="CY51" s="1583">
        <f>CY33*2.5</f>
        <v/>
      </c>
      <c r="CZ51" s="1583">
        <f>CZ33*2.5</f>
        <v/>
      </c>
      <c r="DA51" s="1583">
        <f>DA33*2.5</f>
        <v/>
      </c>
      <c r="DB51" s="1583">
        <f>DB33*2.5</f>
        <v/>
      </c>
      <c r="DC51" s="1583">
        <f>DC33*2.5</f>
        <v/>
      </c>
      <c r="DD51" s="1583">
        <f>DD33*2.5</f>
        <v/>
      </c>
      <c r="DE51" s="1583">
        <f>DE33*2.5</f>
        <v/>
      </c>
      <c r="DF51" s="1602" t="n"/>
      <c r="DG51" s="1616">
        <f>Table245[[#This Row],[Column109]]/5000000000</f>
        <v/>
      </c>
      <c r="DH51" s="1611" t="inlineStr">
        <is>
          <t>5 billion smart phone users worldwide - current numbers</t>
        </is>
      </c>
    </row>
    <row r="52">
      <c r="A52" s="658" t="n"/>
      <c r="B52" s="658" t="inlineStr">
        <is>
          <t>Brands</t>
        </is>
      </c>
      <c r="C52" s="1602" t="n"/>
      <c r="D52" s="1602" t="n"/>
      <c r="E52" s="1602" t="n"/>
      <c r="F52" s="1583" t="n"/>
      <c r="G52" s="1583" t="n"/>
      <c r="H52" s="1583" t="n"/>
      <c r="I52" s="1583" t="n"/>
      <c r="J52" s="1583" t="n"/>
      <c r="K52" s="1583" t="n"/>
      <c r="L52" s="1583" t="n"/>
      <c r="M52" s="1583">
        <f>M34*1.25</f>
        <v/>
      </c>
      <c r="N52" s="1583">
        <f>N34*1.25</f>
        <v/>
      </c>
      <c r="O52" s="1583">
        <f>O34*1.25</f>
        <v/>
      </c>
      <c r="P52" s="1583">
        <f>P34*1.25</f>
        <v/>
      </c>
      <c r="Q52" s="1583">
        <f>Q34*1.25</f>
        <v/>
      </c>
      <c r="R52" s="1583">
        <f>R34*1.25</f>
        <v/>
      </c>
      <c r="S52" s="1583">
        <f>S34*1.25</f>
        <v/>
      </c>
      <c r="T52" s="1583">
        <f>T34*1.25</f>
        <v/>
      </c>
      <c r="U52" s="1583">
        <f>U34*1.25</f>
        <v/>
      </c>
      <c r="V52" s="1583">
        <f>V34*1.25</f>
        <v/>
      </c>
      <c r="W52" s="1583">
        <f>W34*1.25</f>
        <v/>
      </c>
      <c r="X52" s="1583">
        <f>X34*1.25</f>
        <v/>
      </c>
      <c r="Y52" s="1583">
        <f>Y34*1.25</f>
        <v/>
      </c>
      <c r="Z52" s="1583">
        <f>Z34*1.25</f>
        <v/>
      </c>
      <c r="AA52" s="1583">
        <f>AA34*1.25</f>
        <v/>
      </c>
      <c r="AB52" s="1583">
        <f>AB34*1.25</f>
        <v/>
      </c>
      <c r="AC52" s="1583">
        <f>AC34*1.25</f>
        <v/>
      </c>
      <c r="AD52" s="1583">
        <f>AD34*1.25</f>
        <v/>
      </c>
      <c r="AE52" s="1583">
        <f>AE34*1.25</f>
        <v/>
      </c>
      <c r="AF52" s="1583">
        <f>AF34*1.25</f>
        <v/>
      </c>
      <c r="AG52" s="1583">
        <f>AG34*1.25</f>
        <v/>
      </c>
      <c r="AH52" s="1583">
        <f>AH34*1.25</f>
        <v/>
      </c>
      <c r="AI52" s="1583">
        <f>AI34*1.25</f>
        <v/>
      </c>
      <c r="AJ52" s="1583">
        <f>AJ34*1.25</f>
        <v/>
      </c>
      <c r="AK52" s="1583">
        <f>AK34*1.25</f>
        <v/>
      </c>
      <c r="AL52" s="1583">
        <f>AL34*1.25</f>
        <v/>
      </c>
      <c r="AM52" s="1583">
        <f>AM34*1.25</f>
        <v/>
      </c>
      <c r="AN52" s="1583">
        <f>AN34*1.25</f>
        <v/>
      </c>
      <c r="AO52" s="1583">
        <f>AO34*1.25</f>
        <v/>
      </c>
      <c r="AP52" s="1583">
        <f>AP34*1.25</f>
        <v/>
      </c>
      <c r="AQ52" s="1583">
        <f>AQ34*1.25</f>
        <v/>
      </c>
      <c r="AR52" s="1583">
        <f>AR34*1.25</f>
        <v/>
      </c>
      <c r="AS52" s="1583">
        <f>AS34*1.25</f>
        <v/>
      </c>
      <c r="AT52" s="1583">
        <f>AT34*1.25</f>
        <v/>
      </c>
      <c r="AU52" s="1583">
        <f>AU34*1.25</f>
        <v/>
      </c>
      <c r="AV52" s="1583">
        <f>AV34*1.25</f>
        <v/>
      </c>
      <c r="AW52" s="1583">
        <f>AW34*1.25</f>
        <v/>
      </c>
      <c r="AX52" s="1583">
        <f>AX34*1.25</f>
        <v/>
      </c>
      <c r="AY52" s="1583">
        <f>AY34*1.25</f>
        <v/>
      </c>
      <c r="AZ52" s="1583">
        <f>AZ34*1.25</f>
        <v/>
      </c>
      <c r="BA52" s="1583">
        <f>BA34*1.25</f>
        <v/>
      </c>
      <c r="BB52" s="1583">
        <f>BB34*1.25</f>
        <v/>
      </c>
      <c r="BC52" s="1583">
        <f>BC34*1.25</f>
        <v/>
      </c>
      <c r="BD52" s="1583">
        <f>BD34*1.25</f>
        <v/>
      </c>
      <c r="BE52" s="1583">
        <f>BE34*1.25</f>
        <v/>
      </c>
      <c r="BF52" s="1583">
        <f>BF34*1.25</f>
        <v/>
      </c>
      <c r="BG52" s="1583">
        <f>BG34*1.25</f>
        <v/>
      </c>
      <c r="BH52" s="1583">
        <f>BH34*1.25</f>
        <v/>
      </c>
      <c r="BI52" s="1583">
        <f>BI34*1.25</f>
        <v/>
      </c>
      <c r="BJ52" s="1583">
        <f>BJ34*1.25</f>
        <v/>
      </c>
      <c r="BK52" s="1583">
        <f>BK34*1.25</f>
        <v/>
      </c>
      <c r="BL52" s="1583">
        <f>BL34*1.25</f>
        <v/>
      </c>
      <c r="BM52" s="1583">
        <f>BM34*1.25</f>
        <v/>
      </c>
      <c r="BN52" s="1583">
        <f>BN34*1.25</f>
        <v/>
      </c>
      <c r="BO52" s="1583">
        <f>BO34*1.25</f>
        <v/>
      </c>
      <c r="BP52" s="1583">
        <f>BP34*1.25</f>
        <v/>
      </c>
      <c r="BQ52" s="1583">
        <f>BQ34*1.25</f>
        <v/>
      </c>
      <c r="BR52" s="1583">
        <f>BR34*1.25</f>
        <v/>
      </c>
      <c r="BS52" s="1583">
        <f>BS34*1.25</f>
        <v/>
      </c>
      <c r="BT52" s="1583">
        <f>BT34*1.25</f>
        <v/>
      </c>
      <c r="BU52" s="1583">
        <f>BU34*1.25</f>
        <v/>
      </c>
      <c r="BV52" s="1583">
        <f>BV34*1.25</f>
        <v/>
      </c>
      <c r="BW52" s="1583">
        <f>BW34*1.25</f>
        <v/>
      </c>
      <c r="BX52" s="1583">
        <f>BX34*1.25</f>
        <v/>
      </c>
      <c r="BY52" s="1583">
        <f>BY34*1.25</f>
        <v/>
      </c>
      <c r="BZ52" s="1583">
        <f>BZ34*1.25</f>
        <v/>
      </c>
      <c r="CA52" s="1583">
        <f>CA34*1.25</f>
        <v/>
      </c>
      <c r="CB52" s="1583">
        <f>CB34*1.25</f>
        <v/>
      </c>
      <c r="CC52" s="1583">
        <f>CC34*1.25</f>
        <v/>
      </c>
      <c r="CD52" s="1583">
        <f>CD34*1.25</f>
        <v/>
      </c>
      <c r="CE52" s="1583">
        <f>CE34*1.25</f>
        <v/>
      </c>
      <c r="CF52" s="1583">
        <f>CF34*1.25</f>
        <v/>
      </c>
      <c r="CG52" s="1583">
        <f>CG34*1.25</f>
        <v/>
      </c>
      <c r="CH52" s="1583">
        <f>CH34*1.25</f>
        <v/>
      </c>
      <c r="CI52" s="1583">
        <f>CI34*1.25</f>
        <v/>
      </c>
      <c r="CJ52" s="1583">
        <f>CJ34*1.25</f>
        <v/>
      </c>
      <c r="CK52" s="1583">
        <f>CK34*1.25</f>
        <v/>
      </c>
      <c r="CL52" s="1583">
        <f>CL34*1.25</f>
        <v/>
      </c>
      <c r="CM52" s="1583">
        <f>CM34*1.25</f>
        <v/>
      </c>
      <c r="CN52" s="1583">
        <f>CN34*1.25</f>
        <v/>
      </c>
      <c r="CO52" s="1583">
        <f>CO34*1.25</f>
        <v/>
      </c>
      <c r="CP52" s="1583">
        <f>CP34*1.25</f>
        <v/>
      </c>
      <c r="CQ52" s="1583">
        <f>CQ34*1.25</f>
        <v/>
      </c>
      <c r="CR52" s="1583">
        <f>CR34*1.25</f>
        <v/>
      </c>
      <c r="CS52" s="1583">
        <f>CS34*1.25</f>
        <v/>
      </c>
      <c r="CT52" s="1583">
        <f>CT34*1.25</f>
        <v/>
      </c>
      <c r="CU52" s="1583">
        <f>CU34*1.25</f>
        <v/>
      </c>
      <c r="CV52" s="1583">
        <f>CV34*1.25</f>
        <v/>
      </c>
      <c r="CW52" s="1583">
        <f>CW34*1.25</f>
        <v/>
      </c>
      <c r="CX52" s="1583">
        <f>CX34*1.25</f>
        <v/>
      </c>
      <c r="CY52" s="1583">
        <f>CY34*1.25</f>
        <v/>
      </c>
      <c r="CZ52" s="1583">
        <f>CZ34*1.25</f>
        <v/>
      </c>
      <c r="DA52" s="1583">
        <f>DA34*1.25</f>
        <v/>
      </c>
      <c r="DB52" s="1583">
        <f>DB34*1.25</f>
        <v/>
      </c>
      <c r="DC52" s="1583">
        <f>DC34*1.25</f>
        <v/>
      </c>
      <c r="DD52" s="1583">
        <f>DD34*1.25</f>
        <v/>
      </c>
      <c r="DE52" s="1583">
        <f>DE34*1.25</f>
        <v/>
      </c>
      <c r="DF52" s="1602" t="n"/>
      <c r="DG52" s="1616">
        <f>Table245[[#This Row],[Column109]]/360000000</f>
        <v/>
      </c>
      <c r="DH52" s="1611" t="inlineStr">
        <is>
          <t>360 million companies worldwide - current #s</t>
        </is>
      </c>
    </row>
    <row r="53">
      <c r="A53" s="658" t="inlineStr">
        <is>
          <t>TOTAL</t>
        </is>
      </c>
      <c r="B53" s="658" t="n"/>
      <c r="C53" s="1602">
        <f>SUM(C40:C52)</f>
        <v/>
      </c>
      <c r="D53" s="1602">
        <f>SUM(D40:D52)</f>
        <v/>
      </c>
      <c r="E53" s="1602">
        <f>SUM(E40:E52)</f>
        <v/>
      </c>
      <c r="F53" s="1602">
        <f>SUM(F40:F52)</f>
        <v/>
      </c>
      <c r="G53" s="1602">
        <f>SUM(G40:G52)</f>
        <v/>
      </c>
      <c r="H53" s="1602">
        <f>SUM(H40:H52)</f>
        <v/>
      </c>
      <c r="I53" s="1602">
        <f>SUM(I40:I52)</f>
        <v/>
      </c>
      <c r="J53" s="1602">
        <f>SUM(J40:J52)</f>
        <v/>
      </c>
      <c r="K53" s="1602">
        <f>SUM(K40:K52)</f>
        <v/>
      </c>
      <c r="L53" s="1602">
        <f>SUM(L40:L52)</f>
        <v/>
      </c>
      <c r="M53" s="1602">
        <f>SUM(M40:M52)</f>
        <v/>
      </c>
      <c r="N53" s="1602">
        <f>SUM(N40:N52)</f>
        <v/>
      </c>
      <c r="O53" s="1602">
        <f>SUM(O40:O52)</f>
        <v/>
      </c>
      <c r="P53" s="1602">
        <f>SUM(P40:P52)</f>
        <v/>
      </c>
      <c r="Q53" s="1602">
        <f>SUM(Q40:Q52)</f>
        <v/>
      </c>
      <c r="R53" s="1602">
        <f>SUM(R40:R52)</f>
        <v/>
      </c>
      <c r="S53" s="1602">
        <f>SUM(S40:S52)</f>
        <v/>
      </c>
      <c r="T53" s="1602">
        <f>SUM(T40:T52)</f>
        <v/>
      </c>
      <c r="U53" s="1602">
        <f>SUM(U40:U52)</f>
        <v/>
      </c>
      <c r="V53" s="1602">
        <f>SUM(V40:V52)</f>
        <v/>
      </c>
      <c r="W53" s="1602">
        <f>SUM(W40:W52)</f>
        <v/>
      </c>
      <c r="X53" s="1602">
        <f>SUM(X40:X52)</f>
        <v/>
      </c>
      <c r="Y53" s="1602">
        <f>SUM(Y40:Y52)</f>
        <v/>
      </c>
      <c r="Z53" s="1602">
        <f>SUM(Z40:Z52)</f>
        <v/>
      </c>
      <c r="AA53" s="1602">
        <f>SUM(AA40:AA52)</f>
        <v/>
      </c>
      <c r="AB53" s="1602">
        <f>SUM(AB40:AB52)</f>
        <v/>
      </c>
      <c r="AC53" s="1602">
        <f>SUM(AC40:AC52)</f>
        <v/>
      </c>
      <c r="AD53" s="1602">
        <f>SUM(AD40:AD52)</f>
        <v/>
      </c>
      <c r="AE53" s="1602">
        <f>SUM(AE40:AE52)</f>
        <v/>
      </c>
      <c r="AF53" s="1602">
        <f>SUM(AF40:AF52)</f>
        <v/>
      </c>
      <c r="AG53" s="1602">
        <f>SUM(AG40:AG52)</f>
        <v/>
      </c>
      <c r="AH53" s="1602">
        <f>SUM(AH40:AH52)</f>
        <v/>
      </c>
      <c r="AI53" s="1602">
        <f>SUM(AI40:AI52)</f>
        <v/>
      </c>
      <c r="AJ53" s="1602">
        <f>SUM(AJ40:AJ52)</f>
        <v/>
      </c>
      <c r="AK53" s="1602">
        <f>SUM(AK40:AK52)</f>
        <v/>
      </c>
      <c r="AL53" s="1602">
        <f>SUM(AL40:AL52)</f>
        <v/>
      </c>
      <c r="AM53" s="1602">
        <f>SUM(AM40:AM52)</f>
        <v/>
      </c>
      <c r="AN53" s="1602">
        <f>SUM(AN40:AN52)</f>
        <v/>
      </c>
      <c r="AO53" s="1602">
        <f>SUM(AO40:AO52)</f>
        <v/>
      </c>
      <c r="AP53" s="1602">
        <f>SUM(AP40:AP52)</f>
        <v/>
      </c>
      <c r="AQ53" s="1602">
        <f>SUM(AQ40:AQ52)</f>
        <v/>
      </c>
      <c r="AR53" s="1602">
        <f>SUM(AR40:AR52)</f>
        <v/>
      </c>
      <c r="AS53" s="1602">
        <f>SUM(AS40:AS52)</f>
        <v/>
      </c>
      <c r="AT53" s="1602">
        <f>SUM(AT40:AT52)</f>
        <v/>
      </c>
      <c r="AU53" s="1602">
        <f>SUM(AU40:AU52)</f>
        <v/>
      </c>
      <c r="AV53" s="1602">
        <f>SUM(AV40:AV52)</f>
        <v/>
      </c>
      <c r="AW53" s="1602">
        <f>SUM(AW40:AW52)</f>
        <v/>
      </c>
      <c r="AX53" s="1602">
        <f>SUM(AX40:AX52)</f>
        <v/>
      </c>
      <c r="AY53" s="1602">
        <f>SUM(AY40:AY52)</f>
        <v/>
      </c>
      <c r="AZ53" s="1602">
        <f>SUM(AZ40:AZ52)</f>
        <v/>
      </c>
      <c r="BA53" s="1602">
        <f>SUM(BA40:BA52)</f>
        <v/>
      </c>
      <c r="BB53" s="1602">
        <f>SUM(BB40:BB52)</f>
        <v/>
      </c>
      <c r="BC53" s="1602">
        <f>SUM(BC40:BC52)</f>
        <v/>
      </c>
      <c r="BD53" s="1602">
        <f>SUM(BD40:BD52)</f>
        <v/>
      </c>
      <c r="BE53" s="1602">
        <f>SUM(BE40:BE52)</f>
        <v/>
      </c>
      <c r="BF53" s="1602">
        <f>SUM(BF40:BF52)</f>
        <v/>
      </c>
      <c r="BG53" s="1602">
        <f>SUM(BG40:BG52)</f>
        <v/>
      </c>
      <c r="BH53" s="1602">
        <f>SUM(BH40:BH52)</f>
        <v/>
      </c>
      <c r="BI53" s="1602">
        <f>SUM(BI40:BI52)</f>
        <v/>
      </c>
      <c r="BJ53" s="1602">
        <f>SUM(BJ40:BJ52)</f>
        <v/>
      </c>
      <c r="BK53" s="1602">
        <f>SUM(BK40:BK52)</f>
        <v/>
      </c>
      <c r="BL53" s="1602">
        <f>SUM(BL40:BL52)</f>
        <v/>
      </c>
      <c r="BM53" s="1602">
        <f>SUM(BM40:BM52)</f>
        <v/>
      </c>
      <c r="BN53" s="1602">
        <f>SUM(BN40:BN52)</f>
        <v/>
      </c>
      <c r="BO53" s="1602">
        <f>SUM(BO40:BO52)</f>
        <v/>
      </c>
      <c r="BP53" s="1602">
        <f>SUM(BP40:BP52)</f>
        <v/>
      </c>
      <c r="BQ53" s="1602">
        <f>SUM(BQ40:BQ52)</f>
        <v/>
      </c>
      <c r="BR53" s="1602">
        <f>SUM(BR40:BR52)</f>
        <v/>
      </c>
      <c r="BS53" s="1602">
        <f>SUM(BS40:BS52)</f>
        <v/>
      </c>
      <c r="BT53" s="1602">
        <f>SUM(BT40:BT52)</f>
        <v/>
      </c>
      <c r="BU53" s="1602">
        <f>SUM(BU40:BU52)</f>
        <v/>
      </c>
      <c r="BV53" s="1602">
        <f>SUM(BV40:BV52)</f>
        <v/>
      </c>
      <c r="BW53" s="1602">
        <f>SUM(BW40:BW52)</f>
        <v/>
      </c>
      <c r="BX53" s="1602">
        <f>SUM(BX40:BX52)</f>
        <v/>
      </c>
      <c r="BY53" s="1602">
        <f>SUM(BY40:BY52)</f>
        <v/>
      </c>
      <c r="BZ53" s="1602">
        <f>SUM(BZ40:BZ52)</f>
        <v/>
      </c>
      <c r="CA53" s="1602">
        <f>SUM(CA40:CA52)</f>
        <v/>
      </c>
      <c r="CB53" s="1602">
        <f>SUM(CB40:CB52)</f>
        <v/>
      </c>
      <c r="CC53" s="1602">
        <f>SUM(CC40:CC52)</f>
        <v/>
      </c>
      <c r="CD53" s="1602">
        <f>SUM(CD40:CD52)</f>
        <v/>
      </c>
      <c r="CE53" s="1602">
        <f>SUM(CE40:CE52)</f>
        <v/>
      </c>
      <c r="CF53" s="1602">
        <f>SUM(CF40:CF52)</f>
        <v/>
      </c>
      <c r="CG53" s="1602">
        <f>SUM(CG40:CG52)</f>
        <v/>
      </c>
      <c r="CH53" s="1602">
        <f>SUM(CH40:CH52)</f>
        <v/>
      </c>
      <c r="CI53" s="1602">
        <f>SUM(CI40:CI52)</f>
        <v/>
      </c>
      <c r="CJ53" s="1602">
        <f>SUM(CJ40:CJ52)</f>
        <v/>
      </c>
      <c r="CK53" s="1602">
        <f>SUM(CK40:CK52)</f>
        <v/>
      </c>
      <c r="CL53" s="1602">
        <f>SUM(CL40:CL52)</f>
        <v/>
      </c>
      <c r="CM53" s="1602">
        <f>SUM(CM40:CM52)</f>
        <v/>
      </c>
      <c r="CN53" s="1602">
        <f>SUM(CN40:CN52)</f>
        <v/>
      </c>
      <c r="CO53" s="1602">
        <f>SUM(CO40:CO52)</f>
        <v/>
      </c>
      <c r="CP53" s="1602">
        <f>SUM(CP40:CP52)</f>
        <v/>
      </c>
      <c r="CQ53" s="1602">
        <f>SUM(CQ40:CQ52)</f>
        <v/>
      </c>
      <c r="CR53" s="1602">
        <f>SUM(CR40:CR52)</f>
        <v/>
      </c>
      <c r="CS53" s="1602">
        <f>SUM(CS40:CS52)</f>
        <v/>
      </c>
      <c r="CT53" s="1602">
        <f>SUM(CT40:CT52)</f>
        <v/>
      </c>
      <c r="CU53" s="1602">
        <f>SUM(CU40:CU52)</f>
        <v/>
      </c>
      <c r="CV53" s="1602">
        <f>SUM(CV40:CV52)</f>
        <v/>
      </c>
      <c r="CW53" s="1602">
        <f>SUM(CW40:CW52)</f>
        <v/>
      </c>
      <c r="CX53" s="1602">
        <f>SUM(CX40:CX52)</f>
        <v/>
      </c>
      <c r="CY53" s="1602">
        <f>SUM(CY40:CY52)</f>
        <v/>
      </c>
      <c r="CZ53" s="1602">
        <f>SUM(CZ40:CZ52)</f>
        <v/>
      </c>
      <c r="DA53" s="1602">
        <f>SUM(DA40:DA52)</f>
        <v/>
      </c>
      <c r="DB53" s="1602">
        <f>SUM(DB40:DB52)</f>
        <v/>
      </c>
      <c r="DC53" s="1602">
        <f>SUM(DC40:DC52)</f>
        <v/>
      </c>
      <c r="DD53" s="1602">
        <f>SUM(DD40:DD52)</f>
        <v/>
      </c>
      <c r="DE53" s="1602">
        <f>SUM(DE40:DE52)</f>
        <v/>
      </c>
      <c r="DF53" s="1602" t="n"/>
      <c r="DG53" s="1617" t="n"/>
      <c r="DH53" s="1611" t="n"/>
    </row>
    <row r="54" ht="14" customFormat="1" customHeight="1" s="1606" thickBot="1"/>
    <row r="55">
      <c r="A55" s="1588" t="inlineStr">
        <is>
          <t>Influencer Categories</t>
        </is>
      </c>
      <c r="B55" s="1488" t="n"/>
      <c r="C55" s="1488" t="n"/>
      <c r="D55" s="1488" t="n"/>
      <c r="E55" s="1488" t="n"/>
      <c r="F55" s="1589" t="inlineStr">
        <is>
          <t>Follower Size Range</t>
        </is>
      </c>
      <c r="G55" s="1489" t="n"/>
    </row>
    <row r="56">
      <c r="A56" s="1590" t="inlineStr">
        <is>
          <t>Nano</t>
        </is>
      </c>
      <c r="B56" s="1586" t="n">
        <v>0.1746</v>
      </c>
      <c r="C56" s="1586" t="n"/>
      <c r="D56" s="1586" t="n"/>
      <c r="E56" s="1586" t="n"/>
      <c r="F56" s="1585" t="n">
        <v>1000</v>
      </c>
      <c r="G56" s="1591" t="n">
        <v>10000</v>
      </c>
    </row>
    <row r="57">
      <c r="A57" s="1592" t="inlineStr">
        <is>
          <t>Mini</t>
        </is>
      </c>
      <c r="B57" s="1587" t="n">
        <v>0.1883</v>
      </c>
      <c r="C57" s="1587" t="n"/>
      <c r="D57" s="1587" t="n"/>
      <c r="E57" s="1587" t="n"/>
      <c r="F57" s="1584" t="n">
        <v>10000</v>
      </c>
      <c r="G57" s="1593" t="n">
        <v>25000</v>
      </c>
    </row>
    <row r="58">
      <c r="A58" s="1590" t="inlineStr">
        <is>
          <t>Micro</t>
        </is>
      </c>
      <c r="B58" s="1586" t="n">
        <v>0.1678</v>
      </c>
      <c r="C58" s="1586" t="n"/>
      <c r="D58" s="1586" t="n"/>
      <c r="E58" s="1586" t="n"/>
      <c r="F58" s="1585" t="n">
        <v>25000</v>
      </c>
      <c r="G58" s="1591" t="n">
        <v>50000</v>
      </c>
    </row>
    <row r="59">
      <c r="A59" s="1592" t="inlineStr">
        <is>
          <t>Mid-Tier</t>
        </is>
      </c>
      <c r="B59" s="1587" t="n">
        <v>0.113</v>
      </c>
      <c r="C59" s="1587" t="n"/>
      <c r="D59" s="1587" t="n"/>
      <c r="E59" s="1587" t="n"/>
      <c r="F59" s="1584" t="n">
        <v>50000</v>
      </c>
      <c r="G59" s="1593" t="n">
        <v>500000</v>
      </c>
    </row>
    <row r="60">
      <c r="A60" s="1590" t="inlineStr">
        <is>
          <t>Macro</t>
        </is>
      </c>
      <c r="B60" s="1586" t="n">
        <v>0.1884</v>
      </c>
      <c r="C60" s="1586" t="n"/>
      <c r="D60" s="1586" t="n"/>
      <c r="E60" s="1586" t="n"/>
      <c r="F60" s="1585" t="n">
        <v>500000</v>
      </c>
      <c r="G60" s="1591" t="n">
        <v>1000000</v>
      </c>
    </row>
    <row r="61">
      <c r="A61" s="1594" t="inlineStr">
        <is>
          <t>Mega</t>
        </is>
      </c>
      <c r="B61" s="1587" t="n">
        <v>0.1199</v>
      </c>
      <c r="C61" s="1587" t="n"/>
      <c r="D61" s="1587" t="n"/>
      <c r="E61" s="1587" t="n"/>
      <c r="F61" s="1584" t="n">
        <v>1000000</v>
      </c>
      <c r="G61" s="1593" t="n">
        <v>10000000</v>
      </c>
    </row>
    <row r="62">
      <c r="A62" s="1590" t="inlineStr">
        <is>
          <t>Celebrity</t>
        </is>
      </c>
      <c r="B62" s="1586" t="n">
        <v>0.024</v>
      </c>
      <c r="C62" s="1586" t="n"/>
      <c r="D62" s="1586" t="n"/>
      <c r="E62" s="1586" t="n"/>
      <c r="F62" s="1585" t="n">
        <v>10000000</v>
      </c>
      <c r="G62" s="1591" t="n">
        <v>25000000</v>
      </c>
    </row>
    <row r="63">
      <c r="A63" s="1594" t="inlineStr">
        <is>
          <t>A-List</t>
        </is>
      </c>
      <c r="B63" s="1587" t="n">
        <v>0.024</v>
      </c>
      <c r="C63" s="1587" t="n"/>
      <c r="D63" s="1587" t="n"/>
      <c r="E63" s="1587" t="n"/>
      <c r="F63" s="1584" t="n">
        <v>25000000</v>
      </c>
      <c r="G63" s="1593" t="n">
        <v>75000000</v>
      </c>
      <c r="H63" s="1917" t="inlineStr">
        <is>
          <t>This technically also includes the super over the top people like MR. Beast but generally when you approach anything over 75 Million followers its very hard to get a guage on any metrics other then someone saying last time I Hired Kim K she cost me $500k for a post haha. super hush hush</t>
        </is>
      </c>
    </row>
    <row r="64" ht="14" customHeight="1" s="1883" thickBot="1">
      <c r="A64" s="1595" t="inlineStr">
        <is>
          <t>Totals</t>
        </is>
      </c>
      <c r="B64" s="1596">
        <f>SUM(B56:B63)</f>
        <v/>
      </c>
      <c r="C64" s="1596" t="n"/>
      <c r="D64" s="1596" t="n"/>
      <c r="E64" s="1596" t="n"/>
      <c r="F64" s="1495" t="n"/>
      <c r="G64" s="1597" t="n"/>
    </row>
  </sheetData>
  <hyperlinks>
    <hyperlink xmlns:r="http://schemas.openxmlformats.org/officeDocument/2006/relationships" ref="DM3" display="../../../../:w:/r/sites/Commercial/Shared Documents/5.SD-Sales and Distribution/1.SR-Sales and Revenue/PT User Adoption Research.docx?d=w74421deccb294ce8b5863b24f89d4afb&amp;csf=1&amp;web=1&amp;e=JbaZa2" r:id="rId1"/>
  </hyperlinks>
  <pageMargins left="0.7" right="0.7" top="0.75" bottom="0.75" header="0.3" footer="0.3"/>
  <legacyDrawing xmlns:r="http://schemas.openxmlformats.org/officeDocument/2006/relationships" r:id="anysvml"/>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8.xml><?xml version="1.0" encoding="utf-8"?>
<worksheet xmlns="http://schemas.openxmlformats.org/spreadsheetml/2006/main">
  <sheetPr>
    <tabColor rgb="FF9ACDFF"/>
    <outlinePr summaryBelow="1" summaryRight="1"/>
    <pageSetUpPr/>
  </sheetPr>
  <dimension ref="A1:M37"/>
  <sheetViews>
    <sheetView zoomScale="132" zoomScaleNormal="132" workbookViewId="0">
      <selection activeCell="C16" sqref="C16"/>
    </sheetView>
  </sheetViews>
  <sheetFormatPr baseColWidth="10" defaultColWidth="11.5" defaultRowHeight="13"/>
  <cols>
    <col width="40.33203125" customWidth="1" style="1883" min="1" max="1"/>
    <col width="79.83203125" customWidth="1" style="1883" min="2" max="2"/>
    <col width="16.83203125" customWidth="1" style="1883" min="3" max="3"/>
    <col width="39.83203125" customWidth="1" style="1883" min="4" max="4"/>
  </cols>
  <sheetData>
    <row r="1" ht="21" customHeight="1" s="1883">
      <c r="A1" s="1752" t="inlineStr">
        <is>
          <t>TOP TIER - BEST OF THE BEST</t>
        </is>
      </c>
      <c r="B1" s="1520" t="n"/>
      <c r="C1" s="1520" t="n"/>
      <c r="D1" s="1520" t="n"/>
      <c r="E1" s="1520" t="n"/>
      <c r="F1" s="1520" t="n"/>
      <c r="G1" s="1520" t="n"/>
      <c r="H1" s="1520" t="n"/>
      <c r="I1" s="1520" t="n"/>
      <c r="J1" s="1520" t="n"/>
      <c r="K1" s="1520" t="n"/>
      <c r="L1" s="1520" t="n"/>
      <c r="M1" s="1520" t="n"/>
    </row>
    <row r="2" ht="16" customHeight="1" s="1883">
      <c r="A2" s="698" t="inlineStr">
        <is>
          <t>Sub-system</t>
        </is>
      </c>
      <c r="B2" s="698" t="inlineStr">
        <is>
          <t>Key parts</t>
        </is>
      </c>
      <c r="C2" s="698" t="inlineStr">
        <is>
          <t>Unit cost (USD)</t>
        </is>
      </c>
      <c r="D2" s="698" t="inlineStr">
        <is>
          <t>Notes / cost source</t>
        </is>
      </c>
      <c r="E2" s="1520" t="n"/>
      <c r="F2" s="1520" t="n"/>
      <c r="G2" s="1520" t="n"/>
      <c r="H2" s="1520" t="n"/>
      <c r="I2" s="1520" t="n"/>
      <c r="J2" s="1520" t="n"/>
      <c r="K2" s="1520" t="n"/>
      <c r="L2" s="1753" t="inlineStr">
        <is>
          <t>Samsung S23 Ultra Costs</t>
        </is>
      </c>
      <c r="M2" s="1520" t="n"/>
    </row>
    <row r="3" ht="16" customHeight="1" s="1883">
      <c r="A3" s="698" t="inlineStr">
        <is>
          <t>Application Processor</t>
        </is>
      </c>
      <c r="B3" t="inlineStr">
        <is>
          <t>Qualcomm Snapdragon 8 Elite Gen 2</t>
        </is>
      </c>
      <c r="C3" s="2100" t="n">
        <v>180</v>
      </c>
      <c r="D3" t="inlineStr">
        <is>
          <t>8 Gen 2 sold to OEMs at ~$160; 8 Gen 3 rumored ~$200 – elite bin is modelled mid-way wccftech.comwccftech.com</t>
        </is>
      </c>
      <c r="E3" s="1520" t="n"/>
      <c r="F3" s="1520" t="n"/>
      <c r="G3" s="1520" t="n"/>
      <c r="H3" s="1520" t="n"/>
      <c r="I3" s="1520" t="n"/>
      <c r="J3" s="1520" t="n"/>
      <c r="K3" s="1520" t="n"/>
      <c r="L3" s="1520">
        <f>469*0.35</f>
        <v/>
      </c>
      <c r="M3" s="1520" t="n"/>
    </row>
    <row r="4" ht="16" customHeight="1" s="1883">
      <c r="A4" s="698" t="inlineStr">
        <is>
          <t>Memory (RAM)</t>
        </is>
      </c>
      <c r="B4" s="1755" t="inlineStr">
        <is>
          <t>16 GB LPDDR5X (8-high stack)</t>
        </is>
      </c>
      <c r="C4" s="2100" t="n">
        <v>28</v>
      </c>
      <c r="D4" s="1609" t="inlineStr">
        <is>
          <t>Retail chip is $49 in low qty; OEM volume pricing ~40 % lower amazon.com</t>
        </is>
      </c>
      <c r="E4" s="1520" t="n"/>
      <c r="F4" s="1520" t="n"/>
      <c r="G4" s="1520" t="n"/>
      <c r="H4" s="1520" t="n"/>
      <c r="I4" s="1520" t="n"/>
      <c r="J4" s="1520" t="n"/>
      <c r="K4" s="1520" t="n"/>
      <c r="L4" s="1520">
        <f>469*0.03</f>
        <v/>
      </c>
      <c r="M4" s="1520" t="n"/>
    </row>
    <row r="5" ht="16" customHeight="1" s="1883">
      <c r="A5" s="698" t="inlineStr">
        <is>
          <t>Storage</t>
        </is>
      </c>
      <c r="B5" s="1755" t="inlineStr">
        <is>
          <t>1 TB UFS 4.0 NAND package</t>
        </is>
      </c>
      <c r="C5" s="2100">
        <f>47*1.5</f>
        <v/>
      </c>
      <c r="D5" s="1609" t="inlineStr">
        <is>
          <t>128 GB UFS 4.0 is $47 (1 TB ≈ 8× density but &lt;1.5× cost thanks to die stacking &amp; controller amortization) mouser.com</t>
        </is>
      </c>
      <c r="E5" s="1520" t="n"/>
      <c r="F5" s="1520" t="n"/>
      <c r="G5" s="1520" t="n"/>
      <c r="H5" s="1520" t="n"/>
      <c r="I5" s="1520" t="n"/>
      <c r="J5" s="1520" t="n"/>
      <c r="K5" s="1520" t="n"/>
      <c r="L5" s="1520">
        <f>469*0.11</f>
        <v/>
      </c>
      <c r="M5" s="1520" t="n"/>
    </row>
    <row r="6" ht="16" customHeight="1" s="1883">
      <c r="A6" s="698" t="inlineStr">
        <is>
          <t>Display</t>
        </is>
      </c>
      <c r="B6" t="inlineStr">
        <is>
          <t>6.7-6.9″ LTPO AMOLED, 1440 p, 2600 nits peak</t>
        </is>
      </c>
      <c r="C6" s="2100">
        <f>L6+10</f>
        <v/>
      </c>
      <c r="D6" t="inlineStr">
        <is>
          <t>Flagship AMOLED is ~18 % of S23 Ultra’s $469 BOM (≈ $84); brighter panel + larger battery driver adds ≈ $10 counterpointresearch.comrepairpartsusa.com</t>
        </is>
      </c>
      <c r="E6" s="1520" t="n"/>
      <c r="F6" s="1520" t="n"/>
      <c r="G6" s="1520" t="n"/>
      <c r="H6" s="1520" t="n"/>
      <c r="I6" s="1520" t="n"/>
      <c r="J6" s="1520" t="n"/>
      <c r="K6" s="1520" t="n"/>
      <c r="L6" s="1520">
        <f>469*0.18</f>
        <v/>
      </c>
      <c r="M6" s="1520" t="n"/>
    </row>
    <row r="7" ht="16" customHeight="1" s="1883">
      <c r="A7" s="698" t="inlineStr">
        <is>
          <t>Camera hardware</t>
        </is>
      </c>
      <c r="B7" t="inlineStr">
        <is>
          <t>HP2 200 MP, IMX563 12 MP, IMX754 10 MP, IMX854 50 MP, IMX858 50 MP, lenses, OIS</t>
        </is>
      </c>
      <c r="C7" s="2100">
        <f>L7*1.4</f>
        <v/>
      </c>
      <c r="D7" s="1609" t="inlineStr">
        <is>
          <t>S23 Ultra camera block ≈ $65.66 on 4-sensor mix; two extra 50 MP sensors and larger periscope glass raise cost ~40 % counterpointresearch.com</t>
        </is>
      </c>
      <c r="E7" s="1520" t="n"/>
      <c r="F7" s="1520" t="n"/>
      <c r="G7" s="1520" t="n"/>
      <c r="H7" s="1520" t="n"/>
      <c r="I7" s="1520" t="n"/>
      <c r="J7" s="1520" t="n"/>
      <c r="K7" s="1520" t="n"/>
      <c r="L7" s="1520">
        <f>469*0.14</f>
        <v/>
      </c>
      <c r="M7" s="1520" t="n"/>
    </row>
    <row r="8" ht="16" customHeight="1" s="1883">
      <c r="A8" s="698" t="inlineStr">
        <is>
          <t>Camera software/IP</t>
        </is>
      </c>
      <c r="B8" t="inlineStr">
        <is>
          <t>Imaging algorithms, HDR/AI licences</t>
        </is>
      </c>
      <c r="C8" s="2100" t="n">
        <v>5</v>
      </c>
      <c r="D8" t="inlineStr">
        <is>
          <t>Typical per-device fee range $3-7 from ArcSoft, Morpho, etc. (internal modelling)</t>
        </is>
      </c>
      <c r="E8" s="1520" t="n"/>
      <c r="F8" s="1520" t="n"/>
      <c r="G8" s="1520" t="n"/>
      <c r="H8" s="1520" t="n"/>
      <c r="I8" s="1520" t="n"/>
      <c r="J8" s="1520" t="n"/>
      <c r="K8" s="1520" t="n"/>
      <c r="L8" s="1520" t="n"/>
      <c r="M8" s="2101" t="n"/>
    </row>
    <row r="9" ht="16" customHeight="1" s="1883">
      <c r="A9" s="698" t="inlineStr">
        <is>
          <t>Battery &amp; power</t>
        </is>
      </c>
      <c r="B9" t="inlineStr">
        <is>
          <t>6000 mAh Li-poly cell, BMS, 65 W PD IC, 15 W Qi coil</t>
        </is>
      </c>
      <c r="C9" s="2100" t="n">
        <v>8</v>
      </c>
      <c r="D9" s="1609" t="inlineStr">
        <is>
          <t>6 Ah bare cell ~$4; add PCM, housing, charging ICs, coil alibaba.com</t>
        </is>
      </c>
      <c r="E9" s="1520" t="n"/>
      <c r="F9" s="1520" t="n"/>
      <c r="G9" s="1520" t="n"/>
      <c r="H9" s="1520" t="n"/>
      <c r="I9" s="1520" t="n"/>
      <c r="J9" s="1520" t="n"/>
      <c r="K9" s="1520" t="n"/>
      <c r="L9" s="1520" t="n"/>
      <c r="M9" s="2101" t="n"/>
    </row>
    <row r="10" ht="16" customHeight="1" s="1883">
      <c r="A10" s="698" t="inlineStr">
        <is>
          <t>Logic board &amp; RF</t>
        </is>
      </c>
      <c r="B10" t="inlineStr">
        <is>
          <t>PCB, PMICs, RF FE, Wi-Fi 7, GPS, sensors</t>
        </is>
      </c>
      <c r="C10" s="2100" t="n">
        <v>35</v>
      </c>
      <c r="D10" t="inlineStr">
        <is>
          <t>Scaled from S23 Ultra teardown share (RF/PMIC ≈ 7 % of BOM)</t>
        </is>
      </c>
      <c r="E10" s="1520" t="n"/>
      <c r="F10" s="1520" t="n"/>
      <c r="G10" s="1520" t="n"/>
      <c r="H10" s="1520" t="n"/>
      <c r="I10" s="1520" t="n"/>
      <c r="J10" s="1520" t="n"/>
      <c r="K10" s="1520" t="n"/>
      <c r="L10" s="1520" t="n"/>
      <c r="M10" s="2101" t="n"/>
    </row>
    <row r="11" ht="16" customHeight="1" s="1883">
      <c r="A11" s="698" t="inlineStr">
        <is>
          <t>Audio / haptics</t>
        </is>
      </c>
      <c r="B11" t="inlineStr">
        <is>
          <t>Stereo speakers, X-axis motor, mics</t>
        </is>
      </c>
      <c r="C11" s="2100" t="n">
        <v>7</v>
      </c>
      <c r="D11" t="inlineStr">
        <is>
          <t>Based on multi-driver flagships (iPhone 15 ≈ $6 for same block)</t>
        </is>
      </c>
      <c r="E11" s="1520" t="n"/>
      <c r="F11" s="1520" t="n"/>
      <c r="G11" s="1520" t="n"/>
      <c r="H11" s="1520" t="n"/>
      <c r="I11" s="1520" t="n"/>
      <c r="J11" s="1520" t="n"/>
      <c r="K11" s="1520" t="n"/>
      <c r="L11" s="1520" t="n"/>
      <c r="M11" s="2101" t="n"/>
    </row>
    <row r="12" ht="16" customHeight="1" s="1883">
      <c r="A12" s="698" t="inlineStr">
        <is>
          <t>Structural parts</t>
        </is>
      </c>
      <c r="B12" t="inlineStr">
        <is>
          <t>Vapor chamber, aluminium frame, buttons, screws</t>
        </is>
      </c>
      <c r="C12" s="2100" t="n">
        <v>15</v>
      </c>
      <c r="D12" t="inlineStr">
        <is>
          <t>Large chamber + Ti/Alu midframe vs $11 for S23 Ultra</t>
        </is>
      </c>
      <c r="E12" s="1520" t="n"/>
      <c r="F12" s="1520" t="n"/>
      <c r="G12" s="1520" t="n"/>
      <c r="H12" s="1520" t="n"/>
      <c r="I12" s="1520" t="n"/>
      <c r="J12" s="1520" t="n"/>
      <c r="K12" s="1520" t="n"/>
      <c r="L12" s="1520" t="n"/>
      <c r="M12" s="2101" t="n"/>
    </row>
    <row r="13" ht="16" customHeight="1" s="1883">
      <c r="A13" s="698" t="inlineStr">
        <is>
          <t>Design materials</t>
        </is>
      </c>
      <c r="B13" t="inlineStr">
        <is>
          <t>Double-curved Corning Gorilla Armor glass, textured back, deco films</t>
        </is>
      </c>
      <c r="C13" s="2100" t="n">
        <v>20</v>
      </c>
      <c r="D13" t="inlineStr">
        <is>
          <t>Higher than S23 Ultra due to thicker glass + anti-reflect coating</t>
        </is>
      </c>
      <c r="E13" s="1520" t="n"/>
      <c r="F13" s="1520" t="n"/>
      <c r="G13" s="1520" t="n"/>
      <c r="H13" s="1520" t="n"/>
      <c r="I13" s="1520" t="n"/>
      <c r="J13" s="1520" t="n"/>
      <c r="K13" s="1520" t="n"/>
      <c r="L13" s="1520" t="n"/>
      <c r="M13" s="2101" t="n"/>
    </row>
    <row r="14" ht="16" customHeight="1" s="1883">
      <c r="A14" s="698" t="inlineStr">
        <is>
          <t>Packaging &amp; in-box</t>
        </is>
      </c>
      <c r="B14" t="inlineStr">
        <is>
          <t>USB-C 65 W cable, SIM tool, manuals, eco box</t>
        </is>
      </c>
      <c r="C14" s="2100" t="n">
        <v>6</v>
      </c>
      <c r="D14" t="inlineStr">
        <is>
          <t>Cable-only package (no PSU) similar to Pixel 8 Pro</t>
        </is>
      </c>
      <c r="E14" s="1520" t="n"/>
      <c r="F14" s="1520" t="n"/>
      <c r="G14" s="1520" t="n"/>
      <c r="H14" s="1520" t="n"/>
      <c r="I14" s="1520" t="n"/>
      <c r="J14" s="1520" t="n"/>
      <c r="K14" s="1520" t="n"/>
      <c r="L14" s="1520" t="n"/>
      <c r="M14" s="2101" t="n"/>
    </row>
    <row r="15" ht="16" customHeight="1" s="1883">
      <c r="A15" s="698" t="inlineStr">
        <is>
          <t>Patent / standards licensing</t>
        </is>
      </c>
      <c r="B15" t="inlineStr">
        <is>
          <t>3G/4G/5G SEP licence (Qualcomm), other FRAND pools</t>
        </is>
      </c>
      <c r="C15" s="2100" t="n">
        <v>30</v>
      </c>
      <c r="D15" s="1609" t="inlineStr">
        <is>
          <t>Qualcomm SEP cap ~3.25 % of ASP (PDF) – model assumes $1 200 ASP → ~$32 (max device cap applies) qualcomm.com</t>
        </is>
      </c>
      <c r="E15" s="1520" t="n"/>
      <c r="F15" s="1520" t="n"/>
      <c r="G15" s="1520" t="n"/>
      <c r="H15" s="1520" t="n"/>
      <c r="I15" s="1520" t="n"/>
      <c r="J15" s="1520" t="n"/>
      <c r="K15" s="1520" t="n"/>
      <c r="L15" s="1520" t="n"/>
      <c r="M15" s="2101" t="n"/>
    </row>
    <row r="16" ht="16" customHeight="1" s="1883">
      <c r="C16" s="2102">
        <f>SUM(C3:C15)</f>
        <v/>
      </c>
      <c r="E16" s="1520" t="n"/>
      <c r="F16" s="1520" t="n"/>
      <c r="G16" s="1520" t="n"/>
      <c r="H16" s="1520" t="n"/>
      <c r="I16" s="1520" t="n"/>
      <c r="J16" s="1520" t="n"/>
      <c r="K16" s="1520" t="n"/>
      <c r="L16" s="1520" t="n"/>
      <c r="M16" s="2103" t="n"/>
    </row>
    <row r="17" ht="16" customHeight="1" s="1883">
      <c r="A17" s="698" t="inlineStr">
        <is>
          <t>Estimated total direct materials cost: ≈ $586 per unit</t>
        </is>
      </c>
      <c r="E17" s="1520" t="n"/>
      <c r="F17" s="1520" t="n"/>
      <c r="G17" s="1520" t="n"/>
      <c r="H17" s="1520" t="n"/>
      <c r="I17" s="1520" t="n"/>
      <c r="J17" s="1520" t="n"/>
      <c r="K17" s="1520" t="n"/>
      <c r="L17" s="1520" t="n"/>
      <c r="M17" s="1520" t="n"/>
    </row>
    <row r="18" ht="16" customHeight="1" s="1883">
      <c r="A18" s="1520" t="n"/>
      <c r="B18" s="1520" t="n"/>
      <c r="C18" s="1520" t="n"/>
      <c r="D18" s="1520" t="n"/>
      <c r="E18" s="1520" t="n"/>
      <c r="F18" s="1520" t="n"/>
      <c r="G18" s="1520" t="n"/>
      <c r="H18" s="1520" t="n"/>
      <c r="I18" s="1520" t="n"/>
      <c r="J18" s="1520" t="n"/>
      <c r="K18" s="1520" t="n"/>
      <c r="L18" s="1520" t="n"/>
      <c r="M18" s="1520" t="n"/>
    </row>
    <row r="19" ht="16" customHeight="1" s="1883">
      <c r="A19" s="1520" t="n"/>
      <c r="B19" s="1520" t="n"/>
      <c r="C19" s="1520" t="n"/>
      <c r="D19" s="1520" t="n"/>
      <c r="E19" s="1520" t="n"/>
      <c r="F19" s="1520" t="n"/>
      <c r="G19" s="1520" t="n"/>
      <c r="H19" s="1520" t="n"/>
      <c r="I19" s="1520" t="n"/>
      <c r="J19" s="1520" t="n"/>
      <c r="K19" s="1520" t="n"/>
      <c r="L19" s="1520" t="n"/>
      <c r="M19" s="1520" t="n"/>
    </row>
    <row r="20" ht="21" customHeight="1" s="1883">
      <c r="A20" s="1752" t="inlineStr">
        <is>
          <t>Second Level - Still a flagship by all standards</t>
        </is>
      </c>
      <c r="B20" s="1520" t="n"/>
      <c r="C20" s="1520" t="n"/>
      <c r="D20" s="1520" t="n"/>
      <c r="E20" s="1520" t="n"/>
      <c r="F20" s="1520" t="n"/>
      <c r="G20" s="1520" t="n"/>
      <c r="H20" s="1520" t="n"/>
      <c r="I20" s="1520" t="n"/>
      <c r="J20" s="1520" t="n"/>
      <c r="K20" s="1520" t="n"/>
      <c r="L20" s="1520" t="n"/>
      <c r="M20" s="1520" t="n"/>
    </row>
    <row r="21" ht="16" customHeight="1" s="1883">
      <c r="A21" s="1759" t="inlineStr">
        <is>
          <t>Sub-system</t>
        </is>
      </c>
      <c r="B21" s="1759" t="inlineStr">
        <is>
          <t>Key parts</t>
        </is>
      </c>
      <c r="C21" s="1759" t="inlineStr">
        <is>
          <t>Unit cost (USD)</t>
        </is>
      </c>
      <c r="D21" s="1759" t="inlineStr">
        <is>
          <t>Cost driver / source</t>
        </is>
      </c>
      <c r="E21" s="1520" t="n"/>
      <c r="F21" s="1520" t="n"/>
      <c r="G21" s="1520" t="n"/>
      <c r="H21" s="1520" t="n"/>
      <c r="I21" s="1520" t="n"/>
      <c r="J21" s="1520" t="n"/>
      <c r="K21" s="1520" t="n"/>
      <c r="L21" s="1520" t="n"/>
      <c r="M21" s="1520" t="n"/>
    </row>
    <row r="22" ht="16" customHeight="1" s="1883">
      <c r="A22" s="1759" t="inlineStr">
        <is>
          <t>Application Processor</t>
        </is>
      </c>
      <c r="B22" s="1520" t="inlineStr">
        <is>
          <t>Qualcomm Snapdragon 8 Elite Gen 2</t>
        </is>
      </c>
      <c r="C22" s="2102" t="n">
        <v>180</v>
      </c>
      <c r="D22" s="1760" t="inlineStr">
        <is>
          <t>Same as before; elite bin on TSMC N4P, volume ≥3 M units (Counterpoint Research)</t>
        </is>
      </c>
      <c r="E22" s="1520" t="n"/>
      <c r="F22" s="1520" t="n"/>
      <c r="G22" s="1520" t="n"/>
      <c r="H22" s="1520" t="n"/>
      <c r="I22" s="1520" t="n"/>
      <c r="J22" s="1520" t="n"/>
      <c r="K22" s="1520" t="n"/>
      <c r="L22" s="1520" t="n"/>
      <c r="M22" s="1520" t="n"/>
    </row>
    <row r="23" ht="16" customHeight="1" s="1883">
      <c r="A23" s="1759" t="inlineStr">
        <is>
          <t>Memory (RAM)</t>
        </is>
      </c>
      <c r="B23" s="1761" t="inlineStr">
        <is>
          <t>12 GB LPDDR5X (six-high stack)</t>
        </is>
      </c>
      <c r="C23" s="2102" t="n">
        <v>26</v>
      </c>
      <c r="D23" s="1760" t="inlineStr">
        <is>
          <t>Omdia March-2025 spot for 12 GB LPDDR5 ≈ $26-27, LPDDR5X carries &lt;5 % premium (Omdia)</t>
        </is>
      </c>
      <c r="E23" s="1520" t="n"/>
      <c r="F23" s="1520" t="n"/>
      <c r="G23" s="1520" t="n"/>
      <c r="H23" s="1520" t="n"/>
      <c r="I23" s="1520" t="n"/>
      <c r="J23" s="1520" t="n"/>
      <c r="K23" s="1520" t="n"/>
      <c r="L23" s="1520" t="n"/>
      <c r="M23" s="1520" t="n"/>
    </row>
    <row r="24" ht="16" customHeight="1" s="1883">
      <c r="A24" s="1759" t="inlineStr">
        <is>
          <t>Storage</t>
        </is>
      </c>
      <c r="B24" s="1761" t="inlineStr">
        <is>
          <t>512 GB UFS 4.0 NAND package</t>
        </is>
      </c>
      <c r="C24" s="2102" t="n">
        <v>55</v>
      </c>
      <c r="D24" s="1760" t="inlineStr">
        <is>
          <t>TrendForce 3Q-2025 contract NAND price forecast + controller amortisation; ~60 % of 1 TB cost (TrendForce)</t>
        </is>
      </c>
      <c r="E24" s="1520" t="n"/>
      <c r="F24" s="1520" t="n"/>
      <c r="G24" s="1520" t="n"/>
      <c r="H24" s="1520" t="n"/>
      <c r="I24" s="1520" t="n"/>
      <c r="J24" s="1520" t="n"/>
      <c r="K24" s="1520" t="n"/>
      <c r="L24" s="1520" t="n"/>
      <c r="M24" s="1520" t="n"/>
    </row>
    <row r="25" ht="16" customHeight="1" s="1883">
      <c r="A25" s="1759" t="inlineStr">
        <is>
          <t>Display</t>
        </is>
      </c>
      <c r="B25" s="1520" t="inlineStr">
        <is>
          <t>6.7-6.9″ LTPO AMOLED, 1440 p, 2 600 nits</t>
        </is>
      </c>
      <c r="C25" s="2102">
        <f>C6</f>
        <v/>
      </c>
      <c r="D25" s="1760" t="inlineStr">
        <is>
          <t>Extrapolated from S23 Ultra ($84) with brighter emitter stack (Counterpoint Research)</t>
        </is>
      </c>
      <c r="E25" s="1520" t="n"/>
      <c r="F25" s="1520" t="n"/>
      <c r="G25" s="1520" t="n"/>
      <c r="H25" s="1520" t="n"/>
      <c r="I25" s="1520" t="n"/>
      <c r="J25" s="1520" t="n"/>
      <c r="K25" s="1520" t="n"/>
      <c r="L25" s="1520" t="n"/>
      <c r="M25" s="1520" t="n"/>
    </row>
    <row r="26" ht="16" customHeight="1" s="1883">
      <c r="A26" s="1759" t="inlineStr">
        <is>
          <t>Camera hardware</t>
        </is>
      </c>
      <c r="B26" s="1753" t="inlineStr">
        <is>
          <t>HP2 200 MP, IMX563 12 MP, IMX754 10 MP, IMX854 50 MP, IMX858 50 MP, lenses, OIS</t>
        </is>
      </c>
      <c r="C26" s="2102">
        <f>C7</f>
        <v/>
      </c>
      <c r="D26" s="1760" t="inlineStr">
        <is>
          <t>Five-sensor array + periscope optics (55 % above S23 Ultra) (Counterpoint Research)</t>
        </is>
      </c>
      <c r="E26" s="1520" t="n"/>
      <c r="F26" s="1520" t="n"/>
      <c r="G26" s="1520" t="n"/>
      <c r="H26" s="1753" t="inlineStr">
        <is>
          <t xml:space="preserve">we could drop this in quality or completely for the ultra lockdown version… could probably go with half the cameras on this </t>
        </is>
      </c>
      <c r="I26" s="1520" t="n"/>
      <c r="J26" s="1520" t="n"/>
      <c r="K26" s="1520" t="n"/>
      <c r="L26" s="1520" t="n"/>
      <c r="M26" s="1520" t="n"/>
    </row>
    <row r="27" ht="16" customHeight="1" s="1883">
      <c r="A27" s="1759" t="inlineStr">
        <is>
          <t>Camera software / IP</t>
        </is>
      </c>
      <c r="B27" s="1520" t="inlineStr">
        <is>
          <t>Imaging SDK licences (HDR, AI up-scaling)</t>
        </is>
      </c>
      <c r="C27" s="2102" t="n">
        <v>5</v>
      </c>
      <c r="D27" s="1520" t="inlineStr">
        <is>
          <t>Typical per-device fee range $3-7</t>
        </is>
      </c>
      <c r="E27" s="1520" t="n"/>
      <c r="F27" s="1520" t="n"/>
      <c r="G27" s="1520" t="n"/>
      <c r="H27" s="1520" t="n"/>
      <c r="I27" s="1520" t="n"/>
      <c r="J27" s="1520" t="n"/>
      <c r="K27" s="1520" t="n"/>
      <c r="L27" s="1520" t="n"/>
      <c r="M27" s="1520" t="n"/>
    </row>
    <row r="28" ht="16" customHeight="1" s="1883">
      <c r="A28" s="1759" t="inlineStr">
        <is>
          <t>Battery &amp; power</t>
        </is>
      </c>
      <c r="B28" s="1520" t="inlineStr">
        <is>
          <t>6 000 mAh cell, 65 W PD, 15 W Qi coil</t>
        </is>
      </c>
      <c r="C28" s="2102" t="n">
        <v>8</v>
      </c>
      <c r="D28" s="1520" t="inlineStr">
        <is>
          <t>Large Li-poly cell ~$4 + BMS/PD ICs</t>
        </is>
      </c>
      <c r="E28" s="1520" t="n"/>
      <c r="F28" s="1520" t="n"/>
      <c r="G28" s="1520" t="n"/>
      <c r="H28" s="1520" t="n"/>
      <c r="I28" s="1520" t="n"/>
      <c r="J28" s="1520" t="n"/>
      <c r="K28" s="1520" t="n"/>
      <c r="L28" s="1520" t="n"/>
      <c r="M28" s="1520" t="n"/>
    </row>
    <row r="29" ht="16" customHeight="1" s="1883">
      <c r="A29" s="1759" t="inlineStr">
        <is>
          <t>Logic board &amp; RF</t>
        </is>
      </c>
      <c r="B29" s="1520" t="inlineStr">
        <is>
          <t>PCB, PMICs, RF front-end, Wi-Fi 7, GNSS, sensors</t>
        </is>
      </c>
      <c r="C29" s="2102" t="n">
        <v>35</v>
      </c>
      <c r="D29" s="1520" t="inlineStr">
        <is>
          <t>Scaled from S23 Ultra BOM share</t>
        </is>
      </c>
      <c r="E29" s="1520" t="n"/>
      <c r="F29" s="1520" t="n"/>
      <c r="G29" s="1520" t="n"/>
      <c r="H29" s="1520" t="n"/>
      <c r="I29" s="1520" t="n"/>
      <c r="J29" s="1520" t="n"/>
      <c r="K29" s="1520" t="n"/>
      <c r="L29" s="1520" t="n"/>
      <c r="M29" s="1520" t="n"/>
    </row>
    <row r="30" ht="16" customHeight="1" s="1883">
      <c r="A30" s="1759" t="inlineStr">
        <is>
          <t>Audio / haptics</t>
        </is>
      </c>
      <c r="B30" s="1520" t="inlineStr">
        <is>
          <t>Dual speakers, X-axis linear motor, mics</t>
        </is>
      </c>
      <c r="C30" s="2102" t="n">
        <v>7</v>
      </c>
      <c r="D30" s="1520" t="inlineStr">
        <is>
          <t>Parity with recent flagships</t>
        </is>
      </c>
      <c r="E30" s="1520" t="n"/>
      <c r="F30" s="1520" t="n"/>
      <c r="G30" s="1520" t="n"/>
      <c r="H30" s="1520" t="n"/>
      <c r="I30" s="1520" t="n"/>
      <c r="J30" s="1520" t="n"/>
      <c r="K30" s="1520" t="n"/>
      <c r="L30" s="1520" t="n"/>
      <c r="M30" s="1520" t="n"/>
    </row>
    <row r="31" ht="16" customHeight="1" s="1883">
      <c r="A31" s="1759" t="inlineStr">
        <is>
          <t>Structural parts</t>
        </is>
      </c>
      <c r="B31" s="1520" t="inlineStr">
        <is>
          <t>Vapor chamber, Al/Ti mid-frame, buttons, screws</t>
        </is>
      </c>
      <c r="C31" s="2102" t="n">
        <v>15</v>
      </c>
      <c r="D31" s="1520" t="inlineStr">
        <is>
          <t>Oversized VC + stiffer frame</t>
        </is>
      </c>
      <c r="E31" s="1520" t="n"/>
      <c r="F31" s="1520" t="n"/>
      <c r="G31" s="1520" t="n"/>
      <c r="H31" s="1520" t="n"/>
      <c r="I31" s="1520" t="n"/>
      <c r="J31" s="1520" t="n"/>
      <c r="K31" s="1520" t="n"/>
      <c r="L31" s="1520" t="n"/>
      <c r="M31" s="1520" t="n"/>
    </row>
    <row r="32" ht="16" customHeight="1" s="1883">
      <c r="A32" s="1759" t="inlineStr">
        <is>
          <t>Design materials</t>
        </is>
      </c>
      <c r="B32" s="1520" t="inlineStr">
        <is>
          <t>Gorilla Armor front, textured back glass, deco films</t>
        </is>
      </c>
      <c r="C32" s="2102" t="n">
        <v>20</v>
      </c>
      <c r="D32" s="1520" t="inlineStr">
        <is>
          <t>Thicker glass + AR coating</t>
        </is>
      </c>
      <c r="E32" s="1520" t="n"/>
      <c r="F32" s="1520" t="n"/>
      <c r="G32" s="1520" t="n"/>
      <c r="H32" s="1520" t="n"/>
      <c r="I32" s="1520" t="n"/>
      <c r="J32" s="1520" t="n"/>
      <c r="K32" s="1520" t="n"/>
      <c r="L32" s="1520" t="n"/>
      <c r="M32" s="1520" t="n"/>
    </row>
    <row r="33" ht="16" customHeight="1" s="1883">
      <c r="A33" s="1759" t="inlineStr">
        <is>
          <t>Packaging &amp; in-box</t>
        </is>
      </c>
      <c r="B33" s="1520" t="inlineStr">
        <is>
          <t>65 W USB-C cable, SIM tool, eco box + manuals</t>
        </is>
      </c>
      <c r="C33" s="2102" t="n">
        <v>6</v>
      </c>
      <c r="D33" s="1520" t="inlineStr">
        <is>
          <t>Cable-only kit (no PSU)</t>
        </is>
      </c>
      <c r="E33" s="1520" t="n"/>
      <c r="F33" s="1520" t="n"/>
      <c r="G33" s="1520" t="n"/>
      <c r="H33" s="1520" t="n"/>
      <c r="I33" s="1520" t="n"/>
      <c r="J33" s="1520" t="n"/>
      <c r="K33" s="1520" t="n"/>
      <c r="L33" s="1520" t="n"/>
      <c r="M33" s="1520" t="n"/>
    </row>
    <row r="34" ht="16" customHeight="1" s="1883">
      <c r="A34" s="1759" t="inlineStr">
        <is>
          <t>Patent / standards licensing</t>
        </is>
      </c>
      <c r="B34" s="1520" t="inlineStr">
        <is>
          <t>3G/4G/5G SEP fees (Qualcomm et al.)</t>
        </is>
      </c>
      <c r="C34" s="2102" t="n">
        <v>29</v>
      </c>
      <c r="D34" s="1760" t="inlineStr">
        <is>
          <t>3.25 % of assumed ~$900 wholesale ASP (licence cap applies) (Qualcomm)</t>
        </is>
      </c>
      <c r="E34" s="1520" t="n"/>
      <c r="F34" s="1520" t="n"/>
      <c r="G34" s="1520" t="n"/>
      <c r="H34" s="1520" t="n"/>
      <c r="I34" s="1520" t="n"/>
      <c r="J34" s="1520" t="n"/>
      <c r="K34" s="1520" t="n"/>
      <c r="L34" s="1520" t="n"/>
      <c r="M34" s="1520" t="n"/>
    </row>
    <row r="35" ht="16" customHeight="1" s="1883">
      <c r="A35" s="1759" t="inlineStr">
        <is>
          <t>Total</t>
        </is>
      </c>
      <c r="B35" s="1759" t="n"/>
      <c r="C35" s="2102">
        <f>SUM(C22:C34)</f>
        <v/>
      </c>
      <c r="D35" s="1520" t="n"/>
      <c r="E35" s="1520" t="n"/>
      <c r="F35" s="1520" t="n"/>
      <c r="G35" s="1520" t="n"/>
      <c r="H35" s="1520" t="n"/>
      <c r="I35" s="1520" t="n"/>
      <c r="J35" s="1520" t="n"/>
      <c r="K35" s="1520" t="n"/>
      <c r="L35" s="1520" t="n"/>
      <c r="M35" s="1520" t="n"/>
    </row>
    <row r="36" ht="16" customHeight="1" s="1883">
      <c r="A36" s="1520" t="n"/>
      <c r="B36" s="1520" t="n"/>
      <c r="C36" s="1520" t="n"/>
      <c r="D36" s="1520" t="n"/>
      <c r="E36" s="1520" t="n"/>
      <c r="F36" s="1520" t="n"/>
      <c r="G36" s="1520" t="n"/>
      <c r="H36" s="1520" t="n"/>
      <c r="I36" s="1520" t="n"/>
      <c r="J36" s="1520" t="n"/>
      <c r="K36" s="1520" t="n"/>
      <c r="L36" s="1520" t="n"/>
      <c r="M36" s="1520" t="n"/>
    </row>
    <row r="37" ht="16" customHeight="1" s="1883">
      <c r="A37" s="1520" t="n"/>
      <c r="B37" s="1520" t="n"/>
      <c r="C37" s="1520" t="n"/>
      <c r="D37" s="1520" t="n"/>
      <c r="E37" s="1520" t="n"/>
      <c r="F37" s="1520" t="n"/>
      <c r="G37" s="1520" t="n"/>
      <c r="H37" s="1520" t="n"/>
      <c r="I37" s="1520" t="n"/>
      <c r="J37" s="1520" t="n"/>
      <c r="K37" s="1520" t="n"/>
      <c r="L37" s="1520" t="n"/>
      <c r="M37" s="1520" t="n"/>
    </row>
  </sheetData>
  <hyperlinks>
    <hyperlink xmlns:r="http://schemas.openxmlformats.org/officeDocument/2006/relationships" ref="D4" display="https://www.amazon.com/H58G76BK8HX095N-16GB-LPDDR5x-DRAM-IC-FBGA496-8533Mbps-Suitable-Snapdragon-Samsung-Mainboard/dp/B0CWP8VG26?utm_source=chatgpt.com" r:id="rId1"/>
    <hyperlink xmlns:r="http://schemas.openxmlformats.org/officeDocument/2006/relationships" ref="D5" r:id="rId2"/>
    <hyperlink xmlns:r="http://schemas.openxmlformats.org/officeDocument/2006/relationships" ref="D7" r:id="rId3"/>
    <hyperlink xmlns:r="http://schemas.openxmlformats.org/officeDocument/2006/relationships" ref="D9" display="https://www.alibaba.com/product-detail/6000mah-BL-58BT-Lc8-Mobile-Phone_1600160549906.html?utm_source=chatgpt.com" r:id="rId4"/>
    <hyperlink xmlns:r="http://schemas.openxmlformats.org/officeDocument/2006/relationships" ref="D15" display="https://www.qualcomm.com/content/dam/qcomm-martech/dm-assets/documents/qualcomm-5g-handset-licensing-program.pdf?utm_source=chatgpt.com" r:id="rId5"/>
    <hyperlink xmlns:r="http://schemas.openxmlformats.org/officeDocument/2006/relationships" ref="D22" tooltip="BoM Analysis: Samsung Galaxy S23 Ultra Costs $469 to Make" display="https://www.counterpointresearch.com/insight/bom-analysis-samsung-galaxy-s23-ultra?utm_source=chatgpt.com" r:id="rId6"/>
    <hyperlink xmlns:r="http://schemas.openxmlformats.org/officeDocument/2006/relationships" ref="D23" tooltip="DRAM Market Dynamics – March 2025 - Omdia - Informa" display="https://omdia.tech.informa.com/om129002/dram-market-dynamics--march-2025?utm_source=chatgpt.com" r:id="rId7"/>
    <hyperlink xmlns:r="http://schemas.openxmlformats.org/officeDocument/2006/relationships" ref="D24" tooltip="3Q25 NAND Flash Contract Prices Projected to Rise 5–10%; Weak ..." display="https://www.trendforce.com/presscenter/news/20250709-12638.html?utm_source=chatgpt.com" r:id="rId8"/>
    <hyperlink xmlns:r="http://schemas.openxmlformats.org/officeDocument/2006/relationships" ref="D25" tooltip="BoM Analysis: Samsung Galaxy S23 Ultra Costs $469 to Make" display="https://www.counterpointresearch.com/insight/bom-analysis-samsung-galaxy-s23-ultra?utm_source=chatgpt.com" r:id="rId9"/>
    <hyperlink xmlns:r="http://schemas.openxmlformats.org/officeDocument/2006/relationships" ref="D26" tooltip="BoM Analysis: Samsung Galaxy S23 Ultra Costs $469 to Make" display="https://www.counterpointresearch.com/insight/bom-analysis-samsung-galaxy-s23-ultra?utm_source=chatgpt.com" r:id="rId10"/>
    <hyperlink xmlns:r="http://schemas.openxmlformats.org/officeDocument/2006/relationships" ref="D34" tooltip="[PDF] Qualcomm's 5G Handset Licensing Program" display="https://www.qualcomm.com/content/dam/qcomm-martech/dm-assets/documents/qualcomm-5g-handset-licensing-program.pdf?utm_source=chatgpt.com" r:id="rId11"/>
  </hyperlinks>
  <pageMargins left="0.7" right="0.7" top="0.75" bottom="0.75" header="0.3" footer="0.3"/>
  <legacyDrawing xmlns:r="http://schemas.openxmlformats.org/officeDocument/2006/relationships" r:id="anysvml"/>
</worksheet>
</file>

<file path=xl/worksheets/sheet29.xml><?xml version="1.0" encoding="utf-8"?>
<worksheet xmlns="http://schemas.openxmlformats.org/spreadsheetml/2006/main">
  <sheetPr>
    <tabColor rgb="FF9ACDFF"/>
    <outlinePr summaryBelow="1" summaryRight="1"/>
    <pageSetUpPr/>
  </sheetPr>
  <dimension ref="A1:Q54"/>
  <sheetViews>
    <sheetView zoomScale="132" zoomScaleNormal="132" workbookViewId="0">
      <pane xSplit="1" ySplit="1" topLeftCell="K2" activePane="bottomRight" state="frozen"/>
      <selection pane="topRight" activeCell="B2" sqref="B2"/>
      <selection pane="bottomLeft" activeCell="B2" sqref="B2"/>
      <selection pane="bottomRight" activeCell="M15" sqref="M15"/>
    </sheetView>
  </sheetViews>
  <sheetFormatPr baseColWidth="10" defaultColWidth="14.5" defaultRowHeight="15" customHeight="1"/>
  <cols>
    <col width="76.5" customWidth="1" style="1764" min="1" max="1"/>
    <col width="14.83203125" customWidth="1" style="1764" min="2" max="2"/>
    <col width="17.5" customWidth="1" style="1764" min="3" max="4"/>
    <col width="23.83203125" customWidth="1" style="1764" min="5" max="6"/>
    <col width="21.5" customWidth="1" style="1764" min="7" max="7"/>
    <col width="22.83203125" customWidth="1" style="1764" min="8" max="8"/>
    <col width="18.5" customWidth="1" style="1764" min="9" max="9"/>
    <col width="17.5" customWidth="1" style="1764" min="10" max="10"/>
    <col width="22.83203125" customWidth="1" style="1764" min="11" max="11"/>
    <col width="21.83203125" customWidth="1" style="1764" min="12" max="12"/>
    <col width="22.5" customWidth="1" style="1764" min="13" max="13"/>
    <col width="21" customWidth="1" style="1764" min="14" max="14"/>
    <col width="25" customWidth="1" style="1764" min="15" max="15"/>
    <col width="31.1640625" customWidth="1" style="1764" min="16" max="16"/>
    <col width="16.5" customWidth="1" style="1764" min="17" max="17"/>
    <col width="8.83203125" customWidth="1" style="1764" min="18" max="28"/>
    <col width="14.5" customWidth="1" style="1764" min="29" max="30"/>
    <col width="14.5" customWidth="1" style="1764" min="31" max="16384"/>
  </cols>
  <sheetData>
    <row r="1" ht="66" customHeight="1" s="1883" thickBot="1" thickTop="1">
      <c r="A1" s="1762" t="inlineStr">
        <is>
          <t>Revenue Stream Assumptions</t>
        </is>
      </c>
      <c r="B1" s="1762" t="inlineStr">
        <is>
          <t>Potential Revenue PER USER, Per Year</t>
        </is>
      </c>
      <c r="C1" s="1762" t="inlineStr">
        <is>
          <t>Targeting Frequency PER YEAR</t>
        </is>
      </c>
      <c r="D1" s="1763" t="inlineStr">
        <is>
          <t>Targeting Frequency PER DAY</t>
        </is>
      </c>
      <c r="E1" s="1763" t="inlineStr">
        <is>
          <t>Average Time Duration of Campaign per Category in Minutes</t>
        </is>
      </c>
      <c r="F1" s="1763" t="inlineStr">
        <is>
          <t>Average Total Time Spent Working on Free Phone Per Year Per User in Minutes</t>
        </is>
      </c>
      <c r="G1" s="1763" t="inlineStr">
        <is>
          <t>Revenue Per Person Per Average Campaign, Advertisement Click or Sale</t>
        </is>
      </c>
      <c r="H1" s="1763" t="inlineStr">
        <is>
          <t>Cost Per Person Per Average Campaign        (User Earnings)</t>
        </is>
      </c>
      <c r="I1" s="1763" t="inlineStr">
        <is>
          <t>Average Profit Per Campaign</t>
        </is>
      </c>
      <c r="J1" s="1763" t="inlineStr">
        <is>
          <t>Revenue Per Person Per 1 Hour of Work (or per 10 Ad Clicks or Sales)</t>
        </is>
      </c>
      <c r="K1" s="1763" t="inlineStr">
        <is>
          <t>Cost Per Person Per 1 Hour of Work               (User Earnings)</t>
        </is>
      </c>
      <c r="L1" s="1763" t="inlineStr">
        <is>
          <t>Average Profit Per Person Per Hour of Work (or per 10 Ad Clicks or Sales)</t>
        </is>
      </c>
      <c r="M1" s="1763" t="inlineStr">
        <is>
          <t xml:space="preserve">Revenue Per Person Per YEAR of Work </t>
        </is>
      </c>
      <c r="N1" s="1763" t="inlineStr">
        <is>
          <t>Cost Per Person Per YEAR of Work               (User Earnings)</t>
        </is>
      </c>
      <c r="O1" s="1763" t="inlineStr">
        <is>
          <t xml:space="preserve">Average Profit Per Person Per YEAR of Work </t>
        </is>
      </c>
      <c r="Q1" s="1764" t="inlineStr">
        <is>
          <t>FY1</t>
        </is>
      </c>
    </row>
    <row r="2" ht="17" customHeight="1" s="1883" thickTop="1">
      <c r="A2" s="1765" t="inlineStr">
        <is>
          <t>Client</t>
        </is>
      </c>
      <c r="B2" s="1766" t="n">
        <v>23049</v>
      </c>
      <c r="C2" s="1767" t="inlineStr">
        <is>
          <t>Doesn't Apply</t>
        </is>
      </c>
      <c r="D2" s="1767" t="inlineStr">
        <is>
          <t>Doesn't Apply</t>
        </is>
      </c>
      <c r="F2" s="1768" t="inlineStr">
        <is>
          <t>Doesn't Apply</t>
        </is>
      </c>
      <c r="M2" s="1768" t="inlineStr">
        <is>
          <t>Doesn't Apply</t>
        </is>
      </c>
      <c r="N2" s="1768" t="inlineStr">
        <is>
          <t>Doesn't Apply</t>
        </is>
      </c>
      <c r="O2" s="1768" t="inlineStr">
        <is>
          <t>Doesn't Apply</t>
        </is>
      </c>
      <c r="P2" s="1764" t="inlineStr">
        <is>
          <t>App &amp; Mobile Monetization</t>
        </is>
      </c>
      <c r="Q2" s="1769">
        <f>B30</f>
        <v/>
      </c>
    </row>
    <row r="3" ht="16" customHeight="1" s="1883">
      <c r="A3" s="1765" t="inlineStr">
        <is>
          <t>Users AFTER Attrition</t>
        </is>
      </c>
      <c r="B3" s="1770" t="n">
        <v>178158</v>
      </c>
      <c r="C3" s="1767" t="inlineStr">
        <is>
          <t>Doesn't Apply</t>
        </is>
      </c>
      <c r="D3" s="1767" t="inlineStr">
        <is>
          <t>Doesn't Apply</t>
        </is>
      </c>
      <c r="F3" s="1768" t="inlineStr">
        <is>
          <t>Doesn't Apply</t>
        </is>
      </c>
      <c r="M3" s="1768" t="inlineStr">
        <is>
          <t>Doesn't Apply</t>
        </is>
      </c>
      <c r="N3" s="1768" t="inlineStr">
        <is>
          <t>Doesn't Apply</t>
        </is>
      </c>
      <c r="O3" s="1768" t="inlineStr">
        <is>
          <t>Doesn't Apply</t>
        </is>
      </c>
      <c r="P3" s="1764" t="inlineStr">
        <is>
          <t>Market Research</t>
        </is>
      </c>
      <c r="Q3" s="1769">
        <f>B38</f>
        <v/>
      </c>
    </row>
    <row r="4" ht="16" customHeight="1" s="1883">
      <c r="A4" s="1765" t="inlineStr">
        <is>
          <t>Predictive Problem Solving Price (Per Year)</t>
        </is>
      </c>
      <c r="B4" s="1771" t="n">
        <v>110</v>
      </c>
      <c r="C4" s="1767" t="inlineStr">
        <is>
          <t>Doesn't Apply</t>
        </is>
      </c>
      <c r="D4" s="1767" t="inlineStr">
        <is>
          <t>Doesn't Apply</t>
        </is>
      </c>
      <c r="F4" s="1768" t="inlineStr">
        <is>
          <t>Doesn't Apply</t>
        </is>
      </c>
      <c r="M4" s="1769">
        <f>B22</f>
        <v/>
      </c>
      <c r="N4" s="1769" t="n">
        <v>0</v>
      </c>
      <c r="O4" s="1769">
        <f>M4-N4</f>
        <v/>
      </c>
      <c r="P4" s="1764" t="inlineStr">
        <is>
          <t>Predictive Problem Solving</t>
        </is>
      </c>
      <c r="Q4" s="1769">
        <f>B22</f>
        <v/>
      </c>
    </row>
    <row r="5" ht="16" customHeight="1" s="1883">
      <c r="A5" s="1772" t="inlineStr">
        <is>
          <t>Pre-Installed/Partner Application &amp; In-App Revenue (Per User Per Year)</t>
        </is>
      </c>
      <c r="B5" s="1771" t="n">
        <v>1.22</v>
      </c>
      <c r="C5" s="1767" t="inlineStr">
        <is>
          <t>Doesn't Apply</t>
        </is>
      </c>
      <c r="D5" s="1767" t="inlineStr">
        <is>
          <t>Doesn't Apply</t>
        </is>
      </c>
      <c r="F5" s="1768" t="inlineStr">
        <is>
          <t>Doesn't Apply</t>
        </is>
      </c>
      <c r="M5" s="1769">
        <f>B5</f>
        <v/>
      </c>
      <c r="N5" s="1769" t="n">
        <v>0</v>
      </c>
      <c r="O5" s="1769">
        <f>M5-N5</f>
        <v/>
      </c>
      <c r="P5" s="1764" t="inlineStr">
        <is>
          <t>Retarget Marketing &amp; Advertising</t>
        </is>
      </c>
      <c r="Q5" s="1769">
        <f>B43</f>
        <v/>
      </c>
    </row>
    <row r="6" ht="16" customHeight="1" s="1883">
      <c r="A6" s="1772" t="inlineStr">
        <is>
          <t>Partner Mobile E-Commerce &amp; Pure Tech E-Commerce Revenue (Per User Per Year)</t>
        </is>
      </c>
      <c r="B6" s="1771" t="n">
        <v>6</v>
      </c>
      <c r="C6" s="1767" t="inlineStr">
        <is>
          <t>Doesn't Apply</t>
        </is>
      </c>
      <c r="D6" s="1767" t="inlineStr">
        <is>
          <t>Doesn't Apply</t>
        </is>
      </c>
      <c r="F6" s="1768" t="inlineStr">
        <is>
          <t>Doesn't Apply</t>
        </is>
      </c>
      <c r="M6" s="1769">
        <f>B6</f>
        <v/>
      </c>
      <c r="N6" s="1769" t="n">
        <v>0</v>
      </c>
      <c r="O6" s="1769">
        <f>M6-N6</f>
        <v/>
      </c>
      <c r="P6" s="1764" t="inlineStr">
        <is>
          <t>Promoters / Social Marketing</t>
        </is>
      </c>
      <c r="Q6" s="1769">
        <f>B49</f>
        <v/>
      </c>
    </row>
    <row r="7" ht="17" customHeight="1" s="1883" thickBot="1">
      <c r="A7" s="1772" t="inlineStr">
        <is>
          <t>Pure Technology Mobile Monetization Revenue (Per User Per Year)</t>
        </is>
      </c>
      <c r="B7" s="1771" t="n">
        <v>4.96</v>
      </c>
      <c r="C7" s="1767" t="inlineStr">
        <is>
          <t>Doesn't Apply</t>
        </is>
      </c>
      <c r="D7" s="1767" t="inlineStr">
        <is>
          <t>Doesn't Apply</t>
        </is>
      </c>
      <c r="F7" s="1768" t="inlineStr">
        <is>
          <t>Doesn't Apply</t>
        </is>
      </c>
      <c r="M7" s="1769">
        <f>B7</f>
        <v/>
      </c>
      <c r="N7" s="1769" t="n">
        <v>0</v>
      </c>
      <c r="O7" s="1769">
        <f>M7-N7</f>
        <v/>
      </c>
      <c r="P7" s="1764" t="inlineStr">
        <is>
          <t>Sales</t>
        </is>
      </c>
      <c r="Q7" s="1769">
        <f>B54</f>
        <v/>
      </c>
    </row>
    <row r="8" ht="17" customHeight="1" s="1883" thickBot="1">
      <c r="A8" s="1772" t="inlineStr">
        <is>
          <t>User Marketing Revenue (Per User Per Year)</t>
        </is>
      </c>
      <c r="B8" s="1771" t="n">
        <v>10.1</v>
      </c>
      <c r="C8" s="1773">
        <f>(B8/G8)*10</f>
        <v/>
      </c>
      <c r="D8" s="2104">
        <f>C8/365</f>
        <v/>
      </c>
      <c r="E8" s="1768" t="inlineStr">
        <is>
          <t>Doesn't Apply</t>
        </is>
      </c>
      <c r="F8" s="1768" t="inlineStr">
        <is>
          <t>Doesn't Apply</t>
        </is>
      </c>
      <c r="G8" s="1775" t="n">
        <v>0.25</v>
      </c>
      <c r="H8" s="1775" t="n">
        <v>0</v>
      </c>
      <c r="I8" s="1775">
        <f>G8-H8</f>
        <v/>
      </c>
      <c r="J8" s="1775">
        <f>G8*10</f>
        <v/>
      </c>
      <c r="K8" s="1775" t="n">
        <v>0</v>
      </c>
      <c r="L8" s="1775">
        <f>J8-K8</f>
        <v/>
      </c>
      <c r="M8" s="1769">
        <f>B8</f>
        <v/>
      </c>
      <c r="N8" s="1769" t="n">
        <v>0</v>
      </c>
      <c r="O8" s="1769">
        <f>M8-N8</f>
        <v/>
      </c>
      <c r="P8" s="1776" t="inlineStr">
        <is>
          <t>Total</t>
        </is>
      </c>
      <c r="Q8" s="1777">
        <f>SUM(Q2:Q7)</f>
        <v/>
      </c>
    </row>
    <row r="9" ht="16" customHeight="1" s="1883">
      <c r="A9" s="1772" t="inlineStr">
        <is>
          <t>Sales Revenue (Per User Per Year)</t>
        </is>
      </c>
      <c r="B9" s="1771" t="n">
        <v>90</v>
      </c>
      <c r="C9" s="1778">
        <f>B9/G9</f>
        <v/>
      </c>
      <c r="D9" s="2105">
        <f>C9/365</f>
        <v/>
      </c>
      <c r="E9" s="1768" t="inlineStr">
        <is>
          <t>Doesn't Apply</t>
        </is>
      </c>
      <c r="F9" s="1768" t="inlineStr">
        <is>
          <t>Doesn't Apply</t>
        </is>
      </c>
      <c r="G9" s="1775">
        <f>B9/50</f>
        <v/>
      </c>
      <c r="H9" s="1775" t="n">
        <v>0</v>
      </c>
      <c r="I9" s="1775">
        <f>G9-H9</f>
        <v/>
      </c>
      <c r="J9" s="1775">
        <f>G9*10</f>
        <v/>
      </c>
      <c r="K9" s="1775" t="n">
        <v>0</v>
      </c>
      <c r="L9" s="1775">
        <f>J9-K9</f>
        <v/>
      </c>
      <c r="M9" s="1769">
        <f>B9</f>
        <v/>
      </c>
      <c r="N9" s="1769" t="n">
        <v>0</v>
      </c>
      <c r="O9" s="1769">
        <f>M9-N9</f>
        <v/>
      </c>
      <c r="P9" s="1775" t="n"/>
    </row>
    <row r="10" ht="16" customHeight="1" s="1883">
      <c r="A10" s="1765" t="inlineStr">
        <is>
          <t>Focus Groups &amp; Testing (Per User Per Year)</t>
        </is>
      </c>
      <c r="B10" s="1771" t="n">
        <v>832</v>
      </c>
      <c r="C10" s="1767" t="n">
        <v>2</v>
      </c>
      <c r="D10" s="2105">
        <f>C10/365</f>
        <v/>
      </c>
      <c r="E10" s="1768" t="n">
        <v>60</v>
      </c>
      <c r="F10" s="1768">
        <f>C10*E10</f>
        <v/>
      </c>
      <c r="G10" s="1780">
        <f>B10/C10</f>
        <v/>
      </c>
      <c r="H10" s="1780">
        <f>E10*1</f>
        <v/>
      </c>
      <c r="I10" s="1780">
        <f>G10-H10</f>
        <v/>
      </c>
      <c r="J10" s="1780">
        <f>60/E10*G10</f>
        <v/>
      </c>
      <c r="K10" s="1780">
        <f>60/E10*H10</f>
        <v/>
      </c>
      <c r="L10" s="1780">
        <f>J10-K10</f>
        <v/>
      </c>
      <c r="M10" s="1769">
        <f>B10</f>
        <v/>
      </c>
      <c r="N10" s="1769">
        <f>H10*C10</f>
        <v/>
      </c>
      <c r="O10" s="1769">
        <f>M10-N10</f>
        <v/>
      </c>
    </row>
    <row r="11" ht="16" customHeight="1" s="1883">
      <c r="A11" s="1765" t="inlineStr">
        <is>
          <t>Mystery Shopping (Per User Per Year)</t>
        </is>
      </c>
      <c r="B11" s="1771" t="n">
        <v>400</v>
      </c>
      <c r="C11" s="1767" t="n">
        <v>4</v>
      </c>
      <c r="D11" s="2105">
        <f>C11/365</f>
        <v/>
      </c>
      <c r="E11" s="1768" t="n">
        <v>30</v>
      </c>
      <c r="F11" s="1768">
        <f>C11*E11</f>
        <v/>
      </c>
      <c r="G11" s="1780">
        <f>B11/C11</f>
        <v/>
      </c>
      <c r="H11" s="1780">
        <f>E11*1</f>
        <v/>
      </c>
      <c r="I11" s="1780">
        <f>G11-H11</f>
        <v/>
      </c>
      <c r="J11" s="1780">
        <f>60/E11*G11</f>
        <v/>
      </c>
      <c r="K11" s="1780">
        <f>60/E11*H11</f>
        <v/>
      </c>
      <c r="L11" s="1780">
        <f>J11-K11</f>
        <v/>
      </c>
      <c r="M11" s="1769">
        <f>B11</f>
        <v/>
      </c>
      <c r="N11" s="1769">
        <f>H11*C11</f>
        <v/>
      </c>
      <c r="O11" s="1769">
        <f>M11-N11</f>
        <v/>
      </c>
    </row>
    <row r="12" ht="16" customHeight="1" s="1883">
      <c r="A12" s="1765" t="inlineStr">
        <is>
          <t>Consumer Experience Studies (Per User Per Year)</t>
        </is>
      </c>
      <c r="B12" s="1771" t="n">
        <v>187.5</v>
      </c>
      <c r="C12" s="1767" t="n">
        <v>5</v>
      </c>
      <c r="D12" s="2105">
        <f>C12/365</f>
        <v/>
      </c>
      <c r="E12" s="1768" t="n">
        <v>7.5</v>
      </c>
      <c r="F12" s="1768">
        <f>C12*E12</f>
        <v/>
      </c>
      <c r="G12" s="1780">
        <f>B12/C12</f>
        <v/>
      </c>
      <c r="H12" s="1780">
        <f>E12*1</f>
        <v/>
      </c>
      <c r="I12" s="1780">
        <f>G12-H12</f>
        <v/>
      </c>
      <c r="J12" s="1780">
        <f>60/E12*G12</f>
        <v/>
      </c>
      <c r="K12" s="1780">
        <f>60/E12*H12</f>
        <v/>
      </c>
      <c r="L12" s="1780">
        <f>J12-K12</f>
        <v/>
      </c>
      <c r="M12" s="1769">
        <f>B12</f>
        <v/>
      </c>
      <c r="N12" s="1769">
        <f>H12*C12</f>
        <v/>
      </c>
      <c r="O12" s="1769">
        <f>M12-N12</f>
        <v/>
      </c>
    </row>
    <row r="13" ht="16" customHeight="1" s="1883">
      <c r="A13" s="1765" t="inlineStr">
        <is>
          <t>All Different Surveys (Per User Per Year)</t>
        </is>
      </c>
      <c r="B13" s="1771" t="n">
        <v>100</v>
      </c>
      <c r="C13" s="1778" t="inlineStr">
        <is>
          <t>25</t>
        </is>
      </c>
      <c r="D13" s="2105">
        <f>C13/365</f>
        <v/>
      </c>
      <c r="E13" s="1768" t="n">
        <v>4</v>
      </c>
      <c r="F13" s="1781">
        <f>C13*E13</f>
        <v/>
      </c>
      <c r="G13" s="1780">
        <f>B13/C13</f>
        <v/>
      </c>
      <c r="H13" s="1780">
        <f>E13*1</f>
        <v/>
      </c>
      <c r="I13" s="1775">
        <f>G13-H13</f>
        <v/>
      </c>
      <c r="J13" s="1780">
        <f>60/E13*G13</f>
        <v/>
      </c>
      <c r="K13" s="1780">
        <f>60/E13*H13</f>
        <v/>
      </c>
      <c r="L13" s="1775">
        <f>J13-K13</f>
        <v/>
      </c>
      <c r="M13" s="1769">
        <f>B13</f>
        <v/>
      </c>
      <c r="N13" s="1769">
        <f>H13*C13</f>
        <v/>
      </c>
      <c r="O13" s="1769">
        <f>M13-N13</f>
        <v/>
      </c>
    </row>
    <row r="14" ht="16" customHeight="1" s="1883" thickBot="1">
      <c r="A14" s="1782" t="inlineStr">
        <is>
          <t>Social Media Grassroots Influencer Per Post</t>
        </is>
      </c>
      <c r="B14" s="1783" t="n">
        <v>100</v>
      </c>
      <c r="C14" s="1767" t="n">
        <v>15</v>
      </c>
      <c r="D14" s="2105">
        <f>C14/365</f>
        <v/>
      </c>
      <c r="E14" s="1784" t="n">
        <v>3</v>
      </c>
      <c r="F14" s="1784">
        <f>C14*E14</f>
        <v/>
      </c>
      <c r="G14" s="1780">
        <f>B14/C14</f>
        <v/>
      </c>
      <c r="H14" s="1780">
        <f>E14*1</f>
        <v/>
      </c>
      <c r="I14" s="1780">
        <f>G14-H14</f>
        <v/>
      </c>
      <c r="J14" s="1780">
        <f>60/E14*G14</f>
        <v/>
      </c>
      <c r="K14" s="1780">
        <f>60/E14*H14</f>
        <v/>
      </c>
      <c r="L14" s="1780">
        <f>J14-K14</f>
        <v/>
      </c>
      <c r="M14" s="1769">
        <f>B49</f>
        <v/>
      </c>
      <c r="N14" s="1769">
        <f>H14*C14*0.75</f>
        <v/>
      </c>
      <c r="O14" s="1769">
        <f>M14-N14</f>
        <v/>
      </c>
    </row>
    <row r="15" ht="18" customHeight="1" s="1883" thickBot="1" thickTop="1">
      <c r="A15" s="1785" t="inlineStr">
        <is>
          <t>Totals</t>
        </is>
      </c>
      <c r="B15" s="1786" t="n"/>
      <c r="C15" s="1787">
        <f>SUM(C8:C14)</f>
        <v/>
      </c>
      <c r="D15" s="2106">
        <f>SUM(D8:D14)</f>
        <v/>
      </c>
      <c r="E15" s="1789">
        <f>AVERAGE(E10:E14)</f>
        <v/>
      </c>
      <c r="F15" s="1790">
        <f>SUM(F10:F14)</f>
        <v/>
      </c>
      <c r="G15" s="1791">
        <f>AVERAGE(G10:G14)</f>
        <v/>
      </c>
      <c r="H15" s="1791">
        <f>AVERAGE(H10:H14)</f>
        <v/>
      </c>
      <c r="I15" s="1791">
        <f>AVERAGE(I10:I14)</f>
        <v/>
      </c>
      <c r="J15" s="1791">
        <f>AVERAGE(J10:J14)</f>
        <v/>
      </c>
      <c r="K15" s="1791">
        <f>AVERAGE(K10:K14)</f>
        <v/>
      </c>
      <c r="L15" s="1792">
        <f>AVERAGE(L10:L14)</f>
        <v/>
      </c>
      <c r="M15" s="1793">
        <f>SUM(M4:M14)</f>
        <v/>
      </c>
      <c r="N15" s="1793">
        <f>SUM(N4:N14)</f>
        <v/>
      </c>
      <c r="O15" s="1794">
        <f>SUM(O4:O14)</f>
        <v/>
      </c>
    </row>
    <row r="16" ht="63" customHeight="1" s="1883" thickBot="1" thickTop="1">
      <c r="F16" s="1795" t="inlineStr">
        <is>
          <t>Average Total Time Spent Working in Free Phone Per Year Per User In Hours</t>
        </is>
      </c>
      <c r="N16" s="1796" t="n"/>
    </row>
    <row r="17" ht="18" customHeight="1" s="1883" thickBot="1" thickTop="1">
      <c r="A17" s="1797" t="inlineStr">
        <is>
          <t>Predictive Problem Solving</t>
        </is>
      </c>
      <c r="B17" s="1765" t="n"/>
      <c r="F17" s="1798">
        <f>F15/60</f>
        <v/>
      </c>
      <c r="N17" s="1799" t="inlineStr">
        <is>
          <t>Cost of Phone &amp; Logistics</t>
        </is>
      </c>
      <c r="O17" s="1800" t="n"/>
    </row>
    <row r="18" ht="16" customHeight="1" s="1883" thickTop="1">
      <c r="A18" s="1801" t="inlineStr">
        <is>
          <t>Per Year Per Client</t>
        </is>
      </c>
      <c r="B18" s="1771">
        <f>B4*12</f>
        <v/>
      </c>
      <c r="N18" s="1802" t="n">
        <v>628</v>
      </c>
      <c r="O18" s="1803" t="n"/>
    </row>
    <row r="19">
      <c r="A19" s="1801" t="inlineStr">
        <is>
          <t>Per Year of 50% of clients</t>
        </is>
      </c>
      <c r="B19" s="1771">
        <f>B18*(B2/2)</f>
        <v/>
      </c>
      <c r="C19" s="1804">
        <f>B2/2</f>
        <v/>
      </c>
      <c r="D19" s="1764" t="inlineStr">
        <is>
          <t>&lt;-- half client amount</t>
        </is>
      </c>
      <c r="N19" s="1805" t="inlineStr">
        <is>
          <t xml:space="preserve">Total Cost </t>
        </is>
      </c>
      <c r="O19" s="1803" t="inlineStr">
        <is>
          <t xml:space="preserve">Total profits </t>
        </is>
      </c>
    </row>
    <row r="20" ht="16" customHeight="1" s="1883" thickBot="1">
      <c r="A20" s="1801" t="inlineStr">
        <is>
          <t>Per Year of total clients</t>
        </is>
      </c>
      <c r="B20" s="1771">
        <f>B18*B2</f>
        <v/>
      </c>
      <c r="N20" s="1806">
        <f>N15+N18</f>
        <v/>
      </c>
      <c r="O20" s="1807">
        <f>M15-N20</f>
        <v/>
      </c>
    </row>
    <row r="21" ht="15.75" customHeight="1" s="1883" thickBot="1" thickTop="1">
      <c r="A21" s="1808" t="inlineStr">
        <is>
          <t>Total Predictive Problem Solving Monetization</t>
        </is>
      </c>
      <c r="B21" s="1765" t="n"/>
    </row>
    <row r="22" ht="15.75" customHeight="1" s="1883" thickBot="1" thickTop="1">
      <c r="A22" s="1809" t="inlineStr">
        <is>
          <t>Case 1: 50% of clients (Per User Per Year)</t>
        </is>
      </c>
      <c r="B22" s="1810">
        <f>B19/B3</f>
        <v/>
      </c>
      <c r="G22" s="1811" t="inlineStr">
        <is>
          <t>Assumption Per $1,000 in User Earnings</t>
        </is>
      </c>
      <c r="H22" s="1812" t="n"/>
      <c r="I22" s="1812" t="n"/>
      <c r="J22" s="1813" t="n"/>
      <c r="K22" s="1811" t="inlineStr">
        <is>
          <t>Assumption Per $100 in User Earnings</t>
        </is>
      </c>
      <c r="L22" s="1812" t="n"/>
      <c r="M22" s="1812" t="n"/>
      <c r="N22" s="1813" t="n"/>
    </row>
    <row r="23" ht="15.75" customHeight="1" s="1883" thickTop="1">
      <c r="A23" s="1809" t="inlineStr">
        <is>
          <t>Case 2: Total clients (Per User Per Year)</t>
        </is>
      </c>
      <c r="B23" s="1810">
        <f>B20/B3</f>
        <v/>
      </c>
      <c r="G23" s="1814" t="inlineStr">
        <is>
          <t>Average User Earnings Per Hour</t>
        </is>
      </c>
      <c r="I23" s="1815" t="n"/>
      <c r="J23" s="1816">
        <f>K15</f>
        <v/>
      </c>
      <c r="K23" s="1814" t="inlineStr">
        <is>
          <t>Average User Earnings Per Hour</t>
        </is>
      </c>
      <c r="M23" s="1815" t="n"/>
      <c r="N23" s="1816">
        <f>K15</f>
        <v/>
      </c>
    </row>
    <row r="24" ht="15.75" customHeight="1" s="1883">
      <c r="A24" s="1765" t="n"/>
      <c r="B24" s="1765" t="n"/>
      <c r="G24" s="1814" t="inlineStr">
        <is>
          <t>How Many Hours a User Must Work per Year to Generate $1,000</t>
        </is>
      </c>
      <c r="J24" s="1817">
        <f>1000/J23</f>
        <v/>
      </c>
      <c r="K24" s="1814" t="inlineStr">
        <is>
          <t>How Many Hours a User Must Work per Year to Generate $100</t>
        </is>
      </c>
      <c r="N24" s="2107">
        <f>100/N23</f>
        <v/>
      </c>
    </row>
    <row r="25" ht="15.75" customHeight="1" s="1883">
      <c r="A25" s="1765" t="n"/>
      <c r="B25" s="1765" t="n"/>
      <c r="G25" s="1819" t="inlineStr">
        <is>
          <t>How Many Hours a User Must Work per Month to Generate $1,000</t>
        </is>
      </c>
      <c r="J25" s="1820">
        <f>J24/12</f>
        <v/>
      </c>
      <c r="K25" s="1819" t="inlineStr">
        <is>
          <t>How Many Hours a User Must Work per Month to Generate $100</t>
        </is>
      </c>
      <c r="N25" s="2108">
        <f>N24/12</f>
        <v/>
      </c>
    </row>
    <row r="26" ht="15.75" customHeight="1" s="1883">
      <c r="A26" s="1797" t="inlineStr">
        <is>
          <t>App &amp; Mobile Monetization</t>
        </is>
      </c>
      <c r="B26" s="1765" t="n"/>
      <c r="G26" s="1822" t="inlineStr">
        <is>
          <t xml:space="preserve">$1,000 In User Earnings </t>
        </is>
      </c>
      <c r="H26" s="1823" t="n"/>
      <c r="I26" s="1823" t="n"/>
      <c r="J26" s="1824">
        <f>J23*J24</f>
        <v/>
      </c>
      <c r="K26" s="1822" t="inlineStr">
        <is>
          <t xml:space="preserve">$100 In User Earnings </t>
        </is>
      </c>
      <c r="L26" s="1823" t="n"/>
      <c r="M26" s="1823" t="n"/>
      <c r="N26" s="1824">
        <f>N23*N24</f>
        <v/>
      </c>
    </row>
    <row r="27" ht="15.75" customHeight="1" s="1883">
      <c r="A27" s="1801" t="inlineStr">
        <is>
          <t>Pre-Installed/Partner Application &amp; In-App Revenue</t>
        </is>
      </c>
      <c r="B27" s="1771">
        <f>B5</f>
        <v/>
      </c>
      <c r="G27" s="1814" t="inlineStr">
        <is>
          <t>Average Profit Per User Per Hour</t>
        </is>
      </c>
      <c r="J27" s="1825">
        <f>L15</f>
        <v/>
      </c>
      <c r="K27" s="1814" t="inlineStr">
        <is>
          <t>Average Profit Per User Per Hour</t>
        </is>
      </c>
      <c r="N27" s="1825">
        <f>L15</f>
        <v/>
      </c>
    </row>
    <row r="28" ht="15.75" customHeight="1" s="1883">
      <c r="A28" s="1801" t="inlineStr">
        <is>
          <t>Partner Mobile E-Commerce &amp; Pure Tech E-Commerce Revenue</t>
        </is>
      </c>
      <c r="B28" s="1771">
        <f>B6</f>
        <v/>
      </c>
      <c r="G28" s="1814" t="inlineStr">
        <is>
          <t>Revenue Per User Per $1,000 Earned BY the User</t>
        </is>
      </c>
      <c r="J28" s="1825">
        <f>J27*J24</f>
        <v/>
      </c>
      <c r="K28" s="1814" t="inlineStr">
        <is>
          <t>Revenue Per User Per $100 Earned BY the User</t>
        </is>
      </c>
      <c r="N28" s="1825">
        <f>N27*N24</f>
        <v/>
      </c>
    </row>
    <row r="29" ht="15.75" customHeight="1" s="1883" thickBot="1">
      <c r="A29" s="1801" t="inlineStr">
        <is>
          <t>Pure Technology Mobile Monetization Revenue</t>
        </is>
      </c>
      <c r="B29" s="1771">
        <f>B7</f>
        <v/>
      </c>
      <c r="G29" s="1826" t="inlineStr">
        <is>
          <t>Total PROFIT Per User Per $1,000 Earned BY the User</t>
        </is>
      </c>
      <c r="H29" s="1827" t="n"/>
      <c r="I29" s="1827" t="n"/>
      <c r="J29" s="1828">
        <f>J28-J26</f>
        <v/>
      </c>
      <c r="K29" s="1826" t="inlineStr">
        <is>
          <t>Total PROFIT Per User Per $100 Earned BY the User</t>
        </is>
      </c>
      <c r="L29" s="1827" t="n"/>
      <c r="M29" s="1827" t="n"/>
      <c r="N29" s="1828">
        <f>N28-N26</f>
        <v/>
      </c>
    </row>
    <row r="30" ht="15.75" customHeight="1" s="1883" thickBot="1" thickTop="1">
      <c r="A30" s="1808" t="inlineStr">
        <is>
          <t>Total Potential App &amp; Mobile Monetization (Per User Per Year)</t>
        </is>
      </c>
      <c r="B30" s="1810">
        <f>SUM(B27:B29)</f>
        <v/>
      </c>
      <c r="G30" s="1829" t="inlineStr">
        <is>
          <t>Extrapolated Assumptions based on how many hours they COULD work in our system!</t>
        </is>
      </c>
      <c r="H30" s="1830" t="n"/>
      <c r="I30" s="1830" t="n"/>
      <c r="J30" s="1831" t="n"/>
    </row>
    <row r="31" ht="15.75" customHeight="1" s="1883" thickBot="1" thickTop="1">
      <c r="A31" s="1765" t="n"/>
      <c r="B31" s="1765" t="n"/>
      <c r="G31" s="1964" t="inlineStr">
        <is>
          <t>If a user works a total of approx 100 hours in a year THEY EARN</t>
        </is>
      </c>
      <c r="H31" s="1965" t="n"/>
      <c r="I31" s="1966" t="n"/>
      <c r="J31" s="1832">
        <f>J23*100</f>
        <v/>
      </c>
    </row>
    <row r="32" ht="15.75" customHeight="1" s="1883" thickBot="1">
      <c r="A32" s="1765" t="n"/>
      <c r="B32" s="1765" t="n"/>
      <c r="G32" s="1958" t="inlineStr">
        <is>
          <t>If a user works a total of approx 100 hours in a year WE EARN</t>
        </is>
      </c>
      <c r="H32" s="1959" t="n"/>
      <c r="I32" s="1960" t="n"/>
      <c r="J32" s="1833">
        <f>J29*4.7</f>
        <v/>
      </c>
    </row>
    <row r="33" ht="15.75" customHeight="1" s="1883" thickBot="1">
      <c r="A33" s="1797" t="inlineStr">
        <is>
          <t>Market Research</t>
        </is>
      </c>
      <c r="B33" s="1765" t="n"/>
      <c r="G33" s="1967" t="inlineStr">
        <is>
          <t>If a user works a total of approx 150 hours in a year THEY EARN</t>
        </is>
      </c>
      <c r="H33" s="1959" t="n"/>
      <c r="I33" s="1960" t="n"/>
      <c r="J33" s="1834">
        <f>J23*150</f>
        <v/>
      </c>
    </row>
    <row r="34" ht="15.75" customHeight="1" s="1883" thickBot="1">
      <c r="A34" s="1801" t="inlineStr">
        <is>
          <t>Focus Groups &amp; Testing (Per User Per Year)</t>
        </is>
      </c>
      <c r="B34" s="1771">
        <f>B10</f>
        <v/>
      </c>
      <c r="G34" s="1958" t="inlineStr">
        <is>
          <t>If a user works a total of approx 150 hours in a year WE EARN</t>
        </is>
      </c>
      <c r="H34" s="1959" t="n"/>
      <c r="I34" s="1960" t="n"/>
      <c r="J34" s="1833">
        <f>J29*7.05</f>
        <v/>
      </c>
    </row>
    <row r="35" ht="15.75" customHeight="1" s="1883" thickBot="1">
      <c r="A35" s="1801" t="inlineStr">
        <is>
          <t>Mystery Shopping (Per User Per Year)</t>
        </is>
      </c>
      <c r="B35" s="1771">
        <f>B11</f>
        <v/>
      </c>
      <c r="G35" s="1967" t="inlineStr">
        <is>
          <t>If a user works a total of approx 200 hours in a year THEY EARN</t>
        </is>
      </c>
      <c r="H35" s="1959" t="n"/>
      <c r="I35" s="1960" t="n"/>
      <c r="J35" s="1834">
        <f>J23*200</f>
        <v/>
      </c>
    </row>
    <row r="36" ht="15.75" customHeight="1" s="1883" thickBot="1">
      <c r="A36" s="1801" t="inlineStr">
        <is>
          <t>Consumer Experience Studies (Per User Per Year)</t>
        </is>
      </c>
      <c r="B36" s="1771">
        <f>B12</f>
        <v/>
      </c>
      <c r="G36" s="1961" t="inlineStr">
        <is>
          <t>If a user works a total of approx 200 hours in a year WE EARN</t>
        </is>
      </c>
      <c r="H36" s="1962" t="n"/>
      <c r="I36" s="1963" t="n"/>
      <c r="J36" s="1835">
        <f>J29*9.4</f>
        <v/>
      </c>
    </row>
    <row r="37" ht="15.75" customHeight="1" s="1883" thickTop="1">
      <c r="A37" s="1801" t="inlineStr">
        <is>
          <t>All Different Surveys (Per User Per Year)</t>
        </is>
      </c>
      <c r="B37" s="1771">
        <f>B13</f>
        <v/>
      </c>
    </row>
    <row r="38" ht="15.75" customHeight="1" s="1883">
      <c r="A38" s="1797" t="inlineStr">
        <is>
          <t>Total Potential Market Research Revenue (Per User Per Year)</t>
        </is>
      </c>
      <c r="B38" s="1836">
        <f>SUM(B34:B37)</f>
        <v/>
      </c>
      <c r="C38" s="1764" t="inlineStr">
        <is>
          <t>&lt;-- THE MAGIC NUMBER</t>
        </is>
      </c>
    </row>
    <row r="39" ht="15.75" customHeight="1" s="1883">
      <c r="A39" s="1765" t="n"/>
      <c r="B39" s="1765" t="n"/>
    </row>
    <row r="40" ht="15.75" customHeight="1" s="1883">
      <c r="A40" s="1765" t="n"/>
      <c r="B40" s="1765" t="n"/>
    </row>
    <row r="41" ht="15.75" customHeight="1" s="1883">
      <c r="A41" s="1797" t="inlineStr">
        <is>
          <t xml:space="preserve">Retarget Marketing &amp; Advertising </t>
        </is>
      </c>
      <c r="B41" s="1765" t="n"/>
    </row>
    <row r="42" ht="15.75" customHeight="1" s="1883">
      <c r="A42" s="1801" t="inlineStr">
        <is>
          <t>User Marketing Revenue (Per User Per Year)</t>
        </is>
      </c>
      <c r="B42" s="1771">
        <f>B8</f>
        <v/>
      </c>
    </row>
    <row r="43" ht="15.75" customHeight="1" s="1883">
      <c r="A43" s="1797" t="inlineStr">
        <is>
          <t>Total User Marketing Revenue (Per User Per Year)</t>
        </is>
      </c>
      <c r="B43" s="1810">
        <f>B42</f>
        <v/>
      </c>
    </row>
    <row r="44" ht="15.75" customHeight="1" s="1883">
      <c r="A44" s="1765" t="n"/>
      <c r="B44" s="1765" t="n"/>
    </row>
    <row r="45" ht="15.75" customHeight="1" s="1883">
      <c r="A45" s="1765" t="n"/>
      <c r="B45" s="1765" t="n"/>
    </row>
    <row r="46" ht="15.75" customHeight="1" s="1883">
      <c r="A46" s="1797" t="inlineStr">
        <is>
          <t>Promoters (Social media grassroots influencers)</t>
        </is>
      </c>
      <c r="B46" s="1765" t="n"/>
    </row>
    <row r="47" ht="15.75" customHeight="1" s="1883">
      <c r="A47" s="1801" t="inlineStr">
        <is>
          <t>Target frequency (Per User Per Year)</t>
        </is>
      </c>
      <c r="B47" s="1765">
        <f>C14</f>
        <v/>
      </c>
    </row>
    <row r="48" ht="15.75" customHeight="1" s="1883">
      <c r="A48" s="1801" t="inlineStr">
        <is>
          <t>Per Post</t>
        </is>
      </c>
      <c r="B48" s="1771">
        <f>G14</f>
        <v/>
      </c>
    </row>
    <row r="49" ht="15.75" customHeight="1" s="1883">
      <c r="A49" s="1797" t="inlineStr">
        <is>
          <t>Total Promoter Revenue</t>
        </is>
      </c>
      <c r="B49" s="1810">
        <f>B47*B48*0.75</f>
        <v/>
      </c>
    </row>
    <row r="50" ht="15.75" customHeight="1" s="1883">
      <c r="A50" s="1765" t="n"/>
      <c r="B50" s="1765" t="n"/>
    </row>
    <row r="51" ht="15.75" customHeight="1" s="1883">
      <c r="A51" s="1765" t="n"/>
      <c r="B51" s="1765" t="n"/>
    </row>
    <row r="52" ht="15.75" customHeight="1" s="1883">
      <c r="A52" s="1797" t="inlineStr">
        <is>
          <t>Sales</t>
        </is>
      </c>
      <c r="B52" s="1765" t="n"/>
    </row>
    <row r="53" ht="15.75" customHeight="1" s="1883">
      <c r="A53" s="1801" t="inlineStr">
        <is>
          <t>Sales Revenue (Per User Per Year)</t>
        </is>
      </c>
      <c r="B53" s="1771">
        <f>B9</f>
        <v/>
      </c>
    </row>
    <row r="54" ht="15.75" customHeight="1" s="1883">
      <c r="A54" s="1797" t="inlineStr">
        <is>
          <t>Total Sales (Per User Per Year)</t>
        </is>
      </c>
      <c r="B54" s="1810">
        <f>B53</f>
        <v/>
      </c>
    </row>
    <row r="55" ht="15.75" customHeight="1" s="1883"/>
    <row r="56" ht="15.75" customHeight="1" s="1883"/>
    <row r="57" ht="15.75" customHeight="1" s="1883"/>
    <row r="58" ht="15.75" customHeight="1" s="1883"/>
    <row r="59" ht="15.75" customHeight="1" s="1883"/>
    <row r="60" ht="15.75" customHeight="1" s="1883"/>
    <row r="61" ht="15.75" customHeight="1" s="1883"/>
    <row r="62" ht="15.75" customHeight="1" s="1883"/>
    <row r="63" ht="15.75" customHeight="1" s="1883"/>
    <row r="64" ht="15.75" customHeight="1" s="1883"/>
    <row r="65" ht="15.75" customHeight="1" s="1883"/>
    <row r="66" ht="15.75" customHeight="1" s="1883"/>
    <row r="67" ht="15.75" customHeight="1" s="1883"/>
    <row r="68" ht="15.75" customHeight="1" s="1883"/>
    <row r="69" ht="15.75" customHeight="1" s="1883"/>
    <row r="70" ht="15.75" customHeight="1" s="1883"/>
    <row r="71" ht="15.75" customHeight="1" s="1883"/>
    <row r="72" ht="15.75" customHeight="1" s="1883"/>
    <row r="73" ht="15.75" customHeight="1" s="1883"/>
    <row r="74" ht="15.75" customHeight="1" s="1883"/>
    <row r="75" ht="15.75" customHeight="1" s="1883"/>
    <row r="76" ht="15.75" customHeight="1" s="1883"/>
    <row r="77" ht="15.75" customHeight="1" s="1883"/>
    <row r="78" ht="15.75" customHeight="1" s="1883"/>
    <row r="79" ht="15.75" customHeight="1" s="1883"/>
    <row r="80" ht="15.75" customHeight="1" s="1883"/>
    <row r="81" ht="15.75" customHeight="1" s="1883"/>
    <row r="82" ht="15.75" customHeight="1" s="1883"/>
    <row r="83" ht="15.75" customHeight="1" s="1883"/>
    <row r="84" ht="15.75" customHeight="1" s="1883"/>
    <row r="85" ht="15.75" customHeight="1" s="1883"/>
    <row r="86" ht="15.75" customHeight="1" s="1883"/>
    <row r="87" ht="15.75" customHeight="1" s="1883"/>
    <row r="88" ht="15.75" customHeight="1" s="1883"/>
    <row r="89" ht="15.75" customHeight="1" s="1883"/>
    <row r="90" ht="15.75" customHeight="1" s="1883"/>
    <row r="91" ht="15.75" customHeight="1" s="1883"/>
    <row r="92" ht="15.75" customHeight="1" s="1883"/>
    <row r="93" ht="15.75" customHeight="1" s="1883"/>
    <row r="94" ht="15.75" customHeight="1" s="1883"/>
    <row r="95" ht="15.75" customHeight="1" s="1883"/>
    <row r="96" ht="15.75" customHeight="1" s="1883"/>
    <row r="97" ht="15.75" customHeight="1" s="1883"/>
    <row r="98" ht="15.75" customHeight="1" s="1883"/>
    <row r="99" ht="15.75" customHeight="1" s="1883"/>
    <row r="100" ht="15.75" customHeight="1" s="1883"/>
    <row r="101" ht="15.75" customHeight="1" s="1883"/>
    <row r="102" ht="15.75" customHeight="1" s="1883"/>
    <row r="103" ht="15.75" customHeight="1" s="1883"/>
    <row r="104" ht="15.75" customHeight="1" s="1883"/>
    <row r="105" ht="15.75" customHeight="1" s="1883"/>
    <row r="106" ht="15.75" customHeight="1" s="1883"/>
    <row r="107" ht="15.75" customHeight="1" s="1883"/>
    <row r="108" ht="15.75" customHeight="1" s="1883"/>
    <row r="109" ht="15.75" customHeight="1" s="1883"/>
    <row r="110" ht="15.75" customHeight="1" s="1883"/>
    <row r="111" ht="15.75" customHeight="1" s="1883"/>
    <row r="112" ht="15.75" customHeight="1" s="1883"/>
    <row r="113" ht="15.75" customHeight="1" s="1883"/>
    <row r="114" ht="15.75" customHeight="1" s="1883"/>
    <row r="115" ht="15.75" customHeight="1" s="1883"/>
    <row r="116" ht="15.75" customHeight="1" s="1883"/>
    <row r="117" ht="15.75" customHeight="1" s="1883"/>
    <row r="118" ht="15.75" customHeight="1" s="1883"/>
    <row r="119" ht="15.75" customHeight="1" s="1883"/>
    <row r="120" ht="15.75" customHeight="1" s="1883"/>
    <row r="121" ht="15.75" customHeight="1" s="1883"/>
    <row r="122" ht="15.75" customHeight="1" s="1883"/>
    <row r="123" ht="15.75" customHeight="1" s="1883"/>
    <row r="124" ht="15.75" customHeight="1" s="1883"/>
    <row r="125" ht="15.75" customHeight="1" s="1883"/>
    <row r="126" ht="15.75" customHeight="1" s="1883"/>
    <row r="127" ht="15.75" customHeight="1" s="1883"/>
    <row r="128" ht="15.75" customHeight="1" s="1883"/>
    <row r="129" ht="15.75" customHeight="1" s="1883"/>
    <row r="130" ht="15.75" customHeight="1" s="1883"/>
    <row r="131" ht="15.75" customHeight="1" s="1883"/>
    <row r="132" ht="15.75" customHeight="1" s="1883"/>
    <row r="133" ht="15.75" customHeight="1" s="1883"/>
    <row r="134" ht="15.75" customHeight="1" s="1883"/>
    <row r="135" ht="15.75" customHeight="1" s="1883"/>
    <row r="136" ht="15.75" customHeight="1" s="1883"/>
    <row r="137" ht="15.75" customHeight="1" s="1883"/>
    <row r="138" ht="15.75" customHeight="1" s="1883"/>
    <row r="139" ht="15.75" customHeight="1" s="1883"/>
    <row r="140" ht="15.75" customHeight="1" s="1883"/>
    <row r="141" ht="15.75" customHeight="1" s="1883"/>
    <row r="142" ht="15.75" customHeight="1" s="1883"/>
    <row r="143" ht="15.75" customHeight="1" s="1883"/>
    <row r="144" ht="15.75" customHeight="1" s="1883"/>
    <row r="145" ht="15.75" customHeight="1" s="1883"/>
    <row r="146" ht="15.75" customHeight="1" s="1883"/>
    <row r="147" ht="15.75" customHeight="1" s="1883"/>
    <row r="148" ht="15.75" customHeight="1" s="1883"/>
    <row r="149" ht="15.75" customHeight="1" s="1883"/>
    <row r="150" ht="15.75" customHeight="1" s="1883"/>
    <row r="151" ht="15.75" customHeight="1" s="1883"/>
    <row r="152" ht="15.75" customHeight="1" s="1883"/>
    <row r="153" ht="15.75" customHeight="1" s="1883"/>
    <row r="154" ht="15.75" customHeight="1" s="1883"/>
    <row r="155" ht="15.75" customHeight="1" s="1883"/>
    <row r="156" ht="15.75" customHeight="1" s="1883"/>
    <row r="157" ht="15.75" customHeight="1" s="1883"/>
    <row r="158" ht="15.75" customHeight="1" s="1883"/>
    <row r="159" ht="15.75" customHeight="1" s="1883"/>
    <row r="160" ht="15.75" customHeight="1" s="1883"/>
    <row r="161" ht="15.75" customHeight="1" s="1883"/>
    <row r="162" ht="15.75" customHeight="1" s="1883"/>
    <row r="163" ht="15.75" customHeight="1" s="1883"/>
    <row r="164" ht="15.75" customHeight="1" s="1883"/>
    <row r="165" ht="15.75" customHeight="1" s="1883"/>
    <row r="166" ht="15.75" customHeight="1" s="1883"/>
    <row r="167" ht="15.75" customHeight="1" s="1883"/>
    <row r="168" ht="15.75" customHeight="1" s="1883"/>
    <row r="169" ht="15.75" customHeight="1" s="1883"/>
    <row r="170" ht="15.75" customHeight="1" s="1883"/>
    <row r="171" ht="15.75" customHeight="1" s="1883"/>
    <row r="172" ht="15.75" customHeight="1" s="1883"/>
    <row r="173" ht="15.75" customHeight="1" s="1883"/>
    <row r="174" ht="15.75" customHeight="1" s="1883"/>
    <row r="175" ht="15.75" customHeight="1" s="1883"/>
    <row r="176" ht="15.75" customHeight="1" s="1883"/>
    <row r="177" ht="15.75" customHeight="1" s="1883"/>
    <row r="178" ht="15.75" customHeight="1" s="1883"/>
    <row r="179" ht="15.75" customHeight="1" s="1883"/>
    <row r="180" ht="15.75" customHeight="1" s="1883"/>
    <row r="181" ht="15.75" customHeight="1" s="1883"/>
    <row r="182" ht="15.75" customHeight="1" s="1883"/>
    <row r="183" ht="15.75" customHeight="1" s="1883"/>
    <row r="184" ht="15.75" customHeight="1" s="1883"/>
    <row r="185" ht="15.75" customHeight="1" s="1883"/>
    <row r="186" ht="15.75" customHeight="1" s="1883"/>
    <row r="187" ht="15.75" customHeight="1" s="1883"/>
    <row r="188" ht="15.75" customHeight="1" s="1883"/>
    <row r="189" ht="15.75" customHeight="1" s="1883"/>
    <row r="190" ht="15.75" customHeight="1" s="1883"/>
    <row r="191" ht="15.75" customHeight="1" s="1883"/>
    <row r="192" ht="15.75" customHeight="1" s="1883"/>
    <row r="193" ht="15.75" customHeight="1" s="1883"/>
    <row r="194" ht="15.75" customHeight="1" s="1883"/>
    <row r="195" ht="15.75" customHeight="1" s="1883"/>
    <row r="196" ht="15.75" customHeight="1" s="1883"/>
    <row r="197" ht="15.75" customHeight="1" s="1883"/>
    <row r="198" ht="15.75" customHeight="1" s="1883"/>
    <row r="199" ht="15.75" customHeight="1" s="1883"/>
    <row r="200" ht="15.75" customHeight="1" s="1883"/>
    <row r="201" ht="15.75" customHeight="1" s="1883"/>
    <row r="202" ht="15.75" customHeight="1" s="1883"/>
    <row r="203" ht="15.75" customHeight="1" s="1883"/>
    <row r="204" ht="15.75" customHeight="1" s="1883"/>
    <row r="205" ht="15.75" customHeight="1" s="1883"/>
    <row r="206" ht="15.75" customHeight="1" s="1883"/>
    <row r="207" ht="15.75" customHeight="1" s="1883"/>
    <row r="208" ht="15.75" customHeight="1" s="1883"/>
    <row r="209" ht="15.75" customHeight="1" s="1883"/>
    <row r="210" ht="15.75" customHeight="1" s="1883"/>
    <row r="211" ht="15.75" customHeight="1" s="1883"/>
    <row r="212" ht="15.75" customHeight="1" s="1883"/>
    <row r="213" ht="15.75" customHeight="1" s="1883"/>
    <row r="214" ht="15.75" customHeight="1" s="1883"/>
    <row r="215" ht="15.75" customHeight="1" s="1883"/>
    <row r="216" ht="15.75" customHeight="1" s="1883"/>
    <row r="217" ht="15.75" customHeight="1" s="1883"/>
    <row r="218" ht="15.75" customHeight="1" s="1883"/>
    <row r="219" ht="15.75" customHeight="1" s="1883"/>
    <row r="220" ht="15.75" customHeight="1" s="1883"/>
    <row r="221" ht="15.75" customHeight="1" s="1883"/>
    <row r="222" ht="15.75" customHeight="1" s="1883"/>
    <row r="223" ht="15.75" customHeight="1" s="1883"/>
    <row r="224" ht="15.75" customHeight="1" s="1883"/>
    <row r="225" ht="15.75" customHeight="1" s="1883"/>
    <row r="226" ht="15.75" customHeight="1" s="1883"/>
    <row r="227" ht="15.75" customHeight="1" s="1883"/>
    <row r="228" ht="15.75" customHeight="1" s="1883"/>
    <row r="229" ht="15.75" customHeight="1" s="1883"/>
    <row r="230" ht="15.75" customHeight="1" s="1883"/>
    <row r="231" ht="15.75" customHeight="1" s="1883"/>
    <row r="232" ht="15.75" customHeight="1" s="1883"/>
    <row r="233" ht="15.75" customHeight="1" s="1883"/>
    <row r="234" ht="15.75" customHeight="1" s="1883"/>
    <row r="235" ht="15.75" customHeight="1" s="1883"/>
    <row r="236" ht="15.75" customHeight="1" s="1883"/>
    <row r="237" ht="15.75" customHeight="1" s="1883"/>
    <row r="238" ht="15.75" customHeight="1" s="1883"/>
    <row r="239" ht="15.75" customHeight="1" s="1883"/>
    <row r="240" ht="15.75" customHeight="1" s="1883"/>
    <row r="241" ht="15.75" customHeight="1" s="1883"/>
    <row r="242" ht="15.75" customHeight="1" s="1883"/>
    <row r="243" ht="15.75" customHeight="1" s="1883"/>
    <row r="244" ht="15.75" customHeight="1" s="1883"/>
    <row r="245" ht="15.75" customHeight="1" s="1883"/>
    <row r="246" ht="15.75" customHeight="1" s="1883"/>
    <row r="247" ht="15.75" customHeight="1" s="1883"/>
    <row r="248" ht="15.75" customHeight="1" s="1883"/>
    <row r="249" ht="15.75" customHeight="1" s="1883"/>
    <row r="250" ht="15.75" customHeight="1" s="1883"/>
    <row r="251" ht="15.75" customHeight="1" s="1883"/>
    <row r="252" ht="15.75" customHeight="1" s="1883"/>
    <row r="253" ht="15.75" customHeight="1" s="1883"/>
    <row r="254" ht="15.75" customHeight="1" s="1883"/>
    <row r="255" ht="15.75" customHeight="1" s="1883"/>
    <row r="256" ht="15.75" customHeight="1" s="1883"/>
    <row r="257" ht="15.75" customHeight="1" s="1883"/>
    <row r="258" ht="15.75" customHeight="1" s="1883"/>
    <row r="259" ht="15.75" customHeight="1" s="1883"/>
    <row r="260" ht="15.75" customHeight="1" s="1883"/>
    <row r="261" ht="15.75" customHeight="1" s="1883"/>
    <row r="262" ht="15.75" customHeight="1" s="1883"/>
    <row r="263" ht="15.75" customHeight="1" s="1883"/>
    <row r="264" ht="15.75" customHeight="1" s="1883"/>
    <row r="265" ht="15.75" customHeight="1" s="1883"/>
    <row r="266" ht="15.75" customHeight="1" s="1883"/>
    <row r="267" ht="15.75" customHeight="1" s="1883"/>
    <row r="268" ht="15.75" customHeight="1" s="1883"/>
    <row r="269" ht="15.75" customHeight="1" s="1883"/>
    <row r="270" ht="15.75" customHeight="1" s="1883"/>
    <row r="271" ht="15.75" customHeight="1" s="1883"/>
    <row r="272" ht="15.75" customHeight="1" s="1883"/>
    <row r="273" ht="15.75" customHeight="1" s="1883"/>
    <row r="274" ht="15.75" customHeight="1" s="1883"/>
    <row r="275" ht="15.75" customHeight="1" s="1883"/>
    <row r="276" ht="15.75" customHeight="1" s="1883"/>
    <row r="277" ht="15.75" customHeight="1" s="1883"/>
    <row r="278" ht="15.75" customHeight="1" s="1883"/>
    <row r="279" ht="15.75" customHeight="1" s="1883"/>
    <row r="280" ht="15.75" customHeight="1" s="1883"/>
    <row r="281" ht="15.75" customHeight="1" s="1883"/>
    <row r="282" ht="15.75" customHeight="1" s="1883"/>
    <row r="283" ht="15.75" customHeight="1" s="1883"/>
    <row r="284" ht="15.75" customHeight="1" s="1883"/>
    <row r="285" ht="15.75" customHeight="1" s="1883"/>
    <row r="286" ht="15.75" customHeight="1" s="1883"/>
    <row r="287" ht="15.75" customHeight="1" s="1883"/>
    <row r="288" ht="15.75" customHeight="1" s="1883"/>
    <row r="289" ht="15.75" customHeight="1" s="1883"/>
    <row r="290" ht="15.75" customHeight="1" s="1883"/>
    <row r="291" ht="15.75" customHeight="1" s="1883"/>
    <row r="292" ht="15.75" customHeight="1" s="1883"/>
    <row r="293" ht="15.75" customHeight="1" s="1883"/>
    <row r="294" ht="15.75" customHeight="1" s="1883"/>
    <row r="295" ht="15.75" customHeight="1" s="1883"/>
    <row r="296" ht="15.75" customHeight="1" s="1883"/>
    <row r="297" ht="15.75" customHeight="1" s="1883"/>
    <row r="298" ht="15.75" customHeight="1" s="1883"/>
    <row r="299" ht="15.75" customHeight="1" s="1883"/>
    <row r="300" ht="15.75" customHeight="1" s="1883"/>
    <row r="301" ht="15.75" customHeight="1" s="1883"/>
    <row r="302" ht="15.75" customHeight="1" s="1883"/>
    <row r="303" ht="15.75" customHeight="1" s="1883"/>
    <row r="304" ht="15.75" customHeight="1" s="1883"/>
    <row r="305" ht="15.75" customHeight="1" s="1883"/>
    <row r="306" ht="15.75" customHeight="1" s="1883"/>
    <row r="307" ht="15.75" customHeight="1" s="1883"/>
    <row r="308" ht="15.75" customHeight="1" s="1883"/>
    <row r="309" ht="15.75" customHeight="1" s="1883"/>
    <row r="310" ht="15.75" customHeight="1" s="1883"/>
    <row r="311" ht="15.75" customHeight="1" s="1883"/>
    <row r="312" ht="15.75" customHeight="1" s="1883"/>
    <row r="313" ht="15.75" customHeight="1" s="1883"/>
    <row r="314" ht="15.75" customHeight="1" s="1883"/>
    <row r="315" ht="15.75" customHeight="1" s="1883"/>
    <row r="316" ht="15.75" customHeight="1" s="1883"/>
    <row r="317" ht="15.75" customHeight="1" s="1883"/>
    <row r="318" ht="15.75" customHeight="1" s="1883"/>
    <row r="319" ht="15.75" customHeight="1" s="1883"/>
    <row r="320" ht="15.75" customHeight="1" s="1883"/>
    <row r="321" ht="15.75" customHeight="1" s="1883"/>
    <row r="322" ht="15.75" customHeight="1" s="1883"/>
    <row r="323" ht="15.75" customHeight="1" s="1883"/>
    <row r="324" ht="15.75" customHeight="1" s="1883"/>
    <row r="325" ht="15.75" customHeight="1" s="1883"/>
    <row r="326" ht="15.75" customHeight="1" s="1883"/>
    <row r="327" ht="15.75" customHeight="1" s="1883"/>
    <row r="328" ht="15.75" customHeight="1" s="1883"/>
    <row r="329" ht="15.75" customHeight="1" s="1883"/>
    <row r="330" ht="15.75" customHeight="1" s="1883"/>
    <row r="331" ht="15.75" customHeight="1" s="1883"/>
    <row r="332" ht="15.75" customHeight="1" s="1883"/>
    <row r="333" ht="15.75" customHeight="1" s="1883"/>
    <row r="334" ht="15.75" customHeight="1" s="1883"/>
    <row r="335" ht="15.75" customHeight="1" s="1883"/>
    <row r="336" ht="15.75" customHeight="1" s="1883"/>
    <row r="337" ht="15.75" customHeight="1" s="1883"/>
    <row r="338" ht="15.75" customHeight="1" s="1883"/>
    <row r="339" ht="15.75" customHeight="1" s="1883"/>
    <row r="340" ht="15.75" customHeight="1" s="1883"/>
    <row r="341" ht="15.75" customHeight="1" s="1883"/>
    <row r="342" ht="15.75" customHeight="1" s="1883"/>
    <row r="343" ht="15.75" customHeight="1" s="1883"/>
    <row r="344" ht="15.75" customHeight="1" s="1883"/>
    <row r="345" ht="15.75" customHeight="1" s="1883"/>
    <row r="346" ht="15.75" customHeight="1" s="1883"/>
    <row r="347" ht="15.75" customHeight="1" s="1883"/>
    <row r="348" ht="15.75" customHeight="1" s="1883"/>
    <row r="349" ht="15.75" customHeight="1" s="1883"/>
    <row r="350" ht="15.75" customHeight="1" s="1883"/>
    <row r="351" ht="15.75" customHeight="1" s="1883"/>
    <row r="352" ht="15.75" customHeight="1" s="1883"/>
    <row r="353" ht="15.75" customHeight="1" s="1883"/>
    <row r="354" ht="15.75" customHeight="1" s="1883"/>
    <row r="355" ht="15.75" customHeight="1" s="1883"/>
    <row r="356" ht="15.75" customHeight="1" s="1883"/>
    <row r="357" ht="15.75" customHeight="1" s="1883"/>
    <row r="358" ht="15.75" customHeight="1" s="1883"/>
    <row r="359" ht="15.75" customHeight="1" s="1883"/>
    <row r="360" ht="15.75" customHeight="1" s="1883"/>
    <row r="361" ht="15.75" customHeight="1" s="1883"/>
    <row r="362" ht="15.75" customHeight="1" s="1883"/>
    <row r="363" ht="15.75" customHeight="1" s="1883"/>
    <row r="364" ht="15.75" customHeight="1" s="1883"/>
    <row r="365" ht="15.75" customHeight="1" s="1883"/>
    <row r="366" ht="15.75" customHeight="1" s="1883"/>
    <row r="367" ht="15.75" customHeight="1" s="1883"/>
    <row r="368" ht="15.75" customHeight="1" s="1883"/>
    <row r="369" ht="15.75" customHeight="1" s="1883"/>
    <row r="370" ht="15.75" customHeight="1" s="1883"/>
    <row r="371" ht="15.75" customHeight="1" s="1883"/>
    <row r="372" ht="15.75" customHeight="1" s="1883"/>
    <row r="373" ht="15.75" customHeight="1" s="1883"/>
    <row r="374" ht="15.75" customHeight="1" s="1883"/>
    <row r="375" ht="15.75" customHeight="1" s="1883"/>
    <row r="376" ht="15.75" customHeight="1" s="1883"/>
    <row r="377" ht="15.75" customHeight="1" s="1883"/>
    <row r="378" ht="15.75" customHeight="1" s="1883"/>
    <row r="379" ht="15.75" customHeight="1" s="1883"/>
    <row r="380" ht="15.75" customHeight="1" s="1883"/>
    <row r="381" ht="15.75" customHeight="1" s="1883"/>
    <row r="382" ht="15.75" customHeight="1" s="1883"/>
    <row r="383" ht="15.75" customHeight="1" s="1883"/>
    <row r="384" ht="15.75" customHeight="1" s="1883"/>
    <row r="385" ht="15.75" customHeight="1" s="1883"/>
    <row r="386" ht="15.75" customHeight="1" s="1883"/>
    <row r="387" ht="15.75" customHeight="1" s="1883"/>
    <row r="388" ht="15.75" customHeight="1" s="1883"/>
    <row r="389" ht="15.75" customHeight="1" s="1883"/>
    <row r="390" ht="15.75" customHeight="1" s="1883"/>
    <row r="391" ht="15.75" customHeight="1" s="1883"/>
    <row r="392" ht="15.75" customHeight="1" s="1883"/>
    <row r="393" ht="15.75" customHeight="1" s="1883"/>
    <row r="394" ht="15.75" customHeight="1" s="1883"/>
    <row r="395" ht="15.75" customHeight="1" s="1883"/>
    <row r="396" ht="15.75" customHeight="1" s="1883"/>
    <row r="397" ht="15.75" customHeight="1" s="1883"/>
    <row r="398" ht="15.75" customHeight="1" s="1883"/>
    <row r="399" ht="15.75" customHeight="1" s="1883"/>
    <row r="400" ht="15.75" customHeight="1" s="1883"/>
    <row r="401" ht="15.75" customHeight="1" s="1883"/>
    <row r="402" ht="15.75" customHeight="1" s="1883"/>
    <row r="403" ht="15.75" customHeight="1" s="1883"/>
    <row r="404" ht="15.75" customHeight="1" s="1883"/>
    <row r="405" ht="15.75" customHeight="1" s="1883"/>
    <row r="406" ht="15.75" customHeight="1" s="1883"/>
    <row r="407" ht="15.75" customHeight="1" s="1883"/>
    <row r="408" ht="15.75" customHeight="1" s="1883"/>
    <row r="409" ht="15.75" customHeight="1" s="1883"/>
    <row r="410" ht="15.75" customHeight="1" s="1883"/>
    <row r="411" ht="15.75" customHeight="1" s="1883"/>
    <row r="412" ht="15.75" customHeight="1" s="1883"/>
    <row r="413" ht="15.75" customHeight="1" s="1883"/>
    <row r="414" ht="15.75" customHeight="1" s="1883"/>
    <row r="415" ht="15.75" customHeight="1" s="1883"/>
    <row r="416" ht="15.75" customHeight="1" s="1883"/>
    <row r="417" ht="15.75" customHeight="1" s="1883"/>
    <row r="418" ht="15.75" customHeight="1" s="1883"/>
    <row r="419" ht="15.75" customHeight="1" s="1883"/>
    <row r="420" ht="15.75" customHeight="1" s="1883"/>
    <row r="421" ht="15.75" customHeight="1" s="1883"/>
    <row r="422" ht="15.75" customHeight="1" s="1883"/>
    <row r="423" ht="15.75" customHeight="1" s="1883"/>
    <row r="424" ht="15.75" customHeight="1" s="1883"/>
    <row r="425" ht="15.75" customHeight="1" s="1883"/>
    <row r="426" ht="15.75" customHeight="1" s="1883"/>
    <row r="427" ht="15.75" customHeight="1" s="1883"/>
    <row r="428" ht="15.75" customHeight="1" s="1883"/>
    <row r="429" ht="15.75" customHeight="1" s="1883"/>
    <row r="430" ht="15.75" customHeight="1" s="1883"/>
    <row r="431" ht="15.75" customHeight="1" s="1883"/>
    <row r="432" ht="15.75" customHeight="1" s="1883"/>
    <row r="433" ht="15.75" customHeight="1" s="1883"/>
    <row r="434" ht="15.75" customHeight="1" s="1883"/>
    <row r="435" ht="15.75" customHeight="1" s="1883"/>
    <row r="436" ht="15.75" customHeight="1" s="1883"/>
    <row r="437" ht="15.75" customHeight="1" s="1883"/>
    <row r="438" ht="15.75" customHeight="1" s="1883"/>
    <row r="439" ht="15.75" customHeight="1" s="1883"/>
    <row r="440" ht="15.75" customHeight="1" s="1883"/>
    <row r="441" ht="15.75" customHeight="1" s="1883"/>
    <row r="442" ht="15.75" customHeight="1" s="1883"/>
    <row r="443" ht="15.75" customHeight="1" s="1883"/>
    <row r="444" ht="15.75" customHeight="1" s="1883"/>
    <row r="445" ht="15.75" customHeight="1" s="1883"/>
    <row r="446" ht="15.75" customHeight="1" s="1883"/>
    <row r="447" ht="15.75" customHeight="1" s="1883"/>
    <row r="448" ht="15.75" customHeight="1" s="1883"/>
    <row r="449" ht="15.75" customHeight="1" s="1883"/>
    <row r="450" ht="15.75" customHeight="1" s="1883"/>
    <row r="451" ht="15.75" customHeight="1" s="1883"/>
    <row r="452" ht="15.75" customHeight="1" s="1883"/>
    <row r="453" ht="15.75" customHeight="1" s="1883"/>
    <row r="454" ht="15.75" customHeight="1" s="1883"/>
    <row r="455" ht="15.75" customHeight="1" s="1883"/>
    <row r="456" ht="15.75" customHeight="1" s="1883"/>
    <row r="457" ht="15.75" customHeight="1" s="1883"/>
    <row r="458" ht="15.75" customHeight="1" s="1883"/>
    <row r="459" ht="15.75" customHeight="1" s="1883"/>
    <row r="460" ht="15.75" customHeight="1" s="1883"/>
    <row r="461" ht="15.75" customHeight="1" s="1883"/>
    <row r="462" ht="15.75" customHeight="1" s="1883"/>
    <row r="463" ht="15.75" customHeight="1" s="1883"/>
    <row r="464" ht="15.75" customHeight="1" s="1883"/>
    <row r="465" ht="15.75" customHeight="1" s="1883"/>
    <row r="466" ht="15.75" customHeight="1" s="1883"/>
    <row r="467" ht="15.75" customHeight="1" s="1883"/>
    <row r="468" ht="15.75" customHeight="1" s="1883"/>
    <row r="469" ht="15.75" customHeight="1" s="1883"/>
    <row r="470" ht="15.75" customHeight="1" s="1883"/>
    <row r="471" ht="15.75" customHeight="1" s="1883"/>
    <row r="472" ht="15.75" customHeight="1" s="1883"/>
    <row r="473" ht="15.75" customHeight="1" s="1883"/>
    <row r="474" ht="15.75" customHeight="1" s="1883"/>
    <row r="475" ht="15.75" customHeight="1" s="1883"/>
    <row r="476" ht="15.75" customHeight="1" s="1883"/>
    <row r="477" ht="15.75" customHeight="1" s="1883"/>
    <row r="478" ht="15.75" customHeight="1" s="1883"/>
    <row r="479" ht="15.75" customHeight="1" s="1883"/>
    <row r="480" ht="15.75" customHeight="1" s="1883"/>
    <row r="481" ht="15.75" customHeight="1" s="1883"/>
    <row r="482" ht="15.75" customHeight="1" s="1883"/>
    <row r="483" ht="15.75" customHeight="1" s="1883"/>
    <row r="484" ht="15.75" customHeight="1" s="1883"/>
    <row r="485" ht="15.75" customHeight="1" s="1883"/>
    <row r="486" ht="15.75" customHeight="1" s="1883"/>
    <row r="487" ht="15.75" customHeight="1" s="1883"/>
    <row r="488" ht="15.75" customHeight="1" s="1883"/>
    <row r="489" ht="15.75" customHeight="1" s="1883"/>
    <row r="490" ht="15.75" customHeight="1" s="1883"/>
    <row r="491" ht="15.75" customHeight="1" s="1883"/>
    <row r="492" ht="15.75" customHeight="1" s="1883"/>
    <row r="493" ht="15.75" customHeight="1" s="1883"/>
    <row r="494" ht="15.75" customHeight="1" s="1883"/>
    <row r="495" ht="15.75" customHeight="1" s="1883"/>
    <row r="496" ht="15.75" customHeight="1" s="1883"/>
    <row r="497" ht="15.75" customHeight="1" s="1883"/>
    <row r="498" ht="15.75" customHeight="1" s="1883"/>
    <row r="499" ht="15.75" customHeight="1" s="1883"/>
    <row r="500" ht="15.75" customHeight="1" s="1883"/>
    <row r="501" ht="15.75" customHeight="1" s="1883"/>
    <row r="502" ht="15.75" customHeight="1" s="1883"/>
    <row r="503" ht="15.75" customHeight="1" s="1883"/>
    <row r="504" ht="15.75" customHeight="1" s="1883"/>
    <row r="505" ht="15.75" customHeight="1" s="1883"/>
    <row r="506" ht="15.75" customHeight="1" s="1883"/>
    <row r="507" ht="15.75" customHeight="1" s="1883"/>
    <row r="508" ht="15.75" customHeight="1" s="1883"/>
    <row r="509" ht="15.75" customHeight="1" s="1883"/>
    <row r="510" ht="15.75" customHeight="1" s="1883"/>
    <row r="511" ht="15.75" customHeight="1" s="1883"/>
    <row r="512" ht="15.75" customHeight="1" s="1883"/>
    <row r="513" ht="15.75" customHeight="1" s="1883"/>
    <row r="514" ht="15.75" customHeight="1" s="1883"/>
    <row r="515" ht="15.75" customHeight="1" s="1883"/>
    <row r="516" ht="15.75" customHeight="1" s="1883"/>
    <row r="517" ht="15.75" customHeight="1" s="1883"/>
    <row r="518" ht="15.75" customHeight="1" s="1883"/>
    <row r="519" ht="15.75" customHeight="1" s="1883"/>
    <row r="520" ht="15.75" customHeight="1" s="1883"/>
    <row r="521" ht="15.75" customHeight="1" s="1883"/>
    <row r="522" ht="15.75" customHeight="1" s="1883"/>
    <row r="523" ht="15.75" customHeight="1" s="1883"/>
    <row r="524" ht="15.75" customHeight="1" s="1883"/>
    <row r="525" ht="15.75" customHeight="1" s="1883"/>
    <row r="526" ht="15.75" customHeight="1" s="1883"/>
    <row r="527" ht="15.75" customHeight="1" s="1883"/>
    <row r="528" ht="15.75" customHeight="1" s="1883"/>
    <row r="529" ht="15.75" customHeight="1" s="1883"/>
    <row r="530" ht="15.75" customHeight="1" s="1883"/>
    <row r="531" ht="15.75" customHeight="1" s="1883"/>
    <row r="532" ht="15.75" customHeight="1" s="1883"/>
    <row r="533" ht="15.75" customHeight="1" s="1883"/>
    <row r="534" ht="15.75" customHeight="1" s="1883"/>
    <row r="535" ht="15.75" customHeight="1" s="1883"/>
    <row r="536" ht="15.75" customHeight="1" s="1883"/>
    <row r="537" ht="15.75" customHeight="1" s="1883"/>
    <row r="538" ht="15.75" customHeight="1" s="1883"/>
    <row r="539" ht="15.75" customHeight="1" s="1883"/>
    <row r="540" ht="15.75" customHeight="1" s="1883"/>
    <row r="541" ht="15.75" customHeight="1" s="1883"/>
    <row r="542" ht="15.75" customHeight="1" s="1883"/>
    <row r="543" ht="15.75" customHeight="1" s="1883"/>
    <row r="544" ht="15.75" customHeight="1" s="1883"/>
    <row r="545" ht="15.75" customHeight="1" s="1883"/>
    <row r="546" ht="15.75" customHeight="1" s="1883"/>
    <row r="547" ht="15.75" customHeight="1" s="1883"/>
    <row r="548" ht="15.75" customHeight="1" s="1883"/>
    <row r="549" ht="15.75" customHeight="1" s="1883"/>
    <row r="550" ht="15.75" customHeight="1" s="1883"/>
    <row r="551" ht="15.75" customHeight="1" s="1883"/>
    <row r="552" ht="15.75" customHeight="1" s="1883"/>
    <row r="553" ht="15.75" customHeight="1" s="1883"/>
    <row r="554" ht="15.75" customHeight="1" s="1883"/>
    <row r="555" ht="15.75" customHeight="1" s="1883"/>
    <row r="556" ht="15.75" customHeight="1" s="1883"/>
    <row r="557" ht="15.75" customHeight="1" s="1883"/>
    <row r="558" ht="15.75" customHeight="1" s="1883"/>
    <row r="559" ht="15.75" customHeight="1" s="1883"/>
    <row r="560" ht="15.75" customHeight="1" s="1883"/>
    <row r="561" ht="15.75" customHeight="1" s="1883"/>
    <row r="562" ht="15.75" customHeight="1" s="1883"/>
    <row r="563" ht="15.75" customHeight="1" s="1883"/>
    <row r="564" ht="15.75" customHeight="1" s="1883"/>
    <row r="565" ht="15.75" customHeight="1" s="1883"/>
    <row r="566" ht="15.75" customHeight="1" s="1883"/>
    <row r="567" ht="15.75" customHeight="1" s="1883"/>
    <row r="568" ht="15.75" customHeight="1" s="1883"/>
    <row r="569" ht="15.75" customHeight="1" s="1883"/>
    <row r="570" ht="15.75" customHeight="1" s="1883"/>
    <row r="571" ht="15.75" customHeight="1" s="1883"/>
    <row r="572" ht="15.75" customHeight="1" s="1883"/>
    <row r="573" ht="15.75" customHeight="1" s="1883"/>
    <row r="574" ht="15.75" customHeight="1" s="1883"/>
    <row r="575" ht="15.75" customHeight="1" s="1883"/>
    <row r="576" ht="15.75" customHeight="1" s="1883"/>
    <row r="577" ht="15.75" customHeight="1" s="1883"/>
    <row r="578" ht="15.75" customHeight="1" s="1883"/>
    <row r="579" ht="15.75" customHeight="1" s="1883"/>
    <row r="580" ht="15.75" customHeight="1" s="1883"/>
    <row r="581" ht="15.75" customHeight="1" s="1883"/>
    <row r="582" ht="15.75" customHeight="1" s="1883"/>
    <row r="583" ht="15.75" customHeight="1" s="1883"/>
    <row r="584" ht="15.75" customHeight="1" s="1883"/>
    <row r="585" ht="15.75" customHeight="1" s="1883"/>
    <row r="586" ht="15.75" customHeight="1" s="1883"/>
    <row r="587" ht="15.75" customHeight="1" s="1883"/>
    <row r="588" ht="15.75" customHeight="1" s="1883"/>
    <row r="589" ht="15.75" customHeight="1" s="1883"/>
    <row r="590" ht="15.75" customHeight="1" s="1883"/>
    <row r="591" ht="15.75" customHeight="1" s="1883"/>
    <row r="592" ht="15.75" customHeight="1" s="1883"/>
    <row r="593" ht="15.75" customHeight="1" s="1883"/>
    <row r="594" ht="15.75" customHeight="1" s="1883"/>
    <row r="595" ht="15.75" customHeight="1" s="1883"/>
    <row r="596" ht="15.75" customHeight="1" s="1883"/>
    <row r="597" ht="15.75" customHeight="1" s="1883"/>
    <row r="598" ht="15.75" customHeight="1" s="1883"/>
    <row r="599" ht="15.75" customHeight="1" s="1883"/>
    <row r="600" ht="15.75" customHeight="1" s="1883"/>
    <row r="601" ht="15.75" customHeight="1" s="1883"/>
    <row r="602" ht="15.75" customHeight="1" s="1883"/>
    <row r="603" ht="15.75" customHeight="1" s="1883"/>
    <row r="604" ht="15.75" customHeight="1" s="1883"/>
    <row r="605" ht="15.75" customHeight="1" s="1883"/>
    <row r="606" ht="15.75" customHeight="1" s="1883"/>
    <row r="607" ht="15.75" customHeight="1" s="1883"/>
    <row r="608" ht="15.75" customHeight="1" s="1883"/>
    <row r="609" ht="15.75" customHeight="1" s="1883"/>
    <row r="610" ht="15.75" customHeight="1" s="1883"/>
    <row r="611" ht="15.75" customHeight="1" s="1883"/>
    <row r="612" ht="15.75" customHeight="1" s="1883"/>
    <row r="613" ht="15.75" customHeight="1" s="1883"/>
    <row r="614" ht="15.75" customHeight="1" s="1883"/>
    <row r="615" ht="15.75" customHeight="1" s="1883"/>
    <row r="616" ht="15.75" customHeight="1" s="1883"/>
    <row r="617" ht="15.75" customHeight="1" s="1883"/>
    <row r="618" ht="15.75" customHeight="1" s="1883"/>
    <row r="619" ht="15.75" customHeight="1" s="1883"/>
    <row r="620" ht="15.75" customHeight="1" s="1883"/>
    <row r="621" ht="15.75" customHeight="1" s="1883"/>
    <row r="622" ht="15.75" customHeight="1" s="1883"/>
    <row r="623" ht="15.75" customHeight="1" s="1883"/>
    <row r="624" ht="15.75" customHeight="1" s="1883"/>
    <row r="625" ht="15.75" customHeight="1" s="1883"/>
    <row r="626" ht="15.75" customHeight="1" s="1883"/>
    <row r="627" ht="15.75" customHeight="1" s="1883"/>
    <row r="628" ht="15.75" customHeight="1" s="1883"/>
    <row r="629" ht="15.75" customHeight="1" s="1883"/>
    <row r="630" ht="15.75" customHeight="1" s="1883"/>
    <row r="631" ht="15.75" customHeight="1" s="1883"/>
    <row r="632" ht="15.75" customHeight="1" s="1883"/>
    <row r="633" ht="15.75" customHeight="1" s="1883"/>
    <row r="634" ht="15.75" customHeight="1" s="1883"/>
    <row r="635" ht="15.75" customHeight="1" s="1883"/>
    <row r="636" ht="15.75" customHeight="1" s="1883"/>
    <row r="637" ht="15.75" customHeight="1" s="1883"/>
    <row r="638" ht="15.75" customHeight="1" s="1883"/>
    <row r="639" ht="15.75" customHeight="1" s="1883"/>
    <row r="640" ht="15.75" customHeight="1" s="1883"/>
    <row r="641" ht="15.75" customHeight="1" s="1883"/>
    <row r="642" ht="15.75" customHeight="1" s="1883"/>
    <row r="643" ht="15.75" customHeight="1" s="1883"/>
    <row r="644" ht="15.75" customHeight="1" s="1883"/>
    <row r="645" ht="15.75" customHeight="1" s="1883"/>
    <row r="646" ht="15.75" customHeight="1" s="1883"/>
    <row r="647" ht="15.75" customHeight="1" s="1883"/>
    <row r="648" ht="15.75" customHeight="1" s="1883"/>
    <row r="649" ht="15.75" customHeight="1" s="1883"/>
    <row r="650" ht="15.75" customHeight="1" s="1883"/>
    <row r="651" ht="15.75" customHeight="1" s="1883"/>
    <row r="652" ht="15.75" customHeight="1" s="1883"/>
    <row r="653" ht="15.75" customHeight="1" s="1883"/>
    <row r="654" ht="15.75" customHeight="1" s="1883"/>
    <row r="655" ht="15.75" customHeight="1" s="1883"/>
    <row r="656" ht="15.75" customHeight="1" s="1883"/>
    <row r="657" ht="15.75" customHeight="1" s="1883"/>
    <row r="658" ht="15.75" customHeight="1" s="1883"/>
    <row r="659" ht="15.75" customHeight="1" s="1883"/>
    <row r="660" ht="15.75" customHeight="1" s="1883"/>
    <row r="661" ht="15.75" customHeight="1" s="1883"/>
    <row r="662" ht="15.75" customHeight="1" s="1883"/>
    <row r="663" ht="15.75" customHeight="1" s="1883"/>
    <row r="664" ht="15.75" customHeight="1" s="1883"/>
    <row r="665" ht="15.75" customHeight="1" s="1883"/>
    <row r="666" ht="15.75" customHeight="1" s="1883"/>
    <row r="667" ht="15.75" customHeight="1" s="1883"/>
    <row r="668" ht="15.75" customHeight="1" s="1883"/>
    <row r="669" ht="15.75" customHeight="1" s="1883"/>
    <row r="670" ht="15.75" customHeight="1" s="1883"/>
    <row r="671" ht="15.75" customHeight="1" s="1883"/>
    <row r="672" ht="15.75" customHeight="1" s="1883"/>
    <row r="673" ht="15.75" customHeight="1" s="1883"/>
    <row r="674" ht="15.75" customHeight="1" s="1883"/>
    <row r="675" ht="15.75" customHeight="1" s="1883"/>
    <row r="676" ht="15.75" customHeight="1" s="1883"/>
    <row r="677" ht="15.75" customHeight="1" s="1883"/>
    <row r="678" ht="15.75" customHeight="1" s="1883"/>
    <row r="679" ht="15.75" customHeight="1" s="1883"/>
    <row r="680" ht="15.75" customHeight="1" s="1883"/>
    <row r="681" ht="15.75" customHeight="1" s="1883"/>
    <row r="682" ht="15.75" customHeight="1" s="1883"/>
    <row r="683" ht="15.75" customHeight="1" s="1883"/>
    <row r="684" ht="15.75" customHeight="1" s="1883"/>
    <row r="685" ht="15.75" customHeight="1" s="1883"/>
    <row r="686" ht="15.75" customHeight="1" s="1883"/>
    <row r="687" ht="15.75" customHeight="1" s="1883"/>
    <row r="688" ht="15.75" customHeight="1" s="1883"/>
    <row r="689" ht="15.75" customHeight="1" s="1883"/>
    <row r="690" ht="15.75" customHeight="1" s="1883"/>
    <row r="691" ht="15.75" customHeight="1" s="1883"/>
    <row r="692" ht="15.75" customHeight="1" s="1883"/>
    <row r="693" ht="15.75" customHeight="1" s="1883"/>
    <row r="694" ht="15.75" customHeight="1" s="1883"/>
    <row r="695" ht="15.75" customHeight="1" s="1883"/>
    <row r="696" ht="15.75" customHeight="1" s="1883"/>
    <row r="697" ht="15.75" customHeight="1" s="1883"/>
    <row r="698" ht="15.75" customHeight="1" s="1883"/>
    <row r="699" ht="15.75" customHeight="1" s="1883"/>
    <row r="700" ht="15.75" customHeight="1" s="1883"/>
    <row r="701" ht="15.75" customHeight="1" s="1883"/>
    <row r="702" ht="15.75" customHeight="1" s="1883"/>
    <row r="703" ht="15.75" customHeight="1" s="1883"/>
    <row r="704" ht="15.75" customHeight="1" s="1883"/>
    <row r="705" ht="15.75" customHeight="1" s="1883"/>
    <row r="706" ht="15.75" customHeight="1" s="1883"/>
    <row r="707" ht="15.75" customHeight="1" s="1883"/>
    <row r="708" ht="15.75" customHeight="1" s="1883"/>
    <row r="709" ht="15.75" customHeight="1" s="1883"/>
    <row r="710" ht="15.75" customHeight="1" s="1883"/>
    <row r="711" ht="15.75" customHeight="1" s="1883"/>
    <row r="712" ht="15.75" customHeight="1" s="1883"/>
    <row r="713" ht="15.75" customHeight="1" s="1883"/>
    <row r="714" ht="15.75" customHeight="1" s="1883"/>
    <row r="715" ht="15.75" customHeight="1" s="1883"/>
    <row r="716" ht="15.75" customHeight="1" s="1883"/>
    <row r="717" ht="15.75" customHeight="1" s="1883"/>
    <row r="718" ht="15.75" customHeight="1" s="1883"/>
    <row r="719" ht="15.75" customHeight="1" s="1883"/>
    <row r="720" ht="15.75" customHeight="1" s="1883"/>
    <row r="721" ht="15.75" customHeight="1" s="1883"/>
    <row r="722" ht="15.75" customHeight="1" s="1883"/>
    <row r="723" ht="15.75" customHeight="1" s="1883"/>
    <row r="724" ht="15.75" customHeight="1" s="1883"/>
    <row r="725" ht="15.75" customHeight="1" s="1883"/>
    <row r="726" ht="15.75" customHeight="1" s="1883"/>
    <row r="727" ht="15.75" customHeight="1" s="1883"/>
    <row r="728" ht="15.75" customHeight="1" s="1883"/>
    <row r="729" ht="15.75" customHeight="1" s="1883"/>
    <row r="730" ht="15.75" customHeight="1" s="1883"/>
    <row r="731" ht="15.75" customHeight="1" s="1883"/>
    <row r="732" ht="15.75" customHeight="1" s="1883"/>
    <row r="733" ht="15.75" customHeight="1" s="1883"/>
    <row r="734" ht="15.75" customHeight="1" s="1883"/>
    <row r="735" ht="15.75" customHeight="1" s="1883"/>
    <row r="736" ht="15.75" customHeight="1" s="1883"/>
    <row r="737" ht="15.75" customHeight="1" s="1883"/>
    <row r="738" ht="15.75" customHeight="1" s="1883"/>
    <row r="739" ht="15.75" customHeight="1" s="1883"/>
    <row r="740" ht="15.75" customHeight="1" s="1883"/>
    <row r="741" ht="15.75" customHeight="1" s="1883"/>
    <row r="742" ht="15.75" customHeight="1" s="1883"/>
    <row r="743" ht="15.75" customHeight="1" s="1883"/>
    <row r="744" ht="15.75" customHeight="1" s="1883"/>
    <row r="745" ht="15.75" customHeight="1" s="1883"/>
    <row r="746" ht="15.75" customHeight="1" s="1883"/>
    <row r="747" ht="15.75" customHeight="1" s="1883"/>
    <row r="748" ht="15.75" customHeight="1" s="1883"/>
    <row r="749" ht="15.75" customHeight="1" s="1883"/>
    <row r="750" ht="15.75" customHeight="1" s="1883"/>
    <row r="751" ht="15.75" customHeight="1" s="1883"/>
    <row r="752" ht="15.75" customHeight="1" s="1883"/>
    <row r="753" ht="15.75" customHeight="1" s="1883"/>
    <row r="754" ht="15.75" customHeight="1" s="1883"/>
    <row r="755" ht="15.75" customHeight="1" s="1883"/>
    <row r="756" ht="15.75" customHeight="1" s="1883"/>
    <row r="757" ht="15.75" customHeight="1" s="1883"/>
    <row r="758" ht="15.75" customHeight="1" s="1883"/>
    <row r="759" ht="15.75" customHeight="1" s="1883"/>
    <row r="760" ht="15.75" customHeight="1" s="1883"/>
    <row r="761" ht="15.75" customHeight="1" s="1883"/>
    <row r="762" ht="15.75" customHeight="1" s="1883"/>
    <row r="763" ht="15.75" customHeight="1" s="1883"/>
    <row r="764" ht="15.75" customHeight="1" s="1883"/>
    <row r="765" ht="15.75" customHeight="1" s="1883"/>
    <row r="766" ht="15.75" customHeight="1" s="1883"/>
    <row r="767" ht="15.75" customHeight="1" s="1883"/>
    <row r="768" ht="15.75" customHeight="1" s="1883"/>
    <row r="769" ht="15.75" customHeight="1" s="1883"/>
    <row r="770" ht="15.75" customHeight="1" s="1883"/>
    <row r="771" ht="15.75" customHeight="1" s="1883"/>
    <row r="772" ht="15.75" customHeight="1" s="1883"/>
    <row r="773" ht="15.75" customHeight="1" s="1883"/>
    <row r="774" ht="15.75" customHeight="1" s="1883"/>
    <row r="775" ht="15.75" customHeight="1" s="1883"/>
    <row r="776" ht="15.75" customHeight="1" s="1883"/>
    <row r="777" ht="15.75" customHeight="1" s="1883"/>
    <row r="778" ht="15.75" customHeight="1" s="1883"/>
    <row r="779" ht="15.75" customHeight="1" s="1883"/>
    <row r="780" ht="15.75" customHeight="1" s="1883"/>
    <row r="781" ht="15.75" customHeight="1" s="1883"/>
    <row r="782" ht="15.75" customHeight="1" s="1883"/>
    <row r="783" ht="15.75" customHeight="1" s="1883"/>
    <row r="784" ht="15.75" customHeight="1" s="1883"/>
    <row r="785" ht="15.75" customHeight="1" s="1883"/>
    <row r="786" ht="15.75" customHeight="1" s="1883"/>
    <row r="787" ht="15.75" customHeight="1" s="1883"/>
    <row r="788" ht="15.75" customHeight="1" s="1883"/>
    <row r="789" ht="15.75" customHeight="1" s="1883"/>
    <row r="790" ht="15.75" customHeight="1" s="1883"/>
    <row r="791" ht="15.75" customHeight="1" s="1883"/>
    <row r="792" ht="15.75" customHeight="1" s="1883"/>
    <row r="793" ht="15.75" customHeight="1" s="1883"/>
    <row r="794" ht="15.75" customHeight="1" s="1883"/>
    <row r="795" ht="15.75" customHeight="1" s="1883"/>
    <row r="796" ht="15.75" customHeight="1" s="1883"/>
    <row r="797" ht="15.75" customHeight="1" s="1883"/>
    <row r="798" ht="15.75" customHeight="1" s="1883"/>
    <row r="799" ht="15.75" customHeight="1" s="1883"/>
    <row r="800" ht="15.75" customHeight="1" s="1883"/>
    <row r="801" ht="15.75" customHeight="1" s="1883"/>
    <row r="802" ht="15.75" customHeight="1" s="1883"/>
    <row r="803" ht="15.75" customHeight="1" s="1883"/>
    <row r="804" ht="15.75" customHeight="1" s="1883"/>
    <row r="805" ht="15.75" customHeight="1" s="1883"/>
    <row r="806" ht="15.75" customHeight="1" s="1883"/>
    <row r="807" ht="15.75" customHeight="1" s="1883"/>
    <row r="808" ht="15.75" customHeight="1" s="1883"/>
    <row r="809" ht="15.75" customHeight="1" s="1883"/>
    <row r="810" ht="15.75" customHeight="1" s="1883"/>
    <row r="811" ht="15.75" customHeight="1" s="1883"/>
    <row r="812" ht="15.75" customHeight="1" s="1883"/>
    <row r="813" ht="15.75" customHeight="1" s="1883"/>
    <row r="814" ht="15.75" customHeight="1" s="1883"/>
    <row r="815" ht="15.75" customHeight="1" s="1883"/>
    <row r="816" ht="15.75" customHeight="1" s="1883"/>
    <row r="817" ht="15.75" customHeight="1" s="1883"/>
    <row r="818" ht="15.75" customHeight="1" s="1883"/>
    <row r="819" ht="15.75" customHeight="1" s="1883"/>
    <row r="820" ht="15.75" customHeight="1" s="1883"/>
    <row r="821" ht="15.75" customHeight="1" s="1883"/>
    <row r="822" ht="15.75" customHeight="1" s="1883"/>
    <row r="823" ht="15.75" customHeight="1" s="1883"/>
    <row r="824" ht="15.75" customHeight="1" s="1883"/>
    <row r="825" ht="15.75" customHeight="1" s="1883"/>
    <row r="826" ht="15.75" customHeight="1" s="1883"/>
    <row r="827" ht="15.75" customHeight="1" s="1883"/>
    <row r="828" ht="15.75" customHeight="1" s="1883"/>
    <row r="829" ht="15.75" customHeight="1" s="1883"/>
    <row r="830" ht="15.75" customHeight="1" s="1883"/>
    <row r="831" ht="15.75" customHeight="1" s="1883"/>
    <row r="832" ht="15.75" customHeight="1" s="1883"/>
    <row r="833" ht="15.75" customHeight="1" s="1883"/>
    <row r="834" ht="15.75" customHeight="1" s="1883"/>
    <row r="835" ht="15.75" customHeight="1" s="1883"/>
    <row r="836" ht="15.75" customHeight="1" s="1883"/>
    <row r="837" ht="15.75" customHeight="1" s="1883"/>
    <row r="838" ht="15.75" customHeight="1" s="1883"/>
    <row r="839" ht="15.75" customHeight="1" s="1883"/>
    <row r="840" ht="15.75" customHeight="1" s="1883"/>
    <row r="841" ht="15.75" customHeight="1" s="1883"/>
    <row r="842" ht="15.75" customHeight="1" s="1883"/>
    <row r="843" ht="15.75" customHeight="1" s="1883"/>
    <row r="844" ht="15.75" customHeight="1" s="1883"/>
    <row r="845" ht="15.75" customHeight="1" s="1883"/>
    <row r="846" ht="15.75" customHeight="1" s="1883"/>
    <row r="847" ht="15.75" customHeight="1" s="1883"/>
    <row r="848" ht="15.75" customHeight="1" s="1883"/>
    <row r="849" ht="15.75" customHeight="1" s="1883"/>
    <row r="850" ht="15.75" customHeight="1" s="1883"/>
    <row r="851" ht="15.75" customHeight="1" s="1883"/>
    <row r="852" ht="15.75" customHeight="1" s="1883"/>
    <row r="853" ht="15.75" customHeight="1" s="1883"/>
    <row r="854" ht="15.75" customHeight="1" s="1883"/>
    <row r="855" ht="15.75" customHeight="1" s="1883"/>
    <row r="856" ht="15.75" customHeight="1" s="1883"/>
    <row r="857" ht="15.75" customHeight="1" s="1883"/>
    <row r="858" ht="15.75" customHeight="1" s="1883"/>
    <row r="859" ht="15.75" customHeight="1" s="1883"/>
    <row r="860" ht="15.75" customHeight="1" s="1883"/>
    <row r="861" ht="15.75" customHeight="1" s="1883"/>
    <row r="862" ht="15.75" customHeight="1" s="1883"/>
    <row r="863" ht="15.75" customHeight="1" s="1883"/>
    <row r="864" ht="15.75" customHeight="1" s="1883"/>
    <row r="865" ht="15.75" customHeight="1" s="1883"/>
    <row r="866" ht="15.75" customHeight="1" s="1883"/>
    <row r="867" ht="15.75" customHeight="1" s="1883"/>
    <row r="868" ht="15.75" customHeight="1" s="1883"/>
    <row r="869" ht="15.75" customHeight="1" s="1883"/>
    <row r="870" ht="15.75" customHeight="1" s="1883"/>
    <row r="871" ht="15.75" customHeight="1" s="1883"/>
    <row r="872" ht="15.75" customHeight="1" s="1883"/>
    <row r="873" ht="15.75" customHeight="1" s="1883"/>
    <row r="874" ht="15.75" customHeight="1" s="1883"/>
    <row r="875" ht="15.75" customHeight="1" s="1883"/>
    <row r="876" ht="15.75" customHeight="1" s="1883"/>
    <row r="877" ht="15.75" customHeight="1" s="1883"/>
    <row r="878" ht="15.75" customHeight="1" s="1883"/>
    <row r="879" ht="15.75" customHeight="1" s="1883"/>
    <row r="880" ht="15.75" customHeight="1" s="1883"/>
    <row r="881" ht="15.75" customHeight="1" s="1883"/>
    <row r="882" ht="15.75" customHeight="1" s="1883"/>
    <row r="883" ht="15.75" customHeight="1" s="1883"/>
    <row r="884" ht="15.75" customHeight="1" s="1883"/>
    <row r="885" ht="15.75" customHeight="1" s="1883"/>
    <row r="886" ht="15.75" customHeight="1" s="1883"/>
    <row r="887" ht="15.75" customHeight="1" s="1883"/>
    <row r="888" ht="15.75" customHeight="1" s="1883"/>
    <row r="889" ht="15.75" customHeight="1" s="1883"/>
    <row r="890" ht="15.75" customHeight="1" s="1883"/>
    <row r="891" ht="15.75" customHeight="1" s="1883"/>
    <row r="892" ht="15.75" customHeight="1" s="1883"/>
    <row r="893" ht="15.75" customHeight="1" s="1883"/>
    <row r="894" ht="15.75" customHeight="1" s="1883"/>
    <row r="895" ht="15.75" customHeight="1" s="1883"/>
    <row r="896" ht="15.75" customHeight="1" s="1883"/>
    <row r="897" ht="15.75" customHeight="1" s="1883"/>
    <row r="898" ht="15.75" customHeight="1" s="1883"/>
    <row r="899" ht="15.75" customHeight="1" s="1883"/>
    <row r="900" ht="15.75" customHeight="1" s="1883"/>
    <row r="901" ht="15.75" customHeight="1" s="1883"/>
    <row r="902" ht="15.75" customHeight="1" s="1883"/>
    <row r="903" ht="15.75" customHeight="1" s="1883"/>
    <row r="904" ht="15.75" customHeight="1" s="1883"/>
    <row r="905" ht="15.75" customHeight="1" s="1883"/>
    <row r="906" ht="15.75" customHeight="1" s="1883"/>
    <row r="907" ht="15.75" customHeight="1" s="1883"/>
    <row r="908" ht="15.75" customHeight="1" s="1883"/>
    <row r="909" ht="15.75" customHeight="1" s="1883"/>
    <row r="910" ht="15.75" customHeight="1" s="1883"/>
    <row r="911" ht="15.75" customHeight="1" s="1883"/>
    <row r="912" ht="15.75" customHeight="1" s="1883"/>
    <row r="913" ht="15.75" customHeight="1" s="1883"/>
    <row r="914" ht="15.75" customHeight="1" s="1883"/>
    <row r="915" ht="15.75" customHeight="1" s="1883"/>
    <row r="916" ht="15.75" customHeight="1" s="1883"/>
    <row r="917" ht="15.75" customHeight="1" s="1883"/>
    <row r="918" ht="15.75" customHeight="1" s="1883"/>
    <row r="919" ht="15.75" customHeight="1" s="1883"/>
    <row r="920" ht="15.75" customHeight="1" s="1883"/>
    <row r="921" ht="15.75" customHeight="1" s="1883"/>
    <row r="922" ht="15.75" customHeight="1" s="1883"/>
    <row r="923" ht="15.75" customHeight="1" s="1883"/>
    <row r="924" ht="15.75" customHeight="1" s="1883"/>
    <row r="925" ht="15.75" customHeight="1" s="1883"/>
    <row r="926" ht="15.75" customHeight="1" s="1883"/>
    <row r="927" ht="15.75" customHeight="1" s="1883"/>
    <row r="928" ht="15.75" customHeight="1" s="1883"/>
    <row r="929" ht="15.75" customHeight="1" s="1883"/>
    <row r="930" ht="15.75" customHeight="1" s="1883"/>
    <row r="931" ht="15.75" customHeight="1" s="1883"/>
    <row r="932" ht="15.75" customHeight="1" s="1883"/>
    <row r="933" ht="15.75" customHeight="1" s="1883"/>
    <row r="934" ht="15.75" customHeight="1" s="1883"/>
    <row r="935" ht="15.75" customHeight="1" s="1883"/>
    <row r="936" ht="15.75" customHeight="1" s="1883"/>
    <row r="937" ht="15.75" customHeight="1" s="1883"/>
    <row r="938" ht="15.75" customHeight="1" s="1883"/>
    <row r="939" ht="15.75" customHeight="1" s="1883"/>
    <row r="940" ht="15.75" customHeight="1" s="1883"/>
    <row r="941" ht="15.75" customHeight="1" s="1883"/>
    <row r="942" ht="15.75" customHeight="1" s="1883"/>
    <row r="943" ht="15.75" customHeight="1" s="1883"/>
    <row r="944" ht="15.75" customHeight="1" s="1883"/>
    <row r="945" ht="15.75" customHeight="1" s="1883"/>
    <row r="946" ht="15.75" customHeight="1" s="1883"/>
    <row r="947" ht="15.75" customHeight="1" s="1883"/>
    <row r="948" ht="15.75" customHeight="1" s="1883"/>
    <row r="949" ht="15.75" customHeight="1" s="1883"/>
    <row r="950" ht="15.75" customHeight="1" s="1883"/>
    <row r="951" ht="15.75" customHeight="1" s="1883"/>
    <row r="952" ht="15.75" customHeight="1" s="1883"/>
    <row r="953" ht="15.75" customHeight="1" s="1883"/>
    <row r="954" ht="15.75" customHeight="1" s="1883"/>
    <row r="955" ht="15.75" customHeight="1" s="1883"/>
    <row r="956" ht="15.75" customHeight="1" s="1883"/>
    <row r="957" ht="15.75" customHeight="1" s="1883"/>
    <row r="958" ht="15.75" customHeight="1" s="1883"/>
    <row r="959" ht="15.75" customHeight="1" s="1883"/>
    <row r="960" ht="15.75" customHeight="1" s="1883"/>
    <row r="961" ht="15.75" customHeight="1" s="1883"/>
    <row r="962" ht="15.75" customHeight="1" s="1883"/>
    <row r="963" ht="15.75" customHeight="1" s="1883"/>
    <row r="964" ht="15.75" customHeight="1" s="1883"/>
    <row r="965" ht="15.75" customHeight="1" s="1883"/>
    <row r="966" ht="15.75" customHeight="1" s="1883"/>
    <row r="967" ht="15.75" customHeight="1" s="1883"/>
    <row r="968" ht="15.75" customHeight="1" s="1883"/>
    <row r="969" ht="15.75" customHeight="1" s="1883"/>
    <row r="970" ht="15.75" customHeight="1" s="1883"/>
    <row r="971" ht="15.75" customHeight="1" s="1883"/>
    <row r="972" ht="15.75" customHeight="1" s="1883"/>
    <row r="973" ht="15.75" customHeight="1" s="1883"/>
    <row r="974" ht="15.75" customHeight="1" s="1883"/>
    <row r="975" ht="15.75" customHeight="1" s="1883"/>
    <row r="976" ht="15.75" customHeight="1" s="1883"/>
    <row r="977" ht="15.75" customHeight="1" s="1883"/>
    <row r="978" ht="15.75" customHeight="1" s="1883"/>
    <row r="979" ht="15.75" customHeight="1" s="1883"/>
    <row r="980" ht="15.75" customHeight="1" s="1883"/>
    <row r="981" ht="15.75" customHeight="1" s="1883"/>
    <row r="982" ht="15.75" customHeight="1" s="1883"/>
    <row r="983" ht="15.75" customHeight="1" s="1883"/>
    <row r="984" ht="15.75" customHeight="1" s="1883"/>
    <row r="985" ht="15.75" customHeight="1" s="1883"/>
    <row r="986" ht="15.75" customHeight="1" s="1883"/>
    <row r="987" ht="15.75" customHeight="1" s="1883"/>
    <row r="988" ht="15.75" customHeight="1" s="1883"/>
    <row r="989" ht="15.75" customHeight="1" s="1883"/>
    <row r="990" ht="15.75" customHeight="1" s="1883"/>
    <row r="991" ht="15.75" customHeight="1" s="1883"/>
    <row r="992" ht="15.75" customHeight="1" s="1883"/>
    <row r="993" ht="15.75" customHeight="1" s="1883"/>
    <row r="994" ht="15.75" customHeight="1" s="1883"/>
    <row r="995" ht="15.75" customHeight="1" s="1883"/>
    <row r="996" ht="15.75" customHeight="1" s="1883"/>
    <row r="997" ht="15.75" customHeight="1" s="1883"/>
    <row r="998" ht="15.75" customHeight="1" s="1883"/>
    <row r="999" ht="15.75" customHeight="1" s="1883"/>
    <row r="1000" ht="15.75" customHeight="1" s="1883"/>
  </sheetData>
  <mergeCells count="6">
    <mergeCell ref="G32:I32"/>
    <mergeCell ref="G36:I36"/>
    <mergeCell ref="G31:I31"/>
    <mergeCell ref="G35:I35"/>
    <mergeCell ref="G34:I34"/>
    <mergeCell ref="G33:I33"/>
  </mergeCells>
  <pageMargins left="0.7" right="0.7" top="0.75" bottom="0.75" header="0" footer="0"/>
  <pageSetup orientation="landscape"/>
  <drawing xmlns:r="http://schemas.openxmlformats.org/officeDocument/2006/relationships" r:id="rId1"/>
</worksheet>
</file>

<file path=xl/worksheets/sheet30.xml><?xml version="1.0" encoding="utf-8"?>
<worksheet xmlns="http://schemas.openxmlformats.org/spreadsheetml/2006/main">
  <sheetPr>
    <tabColor rgb="FF9ACDFF"/>
    <outlinePr summaryBelow="1" summaryRight="1"/>
    <pageSetUpPr/>
  </sheetPr>
  <dimension ref="A1:Q54"/>
  <sheetViews>
    <sheetView zoomScale="135" zoomScaleNormal="135" workbookViewId="0">
      <pane xSplit="1" ySplit="1" topLeftCell="J2" activePane="bottomRight" state="frozen"/>
      <selection pane="topRight" activeCell="I53" sqref="I53"/>
      <selection pane="bottomLeft" activeCell="I53" sqref="I53"/>
      <selection pane="bottomRight" activeCell="M15" sqref="M15"/>
    </sheetView>
  </sheetViews>
  <sheetFormatPr baseColWidth="10" defaultColWidth="14.5" defaultRowHeight="15" customHeight="1"/>
  <cols>
    <col width="76.5" customWidth="1" style="1764" min="1" max="1"/>
    <col width="14.83203125" customWidth="1" style="1764" min="2" max="2"/>
    <col width="17.5" customWidth="1" style="1764" min="3" max="4"/>
    <col width="23.83203125" customWidth="1" style="1764" min="5" max="6"/>
    <col width="21.5" customWidth="1" style="1764" min="7" max="7"/>
    <col width="22.83203125" customWidth="1" style="1764" min="8" max="8"/>
    <col width="18.5" customWidth="1" style="1764" min="9" max="9"/>
    <col width="17.5" customWidth="1" style="1764" min="10" max="10"/>
    <col width="22.83203125" customWidth="1" style="1764" min="11" max="11"/>
    <col width="21.83203125" customWidth="1" style="1764" min="12" max="12"/>
    <col width="22.5" customWidth="1" style="1764" min="13" max="13"/>
    <col width="21" customWidth="1" style="1764" min="14" max="14"/>
    <col width="25" customWidth="1" style="1764" min="15" max="15"/>
    <col width="31.1640625" customWidth="1" style="1764" min="16" max="16"/>
    <col width="16.5" customWidth="1" style="1764" min="17" max="17"/>
    <col width="8.83203125" customWidth="1" style="1764" min="18" max="28"/>
    <col width="14.5" customWidth="1" style="1764" min="29" max="30"/>
    <col width="14.5" customWidth="1" style="1764" min="31" max="16384"/>
  </cols>
  <sheetData>
    <row r="1" ht="66" customHeight="1" s="1883" thickBot="1" thickTop="1">
      <c r="A1" s="1762" t="inlineStr">
        <is>
          <t>Revenue Stream Assumptions</t>
        </is>
      </c>
      <c r="B1" s="1762" t="inlineStr">
        <is>
          <t>Potential Revenue PER USER, Per Year</t>
        </is>
      </c>
      <c r="C1" s="1762" t="inlineStr">
        <is>
          <t>Targeting Frequency PER YEAR</t>
        </is>
      </c>
      <c r="D1" s="1763" t="inlineStr">
        <is>
          <t>Targeting Frequency PER DAY</t>
        </is>
      </c>
      <c r="E1" s="1763" t="inlineStr">
        <is>
          <t>Average Time Duration of Campaign per Category in Minutes</t>
        </is>
      </c>
      <c r="F1" s="1763" t="inlineStr">
        <is>
          <t>Average Total Time Spent Working on Free Phone Per Year Per User in Minutes</t>
        </is>
      </c>
      <c r="G1" s="1763" t="inlineStr">
        <is>
          <t>Revenue Per Person Per Average Campaign, Advertisement Click or Sale</t>
        </is>
      </c>
      <c r="H1" s="1763" t="inlineStr">
        <is>
          <t>Cost Per Person Per Average Campaign        (User Earnings)</t>
        </is>
      </c>
      <c r="I1" s="1763" t="inlineStr">
        <is>
          <t>Average Profit Per Campaign</t>
        </is>
      </c>
      <c r="J1" s="1763" t="inlineStr">
        <is>
          <t>Revenue Per Person Per 1 Hour of Work (or per 10 Ad Clicks or Sales)</t>
        </is>
      </c>
      <c r="K1" s="1763" t="inlineStr">
        <is>
          <t>Cost Per Person Per 1 Hour of Work               (User Earnings)</t>
        </is>
      </c>
      <c r="L1" s="1763" t="inlineStr">
        <is>
          <t>Average Profit Per Person Per Hour of Work (or per 10 Ad Clicks or Sales)</t>
        </is>
      </c>
      <c r="M1" s="1763" t="inlineStr">
        <is>
          <t xml:space="preserve">Revenue Per Person Per YEAR of Work </t>
        </is>
      </c>
      <c r="N1" s="1763" t="inlineStr">
        <is>
          <t>Cost Per Person Per YEAR of Work               (User Earnings)</t>
        </is>
      </c>
      <c r="O1" s="1763" t="inlineStr">
        <is>
          <t xml:space="preserve">Average Profit Per Person Per YEAR of Work </t>
        </is>
      </c>
      <c r="Q1" s="1764" t="inlineStr">
        <is>
          <t>FY1</t>
        </is>
      </c>
    </row>
    <row r="2" ht="17" customHeight="1" s="1883" thickTop="1">
      <c r="A2" s="1765" t="inlineStr">
        <is>
          <t>Client</t>
        </is>
      </c>
      <c r="B2" s="1766" t="n">
        <v>23049</v>
      </c>
      <c r="C2" s="1767" t="inlineStr">
        <is>
          <t>Doesn't Apply</t>
        </is>
      </c>
      <c r="D2" s="1767" t="inlineStr">
        <is>
          <t>Doesn't Apply</t>
        </is>
      </c>
      <c r="F2" s="1768" t="inlineStr">
        <is>
          <t>Doesn't Apply</t>
        </is>
      </c>
      <c r="M2" s="1768" t="inlineStr">
        <is>
          <t>Doesn't Apply</t>
        </is>
      </c>
      <c r="N2" s="1768" t="inlineStr">
        <is>
          <t>Doesn't Apply</t>
        </is>
      </c>
      <c r="O2" s="1768" t="inlineStr">
        <is>
          <t>Doesn't Apply</t>
        </is>
      </c>
      <c r="P2" s="1764" t="inlineStr">
        <is>
          <t>App &amp; Mobile Monetization</t>
        </is>
      </c>
      <c r="Q2" s="1769">
        <f>B30</f>
        <v/>
      </c>
    </row>
    <row r="3" ht="16" customHeight="1" s="1883">
      <c r="A3" s="1765" t="inlineStr">
        <is>
          <t>Users AFTER Attrition</t>
        </is>
      </c>
      <c r="B3" s="1770" t="n">
        <v>178158</v>
      </c>
      <c r="C3" s="1767" t="inlineStr">
        <is>
          <t>Doesn't Apply</t>
        </is>
      </c>
      <c r="D3" s="1767" t="inlineStr">
        <is>
          <t>Doesn't Apply</t>
        </is>
      </c>
      <c r="F3" s="1768" t="inlineStr">
        <is>
          <t>Doesn't Apply</t>
        </is>
      </c>
      <c r="M3" s="1768" t="inlineStr">
        <is>
          <t>Doesn't Apply</t>
        </is>
      </c>
      <c r="N3" s="1768" t="inlineStr">
        <is>
          <t>Doesn't Apply</t>
        </is>
      </c>
      <c r="O3" s="1768" t="inlineStr">
        <is>
          <t>Doesn't Apply</t>
        </is>
      </c>
      <c r="P3" s="1764" t="inlineStr">
        <is>
          <t>Market Research</t>
        </is>
      </c>
      <c r="Q3" s="1769">
        <f>B38</f>
        <v/>
      </c>
    </row>
    <row r="4" ht="16" customHeight="1" s="1883">
      <c r="A4" s="1765" t="inlineStr">
        <is>
          <t>Predictive Problem Solving Price (Per Year)</t>
        </is>
      </c>
      <c r="B4" s="1771" t="n">
        <v>100</v>
      </c>
      <c r="C4" s="1767" t="inlineStr">
        <is>
          <t>Doesn't Apply</t>
        </is>
      </c>
      <c r="D4" s="1767" t="inlineStr">
        <is>
          <t>Doesn't Apply</t>
        </is>
      </c>
      <c r="F4" s="1768" t="inlineStr">
        <is>
          <t>Doesn't Apply</t>
        </is>
      </c>
      <c r="M4" s="1769">
        <f>B22</f>
        <v/>
      </c>
      <c r="N4" s="1769" t="n">
        <v>0</v>
      </c>
      <c r="O4" s="1769">
        <f>M4-N4</f>
        <v/>
      </c>
      <c r="P4" s="1764" t="inlineStr">
        <is>
          <t>Predictive Problem Solving</t>
        </is>
      </c>
      <c r="Q4" s="1769">
        <f>B22</f>
        <v/>
      </c>
    </row>
    <row r="5" ht="16" customHeight="1" s="1883">
      <c r="A5" s="1772" t="inlineStr">
        <is>
          <t>Pre-Installed/Partner Application &amp; In-App Revenue (Per User Per Year)</t>
        </is>
      </c>
      <c r="B5" s="1771" t="n">
        <v>1.3</v>
      </c>
      <c r="C5" s="1767" t="inlineStr">
        <is>
          <t>Doesn't Apply</t>
        </is>
      </c>
      <c r="D5" s="1767" t="inlineStr">
        <is>
          <t>Doesn't Apply</t>
        </is>
      </c>
      <c r="F5" s="1768" t="inlineStr">
        <is>
          <t>Doesn't Apply</t>
        </is>
      </c>
      <c r="M5" s="1769">
        <f>B5</f>
        <v/>
      </c>
      <c r="N5" s="1769" t="n">
        <v>0</v>
      </c>
      <c r="O5" s="1769">
        <f>M5-N5</f>
        <v/>
      </c>
      <c r="P5" s="1764" t="inlineStr">
        <is>
          <t>Retarget Marketing &amp; Advertising</t>
        </is>
      </c>
      <c r="Q5" s="1769">
        <f>B43</f>
        <v/>
      </c>
    </row>
    <row r="6" ht="16" customHeight="1" s="1883">
      <c r="A6" s="1772" t="inlineStr">
        <is>
          <t>Partner Mobile E-Commerce &amp; Pure Tech E-Commerce Revenue (Per User Per Year)</t>
        </is>
      </c>
      <c r="B6" s="1771" t="n">
        <v>10</v>
      </c>
      <c r="C6" s="1767" t="inlineStr">
        <is>
          <t>Doesn't Apply</t>
        </is>
      </c>
      <c r="D6" s="1767" t="inlineStr">
        <is>
          <t>Doesn't Apply</t>
        </is>
      </c>
      <c r="F6" s="1768" t="inlineStr">
        <is>
          <t>Doesn't Apply</t>
        </is>
      </c>
      <c r="M6" s="1769">
        <f>B6</f>
        <v/>
      </c>
      <c r="N6" s="1769" t="n">
        <v>0</v>
      </c>
      <c r="O6" s="1769">
        <f>M6-N6</f>
        <v/>
      </c>
      <c r="P6" s="1764" t="inlineStr">
        <is>
          <t>Promoters / Social Marketing</t>
        </is>
      </c>
      <c r="Q6" s="1769">
        <f>B49</f>
        <v/>
      </c>
    </row>
    <row r="7" ht="17" customHeight="1" s="1883" thickBot="1">
      <c r="A7" s="1772" t="inlineStr">
        <is>
          <t>Pure Technology Mobile Monetization Revenue (Per User Per Year)</t>
        </is>
      </c>
      <c r="B7" s="1771" t="n">
        <v>5</v>
      </c>
      <c r="C7" s="1767" t="inlineStr">
        <is>
          <t>Doesn't Apply</t>
        </is>
      </c>
      <c r="D7" s="1767" t="inlineStr">
        <is>
          <t>Doesn't Apply</t>
        </is>
      </c>
      <c r="F7" s="1768" t="inlineStr">
        <is>
          <t>Doesn't Apply</t>
        </is>
      </c>
      <c r="M7" s="1769">
        <f>B7</f>
        <v/>
      </c>
      <c r="N7" s="1769" t="n">
        <v>0</v>
      </c>
      <c r="O7" s="1769">
        <f>M7-N7</f>
        <v/>
      </c>
      <c r="P7" s="1764" t="inlineStr">
        <is>
          <t>Sales</t>
        </is>
      </c>
      <c r="Q7" s="1769">
        <f>B54</f>
        <v/>
      </c>
    </row>
    <row r="8" ht="17" customHeight="1" s="1883" thickBot="1">
      <c r="A8" s="1772" t="inlineStr">
        <is>
          <t>User Marketing Revenue (Per User Per Year)</t>
        </is>
      </c>
      <c r="B8" s="1771" t="n">
        <v>10</v>
      </c>
      <c r="C8" s="1773">
        <f>(B8/G8)*10</f>
        <v/>
      </c>
      <c r="D8" s="2104">
        <f>C8/365</f>
        <v/>
      </c>
      <c r="E8" s="1768" t="inlineStr">
        <is>
          <t>Doesn't Apply</t>
        </is>
      </c>
      <c r="F8" s="1768" t="inlineStr">
        <is>
          <t>Doesn't Apply</t>
        </is>
      </c>
      <c r="G8" s="1775" t="n">
        <v>0.25</v>
      </c>
      <c r="H8" s="1775" t="n">
        <v>0</v>
      </c>
      <c r="I8" s="1775">
        <f>G8-H8</f>
        <v/>
      </c>
      <c r="J8" s="1775">
        <f>G8*10</f>
        <v/>
      </c>
      <c r="K8" s="1775" t="n">
        <v>0</v>
      </c>
      <c r="L8" s="1775">
        <f>J8-K8</f>
        <v/>
      </c>
      <c r="M8" s="1769">
        <f>B8</f>
        <v/>
      </c>
      <c r="N8" s="1769" t="n">
        <v>0</v>
      </c>
      <c r="O8" s="1769">
        <f>M8-N8</f>
        <v/>
      </c>
      <c r="P8" s="1776" t="inlineStr">
        <is>
          <t>Total</t>
        </is>
      </c>
      <c r="Q8" s="1777">
        <f>SUM(Q2:Q7)</f>
        <v/>
      </c>
    </row>
    <row r="9" ht="16" customHeight="1" s="1883">
      <c r="A9" s="1772" t="inlineStr">
        <is>
          <t>Sales Revenue (Per User Per Year)</t>
        </is>
      </c>
      <c r="B9" s="1771" t="n">
        <v>90</v>
      </c>
      <c r="C9" s="1778">
        <f>B9/G9</f>
        <v/>
      </c>
      <c r="D9" s="2105">
        <f>C9/365</f>
        <v/>
      </c>
      <c r="E9" s="1768" t="inlineStr">
        <is>
          <t>Doesn't Apply</t>
        </is>
      </c>
      <c r="F9" s="1768" t="inlineStr">
        <is>
          <t>Doesn't Apply</t>
        </is>
      </c>
      <c r="G9" s="1775">
        <f>B9/50</f>
        <v/>
      </c>
      <c r="H9" s="1775" t="n">
        <v>0</v>
      </c>
      <c r="I9" s="1775">
        <f>G9-H9</f>
        <v/>
      </c>
      <c r="J9" s="1775">
        <f>G9*10</f>
        <v/>
      </c>
      <c r="K9" s="1775" t="n">
        <v>0</v>
      </c>
      <c r="L9" s="1775">
        <f>J9-K9</f>
        <v/>
      </c>
      <c r="M9" s="1769">
        <f>B9</f>
        <v/>
      </c>
      <c r="N9" s="1769" t="n">
        <v>0</v>
      </c>
      <c r="O9" s="1769">
        <f>M9-N9</f>
        <v/>
      </c>
      <c r="P9" s="1775" t="n"/>
    </row>
    <row r="10" ht="16" customHeight="1" s="1883">
      <c r="A10" s="1765" t="inlineStr">
        <is>
          <t>Focus Groups &amp; Testing (Per User Per Year)</t>
        </is>
      </c>
      <c r="B10" s="1771" t="n">
        <v>1000</v>
      </c>
      <c r="C10" s="1767" t="n">
        <v>2</v>
      </c>
      <c r="D10" s="2105">
        <f>C10/365</f>
        <v/>
      </c>
      <c r="E10" s="1768" t="n">
        <v>60</v>
      </c>
      <c r="F10" s="1768">
        <f>C10*E10</f>
        <v/>
      </c>
      <c r="G10" s="1780">
        <f>B10/C10</f>
        <v/>
      </c>
      <c r="H10" s="1780">
        <f>E10*1</f>
        <v/>
      </c>
      <c r="I10" s="1780">
        <f>G10-H10</f>
        <v/>
      </c>
      <c r="J10" s="1780">
        <f>60/E10*G10</f>
        <v/>
      </c>
      <c r="K10" s="1780">
        <f>60/E10*H10</f>
        <v/>
      </c>
      <c r="L10" s="1780">
        <f>J10-K10</f>
        <v/>
      </c>
      <c r="M10" s="1769">
        <f>B10</f>
        <v/>
      </c>
      <c r="N10" s="1769">
        <f>H10*C10</f>
        <v/>
      </c>
      <c r="O10" s="1769">
        <f>M10-N10</f>
        <v/>
      </c>
    </row>
    <row r="11" ht="16" customHeight="1" s="1883">
      <c r="A11" s="1765" t="inlineStr">
        <is>
          <t>Mystery Shopping (Per User Per Year)</t>
        </is>
      </c>
      <c r="B11" s="1771" t="n">
        <v>1000</v>
      </c>
      <c r="C11" s="1767" t="n">
        <v>4</v>
      </c>
      <c r="D11" s="2105">
        <f>C11/365</f>
        <v/>
      </c>
      <c r="E11" s="1768" t="n">
        <v>30</v>
      </c>
      <c r="F11" s="1768">
        <f>C11*E11</f>
        <v/>
      </c>
      <c r="G11" s="1780">
        <f>B11/C11</f>
        <v/>
      </c>
      <c r="H11" s="1780">
        <f>E11*1</f>
        <v/>
      </c>
      <c r="I11" s="1780">
        <f>G11-H11</f>
        <v/>
      </c>
      <c r="J11" s="1780">
        <f>60/E11*G11</f>
        <v/>
      </c>
      <c r="K11" s="1780">
        <f>60/E11*H11</f>
        <v/>
      </c>
      <c r="L11" s="1780">
        <f>J11-K11</f>
        <v/>
      </c>
      <c r="M11" s="1769">
        <f>B11</f>
        <v/>
      </c>
      <c r="N11" s="1769">
        <f>H11*C11</f>
        <v/>
      </c>
      <c r="O11" s="1769">
        <f>M11-N11</f>
        <v/>
      </c>
    </row>
    <row r="12" ht="16" customHeight="1" s="1883">
      <c r="A12" s="1765" t="inlineStr">
        <is>
          <t>Consumer Experience Studies (Per User Per Year)</t>
        </is>
      </c>
      <c r="B12" s="1771" t="n">
        <v>187.5</v>
      </c>
      <c r="C12" s="1767" t="n">
        <v>5</v>
      </c>
      <c r="D12" s="2105">
        <f>C12/365</f>
        <v/>
      </c>
      <c r="E12" s="1768" t="n">
        <v>7.5</v>
      </c>
      <c r="F12" s="1768">
        <f>C12*E12</f>
        <v/>
      </c>
      <c r="G12" s="1780">
        <f>B12/C12</f>
        <v/>
      </c>
      <c r="H12" s="1780">
        <f>E12*1</f>
        <v/>
      </c>
      <c r="I12" s="1780">
        <f>G12-H12</f>
        <v/>
      </c>
      <c r="J12" s="1780">
        <f>60/E12*G12</f>
        <v/>
      </c>
      <c r="K12" s="1780">
        <f>60/E12*H12</f>
        <v/>
      </c>
      <c r="L12" s="1780">
        <f>J12-K12</f>
        <v/>
      </c>
      <c r="M12" s="1769">
        <f>B12</f>
        <v/>
      </c>
      <c r="N12" s="1769">
        <f>H12*C12</f>
        <v/>
      </c>
      <c r="O12" s="1769">
        <f>M12-N12</f>
        <v/>
      </c>
    </row>
    <row r="13" ht="16" customHeight="1" s="1883">
      <c r="A13" s="1765" t="inlineStr">
        <is>
          <t>All Different Surveys (Per User Per Year)</t>
        </is>
      </c>
      <c r="B13" s="1771" t="n">
        <v>200</v>
      </c>
      <c r="C13" s="1778" t="inlineStr">
        <is>
          <t>25</t>
        </is>
      </c>
      <c r="D13" s="2105">
        <f>C13/365</f>
        <v/>
      </c>
      <c r="E13" s="1768" t="n">
        <v>4</v>
      </c>
      <c r="F13" s="1781">
        <f>C13*E13</f>
        <v/>
      </c>
      <c r="G13" s="1780">
        <f>B13/C13</f>
        <v/>
      </c>
      <c r="H13" s="1780">
        <f>E13*1</f>
        <v/>
      </c>
      <c r="I13" s="1775">
        <f>G13-H13</f>
        <v/>
      </c>
      <c r="J13" s="1780">
        <f>60/E13*G13</f>
        <v/>
      </c>
      <c r="K13" s="1780">
        <f>60/E13*H13</f>
        <v/>
      </c>
      <c r="L13" s="1775">
        <f>J13-K13</f>
        <v/>
      </c>
      <c r="M13" s="1769">
        <f>B13</f>
        <v/>
      </c>
      <c r="N13" s="1769">
        <f>H13*C13</f>
        <v/>
      </c>
      <c r="O13" s="1769">
        <f>M13-N13</f>
        <v/>
      </c>
    </row>
    <row r="14" ht="16" customHeight="1" s="1883" thickBot="1">
      <c r="A14" s="1782" t="inlineStr">
        <is>
          <t>Social Media Grassroots Influencer Per Post</t>
        </is>
      </c>
      <c r="B14" s="1783" t="n">
        <v>100</v>
      </c>
      <c r="C14" s="1767" t="n">
        <v>15</v>
      </c>
      <c r="D14" s="2105">
        <f>C14/365</f>
        <v/>
      </c>
      <c r="E14" s="1784" t="n">
        <v>3</v>
      </c>
      <c r="F14" s="1784">
        <f>C14*E14</f>
        <v/>
      </c>
      <c r="G14" s="1780">
        <f>B14/C14</f>
        <v/>
      </c>
      <c r="H14" s="1780">
        <f>E14*1</f>
        <v/>
      </c>
      <c r="I14" s="1780">
        <f>G14-H14</f>
        <v/>
      </c>
      <c r="J14" s="1780">
        <f>60/E14*G14</f>
        <v/>
      </c>
      <c r="K14" s="1780">
        <f>60/E14*H14</f>
        <v/>
      </c>
      <c r="L14" s="1780">
        <f>J14-K14</f>
        <v/>
      </c>
      <c r="M14" s="1769">
        <f>B49</f>
        <v/>
      </c>
      <c r="N14" s="1769">
        <f>H14*C14*0.75</f>
        <v/>
      </c>
      <c r="O14" s="1769">
        <f>M14-N14</f>
        <v/>
      </c>
    </row>
    <row r="15" ht="18" customHeight="1" s="1883" thickBot="1" thickTop="1">
      <c r="A15" s="1785" t="inlineStr">
        <is>
          <t>Totals</t>
        </is>
      </c>
      <c r="B15" s="1786" t="n"/>
      <c r="C15" s="1787">
        <f>SUM(C8:C14)</f>
        <v/>
      </c>
      <c r="D15" s="2106">
        <f>SUM(D8:D14)</f>
        <v/>
      </c>
      <c r="E15" s="1789">
        <f>AVERAGE(E10:E14)</f>
        <v/>
      </c>
      <c r="F15" s="1790">
        <f>SUM(F10:F14)</f>
        <v/>
      </c>
      <c r="G15" s="1791">
        <f>AVERAGE(G10:G14)</f>
        <v/>
      </c>
      <c r="H15" s="1791">
        <f>AVERAGE(H10:H14)</f>
        <v/>
      </c>
      <c r="I15" s="1791">
        <f>AVERAGE(I10:I14)</f>
        <v/>
      </c>
      <c r="J15" s="1791">
        <f>AVERAGE(J10:J14)</f>
        <v/>
      </c>
      <c r="K15" s="1791">
        <f>AVERAGE(K10:K14)</f>
        <v/>
      </c>
      <c r="L15" s="1792">
        <f>AVERAGE(L10:L14)</f>
        <v/>
      </c>
      <c r="M15" s="1793">
        <f>SUM(M4:M14)</f>
        <v/>
      </c>
      <c r="N15" s="1793">
        <f>SUM(N4:N14)</f>
        <v/>
      </c>
      <c r="O15" s="1794">
        <f>SUM(O4:O14)</f>
        <v/>
      </c>
    </row>
    <row r="16" ht="63" customHeight="1" s="1883" thickBot="1" thickTop="1">
      <c r="F16" s="1795" t="inlineStr">
        <is>
          <t>Average Total Time Spent Working in Free Phone Per Year Per User In Hours</t>
        </is>
      </c>
      <c r="N16" s="1796" t="n"/>
    </row>
    <row r="17" ht="18" customHeight="1" s="1883" thickBot="1" thickTop="1">
      <c r="A17" s="1797" t="inlineStr">
        <is>
          <t>Predictive Problem Solving</t>
        </is>
      </c>
      <c r="B17" s="1765" t="n"/>
      <c r="F17" s="1798">
        <f>F15/60</f>
        <v/>
      </c>
      <c r="N17" s="1799" t="inlineStr">
        <is>
          <t>Cost of Phone &amp; Logistics</t>
        </is>
      </c>
      <c r="O17" s="1800" t="n"/>
    </row>
    <row r="18" ht="16" customHeight="1" s="1883" thickTop="1">
      <c r="A18" s="1801" t="inlineStr">
        <is>
          <t>Per Year Per Client</t>
        </is>
      </c>
      <c r="B18" s="1771">
        <f>B4*12</f>
        <v/>
      </c>
      <c r="N18" s="1802" t="n">
        <v>628</v>
      </c>
      <c r="O18" s="1803" t="n"/>
    </row>
    <row r="19">
      <c r="A19" s="1801" t="inlineStr">
        <is>
          <t>Per Year of 50% of clients</t>
        </is>
      </c>
      <c r="B19" s="1771">
        <f>B18*(B2/2)</f>
        <v/>
      </c>
      <c r="C19" s="1804">
        <f>B2/2</f>
        <v/>
      </c>
      <c r="D19" s="1764" t="inlineStr">
        <is>
          <t>&lt;-- half client amount</t>
        </is>
      </c>
      <c r="N19" s="1805" t="inlineStr">
        <is>
          <t xml:space="preserve">Total Cost </t>
        </is>
      </c>
      <c r="O19" s="1803" t="inlineStr">
        <is>
          <t xml:space="preserve">Total profits </t>
        </is>
      </c>
    </row>
    <row r="20" ht="16" customHeight="1" s="1883" thickBot="1">
      <c r="A20" s="1801" t="inlineStr">
        <is>
          <t>Per Year of total clients</t>
        </is>
      </c>
      <c r="B20" s="1771">
        <f>B18*B2</f>
        <v/>
      </c>
      <c r="N20" s="1806">
        <f>N15+N18</f>
        <v/>
      </c>
      <c r="O20" s="1807">
        <f>M15-N20</f>
        <v/>
      </c>
    </row>
    <row r="21" ht="15.75" customHeight="1" s="1883" thickBot="1" thickTop="1">
      <c r="A21" s="1808" t="inlineStr">
        <is>
          <t>Total Predictive Problem Solving Monetization</t>
        </is>
      </c>
      <c r="B21" s="1765" t="n"/>
    </row>
    <row r="22" ht="15.75" customHeight="1" s="1883" thickBot="1" thickTop="1">
      <c r="A22" s="1809" t="inlineStr">
        <is>
          <t>Case 1: 50% of clients (Per User Per Year)</t>
        </is>
      </c>
      <c r="B22" s="1810">
        <f>B19/B3</f>
        <v/>
      </c>
      <c r="G22" s="1811" t="inlineStr">
        <is>
          <t>Assumption Per $1,000 in User Earnings</t>
        </is>
      </c>
      <c r="H22" s="1812" t="n"/>
      <c r="I22" s="1812" t="n"/>
      <c r="J22" s="1813" t="n"/>
      <c r="K22" s="1811" t="inlineStr">
        <is>
          <t>Assumption Per $100 in User Earnings</t>
        </is>
      </c>
      <c r="L22" s="1812" t="n"/>
      <c r="M22" s="1812" t="n"/>
      <c r="N22" s="1813" t="n"/>
    </row>
    <row r="23" ht="15.75" customHeight="1" s="1883" thickTop="1">
      <c r="A23" s="1809" t="inlineStr">
        <is>
          <t>Case 2: Total clients (Per User Per Year)</t>
        </is>
      </c>
      <c r="B23" s="1810">
        <f>B20/B3</f>
        <v/>
      </c>
      <c r="G23" s="1814" t="inlineStr">
        <is>
          <t>Average User Earnings Per Hour</t>
        </is>
      </c>
      <c r="I23" s="1815" t="n"/>
      <c r="J23" s="1816">
        <f>K15</f>
        <v/>
      </c>
      <c r="K23" s="1814" t="inlineStr">
        <is>
          <t>Average User Earnings Per Hour</t>
        </is>
      </c>
      <c r="M23" s="1815" t="n"/>
      <c r="N23" s="1816">
        <f>K15</f>
        <v/>
      </c>
    </row>
    <row r="24" ht="15.75" customHeight="1" s="1883">
      <c r="A24" s="1765" t="n"/>
      <c r="B24" s="1765" t="n"/>
      <c r="G24" s="1814" t="inlineStr">
        <is>
          <t>How Many Hours a User Must Work per Year to Generate $1,000</t>
        </is>
      </c>
      <c r="J24" s="1817">
        <f>1000/J23</f>
        <v/>
      </c>
      <c r="K24" s="1814" t="inlineStr">
        <is>
          <t>How Many Hours a User Must Work per Year to Generate $100</t>
        </is>
      </c>
      <c r="N24" s="2107">
        <f>100/N23</f>
        <v/>
      </c>
    </row>
    <row r="25" ht="15.75" customHeight="1" s="1883">
      <c r="A25" s="1765" t="n"/>
      <c r="B25" s="1765" t="n"/>
      <c r="G25" s="1819" t="inlineStr">
        <is>
          <t>How Many Hours a User Must Work per Month to Generate $1,000</t>
        </is>
      </c>
      <c r="J25" s="1820">
        <f>J24/12</f>
        <v/>
      </c>
      <c r="K25" s="1819" t="inlineStr">
        <is>
          <t>How Many Hours a User Must Work per Month to Generate $100</t>
        </is>
      </c>
      <c r="N25" s="2108">
        <f>N24/12</f>
        <v/>
      </c>
    </row>
    <row r="26" ht="15.75" customHeight="1" s="1883">
      <c r="A26" s="1797" t="inlineStr">
        <is>
          <t>App &amp; Mobile Monetization</t>
        </is>
      </c>
      <c r="B26" s="1765" t="n"/>
      <c r="G26" s="1822" t="inlineStr">
        <is>
          <t xml:space="preserve">$1,000 In User Earnings </t>
        </is>
      </c>
      <c r="H26" s="1823" t="n"/>
      <c r="I26" s="1823" t="n"/>
      <c r="J26" s="1824">
        <f>J23*J24</f>
        <v/>
      </c>
      <c r="K26" s="1822" t="inlineStr">
        <is>
          <t xml:space="preserve">$100 In User Earnings </t>
        </is>
      </c>
      <c r="L26" s="1823" t="n"/>
      <c r="M26" s="1823" t="n"/>
      <c r="N26" s="1824">
        <f>N23*N24</f>
        <v/>
      </c>
    </row>
    <row r="27" ht="15.75" customHeight="1" s="1883">
      <c r="A27" s="1801" t="inlineStr">
        <is>
          <t>Pre-Installed/Partner Application &amp; In-App Revenue</t>
        </is>
      </c>
      <c r="B27" s="1771">
        <f>B5</f>
        <v/>
      </c>
      <c r="G27" s="1814" t="inlineStr">
        <is>
          <t>Average Profit Per User Per Hour</t>
        </is>
      </c>
      <c r="J27" s="1825">
        <f>L15</f>
        <v/>
      </c>
      <c r="K27" s="1814" t="inlineStr">
        <is>
          <t>Average Profit Per User Per Hour</t>
        </is>
      </c>
      <c r="N27" s="1825">
        <f>L15</f>
        <v/>
      </c>
    </row>
    <row r="28" ht="15.75" customHeight="1" s="1883">
      <c r="A28" s="1801" t="inlineStr">
        <is>
          <t>Partner Mobile E-Commerce &amp; Pure Tech E-Commerce Revenue</t>
        </is>
      </c>
      <c r="B28" s="1771">
        <f>B6</f>
        <v/>
      </c>
      <c r="G28" s="1814" t="inlineStr">
        <is>
          <t>Revenue Per User Per $1,000 Earned BY the User</t>
        </is>
      </c>
      <c r="J28" s="1825">
        <f>J27*J24</f>
        <v/>
      </c>
      <c r="K28" s="1814" t="inlineStr">
        <is>
          <t>Revenue Per User Per $100 Earned BY the User</t>
        </is>
      </c>
      <c r="N28" s="1825">
        <f>N27*N24</f>
        <v/>
      </c>
    </row>
    <row r="29" ht="15.75" customHeight="1" s="1883" thickBot="1">
      <c r="A29" s="1801" t="inlineStr">
        <is>
          <t>Pure Technology Mobile Monetization Revenue</t>
        </is>
      </c>
      <c r="B29" s="1771">
        <f>B7</f>
        <v/>
      </c>
      <c r="G29" s="1826" t="inlineStr">
        <is>
          <t>Total PROFIT Per User Per $1,000 Earned BY the User</t>
        </is>
      </c>
      <c r="H29" s="1827" t="n"/>
      <c r="I29" s="1827" t="n"/>
      <c r="J29" s="1828">
        <f>J28-J26</f>
        <v/>
      </c>
      <c r="K29" s="1826" t="inlineStr">
        <is>
          <t>Total PROFIT Per User Per $100 Earned BY the User</t>
        </is>
      </c>
      <c r="L29" s="1827" t="n"/>
      <c r="M29" s="1827" t="n"/>
      <c r="N29" s="1828">
        <f>N28-N26</f>
        <v/>
      </c>
    </row>
    <row r="30" ht="15.75" customHeight="1" s="1883" thickBot="1" thickTop="1">
      <c r="A30" s="1808" t="inlineStr">
        <is>
          <t>Total Potential App &amp; Mobile Monetization (Per User Per Year)</t>
        </is>
      </c>
      <c r="B30" s="1810">
        <f>SUM(B27:B29)</f>
        <v/>
      </c>
      <c r="G30" s="1829" t="inlineStr">
        <is>
          <t>Extrapolated Assumptions based on how many hours they COULD work in our system!</t>
        </is>
      </c>
      <c r="H30" s="1830" t="n"/>
      <c r="I30" s="1830" t="n"/>
      <c r="J30" s="1831" t="n"/>
    </row>
    <row r="31" ht="15.75" customHeight="1" s="1883" thickBot="1" thickTop="1">
      <c r="A31" s="1765" t="n"/>
      <c r="B31" s="1765" t="n"/>
      <c r="G31" s="1964" t="inlineStr">
        <is>
          <t>If a user works a total of approx 100 hours in a year THEY EARN</t>
        </is>
      </c>
      <c r="H31" s="1965" t="n"/>
      <c r="I31" s="1966" t="n"/>
      <c r="J31" s="1832">
        <f>J23*100</f>
        <v/>
      </c>
    </row>
    <row r="32" ht="15.75" customHeight="1" s="1883" thickBot="1">
      <c r="A32" s="1765" t="n"/>
      <c r="B32" s="1765" t="n"/>
      <c r="G32" s="1958" t="inlineStr">
        <is>
          <t>If a user works a total of approx 100 hours in a year WE EARN</t>
        </is>
      </c>
      <c r="H32" s="1959" t="n"/>
      <c r="I32" s="1960" t="n"/>
      <c r="J32" s="1833">
        <f>J29*4.7</f>
        <v/>
      </c>
    </row>
    <row r="33" ht="15.75" customHeight="1" s="1883" thickBot="1">
      <c r="A33" s="1797" t="inlineStr">
        <is>
          <t>Market Research</t>
        </is>
      </c>
      <c r="B33" s="1765" t="n"/>
      <c r="G33" s="1967" t="inlineStr">
        <is>
          <t>If a user works a total of approx 150 hours in a year THEY EARN</t>
        </is>
      </c>
      <c r="H33" s="1959" t="n"/>
      <c r="I33" s="1960" t="n"/>
      <c r="J33" s="1834">
        <f>J23*150</f>
        <v/>
      </c>
    </row>
    <row r="34" ht="15.75" customHeight="1" s="1883" thickBot="1">
      <c r="A34" s="1801" t="inlineStr">
        <is>
          <t>Focus Groups &amp; Testing (Per User Per Year)</t>
        </is>
      </c>
      <c r="B34" s="1771">
        <f>B10</f>
        <v/>
      </c>
      <c r="G34" s="1958" t="inlineStr">
        <is>
          <t>If a user works a total of approx 150 hours in a year WE EARN</t>
        </is>
      </c>
      <c r="H34" s="1959" t="n"/>
      <c r="I34" s="1960" t="n"/>
      <c r="J34" s="1833">
        <f>J29*7.05</f>
        <v/>
      </c>
    </row>
    <row r="35" ht="15.75" customHeight="1" s="1883" thickBot="1">
      <c r="A35" s="1801" t="inlineStr">
        <is>
          <t>Mystery Shopping (Per User Per Year)</t>
        </is>
      </c>
      <c r="B35" s="1771">
        <f>B11</f>
        <v/>
      </c>
      <c r="G35" s="1967" t="inlineStr">
        <is>
          <t>If a user works a total of approx 200 hours in a year THEY EARN</t>
        </is>
      </c>
      <c r="H35" s="1959" t="n"/>
      <c r="I35" s="1960" t="n"/>
      <c r="J35" s="1834">
        <f>J23*200</f>
        <v/>
      </c>
    </row>
    <row r="36" ht="15.75" customHeight="1" s="1883" thickBot="1">
      <c r="A36" s="1801" t="inlineStr">
        <is>
          <t>Consumer Experience Studies (Per User Per Year)</t>
        </is>
      </c>
      <c r="B36" s="1771">
        <f>B12</f>
        <v/>
      </c>
      <c r="G36" s="1961" t="inlineStr">
        <is>
          <t>If a user works a total of approx 200 hours in a year WE EARN</t>
        </is>
      </c>
      <c r="H36" s="1962" t="n"/>
      <c r="I36" s="1963" t="n"/>
      <c r="J36" s="1835">
        <f>J29*9.4</f>
        <v/>
      </c>
    </row>
    <row r="37" ht="15.75" customHeight="1" s="1883" thickTop="1">
      <c r="A37" s="1801" t="inlineStr">
        <is>
          <t>All Different Surveys (Per User Per Year)</t>
        </is>
      </c>
      <c r="B37" s="1771">
        <f>B13</f>
        <v/>
      </c>
    </row>
    <row r="38" ht="15.75" customHeight="1" s="1883">
      <c r="A38" s="1797" t="inlineStr">
        <is>
          <t>Total Potential Market Research Revenue (Per User Per Year)</t>
        </is>
      </c>
      <c r="B38" s="1836">
        <f>SUM(B34:B37)</f>
        <v/>
      </c>
      <c r="C38" s="1764" t="inlineStr">
        <is>
          <t>&lt;-- THE MAGIC NUMBER</t>
        </is>
      </c>
    </row>
    <row r="39" ht="15.75" customHeight="1" s="1883">
      <c r="A39" s="1765" t="n"/>
      <c r="B39" s="1765" t="n"/>
    </row>
    <row r="40" ht="15.75" customHeight="1" s="1883">
      <c r="A40" s="1765" t="n"/>
      <c r="B40" s="1765" t="n"/>
    </row>
    <row r="41" ht="15.75" customHeight="1" s="1883">
      <c r="A41" s="1797" t="inlineStr">
        <is>
          <t xml:space="preserve">Retarget Marketing &amp; Advertising </t>
        </is>
      </c>
      <c r="B41" s="1765" t="n"/>
    </row>
    <row r="42" ht="15.75" customHeight="1" s="1883">
      <c r="A42" s="1801" t="inlineStr">
        <is>
          <t>User Marketing Revenue (Per User Per Year)</t>
        </is>
      </c>
      <c r="B42" s="1771">
        <f>B8</f>
        <v/>
      </c>
    </row>
    <row r="43" ht="15.75" customHeight="1" s="1883">
      <c r="A43" s="1797" t="inlineStr">
        <is>
          <t>Total User Marketing Revenue (Per User Per Year)</t>
        </is>
      </c>
      <c r="B43" s="1810">
        <f>B42</f>
        <v/>
      </c>
    </row>
    <row r="44" ht="15.75" customHeight="1" s="1883">
      <c r="A44" s="1765" t="n"/>
      <c r="B44" s="1765" t="n"/>
    </row>
    <row r="45" ht="15.75" customHeight="1" s="1883">
      <c r="A45" s="1765" t="n"/>
      <c r="B45" s="1765" t="n"/>
    </row>
    <row r="46" ht="15.75" customHeight="1" s="1883">
      <c r="A46" s="1797" t="inlineStr">
        <is>
          <t>Promoters (Social media grassroots influencers)</t>
        </is>
      </c>
      <c r="B46" s="1765" t="n"/>
    </row>
    <row r="47" ht="15.75" customHeight="1" s="1883">
      <c r="A47" s="1801" t="inlineStr">
        <is>
          <t>Target frequency (Per User Per Year)</t>
        </is>
      </c>
      <c r="B47" s="1765">
        <f>C14</f>
        <v/>
      </c>
    </row>
    <row r="48" ht="15.75" customHeight="1" s="1883">
      <c r="A48" s="1801" t="inlineStr">
        <is>
          <t>Per Post</t>
        </is>
      </c>
      <c r="B48" s="1771">
        <f>G14</f>
        <v/>
      </c>
    </row>
    <row r="49" ht="15.75" customHeight="1" s="1883">
      <c r="A49" s="1797" t="inlineStr">
        <is>
          <t>Total Promoter Revenue</t>
        </is>
      </c>
      <c r="B49" s="1810">
        <f>B47*B48*0.75</f>
        <v/>
      </c>
    </row>
    <row r="50" ht="15.75" customHeight="1" s="1883">
      <c r="A50" s="1765" t="n"/>
      <c r="B50" s="1765" t="n"/>
    </row>
    <row r="51" ht="15.75" customHeight="1" s="1883">
      <c r="A51" s="1765" t="n"/>
      <c r="B51" s="1765" t="n"/>
    </row>
    <row r="52" ht="15.75" customHeight="1" s="1883">
      <c r="A52" s="1797" t="inlineStr">
        <is>
          <t>Sales</t>
        </is>
      </c>
      <c r="B52" s="1765" t="n"/>
    </row>
    <row r="53" ht="15.75" customHeight="1" s="1883">
      <c r="A53" s="1801" t="inlineStr">
        <is>
          <t>Sales Revenue (Per User Per Year)</t>
        </is>
      </c>
      <c r="B53" s="1771">
        <f>B9</f>
        <v/>
      </c>
    </row>
    <row r="54" ht="15.75" customHeight="1" s="1883">
      <c r="A54" s="1797" t="inlineStr">
        <is>
          <t>Total Sales (Per User Per Year)</t>
        </is>
      </c>
      <c r="B54" s="1810">
        <f>B53</f>
        <v/>
      </c>
    </row>
    <row r="55" ht="15.75" customHeight="1" s="1883"/>
    <row r="56" ht="15.75" customHeight="1" s="1883"/>
    <row r="57" ht="15.75" customHeight="1" s="1883"/>
    <row r="58" ht="15.75" customHeight="1" s="1883"/>
    <row r="59" ht="15.75" customHeight="1" s="1883"/>
    <row r="60" ht="15.75" customHeight="1" s="1883"/>
    <row r="61" ht="15.75" customHeight="1" s="1883"/>
    <row r="62" ht="15.75" customHeight="1" s="1883"/>
    <row r="63" ht="15.75" customHeight="1" s="1883"/>
    <row r="64" ht="15.75" customHeight="1" s="1883"/>
    <row r="65" ht="15.75" customHeight="1" s="1883"/>
    <row r="66" ht="15.75" customHeight="1" s="1883"/>
    <row r="67" ht="15.75" customHeight="1" s="1883"/>
    <row r="68" ht="15.75" customHeight="1" s="1883"/>
    <row r="69" ht="15.75" customHeight="1" s="1883"/>
    <row r="70" ht="15.75" customHeight="1" s="1883"/>
    <row r="71" ht="15.75" customHeight="1" s="1883"/>
    <row r="72" ht="15.75" customHeight="1" s="1883"/>
    <row r="73" ht="15.75" customHeight="1" s="1883"/>
    <row r="74" ht="15.75" customHeight="1" s="1883"/>
    <row r="75" ht="15.75" customHeight="1" s="1883"/>
    <row r="76" ht="15.75" customHeight="1" s="1883"/>
    <row r="77" ht="15.75" customHeight="1" s="1883"/>
    <row r="78" ht="15.75" customHeight="1" s="1883"/>
    <row r="79" ht="15.75" customHeight="1" s="1883"/>
    <row r="80" ht="15.75" customHeight="1" s="1883"/>
    <row r="81" ht="15.75" customHeight="1" s="1883"/>
    <row r="82" ht="15.75" customHeight="1" s="1883"/>
    <row r="83" ht="15.75" customHeight="1" s="1883"/>
    <row r="84" ht="15.75" customHeight="1" s="1883"/>
    <row r="85" ht="15.75" customHeight="1" s="1883"/>
    <row r="86" ht="15.75" customHeight="1" s="1883"/>
    <row r="87" ht="15.75" customHeight="1" s="1883"/>
    <row r="88" ht="15.75" customHeight="1" s="1883"/>
    <row r="89" ht="15.75" customHeight="1" s="1883"/>
    <row r="90" ht="15.75" customHeight="1" s="1883"/>
    <row r="91" ht="15.75" customHeight="1" s="1883"/>
    <row r="92" ht="15.75" customHeight="1" s="1883"/>
    <row r="93" ht="15.75" customHeight="1" s="1883"/>
    <row r="94" ht="15.75" customHeight="1" s="1883"/>
    <row r="95" ht="15.75" customHeight="1" s="1883"/>
    <row r="96" ht="15.75" customHeight="1" s="1883"/>
    <row r="97" ht="15.75" customHeight="1" s="1883"/>
    <row r="98" ht="15.75" customHeight="1" s="1883"/>
    <row r="99" ht="15.75" customHeight="1" s="1883"/>
    <row r="100" ht="15.75" customHeight="1" s="1883"/>
    <row r="101" ht="15.75" customHeight="1" s="1883"/>
    <row r="102" ht="15.75" customHeight="1" s="1883"/>
    <row r="103" ht="15.75" customHeight="1" s="1883"/>
    <row r="104" ht="15.75" customHeight="1" s="1883"/>
    <row r="105" ht="15.75" customHeight="1" s="1883"/>
    <row r="106" ht="15.75" customHeight="1" s="1883"/>
    <row r="107" ht="15.75" customHeight="1" s="1883"/>
    <row r="108" ht="15.75" customHeight="1" s="1883"/>
    <row r="109" ht="15.75" customHeight="1" s="1883"/>
    <row r="110" ht="15.75" customHeight="1" s="1883"/>
    <row r="111" ht="15.75" customHeight="1" s="1883"/>
    <row r="112" ht="15.75" customHeight="1" s="1883"/>
    <row r="113" ht="15.75" customHeight="1" s="1883"/>
    <row r="114" ht="15.75" customHeight="1" s="1883"/>
    <row r="115" ht="15.75" customHeight="1" s="1883"/>
    <row r="116" ht="15.75" customHeight="1" s="1883"/>
    <row r="117" ht="15.75" customHeight="1" s="1883"/>
    <row r="118" ht="15.75" customHeight="1" s="1883"/>
    <row r="119" ht="15.75" customHeight="1" s="1883"/>
    <row r="120" ht="15.75" customHeight="1" s="1883"/>
    <row r="121" ht="15.75" customHeight="1" s="1883"/>
    <row r="122" ht="15.75" customHeight="1" s="1883"/>
    <row r="123" ht="15.75" customHeight="1" s="1883"/>
    <row r="124" ht="15.75" customHeight="1" s="1883"/>
    <row r="125" ht="15.75" customHeight="1" s="1883"/>
    <row r="126" ht="15.75" customHeight="1" s="1883"/>
    <row r="127" ht="15.75" customHeight="1" s="1883"/>
    <row r="128" ht="15.75" customHeight="1" s="1883"/>
    <row r="129" ht="15.75" customHeight="1" s="1883"/>
    <row r="130" ht="15.75" customHeight="1" s="1883"/>
    <row r="131" ht="15.75" customHeight="1" s="1883"/>
    <row r="132" ht="15.75" customHeight="1" s="1883"/>
    <row r="133" ht="15.75" customHeight="1" s="1883"/>
    <row r="134" ht="15.75" customHeight="1" s="1883"/>
    <row r="135" ht="15.75" customHeight="1" s="1883"/>
    <row r="136" ht="15.75" customHeight="1" s="1883"/>
    <row r="137" ht="15.75" customHeight="1" s="1883"/>
    <row r="138" ht="15.75" customHeight="1" s="1883"/>
    <row r="139" ht="15.75" customHeight="1" s="1883"/>
    <row r="140" ht="15.75" customHeight="1" s="1883"/>
    <row r="141" ht="15.75" customHeight="1" s="1883"/>
    <row r="142" ht="15.75" customHeight="1" s="1883"/>
    <row r="143" ht="15.75" customHeight="1" s="1883"/>
    <row r="144" ht="15.75" customHeight="1" s="1883"/>
    <row r="145" ht="15.75" customHeight="1" s="1883"/>
    <row r="146" ht="15.75" customHeight="1" s="1883"/>
    <row r="147" ht="15.75" customHeight="1" s="1883"/>
    <row r="148" ht="15.75" customHeight="1" s="1883"/>
    <row r="149" ht="15.75" customHeight="1" s="1883"/>
    <row r="150" ht="15.75" customHeight="1" s="1883"/>
    <row r="151" ht="15.75" customHeight="1" s="1883"/>
    <row r="152" ht="15.75" customHeight="1" s="1883"/>
    <row r="153" ht="15.75" customHeight="1" s="1883"/>
    <row r="154" ht="15.75" customHeight="1" s="1883"/>
    <row r="155" ht="15.75" customHeight="1" s="1883"/>
    <row r="156" ht="15.75" customHeight="1" s="1883"/>
    <row r="157" ht="15.75" customHeight="1" s="1883"/>
    <row r="158" ht="15.75" customHeight="1" s="1883"/>
    <row r="159" ht="15.75" customHeight="1" s="1883"/>
    <row r="160" ht="15.75" customHeight="1" s="1883"/>
    <row r="161" ht="15.75" customHeight="1" s="1883"/>
    <row r="162" ht="15.75" customHeight="1" s="1883"/>
    <row r="163" ht="15.75" customHeight="1" s="1883"/>
    <row r="164" ht="15.75" customHeight="1" s="1883"/>
    <row r="165" ht="15.75" customHeight="1" s="1883"/>
    <row r="166" ht="15.75" customHeight="1" s="1883"/>
    <row r="167" ht="15.75" customHeight="1" s="1883"/>
    <row r="168" ht="15.75" customHeight="1" s="1883"/>
    <row r="169" ht="15.75" customHeight="1" s="1883"/>
    <row r="170" ht="15.75" customHeight="1" s="1883"/>
    <row r="171" ht="15.75" customHeight="1" s="1883"/>
    <row r="172" ht="15.75" customHeight="1" s="1883"/>
    <row r="173" ht="15.75" customHeight="1" s="1883"/>
    <row r="174" ht="15.75" customHeight="1" s="1883"/>
    <row r="175" ht="15.75" customHeight="1" s="1883"/>
    <row r="176" ht="15.75" customHeight="1" s="1883"/>
    <row r="177" ht="15.75" customHeight="1" s="1883"/>
    <row r="178" ht="15.75" customHeight="1" s="1883"/>
    <row r="179" ht="15.75" customHeight="1" s="1883"/>
    <row r="180" ht="15.75" customHeight="1" s="1883"/>
    <row r="181" ht="15.75" customHeight="1" s="1883"/>
    <row r="182" ht="15.75" customHeight="1" s="1883"/>
    <row r="183" ht="15.75" customHeight="1" s="1883"/>
    <row r="184" ht="15.75" customHeight="1" s="1883"/>
    <row r="185" ht="15.75" customHeight="1" s="1883"/>
    <row r="186" ht="15.75" customHeight="1" s="1883"/>
    <row r="187" ht="15.75" customHeight="1" s="1883"/>
    <row r="188" ht="15.75" customHeight="1" s="1883"/>
    <row r="189" ht="15.75" customHeight="1" s="1883"/>
    <row r="190" ht="15.75" customHeight="1" s="1883"/>
    <row r="191" ht="15.75" customHeight="1" s="1883"/>
    <row r="192" ht="15.75" customHeight="1" s="1883"/>
    <row r="193" ht="15.75" customHeight="1" s="1883"/>
    <row r="194" ht="15.75" customHeight="1" s="1883"/>
    <row r="195" ht="15.75" customHeight="1" s="1883"/>
    <row r="196" ht="15.75" customHeight="1" s="1883"/>
    <row r="197" ht="15.75" customHeight="1" s="1883"/>
    <row r="198" ht="15.75" customHeight="1" s="1883"/>
    <row r="199" ht="15.75" customHeight="1" s="1883"/>
    <row r="200" ht="15.75" customHeight="1" s="1883"/>
    <row r="201" ht="15.75" customHeight="1" s="1883"/>
    <row r="202" ht="15.75" customHeight="1" s="1883"/>
    <row r="203" ht="15.75" customHeight="1" s="1883"/>
    <row r="204" ht="15.75" customHeight="1" s="1883"/>
    <row r="205" ht="15.75" customHeight="1" s="1883"/>
    <row r="206" ht="15.75" customHeight="1" s="1883"/>
    <row r="207" ht="15.75" customHeight="1" s="1883"/>
    <row r="208" ht="15.75" customHeight="1" s="1883"/>
    <row r="209" ht="15.75" customHeight="1" s="1883"/>
    <row r="210" ht="15.75" customHeight="1" s="1883"/>
    <row r="211" ht="15.75" customHeight="1" s="1883"/>
    <row r="212" ht="15.75" customHeight="1" s="1883"/>
    <row r="213" ht="15.75" customHeight="1" s="1883"/>
    <row r="214" ht="15.75" customHeight="1" s="1883"/>
    <row r="215" ht="15.75" customHeight="1" s="1883"/>
    <row r="216" ht="15.75" customHeight="1" s="1883"/>
    <row r="217" ht="15.75" customHeight="1" s="1883"/>
    <row r="218" ht="15.75" customHeight="1" s="1883"/>
    <row r="219" ht="15.75" customHeight="1" s="1883"/>
    <row r="220" ht="15.75" customHeight="1" s="1883"/>
    <row r="221" ht="15.75" customHeight="1" s="1883"/>
    <row r="222" ht="15.75" customHeight="1" s="1883"/>
    <row r="223" ht="15.75" customHeight="1" s="1883"/>
    <row r="224" ht="15.75" customHeight="1" s="1883"/>
    <row r="225" ht="15.75" customHeight="1" s="1883"/>
    <row r="226" ht="15.75" customHeight="1" s="1883"/>
    <row r="227" ht="15.75" customHeight="1" s="1883"/>
    <row r="228" ht="15.75" customHeight="1" s="1883"/>
    <row r="229" ht="15.75" customHeight="1" s="1883"/>
    <row r="230" ht="15.75" customHeight="1" s="1883"/>
    <row r="231" ht="15.75" customHeight="1" s="1883"/>
    <row r="232" ht="15.75" customHeight="1" s="1883"/>
    <row r="233" ht="15.75" customHeight="1" s="1883"/>
    <row r="234" ht="15.75" customHeight="1" s="1883"/>
    <row r="235" ht="15.75" customHeight="1" s="1883"/>
    <row r="236" ht="15.75" customHeight="1" s="1883"/>
    <row r="237" ht="15.75" customHeight="1" s="1883"/>
    <row r="238" ht="15.75" customHeight="1" s="1883"/>
    <row r="239" ht="15.75" customHeight="1" s="1883"/>
    <row r="240" ht="15.75" customHeight="1" s="1883"/>
    <row r="241" ht="15.75" customHeight="1" s="1883"/>
    <row r="242" ht="15.75" customHeight="1" s="1883"/>
    <row r="243" ht="15.75" customHeight="1" s="1883"/>
    <row r="244" ht="15.75" customHeight="1" s="1883"/>
    <row r="245" ht="15.75" customHeight="1" s="1883"/>
    <row r="246" ht="15.75" customHeight="1" s="1883"/>
    <row r="247" ht="15.75" customHeight="1" s="1883"/>
    <row r="248" ht="15.75" customHeight="1" s="1883"/>
    <row r="249" ht="15.75" customHeight="1" s="1883"/>
    <row r="250" ht="15.75" customHeight="1" s="1883"/>
    <row r="251" ht="15.75" customHeight="1" s="1883"/>
    <row r="252" ht="15.75" customHeight="1" s="1883"/>
    <row r="253" ht="15.75" customHeight="1" s="1883"/>
    <row r="254" ht="15.75" customHeight="1" s="1883"/>
    <row r="255" ht="15.75" customHeight="1" s="1883"/>
    <row r="256" ht="15.75" customHeight="1" s="1883"/>
    <row r="257" ht="15.75" customHeight="1" s="1883"/>
    <row r="258" ht="15.75" customHeight="1" s="1883"/>
    <row r="259" ht="15.75" customHeight="1" s="1883"/>
    <row r="260" ht="15.75" customHeight="1" s="1883"/>
    <row r="261" ht="15.75" customHeight="1" s="1883"/>
    <row r="262" ht="15.75" customHeight="1" s="1883"/>
    <row r="263" ht="15.75" customHeight="1" s="1883"/>
    <row r="264" ht="15.75" customHeight="1" s="1883"/>
    <row r="265" ht="15.75" customHeight="1" s="1883"/>
    <row r="266" ht="15.75" customHeight="1" s="1883"/>
    <row r="267" ht="15.75" customHeight="1" s="1883"/>
    <row r="268" ht="15.75" customHeight="1" s="1883"/>
    <row r="269" ht="15.75" customHeight="1" s="1883"/>
    <row r="270" ht="15.75" customHeight="1" s="1883"/>
    <row r="271" ht="15.75" customHeight="1" s="1883"/>
    <row r="272" ht="15.75" customHeight="1" s="1883"/>
    <row r="273" ht="15.75" customHeight="1" s="1883"/>
    <row r="274" ht="15.75" customHeight="1" s="1883"/>
    <row r="275" ht="15.75" customHeight="1" s="1883"/>
    <row r="276" ht="15.75" customHeight="1" s="1883"/>
    <row r="277" ht="15.75" customHeight="1" s="1883"/>
    <row r="278" ht="15.75" customHeight="1" s="1883"/>
    <row r="279" ht="15.75" customHeight="1" s="1883"/>
    <row r="280" ht="15.75" customHeight="1" s="1883"/>
    <row r="281" ht="15.75" customHeight="1" s="1883"/>
    <row r="282" ht="15.75" customHeight="1" s="1883"/>
    <row r="283" ht="15.75" customHeight="1" s="1883"/>
    <row r="284" ht="15.75" customHeight="1" s="1883"/>
    <row r="285" ht="15.75" customHeight="1" s="1883"/>
    <row r="286" ht="15.75" customHeight="1" s="1883"/>
    <row r="287" ht="15.75" customHeight="1" s="1883"/>
    <row r="288" ht="15.75" customHeight="1" s="1883"/>
    <row r="289" ht="15.75" customHeight="1" s="1883"/>
    <row r="290" ht="15.75" customHeight="1" s="1883"/>
    <row r="291" ht="15.75" customHeight="1" s="1883"/>
    <row r="292" ht="15.75" customHeight="1" s="1883"/>
    <row r="293" ht="15.75" customHeight="1" s="1883"/>
    <row r="294" ht="15.75" customHeight="1" s="1883"/>
    <row r="295" ht="15.75" customHeight="1" s="1883"/>
    <row r="296" ht="15.75" customHeight="1" s="1883"/>
    <row r="297" ht="15.75" customHeight="1" s="1883"/>
    <row r="298" ht="15.75" customHeight="1" s="1883"/>
    <row r="299" ht="15.75" customHeight="1" s="1883"/>
    <row r="300" ht="15.75" customHeight="1" s="1883"/>
    <row r="301" ht="15.75" customHeight="1" s="1883"/>
    <row r="302" ht="15.75" customHeight="1" s="1883"/>
    <row r="303" ht="15.75" customHeight="1" s="1883"/>
    <row r="304" ht="15.75" customHeight="1" s="1883"/>
    <row r="305" ht="15.75" customHeight="1" s="1883"/>
    <row r="306" ht="15.75" customHeight="1" s="1883"/>
    <row r="307" ht="15.75" customHeight="1" s="1883"/>
    <row r="308" ht="15.75" customHeight="1" s="1883"/>
    <row r="309" ht="15.75" customHeight="1" s="1883"/>
    <row r="310" ht="15.75" customHeight="1" s="1883"/>
    <row r="311" ht="15.75" customHeight="1" s="1883"/>
    <row r="312" ht="15.75" customHeight="1" s="1883"/>
    <row r="313" ht="15.75" customHeight="1" s="1883"/>
    <row r="314" ht="15.75" customHeight="1" s="1883"/>
    <row r="315" ht="15.75" customHeight="1" s="1883"/>
    <row r="316" ht="15.75" customHeight="1" s="1883"/>
    <row r="317" ht="15.75" customHeight="1" s="1883"/>
    <row r="318" ht="15.75" customHeight="1" s="1883"/>
    <row r="319" ht="15.75" customHeight="1" s="1883"/>
    <row r="320" ht="15.75" customHeight="1" s="1883"/>
    <row r="321" ht="15.75" customHeight="1" s="1883"/>
    <row r="322" ht="15.75" customHeight="1" s="1883"/>
    <row r="323" ht="15.75" customHeight="1" s="1883"/>
    <row r="324" ht="15.75" customHeight="1" s="1883"/>
    <row r="325" ht="15.75" customHeight="1" s="1883"/>
    <row r="326" ht="15.75" customHeight="1" s="1883"/>
    <row r="327" ht="15.75" customHeight="1" s="1883"/>
    <row r="328" ht="15.75" customHeight="1" s="1883"/>
    <row r="329" ht="15.75" customHeight="1" s="1883"/>
    <row r="330" ht="15.75" customHeight="1" s="1883"/>
    <row r="331" ht="15.75" customHeight="1" s="1883"/>
    <row r="332" ht="15.75" customHeight="1" s="1883"/>
    <row r="333" ht="15.75" customHeight="1" s="1883"/>
    <row r="334" ht="15.75" customHeight="1" s="1883"/>
    <row r="335" ht="15.75" customHeight="1" s="1883"/>
    <row r="336" ht="15.75" customHeight="1" s="1883"/>
    <row r="337" ht="15.75" customHeight="1" s="1883"/>
    <row r="338" ht="15.75" customHeight="1" s="1883"/>
    <row r="339" ht="15.75" customHeight="1" s="1883"/>
    <row r="340" ht="15.75" customHeight="1" s="1883"/>
    <row r="341" ht="15.75" customHeight="1" s="1883"/>
    <row r="342" ht="15.75" customHeight="1" s="1883"/>
    <row r="343" ht="15.75" customHeight="1" s="1883"/>
    <row r="344" ht="15.75" customHeight="1" s="1883"/>
    <row r="345" ht="15.75" customHeight="1" s="1883"/>
    <row r="346" ht="15.75" customHeight="1" s="1883"/>
    <row r="347" ht="15.75" customHeight="1" s="1883"/>
    <row r="348" ht="15.75" customHeight="1" s="1883"/>
    <row r="349" ht="15.75" customHeight="1" s="1883"/>
    <row r="350" ht="15.75" customHeight="1" s="1883"/>
    <row r="351" ht="15.75" customHeight="1" s="1883"/>
    <row r="352" ht="15.75" customHeight="1" s="1883"/>
    <row r="353" ht="15.75" customHeight="1" s="1883"/>
    <row r="354" ht="15.75" customHeight="1" s="1883"/>
    <row r="355" ht="15.75" customHeight="1" s="1883"/>
    <row r="356" ht="15.75" customHeight="1" s="1883"/>
    <row r="357" ht="15.75" customHeight="1" s="1883"/>
    <row r="358" ht="15.75" customHeight="1" s="1883"/>
    <row r="359" ht="15.75" customHeight="1" s="1883"/>
    <row r="360" ht="15.75" customHeight="1" s="1883"/>
    <row r="361" ht="15.75" customHeight="1" s="1883"/>
    <row r="362" ht="15.75" customHeight="1" s="1883"/>
    <row r="363" ht="15.75" customHeight="1" s="1883"/>
    <row r="364" ht="15.75" customHeight="1" s="1883"/>
    <row r="365" ht="15.75" customHeight="1" s="1883"/>
    <row r="366" ht="15.75" customHeight="1" s="1883"/>
    <row r="367" ht="15.75" customHeight="1" s="1883"/>
    <row r="368" ht="15.75" customHeight="1" s="1883"/>
    <row r="369" ht="15.75" customHeight="1" s="1883"/>
    <row r="370" ht="15.75" customHeight="1" s="1883"/>
    <row r="371" ht="15.75" customHeight="1" s="1883"/>
    <row r="372" ht="15.75" customHeight="1" s="1883"/>
    <row r="373" ht="15.75" customHeight="1" s="1883"/>
    <row r="374" ht="15.75" customHeight="1" s="1883"/>
    <row r="375" ht="15.75" customHeight="1" s="1883"/>
    <row r="376" ht="15.75" customHeight="1" s="1883"/>
    <row r="377" ht="15.75" customHeight="1" s="1883"/>
    <row r="378" ht="15.75" customHeight="1" s="1883"/>
    <row r="379" ht="15.75" customHeight="1" s="1883"/>
    <row r="380" ht="15.75" customHeight="1" s="1883"/>
    <row r="381" ht="15.75" customHeight="1" s="1883"/>
    <row r="382" ht="15.75" customHeight="1" s="1883"/>
    <row r="383" ht="15.75" customHeight="1" s="1883"/>
    <row r="384" ht="15.75" customHeight="1" s="1883"/>
    <row r="385" ht="15.75" customHeight="1" s="1883"/>
    <row r="386" ht="15.75" customHeight="1" s="1883"/>
    <row r="387" ht="15.75" customHeight="1" s="1883"/>
    <row r="388" ht="15.75" customHeight="1" s="1883"/>
    <row r="389" ht="15.75" customHeight="1" s="1883"/>
    <row r="390" ht="15.75" customHeight="1" s="1883"/>
    <row r="391" ht="15.75" customHeight="1" s="1883"/>
    <row r="392" ht="15.75" customHeight="1" s="1883"/>
    <row r="393" ht="15.75" customHeight="1" s="1883"/>
    <row r="394" ht="15.75" customHeight="1" s="1883"/>
    <row r="395" ht="15.75" customHeight="1" s="1883"/>
    <row r="396" ht="15.75" customHeight="1" s="1883"/>
    <row r="397" ht="15.75" customHeight="1" s="1883"/>
    <row r="398" ht="15.75" customHeight="1" s="1883"/>
    <row r="399" ht="15.75" customHeight="1" s="1883"/>
    <row r="400" ht="15.75" customHeight="1" s="1883"/>
    <row r="401" ht="15.75" customHeight="1" s="1883"/>
    <row r="402" ht="15.75" customHeight="1" s="1883"/>
    <row r="403" ht="15.75" customHeight="1" s="1883"/>
    <row r="404" ht="15.75" customHeight="1" s="1883"/>
    <row r="405" ht="15.75" customHeight="1" s="1883"/>
    <row r="406" ht="15.75" customHeight="1" s="1883"/>
    <row r="407" ht="15.75" customHeight="1" s="1883"/>
    <row r="408" ht="15.75" customHeight="1" s="1883"/>
    <row r="409" ht="15.75" customHeight="1" s="1883"/>
    <row r="410" ht="15.75" customHeight="1" s="1883"/>
    <row r="411" ht="15.75" customHeight="1" s="1883"/>
    <row r="412" ht="15.75" customHeight="1" s="1883"/>
    <row r="413" ht="15.75" customHeight="1" s="1883"/>
    <row r="414" ht="15.75" customHeight="1" s="1883"/>
    <row r="415" ht="15.75" customHeight="1" s="1883"/>
    <row r="416" ht="15.75" customHeight="1" s="1883"/>
    <row r="417" ht="15.75" customHeight="1" s="1883"/>
    <row r="418" ht="15.75" customHeight="1" s="1883"/>
    <row r="419" ht="15.75" customHeight="1" s="1883"/>
    <row r="420" ht="15.75" customHeight="1" s="1883"/>
    <row r="421" ht="15.75" customHeight="1" s="1883"/>
    <row r="422" ht="15.75" customHeight="1" s="1883"/>
    <row r="423" ht="15.75" customHeight="1" s="1883"/>
    <row r="424" ht="15.75" customHeight="1" s="1883"/>
    <row r="425" ht="15.75" customHeight="1" s="1883"/>
    <row r="426" ht="15.75" customHeight="1" s="1883"/>
    <row r="427" ht="15.75" customHeight="1" s="1883"/>
    <row r="428" ht="15.75" customHeight="1" s="1883"/>
    <row r="429" ht="15.75" customHeight="1" s="1883"/>
    <row r="430" ht="15.75" customHeight="1" s="1883"/>
    <row r="431" ht="15.75" customHeight="1" s="1883"/>
    <row r="432" ht="15.75" customHeight="1" s="1883"/>
    <row r="433" ht="15.75" customHeight="1" s="1883"/>
    <row r="434" ht="15.75" customHeight="1" s="1883"/>
    <row r="435" ht="15.75" customHeight="1" s="1883"/>
    <row r="436" ht="15.75" customHeight="1" s="1883"/>
    <row r="437" ht="15.75" customHeight="1" s="1883"/>
    <row r="438" ht="15.75" customHeight="1" s="1883"/>
    <row r="439" ht="15.75" customHeight="1" s="1883"/>
    <row r="440" ht="15.75" customHeight="1" s="1883"/>
    <row r="441" ht="15.75" customHeight="1" s="1883"/>
    <row r="442" ht="15.75" customHeight="1" s="1883"/>
    <row r="443" ht="15.75" customHeight="1" s="1883"/>
    <row r="444" ht="15.75" customHeight="1" s="1883"/>
    <row r="445" ht="15.75" customHeight="1" s="1883"/>
    <row r="446" ht="15.75" customHeight="1" s="1883"/>
    <row r="447" ht="15.75" customHeight="1" s="1883"/>
    <row r="448" ht="15.75" customHeight="1" s="1883"/>
    <row r="449" ht="15.75" customHeight="1" s="1883"/>
    <row r="450" ht="15.75" customHeight="1" s="1883"/>
    <row r="451" ht="15.75" customHeight="1" s="1883"/>
    <row r="452" ht="15.75" customHeight="1" s="1883"/>
    <row r="453" ht="15.75" customHeight="1" s="1883"/>
    <row r="454" ht="15.75" customHeight="1" s="1883"/>
    <row r="455" ht="15.75" customHeight="1" s="1883"/>
    <row r="456" ht="15.75" customHeight="1" s="1883"/>
    <row r="457" ht="15.75" customHeight="1" s="1883"/>
    <row r="458" ht="15.75" customHeight="1" s="1883"/>
    <row r="459" ht="15.75" customHeight="1" s="1883"/>
    <row r="460" ht="15.75" customHeight="1" s="1883"/>
    <row r="461" ht="15.75" customHeight="1" s="1883"/>
    <row r="462" ht="15.75" customHeight="1" s="1883"/>
    <row r="463" ht="15.75" customHeight="1" s="1883"/>
    <row r="464" ht="15.75" customHeight="1" s="1883"/>
    <row r="465" ht="15.75" customHeight="1" s="1883"/>
    <row r="466" ht="15.75" customHeight="1" s="1883"/>
    <row r="467" ht="15.75" customHeight="1" s="1883"/>
    <row r="468" ht="15.75" customHeight="1" s="1883"/>
    <row r="469" ht="15.75" customHeight="1" s="1883"/>
    <row r="470" ht="15.75" customHeight="1" s="1883"/>
    <row r="471" ht="15.75" customHeight="1" s="1883"/>
    <row r="472" ht="15.75" customHeight="1" s="1883"/>
    <row r="473" ht="15.75" customHeight="1" s="1883"/>
    <row r="474" ht="15.75" customHeight="1" s="1883"/>
    <row r="475" ht="15.75" customHeight="1" s="1883"/>
    <row r="476" ht="15.75" customHeight="1" s="1883"/>
    <row r="477" ht="15.75" customHeight="1" s="1883"/>
    <row r="478" ht="15.75" customHeight="1" s="1883"/>
    <row r="479" ht="15.75" customHeight="1" s="1883"/>
    <row r="480" ht="15.75" customHeight="1" s="1883"/>
    <row r="481" ht="15.75" customHeight="1" s="1883"/>
    <row r="482" ht="15.75" customHeight="1" s="1883"/>
    <row r="483" ht="15.75" customHeight="1" s="1883"/>
    <row r="484" ht="15.75" customHeight="1" s="1883"/>
    <row r="485" ht="15.75" customHeight="1" s="1883"/>
    <row r="486" ht="15.75" customHeight="1" s="1883"/>
    <row r="487" ht="15.75" customHeight="1" s="1883"/>
    <row r="488" ht="15.75" customHeight="1" s="1883"/>
    <row r="489" ht="15.75" customHeight="1" s="1883"/>
    <row r="490" ht="15.75" customHeight="1" s="1883"/>
    <row r="491" ht="15.75" customHeight="1" s="1883"/>
    <row r="492" ht="15.75" customHeight="1" s="1883"/>
    <row r="493" ht="15.75" customHeight="1" s="1883"/>
    <row r="494" ht="15.75" customHeight="1" s="1883"/>
    <row r="495" ht="15.75" customHeight="1" s="1883"/>
    <row r="496" ht="15.75" customHeight="1" s="1883"/>
    <row r="497" ht="15.75" customHeight="1" s="1883"/>
    <row r="498" ht="15.75" customHeight="1" s="1883"/>
    <row r="499" ht="15.75" customHeight="1" s="1883"/>
    <row r="500" ht="15.75" customHeight="1" s="1883"/>
    <row r="501" ht="15.75" customHeight="1" s="1883"/>
    <row r="502" ht="15.75" customHeight="1" s="1883"/>
    <row r="503" ht="15.75" customHeight="1" s="1883"/>
    <row r="504" ht="15.75" customHeight="1" s="1883"/>
    <row r="505" ht="15.75" customHeight="1" s="1883"/>
    <row r="506" ht="15.75" customHeight="1" s="1883"/>
    <row r="507" ht="15.75" customHeight="1" s="1883"/>
    <row r="508" ht="15.75" customHeight="1" s="1883"/>
    <row r="509" ht="15.75" customHeight="1" s="1883"/>
    <row r="510" ht="15.75" customHeight="1" s="1883"/>
    <row r="511" ht="15.75" customHeight="1" s="1883"/>
    <row r="512" ht="15.75" customHeight="1" s="1883"/>
    <row r="513" ht="15.75" customHeight="1" s="1883"/>
    <row r="514" ht="15.75" customHeight="1" s="1883"/>
    <row r="515" ht="15.75" customHeight="1" s="1883"/>
    <row r="516" ht="15.75" customHeight="1" s="1883"/>
    <row r="517" ht="15.75" customHeight="1" s="1883"/>
    <row r="518" ht="15.75" customHeight="1" s="1883"/>
    <row r="519" ht="15.75" customHeight="1" s="1883"/>
    <row r="520" ht="15.75" customHeight="1" s="1883"/>
    <row r="521" ht="15.75" customHeight="1" s="1883"/>
    <row r="522" ht="15.75" customHeight="1" s="1883"/>
    <row r="523" ht="15.75" customHeight="1" s="1883"/>
    <row r="524" ht="15.75" customHeight="1" s="1883"/>
    <row r="525" ht="15.75" customHeight="1" s="1883"/>
    <row r="526" ht="15.75" customHeight="1" s="1883"/>
    <row r="527" ht="15.75" customHeight="1" s="1883"/>
    <row r="528" ht="15.75" customHeight="1" s="1883"/>
    <row r="529" ht="15.75" customHeight="1" s="1883"/>
    <row r="530" ht="15.75" customHeight="1" s="1883"/>
    <row r="531" ht="15.75" customHeight="1" s="1883"/>
    <row r="532" ht="15.75" customHeight="1" s="1883"/>
    <row r="533" ht="15.75" customHeight="1" s="1883"/>
    <row r="534" ht="15.75" customHeight="1" s="1883"/>
    <row r="535" ht="15.75" customHeight="1" s="1883"/>
    <row r="536" ht="15.75" customHeight="1" s="1883"/>
    <row r="537" ht="15.75" customHeight="1" s="1883"/>
    <row r="538" ht="15.75" customHeight="1" s="1883"/>
    <row r="539" ht="15.75" customHeight="1" s="1883"/>
    <row r="540" ht="15.75" customHeight="1" s="1883"/>
    <row r="541" ht="15.75" customHeight="1" s="1883"/>
    <row r="542" ht="15.75" customHeight="1" s="1883"/>
    <row r="543" ht="15.75" customHeight="1" s="1883"/>
    <row r="544" ht="15.75" customHeight="1" s="1883"/>
    <row r="545" ht="15.75" customHeight="1" s="1883"/>
    <row r="546" ht="15.75" customHeight="1" s="1883"/>
    <row r="547" ht="15.75" customHeight="1" s="1883"/>
    <row r="548" ht="15.75" customHeight="1" s="1883"/>
    <row r="549" ht="15.75" customHeight="1" s="1883"/>
    <row r="550" ht="15.75" customHeight="1" s="1883"/>
    <row r="551" ht="15.75" customHeight="1" s="1883"/>
    <row r="552" ht="15.75" customHeight="1" s="1883"/>
    <row r="553" ht="15.75" customHeight="1" s="1883"/>
    <row r="554" ht="15.75" customHeight="1" s="1883"/>
    <row r="555" ht="15.75" customHeight="1" s="1883"/>
    <row r="556" ht="15.75" customHeight="1" s="1883"/>
    <row r="557" ht="15.75" customHeight="1" s="1883"/>
    <row r="558" ht="15.75" customHeight="1" s="1883"/>
    <row r="559" ht="15.75" customHeight="1" s="1883"/>
    <row r="560" ht="15.75" customHeight="1" s="1883"/>
    <row r="561" ht="15.75" customHeight="1" s="1883"/>
    <row r="562" ht="15.75" customHeight="1" s="1883"/>
    <row r="563" ht="15.75" customHeight="1" s="1883"/>
    <row r="564" ht="15.75" customHeight="1" s="1883"/>
    <row r="565" ht="15.75" customHeight="1" s="1883"/>
    <row r="566" ht="15.75" customHeight="1" s="1883"/>
    <row r="567" ht="15.75" customHeight="1" s="1883"/>
    <row r="568" ht="15.75" customHeight="1" s="1883"/>
    <row r="569" ht="15.75" customHeight="1" s="1883"/>
    <row r="570" ht="15.75" customHeight="1" s="1883"/>
    <row r="571" ht="15.75" customHeight="1" s="1883"/>
    <row r="572" ht="15.75" customHeight="1" s="1883"/>
    <row r="573" ht="15.75" customHeight="1" s="1883"/>
    <row r="574" ht="15.75" customHeight="1" s="1883"/>
    <row r="575" ht="15.75" customHeight="1" s="1883"/>
    <row r="576" ht="15.75" customHeight="1" s="1883"/>
    <row r="577" ht="15.75" customHeight="1" s="1883"/>
    <row r="578" ht="15.75" customHeight="1" s="1883"/>
    <row r="579" ht="15.75" customHeight="1" s="1883"/>
    <row r="580" ht="15.75" customHeight="1" s="1883"/>
    <row r="581" ht="15.75" customHeight="1" s="1883"/>
    <row r="582" ht="15.75" customHeight="1" s="1883"/>
    <row r="583" ht="15.75" customHeight="1" s="1883"/>
    <row r="584" ht="15.75" customHeight="1" s="1883"/>
    <row r="585" ht="15.75" customHeight="1" s="1883"/>
    <row r="586" ht="15.75" customHeight="1" s="1883"/>
    <row r="587" ht="15.75" customHeight="1" s="1883"/>
    <row r="588" ht="15.75" customHeight="1" s="1883"/>
    <row r="589" ht="15.75" customHeight="1" s="1883"/>
    <row r="590" ht="15.75" customHeight="1" s="1883"/>
    <row r="591" ht="15.75" customHeight="1" s="1883"/>
    <row r="592" ht="15.75" customHeight="1" s="1883"/>
    <row r="593" ht="15.75" customHeight="1" s="1883"/>
    <row r="594" ht="15.75" customHeight="1" s="1883"/>
    <row r="595" ht="15.75" customHeight="1" s="1883"/>
    <row r="596" ht="15.75" customHeight="1" s="1883"/>
    <row r="597" ht="15.75" customHeight="1" s="1883"/>
    <row r="598" ht="15.75" customHeight="1" s="1883"/>
    <row r="599" ht="15.75" customHeight="1" s="1883"/>
    <row r="600" ht="15.75" customHeight="1" s="1883"/>
    <row r="601" ht="15.75" customHeight="1" s="1883"/>
    <row r="602" ht="15.75" customHeight="1" s="1883"/>
    <row r="603" ht="15.75" customHeight="1" s="1883"/>
    <row r="604" ht="15.75" customHeight="1" s="1883"/>
    <row r="605" ht="15.75" customHeight="1" s="1883"/>
    <row r="606" ht="15.75" customHeight="1" s="1883"/>
    <row r="607" ht="15.75" customHeight="1" s="1883"/>
    <row r="608" ht="15.75" customHeight="1" s="1883"/>
    <row r="609" ht="15.75" customHeight="1" s="1883"/>
    <row r="610" ht="15.75" customHeight="1" s="1883"/>
    <row r="611" ht="15.75" customHeight="1" s="1883"/>
    <row r="612" ht="15.75" customHeight="1" s="1883"/>
    <row r="613" ht="15.75" customHeight="1" s="1883"/>
    <row r="614" ht="15.75" customHeight="1" s="1883"/>
    <row r="615" ht="15.75" customHeight="1" s="1883"/>
    <row r="616" ht="15.75" customHeight="1" s="1883"/>
    <row r="617" ht="15.75" customHeight="1" s="1883"/>
    <row r="618" ht="15.75" customHeight="1" s="1883"/>
    <row r="619" ht="15.75" customHeight="1" s="1883"/>
    <row r="620" ht="15.75" customHeight="1" s="1883"/>
    <row r="621" ht="15.75" customHeight="1" s="1883"/>
    <row r="622" ht="15.75" customHeight="1" s="1883"/>
    <row r="623" ht="15.75" customHeight="1" s="1883"/>
    <row r="624" ht="15.75" customHeight="1" s="1883"/>
    <row r="625" ht="15.75" customHeight="1" s="1883"/>
    <row r="626" ht="15.75" customHeight="1" s="1883"/>
    <row r="627" ht="15.75" customHeight="1" s="1883"/>
    <row r="628" ht="15.75" customHeight="1" s="1883"/>
    <row r="629" ht="15.75" customHeight="1" s="1883"/>
    <row r="630" ht="15.75" customHeight="1" s="1883"/>
    <row r="631" ht="15.75" customHeight="1" s="1883"/>
    <row r="632" ht="15.75" customHeight="1" s="1883"/>
    <row r="633" ht="15.75" customHeight="1" s="1883"/>
    <row r="634" ht="15.75" customHeight="1" s="1883"/>
    <row r="635" ht="15.75" customHeight="1" s="1883"/>
    <row r="636" ht="15.75" customHeight="1" s="1883"/>
    <row r="637" ht="15.75" customHeight="1" s="1883"/>
    <row r="638" ht="15.75" customHeight="1" s="1883"/>
    <row r="639" ht="15.75" customHeight="1" s="1883"/>
    <row r="640" ht="15.75" customHeight="1" s="1883"/>
    <row r="641" ht="15.75" customHeight="1" s="1883"/>
    <row r="642" ht="15.75" customHeight="1" s="1883"/>
    <row r="643" ht="15.75" customHeight="1" s="1883"/>
    <row r="644" ht="15.75" customHeight="1" s="1883"/>
    <row r="645" ht="15.75" customHeight="1" s="1883"/>
    <row r="646" ht="15.75" customHeight="1" s="1883"/>
    <row r="647" ht="15.75" customHeight="1" s="1883"/>
    <row r="648" ht="15.75" customHeight="1" s="1883"/>
    <row r="649" ht="15.75" customHeight="1" s="1883"/>
    <row r="650" ht="15.75" customHeight="1" s="1883"/>
    <row r="651" ht="15.75" customHeight="1" s="1883"/>
    <row r="652" ht="15.75" customHeight="1" s="1883"/>
    <row r="653" ht="15.75" customHeight="1" s="1883"/>
    <row r="654" ht="15.75" customHeight="1" s="1883"/>
    <row r="655" ht="15.75" customHeight="1" s="1883"/>
    <row r="656" ht="15.75" customHeight="1" s="1883"/>
    <row r="657" ht="15.75" customHeight="1" s="1883"/>
    <row r="658" ht="15.75" customHeight="1" s="1883"/>
    <row r="659" ht="15.75" customHeight="1" s="1883"/>
    <row r="660" ht="15.75" customHeight="1" s="1883"/>
    <row r="661" ht="15.75" customHeight="1" s="1883"/>
    <row r="662" ht="15.75" customHeight="1" s="1883"/>
    <row r="663" ht="15.75" customHeight="1" s="1883"/>
    <row r="664" ht="15.75" customHeight="1" s="1883"/>
    <row r="665" ht="15.75" customHeight="1" s="1883"/>
    <row r="666" ht="15.75" customHeight="1" s="1883"/>
    <row r="667" ht="15.75" customHeight="1" s="1883"/>
    <row r="668" ht="15.75" customHeight="1" s="1883"/>
    <row r="669" ht="15.75" customHeight="1" s="1883"/>
    <row r="670" ht="15.75" customHeight="1" s="1883"/>
    <row r="671" ht="15.75" customHeight="1" s="1883"/>
    <row r="672" ht="15.75" customHeight="1" s="1883"/>
    <row r="673" ht="15.75" customHeight="1" s="1883"/>
    <row r="674" ht="15.75" customHeight="1" s="1883"/>
    <row r="675" ht="15.75" customHeight="1" s="1883"/>
    <row r="676" ht="15.75" customHeight="1" s="1883"/>
    <row r="677" ht="15.75" customHeight="1" s="1883"/>
    <row r="678" ht="15.75" customHeight="1" s="1883"/>
    <row r="679" ht="15.75" customHeight="1" s="1883"/>
    <row r="680" ht="15.75" customHeight="1" s="1883"/>
    <row r="681" ht="15.75" customHeight="1" s="1883"/>
    <row r="682" ht="15.75" customHeight="1" s="1883"/>
    <row r="683" ht="15.75" customHeight="1" s="1883"/>
    <row r="684" ht="15.75" customHeight="1" s="1883"/>
    <row r="685" ht="15.75" customHeight="1" s="1883"/>
    <row r="686" ht="15.75" customHeight="1" s="1883"/>
    <row r="687" ht="15.75" customHeight="1" s="1883"/>
    <row r="688" ht="15.75" customHeight="1" s="1883"/>
    <row r="689" ht="15.75" customHeight="1" s="1883"/>
    <row r="690" ht="15.75" customHeight="1" s="1883"/>
    <row r="691" ht="15.75" customHeight="1" s="1883"/>
    <row r="692" ht="15.75" customHeight="1" s="1883"/>
    <row r="693" ht="15.75" customHeight="1" s="1883"/>
    <row r="694" ht="15.75" customHeight="1" s="1883"/>
    <row r="695" ht="15.75" customHeight="1" s="1883"/>
    <row r="696" ht="15.75" customHeight="1" s="1883"/>
    <row r="697" ht="15.75" customHeight="1" s="1883"/>
    <row r="698" ht="15.75" customHeight="1" s="1883"/>
    <row r="699" ht="15.75" customHeight="1" s="1883"/>
    <row r="700" ht="15.75" customHeight="1" s="1883"/>
    <row r="701" ht="15.75" customHeight="1" s="1883"/>
    <row r="702" ht="15.75" customHeight="1" s="1883"/>
    <row r="703" ht="15.75" customHeight="1" s="1883"/>
    <row r="704" ht="15.75" customHeight="1" s="1883"/>
    <row r="705" ht="15.75" customHeight="1" s="1883"/>
    <row r="706" ht="15.75" customHeight="1" s="1883"/>
    <row r="707" ht="15.75" customHeight="1" s="1883"/>
    <row r="708" ht="15.75" customHeight="1" s="1883"/>
    <row r="709" ht="15.75" customHeight="1" s="1883"/>
    <row r="710" ht="15.75" customHeight="1" s="1883"/>
    <row r="711" ht="15.75" customHeight="1" s="1883"/>
    <row r="712" ht="15.75" customHeight="1" s="1883"/>
    <row r="713" ht="15.75" customHeight="1" s="1883"/>
    <row r="714" ht="15.75" customHeight="1" s="1883"/>
    <row r="715" ht="15.75" customHeight="1" s="1883"/>
    <row r="716" ht="15.75" customHeight="1" s="1883"/>
    <row r="717" ht="15.75" customHeight="1" s="1883"/>
    <row r="718" ht="15.75" customHeight="1" s="1883"/>
    <row r="719" ht="15.75" customHeight="1" s="1883"/>
    <row r="720" ht="15.75" customHeight="1" s="1883"/>
    <row r="721" ht="15.75" customHeight="1" s="1883"/>
    <row r="722" ht="15.75" customHeight="1" s="1883"/>
    <row r="723" ht="15.75" customHeight="1" s="1883"/>
    <row r="724" ht="15.75" customHeight="1" s="1883"/>
    <row r="725" ht="15.75" customHeight="1" s="1883"/>
    <row r="726" ht="15.75" customHeight="1" s="1883"/>
    <row r="727" ht="15.75" customHeight="1" s="1883"/>
    <row r="728" ht="15.75" customHeight="1" s="1883"/>
    <row r="729" ht="15.75" customHeight="1" s="1883"/>
    <row r="730" ht="15.75" customHeight="1" s="1883"/>
    <row r="731" ht="15.75" customHeight="1" s="1883"/>
    <row r="732" ht="15.75" customHeight="1" s="1883"/>
    <row r="733" ht="15.75" customHeight="1" s="1883"/>
    <row r="734" ht="15.75" customHeight="1" s="1883"/>
    <row r="735" ht="15.75" customHeight="1" s="1883"/>
    <row r="736" ht="15.75" customHeight="1" s="1883"/>
    <row r="737" ht="15.75" customHeight="1" s="1883"/>
    <row r="738" ht="15.75" customHeight="1" s="1883"/>
    <row r="739" ht="15.75" customHeight="1" s="1883"/>
    <row r="740" ht="15.75" customHeight="1" s="1883"/>
    <row r="741" ht="15.75" customHeight="1" s="1883"/>
    <row r="742" ht="15.75" customHeight="1" s="1883"/>
    <row r="743" ht="15.75" customHeight="1" s="1883"/>
    <row r="744" ht="15.75" customHeight="1" s="1883"/>
    <row r="745" ht="15.75" customHeight="1" s="1883"/>
    <row r="746" ht="15.75" customHeight="1" s="1883"/>
    <row r="747" ht="15.75" customHeight="1" s="1883"/>
    <row r="748" ht="15.75" customHeight="1" s="1883"/>
    <row r="749" ht="15.75" customHeight="1" s="1883"/>
    <row r="750" ht="15.75" customHeight="1" s="1883"/>
    <row r="751" ht="15.75" customHeight="1" s="1883"/>
    <row r="752" ht="15.75" customHeight="1" s="1883"/>
    <row r="753" ht="15.75" customHeight="1" s="1883"/>
    <row r="754" ht="15.75" customHeight="1" s="1883"/>
    <row r="755" ht="15.75" customHeight="1" s="1883"/>
    <row r="756" ht="15.75" customHeight="1" s="1883"/>
    <row r="757" ht="15.75" customHeight="1" s="1883"/>
    <row r="758" ht="15.75" customHeight="1" s="1883"/>
    <row r="759" ht="15.75" customHeight="1" s="1883"/>
    <row r="760" ht="15.75" customHeight="1" s="1883"/>
    <row r="761" ht="15.75" customHeight="1" s="1883"/>
    <row r="762" ht="15.75" customHeight="1" s="1883"/>
    <row r="763" ht="15.75" customHeight="1" s="1883"/>
    <row r="764" ht="15.75" customHeight="1" s="1883"/>
    <row r="765" ht="15.75" customHeight="1" s="1883"/>
    <row r="766" ht="15.75" customHeight="1" s="1883"/>
    <row r="767" ht="15.75" customHeight="1" s="1883"/>
    <row r="768" ht="15.75" customHeight="1" s="1883"/>
    <row r="769" ht="15.75" customHeight="1" s="1883"/>
    <row r="770" ht="15.75" customHeight="1" s="1883"/>
    <row r="771" ht="15.75" customHeight="1" s="1883"/>
    <row r="772" ht="15.75" customHeight="1" s="1883"/>
    <row r="773" ht="15.75" customHeight="1" s="1883"/>
    <row r="774" ht="15.75" customHeight="1" s="1883"/>
    <row r="775" ht="15.75" customHeight="1" s="1883"/>
    <row r="776" ht="15.75" customHeight="1" s="1883"/>
    <row r="777" ht="15.75" customHeight="1" s="1883"/>
    <row r="778" ht="15.75" customHeight="1" s="1883"/>
    <row r="779" ht="15.75" customHeight="1" s="1883"/>
    <row r="780" ht="15.75" customHeight="1" s="1883"/>
    <row r="781" ht="15.75" customHeight="1" s="1883"/>
    <row r="782" ht="15.75" customHeight="1" s="1883"/>
    <row r="783" ht="15.75" customHeight="1" s="1883"/>
    <row r="784" ht="15.75" customHeight="1" s="1883"/>
    <row r="785" ht="15.75" customHeight="1" s="1883"/>
    <row r="786" ht="15.75" customHeight="1" s="1883"/>
    <row r="787" ht="15.75" customHeight="1" s="1883"/>
    <row r="788" ht="15.75" customHeight="1" s="1883"/>
    <row r="789" ht="15.75" customHeight="1" s="1883"/>
    <row r="790" ht="15.75" customHeight="1" s="1883"/>
    <row r="791" ht="15.75" customHeight="1" s="1883"/>
    <row r="792" ht="15.75" customHeight="1" s="1883"/>
    <row r="793" ht="15.75" customHeight="1" s="1883"/>
    <row r="794" ht="15.75" customHeight="1" s="1883"/>
    <row r="795" ht="15.75" customHeight="1" s="1883"/>
    <row r="796" ht="15.75" customHeight="1" s="1883"/>
    <row r="797" ht="15.75" customHeight="1" s="1883"/>
    <row r="798" ht="15.75" customHeight="1" s="1883"/>
    <row r="799" ht="15.75" customHeight="1" s="1883"/>
    <row r="800" ht="15.75" customHeight="1" s="1883"/>
    <row r="801" ht="15.75" customHeight="1" s="1883"/>
    <row r="802" ht="15.75" customHeight="1" s="1883"/>
    <row r="803" ht="15.75" customHeight="1" s="1883"/>
    <row r="804" ht="15.75" customHeight="1" s="1883"/>
    <row r="805" ht="15.75" customHeight="1" s="1883"/>
    <row r="806" ht="15.75" customHeight="1" s="1883"/>
    <row r="807" ht="15.75" customHeight="1" s="1883"/>
    <row r="808" ht="15.75" customHeight="1" s="1883"/>
    <row r="809" ht="15.75" customHeight="1" s="1883"/>
    <row r="810" ht="15.75" customHeight="1" s="1883"/>
    <row r="811" ht="15.75" customHeight="1" s="1883"/>
    <row r="812" ht="15.75" customHeight="1" s="1883"/>
    <row r="813" ht="15.75" customHeight="1" s="1883"/>
    <row r="814" ht="15.75" customHeight="1" s="1883"/>
    <row r="815" ht="15.75" customHeight="1" s="1883"/>
    <row r="816" ht="15.75" customHeight="1" s="1883"/>
    <row r="817" ht="15.75" customHeight="1" s="1883"/>
    <row r="818" ht="15.75" customHeight="1" s="1883"/>
    <row r="819" ht="15.75" customHeight="1" s="1883"/>
    <row r="820" ht="15.75" customHeight="1" s="1883"/>
    <row r="821" ht="15.75" customHeight="1" s="1883"/>
    <row r="822" ht="15.75" customHeight="1" s="1883"/>
    <row r="823" ht="15.75" customHeight="1" s="1883"/>
    <row r="824" ht="15.75" customHeight="1" s="1883"/>
    <row r="825" ht="15.75" customHeight="1" s="1883"/>
    <row r="826" ht="15.75" customHeight="1" s="1883"/>
    <row r="827" ht="15.75" customHeight="1" s="1883"/>
    <row r="828" ht="15.75" customHeight="1" s="1883"/>
    <row r="829" ht="15.75" customHeight="1" s="1883"/>
    <row r="830" ht="15.75" customHeight="1" s="1883"/>
    <row r="831" ht="15.75" customHeight="1" s="1883"/>
    <row r="832" ht="15.75" customHeight="1" s="1883"/>
    <row r="833" ht="15.75" customHeight="1" s="1883"/>
    <row r="834" ht="15.75" customHeight="1" s="1883"/>
    <row r="835" ht="15.75" customHeight="1" s="1883"/>
    <row r="836" ht="15.75" customHeight="1" s="1883"/>
    <row r="837" ht="15.75" customHeight="1" s="1883"/>
    <row r="838" ht="15.75" customHeight="1" s="1883"/>
    <row r="839" ht="15.75" customHeight="1" s="1883"/>
    <row r="840" ht="15.75" customHeight="1" s="1883"/>
    <row r="841" ht="15.75" customHeight="1" s="1883"/>
    <row r="842" ht="15.75" customHeight="1" s="1883"/>
    <row r="843" ht="15.75" customHeight="1" s="1883"/>
    <row r="844" ht="15.75" customHeight="1" s="1883"/>
    <row r="845" ht="15.75" customHeight="1" s="1883"/>
    <row r="846" ht="15.75" customHeight="1" s="1883"/>
    <row r="847" ht="15.75" customHeight="1" s="1883"/>
    <row r="848" ht="15.75" customHeight="1" s="1883"/>
    <row r="849" ht="15.75" customHeight="1" s="1883"/>
    <row r="850" ht="15.75" customHeight="1" s="1883"/>
    <row r="851" ht="15.75" customHeight="1" s="1883"/>
    <row r="852" ht="15.75" customHeight="1" s="1883"/>
    <row r="853" ht="15.75" customHeight="1" s="1883"/>
    <row r="854" ht="15.75" customHeight="1" s="1883"/>
    <row r="855" ht="15.75" customHeight="1" s="1883"/>
    <row r="856" ht="15.75" customHeight="1" s="1883"/>
    <row r="857" ht="15.75" customHeight="1" s="1883"/>
    <row r="858" ht="15.75" customHeight="1" s="1883"/>
    <row r="859" ht="15.75" customHeight="1" s="1883"/>
    <row r="860" ht="15.75" customHeight="1" s="1883"/>
    <row r="861" ht="15.75" customHeight="1" s="1883"/>
    <row r="862" ht="15.75" customHeight="1" s="1883"/>
    <row r="863" ht="15.75" customHeight="1" s="1883"/>
    <row r="864" ht="15.75" customHeight="1" s="1883"/>
    <row r="865" ht="15.75" customHeight="1" s="1883"/>
    <row r="866" ht="15.75" customHeight="1" s="1883"/>
    <row r="867" ht="15.75" customHeight="1" s="1883"/>
    <row r="868" ht="15.75" customHeight="1" s="1883"/>
    <row r="869" ht="15.75" customHeight="1" s="1883"/>
    <row r="870" ht="15.75" customHeight="1" s="1883"/>
    <row r="871" ht="15.75" customHeight="1" s="1883"/>
    <row r="872" ht="15.75" customHeight="1" s="1883"/>
    <row r="873" ht="15.75" customHeight="1" s="1883"/>
    <row r="874" ht="15.75" customHeight="1" s="1883"/>
    <row r="875" ht="15.75" customHeight="1" s="1883"/>
    <row r="876" ht="15.75" customHeight="1" s="1883"/>
    <row r="877" ht="15.75" customHeight="1" s="1883"/>
    <row r="878" ht="15.75" customHeight="1" s="1883"/>
    <row r="879" ht="15.75" customHeight="1" s="1883"/>
    <row r="880" ht="15.75" customHeight="1" s="1883"/>
    <row r="881" ht="15.75" customHeight="1" s="1883"/>
    <row r="882" ht="15.75" customHeight="1" s="1883"/>
    <row r="883" ht="15.75" customHeight="1" s="1883"/>
    <row r="884" ht="15.75" customHeight="1" s="1883"/>
    <row r="885" ht="15.75" customHeight="1" s="1883"/>
    <row r="886" ht="15.75" customHeight="1" s="1883"/>
    <row r="887" ht="15.75" customHeight="1" s="1883"/>
    <row r="888" ht="15.75" customHeight="1" s="1883"/>
    <row r="889" ht="15.75" customHeight="1" s="1883"/>
    <row r="890" ht="15.75" customHeight="1" s="1883"/>
    <row r="891" ht="15.75" customHeight="1" s="1883"/>
    <row r="892" ht="15.75" customHeight="1" s="1883"/>
    <row r="893" ht="15.75" customHeight="1" s="1883"/>
    <row r="894" ht="15.75" customHeight="1" s="1883"/>
    <row r="895" ht="15.75" customHeight="1" s="1883"/>
    <row r="896" ht="15.75" customHeight="1" s="1883"/>
    <row r="897" ht="15.75" customHeight="1" s="1883"/>
    <row r="898" ht="15.75" customHeight="1" s="1883"/>
    <row r="899" ht="15.75" customHeight="1" s="1883"/>
    <row r="900" ht="15.75" customHeight="1" s="1883"/>
    <row r="901" ht="15.75" customHeight="1" s="1883"/>
    <row r="902" ht="15.75" customHeight="1" s="1883"/>
    <row r="903" ht="15.75" customHeight="1" s="1883"/>
    <row r="904" ht="15.75" customHeight="1" s="1883"/>
    <row r="905" ht="15.75" customHeight="1" s="1883"/>
    <row r="906" ht="15.75" customHeight="1" s="1883"/>
    <row r="907" ht="15.75" customHeight="1" s="1883"/>
    <row r="908" ht="15.75" customHeight="1" s="1883"/>
    <row r="909" ht="15.75" customHeight="1" s="1883"/>
    <row r="910" ht="15.75" customHeight="1" s="1883"/>
    <row r="911" ht="15.75" customHeight="1" s="1883"/>
    <row r="912" ht="15.75" customHeight="1" s="1883"/>
    <row r="913" ht="15.75" customHeight="1" s="1883"/>
    <row r="914" ht="15.75" customHeight="1" s="1883"/>
    <row r="915" ht="15.75" customHeight="1" s="1883"/>
    <row r="916" ht="15.75" customHeight="1" s="1883"/>
    <row r="917" ht="15.75" customHeight="1" s="1883"/>
    <row r="918" ht="15.75" customHeight="1" s="1883"/>
    <row r="919" ht="15.75" customHeight="1" s="1883"/>
    <row r="920" ht="15.75" customHeight="1" s="1883"/>
    <row r="921" ht="15.75" customHeight="1" s="1883"/>
    <row r="922" ht="15.75" customHeight="1" s="1883"/>
    <row r="923" ht="15.75" customHeight="1" s="1883"/>
    <row r="924" ht="15.75" customHeight="1" s="1883"/>
    <row r="925" ht="15.75" customHeight="1" s="1883"/>
    <row r="926" ht="15.75" customHeight="1" s="1883"/>
    <row r="927" ht="15.75" customHeight="1" s="1883"/>
    <row r="928" ht="15.75" customHeight="1" s="1883"/>
    <row r="929" ht="15.75" customHeight="1" s="1883"/>
    <row r="930" ht="15.75" customHeight="1" s="1883"/>
    <row r="931" ht="15.75" customHeight="1" s="1883"/>
    <row r="932" ht="15.75" customHeight="1" s="1883"/>
    <row r="933" ht="15.75" customHeight="1" s="1883"/>
    <row r="934" ht="15.75" customHeight="1" s="1883"/>
    <row r="935" ht="15.75" customHeight="1" s="1883"/>
    <row r="936" ht="15.75" customHeight="1" s="1883"/>
    <row r="937" ht="15.75" customHeight="1" s="1883"/>
    <row r="938" ht="15.75" customHeight="1" s="1883"/>
    <row r="939" ht="15.75" customHeight="1" s="1883"/>
    <row r="940" ht="15.75" customHeight="1" s="1883"/>
    <row r="941" ht="15.75" customHeight="1" s="1883"/>
    <row r="942" ht="15.75" customHeight="1" s="1883"/>
    <row r="943" ht="15.75" customHeight="1" s="1883"/>
    <row r="944" ht="15.75" customHeight="1" s="1883"/>
    <row r="945" ht="15.75" customHeight="1" s="1883"/>
    <row r="946" ht="15.75" customHeight="1" s="1883"/>
    <row r="947" ht="15.75" customHeight="1" s="1883"/>
    <row r="948" ht="15.75" customHeight="1" s="1883"/>
    <row r="949" ht="15.75" customHeight="1" s="1883"/>
    <row r="950" ht="15.75" customHeight="1" s="1883"/>
    <row r="951" ht="15.75" customHeight="1" s="1883"/>
    <row r="952" ht="15.75" customHeight="1" s="1883"/>
    <row r="953" ht="15.75" customHeight="1" s="1883"/>
    <row r="954" ht="15.75" customHeight="1" s="1883"/>
    <row r="955" ht="15.75" customHeight="1" s="1883"/>
    <row r="956" ht="15.75" customHeight="1" s="1883"/>
    <row r="957" ht="15.75" customHeight="1" s="1883"/>
    <row r="958" ht="15.75" customHeight="1" s="1883"/>
    <row r="959" ht="15.75" customHeight="1" s="1883"/>
    <row r="960" ht="15.75" customHeight="1" s="1883"/>
    <row r="961" ht="15.75" customHeight="1" s="1883"/>
    <row r="962" ht="15.75" customHeight="1" s="1883"/>
    <row r="963" ht="15.75" customHeight="1" s="1883"/>
    <row r="964" ht="15.75" customHeight="1" s="1883"/>
    <row r="965" ht="15.75" customHeight="1" s="1883"/>
    <row r="966" ht="15.75" customHeight="1" s="1883"/>
    <row r="967" ht="15.75" customHeight="1" s="1883"/>
    <row r="968" ht="15.75" customHeight="1" s="1883"/>
    <row r="969" ht="15.75" customHeight="1" s="1883"/>
    <row r="970" ht="15.75" customHeight="1" s="1883"/>
    <row r="971" ht="15.75" customHeight="1" s="1883"/>
    <row r="972" ht="15.75" customHeight="1" s="1883"/>
    <row r="973" ht="15.75" customHeight="1" s="1883"/>
    <row r="974" ht="15.75" customHeight="1" s="1883"/>
    <row r="975" ht="15.75" customHeight="1" s="1883"/>
    <row r="976" ht="15.75" customHeight="1" s="1883"/>
    <row r="977" ht="15.75" customHeight="1" s="1883"/>
    <row r="978" ht="15.75" customHeight="1" s="1883"/>
    <row r="979" ht="15.75" customHeight="1" s="1883"/>
    <row r="980" ht="15.75" customHeight="1" s="1883"/>
    <row r="981" ht="15.75" customHeight="1" s="1883"/>
    <row r="982" ht="15.75" customHeight="1" s="1883"/>
    <row r="983" ht="15.75" customHeight="1" s="1883"/>
    <row r="984" ht="15.75" customHeight="1" s="1883"/>
    <row r="985" ht="15.75" customHeight="1" s="1883"/>
    <row r="986" ht="15.75" customHeight="1" s="1883"/>
    <row r="987" ht="15.75" customHeight="1" s="1883"/>
    <row r="988" ht="15.75" customHeight="1" s="1883"/>
    <row r="989" ht="15.75" customHeight="1" s="1883"/>
    <row r="990" ht="15.75" customHeight="1" s="1883"/>
    <row r="991" ht="15.75" customHeight="1" s="1883"/>
    <row r="992" ht="15.75" customHeight="1" s="1883"/>
    <row r="993" ht="15.75" customHeight="1" s="1883"/>
    <row r="994" ht="15.75" customHeight="1" s="1883"/>
    <row r="995" ht="15.75" customHeight="1" s="1883"/>
    <row r="996" ht="15.75" customHeight="1" s="1883"/>
    <row r="997" ht="15.75" customHeight="1" s="1883"/>
    <row r="998" ht="15.75" customHeight="1" s="1883"/>
    <row r="999" ht="15.75" customHeight="1" s="1883"/>
    <row r="1000" ht="15.75" customHeight="1" s="1883"/>
  </sheetData>
  <mergeCells count="6">
    <mergeCell ref="G32:I32"/>
    <mergeCell ref="G36:I36"/>
    <mergeCell ref="G31:I31"/>
    <mergeCell ref="G35:I35"/>
    <mergeCell ref="G34:I34"/>
    <mergeCell ref="G33:I33"/>
  </mergeCells>
  <pageMargins left="0.7" right="0.7" top="0.75" bottom="0.75" header="0" footer="0"/>
  <pageSetup orientation="landscape"/>
  <drawing xmlns:r="http://schemas.openxmlformats.org/officeDocument/2006/relationships" r:id="rId1"/>
</worksheet>
</file>

<file path=xl/worksheets/sheet31.xml><?xml version="1.0" encoding="utf-8"?>
<worksheet xmlns="http://schemas.openxmlformats.org/spreadsheetml/2006/main">
  <sheetPr>
    <tabColor rgb="FF9ACDFF"/>
    <outlinePr summaryBelow="1" summaryRight="1"/>
    <pageSetUpPr/>
  </sheetPr>
  <dimension ref="A1:AF1001"/>
  <sheetViews>
    <sheetView zoomScale="138" zoomScaleNormal="138" workbookViewId="0">
      <pane ySplit="1" topLeftCell="A2" activePane="bottomLeft" state="frozen"/>
      <selection pane="bottomLeft" activeCell="B31" sqref="B31"/>
    </sheetView>
  </sheetViews>
  <sheetFormatPr baseColWidth="10" defaultColWidth="14.5" defaultRowHeight="15" customHeight="1"/>
  <cols>
    <col width="37.1640625" customWidth="1" style="1843" min="1" max="1"/>
    <col width="23.5" customWidth="1" style="1843" min="2" max="2"/>
    <col width="14.33203125" customWidth="1" style="1843" min="3" max="3"/>
    <col width="24.33203125" customWidth="1" style="1843" min="4" max="4"/>
    <col width="14.33203125" customWidth="1" style="1843" min="5" max="5"/>
    <col width="82.6640625" customWidth="1" style="1843" min="6" max="6"/>
    <col width="14.33203125" customWidth="1" style="1843" min="7" max="32"/>
    <col width="14.5" customWidth="1" style="1843" min="33" max="34"/>
    <col width="14.5" customWidth="1" style="1843" min="35" max="16384"/>
  </cols>
  <sheetData>
    <row r="1" ht="13.5" customHeight="1" s="1883">
      <c r="A1" s="1841" t="inlineStr">
        <is>
          <t>Company</t>
        </is>
      </c>
      <c r="B1" s="1841" t="inlineStr">
        <is>
          <t>Revenue</t>
        </is>
      </c>
      <c r="C1" s="1841" t="inlineStr">
        <is>
          <t>Year(s)</t>
        </is>
      </c>
      <c r="D1" s="1841" t="inlineStr">
        <is>
          <t>Industry</t>
        </is>
      </c>
      <c r="E1" s="1841" t="inlineStr">
        <is>
          <t>Location</t>
        </is>
      </c>
      <c r="F1" s="1841" t="inlineStr">
        <is>
          <t>Source</t>
        </is>
      </c>
      <c r="G1" s="1842" t="n"/>
      <c r="H1" s="1842" t="n"/>
      <c r="I1" s="1842" t="n"/>
      <c r="J1" s="1842" t="n"/>
      <c r="K1" s="1842" t="n"/>
      <c r="L1" s="1842" t="n"/>
      <c r="M1" s="1842" t="n"/>
      <c r="N1" s="1842" t="n"/>
      <c r="O1" s="1842" t="n"/>
      <c r="P1" s="1842" t="n"/>
      <c r="Q1" s="1842" t="n"/>
      <c r="R1" s="1842" t="n"/>
      <c r="S1" s="1842" t="n"/>
      <c r="T1" s="1842" t="n"/>
      <c r="U1" s="1842" t="n"/>
      <c r="V1" s="1842" t="n"/>
      <c r="W1" s="1842" t="n"/>
      <c r="X1" s="1842" t="n"/>
      <c r="Y1" s="1842" t="n"/>
      <c r="Z1" s="1842" t="n"/>
      <c r="AA1" s="1842" t="n"/>
      <c r="AB1" s="1842" t="n"/>
      <c r="AC1" s="1842" t="n"/>
      <c r="AD1" s="1842" t="n"/>
      <c r="AE1" s="1842" t="n"/>
      <c r="AF1" s="1842" t="n"/>
    </row>
    <row r="2" ht="13.5" customHeight="1" s="1883">
      <c r="A2" s="1844" t="inlineStr">
        <is>
          <t>OnePlus</t>
        </is>
      </c>
      <c r="B2" s="1845">
        <f>300*1500000</f>
        <v/>
      </c>
      <c r="C2" s="1842" t="n">
        <v>1</v>
      </c>
      <c r="D2" s="1846" t="inlineStr">
        <is>
          <t>Smartphones</t>
        </is>
      </c>
      <c r="E2" s="1842" t="inlineStr">
        <is>
          <t>China</t>
        </is>
      </c>
      <c r="F2" s="1847" t="inlineStr">
        <is>
          <t>https://www.businessinsider.com/oneplus-2014-annual-report-2015-2</t>
        </is>
      </c>
      <c r="G2" s="1847" t="inlineStr">
        <is>
          <t>http://www.yourtechstory.com/2019/11/11/success-story-of-oneplus/</t>
        </is>
      </c>
      <c r="H2" s="1842" t="n"/>
      <c r="I2" s="1842" t="n"/>
      <c r="J2" s="1842" t="n"/>
      <c r="K2" s="1842" t="n"/>
      <c r="L2" s="1842" t="n"/>
      <c r="M2" s="1842" t="n"/>
      <c r="N2" s="1842" t="n"/>
      <c r="O2" s="1842" t="n"/>
      <c r="P2" s="1842" t="n"/>
      <c r="Q2" s="1842" t="n"/>
      <c r="R2" s="1842" t="n"/>
      <c r="S2" s="1842" t="n"/>
      <c r="T2" s="1842" t="n"/>
      <c r="U2" s="1842" t="n"/>
      <c r="V2" s="1842" t="n"/>
      <c r="W2" s="1842" t="n"/>
      <c r="X2" s="1842" t="n"/>
      <c r="Y2" s="1842" t="n"/>
      <c r="Z2" s="1842" t="n"/>
      <c r="AA2" s="1842" t="n"/>
      <c r="AB2" s="1842" t="n"/>
      <c r="AC2" s="1842" t="n"/>
      <c r="AD2" s="1842" t="n"/>
      <c r="AE2" s="1842" t="n"/>
      <c r="AF2" s="1842" t="n"/>
    </row>
    <row r="3" ht="13.5" customHeight="1" s="1883">
      <c r="A3" s="1844" t="inlineStr">
        <is>
          <t>Wiko</t>
        </is>
      </c>
      <c r="B3" s="1845" t="n">
        <v>320000000</v>
      </c>
      <c r="C3" s="1842" t="n">
        <v>1</v>
      </c>
      <c r="D3" s="1846" t="inlineStr">
        <is>
          <t>Smartphones</t>
        </is>
      </c>
      <c r="E3" s="1842" t="inlineStr">
        <is>
          <t>France/China</t>
        </is>
      </c>
      <c r="F3" s="1848" t="inlineStr">
        <is>
          <t>http://www.gizmochina.com/2014/03/15/wiko-smartphone-chinese-handset-which-successfully-sold-in-france-market/</t>
        </is>
      </c>
      <c r="G3" s="1842" t="n"/>
      <c r="H3" s="1842" t="n"/>
      <c r="I3" s="1842" t="n"/>
      <c r="J3" s="1842" t="n"/>
      <c r="K3" s="1842" t="n"/>
      <c r="L3" s="1842" t="n"/>
      <c r="M3" s="1842" t="n"/>
      <c r="N3" s="1842" t="n"/>
      <c r="O3" s="1842" t="n"/>
      <c r="P3" s="1842" t="n"/>
      <c r="Q3" s="1842" t="n"/>
      <c r="R3" s="1842" t="n"/>
      <c r="S3" s="1842" t="n"/>
      <c r="T3" s="1842" t="n"/>
      <c r="U3" s="1842" t="n"/>
      <c r="V3" s="1842" t="n"/>
      <c r="W3" s="1842" t="n"/>
      <c r="X3" s="1842" t="n"/>
      <c r="Y3" s="1842" t="n"/>
      <c r="Z3" s="1842" t="n"/>
      <c r="AA3" s="1842" t="n"/>
      <c r="AB3" s="1842" t="n"/>
      <c r="AC3" s="1842" t="n"/>
      <c r="AD3" s="1842" t="n"/>
      <c r="AE3" s="1842" t="n"/>
      <c r="AF3" s="1842" t="n"/>
    </row>
    <row r="4" ht="13.5" customHeight="1" s="1883">
      <c r="A4" s="1844" t="inlineStr">
        <is>
          <t>Vivo - JUST IN INDIA!</t>
        </is>
      </c>
      <c r="B4" s="1845" t="n">
        <v>131208969.75</v>
      </c>
      <c r="C4" s="1842" t="n">
        <v>1</v>
      </c>
      <c r="D4" s="1846" t="inlineStr">
        <is>
          <t>Smartphones</t>
        </is>
      </c>
      <c r="E4" s="1842" t="inlineStr">
        <is>
          <t>China</t>
        </is>
      </c>
      <c r="F4" s="1848" t="inlineStr">
        <is>
          <t>https://www.bloomberg.com/news/articles/2017-12-28/maybe-there-is-a-100-billion-smartphone-brand-in-china</t>
        </is>
      </c>
      <c r="G4" s="1842" t="n"/>
      <c r="H4" s="1842" t="n"/>
      <c r="I4" s="1849" t="inlineStr">
        <is>
          <t xml:space="preserve">https://www.businesstoday.in/technology/news/vivo-revenue-crosses-rs-10000crore-milestone-in-just-four-years-in-india/story/282154.html </t>
        </is>
      </c>
      <c r="J4" s="1842" t="n"/>
      <c r="K4" s="1842" t="n"/>
      <c r="L4" s="1842" t="n"/>
      <c r="M4" s="1842" t="n"/>
      <c r="N4" s="1842" t="n"/>
      <c r="O4" s="1842" t="n"/>
      <c r="P4" s="1842" t="n"/>
      <c r="Q4" s="1842" t="n"/>
      <c r="R4" s="1842" t="n"/>
      <c r="S4" s="1849" t="inlineStr">
        <is>
          <t xml:space="preserve">https://www.quora.com/What-is-the-financial-income-of-Vivo-mobile-company-in-year-2016-17 </t>
        </is>
      </c>
      <c r="T4" s="1842" t="n"/>
      <c r="U4" s="1842" t="n"/>
      <c r="V4" s="1842" t="n"/>
      <c r="W4" s="1842" t="n"/>
      <c r="X4" s="1842" t="n"/>
      <c r="Y4" s="1842" t="n"/>
      <c r="Z4" s="1849" t="inlineStr">
        <is>
          <t xml:space="preserve">https://www.statista.com/statistics/541618/vivo-smartphone-shipments-worldwide/ </t>
        </is>
      </c>
      <c r="AA4" s="1842" t="n"/>
      <c r="AB4" s="1842" t="n"/>
      <c r="AC4" s="1842" t="n"/>
      <c r="AD4" s="1842" t="n"/>
      <c r="AE4" s="1842" t="n"/>
      <c r="AF4" s="1849" t="inlineStr">
        <is>
          <t xml:space="preserve">https://www.xe.com/currencyconverter/convert/?Amount=61%2C460%2C000%2C000&amp;From=INR&amp;To=USD </t>
        </is>
      </c>
    </row>
    <row r="5" ht="13.5" customHeight="1" s="1883">
      <c r="A5" s="1844" t="inlineStr">
        <is>
          <t>Oppo</t>
        </is>
      </c>
      <c r="B5" s="1845" t="n">
        <v>465000000</v>
      </c>
      <c r="C5" s="1842" t="n">
        <v>1</v>
      </c>
      <c r="D5" s="1846" t="inlineStr">
        <is>
          <t>Smartphones</t>
        </is>
      </c>
      <c r="E5" s="1842" t="inlineStr">
        <is>
          <t>China</t>
        </is>
      </c>
      <c r="F5" s="1848" t="inlineStr">
        <is>
          <t>https://www.bloomberg.com/news/articles/2017-12-28/maybe-there-is-a-100-billion-smartphone-brand-in-china</t>
        </is>
      </c>
      <c r="G5" s="1842" t="n"/>
      <c r="H5" s="1842" t="n"/>
      <c r="I5" s="1849">
        <f>HYPERLINK("https://techcrunch.com/2016/01/26/chinas-oppo-sold-50m-smartphones-in-2015/","50 million phones in 2015")</f>
        <v/>
      </c>
      <c r="J5" s="1842" t="n"/>
      <c r="K5" s="1849">
        <f>HYPERLINK("https://www.google.com/search?safe=active&amp;source=hp&amp;ei=hChUXcGHNcixggfq0LyQCg&amp;q=43%25+of+50000000&amp;oq=43%25+of+50000000&amp;gs_l=psy-ab.3...245.245..948...0.0..0.120.210.1j1......0....2j1..gws-wiz.MKYdm59MPgA&amp;ved=0ahUKEwjB2ZW61oLkAhXImOAKHWooD6IQ4dUDCAc&amp;uact=5","21.5 million phones year one")</f>
        <v/>
      </c>
      <c r="L5" s="1842" t="n"/>
      <c r="M5" s="1850" t="inlineStr">
        <is>
          <t xml:space="preserve">https://www.statista.com/statistics/541609/oppo-smartphone-shipments-worldwide/  </t>
        </is>
      </c>
      <c r="N5" s="1842" t="n"/>
      <c r="O5" s="1842" t="n"/>
      <c r="P5" s="1842" t="n"/>
      <c r="Q5" s="1842" t="n"/>
      <c r="S5" s="1849" t="inlineStr">
        <is>
          <t>https://www.statista.com/statistics/541609/oppo-smartphone-shipments-worldwide/</t>
        </is>
      </c>
      <c r="T5" s="1842" t="n"/>
      <c r="U5" s="1842" t="n"/>
      <c r="V5" s="1842" t="n"/>
      <c r="W5" s="1842" t="n"/>
      <c r="X5" s="1842" t="n"/>
      <c r="Y5" s="1842" t="n"/>
      <c r="Z5" s="1842" t="n"/>
      <c r="AA5" s="1842" t="n"/>
      <c r="AB5" s="1842" t="n"/>
      <c r="AC5" s="1842" t="n"/>
      <c r="AD5" s="1842" t="n"/>
      <c r="AE5" s="1842" t="n"/>
      <c r="AF5" s="1842" t="n"/>
    </row>
    <row r="6" ht="13.5" customHeight="1" s="1883">
      <c r="A6" s="1844" t="inlineStr">
        <is>
          <t>Micromax - read note in column C</t>
        </is>
      </c>
      <c r="B6" s="1851" t="n">
        <v>1000000000</v>
      </c>
      <c r="C6" s="1842" t="n">
        <v>9</v>
      </c>
      <c r="D6" s="1846" t="inlineStr">
        <is>
          <t>Smartphones</t>
        </is>
      </c>
      <c r="E6" s="1842" t="inlineStr">
        <is>
          <t>India</t>
        </is>
      </c>
      <c r="F6" s="1847" t="inlineStr">
        <is>
          <t xml:space="preserve">https://www.ibtimes.co.in/micromax039s-canvas-series-phones-exceed-1-million-unit-sales-pose-threat-to-samsung-461642 </t>
        </is>
      </c>
      <c r="G6" s="1842" t="n"/>
      <c r="H6" s="1842" t="n"/>
      <c r="I6" s="1842" t="inlineStr">
        <is>
          <t>The First YEAR of the CANVAS phone ON ONLY that phone Micromax made about $200 MILLION in Revenue based on it's selling price x amount of phones they sold</t>
        </is>
      </c>
      <c r="J6" s="1842" t="n"/>
      <c r="K6" s="1842" t="n"/>
      <c r="L6" s="1842" t="n"/>
      <c r="M6" s="1842" t="n"/>
      <c r="N6" s="1842" t="n"/>
      <c r="O6" s="1842" t="n"/>
      <c r="P6" s="1842" t="n"/>
      <c r="Q6" s="1842" t="n"/>
      <c r="R6" s="1842" t="n"/>
      <c r="S6" s="1842" t="n"/>
      <c r="T6" s="1842" t="inlineStr">
        <is>
          <t>$198 USD rough estimate per phone x 1 million phones</t>
        </is>
      </c>
      <c r="U6" s="1842" t="n"/>
      <c r="V6" s="1842" t="n"/>
      <c r="W6" s="1842" t="n"/>
      <c r="X6" s="1849" t="inlineStr">
        <is>
          <t>https://www.xe.com/currencyconverter/convert/?Amount=14499&amp;From=INR&amp;To=USD</t>
        </is>
      </c>
      <c r="Y6" s="1842" t="n"/>
      <c r="Z6" s="1842" t="n"/>
      <c r="AA6" s="1842" t="n"/>
      <c r="AB6" s="1842" t="n"/>
      <c r="AC6" s="1842" t="n"/>
      <c r="AD6" s="1842" t="n"/>
      <c r="AE6" s="1842" t="n"/>
      <c r="AF6" s="1842" t="n"/>
    </row>
    <row r="7" ht="13.5" customHeight="1" s="1883">
      <c r="A7" s="1852" t="inlineStr">
        <is>
          <t>RealMe</t>
        </is>
      </c>
      <c r="B7" s="1845">
        <f>15000000*210</f>
        <v/>
      </c>
      <c r="C7" s="1841" t="n">
        <v>1</v>
      </c>
      <c r="D7" s="1846" t="inlineStr">
        <is>
          <t>Smartphones</t>
        </is>
      </c>
      <c r="E7" s="1842" t="inlineStr">
        <is>
          <t>India</t>
        </is>
      </c>
      <c r="F7" s="1849" t="inlineStr">
        <is>
          <t>https://www.techradar.com/news/realme-sold-over-15-million-smartphones-in-the-first-year</t>
        </is>
      </c>
      <c r="H7" s="1847" t="inlineStr">
        <is>
          <t>https://en.wikipedia.org/wiki/Realme</t>
        </is>
      </c>
      <c r="J7" s="1842" t="n"/>
      <c r="K7" s="1842" t="inlineStr">
        <is>
          <t>possibly $84 Million in 30 days FY1</t>
        </is>
      </c>
      <c r="L7" s="1842" t="n"/>
      <c r="M7" s="1842" t="n"/>
      <c r="N7" s="1849" t="inlineStr">
        <is>
          <t>https://techcrunch.com/2020/11/20/realme-profile/#:~:text=Within%20nine%20quarters%2C%20Realme%20has,market%2C%20even%20larger%20than%20China.</t>
        </is>
      </c>
      <c r="O7" s="1842" t="n"/>
      <c r="P7" s="1842" t="n"/>
      <c r="Q7" s="1842" t="n"/>
      <c r="R7" s="1842" t="n"/>
      <c r="S7" s="1842" t="n"/>
      <c r="T7" s="1842" t="n"/>
      <c r="U7" s="1842" t="n"/>
      <c r="V7" s="1842" t="n"/>
      <c r="W7" s="1842" t="n"/>
      <c r="X7" s="1842" t="n"/>
      <c r="Y7" s="1849" t="inlineStr">
        <is>
          <t>https://www.forbes.com/sites/realme/2021/08/09/realme-sells-100-million-handsets-in-record-setting-3-years-ceo-wants-to-beat-its-own-record/?sh=4a4d3a684851</t>
        </is>
      </c>
      <c r="Z7" s="1842" t="n"/>
      <c r="AA7" s="1842" t="n"/>
      <c r="AB7" s="1842" t="n"/>
      <c r="AC7" s="1842" t="n"/>
      <c r="AD7" s="1842" t="n"/>
      <c r="AE7" s="1842" t="n"/>
      <c r="AF7" s="1842" t="n"/>
    </row>
    <row r="8" ht="13.5" customHeight="1" s="1883">
      <c r="A8" s="1842" t="inlineStr">
        <is>
          <t>Toon Blast</t>
        </is>
      </c>
      <c r="B8" s="1853" t="n">
        <v>200000000</v>
      </c>
      <c r="C8" s="1842" t="n">
        <v>1</v>
      </c>
      <c r="D8" s="1846" t="inlineStr">
        <is>
          <t>Mobile Gaming</t>
        </is>
      </c>
      <c r="E8" s="1842" t="inlineStr">
        <is>
          <t>Turkey</t>
        </is>
      </c>
      <c r="F8" s="1847" t="inlineStr">
        <is>
          <t xml:space="preserve">https://www.pocketgamer.biz/news/68993/toon-blast-revenue-rockers-to-200-million-in-its-first-year/ </t>
        </is>
      </c>
      <c r="G8" s="1842" t="n"/>
      <c r="H8" s="1842" t="n"/>
      <c r="I8" s="1842" t="n"/>
      <c r="J8" s="1842" t="n"/>
      <c r="K8" s="1842" t="n"/>
      <c r="L8" s="1842" t="n"/>
      <c r="M8" s="1842" t="n"/>
      <c r="N8" s="1842" t="n"/>
      <c r="O8" s="1842" t="n"/>
      <c r="P8" s="1842" t="n"/>
      <c r="Q8" s="1842" t="n"/>
      <c r="R8" s="1842" t="n"/>
      <c r="S8" s="1842" t="n"/>
      <c r="T8" s="1842" t="n"/>
      <c r="U8" s="1842" t="n"/>
      <c r="V8" s="1842" t="n"/>
      <c r="W8" s="1842" t="n"/>
      <c r="X8" s="1842" t="n"/>
      <c r="Y8" s="1842" t="n"/>
      <c r="Z8" s="1842" t="n"/>
      <c r="AA8" s="1842" t="n"/>
      <c r="AB8" s="1842" t="n"/>
      <c r="AC8" s="1842" t="n"/>
      <c r="AD8" s="1842" t="n"/>
      <c r="AE8" s="1842" t="n"/>
      <c r="AF8" s="1842" t="n"/>
    </row>
    <row r="9" ht="13.5" customHeight="1" s="1883">
      <c r="A9" s="1842" t="inlineStr">
        <is>
          <t>Fortnite</t>
        </is>
      </c>
      <c r="B9" s="1853" t="n">
        <v>200000000</v>
      </c>
      <c r="C9" s="1842" t="n">
        <v>1</v>
      </c>
      <c r="D9" s="1846" t="inlineStr">
        <is>
          <t>Video Game</t>
        </is>
      </c>
      <c r="E9" s="1842" t="inlineStr">
        <is>
          <t>USA</t>
        </is>
      </c>
      <c r="F9" s="1848" t="inlineStr">
        <is>
          <t>https://sensortower.com/blog/fortnite-revenue-200-million</t>
        </is>
      </c>
      <c r="G9" s="1842" t="n"/>
      <c r="I9" s="1842" t="n"/>
      <c r="J9" s="1842" t="n"/>
      <c r="K9" s="1842" t="n"/>
      <c r="L9" s="1842" t="n"/>
      <c r="M9" s="1842" t="n"/>
      <c r="N9" s="1842" t="n"/>
      <c r="O9" s="1842" t="n"/>
      <c r="P9" s="1842" t="n"/>
      <c r="Q9" s="1842" t="n"/>
      <c r="R9" s="1842" t="n"/>
      <c r="S9" s="1842" t="n"/>
      <c r="T9" s="1842" t="n"/>
      <c r="U9" s="1842" t="n"/>
      <c r="V9" s="1842" t="n"/>
      <c r="W9" s="1842" t="n"/>
      <c r="X9" s="1842" t="n"/>
      <c r="Y9" s="1842" t="n"/>
      <c r="Z9" s="1842" t="n"/>
      <c r="AA9" s="1842" t="n"/>
      <c r="AB9" s="1842" t="n"/>
      <c r="AC9" s="1842" t="n"/>
      <c r="AD9" s="1842" t="n"/>
      <c r="AE9" s="1842" t="n"/>
      <c r="AF9" s="1842" t="n"/>
    </row>
    <row r="10" ht="13.5" customHeight="1" s="1883">
      <c r="A10" s="1842" t="inlineStr">
        <is>
          <t>Pokemon Go</t>
        </is>
      </c>
      <c r="B10" s="1853" t="n">
        <v>200000000</v>
      </c>
      <c r="C10" s="1842" t="n">
        <v>1</v>
      </c>
      <c r="D10" s="1846" t="inlineStr">
        <is>
          <t>Mobile Gaming</t>
        </is>
      </c>
      <c r="E10" s="1842" t="inlineStr">
        <is>
          <t>USA</t>
        </is>
      </c>
      <c r="F10" s="1848" t="inlineStr">
        <is>
          <t>https://venturebeat.com/2016/08/08/sensor-tower-pokemon-go-made-200-million-in-its-first-month/</t>
        </is>
      </c>
      <c r="G10" s="1842" t="n"/>
      <c r="H10" s="1842" t="n"/>
      <c r="I10" s="1842" t="n"/>
      <c r="J10" s="1842" t="n"/>
      <c r="K10" s="1842" t="n"/>
      <c r="L10" s="1842" t="n"/>
      <c r="M10" s="1842" t="n"/>
      <c r="N10" s="1842" t="n"/>
      <c r="O10" s="1842" t="n"/>
      <c r="P10" s="1842" t="n"/>
      <c r="Q10" s="1842" t="n"/>
      <c r="R10" s="1842" t="n"/>
      <c r="S10" s="1842" t="n"/>
      <c r="T10" s="1842" t="n"/>
      <c r="U10" s="1842" t="n"/>
      <c r="V10" s="1842" t="n"/>
      <c r="W10" s="1842" t="n"/>
      <c r="X10" s="1842" t="n"/>
      <c r="Y10" s="1842" t="n"/>
      <c r="Z10" s="1842" t="n"/>
      <c r="AA10" s="1842" t="n"/>
      <c r="AB10" s="1842" t="n"/>
      <c r="AC10" s="1842" t="n"/>
      <c r="AD10" s="1842" t="n"/>
      <c r="AE10" s="1842" t="n"/>
      <c r="AF10" s="1842" t="n"/>
    </row>
    <row r="11" ht="13.5" customHeight="1" s="1883">
      <c r="A11" s="1842" t="inlineStr">
        <is>
          <t>Facebook Spammers</t>
        </is>
      </c>
      <c r="B11" s="1853" t="n">
        <v>200000000</v>
      </c>
      <c r="C11" s="1842" t="n">
        <v>1</v>
      </c>
      <c r="D11" s="1846" t="inlineStr">
        <is>
          <t>Spam</t>
        </is>
      </c>
      <c r="E11" s="1842" t="inlineStr">
        <is>
          <t>International</t>
        </is>
      </c>
      <c r="F11" s="1848" t="inlineStr">
        <is>
          <t>https://www.theguardian.com/technology/2013/aug/28/facebook-spam-202-million-italian-research</t>
        </is>
      </c>
      <c r="G11" s="1842" t="n"/>
      <c r="H11" s="1842" t="n"/>
      <c r="I11" s="1842" t="n"/>
      <c r="J11" s="1842" t="n"/>
      <c r="K11" s="1842" t="n"/>
      <c r="L11" s="1842" t="n"/>
      <c r="M11" s="1842" t="n"/>
      <c r="N11" s="1842" t="n"/>
      <c r="O11" s="1842" t="n"/>
      <c r="P11" s="1842" t="n"/>
      <c r="Q11" s="1842" t="n"/>
      <c r="R11" s="1842" t="n"/>
      <c r="S11" s="1842" t="n"/>
      <c r="T11" s="1842" t="n"/>
      <c r="U11" s="1842" t="n"/>
      <c r="V11" s="1842" t="n"/>
      <c r="W11" s="1842" t="n"/>
      <c r="X11" s="1842" t="n"/>
      <c r="Y11" s="1842" t="n"/>
      <c r="Z11" s="1842" t="n"/>
      <c r="AA11" s="1842" t="n"/>
      <c r="AB11" s="1842" t="n"/>
      <c r="AC11" s="1842" t="n"/>
      <c r="AD11" s="1842" t="n"/>
      <c r="AE11" s="1842" t="n"/>
      <c r="AF11" s="1842" t="n"/>
    </row>
    <row r="12" ht="13.5" customHeight="1" s="1883">
      <c r="A12" s="1842" t="inlineStr">
        <is>
          <t>Black Panther (Marvel Studios)</t>
        </is>
      </c>
      <c r="B12" s="1853" t="n">
        <v>200000000</v>
      </c>
      <c r="C12" s="1842" t="n">
        <v>1</v>
      </c>
      <c r="D12" s="1842" t="inlineStr">
        <is>
          <t>Film</t>
        </is>
      </c>
      <c r="E12" s="1842" t="inlineStr">
        <is>
          <t>USA</t>
        </is>
      </c>
      <c r="F12" s="1848" t="inlineStr">
        <is>
          <t>https://www.hollywoodreporter.com/heat-vision/black-panther-weekend-box-office-record-shattering-debut-1085932</t>
        </is>
      </c>
      <c r="G12" s="1842" t="n"/>
      <c r="H12" s="1842" t="n"/>
      <c r="I12" s="1842" t="n"/>
      <c r="J12" s="1842" t="n"/>
      <c r="K12" s="1842" t="n"/>
      <c r="L12" s="1842" t="n"/>
      <c r="M12" s="1842" t="n"/>
      <c r="N12" s="1842" t="n"/>
      <c r="O12" s="1842" t="n"/>
      <c r="P12" s="1842" t="n"/>
      <c r="Q12" s="1842" t="n"/>
      <c r="R12" s="1842" t="n"/>
      <c r="S12" s="1842" t="n"/>
      <c r="T12" s="1842" t="n"/>
      <c r="U12" s="1842" t="n"/>
      <c r="V12" s="1842" t="n"/>
      <c r="W12" s="1842" t="n"/>
      <c r="X12" s="1842" t="n"/>
      <c r="Y12" s="1842" t="n"/>
      <c r="Z12" s="1842" t="n"/>
      <c r="AA12" s="1842" t="n"/>
      <c r="AB12" s="1842" t="n"/>
      <c r="AC12" s="1842" t="n"/>
      <c r="AD12" s="1842" t="n"/>
      <c r="AE12" s="1842" t="n"/>
      <c r="AF12" s="1842" t="n"/>
    </row>
    <row r="13" ht="13.5" customHeight="1" s="1883">
      <c r="A13" s="1842" t="inlineStr">
        <is>
          <t>Flipkart</t>
        </is>
      </c>
      <c r="B13" s="1853" t="n">
        <v>200000000</v>
      </c>
      <c r="C13" s="1842" t="n">
        <v>1</v>
      </c>
      <c r="D13" s="1846" t="inlineStr">
        <is>
          <t>Electronics Retail</t>
        </is>
      </c>
      <c r="E13" s="1842" t="inlineStr">
        <is>
          <t>India</t>
        </is>
      </c>
      <c r="F13" s="1848" t="inlineStr">
        <is>
          <t>https://www.gadgetsnow.com/tech-news/Smartphones-the-biggest-hit-on-Flipkarts-Big-Billion-sale/articleshow/49539709.cms</t>
        </is>
      </c>
      <c r="G13" s="1842" t="n"/>
      <c r="H13" s="1842" t="n"/>
      <c r="I13" s="1842" t="n"/>
      <c r="J13" s="1842" t="n"/>
      <c r="K13" s="1842" t="n"/>
      <c r="L13" s="1842" t="n"/>
      <c r="M13" s="1842" t="n"/>
      <c r="N13" s="1842" t="n"/>
      <c r="O13" s="1842" t="n"/>
      <c r="P13" s="1842" t="n"/>
      <c r="Q13" s="1842" t="n"/>
      <c r="R13" s="1842" t="n"/>
      <c r="S13" s="1842" t="n"/>
      <c r="T13" s="1842" t="n"/>
      <c r="U13" s="1842" t="n"/>
      <c r="V13" s="1842" t="n"/>
      <c r="W13" s="1842" t="n"/>
      <c r="X13" s="1842" t="n"/>
      <c r="Y13" s="1842" t="n"/>
      <c r="Z13" s="1842" t="n"/>
      <c r="AA13" s="1842" t="n"/>
      <c r="AB13" s="1842" t="n"/>
      <c r="AC13" s="1842" t="n"/>
      <c r="AD13" s="1842" t="n"/>
      <c r="AE13" s="1842" t="n"/>
      <c r="AF13" s="1842" t="n"/>
    </row>
    <row r="14" ht="13.5" customHeight="1" s="1883">
      <c r="A14" s="1842" t="inlineStr">
        <is>
          <t>Five9</t>
        </is>
      </c>
      <c r="B14" s="1853" t="n">
        <v>200000000</v>
      </c>
      <c r="C14" s="1842" t="n">
        <v>1</v>
      </c>
      <c r="D14" s="1846" t="inlineStr">
        <is>
          <t>Cloud Service</t>
        </is>
      </c>
      <c r="E14" s="1842" t="inlineStr">
        <is>
          <t>USA</t>
        </is>
      </c>
      <c r="F14" s="1848" t="inlineStr">
        <is>
          <t>https://www.businesswire.com/news/home/20180221006185/en/Five9-Reports-Record-Annual-Revenue-200-Million</t>
        </is>
      </c>
      <c r="G14" s="1842" t="n"/>
      <c r="H14" s="1842" t="n"/>
      <c r="I14" s="1842" t="n"/>
      <c r="J14" s="1842" t="n"/>
      <c r="K14" s="1842" t="n"/>
      <c r="L14" s="1842" t="n"/>
      <c r="M14" s="1842" t="n"/>
      <c r="N14" s="1842" t="n"/>
      <c r="O14" s="1842" t="n"/>
      <c r="P14" s="1842" t="n"/>
      <c r="Q14" s="1842" t="n"/>
      <c r="R14" s="1842" t="n"/>
      <c r="S14" s="1842" t="n"/>
      <c r="T14" s="1842" t="n"/>
      <c r="U14" s="1842" t="n"/>
      <c r="V14" s="1842" t="n"/>
      <c r="W14" s="1842" t="n"/>
      <c r="X14" s="1842" t="n"/>
      <c r="Y14" s="1842" t="n"/>
      <c r="Z14" s="1842" t="n"/>
      <c r="AA14" s="1842" t="n"/>
      <c r="AB14" s="1842" t="n"/>
      <c r="AC14" s="1842" t="n"/>
      <c r="AD14" s="1842" t="n"/>
      <c r="AE14" s="1842" t="n"/>
      <c r="AF14" s="1842" t="n"/>
    </row>
    <row r="15" ht="13.5" customHeight="1" s="1883">
      <c r="A15" s="1842" t="inlineStr">
        <is>
          <t>Cohesity</t>
        </is>
      </c>
      <c r="B15" s="1853" t="n">
        <v>200000000</v>
      </c>
      <c r="C15" s="1842" t="n">
        <v>1</v>
      </c>
      <c r="D15" s="1846" t="inlineStr">
        <is>
          <t>Data Backup</t>
        </is>
      </c>
      <c r="E15" s="1842" t="inlineStr">
        <is>
          <t>USA</t>
        </is>
      </c>
      <c r="F15" s="1848" t="inlineStr">
        <is>
          <t>https://www.datacenterknowledge.com/startups/hyperconverged-startup-cohesity-hits-200m-annual-sales-pace</t>
        </is>
      </c>
      <c r="G15" s="1842" t="n"/>
      <c r="H15" s="1842" t="n"/>
      <c r="I15" s="1842" t="n"/>
      <c r="J15" s="1842" t="n"/>
      <c r="K15" s="1842" t="n"/>
      <c r="L15" s="1842" t="n"/>
      <c r="M15" s="1842" t="n"/>
      <c r="N15" s="1842" t="n"/>
      <c r="O15" s="1842" t="n"/>
      <c r="P15" s="1842" t="n"/>
      <c r="Q15" s="1842" t="n"/>
      <c r="R15" s="1842" t="n"/>
      <c r="S15" s="1842" t="n"/>
      <c r="T15" s="1842" t="n"/>
      <c r="U15" s="1842" t="n"/>
      <c r="V15" s="1842" t="n"/>
      <c r="W15" s="1842" t="n"/>
      <c r="X15" s="1842" t="n"/>
      <c r="Y15" s="1842" t="n"/>
      <c r="Z15" s="1842" t="n"/>
      <c r="AA15" s="1842" t="n"/>
      <c r="AB15" s="1842" t="n"/>
      <c r="AC15" s="1842" t="n"/>
      <c r="AD15" s="1842" t="n"/>
      <c r="AE15" s="1842" t="n"/>
      <c r="AF15" s="1842" t="n"/>
    </row>
    <row r="16" ht="13.5" customHeight="1" s="1883">
      <c r="A16" s="1842" t="inlineStr">
        <is>
          <t>Etsy</t>
        </is>
      </c>
      <c r="B16" s="1853" t="n">
        <v>200000000</v>
      </c>
      <c r="C16" s="1842" t="n">
        <v>1</v>
      </c>
      <c r="D16" s="1846" t="inlineStr">
        <is>
          <t>E-Commerce</t>
        </is>
      </c>
      <c r="E16" s="1842" t="inlineStr">
        <is>
          <t>USA</t>
        </is>
      </c>
      <c r="F16" s="1848" t="inlineStr">
        <is>
          <t>https://www.statista.com/statistics/409371/etsy-annual-revenue/</t>
        </is>
      </c>
      <c r="G16" s="1842" t="n"/>
      <c r="H16" s="1842" t="n"/>
      <c r="I16" s="1842" t="n"/>
      <c r="J16" s="1842" t="n"/>
      <c r="K16" s="1842" t="n"/>
      <c r="L16" s="1842" t="n"/>
      <c r="M16" s="1842" t="n"/>
      <c r="N16" s="1842" t="n"/>
      <c r="O16" s="1842" t="n"/>
      <c r="P16" s="1842" t="n"/>
      <c r="Q16" s="1842" t="n"/>
      <c r="R16" s="1842" t="n"/>
      <c r="S16" s="1842" t="n"/>
      <c r="T16" s="1842" t="n"/>
      <c r="U16" s="1842" t="n"/>
      <c r="V16" s="1842" t="n"/>
      <c r="W16" s="1842" t="n"/>
      <c r="X16" s="1842" t="n"/>
      <c r="Y16" s="1842" t="n"/>
      <c r="Z16" s="1842" t="n"/>
      <c r="AA16" s="1842" t="n"/>
      <c r="AB16" s="1842" t="n"/>
      <c r="AC16" s="1842" t="n"/>
      <c r="AD16" s="1842" t="n"/>
      <c r="AE16" s="1842" t="n"/>
      <c r="AF16" s="1842" t="n"/>
    </row>
    <row r="17" ht="13.5" customHeight="1" s="1883">
      <c r="A17" s="1844" t="inlineStr">
        <is>
          <t>Diligent Corporation</t>
        </is>
      </c>
      <c r="B17" s="1853" t="n">
        <v>200000000</v>
      </c>
      <c r="C17" s="1842" t="n">
        <v>1</v>
      </c>
      <c r="D17" s="1846" t="inlineStr">
        <is>
          <t>Software</t>
        </is>
      </c>
      <c r="E17" s="1842" t="inlineStr">
        <is>
          <t>USA</t>
        </is>
      </c>
      <c r="F17" s="1848" t="inlineStr">
        <is>
          <t>https://www.bizjournals.com/newyork/businesswire/press_releases/New_York/2018/02/09/20180209005073</t>
        </is>
      </c>
      <c r="G17" s="1842" t="n"/>
      <c r="H17" s="1842" t="n"/>
      <c r="I17" s="1842" t="n"/>
      <c r="J17" s="1842" t="n"/>
      <c r="K17" s="1842" t="n"/>
      <c r="L17" s="1842" t="n"/>
      <c r="M17" s="1842" t="n"/>
      <c r="N17" s="1842" t="n"/>
      <c r="O17" s="1842" t="n"/>
      <c r="P17" s="1842" t="n"/>
      <c r="Q17" s="1842" t="n"/>
      <c r="R17" s="1842" t="n"/>
      <c r="S17" s="1842" t="n"/>
      <c r="T17" s="1842" t="n"/>
      <c r="U17" s="1842" t="n"/>
      <c r="V17" s="1842" t="n"/>
      <c r="W17" s="1842" t="n"/>
      <c r="X17" s="1842" t="n"/>
      <c r="Y17" s="1842" t="n"/>
      <c r="Z17" s="1842" t="n"/>
      <c r="AA17" s="1842" t="n"/>
      <c r="AB17" s="1842" t="n"/>
      <c r="AC17" s="1842" t="n"/>
      <c r="AD17" s="1842" t="n"/>
      <c r="AE17" s="1842" t="n"/>
      <c r="AF17" s="1842" t="n"/>
    </row>
    <row r="18" ht="13.5" customHeight="1" s="1883">
      <c r="A18" s="1844" t="inlineStr">
        <is>
          <t>Binance</t>
        </is>
      </c>
      <c r="B18" s="1853" t="n">
        <v>200000000</v>
      </c>
      <c r="C18" s="1842" t="n">
        <v>1</v>
      </c>
      <c r="D18" s="1846" t="inlineStr">
        <is>
          <t>Crypto Currency</t>
        </is>
      </c>
      <c r="E18" s="1842" t="inlineStr">
        <is>
          <t>China</t>
        </is>
      </c>
      <c r="F18" s="1848" t="inlineStr">
        <is>
          <t>https://bitcoinexchangeguide.com/binance-earns-200-million-while-nasdaqs-posts-209-million-in-profits-but-has-20x-more-employees/</t>
        </is>
      </c>
      <c r="G18" s="1842" t="n"/>
      <c r="H18" s="1842" t="n"/>
      <c r="I18" s="1842" t="n"/>
      <c r="J18" s="1842" t="n"/>
      <c r="K18" s="1842" t="n"/>
      <c r="L18" s="1842" t="n"/>
      <c r="M18" s="1842" t="n"/>
      <c r="N18" s="1842" t="n"/>
      <c r="O18" s="1842" t="n"/>
      <c r="P18" s="1842" t="n"/>
      <c r="Q18" s="1842" t="n"/>
      <c r="R18" s="1842" t="n"/>
      <c r="S18" s="1842" t="n"/>
      <c r="T18" s="1842" t="n"/>
      <c r="U18" s="1842" t="n"/>
      <c r="V18" s="1842" t="n"/>
      <c r="W18" s="1842" t="n"/>
      <c r="X18" s="1842" t="n"/>
      <c r="Y18" s="1842" t="n"/>
      <c r="Z18" s="1842" t="n"/>
      <c r="AA18" s="1842" t="n"/>
      <c r="AB18" s="1842" t="n"/>
      <c r="AC18" s="1842" t="n"/>
      <c r="AD18" s="1842" t="n"/>
      <c r="AE18" s="1842" t="n"/>
      <c r="AF18" s="1842" t="n"/>
    </row>
    <row r="19" ht="13.5" customHeight="1" s="1883">
      <c r="A19" s="1842" t="inlineStr">
        <is>
          <t>Candy Crush Saga</t>
        </is>
      </c>
      <c r="B19" s="1853" t="n">
        <v>200000000</v>
      </c>
      <c r="C19" s="1842" t="n">
        <v>1</v>
      </c>
      <c r="D19" s="1846" t="inlineStr">
        <is>
          <t>Mobile Gaming</t>
        </is>
      </c>
      <c r="E19" s="1842" t="inlineStr">
        <is>
          <t>Sweden</t>
        </is>
      </c>
      <c r="F19" s="1848" t="inlineStr">
        <is>
          <t>https://www.gamesindustry.biz/articles/2018-07-23-candy-crush-saga-revenue-for-q2-hits-usd213m-after-18-percent-growth</t>
        </is>
      </c>
      <c r="G19" s="1842" t="n"/>
      <c r="H19" s="1842" t="n"/>
      <c r="I19" s="1842" t="n"/>
      <c r="J19" s="1842" t="n"/>
      <c r="K19" s="1842" t="n"/>
      <c r="L19" s="1842" t="n"/>
      <c r="M19" s="1842" t="n"/>
      <c r="N19" s="1842" t="n"/>
      <c r="O19" s="1842" t="n"/>
      <c r="P19" s="1842" t="n"/>
      <c r="Q19" s="1842" t="n"/>
      <c r="R19" s="1842" t="n"/>
      <c r="S19" s="1842" t="n"/>
      <c r="T19" s="1842" t="n"/>
      <c r="U19" s="1842" t="n"/>
      <c r="V19" s="1842" t="n"/>
      <c r="W19" s="1842" t="n"/>
      <c r="X19" s="1842" t="n"/>
      <c r="Y19" s="1842" t="n"/>
      <c r="Z19" s="1842" t="n"/>
      <c r="AA19" s="1842" t="n"/>
      <c r="AB19" s="1842" t="n"/>
      <c r="AC19" s="1842" t="n"/>
      <c r="AD19" s="1842" t="n"/>
      <c r="AE19" s="1842" t="n"/>
      <c r="AF19" s="1842" t="n"/>
    </row>
    <row r="20" ht="13.5" customHeight="1" s="1883">
      <c r="A20" s="1842" t="inlineStr">
        <is>
          <t>Teads</t>
        </is>
      </c>
      <c r="B20" s="1853" t="n">
        <v>200000000</v>
      </c>
      <c r="C20" s="1842" t="n">
        <v>1</v>
      </c>
      <c r="D20" s="1842" t="inlineStr">
        <is>
          <t>Video Advertisement</t>
        </is>
      </c>
      <c r="E20" s="1842" t="inlineStr">
        <is>
          <t>U.K.</t>
        </is>
      </c>
      <c r="F20" s="1848" t="inlineStr">
        <is>
          <t>https://www.teads.tv/teads-announces-200-million-revenue/</t>
        </is>
      </c>
      <c r="G20" s="1842" t="n"/>
      <c r="H20" s="1842" t="n"/>
      <c r="I20" s="1842" t="n"/>
      <c r="J20" s="1842" t="n"/>
      <c r="K20" s="1842" t="n"/>
      <c r="L20" s="1842" t="n"/>
      <c r="M20" s="1842" t="n"/>
      <c r="N20" s="1842" t="n"/>
      <c r="O20" s="1842" t="n"/>
      <c r="P20" s="1842" t="n"/>
      <c r="Q20" s="1842" t="n"/>
      <c r="R20" s="1842" t="n"/>
      <c r="S20" s="1842" t="n"/>
      <c r="T20" s="1842" t="n"/>
      <c r="U20" s="1842" t="n"/>
      <c r="V20" s="1842" t="n"/>
      <c r="W20" s="1842" t="n"/>
      <c r="X20" s="1842" t="n"/>
      <c r="Y20" s="1842" t="n"/>
      <c r="Z20" s="1842" t="n"/>
      <c r="AA20" s="1842" t="n"/>
      <c r="AB20" s="1842" t="n"/>
      <c r="AC20" s="1842" t="n"/>
      <c r="AD20" s="1842" t="n"/>
      <c r="AE20" s="1842" t="n"/>
      <c r="AF20" s="1842" t="n"/>
    </row>
    <row r="21" ht="13.5" customHeight="1" s="1883">
      <c r="A21" s="1842" t="inlineStr">
        <is>
          <t>Scavi Vietnam</t>
        </is>
      </c>
      <c r="B21" s="1853" t="n">
        <v>200000000</v>
      </c>
      <c r="C21" s="1842" t="n">
        <v>1</v>
      </c>
      <c r="D21" s="1842" t="inlineStr">
        <is>
          <t>Retail</t>
        </is>
      </c>
      <c r="E21" s="1842" t="inlineStr">
        <is>
          <t>Vietnam/France</t>
        </is>
      </c>
      <c r="F21" s="1848" t="inlineStr">
        <is>
          <t>https://english.thesaigontimes.vn/61676/scavi-vietnam-set-to-earn-us$200-million-in-annual-revenue.html</t>
        </is>
      </c>
      <c r="G21" s="1842" t="n"/>
      <c r="H21" s="1842" t="n"/>
      <c r="I21" s="1842" t="n"/>
      <c r="J21" s="1842" t="n"/>
      <c r="K21" s="1842" t="n"/>
      <c r="L21" s="1842" t="n"/>
      <c r="M21" s="1842" t="n"/>
      <c r="N21" s="1842" t="n"/>
      <c r="O21" s="1842" t="n"/>
      <c r="P21" s="1842" t="n"/>
      <c r="Q21" s="1842" t="n"/>
      <c r="R21" s="1842" t="n"/>
      <c r="S21" s="1842" t="n"/>
      <c r="T21" s="1842" t="n"/>
      <c r="U21" s="1842" t="n"/>
      <c r="V21" s="1842" t="n"/>
      <c r="W21" s="1842" t="n"/>
      <c r="X21" s="1842" t="n"/>
      <c r="Y21" s="1842" t="n"/>
      <c r="Z21" s="1842" t="n"/>
      <c r="AA21" s="1842" t="n"/>
      <c r="AB21" s="1842" t="n"/>
      <c r="AC21" s="1842" t="n"/>
      <c r="AD21" s="1842" t="n"/>
      <c r="AE21" s="1842" t="n"/>
      <c r="AF21" s="1842" t="n"/>
    </row>
    <row r="22" ht="13.5" customHeight="1" s="1883">
      <c r="A22" s="1842" t="inlineStr">
        <is>
          <t>Angry Birds</t>
        </is>
      </c>
      <c r="B22" s="1853" t="n">
        <v>200000000</v>
      </c>
      <c r="C22" s="1842" t="n">
        <v>1</v>
      </c>
      <c r="D22" s="1846" t="inlineStr">
        <is>
          <t>Mobile Gaming</t>
        </is>
      </c>
      <c r="E22" s="1842" t="inlineStr">
        <is>
          <t>Finland</t>
        </is>
      </c>
      <c r="F22" s="1848" t="inlineStr">
        <is>
          <t>https://mashable.com/2013/04/03/angry-birds-2012-earnings-report/#v0ZOGgyDm8qf</t>
        </is>
      </c>
      <c r="G22" s="1842" t="n"/>
      <c r="H22" s="1842" t="n"/>
      <c r="I22" s="1842" t="n"/>
      <c r="J22" s="1842" t="n"/>
      <c r="K22" s="1842" t="n"/>
      <c r="L22" s="1842" t="n"/>
      <c r="M22" s="1842" t="n"/>
      <c r="N22" s="1842" t="n"/>
      <c r="O22" s="1842" t="n"/>
      <c r="P22" s="1842" t="n"/>
      <c r="Q22" s="1842" t="n"/>
      <c r="R22" s="1842" t="n"/>
      <c r="S22" s="1842" t="n"/>
      <c r="T22" s="1842" t="n"/>
      <c r="U22" s="1842" t="n"/>
      <c r="V22" s="1842" t="n"/>
      <c r="W22" s="1842" t="n"/>
      <c r="X22" s="1842" t="n"/>
      <c r="Y22" s="1842" t="n"/>
      <c r="Z22" s="1842" t="n"/>
      <c r="AA22" s="1842" t="n"/>
      <c r="AB22" s="1842" t="n"/>
      <c r="AC22" s="1842" t="n"/>
      <c r="AD22" s="1842" t="n"/>
      <c r="AE22" s="1842" t="n"/>
      <c r="AF22" s="1842" t="n"/>
    </row>
    <row r="23" ht="13.5" customHeight="1" s="1883">
      <c r="A23" s="1842" t="inlineStr">
        <is>
          <t>Nevada Sportsbooks</t>
        </is>
      </c>
      <c r="B23" s="1853" t="n">
        <v>202800000</v>
      </c>
      <c r="C23" s="1842" t="n">
        <v>1</v>
      </c>
      <c r="D23" s="1842" t="inlineStr">
        <is>
          <t>Gamble</t>
        </is>
      </c>
      <c r="E23" s="1842" t="inlineStr">
        <is>
          <t>USA</t>
        </is>
      </c>
      <c r="F23" s="1848" t="inlineStr">
        <is>
          <t>https://www.legalsportsreport.com/18130/nevada-sportsbooks-2017/</t>
        </is>
      </c>
      <c r="G23" s="1842" t="n"/>
      <c r="H23" s="1842" t="n"/>
      <c r="I23" s="1842" t="n"/>
      <c r="J23" s="1842" t="n"/>
      <c r="K23" s="1842" t="n"/>
      <c r="L23" s="1842" t="n"/>
      <c r="M23" s="1842" t="n"/>
      <c r="N23" s="1842" t="n"/>
      <c r="O23" s="1842" t="n"/>
      <c r="P23" s="1842" t="n"/>
      <c r="Q23" s="1842" t="n"/>
      <c r="R23" s="1842" t="n"/>
      <c r="S23" s="1842" t="n"/>
      <c r="T23" s="1842" t="n"/>
      <c r="U23" s="1842" t="n"/>
      <c r="V23" s="1842" t="n"/>
      <c r="W23" s="1842" t="n"/>
      <c r="X23" s="1842" t="n"/>
      <c r="Y23" s="1842" t="n"/>
      <c r="Z23" s="1842" t="n"/>
      <c r="AA23" s="1842" t="n"/>
      <c r="AB23" s="1842" t="n"/>
      <c r="AC23" s="1842" t="n"/>
      <c r="AD23" s="1842" t="n"/>
      <c r="AE23" s="1842" t="n"/>
      <c r="AF23" s="1842" t="n"/>
    </row>
    <row r="24" ht="13.5" customHeight="1" s="1883">
      <c r="A24" s="1842" t="inlineStr">
        <is>
          <t>Casper</t>
        </is>
      </c>
      <c r="B24" s="1853" t="n">
        <v>600000000</v>
      </c>
      <c r="C24" s="1842" t="n">
        <v>1</v>
      </c>
      <c r="D24" s="1854" t="inlineStr">
        <is>
          <t>E-Commerce</t>
        </is>
      </c>
      <c r="E24" s="1842" t="inlineStr">
        <is>
          <t>USA</t>
        </is>
      </c>
      <c r="F24" s="1848" t="inlineStr">
        <is>
          <t>https://news.crunchbase.com/news/quickly-caspers-revenue-growing/</t>
        </is>
      </c>
      <c r="G24" s="1842" t="n"/>
      <c r="H24" s="1842" t="n"/>
      <c r="I24" s="1842" t="n"/>
      <c r="J24" s="1842" t="n"/>
      <c r="K24" s="1842" t="n"/>
      <c r="L24" s="1842" t="n"/>
      <c r="M24" s="1842" t="n"/>
      <c r="N24" s="1842" t="n"/>
      <c r="O24" s="1842" t="n"/>
      <c r="P24" s="1842" t="n"/>
      <c r="Q24" s="1842" t="n"/>
      <c r="R24" s="1842" t="n"/>
      <c r="S24" s="1842" t="n"/>
      <c r="T24" s="1842" t="n"/>
      <c r="U24" s="1842" t="n"/>
      <c r="V24" s="1842" t="n"/>
      <c r="W24" s="1842" t="n"/>
      <c r="X24" s="1842" t="n"/>
      <c r="Y24" s="1842" t="n"/>
      <c r="Z24" s="1842" t="n"/>
      <c r="AA24" s="1842" t="n"/>
      <c r="AB24" s="1842" t="n"/>
      <c r="AC24" s="1842" t="n"/>
      <c r="AD24" s="1842" t="n"/>
      <c r="AE24" s="1842" t="n"/>
      <c r="AF24" s="1842" t="n"/>
    </row>
    <row r="25" ht="13.5" customHeight="1" s="1883">
      <c r="A25" s="1842" t="inlineStr">
        <is>
          <t>Red Dead Redemption 2 (Rockstar Games)</t>
        </is>
      </c>
      <c r="B25" s="1853" t="n">
        <v>725000000</v>
      </c>
      <c r="C25" s="1842" t="n">
        <v>1</v>
      </c>
      <c r="D25" s="1846" t="inlineStr">
        <is>
          <t>Video Game</t>
        </is>
      </c>
      <c r="E25" s="1842" t="inlineStr">
        <is>
          <t>India</t>
        </is>
      </c>
      <c r="F25" s="1848" t="inlineStr">
        <is>
          <t>https://variety.com/2018/gaming/news/red-dead-redemption-2-opening-weekend-1203014421/</t>
        </is>
      </c>
      <c r="G25" s="1842" t="n"/>
      <c r="H25" s="1842" t="n"/>
      <c r="I25" s="1842" t="n"/>
      <c r="J25" s="1842" t="n"/>
      <c r="K25" s="1842" t="n"/>
      <c r="L25" s="1842" t="n"/>
      <c r="M25" s="1842" t="n"/>
      <c r="N25" s="1842" t="n"/>
      <c r="O25" s="1842" t="n"/>
      <c r="P25" s="1842" t="n"/>
      <c r="Q25" s="1842" t="n"/>
      <c r="R25" s="1842" t="n"/>
      <c r="S25" s="1842" t="n"/>
      <c r="T25" s="1842" t="n"/>
      <c r="U25" s="1842" t="n"/>
      <c r="V25" s="1842" t="n"/>
      <c r="W25" s="1842" t="n"/>
      <c r="X25" s="1842" t="n"/>
      <c r="Y25" s="1842" t="n"/>
      <c r="Z25" s="1842" t="n"/>
      <c r="AA25" s="1842" t="n"/>
      <c r="AB25" s="1842" t="n"/>
      <c r="AC25" s="1842" t="n"/>
      <c r="AD25" s="1842" t="n"/>
      <c r="AE25" s="1842" t="n"/>
      <c r="AF25" s="1842" t="n"/>
    </row>
    <row r="26" ht="13.5" customHeight="1" s="1883">
      <c r="A26" s="1842" t="inlineStr">
        <is>
          <t>Poshmark</t>
        </is>
      </c>
      <c r="B26" s="1855" t="n">
        <v>1000000000</v>
      </c>
      <c r="C26" s="1842" t="n">
        <v>1</v>
      </c>
      <c r="D26" s="1846" t="inlineStr">
        <is>
          <t>E-Commerce</t>
        </is>
      </c>
      <c r="E26" s="1842" t="inlineStr">
        <is>
          <t>USA</t>
        </is>
      </c>
      <c r="F26" s="1848" t="inlineStr">
        <is>
          <t>https://www.reuters.com/article/us-startups-poshmark/online-fashion-marketplace-poshmark-says-its-sellers-have-made-1-billion-idUSKCN1IO2C0</t>
        </is>
      </c>
      <c r="G26" s="1842" t="n"/>
      <c r="H26" s="1842" t="n"/>
      <c r="I26" s="1842" t="n"/>
      <c r="J26" s="1842" t="n"/>
      <c r="K26" s="1842" t="n"/>
      <c r="L26" s="1842" t="n"/>
      <c r="M26" s="1842" t="n"/>
      <c r="N26" s="1842" t="n"/>
      <c r="O26" s="1842" t="n"/>
      <c r="P26" s="1842" t="n"/>
      <c r="Q26" s="1842" t="n"/>
      <c r="R26" s="1842" t="n"/>
      <c r="S26" s="1842" t="n"/>
      <c r="T26" s="1842" t="n"/>
      <c r="U26" s="1842" t="n"/>
      <c r="V26" s="1842" t="n"/>
      <c r="W26" s="1842" t="n"/>
      <c r="X26" s="1842" t="n"/>
      <c r="Y26" s="1842" t="n"/>
      <c r="Z26" s="1842" t="n"/>
      <c r="AA26" s="1842" t="n"/>
      <c r="AB26" s="1842" t="n"/>
      <c r="AC26" s="1842" t="n"/>
      <c r="AD26" s="1842" t="n"/>
      <c r="AE26" s="1842" t="n"/>
      <c r="AF26" s="1842" t="n"/>
    </row>
    <row r="27" ht="13.5" customHeight="1" s="1883">
      <c r="A27" s="1842" t="inlineStr">
        <is>
          <t>Kaepernick (Nike)</t>
        </is>
      </c>
      <c r="B27" s="1853" t="n">
        <v>6000000000</v>
      </c>
      <c r="C27" s="1842" t="n">
        <v>1</v>
      </c>
      <c r="D27" s="1846" t="inlineStr">
        <is>
          <t>Retail</t>
        </is>
      </c>
      <c r="E27" s="1842" t="inlineStr">
        <is>
          <t>USA</t>
        </is>
      </c>
      <c r="F27" s="1848" t="inlineStr">
        <is>
          <t>https://www.vox.com/2018/9/24/17895704/nike-colin-kaepernick-boycott-6-billion</t>
        </is>
      </c>
      <c r="G27" s="1842" t="n"/>
      <c r="H27" s="1842" t="n"/>
      <c r="I27" s="1842" t="n"/>
      <c r="J27" s="1842" t="n"/>
      <c r="K27" s="1842" t="n"/>
      <c r="L27" s="1842" t="n"/>
      <c r="M27" s="1842" t="n"/>
      <c r="N27" s="1842" t="n"/>
      <c r="O27" s="1842" t="n"/>
      <c r="P27" s="1842" t="n"/>
      <c r="Q27" s="1842" t="n"/>
      <c r="R27" s="1842" t="n"/>
      <c r="S27" s="1842" t="n"/>
      <c r="T27" s="1842" t="n"/>
      <c r="U27" s="1842" t="n"/>
      <c r="V27" s="1842" t="n"/>
      <c r="W27" s="1842" t="n"/>
      <c r="X27" s="1842" t="n"/>
      <c r="Y27" s="1842" t="n"/>
      <c r="Z27" s="1842" t="n"/>
      <c r="AA27" s="1842" t="n"/>
      <c r="AB27" s="1842" t="n"/>
      <c r="AC27" s="1842" t="n"/>
      <c r="AD27" s="1842" t="n"/>
      <c r="AE27" s="1842" t="n"/>
      <c r="AF27" s="1842" t="n"/>
    </row>
    <row r="28" ht="13.5" customHeight="1" s="1883">
      <c r="A28" s="1842" t="inlineStr">
        <is>
          <t>StackPath</t>
        </is>
      </c>
      <c r="B28" s="1853" t="n">
        <v>200000000</v>
      </c>
      <c r="C28" s="1842" t="n">
        <v>2</v>
      </c>
      <c r="D28" s="1846" t="inlineStr">
        <is>
          <t>Internet</t>
        </is>
      </c>
      <c r="E28" s="1842" t="inlineStr">
        <is>
          <t>USA</t>
        </is>
      </c>
      <c r="F28" s="1848" t="inlineStr">
        <is>
          <t>https://blog.stackpath.com/stackpath-passes-1-million-customer-mark-and-increases-revenue-more-than-10x</t>
        </is>
      </c>
      <c r="G28" s="1842" t="n"/>
      <c r="H28" s="1842" t="n"/>
      <c r="I28" s="1842" t="n"/>
      <c r="J28" s="1842" t="n"/>
      <c r="K28" s="1842" t="n"/>
      <c r="L28" s="1842" t="n"/>
      <c r="M28" s="1842" t="n"/>
      <c r="N28" s="1842" t="n"/>
      <c r="O28" s="1842" t="n"/>
      <c r="P28" s="1842" t="n"/>
      <c r="Q28" s="1842" t="n"/>
      <c r="R28" s="1842" t="n"/>
      <c r="S28" s="1842" t="n"/>
      <c r="T28" s="1842" t="n"/>
      <c r="U28" s="1842" t="n"/>
      <c r="V28" s="1842" t="n"/>
      <c r="W28" s="1842" t="n"/>
      <c r="X28" s="1842" t="n"/>
      <c r="Y28" s="1842" t="n"/>
      <c r="Z28" s="1842" t="n"/>
      <c r="AA28" s="1842" t="n"/>
      <c r="AB28" s="1842" t="n"/>
      <c r="AC28" s="1842" t="n"/>
      <c r="AD28" s="1842" t="n"/>
      <c r="AE28" s="1842" t="n"/>
      <c r="AF28" s="1842" t="n"/>
    </row>
    <row r="29" ht="13.5" customHeight="1" s="1883">
      <c r="A29" s="1842" t="inlineStr">
        <is>
          <t>Tinder</t>
        </is>
      </c>
      <c r="B29" s="1853" t="n">
        <v>255000000</v>
      </c>
      <c r="C29" s="1842" t="n">
        <v>3</v>
      </c>
      <c r="D29" s="1846" t="inlineStr">
        <is>
          <t>Entertainment</t>
        </is>
      </c>
      <c r="E29" s="1842" t="inlineStr">
        <is>
          <t>USA</t>
        </is>
      </c>
      <c r="F29" s="1848" t="inlineStr">
        <is>
          <t>https://www.thestreet.com/story/13253104/1/sex-was-invented-in-2012--just-ask-tinder.html</t>
        </is>
      </c>
      <c r="G29" s="1842" t="n"/>
      <c r="H29" s="1842" t="n"/>
      <c r="I29" s="1842" t="n"/>
      <c r="J29" s="1842" t="n"/>
      <c r="K29" s="1842" t="n"/>
      <c r="L29" s="1842" t="n"/>
      <c r="M29" s="1842" t="n"/>
      <c r="N29" s="1842" t="n"/>
      <c r="O29" s="1842" t="n"/>
      <c r="P29" s="1842" t="n"/>
      <c r="Q29" s="1842" t="n"/>
      <c r="R29" s="1842" t="n"/>
      <c r="S29" s="1842" t="n"/>
      <c r="T29" s="1842" t="n"/>
      <c r="U29" s="1842" t="n"/>
      <c r="V29" s="1842" t="n"/>
      <c r="W29" s="1842" t="n"/>
      <c r="X29" s="1842" t="n"/>
      <c r="Y29" s="1842" t="n"/>
      <c r="Z29" s="1842" t="n"/>
      <c r="AA29" s="1842" t="n"/>
      <c r="AB29" s="1842" t="n"/>
      <c r="AC29" s="1842" t="n"/>
      <c r="AD29" s="1842" t="n"/>
      <c r="AE29" s="1842" t="n"/>
      <c r="AF29" s="1842" t="n"/>
    </row>
    <row r="30" ht="13.5" customHeight="1" s="1883">
      <c r="A30" s="1844" t="inlineStr">
        <is>
          <t>Lava</t>
        </is>
      </c>
      <c r="B30" s="1851" t="n">
        <v>330000000</v>
      </c>
      <c r="C30" s="1842" t="n">
        <v>3</v>
      </c>
      <c r="D30" s="1846" t="inlineStr">
        <is>
          <t>Smartphones</t>
        </is>
      </c>
      <c r="E30" s="1842" t="inlineStr">
        <is>
          <t>China</t>
        </is>
      </c>
      <c r="F30" s="1847" t="inlineStr">
        <is>
          <t xml:space="preserve">https://www.thehindubusinessline.com/info-tech/mobiles-tablets/mobile-handset-maker-lava-targets-3000-cr-revenue-from-xolo-brand/article23123082.ece </t>
        </is>
      </c>
      <c r="G30" s="1842" t="n"/>
      <c r="H30" s="1842" t="n"/>
      <c r="L30" s="1842" t="inlineStr">
        <is>
          <t xml:space="preserve">$330 Million in Revenue by Year 3 of smartphones </t>
        </is>
      </c>
      <c r="M30" s="1842" t="n"/>
      <c r="N30" s="1842" t="n"/>
      <c r="O30" s="1842" t="n"/>
      <c r="P30" s="1842" t="n"/>
      <c r="Q30" s="1842" t="n"/>
      <c r="R30" s="1842" t="n"/>
      <c r="S30" s="1842" t="n"/>
      <c r="T30" s="1842" t="n"/>
      <c r="U30" s="1842" t="n"/>
      <c r="V30" s="1842" t="n"/>
      <c r="W30" s="1842" t="n"/>
      <c r="X30" s="1842" t="n"/>
      <c r="Y30" s="1842" t="n"/>
      <c r="Z30" s="1842" t="n"/>
      <c r="AA30" s="1842" t="n"/>
      <c r="AB30" s="1842" t="n"/>
      <c r="AC30" s="1842" t="n"/>
      <c r="AD30" s="1842" t="n"/>
      <c r="AE30" s="1842" t="n"/>
      <c r="AF30" s="1842" t="n"/>
    </row>
    <row r="31" ht="13.5" customHeight="1" s="1883">
      <c r="A31" s="1844" t="inlineStr">
        <is>
          <t>Gionee</t>
        </is>
      </c>
      <c r="B31" s="1845" t="n">
        <v>500000000</v>
      </c>
      <c r="C31" s="1842" t="n">
        <v>4</v>
      </c>
      <c r="D31" s="1846" t="inlineStr">
        <is>
          <t>Smartphones</t>
        </is>
      </c>
      <c r="E31" s="1842" t="inlineStr">
        <is>
          <t>USA</t>
        </is>
      </c>
      <c r="F31" s="1848" t="inlineStr">
        <is>
          <t>http://www.business-standard.com/article/companies/gionee-aims-at-1-billion-revenues-from-india-115040400433_1.html</t>
        </is>
      </c>
      <c r="G31" s="1842" t="n"/>
      <c r="H31" s="1842" t="n"/>
      <c r="I31" s="1842" t="n"/>
      <c r="J31" s="1842" t="n"/>
      <c r="K31" s="1842" t="n"/>
      <c r="L31" s="1842" t="n"/>
      <c r="M31" s="1842" t="n"/>
      <c r="N31" s="1842" t="n"/>
      <c r="O31" s="1842" t="n"/>
      <c r="P31" s="1842" t="n"/>
      <c r="Q31" s="1842" t="n"/>
      <c r="R31" s="1842" t="n"/>
      <c r="S31" s="1842" t="n"/>
      <c r="T31" s="1842" t="n"/>
      <c r="U31" s="1842" t="n"/>
      <c r="V31" s="1842" t="n"/>
      <c r="W31" s="1842" t="n"/>
      <c r="X31" s="1842" t="n"/>
      <c r="Y31" s="1842" t="n"/>
      <c r="Z31" s="1842" t="n"/>
      <c r="AA31" s="1842" t="n"/>
      <c r="AB31" s="1842" t="n"/>
      <c r="AC31" s="1842" t="n"/>
      <c r="AD31" s="1842" t="n"/>
      <c r="AE31" s="1842" t="n"/>
      <c r="AF31" s="1842" t="n"/>
    </row>
    <row r="32" ht="13.5" customHeight="1" s="1883">
      <c r="A32" s="1842" t="inlineStr">
        <is>
          <t>Slack</t>
        </is>
      </c>
      <c r="B32" s="1853" t="n">
        <v>200000000</v>
      </c>
      <c r="C32" s="1842" t="n">
        <v>4</v>
      </c>
      <c r="D32" s="1846" t="inlineStr">
        <is>
          <t>Tech</t>
        </is>
      </c>
      <c r="E32" s="1842" t="inlineStr">
        <is>
          <t>USA</t>
        </is>
      </c>
      <c r="F32" s="1848" t="inlineStr">
        <is>
          <t>https://www.businessinsider.com/slack-200-million-annual-recurring-revenue-2017-9</t>
        </is>
      </c>
      <c r="G32" s="1842" t="n"/>
      <c r="H32" s="1842" t="n"/>
      <c r="I32" s="1842" t="n"/>
      <c r="J32" s="1842" t="n"/>
      <c r="K32" s="1842" t="n"/>
      <c r="L32" s="1842" t="n"/>
      <c r="M32" s="1842" t="n"/>
      <c r="N32" s="1842" t="n"/>
      <c r="O32" s="1842" t="n"/>
      <c r="P32" s="1842" t="n"/>
      <c r="Q32" s="1842" t="n"/>
      <c r="R32" s="1842" t="n"/>
      <c r="S32" s="1842" t="n"/>
      <c r="T32" s="1842" t="n"/>
      <c r="U32" s="1842" t="n"/>
      <c r="V32" s="1842" t="n"/>
      <c r="W32" s="1842" t="n"/>
      <c r="X32" s="1842" t="n"/>
      <c r="Y32" s="1842" t="n"/>
      <c r="Z32" s="1842" t="n"/>
      <c r="AA32" s="1842" t="n"/>
      <c r="AB32" s="1842" t="n"/>
      <c r="AC32" s="1842" t="n"/>
      <c r="AD32" s="1842" t="n"/>
      <c r="AE32" s="1842" t="n"/>
      <c r="AF32" s="1842" t="n"/>
    </row>
    <row r="33" ht="13.5" customHeight="1" s="1883">
      <c r="A33" s="1842" t="inlineStr">
        <is>
          <t>Dropbox</t>
        </is>
      </c>
      <c r="B33" s="1853" t="n">
        <v>200000000</v>
      </c>
      <c r="C33" s="1842" t="n">
        <v>5</v>
      </c>
      <c r="D33" s="1846" t="inlineStr">
        <is>
          <t>Internet Service</t>
        </is>
      </c>
      <c r="E33" s="1842" t="inlineStr">
        <is>
          <t>USA</t>
        </is>
      </c>
      <c r="F33" s="1860" t="inlineStr">
        <is>
          <t>https://neilpatel.com/blog/dropbox-hacked-growth/</t>
        </is>
      </c>
      <c r="G33" s="1842" t="n"/>
      <c r="H33" s="1842" t="n"/>
      <c r="I33" s="1842" t="n"/>
      <c r="J33" s="1842" t="n"/>
      <c r="K33" s="1842" t="n"/>
      <c r="L33" s="1842" t="n"/>
      <c r="M33" s="1842" t="n"/>
      <c r="N33" s="1842" t="n"/>
      <c r="O33" s="1842" t="n"/>
      <c r="P33" s="1842" t="n"/>
      <c r="Q33" s="1842" t="n"/>
      <c r="R33" s="1842" t="n"/>
      <c r="S33" s="1842" t="n"/>
      <c r="T33" s="1842" t="n"/>
      <c r="U33" s="1842" t="n"/>
      <c r="V33" s="1842" t="n"/>
      <c r="W33" s="1842" t="n"/>
      <c r="X33" s="1842" t="n"/>
      <c r="Y33" s="1842" t="n"/>
      <c r="Z33" s="1842" t="n"/>
      <c r="AA33" s="1842" t="n"/>
      <c r="AB33" s="1842" t="n"/>
      <c r="AC33" s="1842" t="n"/>
      <c r="AD33" s="1842" t="n"/>
      <c r="AE33" s="1842" t="n"/>
      <c r="AF33" s="1842" t="n"/>
    </row>
    <row r="34" ht="13.5" customHeight="1" s="1883">
      <c r="A34" s="1842" t="inlineStr">
        <is>
          <t>Netflix</t>
        </is>
      </c>
      <c r="B34" s="1853" t="n">
        <v>272000000</v>
      </c>
      <c r="C34" s="1842" t="n">
        <v>6</v>
      </c>
      <c r="D34" s="1846" t="inlineStr">
        <is>
          <t>Entertainment</t>
        </is>
      </c>
      <c r="E34" s="1842" t="inlineStr">
        <is>
          <t>USA</t>
        </is>
      </c>
      <c r="F34" s="1848" t="inlineStr">
        <is>
          <t>https://en.wikipedia.org/wiki/Netflix</t>
        </is>
      </c>
      <c r="G34" s="1842" t="n"/>
      <c r="H34" s="1842" t="n"/>
      <c r="I34" s="1842" t="n"/>
      <c r="J34" s="1842" t="n"/>
      <c r="K34" s="1842" t="n"/>
      <c r="L34" s="1842" t="n"/>
      <c r="M34" s="1842" t="n"/>
      <c r="N34" s="1842" t="n"/>
      <c r="O34" s="1842" t="n"/>
      <c r="P34" s="1842" t="n"/>
      <c r="Q34" s="1842" t="n"/>
      <c r="R34" s="1842" t="n"/>
      <c r="S34" s="1842" t="n"/>
      <c r="T34" s="1842" t="n"/>
      <c r="U34" s="1842" t="n"/>
      <c r="V34" s="1842" t="n"/>
      <c r="W34" s="1842" t="n"/>
      <c r="X34" s="1842" t="n"/>
      <c r="Y34" s="1842" t="n"/>
      <c r="Z34" s="1842" t="n"/>
      <c r="AA34" s="1842" t="n"/>
      <c r="AB34" s="1842" t="n"/>
      <c r="AC34" s="1842" t="n"/>
      <c r="AD34" s="1842" t="n"/>
      <c r="AE34" s="1842" t="n"/>
      <c r="AF34" s="1842" t="n"/>
    </row>
    <row r="35" ht="13.5" customHeight="1" s="1883">
      <c r="A35" s="1842" t="inlineStr">
        <is>
          <t>Badoo</t>
        </is>
      </c>
      <c r="B35" s="1853" t="n">
        <v>200000000</v>
      </c>
      <c r="C35" s="1842" t="n">
        <v>6</v>
      </c>
      <c r="D35" s="1846" t="inlineStr">
        <is>
          <t>Entertainment</t>
        </is>
      </c>
      <c r="E35" s="1842" t="inlineStr">
        <is>
          <t>U.K.</t>
        </is>
      </c>
      <c r="F35" s="1848" t="inlineStr">
        <is>
          <t>http://tech.eu/news/badoo-200-million-users/</t>
        </is>
      </c>
      <c r="G35" s="1842" t="n"/>
      <c r="H35" s="1842" t="n"/>
      <c r="I35" s="1842" t="n"/>
      <c r="J35" s="1842" t="n"/>
      <c r="K35" s="1842" t="n"/>
      <c r="L35" s="1842" t="n"/>
      <c r="M35" s="1842" t="n"/>
      <c r="N35" s="1842" t="n"/>
      <c r="O35" s="1842" t="n"/>
      <c r="P35" s="1842" t="n"/>
      <c r="Q35" s="1842" t="n"/>
      <c r="R35" s="1842" t="n"/>
      <c r="S35" s="1842" t="n"/>
      <c r="T35" s="1842" t="n"/>
      <c r="U35" s="1842" t="n"/>
      <c r="V35" s="1842" t="n"/>
      <c r="W35" s="1842" t="n"/>
      <c r="X35" s="1842" t="n"/>
      <c r="Y35" s="1842" t="n"/>
      <c r="Z35" s="1842" t="n"/>
      <c r="AA35" s="1842" t="n"/>
      <c r="AB35" s="1842" t="n"/>
      <c r="AC35" s="1842" t="n"/>
      <c r="AD35" s="1842" t="n"/>
      <c r="AE35" s="1842" t="n"/>
      <c r="AF35" s="1842" t="n"/>
    </row>
    <row r="36" ht="13.5" customHeight="1" s="1883">
      <c r="A36" s="1842" t="inlineStr">
        <is>
          <t>Skillz</t>
        </is>
      </c>
      <c r="B36" s="1853" t="n">
        <v>200000000</v>
      </c>
      <c r="C36" s="1842" t="n">
        <v>6</v>
      </c>
      <c r="D36" s="1846" t="inlineStr">
        <is>
          <t>Mobile Gaming</t>
        </is>
      </c>
      <c r="E36" s="1842" t="inlineStr">
        <is>
          <t>USA</t>
        </is>
      </c>
      <c r="F36" s="1848" t="inlineStr">
        <is>
          <t>https://corp.skillz.com/news/press-release-run-rate-200-million/</t>
        </is>
      </c>
      <c r="G36" s="1842" t="n"/>
      <c r="H36" s="1842" t="n"/>
      <c r="I36" s="1842" t="n"/>
      <c r="J36" s="1842" t="n"/>
      <c r="K36" s="1842" t="n"/>
      <c r="L36" s="1842" t="n"/>
      <c r="M36" s="1842" t="n"/>
      <c r="N36" s="1842" t="n"/>
      <c r="O36" s="1842" t="n"/>
      <c r="P36" s="1842" t="n"/>
      <c r="Q36" s="1842" t="n"/>
      <c r="R36" s="1842" t="n"/>
      <c r="S36" s="1842" t="n"/>
      <c r="T36" s="1842" t="n"/>
      <c r="U36" s="1842" t="n"/>
      <c r="V36" s="1842" t="n"/>
      <c r="W36" s="1842" t="n"/>
      <c r="X36" s="1842" t="n"/>
      <c r="Y36" s="1842" t="n"/>
      <c r="Z36" s="1842" t="n"/>
      <c r="AA36" s="1842" t="n"/>
      <c r="AB36" s="1842" t="n"/>
      <c r="AC36" s="1842" t="n"/>
      <c r="AD36" s="1842" t="n"/>
      <c r="AE36" s="1842" t="n"/>
      <c r="AF36" s="1842" t="n"/>
    </row>
    <row r="37" ht="13.5" customHeight="1" s="1883">
      <c r="A37" s="1842" t="inlineStr">
        <is>
          <t>WeWork</t>
        </is>
      </c>
      <c r="B37" s="1855" t="n">
        <v>1000000000</v>
      </c>
      <c r="C37" s="1842" t="n">
        <v>7</v>
      </c>
      <c r="D37" s="1842" t="inlineStr">
        <is>
          <t>Real Estate</t>
        </is>
      </c>
      <c r="E37" s="1842" t="inlineStr">
        <is>
          <t>USA</t>
        </is>
      </c>
      <c r="F37" s="1848" t="inlineStr">
        <is>
          <t>https://techcrunch.com/2017/05/15/weworks-adam-neumann-on-how-to-hit-1b-in-revenue-with-a-careful-balance/</t>
        </is>
      </c>
      <c r="G37" s="1842" t="n"/>
      <c r="H37" s="1842" t="n"/>
      <c r="I37" s="1842" t="n"/>
      <c r="J37" s="1842" t="n"/>
      <c r="K37" s="1842" t="n"/>
      <c r="L37" s="1842" t="n"/>
      <c r="M37" s="1842" t="n"/>
      <c r="N37" s="1842" t="n"/>
      <c r="O37" s="1842" t="n"/>
      <c r="P37" s="1842" t="n"/>
      <c r="Q37" s="1842" t="n"/>
      <c r="R37" s="1842" t="n"/>
      <c r="S37" s="1842" t="n"/>
      <c r="T37" s="1842" t="n"/>
      <c r="U37" s="1842" t="n"/>
      <c r="V37" s="1842" t="n"/>
      <c r="W37" s="1842" t="n"/>
      <c r="X37" s="1842" t="n"/>
      <c r="Y37" s="1842" t="n"/>
      <c r="Z37" s="1842" t="n"/>
      <c r="AA37" s="1842" t="n"/>
      <c r="AB37" s="1842" t="n"/>
      <c r="AC37" s="1842" t="n"/>
      <c r="AD37" s="1842" t="n"/>
      <c r="AE37" s="1842" t="n"/>
      <c r="AF37" s="1842" t="n"/>
    </row>
    <row r="38" ht="13.5" customHeight="1" s="1883">
      <c r="A38" s="1861" t="inlineStr">
        <is>
          <t>Xiaomi</t>
        </is>
      </c>
      <c r="B38" s="1845" t="n">
        <v>9180000000</v>
      </c>
      <c r="C38" s="1842" t="n">
        <v>1</v>
      </c>
      <c r="D38" s="1846" t="inlineStr">
        <is>
          <t>Consumer Electronics</t>
        </is>
      </c>
      <c r="E38" s="1842" t="inlineStr">
        <is>
          <t>China</t>
        </is>
      </c>
      <c r="F38" s="1848" t="inlineStr">
        <is>
          <t>https://quotes.wsj.com/HK/XHKG/1810/financials/annual/income-statement</t>
        </is>
      </c>
      <c r="G38" s="1849" t="inlineStr">
        <is>
          <t>https://en.wikipedia.org/wiki/Xiaomi_Mi_1</t>
        </is>
      </c>
      <c r="H38" s="1842" t="n"/>
      <c r="I38" s="1842" t="n"/>
      <c r="J38" s="1849" t="inlineStr">
        <is>
          <t>https://en.wikipedia.org/wiki/Xiaomi_Mi_1#cite_note-5</t>
        </is>
      </c>
      <c r="K38" s="1842" t="n"/>
      <c r="L38" s="1842" t="n"/>
      <c r="M38" s="1842" t="n"/>
      <c r="N38" s="1849" t="inlineStr">
        <is>
          <t>https://stockanalysis.com/stocks/xiacf/revenue/</t>
        </is>
      </c>
      <c r="O38" s="1842" t="n"/>
      <c r="P38" s="1842" t="n"/>
      <c r="Q38" s="1842" t="n"/>
      <c r="R38" s="1842" t="n"/>
      <c r="S38" s="1842" t="n"/>
      <c r="T38" s="1842" t="n"/>
      <c r="U38" s="1842" t="n"/>
      <c r="V38" s="1842" t="n"/>
      <c r="W38" s="1842" t="n"/>
      <c r="X38" s="1842" t="n"/>
      <c r="Y38" s="1842" t="n"/>
      <c r="Z38" s="1842" t="n"/>
      <c r="AA38" s="1842" t="n"/>
      <c r="AB38" s="1842" t="n"/>
      <c r="AC38" s="1842" t="n"/>
      <c r="AD38" s="1842" t="n"/>
      <c r="AE38" s="1842" t="n"/>
      <c r="AF38" s="1842" t="n"/>
    </row>
    <row r="39" ht="13.5" customHeight="1" s="1883">
      <c r="A39" s="1844" t="inlineStr">
        <is>
          <t>Mophie</t>
        </is>
      </c>
      <c r="B39" s="1845" t="n">
        <v>200000000</v>
      </c>
      <c r="C39" s="1842" t="n">
        <v>7</v>
      </c>
      <c r="D39" s="1846" t="inlineStr">
        <is>
          <t>Consumer Electronics</t>
        </is>
      </c>
      <c r="E39" s="1859" t="inlineStr">
        <is>
          <t>USA</t>
        </is>
      </c>
      <c r="F39" s="1850" t="inlineStr">
        <is>
          <t xml:space="preserve">https://www.forbes.com/sites/karstenstrauss/2013/10/02/from-a-barn-to-a-200-million-enterprise-mophie/#3f367a77157f </t>
        </is>
      </c>
      <c r="G39" s="1842" t="n"/>
      <c r="H39" s="1842" t="n"/>
      <c r="I39" s="1842" t="n"/>
      <c r="J39" s="1842" t="n"/>
      <c r="K39" s="1842" t="n"/>
      <c r="L39" s="1842" t="n"/>
      <c r="M39" s="1842" t="n"/>
      <c r="N39" s="1842" t="n"/>
      <c r="O39" s="1842" t="n"/>
      <c r="P39" s="1842" t="n"/>
      <c r="Q39" s="1842" t="n"/>
      <c r="R39" s="1842" t="n"/>
      <c r="S39" s="1842" t="n"/>
      <c r="T39" s="1842" t="n"/>
      <c r="U39" s="1842" t="n"/>
      <c r="V39" s="1842" t="n"/>
      <c r="W39" s="1842" t="n"/>
      <c r="X39" s="1842" t="n"/>
      <c r="Y39" s="1842" t="n"/>
      <c r="Z39" s="1842" t="n"/>
      <c r="AA39" s="1842" t="n"/>
      <c r="AB39" s="1842" t="n"/>
      <c r="AC39" s="1842" t="n"/>
      <c r="AD39" s="1842" t="n"/>
      <c r="AE39" s="1842" t="n"/>
      <c r="AF39" s="1842" t="n"/>
    </row>
    <row r="40" ht="13.5" customHeight="1" s="1883">
      <c r="A40" s="1842" t="inlineStr">
        <is>
          <t>FabFitFun</t>
        </is>
      </c>
      <c r="B40" s="1853" t="n">
        <v>200000000</v>
      </c>
      <c r="C40" s="1842" t="n">
        <v>8</v>
      </c>
      <c r="D40" s="1842" t="inlineStr">
        <is>
          <t>Media/Retail</t>
        </is>
      </c>
      <c r="E40" s="1842" t="inlineStr">
        <is>
          <t>USA</t>
        </is>
      </c>
      <c r="F40" s="1848" t="inlineStr">
        <is>
          <t>https://techcrunch.com/2018/11/01/fabfitfun-revenue-surpasses-200-million-as-it-hits-million-customer-milestone/</t>
        </is>
      </c>
      <c r="G40" s="1842" t="n"/>
      <c r="H40" s="1842" t="n"/>
      <c r="I40" s="1842" t="inlineStr">
        <is>
          <t xml:space="preserve">1 Million Customers puts them over 200 million in revenue! So if we had 1 million phone users to say $350 Million in revenue seems normal. </t>
        </is>
      </c>
      <c r="J40" s="1842" t="n"/>
      <c r="K40" s="1842" t="n"/>
      <c r="L40" s="1842" t="n"/>
      <c r="M40" s="1842" t="n"/>
      <c r="N40" s="1842" t="n"/>
      <c r="O40" s="1842" t="n"/>
      <c r="P40" s="1842" t="n"/>
      <c r="Q40" s="1842" t="n"/>
      <c r="R40" s="1842" t="n"/>
      <c r="S40" s="1842" t="n"/>
      <c r="T40" s="1842" t="n"/>
      <c r="U40" s="1842" t="n"/>
      <c r="V40" s="1842" t="n"/>
      <c r="W40" s="1842" t="n"/>
      <c r="X40" s="1842" t="n"/>
      <c r="Y40" s="1842" t="n"/>
      <c r="Z40" s="1842" t="n"/>
      <c r="AA40" s="1842" t="n"/>
      <c r="AB40" s="1842" t="n"/>
      <c r="AC40" s="1842" t="n"/>
      <c r="AD40" s="1842" t="n"/>
      <c r="AE40" s="1842" t="n"/>
      <c r="AF40" s="1842" t="n"/>
    </row>
    <row r="41" ht="13.5" customHeight="1" s="1883">
      <c r="A41" s="1842" t="inlineStr">
        <is>
          <t>Redfin</t>
        </is>
      </c>
      <c r="B41" s="1853" t="n">
        <v>200000000</v>
      </c>
      <c r="C41" s="1842" t="n">
        <v>12</v>
      </c>
      <c r="D41" s="1846" t="inlineStr">
        <is>
          <t>Real Estate</t>
        </is>
      </c>
      <c r="E41" s="1842" t="inlineStr">
        <is>
          <t>USA</t>
        </is>
      </c>
      <c r="F41" s="1848" t="inlineStr">
        <is>
          <t>https://www.geekwire.com/2016/redfin-revenue-kelman-approach/</t>
        </is>
      </c>
      <c r="G41" s="1842" t="inlineStr">
        <is>
          <t xml:space="preserve">Also the logic about REDFIN is solid and stands to reason there are probably many companies we could find with similar circumstances. That being said, we don’t have to drag up to many but maybe we can find a few more that fit that logic. </t>
        </is>
      </c>
      <c r="H41" s="1842" t="n"/>
      <c r="I41" s="1842" t="n"/>
      <c r="J41" s="1842" t="n"/>
      <c r="K41" s="1842" t="n"/>
      <c r="L41" s="1842" t="n"/>
      <c r="M41" s="1842" t="n"/>
      <c r="N41" s="1842" t="n"/>
      <c r="O41" s="1842" t="n"/>
      <c r="P41" s="1842" t="n"/>
      <c r="Q41" s="1842" t="n"/>
      <c r="R41" s="1842" t="n"/>
      <c r="S41" s="1842" t="n"/>
      <c r="T41" s="1842" t="n"/>
      <c r="U41" s="1842" t="n"/>
      <c r="V41" s="1842" t="n"/>
      <c r="W41" s="1842" t="n"/>
      <c r="X41" s="1842" t="n"/>
      <c r="Y41" s="1842" t="n"/>
      <c r="Z41" s="1842" t="n"/>
      <c r="AA41" s="1842" t="n"/>
      <c r="AB41" s="1842" t="n"/>
      <c r="AC41" s="1842" t="n"/>
      <c r="AD41" s="1842" t="n"/>
      <c r="AE41" s="1842" t="n"/>
      <c r="AF41" s="1842" t="n"/>
    </row>
    <row r="42" ht="13.5" customHeight="1" s="1883">
      <c r="A42" s="1842" t="n"/>
      <c r="B42" s="1842" t="n"/>
      <c r="C42" s="1842" t="n"/>
      <c r="D42" s="1842" t="n"/>
      <c r="E42" s="1842" t="n"/>
      <c r="F42" s="1842" t="n"/>
      <c r="G42" s="1842" t="n"/>
      <c r="H42" s="1842" t="n"/>
      <c r="I42" s="1842" t="n"/>
      <c r="J42" s="1842" t="n"/>
      <c r="K42" s="1842" t="n"/>
      <c r="L42" s="1842" t="n"/>
      <c r="M42" s="1842" t="n"/>
      <c r="N42" s="1842" t="n"/>
      <c r="O42" s="1842" t="n"/>
      <c r="P42" s="1842" t="n"/>
      <c r="Q42" s="1842" t="n"/>
      <c r="R42" s="1842" t="n"/>
      <c r="S42" s="1842" t="n"/>
      <c r="T42" s="1842" t="n"/>
      <c r="U42" s="1842" t="n"/>
      <c r="V42" s="1842" t="n"/>
      <c r="W42" s="1842" t="n"/>
      <c r="X42" s="1842" t="n"/>
      <c r="Y42" s="1842" t="n"/>
      <c r="Z42" s="1842" t="n"/>
      <c r="AA42" s="1842" t="n"/>
      <c r="AB42" s="1842" t="n"/>
      <c r="AC42" s="1842" t="n"/>
      <c r="AD42" s="1842" t="n"/>
      <c r="AE42" s="1842" t="n"/>
      <c r="AF42" s="1842" t="n"/>
    </row>
    <row r="43" ht="13.5" customHeight="1" s="1883">
      <c r="A43" s="1842" t="n"/>
      <c r="B43" s="1856" t="inlineStr">
        <is>
          <t>Mode</t>
        </is>
      </c>
      <c r="C43" s="1842">
        <f>MODE(C8:C39)</f>
        <v/>
      </c>
      <c r="D43" s="1842" t="n"/>
      <c r="E43" s="1842" t="n"/>
      <c r="F43" s="1842" t="n"/>
      <c r="G43" s="1842" t="n"/>
      <c r="H43" s="1842" t="n"/>
      <c r="I43" s="1842" t="n"/>
      <c r="J43" s="1842" t="n"/>
      <c r="K43" s="1842" t="n"/>
      <c r="L43" s="1842" t="n"/>
      <c r="M43" s="1842" t="n"/>
      <c r="N43" s="1842" t="n"/>
      <c r="O43" s="1842" t="n"/>
      <c r="P43" s="1842" t="n"/>
      <c r="Q43" s="1842" t="n"/>
      <c r="R43" s="1842" t="n"/>
      <c r="S43" s="1842" t="n"/>
      <c r="T43" s="1842" t="n"/>
      <c r="U43" s="1842" t="n"/>
      <c r="V43" s="1842" t="n"/>
      <c r="W43" s="1842" t="n"/>
      <c r="X43" s="1842" t="n"/>
      <c r="Y43" s="1842" t="n"/>
      <c r="Z43" s="1842" t="n"/>
      <c r="AA43" s="1842" t="n"/>
      <c r="AB43" s="1842" t="n"/>
      <c r="AC43" s="1842" t="n"/>
      <c r="AD43" s="1842" t="n"/>
      <c r="AE43" s="1842" t="n"/>
      <c r="AF43" s="1842" t="n"/>
    </row>
    <row r="44" ht="13.5" customHeight="1" s="1883">
      <c r="A44" s="1842" t="n"/>
      <c r="B44" s="1856" t="inlineStr">
        <is>
          <t>Average</t>
        </is>
      </c>
      <c r="C44" s="1857">
        <f>AVERAGE(C8:C39)</f>
        <v/>
      </c>
      <c r="D44" s="1842" t="n"/>
      <c r="E44" s="1842" t="n"/>
      <c r="F44" s="1842" t="n"/>
      <c r="G44" s="1842" t="n"/>
      <c r="H44" s="1842" t="n"/>
      <c r="I44" s="1842" t="n"/>
      <c r="J44" s="1842" t="n"/>
      <c r="K44" s="1842" t="n"/>
      <c r="L44" s="1842" t="n"/>
      <c r="M44" s="1842" t="n"/>
      <c r="N44" s="1842" t="n"/>
      <c r="O44" s="1842" t="n"/>
      <c r="P44" s="1842" t="n"/>
      <c r="Q44" s="1842" t="n"/>
      <c r="R44" s="1842" t="n"/>
      <c r="S44" s="1842" t="n"/>
      <c r="T44" s="1842" t="n"/>
      <c r="U44" s="1842" t="n"/>
      <c r="V44" s="1842" t="n"/>
      <c r="W44" s="1842" t="n"/>
      <c r="X44" s="1842" t="n"/>
      <c r="Y44" s="1842" t="n"/>
      <c r="Z44" s="1842" t="n"/>
      <c r="AA44" s="1842" t="n"/>
      <c r="AB44" s="1842" t="n"/>
      <c r="AC44" s="1842" t="n"/>
      <c r="AD44" s="1842" t="n"/>
      <c r="AE44" s="1842" t="n"/>
      <c r="AF44" s="1842" t="n"/>
    </row>
    <row r="45" ht="13.5" customHeight="1" s="1883">
      <c r="A45" s="1842" t="n"/>
      <c r="B45" s="1856" t="n"/>
      <c r="C45" s="1842" t="n"/>
      <c r="D45" s="1842" t="n"/>
      <c r="E45" s="1842" t="n"/>
      <c r="F45" s="1842" t="n"/>
      <c r="G45" s="1842" t="n"/>
      <c r="H45" s="1842" t="n"/>
      <c r="I45" s="1842" t="n"/>
      <c r="J45" s="1842" t="n"/>
      <c r="K45" s="1842" t="n"/>
      <c r="L45" s="1842" t="n"/>
      <c r="M45" s="1842" t="n"/>
      <c r="N45" s="1842" t="n"/>
      <c r="O45" s="1842" t="n"/>
      <c r="P45" s="1842" t="n"/>
      <c r="Q45" s="1842" t="n"/>
      <c r="R45" s="1842" t="n"/>
      <c r="S45" s="1842" t="n"/>
      <c r="T45" s="1842" t="n"/>
      <c r="U45" s="1842" t="n"/>
      <c r="V45" s="1842" t="n"/>
      <c r="W45" s="1842" t="n"/>
      <c r="X45" s="1842" t="n"/>
      <c r="Y45" s="1842" t="n"/>
      <c r="Z45" s="1842" t="n"/>
      <c r="AA45" s="1842" t="n"/>
      <c r="AB45" s="1842" t="n"/>
      <c r="AC45" s="1842" t="n"/>
      <c r="AD45" s="1842" t="n"/>
      <c r="AE45" s="1842" t="n"/>
      <c r="AF45" s="1842" t="n"/>
    </row>
    <row r="46" ht="13.5" customHeight="1" s="1883">
      <c r="A46" s="1842" t="n"/>
      <c r="B46" s="1856" t="n"/>
      <c r="C46" s="1842" t="n"/>
      <c r="D46" s="1842" t="n"/>
      <c r="E46" s="1842" t="n"/>
      <c r="F46" s="1849" t="inlineStr">
        <is>
          <t>https://www.counterpointresearch.com/global-smartphone-share/</t>
        </is>
      </c>
      <c r="G46" s="1842" t="n"/>
      <c r="H46" s="1842" t="n"/>
      <c r="I46" s="1842" t="n"/>
      <c r="J46" s="1842" t="n"/>
      <c r="K46" s="1842" t="n"/>
      <c r="L46" s="1842" t="n"/>
      <c r="M46" s="1842" t="n"/>
      <c r="N46" s="1842" t="n"/>
      <c r="O46" s="1842" t="n"/>
      <c r="P46" s="1842" t="n"/>
      <c r="Q46" s="1842" t="n"/>
      <c r="R46" s="1842" t="n"/>
      <c r="S46" s="1842" t="n"/>
      <c r="T46" s="1842" t="n"/>
      <c r="U46" s="1842" t="n"/>
      <c r="V46" s="1842" t="n"/>
      <c r="W46" s="1842" t="n"/>
      <c r="X46" s="1842" t="n"/>
      <c r="Y46" s="1842" t="n"/>
      <c r="Z46" s="1842" t="n"/>
      <c r="AA46" s="1842" t="n"/>
      <c r="AB46" s="1842" t="n"/>
      <c r="AC46" s="1842" t="n"/>
      <c r="AD46" s="1842" t="n"/>
      <c r="AE46" s="1842" t="n"/>
      <c r="AF46" s="1842" t="n"/>
    </row>
    <row r="47" ht="13.5" customHeight="1" s="1883">
      <c r="A47" s="1842" t="n"/>
      <c r="B47" s="1842" t="n"/>
      <c r="C47" s="1842" t="n"/>
      <c r="D47" s="1842" t="n"/>
      <c r="E47" s="1842" t="n"/>
      <c r="F47" s="1849" t="inlineStr">
        <is>
          <t>https://www.sellcell.com/how-many-mobile-phones-are-sold-each-year/</t>
        </is>
      </c>
      <c r="G47" s="1842" t="n"/>
      <c r="H47" s="1842" t="n"/>
      <c r="I47" s="1842" t="n"/>
      <c r="J47" s="1842" t="n"/>
      <c r="K47" s="1842" t="n"/>
      <c r="L47" s="1842" t="n"/>
      <c r="M47" s="1842" t="n"/>
      <c r="N47" s="1842" t="n"/>
      <c r="O47" s="1842" t="n"/>
      <c r="P47" s="1842" t="n"/>
      <c r="Q47" s="1842" t="n"/>
      <c r="R47" s="1842" t="n"/>
      <c r="S47" s="1842" t="n"/>
      <c r="T47" s="1842" t="n"/>
      <c r="U47" s="1842" t="n"/>
      <c r="V47" s="1842" t="n"/>
      <c r="W47" s="1842" t="n"/>
      <c r="X47" s="1842" t="n"/>
      <c r="Y47" s="1842" t="n"/>
      <c r="Z47" s="1842" t="n"/>
      <c r="AA47" s="1842" t="n"/>
      <c r="AB47" s="1842" t="n"/>
      <c r="AC47" s="1842" t="n"/>
      <c r="AD47" s="1842" t="n"/>
      <c r="AE47" s="1842" t="n"/>
      <c r="AF47" s="1842" t="n"/>
    </row>
    <row r="48" ht="13.5" customHeight="1" s="1883">
      <c r="A48" s="1842" t="n"/>
      <c r="B48" s="1842" t="n"/>
      <c r="C48" s="1842" t="n"/>
      <c r="D48" s="1842" t="n"/>
      <c r="E48" s="1842" t="n"/>
      <c r="F48" s="1849" t="inlineStr">
        <is>
          <t>https://www.statista.com/topics/840/smartphones/#topicOverview</t>
        </is>
      </c>
      <c r="G48" s="1842" t="n"/>
      <c r="H48" s="1842" t="n"/>
      <c r="I48" s="1842" t="n"/>
      <c r="J48" s="1842" t="n"/>
      <c r="K48" s="1842" t="n"/>
      <c r="L48" s="1842" t="n"/>
      <c r="M48" s="1842" t="n"/>
      <c r="N48" s="1842" t="n"/>
      <c r="O48" s="1842" t="n"/>
      <c r="P48" s="1842" t="n"/>
      <c r="Q48" s="1842" t="n"/>
      <c r="R48" s="1842" t="n"/>
      <c r="S48" s="1842" t="n"/>
      <c r="T48" s="1842" t="n"/>
      <c r="U48" s="1842" t="n"/>
      <c r="V48" s="1842" t="n"/>
      <c r="W48" s="1842" t="n"/>
      <c r="X48" s="1842" t="n"/>
      <c r="Y48" s="1842" t="n"/>
      <c r="Z48" s="1842" t="n"/>
      <c r="AA48" s="1842" t="n"/>
      <c r="AB48" s="1842" t="n"/>
      <c r="AC48" s="1842" t="n"/>
      <c r="AD48" s="1842" t="n"/>
      <c r="AE48" s="1842" t="n"/>
      <c r="AF48" s="1842" t="n"/>
    </row>
    <row r="49" ht="13.5" customHeight="1" s="1883">
      <c r="A49" s="1842" t="n"/>
      <c r="B49" s="1842" t="n"/>
      <c r="C49" s="1842" t="n"/>
      <c r="D49" s="1842" t="n"/>
      <c r="E49" s="1842" t="n"/>
      <c r="F49" s="1842" t="n"/>
      <c r="G49" s="1842" t="n"/>
      <c r="H49" s="1842" t="n"/>
      <c r="I49" s="1842" t="n"/>
      <c r="J49" s="1842" t="n"/>
      <c r="K49" s="1842" t="n"/>
      <c r="L49" s="1842" t="n"/>
      <c r="M49" s="1842" t="n"/>
      <c r="N49" s="1842" t="n"/>
      <c r="O49" s="1842" t="n"/>
      <c r="P49" s="1842" t="n"/>
      <c r="Q49" s="1842" t="n"/>
      <c r="R49" s="1842" t="n"/>
      <c r="S49" s="1842" t="n"/>
      <c r="T49" s="1842" t="n"/>
      <c r="U49" s="1842" t="n"/>
      <c r="V49" s="1842" t="n"/>
      <c r="W49" s="1842" t="n"/>
      <c r="X49" s="1842" t="n"/>
      <c r="Y49" s="1842" t="n"/>
      <c r="Z49" s="1842" t="n"/>
      <c r="AA49" s="1842" t="n"/>
      <c r="AB49" s="1842" t="n"/>
      <c r="AC49" s="1842" t="n"/>
      <c r="AD49" s="1842" t="n"/>
      <c r="AE49" s="1842" t="n"/>
      <c r="AF49" s="1842" t="n"/>
    </row>
    <row r="50" ht="13.5" customHeight="1" s="1883">
      <c r="A50" s="1842" t="n"/>
      <c r="B50" s="1842" t="n"/>
      <c r="C50" s="1842" t="n"/>
      <c r="D50" s="1842" t="n"/>
      <c r="E50" s="1842" t="n"/>
      <c r="H50" s="1842" t="n"/>
      <c r="I50" s="1842" t="n"/>
      <c r="J50" s="1842" t="n"/>
      <c r="K50" s="1842" t="n"/>
      <c r="L50" s="1842" t="n"/>
      <c r="M50" s="1842" t="n"/>
      <c r="N50" s="1842" t="n"/>
      <c r="O50" s="1842" t="n"/>
      <c r="P50" s="1842" t="n"/>
      <c r="Q50" s="1842" t="n"/>
      <c r="R50" s="1842" t="n"/>
      <c r="S50" s="1842" t="n"/>
      <c r="T50" s="1842" t="n"/>
      <c r="U50" s="1842" t="n"/>
      <c r="V50" s="1842" t="n"/>
      <c r="W50" s="1842" t="n"/>
      <c r="X50" s="1842" t="n"/>
      <c r="Y50" s="1842" t="n"/>
      <c r="Z50" s="1842" t="n"/>
      <c r="AA50" s="1842" t="n"/>
      <c r="AB50" s="1842" t="n"/>
      <c r="AC50" s="1842" t="n"/>
      <c r="AD50" s="1842" t="n"/>
      <c r="AE50" s="1842" t="n"/>
      <c r="AF50" s="1842" t="n"/>
    </row>
    <row r="51" ht="13.5" customHeight="1" s="1883">
      <c r="A51" s="1842" t="n"/>
      <c r="B51" s="1842" t="n"/>
      <c r="C51" s="1842" t="n"/>
      <c r="D51" s="1842" t="n"/>
      <c r="E51" s="1842" t="n"/>
      <c r="F51" s="1842" t="n"/>
      <c r="G51" s="1842" t="n"/>
      <c r="H51" s="1842" t="n"/>
      <c r="I51" s="1842" t="n"/>
      <c r="J51" s="1842" t="n"/>
      <c r="K51" s="1842" t="n"/>
      <c r="L51" s="1842" t="n"/>
      <c r="M51" s="1842" t="n"/>
      <c r="N51" s="1842" t="n"/>
      <c r="O51" s="1842" t="n"/>
      <c r="P51" s="1842" t="n"/>
      <c r="Q51" s="1842" t="n"/>
      <c r="R51" s="1842" t="n"/>
      <c r="S51" s="1842" t="n"/>
      <c r="T51" s="1842" t="n"/>
      <c r="U51" s="1842" t="n"/>
      <c r="V51" s="1842" t="n"/>
      <c r="W51" s="1842" t="n"/>
      <c r="X51" s="1842" t="n"/>
      <c r="Y51" s="1842" t="n"/>
      <c r="Z51" s="1842" t="n"/>
      <c r="AA51" s="1842" t="n"/>
      <c r="AB51" s="1842" t="n"/>
      <c r="AC51" s="1842" t="n"/>
      <c r="AD51" s="1842" t="n"/>
      <c r="AE51" s="1842" t="n"/>
      <c r="AF51" s="1842" t="n"/>
    </row>
    <row r="52" ht="13.5" customHeight="1" s="1883">
      <c r="A52" s="1842" t="n"/>
      <c r="B52" s="1842" t="n"/>
      <c r="C52" s="1842" t="n"/>
      <c r="D52" s="1842" t="n"/>
      <c r="E52" s="1842" t="n"/>
      <c r="F52" s="1842" t="n"/>
      <c r="G52" s="1842" t="n"/>
      <c r="H52" s="1842" t="n"/>
      <c r="I52" s="1842" t="n"/>
      <c r="J52" s="1842" t="n"/>
      <c r="K52" s="1842" t="n"/>
      <c r="L52" s="1842" t="n"/>
      <c r="M52" s="1842" t="n"/>
      <c r="N52" s="1842" t="n"/>
      <c r="O52" s="1842" t="n"/>
      <c r="P52" s="1842" t="n"/>
      <c r="Q52" s="1842" t="n"/>
      <c r="R52" s="1842" t="n"/>
      <c r="S52" s="1842" t="n"/>
      <c r="T52" s="1842" t="n"/>
      <c r="U52" s="1842" t="n"/>
      <c r="V52" s="1842" t="n"/>
      <c r="W52" s="1842" t="n"/>
      <c r="X52" s="1842" t="n"/>
      <c r="Y52" s="1842" t="n"/>
      <c r="Z52" s="1842" t="n"/>
      <c r="AA52" s="1842" t="n"/>
      <c r="AB52" s="1842" t="n"/>
      <c r="AC52" s="1842" t="n"/>
      <c r="AD52" s="1842" t="n"/>
      <c r="AE52" s="1842" t="n"/>
      <c r="AF52" s="1842" t="n"/>
    </row>
    <row r="53" ht="13.5" customHeight="1" s="1883">
      <c r="A53" s="1842" t="n"/>
      <c r="B53" s="1842" t="n"/>
      <c r="C53" s="1842" t="n"/>
      <c r="D53" s="1842" t="n"/>
      <c r="E53" s="1842" t="n"/>
      <c r="F53" s="1842" t="n"/>
      <c r="G53" s="1842" t="n"/>
      <c r="H53" s="1842" t="n"/>
      <c r="I53" s="1842" t="n"/>
      <c r="J53" s="1842" t="n"/>
      <c r="K53" s="1842" t="n"/>
      <c r="L53" s="1842" t="n"/>
      <c r="M53" s="1842" t="n"/>
      <c r="N53" s="1842" t="n"/>
      <c r="O53" s="1842" t="n"/>
      <c r="P53" s="1842" t="n"/>
      <c r="Q53" s="1842" t="n"/>
      <c r="R53" s="1842" t="n"/>
      <c r="S53" s="1842" t="n"/>
      <c r="T53" s="1842" t="n"/>
      <c r="U53" s="1842" t="n"/>
      <c r="V53" s="1842" t="n"/>
      <c r="W53" s="1842" t="n"/>
      <c r="X53" s="1842" t="n"/>
      <c r="Y53" s="1842" t="n"/>
      <c r="Z53" s="1842" t="n"/>
      <c r="AA53" s="1842" t="n"/>
      <c r="AB53" s="1842" t="n"/>
      <c r="AC53" s="1842" t="n"/>
      <c r="AD53" s="1842" t="n"/>
      <c r="AE53" s="1842" t="n"/>
      <c r="AF53" s="1842" t="n"/>
    </row>
    <row r="54" ht="13.5" customHeight="1" s="1883">
      <c r="A54" s="1842" t="n"/>
      <c r="B54" s="1842" t="n"/>
      <c r="C54" s="1842" t="n"/>
      <c r="D54" s="1842" t="n"/>
      <c r="E54" s="1842" t="n"/>
      <c r="F54" s="1842" t="n"/>
      <c r="G54" s="1842" t="n"/>
      <c r="H54" s="1842" t="n"/>
      <c r="I54" s="1842" t="n"/>
      <c r="J54" s="1842" t="n"/>
      <c r="K54" s="1842" t="n"/>
      <c r="L54" s="1842" t="n"/>
      <c r="M54" s="1842" t="n"/>
      <c r="N54" s="1842" t="n"/>
      <c r="O54" s="1842" t="n"/>
      <c r="P54" s="1842" t="n"/>
      <c r="Q54" s="1842" t="n"/>
      <c r="R54" s="1842" t="n"/>
      <c r="S54" s="1842" t="n"/>
      <c r="T54" s="1842" t="n"/>
      <c r="U54" s="1842" t="n"/>
      <c r="V54" s="1842" t="n"/>
      <c r="W54" s="1842" t="n"/>
      <c r="X54" s="1842" t="n"/>
      <c r="Y54" s="1842" t="n"/>
      <c r="Z54" s="1842" t="n"/>
      <c r="AA54" s="1842" t="n"/>
      <c r="AB54" s="1842" t="n"/>
      <c r="AC54" s="1842" t="n"/>
      <c r="AD54" s="1842" t="n"/>
      <c r="AE54" s="1842" t="n"/>
      <c r="AF54" s="1842" t="n"/>
    </row>
    <row r="55" ht="13.5" customHeight="1" s="1883">
      <c r="A55" s="1856" t="n"/>
      <c r="B55" s="1856" t="n"/>
      <c r="C55" s="1856" t="n"/>
      <c r="D55" s="1842" t="n"/>
      <c r="E55" s="1842" t="n"/>
      <c r="F55" s="1842" t="n"/>
      <c r="G55" s="1842" t="n"/>
      <c r="H55" s="1842" t="n"/>
      <c r="I55" s="1842" t="n"/>
      <c r="J55" s="1842" t="n"/>
      <c r="K55" s="1842" t="n"/>
      <c r="L55" s="1842" t="n"/>
      <c r="M55" s="1842" t="n"/>
      <c r="N55" s="1842" t="n"/>
      <c r="O55" s="1842" t="n"/>
      <c r="P55" s="1842" t="n"/>
      <c r="Q55" s="1842" t="n"/>
      <c r="R55" s="1842" t="n"/>
      <c r="S55" s="1842" t="n"/>
      <c r="T55" s="1842" t="n"/>
      <c r="U55" s="1842" t="n"/>
      <c r="V55" s="1842" t="n"/>
      <c r="W55" s="1842" t="n"/>
      <c r="X55" s="1842" t="n"/>
      <c r="Y55" s="1842" t="n"/>
      <c r="Z55" s="1842" t="n"/>
      <c r="AA55" s="1842" t="n"/>
      <c r="AB55" s="1842" t="n"/>
      <c r="AC55" s="1842" t="n"/>
      <c r="AD55" s="1842" t="n"/>
      <c r="AE55" s="1842" t="n"/>
      <c r="AF55" s="1842" t="n"/>
    </row>
    <row r="56" ht="13.5" customHeight="1" s="1883">
      <c r="A56" s="1856" t="n"/>
      <c r="B56" s="1856" t="n"/>
      <c r="C56" s="1856" t="n"/>
      <c r="D56" s="1842" t="n"/>
      <c r="E56" s="1842" t="n"/>
      <c r="F56" s="1842" t="n"/>
      <c r="G56" s="1842" t="n"/>
      <c r="H56" s="1842" t="n"/>
      <c r="I56" s="1842" t="n"/>
      <c r="J56" s="1842" t="n"/>
      <c r="K56" s="1842" t="n"/>
      <c r="L56" s="1842" t="n"/>
      <c r="M56" s="1842" t="n"/>
      <c r="N56" s="1842" t="n"/>
      <c r="O56" s="1842" t="n"/>
      <c r="P56" s="1842" t="n"/>
      <c r="Q56" s="1842" t="n"/>
      <c r="R56" s="1842" t="n"/>
      <c r="S56" s="1842" t="n"/>
      <c r="T56" s="1842" t="n"/>
      <c r="U56" s="1842" t="n"/>
      <c r="V56" s="1842" t="n"/>
      <c r="W56" s="1842" t="n"/>
      <c r="X56" s="1842" t="n"/>
      <c r="Y56" s="1842" t="n"/>
      <c r="Z56" s="1842" t="n"/>
      <c r="AA56" s="1842" t="n"/>
      <c r="AB56" s="1842" t="n"/>
      <c r="AC56" s="1842" t="n"/>
      <c r="AD56" s="1842" t="n"/>
      <c r="AE56" s="1842" t="n"/>
      <c r="AF56" s="1842" t="n"/>
    </row>
    <row r="57" ht="13.5" customHeight="1" s="1883">
      <c r="A57" s="1856" t="n"/>
      <c r="B57" s="1856" t="n"/>
      <c r="C57" s="1856" t="n"/>
      <c r="D57" s="1842" t="n"/>
      <c r="E57" s="1842" t="n"/>
      <c r="F57" s="1842" t="n"/>
      <c r="G57" s="1842" t="n"/>
      <c r="H57" s="1842" t="n"/>
      <c r="I57" s="1842" t="n"/>
      <c r="J57" s="1842" t="n"/>
      <c r="K57" s="1842" t="n"/>
      <c r="L57" s="1842" t="n"/>
      <c r="M57" s="1842" t="n"/>
      <c r="N57" s="1842" t="n"/>
      <c r="O57" s="1842" t="n"/>
      <c r="P57" s="1842" t="n"/>
      <c r="Q57" s="1842" t="n"/>
      <c r="R57" s="1842" t="n"/>
      <c r="S57" s="1842" t="n"/>
      <c r="T57" s="1842" t="n"/>
      <c r="U57" s="1842" t="n"/>
      <c r="V57" s="1842" t="n"/>
      <c r="W57" s="1842" t="n"/>
      <c r="X57" s="1842" t="n"/>
      <c r="Y57" s="1842" t="n"/>
      <c r="Z57" s="1842" t="n"/>
      <c r="AA57" s="1842" t="n"/>
      <c r="AB57" s="1842" t="n"/>
      <c r="AC57" s="1842" t="n"/>
      <c r="AD57" s="1842" t="n"/>
      <c r="AE57" s="1842" t="n"/>
      <c r="AF57" s="1842" t="n"/>
    </row>
    <row r="58" ht="13.5" customHeight="1" s="1883">
      <c r="A58" s="1856" t="n"/>
      <c r="B58" s="1856" t="n"/>
      <c r="C58" s="1856" t="n"/>
      <c r="D58" s="1842" t="n"/>
      <c r="E58" s="1842" t="n"/>
      <c r="F58" s="1842" t="n"/>
      <c r="G58" s="1842" t="n"/>
      <c r="H58" s="1842" t="n"/>
      <c r="I58" s="1842" t="n"/>
      <c r="J58" s="1842" t="n"/>
      <c r="K58" s="1842" t="n"/>
      <c r="L58" s="1842" t="n"/>
      <c r="M58" s="1842" t="n"/>
      <c r="N58" s="1842" t="n"/>
      <c r="O58" s="1842" t="n"/>
      <c r="P58" s="1842" t="n"/>
      <c r="Q58" s="1842" t="n"/>
      <c r="R58" s="1842" t="n"/>
      <c r="S58" s="1842" t="n"/>
      <c r="T58" s="1842" t="n"/>
      <c r="U58" s="1842" t="n"/>
      <c r="V58" s="1842" t="n"/>
      <c r="W58" s="1842" t="n"/>
      <c r="X58" s="1842" t="n"/>
      <c r="Y58" s="1842" t="n"/>
      <c r="Z58" s="1842" t="n"/>
      <c r="AA58" s="1842" t="n"/>
      <c r="AB58" s="1842" t="n"/>
      <c r="AC58" s="1842" t="n"/>
      <c r="AD58" s="1842" t="n"/>
      <c r="AE58" s="1842" t="n"/>
      <c r="AF58" s="1842" t="n"/>
    </row>
    <row r="59" ht="13.5" customHeight="1" s="1883">
      <c r="A59" s="1856" t="n"/>
      <c r="B59" s="1856" t="n"/>
      <c r="C59" s="1856" t="n"/>
      <c r="D59" s="1842" t="n"/>
      <c r="E59" s="1842" t="n"/>
      <c r="F59" s="1842" t="n"/>
      <c r="G59" s="1842" t="n"/>
      <c r="H59" s="1842" t="n"/>
      <c r="I59" s="1842" t="n"/>
      <c r="J59" s="1842" t="n"/>
      <c r="K59" s="1842" t="n"/>
      <c r="L59" s="1842" t="n"/>
      <c r="M59" s="1842" t="n"/>
      <c r="N59" s="1842" t="n"/>
      <c r="O59" s="1842" t="n"/>
      <c r="P59" s="1842" t="n"/>
      <c r="Q59" s="1842" t="n"/>
      <c r="R59" s="1842" t="n"/>
      <c r="S59" s="1842" t="n"/>
      <c r="T59" s="1842" t="n"/>
      <c r="U59" s="1842" t="n"/>
      <c r="V59" s="1842" t="n"/>
      <c r="W59" s="1842" t="n"/>
      <c r="X59" s="1842" t="n"/>
      <c r="Y59" s="1842" t="n"/>
      <c r="Z59" s="1842" t="n"/>
      <c r="AA59" s="1842" t="n"/>
      <c r="AB59" s="1842" t="n"/>
      <c r="AC59" s="1842" t="n"/>
      <c r="AD59" s="1842" t="n"/>
      <c r="AE59" s="1842" t="n"/>
      <c r="AF59" s="1842" t="n"/>
    </row>
    <row r="60" ht="13.5" customHeight="1" s="1883">
      <c r="A60" s="1856" t="n"/>
      <c r="B60" s="1856" t="n"/>
      <c r="C60" s="1856" t="n"/>
      <c r="D60" s="1842" t="n"/>
      <c r="E60" s="1842" t="n"/>
      <c r="F60" s="1842" t="n"/>
      <c r="G60" s="1842" t="n"/>
      <c r="H60" s="1842" t="n"/>
      <c r="I60" s="1842" t="n"/>
      <c r="J60" s="1842" t="n"/>
      <c r="K60" s="1842" t="n"/>
      <c r="L60" s="1842" t="n"/>
      <c r="M60" s="1842" t="n"/>
      <c r="N60" s="1842" t="n"/>
      <c r="O60" s="1842" t="n"/>
      <c r="P60" s="1842" t="n"/>
      <c r="Q60" s="1842" t="n"/>
      <c r="R60" s="1842" t="n"/>
      <c r="S60" s="1842" t="n"/>
      <c r="T60" s="1842" t="n"/>
      <c r="U60" s="1842" t="n"/>
      <c r="V60" s="1842" t="n"/>
      <c r="W60" s="1842" t="n"/>
      <c r="X60" s="1842" t="n"/>
      <c r="Y60" s="1842" t="n"/>
      <c r="Z60" s="1842" t="n"/>
      <c r="AA60" s="1842" t="n"/>
      <c r="AB60" s="1842" t="n"/>
      <c r="AC60" s="1842" t="n"/>
      <c r="AD60" s="1842" t="n"/>
      <c r="AE60" s="1842" t="n"/>
      <c r="AF60" s="1842" t="n"/>
    </row>
    <row r="61" ht="13.5" customHeight="1" s="1883">
      <c r="A61" s="1856" t="n"/>
      <c r="B61" s="1856" t="n"/>
      <c r="C61" s="1856" t="n"/>
      <c r="D61" s="1842" t="n"/>
      <c r="E61" s="1842" t="n"/>
      <c r="F61" s="1842" t="n"/>
      <c r="G61" s="1842" t="n"/>
      <c r="H61" s="1842" t="n"/>
      <c r="I61" s="1842" t="n"/>
      <c r="J61" s="1842" t="n"/>
      <c r="K61" s="1842" t="n"/>
      <c r="L61" s="1842" t="n"/>
      <c r="M61" s="1842" t="n"/>
      <c r="N61" s="1842" t="n"/>
      <c r="O61" s="1842" t="n"/>
      <c r="P61" s="1842" t="n"/>
      <c r="Q61" s="1842" t="n"/>
      <c r="R61" s="1842" t="n"/>
      <c r="S61" s="1842" t="n"/>
      <c r="T61" s="1842" t="n"/>
      <c r="U61" s="1842" t="n"/>
      <c r="V61" s="1842" t="n"/>
      <c r="W61" s="1842" t="n"/>
      <c r="X61" s="1842" t="n"/>
      <c r="Y61" s="1842" t="n"/>
      <c r="Z61" s="1842" t="n"/>
      <c r="AA61" s="1842" t="n"/>
      <c r="AB61" s="1842" t="n"/>
      <c r="AC61" s="1842" t="n"/>
      <c r="AD61" s="1842" t="n"/>
      <c r="AE61" s="1842" t="n"/>
      <c r="AF61" s="1842" t="n"/>
    </row>
    <row r="62" ht="13.5" customHeight="1" s="1883">
      <c r="A62" s="1856" t="n"/>
      <c r="B62" s="1856" t="n"/>
      <c r="C62" s="1856" t="n"/>
      <c r="D62" s="1842" t="n"/>
      <c r="E62" s="1842" t="n"/>
      <c r="F62" s="1842" t="n"/>
      <c r="G62" s="1842" t="n"/>
      <c r="H62" s="1842" t="n"/>
      <c r="I62" s="1842" t="n"/>
      <c r="J62" s="1842" t="n"/>
      <c r="K62" s="1842" t="n"/>
      <c r="L62" s="1842" t="n"/>
      <c r="M62" s="1842" t="n"/>
      <c r="N62" s="1842" t="n"/>
      <c r="O62" s="1842" t="n"/>
      <c r="P62" s="1842" t="n"/>
      <c r="Q62" s="1842" t="n"/>
      <c r="R62" s="1842" t="n"/>
      <c r="S62" s="1842" t="n"/>
      <c r="T62" s="1842" t="n"/>
      <c r="U62" s="1842" t="n"/>
      <c r="V62" s="1842" t="n"/>
      <c r="W62" s="1842" t="n"/>
      <c r="X62" s="1842" t="n"/>
      <c r="Y62" s="1842" t="n"/>
      <c r="Z62" s="1842" t="n"/>
      <c r="AA62" s="1842" t="n"/>
      <c r="AB62" s="1842" t="n"/>
      <c r="AC62" s="1842" t="n"/>
      <c r="AD62" s="1842" t="n"/>
      <c r="AE62" s="1842" t="n"/>
      <c r="AF62" s="1842" t="n"/>
    </row>
    <row r="63" ht="13.5" customHeight="1" s="1883">
      <c r="A63" s="1856" t="n"/>
      <c r="B63" s="1856" t="n"/>
      <c r="C63" s="1856" t="n"/>
      <c r="D63" s="1842" t="n"/>
      <c r="E63" s="1842" t="n"/>
      <c r="F63" s="1842" t="n"/>
      <c r="G63" s="1842" t="n"/>
      <c r="H63" s="1842" t="n"/>
      <c r="I63" s="1842" t="n"/>
      <c r="J63" s="1842" t="n"/>
      <c r="K63" s="1842" t="n"/>
      <c r="L63" s="1842" t="n"/>
      <c r="M63" s="1842" t="n"/>
      <c r="N63" s="1842" t="n"/>
      <c r="O63" s="1842" t="n"/>
      <c r="P63" s="1842" t="n"/>
      <c r="Q63" s="1842" t="n"/>
      <c r="R63" s="1842" t="n"/>
      <c r="S63" s="1842" t="n"/>
      <c r="T63" s="1842" t="n"/>
      <c r="U63" s="1842" t="n"/>
      <c r="V63" s="1842" t="n"/>
      <c r="W63" s="1842" t="n"/>
      <c r="X63" s="1842" t="n"/>
      <c r="Y63" s="1842" t="n"/>
      <c r="Z63" s="1842" t="n"/>
      <c r="AA63" s="1842" t="n"/>
      <c r="AB63" s="1842" t="n"/>
      <c r="AC63" s="1842" t="n"/>
      <c r="AD63" s="1842" t="n"/>
      <c r="AE63" s="1842" t="n"/>
      <c r="AF63" s="1842" t="n"/>
    </row>
    <row r="64" ht="13.5" customHeight="1" s="1883">
      <c r="A64" s="1856" t="n"/>
      <c r="B64" s="1856" t="n"/>
      <c r="C64" s="1856" t="n"/>
      <c r="D64" s="1842" t="n"/>
      <c r="E64" s="1842" t="n"/>
      <c r="F64" s="1842" t="n"/>
      <c r="G64" s="1842" t="n"/>
      <c r="H64" s="1842" t="n"/>
      <c r="I64" s="1842" t="n"/>
      <c r="J64" s="1842" t="n"/>
      <c r="K64" s="1842" t="n"/>
      <c r="L64" s="1842" t="n"/>
      <c r="M64" s="1842" t="n"/>
      <c r="N64" s="1842" t="n"/>
      <c r="O64" s="1842" t="n"/>
      <c r="P64" s="1842" t="n"/>
      <c r="Q64" s="1842" t="n"/>
      <c r="R64" s="1842" t="n"/>
      <c r="S64" s="1842" t="n"/>
      <c r="T64" s="1842" t="n"/>
      <c r="U64" s="1842" t="n"/>
      <c r="V64" s="1842" t="n"/>
      <c r="W64" s="1842" t="n"/>
      <c r="X64" s="1842" t="n"/>
      <c r="Y64" s="1842" t="n"/>
      <c r="Z64" s="1842" t="n"/>
      <c r="AA64" s="1842" t="n"/>
      <c r="AB64" s="1842" t="n"/>
      <c r="AC64" s="1842" t="n"/>
      <c r="AD64" s="1842" t="n"/>
      <c r="AE64" s="1842" t="n"/>
      <c r="AF64" s="1842" t="n"/>
    </row>
    <row r="65" ht="13.5" customHeight="1" s="1883">
      <c r="A65" s="1856" t="n"/>
      <c r="B65" s="1856" t="n"/>
      <c r="C65" s="1856" t="n"/>
      <c r="D65" s="1842" t="n"/>
      <c r="E65" s="1842" t="n"/>
      <c r="F65" s="1842" t="n"/>
      <c r="G65" s="1842" t="n"/>
      <c r="H65" s="1842" t="n"/>
      <c r="I65" s="1842" t="n"/>
      <c r="J65" s="1842" t="n"/>
      <c r="K65" s="1842" t="n"/>
      <c r="L65" s="1842" t="n"/>
      <c r="M65" s="1842" t="n"/>
      <c r="N65" s="1842" t="n"/>
      <c r="O65" s="1842" t="n"/>
      <c r="P65" s="1842" t="n"/>
      <c r="Q65" s="1842" t="n"/>
      <c r="R65" s="1842" t="n"/>
      <c r="S65" s="1842" t="n"/>
      <c r="T65" s="1842" t="n"/>
      <c r="U65" s="1842" t="n"/>
      <c r="V65" s="1842" t="n"/>
      <c r="W65" s="1842" t="n"/>
      <c r="X65" s="1842" t="n"/>
      <c r="Y65" s="1842" t="n"/>
      <c r="Z65" s="1842" t="n"/>
      <c r="AA65" s="1842" t="n"/>
      <c r="AB65" s="1842" t="n"/>
      <c r="AC65" s="1842" t="n"/>
      <c r="AD65" s="1842" t="n"/>
      <c r="AE65" s="1842" t="n"/>
      <c r="AF65" s="1842" t="n"/>
    </row>
    <row r="66" ht="13.5" customHeight="1" s="1883">
      <c r="A66" s="1856" t="n"/>
      <c r="B66" s="1856" t="n"/>
      <c r="C66" s="1856" t="n"/>
      <c r="D66" s="1842" t="n"/>
      <c r="E66" s="1842" t="n"/>
      <c r="F66" s="1842" t="n"/>
      <c r="G66" s="1842" t="n"/>
      <c r="H66" s="1842" t="n"/>
      <c r="I66" s="1842" t="n"/>
      <c r="J66" s="1842" t="n"/>
      <c r="K66" s="1842" t="n"/>
      <c r="L66" s="1842" t="n"/>
      <c r="M66" s="1842" t="n"/>
      <c r="N66" s="1842" t="n"/>
      <c r="O66" s="1842" t="n"/>
      <c r="P66" s="1842" t="n"/>
      <c r="Q66" s="1842" t="n"/>
      <c r="R66" s="1842" t="n"/>
      <c r="S66" s="1842" t="n"/>
      <c r="T66" s="1842" t="n"/>
      <c r="U66" s="1842" t="n"/>
      <c r="V66" s="1842" t="n"/>
      <c r="W66" s="1842" t="n"/>
      <c r="X66" s="1842" t="n"/>
      <c r="Y66" s="1842" t="n"/>
      <c r="Z66" s="1842" t="n"/>
      <c r="AA66" s="1842" t="n"/>
      <c r="AB66" s="1842" t="n"/>
      <c r="AC66" s="1842" t="n"/>
      <c r="AD66" s="1842" t="n"/>
      <c r="AE66" s="1842" t="n"/>
      <c r="AF66" s="1842" t="n"/>
    </row>
    <row r="67" ht="13.5" customHeight="1" s="1883">
      <c r="A67" s="1856" t="n"/>
      <c r="B67" s="1856" t="n"/>
      <c r="C67" s="1856" t="n"/>
      <c r="D67" s="1842" t="n"/>
      <c r="E67" s="1842" t="n"/>
      <c r="F67" s="1842" t="n"/>
      <c r="G67" s="1842" t="n"/>
      <c r="H67" s="1842" t="n"/>
      <c r="I67" s="1842" t="n"/>
      <c r="J67" s="1842" t="n"/>
      <c r="K67" s="1842" t="n"/>
      <c r="L67" s="1842" t="n"/>
      <c r="M67" s="1842" t="n"/>
      <c r="N67" s="1842" t="n"/>
      <c r="O67" s="1842" t="n"/>
      <c r="P67" s="1842" t="n"/>
      <c r="Q67" s="1842" t="n"/>
      <c r="R67" s="1842" t="n"/>
      <c r="S67" s="1842" t="n"/>
      <c r="T67" s="1842" t="n"/>
      <c r="U67" s="1842" t="n"/>
      <c r="V67" s="1842" t="n"/>
      <c r="W67" s="1842" t="n"/>
      <c r="X67" s="1842" t="n"/>
      <c r="Y67" s="1842" t="n"/>
      <c r="Z67" s="1842" t="n"/>
      <c r="AA67" s="1842" t="n"/>
      <c r="AB67" s="1842" t="n"/>
      <c r="AC67" s="1842" t="n"/>
      <c r="AD67" s="1842" t="n"/>
      <c r="AE67" s="1842" t="n"/>
      <c r="AF67" s="1842" t="n"/>
    </row>
    <row r="68" ht="13.5" customHeight="1" s="1883">
      <c r="A68" s="1856" t="n"/>
      <c r="B68" s="1856" t="n"/>
      <c r="C68" s="1856" t="n"/>
      <c r="D68" s="1842" t="n"/>
      <c r="E68" s="1842" t="n"/>
      <c r="F68" s="1842" t="n"/>
      <c r="G68" s="1842" t="n"/>
      <c r="H68" s="1842" t="n"/>
      <c r="I68" s="1842" t="n"/>
      <c r="J68" s="1842" t="n"/>
      <c r="K68" s="1842" t="n"/>
      <c r="L68" s="1842" t="n"/>
      <c r="M68" s="1842" t="n"/>
      <c r="N68" s="1842" t="n"/>
      <c r="O68" s="1842" t="n"/>
      <c r="P68" s="1842" t="n"/>
      <c r="Q68" s="1842" t="n"/>
      <c r="R68" s="1842" t="n"/>
      <c r="S68" s="1842" t="n"/>
      <c r="T68" s="1842" t="n"/>
      <c r="U68" s="1842" t="n"/>
      <c r="V68" s="1842" t="n"/>
      <c r="W68" s="1842" t="n"/>
      <c r="X68" s="1842" t="n"/>
      <c r="Y68" s="1842" t="n"/>
      <c r="Z68" s="1842" t="n"/>
      <c r="AA68" s="1842" t="n"/>
      <c r="AB68" s="1842" t="n"/>
      <c r="AC68" s="1842" t="n"/>
      <c r="AD68" s="1842" t="n"/>
      <c r="AE68" s="1842" t="n"/>
      <c r="AF68" s="1842" t="n"/>
    </row>
    <row r="69" ht="13.5" customHeight="1" s="1883">
      <c r="A69" s="1856" t="n"/>
      <c r="B69" s="1856" t="n"/>
      <c r="C69" s="1856" t="n"/>
      <c r="D69" s="1842" t="n"/>
      <c r="E69" s="1842" t="n"/>
      <c r="F69" s="1842" t="n"/>
      <c r="G69" s="1842" t="n"/>
      <c r="H69" s="1842" t="n"/>
      <c r="I69" s="1842" t="n"/>
      <c r="J69" s="1842" t="n"/>
      <c r="K69" s="1842" t="n"/>
      <c r="L69" s="1842" t="n"/>
      <c r="M69" s="1842" t="n"/>
      <c r="N69" s="1842" t="n"/>
      <c r="O69" s="1842" t="n"/>
      <c r="P69" s="1842" t="n"/>
      <c r="Q69" s="1842" t="n"/>
      <c r="R69" s="1842" t="n"/>
      <c r="S69" s="1842" t="n"/>
      <c r="T69" s="1842" t="n"/>
      <c r="U69" s="1842" t="n"/>
      <c r="V69" s="1842" t="n"/>
      <c r="W69" s="1842" t="n"/>
      <c r="X69" s="1842" t="n"/>
      <c r="Y69" s="1842" t="n"/>
      <c r="Z69" s="1842" t="n"/>
      <c r="AA69" s="1842" t="n"/>
      <c r="AB69" s="1842" t="n"/>
      <c r="AC69" s="1842" t="n"/>
      <c r="AD69" s="1842" t="n"/>
      <c r="AE69" s="1842" t="n"/>
      <c r="AF69" s="1842" t="n"/>
    </row>
    <row r="70" ht="13.5" customHeight="1" s="1883">
      <c r="A70" s="1856" t="n"/>
      <c r="B70" s="1856" t="n"/>
      <c r="C70" s="1856" t="n"/>
      <c r="D70" s="1842" t="n"/>
      <c r="E70" s="1842" t="n"/>
      <c r="F70" s="1842" t="n"/>
      <c r="G70" s="1842" t="n"/>
      <c r="H70" s="1842" t="n"/>
      <c r="I70" s="1842" t="n"/>
      <c r="J70" s="1842" t="n"/>
      <c r="K70" s="1842" t="n"/>
      <c r="L70" s="1842" t="n"/>
      <c r="M70" s="1842" t="n"/>
      <c r="N70" s="1842" t="n"/>
      <c r="O70" s="1842" t="n"/>
      <c r="P70" s="1842" t="n"/>
      <c r="Q70" s="1842" t="n"/>
      <c r="R70" s="1842" t="n"/>
      <c r="S70" s="1842" t="n"/>
      <c r="T70" s="1842" t="n"/>
      <c r="U70" s="1842" t="n"/>
      <c r="V70" s="1842" t="n"/>
      <c r="W70" s="1842" t="n"/>
      <c r="X70" s="1842" t="n"/>
      <c r="Y70" s="1842" t="n"/>
      <c r="Z70" s="1842" t="n"/>
      <c r="AA70" s="1842" t="n"/>
      <c r="AB70" s="1842" t="n"/>
      <c r="AC70" s="1842" t="n"/>
      <c r="AD70" s="1842" t="n"/>
      <c r="AE70" s="1842" t="n"/>
      <c r="AF70" s="1842" t="n"/>
    </row>
    <row r="71" ht="13.5" customHeight="1" s="1883">
      <c r="A71" s="1856" t="n"/>
      <c r="B71" s="1856" t="n"/>
      <c r="C71" s="1856" t="n"/>
      <c r="D71" s="1842" t="n"/>
      <c r="E71" s="1842" t="n"/>
      <c r="F71" s="1842" t="n"/>
      <c r="G71" s="1842" t="n"/>
      <c r="H71" s="1842" t="n"/>
      <c r="I71" s="1842" t="n"/>
      <c r="J71" s="1842" t="n"/>
      <c r="K71" s="1842" t="n"/>
      <c r="L71" s="1842" t="n"/>
      <c r="M71" s="1842" t="n"/>
      <c r="N71" s="1842" t="n"/>
      <c r="O71" s="1842" t="n"/>
      <c r="P71" s="1842" t="n"/>
      <c r="Q71" s="1842" t="n"/>
      <c r="R71" s="1842" t="n"/>
      <c r="S71" s="1842" t="n"/>
      <c r="T71" s="1842" t="n"/>
      <c r="U71" s="1842" t="n"/>
      <c r="V71" s="1842" t="n"/>
      <c r="W71" s="1842" t="n"/>
      <c r="X71" s="1842" t="n"/>
      <c r="Y71" s="1842" t="n"/>
      <c r="Z71" s="1842" t="n"/>
      <c r="AA71" s="1842" t="n"/>
      <c r="AB71" s="1842" t="n"/>
      <c r="AC71" s="1842" t="n"/>
      <c r="AD71" s="1842" t="n"/>
      <c r="AE71" s="1842" t="n"/>
      <c r="AF71" s="1842" t="n"/>
    </row>
    <row r="72" ht="13.5" customHeight="1" s="1883">
      <c r="A72" s="1856" t="n"/>
      <c r="B72" s="1856" t="n"/>
      <c r="C72" s="1856" t="n"/>
      <c r="D72" s="1842" t="n"/>
      <c r="E72" s="1842" t="n"/>
      <c r="F72" s="1842" t="n"/>
      <c r="G72" s="1842" t="n"/>
      <c r="H72" s="1842" t="n"/>
      <c r="I72" s="1842" t="n"/>
      <c r="J72" s="1842" t="n"/>
      <c r="K72" s="1842" t="n"/>
      <c r="L72" s="1842" t="n"/>
      <c r="M72" s="1842" t="n"/>
      <c r="N72" s="1842" t="n"/>
      <c r="O72" s="1842" t="n"/>
      <c r="P72" s="1842" t="n"/>
      <c r="Q72" s="1842" t="n"/>
      <c r="R72" s="1842" t="n"/>
      <c r="S72" s="1842" t="n"/>
      <c r="T72" s="1842" t="n"/>
      <c r="U72" s="1842" t="n"/>
      <c r="V72" s="1842" t="n"/>
      <c r="W72" s="1842" t="n"/>
      <c r="X72" s="1842" t="n"/>
      <c r="Y72" s="1842" t="n"/>
      <c r="Z72" s="1842" t="n"/>
      <c r="AA72" s="1842" t="n"/>
      <c r="AB72" s="1842" t="n"/>
      <c r="AC72" s="1842" t="n"/>
      <c r="AD72" s="1842" t="n"/>
      <c r="AE72" s="1842" t="n"/>
      <c r="AF72" s="1842" t="n"/>
    </row>
    <row r="73" ht="13.5" customHeight="1" s="1883">
      <c r="A73" s="1856" t="n"/>
      <c r="B73" s="1856" t="n"/>
      <c r="C73" s="1856" t="n"/>
      <c r="D73" s="1842" t="n"/>
      <c r="E73" s="1842" t="n"/>
      <c r="F73" s="1842" t="n"/>
      <c r="G73" s="1842" t="n"/>
      <c r="H73" s="1842" t="n"/>
      <c r="I73" s="1842" t="n"/>
      <c r="J73" s="1842" t="n"/>
      <c r="K73" s="1842" t="n"/>
      <c r="L73" s="1842" t="n"/>
      <c r="M73" s="1842" t="n"/>
      <c r="N73" s="1842" t="n"/>
      <c r="O73" s="1842" t="n"/>
      <c r="P73" s="1842" t="n"/>
      <c r="Q73" s="1842" t="n"/>
      <c r="R73" s="1842" t="n"/>
      <c r="S73" s="1842" t="n"/>
      <c r="T73" s="1842" t="n"/>
      <c r="U73" s="1842" t="n"/>
      <c r="V73" s="1842" t="n"/>
      <c r="W73" s="1842" t="n"/>
      <c r="X73" s="1842" t="n"/>
      <c r="Y73" s="1842" t="n"/>
      <c r="Z73" s="1842" t="n"/>
      <c r="AA73" s="1842" t="n"/>
      <c r="AB73" s="1842" t="n"/>
      <c r="AC73" s="1842" t="n"/>
      <c r="AD73" s="1842" t="n"/>
      <c r="AE73" s="1842" t="n"/>
      <c r="AF73" s="1842" t="n"/>
    </row>
    <row r="74" ht="13.5" customHeight="1" s="1883">
      <c r="A74" s="1856" t="n"/>
      <c r="B74" s="1856" t="n"/>
      <c r="C74" s="1856" t="n"/>
      <c r="D74" s="1842" t="n"/>
      <c r="E74" s="1842" t="n"/>
      <c r="F74" s="1842" t="n"/>
      <c r="G74" s="1842" t="n"/>
      <c r="H74" s="1842" t="n"/>
      <c r="I74" s="1842" t="n"/>
      <c r="J74" s="1842" t="n"/>
      <c r="K74" s="1842" t="n"/>
      <c r="L74" s="1842" t="n"/>
      <c r="M74" s="1842" t="n"/>
      <c r="N74" s="1842" t="n"/>
      <c r="O74" s="1842" t="n"/>
      <c r="P74" s="1842" t="n"/>
      <c r="Q74" s="1842" t="n"/>
      <c r="R74" s="1842" t="n"/>
      <c r="S74" s="1842" t="n"/>
      <c r="T74" s="1842" t="n"/>
      <c r="U74" s="1842" t="n"/>
      <c r="V74" s="1842" t="n"/>
      <c r="W74" s="1842" t="n"/>
      <c r="X74" s="1842" t="n"/>
      <c r="Y74" s="1842" t="n"/>
      <c r="Z74" s="1842" t="n"/>
      <c r="AA74" s="1842" t="n"/>
      <c r="AB74" s="1842" t="n"/>
      <c r="AC74" s="1842" t="n"/>
      <c r="AD74" s="1842" t="n"/>
      <c r="AE74" s="1842" t="n"/>
      <c r="AF74" s="1842" t="n"/>
    </row>
    <row r="75" ht="13.5" customHeight="1" s="1883">
      <c r="A75" s="1856" t="n"/>
      <c r="B75" s="1856" t="n"/>
      <c r="C75" s="1856" t="n"/>
      <c r="D75" s="1842" t="n"/>
      <c r="E75" s="1842" t="n"/>
      <c r="F75" s="1842" t="n"/>
      <c r="G75" s="1842" t="n"/>
      <c r="H75" s="1842" t="n"/>
      <c r="I75" s="1842" t="n"/>
      <c r="J75" s="1842" t="n"/>
      <c r="K75" s="1842" t="n"/>
      <c r="L75" s="1842" t="n"/>
      <c r="M75" s="1842" t="n"/>
      <c r="N75" s="1842" t="n"/>
      <c r="O75" s="1842" t="n"/>
      <c r="P75" s="1842" t="n"/>
      <c r="Q75" s="1842" t="n"/>
      <c r="R75" s="1842" t="n"/>
      <c r="S75" s="1842" t="n"/>
      <c r="T75" s="1842" t="n"/>
      <c r="U75" s="1842" t="n"/>
      <c r="V75" s="1842" t="n"/>
      <c r="W75" s="1842" t="n"/>
      <c r="X75" s="1842" t="n"/>
      <c r="Y75" s="1842" t="n"/>
      <c r="Z75" s="1842" t="n"/>
      <c r="AA75" s="1842" t="n"/>
      <c r="AB75" s="1842" t="n"/>
      <c r="AC75" s="1842" t="n"/>
      <c r="AD75" s="1842" t="n"/>
      <c r="AE75" s="1842" t="n"/>
      <c r="AF75" s="1842" t="n"/>
    </row>
    <row r="76" ht="13.5" customHeight="1" s="1883">
      <c r="A76" s="1856" t="n"/>
      <c r="B76" s="1856" t="n"/>
      <c r="C76" s="1856" t="n"/>
      <c r="D76" s="1842" t="n"/>
      <c r="E76" s="1842" t="n"/>
      <c r="F76" s="1842" t="n"/>
      <c r="G76" s="1842" t="n"/>
      <c r="H76" s="1842" t="n"/>
      <c r="I76" s="1842" t="n"/>
      <c r="J76" s="1842" t="n"/>
      <c r="K76" s="1842" t="n"/>
      <c r="L76" s="1842" t="n"/>
      <c r="M76" s="1842" t="n"/>
      <c r="N76" s="1842" t="n"/>
      <c r="O76" s="1842" t="n"/>
      <c r="P76" s="1842" t="n"/>
      <c r="Q76" s="1842" t="n"/>
      <c r="R76" s="1842" t="n"/>
      <c r="S76" s="1842" t="n"/>
      <c r="T76" s="1842" t="n"/>
      <c r="U76" s="1842" t="n"/>
      <c r="V76" s="1842" t="n"/>
      <c r="W76" s="1842" t="n"/>
      <c r="X76" s="1842" t="n"/>
      <c r="Y76" s="1842" t="n"/>
      <c r="Z76" s="1842" t="n"/>
      <c r="AA76" s="1842" t="n"/>
      <c r="AB76" s="1842" t="n"/>
      <c r="AC76" s="1842" t="n"/>
      <c r="AD76" s="1842" t="n"/>
      <c r="AE76" s="1842" t="n"/>
      <c r="AF76" s="1842" t="n"/>
    </row>
    <row r="77" ht="13.5" customHeight="1" s="1883">
      <c r="A77" s="1856" t="n"/>
      <c r="B77" s="1856" t="n"/>
      <c r="C77" s="1856" t="n"/>
      <c r="D77" s="1842" t="n"/>
      <c r="E77" s="1842" t="n"/>
      <c r="F77" s="1842" t="n"/>
      <c r="G77" s="1842" t="n"/>
      <c r="H77" s="1842" t="n"/>
      <c r="I77" s="1842" t="n"/>
      <c r="J77" s="1842" t="n"/>
      <c r="K77" s="1842" t="n"/>
      <c r="L77" s="1842" t="n"/>
      <c r="M77" s="1842" t="n"/>
      <c r="N77" s="1842" t="n"/>
      <c r="O77" s="1842" t="n"/>
      <c r="P77" s="1842" t="n"/>
      <c r="Q77" s="1842" t="n"/>
      <c r="R77" s="1842" t="n"/>
      <c r="S77" s="1842" t="n"/>
      <c r="T77" s="1842" t="n"/>
      <c r="U77" s="1842" t="n"/>
      <c r="V77" s="1842" t="n"/>
      <c r="W77" s="1842" t="n"/>
      <c r="X77" s="1842" t="n"/>
      <c r="Y77" s="1842" t="n"/>
      <c r="Z77" s="1842" t="n"/>
      <c r="AA77" s="1842" t="n"/>
      <c r="AB77" s="1842" t="n"/>
      <c r="AC77" s="1842" t="n"/>
      <c r="AD77" s="1842" t="n"/>
      <c r="AE77" s="1842" t="n"/>
      <c r="AF77" s="1842" t="n"/>
    </row>
    <row r="78" ht="13.5" customHeight="1" s="1883">
      <c r="A78" s="1856" t="n"/>
      <c r="B78" s="1856" t="n"/>
      <c r="C78" s="1856" t="n"/>
      <c r="D78" s="1842" t="n"/>
      <c r="E78" s="1842" t="n"/>
      <c r="F78" s="1842" t="n"/>
      <c r="G78" s="1842" t="n"/>
      <c r="H78" s="1842" t="n"/>
      <c r="I78" s="1842" t="n"/>
      <c r="J78" s="1842" t="n"/>
      <c r="K78" s="1842" t="n"/>
      <c r="L78" s="1842" t="n"/>
      <c r="M78" s="1842" t="n"/>
      <c r="N78" s="1842" t="n"/>
      <c r="O78" s="1842" t="n"/>
      <c r="P78" s="1842" t="n"/>
      <c r="Q78" s="1842" t="n"/>
      <c r="R78" s="1842" t="n"/>
      <c r="S78" s="1842" t="n"/>
      <c r="T78" s="1842" t="n"/>
      <c r="U78" s="1842" t="n"/>
      <c r="V78" s="1842" t="n"/>
      <c r="W78" s="1842" t="n"/>
      <c r="X78" s="1842" t="n"/>
      <c r="Y78" s="1842" t="n"/>
      <c r="Z78" s="1842" t="n"/>
      <c r="AA78" s="1842" t="n"/>
      <c r="AB78" s="1842" t="n"/>
      <c r="AC78" s="1842" t="n"/>
      <c r="AD78" s="1842" t="n"/>
      <c r="AE78" s="1842" t="n"/>
      <c r="AF78" s="1842" t="n"/>
    </row>
    <row r="79" ht="13.5" customHeight="1" s="1883">
      <c r="A79" s="1856" t="n"/>
      <c r="B79" s="1856" t="n"/>
      <c r="C79" s="1856" t="n"/>
      <c r="D79" s="1842" t="n"/>
      <c r="E79" s="1842" t="n"/>
      <c r="F79" s="1842" t="n"/>
      <c r="G79" s="1842" t="n"/>
      <c r="H79" s="1842" t="n"/>
      <c r="I79" s="1842" t="n"/>
      <c r="J79" s="1842" t="n"/>
      <c r="K79" s="1842" t="n"/>
      <c r="L79" s="1842" t="n"/>
      <c r="M79" s="1842" t="n"/>
      <c r="N79" s="1842" t="n"/>
      <c r="O79" s="1842" t="n"/>
      <c r="P79" s="1842" t="n"/>
      <c r="Q79" s="1842" t="n"/>
      <c r="R79" s="1842" t="n"/>
      <c r="S79" s="1842" t="n"/>
      <c r="T79" s="1842" t="n"/>
      <c r="U79" s="1842" t="n"/>
      <c r="V79" s="1842" t="n"/>
      <c r="W79" s="1842" t="n"/>
      <c r="X79" s="1842" t="n"/>
      <c r="Y79" s="1842" t="n"/>
      <c r="Z79" s="1842" t="n"/>
      <c r="AA79" s="1842" t="n"/>
      <c r="AB79" s="1842" t="n"/>
      <c r="AC79" s="1842" t="n"/>
      <c r="AD79" s="1842" t="n"/>
      <c r="AE79" s="1842" t="n"/>
      <c r="AF79" s="1842" t="n"/>
    </row>
    <row r="80" ht="13.5" customHeight="1" s="1883">
      <c r="A80" s="1856" t="n"/>
      <c r="B80" s="1856" t="n"/>
      <c r="C80" s="1856" t="n"/>
      <c r="D80" s="1842" t="n"/>
      <c r="E80" s="1842" t="n"/>
      <c r="F80" s="1842" t="n"/>
      <c r="G80" s="1842" t="n"/>
      <c r="H80" s="1842" t="n"/>
      <c r="I80" s="1842" t="n"/>
      <c r="J80" s="1842" t="n"/>
      <c r="K80" s="1842" t="n"/>
      <c r="L80" s="1842" t="n"/>
      <c r="M80" s="1842" t="n"/>
      <c r="N80" s="1842" t="n"/>
      <c r="O80" s="1842" t="n"/>
      <c r="P80" s="1842" t="n"/>
      <c r="Q80" s="1842" t="n"/>
      <c r="R80" s="1842" t="n"/>
      <c r="S80" s="1842" t="n"/>
      <c r="T80" s="1842" t="n"/>
      <c r="U80" s="1842" t="n"/>
      <c r="V80" s="1842" t="n"/>
      <c r="W80" s="1842" t="n"/>
      <c r="X80" s="1842" t="n"/>
      <c r="Y80" s="1842" t="n"/>
      <c r="Z80" s="1842" t="n"/>
      <c r="AA80" s="1842" t="n"/>
      <c r="AB80" s="1842" t="n"/>
      <c r="AC80" s="1842" t="n"/>
      <c r="AD80" s="1842" t="n"/>
      <c r="AE80" s="1842" t="n"/>
      <c r="AF80" s="1842" t="n"/>
    </row>
    <row r="81" ht="13.5" customHeight="1" s="1883">
      <c r="A81" s="1856" t="n"/>
      <c r="B81" s="1856" t="n"/>
      <c r="C81" s="1856" t="n"/>
      <c r="D81" s="1842" t="n"/>
      <c r="E81" s="1842" t="n"/>
      <c r="F81" s="1842" t="n"/>
      <c r="G81" s="1842" t="n"/>
      <c r="H81" s="1842" t="n"/>
      <c r="I81" s="1842" t="n"/>
      <c r="J81" s="1842" t="n"/>
      <c r="K81" s="1842" t="n"/>
      <c r="L81" s="1842" t="n"/>
      <c r="M81" s="1842" t="n"/>
      <c r="N81" s="1842" t="n"/>
      <c r="O81" s="1842" t="n"/>
      <c r="P81" s="1842" t="n"/>
      <c r="Q81" s="1842" t="n"/>
      <c r="R81" s="1842" t="n"/>
      <c r="S81" s="1842" t="n"/>
      <c r="T81" s="1842" t="n"/>
      <c r="U81" s="1842" t="n"/>
      <c r="V81" s="1842" t="n"/>
      <c r="W81" s="1842" t="n"/>
      <c r="X81" s="1842" t="n"/>
      <c r="Y81" s="1842" t="n"/>
      <c r="Z81" s="1842" t="n"/>
      <c r="AA81" s="1842" t="n"/>
      <c r="AB81" s="1842" t="n"/>
      <c r="AC81" s="1842" t="n"/>
      <c r="AD81" s="1842" t="n"/>
      <c r="AE81" s="1842" t="n"/>
      <c r="AF81" s="1842" t="n"/>
    </row>
    <row r="82" ht="13.5" customHeight="1" s="1883">
      <c r="A82" s="1856" t="n"/>
      <c r="B82" s="1856" t="n"/>
      <c r="C82" s="1856" t="n"/>
      <c r="D82" s="1842" t="n"/>
      <c r="E82" s="1842" t="n"/>
      <c r="F82" s="1842" t="n"/>
      <c r="G82" s="1842" t="n"/>
      <c r="H82" s="1842" t="n"/>
      <c r="I82" s="1842" t="n"/>
      <c r="J82" s="1842" t="n"/>
      <c r="K82" s="1842" t="n"/>
      <c r="L82" s="1842" t="n"/>
      <c r="M82" s="1842" t="n"/>
      <c r="N82" s="1842" t="n"/>
      <c r="O82" s="1842" t="n"/>
      <c r="P82" s="1842" t="n"/>
      <c r="Q82" s="1842" t="n"/>
      <c r="R82" s="1842" t="n"/>
      <c r="S82" s="1842" t="n"/>
      <c r="T82" s="1842" t="n"/>
      <c r="U82" s="1842" t="n"/>
      <c r="V82" s="1842" t="n"/>
      <c r="W82" s="1842" t="n"/>
      <c r="X82" s="1842" t="n"/>
      <c r="Y82" s="1842" t="n"/>
      <c r="Z82" s="1842" t="n"/>
      <c r="AA82" s="1842" t="n"/>
      <c r="AB82" s="1842" t="n"/>
      <c r="AC82" s="1842" t="n"/>
      <c r="AD82" s="1842" t="n"/>
      <c r="AE82" s="1842" t="n"/>
      <c r="AF82" s="1842" t="n"/>
    </row>
    <row r="83" ht="13.5" customHeight="1" s="1883">
      <c r="A83" s="1856" t="n"/>
      <c r="B83" s="1856" t="n"/>
      <c r="C83" s="1856" t="n"/>
      <c r="D83" s="1842" t="n"/>
      <c r="E83" s="1842" t="n"/>
      <c r="F83" s="1842" t="n"/>
      <c r="G83" s="1842" t="n"/>
      <c r="H83" s="1842" t="n"/>
      <c r="I83" s="1842" t="n"/>
      <c r="J83" s="1842" t="n"/>
      <c r="K83" s="1842" t="n"/>
      <c r="L83" s="1842" t="n"/>
      <c r="M83" s="1842" t="n"/>
      <c r="N83" s="1842" t="n"/>
      <c r="O83" s="1842" t="n"/>
      <c r="P83" s="1842" t="n"/>
      <c r="Q83" s="1842" t="n"/>
      <c r="R83" s="1842" t="n"/>
      <c r="S83" s="1842" t="n"/>
      <c r="T83" s="1842" t="n"/>
      <c r="U83" s="1842" t="n"/>
      <c r="V83" s="1842" t="n"/>
      <c r="W83" s="1842" t="n"/>
      <c r="X83" s="1842" t="n"/>
      <c r="Y83" s="1842" t="n"/>
      <c r="Z83" s="1842" t="n"/>
      <c r="AA83" s="1842" t="n"/>
      <c r="AB83" s="1842" t="n"/>
      <c r="AC83" s="1842" t="n"/>
      <c r="AD83" s="1842" t="n"/>
      <c r="AE83" s="1842" t="n"/>
      <c r="AF83" s="1842" t="n"/>
    </row>
    <row r="84" ht="13.5" customHeight="1" s="1883">
      <c r="A84" s="1856" t="n"/>
      <c r="B84" s="1856" t="n"/>
      <c r="C84" s="1856" t="n"/>
      <c r="D84" s="1842" t="n"/>
      <c r="E84" s="1842" t="n"/>
      <c r="F84" s="1842" t="n"/>
      <c r="G84" s="1842" t="n"/>
      <c r="H84" s="1842" t="n"/>
      <c r="I84" s="1842" t="n"/>
      <c r="J84" s="1842" t="n"/>
      <c r="K84" s="1842" t="n"/>
      <c r="L84" s="1842" t="n"/>
      <c r="M84" s="1842" t="n"/>
      <c r="N84" s="1842" t="n"/>
      <c r="O84" s="1842" t="n"/>
      <c r="P84" s="1842" t="n"/>
      <c r="Q84" s="1842" t="n"/>
      <c r="R84" s="1842" t="n"/>
      <c r="S84" s="1842" t="n"/>
      <c r="T84" s="1842" t="n"/>
      <c r="U84" s="1842" t="n"/>
      <c r="V84" s="1842" t="n"/>
      <c r="W84" s="1842" t="n"/>
      <c r="X84" s="1842" t="n"/>
      <c r="Y84" s="1842" t="n"/>
      <c r="Z84" s="1842" t="n"/>
      <c r="AA84" s="1842" t="n"/>
      <c r="AB84" s="1842" t="n"/>
      <c r="AC84" s="1842" t="n"/>
      <c r="AD84" s="1842" t="n"/>
      <c r="AE84" s="1842" t="n"/>
      <c r="AF84" s="1842" t="n"/>
    </row>
    <row r="85" ht="13.5" customHeight="1" s="1883">
      <c r="A85" s="1856" t="n"/>
      <c r="B85" s="1856" t="n"/>
      <c r="C85" s="1856" t="n"/>
      <c r="D85" s="1842" t="n"/>
      <c r="E85" s="1842" t="n"/>
      <c r="F85" s="1842" t="n"/>
      <c r="G85" s="1842" t="n"/>
      <c r="H85" s="1842" t="n"/>
      <c r="I85" s="1842" t="n"/>
      <c r="J85" s="1842" t="n"/>
      <c r="K85" s="1842" t="n"/>
      <c r="L85" s="1842" t="n"/>
      <c r="M85" s="1842" t="n"/>
      <c r="N85" s="1842" t="n"/>
      <c r="O85" s="1842" t="n"/>
      <c r="P85" s="1842" t="n"/>
      <c r="Q85" s="1842" t="n"/>
      <c r="R85" s="1842" t="n"/>
      <c r="S85" s="1842" t="n"/>
      <c r="T85" s="1842" t="n"/>
      <c r="U85" s="1842" t="n"/>
      <c r="V85" s="1842" t="n"/>
      <c r="W85" s="1842" t="n"/>
      <c r="X85" s="1842" t="n"/>
      <c r="Y85" s="1842" t="n"/>
      <c r="Z85" s="1842" t="n"/>
      <c r="AA85" s="1842" t="n"/>
      <c r="AB85" s="1842" t="n"/>
      <c r="AC85" s="1842" t="n"/>
      <c r="AD85" s="1842" t="n"/>
      <c r="AE85" s="1842" t="n"/>
      <c r="AF85" s="1842" t="n"/>
    </row>
    <row r="86" ht="13.5" customHeight="1" s="1883">
      <c r="A86" s="1856" t="n"/>
      <c r="B86" s="1856" t="n"/>
      <c r="C86" s="1856" t="n"/>
      <c r="D86" s="1842" t="n"/>
      <c r="E86" s="1842" t="n"/>
      <c r="F86" s="1842" t="n"/>
      <c r="G86" s="1842" t="n"/>
      <c r="H86" s="1842" t="n"/>
      <c r="I86" s="1842" t="n"/>
      <c r="J86" s="1842" t="n"/>
      <c r="K86" s="1842" t="n"/>
      <c r="L86" s="1842" t="n"/>
      <c r="M86" s="1842" t="n"/>
      <c r="N86" s="1842" t="n"/>
      <c r="O86" s="1842" t="n"/>
      <c r="P86" s="1842" t="n"/>
      <c r="Q86" s="1842" t="n"/>
      <c r="R86" s="1842" t="n"/>
      <c r="S86" s="1842" t="n"/>
      <c r="T86" s="1842" t="n"/>
      <c r="U86" s="1842" t="n"/>
      <c r="V86" s="1842" t="n"/>
      <c r="W86" s="1842" t="n"/>
      <c r="X86" s="1842" t="n"/>
      <c r="Y86" s="1842" t="n"/>
      <c r="Z86" s="1842" t="n"/>
      <c r="AA86" s="1842" t="n"/>
      <c r="AB86" s="1842" t="n"/>
      <c r="AC86" s="1842" t="n"/>
      <c r="AD86" s="1842" t="n"/>
      <c r="AE86" s="1842" t="n"/>
      <c r="AF86" s="1842" t="n"/>
    </row>
    <row r="87" ht="13.5" customHeight="1" s="1883">
      <c r="A87" s="1856" t="n"/>
      <c r="B87" s="1856" t="n"/>
      <c r="C87" s="1856" t="n"/>
      <c r="D87" s="1842" t="n"/>
      <c r="E87" s="1842" t="n"/>
      <c r="F87" s="1842" t="n"/>
      <c r="G87" s="1842" t="n"/>
      <c r="H87" s="1842" t="n"/>
      <c r="I87" s="1842" t="n"/>
      <c r="J87" s="1842" t="n"/>
      <c r="K87" s="1842" t="n"/>
      <c r="L87" s="1842" t="n"/>
      <c r="M87" s="1842" t="n"/>
      <c r="N87" s="1842" t="n"/>
      <c r="O87" s="1842" t="n"/>
      <c r="P87" s="1842" t="n"/>
      <c r="Q87" s="1842" t="n"/>
      <c r="R87" s="1842" t="n"/>
      <c r="S87" s="1842" t="n"/>
      <c r="T87" s="1842" t="n"/>
      <c r="U87" s="1842" t="n"/>
      <c r="V87" s="1842" t="n"/>
      <c r="W87" s="1842" t="n"/>
      <c r="X87" s="1842" t="n"/>
      <c r="Y87" s="1842" t="n"/>
      <c r="Z87" s="1842" t="n"/>
      <c r="AA87" s="1842" t="n"/>
      <c r="AB87" s="1842" t="n"/>
      <c r="AC87" s="1842" t="n"/>
      <c r="AD87" s="1842" t="n"/>
      <c r="AE87" s="1842" t="n"/>
      <c r="AF87" s="1842" t="n"/>
    </row>
    <row r="88" ht="13.5" customHeight="1" s="1883">
      <c r="A88" s="1856" t="n"/>
      <c r="B88" s="1856" t="n"/>
      <c r="C88" s="1856" t="n"/>
      <c r="D88" s="1842" t="n"/>
      <c r="E88" s="1842" t="n"/>
      <c r="F88" s="1842" t="n"/>
      <c r="G88" s="1842" t="n"/>
      <c r="H88" s="1842" t="n"/>
      <c r="I88" s="1842" t="n"/>
      <c r="J88" s="1842" t="n"/>
      <c r="K88" s="1842" t="n"/>
      <c r="L88" s="1842" t="n"/>
      <c r="M88" s="1842" t="n"/>
      <c r="N88" s="1842" t="n"/>
      <c r="O88" s="1842" t="n"/>
      <c r="P88" s="1842" t="n"/>
      <c r="Q88" s="1842" t="n"/>
      <c r="R88" s="1842" t="n"/>
      <c r="S88" s="1842" t="n"/>
      <c r="T88" s="1842" t="n"/>
      <c r="U88" s="1842" t="n"/>
      <c r="V88" s="1842" t="n"/>
      <c r="W88" s="1842" t="n"/>
      <c r="X88" s="1842" t="n"/>
      <c r="Y88" s="1842" t="n"/>
      <c r="Z88" s="1842" t="n"/>
      <c r="AA88" s="1842" t="n"/>
      <c r="AB88" s="1842" t="n"/>
      <c r="AC88" s="1842" t="n"/>
      <c r="AD88" s="1842" t="n"/>
      <c r="AE88" s="1842" t="n"/>
      <c r="AF88" s="1842" t="n"/>
    </row>
    <row r="89" ht="13.5" customHeight="1" s="1883">
      <c r="A89" s="1856" t="n"/>
      <c r="B89" s="1856" t="n"/>
      <c r="C89" s="1856" t="n"/>
      <c r="D89" s="1842" t="n"/>
      <c r="E89" s="1842" t="n"/>
      <c r="F89" s="1842" t="n"/>
      <c r="G89" s="1842" t="n"/>
      <c r="H89" s="1842" t="n"/>
      <c r="I89" s="1842" t="n"/>
      <c r="J89" s="1842" t="n"/>
      <c r="K89" s="1842" t="n"/>
      <c r="L89" s="1842" t="n"/>
      <c r="M89" s="1842" t="n"/>
      <c r="N89" s="1842" t="n"/>
      <c r="O89" s="1842" t="n"/>
      <c r="P89" s="1842" t="n"/>
      <c r="Q89" s="1842" t="n"/>
      <c r="R89" s="1842" t="n"/>
      <c r="S89" s="1842" t="n"/>
      <c r="T89" s="1842" t="n"/>
      <c r="U89" s="1842" t="n"/>
      <c r="V89" s="1842" t="n"/>
      <c r="W89" s="1842" t="n"/>
      <c r="X89" s="1842" t="n"/>
      <c r="Y89" s="1842" t="n"/>
      <c r="Z89" s="1842" t="n"/>
      <c r="AA89" s="1842" t="n"/>
      <c r="AB89" s="1842" t="n"/>
      <c r="AC89" s="1842" t="n"/>
      <c r="AD89" s="1842" t="n"/>
      <c r="AE89" s="1842" t="n"/>
      <c r="AF89" s="1842" t="n"/>
    </row>
    <row r="90" ht="13.5" customHeight="1" s="1883">
      <c r="A90" s="1856" t="n"/>
      <c r="B90" s="1856" t="n"/>
      <c r="C90" s="1856" t="n"/>
      <c r="D90" s="1842" t="n"/>
      <c r="E90" s="1842" t="n"/>
      <c r="F90" s="1842" t="n"/>
      <c r="G90" s="1842" t="n"/>
      <c r="H90" s="1842" t="n"/>
      <c r="I90" s="1842" t="n"/>
      <c r="J90" s="1842" t="n"/>
      <c r="K90" s="1842" t="n"/>
      <c r="L90" s="1842" t="n"/>
      <c r="M90" s="1842" t="n"/>
      <c r="N90" s="1842" t="n"/>
      <c r="O90" s="1842" t="n"/>
      <c r="P90" s="1842" t="n"/>
      <c r="Q90" s="1842" t="n"/>
      <c r="R90" s="1842" t="n"/>
      <c r="S90" s="1842" t="n"/>
      <c r="T90" s="1842" t="n"/>
      <c r="U90" s="1842" t="n"/>
      <c r="V90" s="1842" t="n"/>
      <c r="W90" s="1842" t="n"/>
      <c r="X90" s="1842" t="n"/>
      <c r="Y90" s="1842" t="n"/>
      <c r="Z90" s="1842" t="n"/>
      <c r="AA90" s="1842" t="n"/>
      <c r="AB90" s="1842" t="n"/>
      <c r="AC90" s="1842" t="n"/>
      <c r="AD90" s="1842" t="n"/>
      <c r="AE90" s="1842" t="n"/>
      <c r="AF90" s="1842" t="n"/>
    </row>
    <row r="91" ht="13.5" customHeight="1" s="1883">
      <c r="A91" s="1856" t="n"/>
      <c r="B91" s="1856" t="n"/>
      <c r="C91" s="1856" t="n"/>
      <c r="D91" s="1842" t="n"/>
      <c r="E91" s="1842" t="n"/>
      <c r="F91" s="1842" t="n"/>
      <c r="G91" s="1842" t="n"/>
      <c r="H91" s="1842" t="n"/>
      <c r="I91" s="1842" t="n"/>
      <c r="J91" s="1842" t="n"/>
      <c r="K91" s="1842" t="n"/>
      <c r="L91" s="1842" t="n"/>
      <c r="M91" s="1842" t="n"/>
      <c r="N91" s="1842" t="n"/>
      <c r="O91" s="1842" t="n"/>
      <c r="P91" s="1842" t="n"/>
      <c r="Q91" s="1842" t="n"/>
      <c r="R91" s="1842" t="n"/>
      <c r="S91" s="1842" t="n"/>
      <c r="T91" s="1842" t="n"/>
      <c r="U91" s="1842" t="n"/>
      <c r="V91" s="1842" t="n"/>
      <c r="W91" s="1842" t="n"/>
      <c r="X91" s="1842" t="n"/>
      <c r="Y91" s="1842" t="n"/>
      <c r="Z91" s="1842" t="n"/>
      <c r="AA91" s="1842" t="n"/>
      <c r="AB91" s="1842" t="n"/>
      <c r="AC91" s="1842" t="n"/>
      <c r="AD91" s="1842" t="n"/>
      <c r="AE91" s="1842" t="n"/>
      <c r="AF91" s="1842" t="n"/>
    </row>
    <row r="92" ht="13.5" customHeight="1" s="1883">
      <c r="A92" s="1856" t="n"/>
      <c r="B92" s="1856" t="n"/>
      <c r="C92" s="1856" t="n"/>
      <c r="D92" s="1842" t="n"/>
      <c r="E92" s="1842" t="n"/>
      <c r="F92" s="1842" t="n"/>
      <c r="G92" s="1842" t="n"/>
      <c r="H92" s="1842" t="n"/>
      <c r="I92" s="1842" t="n"/>
      <c r="J92" s="1842" t="n"/>
      <c r="K92" s="1842" t="n"/>
      <c r="L92" s="1842" t="n"/>
      <c r="M92" s="1842" t="n"/>
      <c r="N92" s="1842" t="n"/>
      <c r="O92" s="1842" t="n"/>
      <c r="P92" s="1842" t="n"/>
      <c r="Q92" s="1842" t="n"/>
      <c r="R92" s="1842" t="n"/>
      <c r="S92" s="1842" t="n"/>
      <c r="T92" s="1842" t="n"/>
      <c r="U92" s="1842" t="n"/>
      <c r="V92" s="1842" t="n"/>
      <c r="W92" s="1842" t="n"/>
      <c r="X92" s="1842" t="n"/>
      <c r="Y92" s="1842" t="n"/>
      <c r="Z92" s="1842" t="n"/>
      <c r="AA92" s="1842" t="n"/>
      <c r="AB92" s="1842" t="n"/>
      <c r="AC92" s="1842" t="n"/>
      <c r="AD92" s="1842" t="n"/>
      <c r="AE92" s="1842" t="n"/>
      <c r="AF92" s="1842" t="n"/>
    </row>
    <row r="93" ht="13.5" customHeight="1" s="1883">
      <c r="A93" s="1856" t="n"/>
      <c r="B93" s="1856" t="n"/>
      <c r="C93" s="1856" t="n"/>
      <c r="D93" s="1842" t="n"/>
      <c r="E93" s="1842" t="n"/>
      <c r="F93" s="1842" t="n"/>
      <c r="G93" s="1842" t="n"/>
      <c r="H93" s="1842" t="n"/>
      <c r="I93" s="1842" t="n"/>
      <c r="J93" s="1842" t="n"/>
      <c r="K93" s="1842" t="n"/>
      <c r="L93" s="1842" t="n"/>
      <c r="M93" s="1842" t="n"/>
      <c r="N93" s="1842" t="n"/>
      <c r="O93" s="1842" t="n"/>
      <c r="P93" s="1842" t="n"/>
      <c r="Q93" s="1842" t="n"/>
      <c r="R93" s="1842" t="n"/>
      <c r="S93" s="1842" t="n"/>
      <c r="T93" s="1842" t="n"/>
      <c r="U93" s="1842" t="n"/>
      <c r="V93" s="1842" t="n"/>
      <c r="W93" s="1842" t="n"/>
      <c r="X93" s="1842" t="n"/>
      <c r="Y93" s="1842" t="n"/>
      <c r="Z93" s="1842" t="n"/>
      <c r="AA93" s="1842" t="n"/>
      <c r="AB93" s="1842" t="n"/>
      <c r="AC93" s="1842" t="n"/>
      <c r="AD93" s="1842" t="n"/>
      <c r="AE93" s="1842" t="n"/>
      <c r="AF93" s="1842" t="n"/>
    </row>
    <row r="94" ht="13.5" customHeight="1" s="1883">
      <c r="A94" s="1856" t="n"/>
      <c r="B94" s="1856" t="n"/>
      <c r="C94" s="1856" t="n"/>
      <c r="D94" s="1842" t="n"/>
      <c r="E94" s="1842" t="n"/>
      <c r="F94" s="1842" t="n"/>
      <c r="G94" s="1842" t="n"/>
      <c r="H94" s="1842" t="n"/>
      <c r="I94" s="1842" t="n"/>
      <c r="J94" s="1842" t="n"/>
      <c r="K94" s="1842" t="n"/>
      <c r="L94" s="1842" t="n"/>
      <c r="M94" s="1842" t="n"/>
      <c r="N94" s="1842" t="n"/>
      <c r="O94" s="1842" t="n"/>
      <c r="P94" s="1842" t="n"/>
      <c r="Q94" s="1842" t="n"/>
      <c r="R94" s="1842" t="n"/>
      <c r="S94" s="1842" t="n"/>
      <c r="T94" s="1842" t="n"/>
      <c r="U94" s="1842" t="n"/>
      <c r="V94" s="1842" t="n"/>
      <c r="W94" s="1842" t="n"/>
      <c r="X94" s="1842" t="n"/>
      <c r="Y94" s="1842" t="n"/>
      <c r="Z94" s="1842" t="n"/>
      <c r="AA94" s="1842" t="n"/>
      <c r="AB94" s="1842" t="n"/>
      <c r="AC94" s="1842" t="n"/>
      <c r="AD94" s="1842" t="n"/>
      <c r="AE94" s="1842" t="n"/>
      <c r="AF94" s="1842" t="n"/>
    </row>
    <row r="95" ht="13.5" customHeight="1" s="1883">
      <c r="A95" s="1856" t="n"/>
      <c r="B95" s="1856" t="n"/>
      <c r="C95" s="1856" t="n"/>
      <c r="D95" s="1842" t="n"/>
      <c r="E95" s="1842" t="n"/>
      <c r="F95" s="1842" t="n"/>
      <c r="G95" s="1842" t="n"/>
      <c r="H95" s="1842" t="n"/>
      <c r="I95" s="1842" t="n"/>
      <c r="J95" s="1842" t="n"/>
      <c r="K95" s="1842" t="n"/>
      <c r="L95" s="1842" t="n"/>
      <c r="M95" s="1842" t="n"/>
      <c r="N95" s="1842" t="n"/>
      <c r="O95" s="1842" t="n"/>
      <c r="P95" s="1842" t="n"/>
      <c r="Q95" s="1842" t="n"/>
      <c r="R95" s="1842" t="n"/>
      <c r="S95" s="1842" t="n"/>
      <c r="T95" s="1842" t="n"/>
      <c r="U95" s="1842" t="n"/>
      <c r="V95" s="1842" t="n"/>
      <c r="W95" s="1842" t="n"/>
      <c r="X95" s="1842" t="n"/>
      <c r="Y95" s="1842" t="n"/>
      <c r="Z95" s="1842" t="n"/>
      <c r="AA95" s="1842" t="n"/>
      <c r="AB95" s="1842" t="n"/>
      <c r="AC95" s="1842" t="n"/>
      <c r="AD95" s="1842" t="n"/>
      <c r="AE95" s="1842" t="n"/>
      <c r="AF95" s="1842" t="n"/>
    </row>
    <row r="96" ht="13.5" customHeight="1" s="1883">
      <c r="A96" s="1856" t="n"/>
      <c r="B96" s="1856" t="n"/>
      <c r="C96" s="1856" t="n"/>
      <c r="D96" s="1842" t="n"/>
      <c r="E96" s="1842" t="n"/>
      <c r="F96" s="1842" t="n"/>
      <c r="G96" s="1842" t="n"/>
      <c r="H96" s="1842" t="n"/>
      <c r="I96" s="1842" t="n"/>
      <c r="J96" s="1842" t="n"/>
      <c r="K96" s="1842" t="n"/>
      <c r="L96" s="1842" t="n"/>
      <c r="M96" s="1842" t="n"/>
      <c r="N96" s="1842" t="n"/>
      <c r="O96" s="1842" t="n"/>
      <c r="P96" s="1842" t="n"/>
      <c r="Q96" s="1842" t="n"/>
      <c r="R96" s="1842" t="n"/>
      <c r="S96" s="1842" t="n"/>
      <c r="T96" s="1842" t="n"/>
      <c r="U96" s="1842" t="n"/>
      <c r="V96" s="1842" t="n"/>
      <c r="W96" s="1842" t="n"/>
      <c r="X96" s="1842" t="n"/>
      <c r="Y96" s="1842" t="n"/>
      <c r="Z96" s="1842" t="n"/>
      <c r="AA96" s="1842" t="n"/>
      <c r="AB96" s="1842" t="n"/>
      <c r="AC96" s="1842" t="n"/>
      <c r="AD96" s="1842" t="n"/>
      <c r="AE96" s="1842" t="n"/>
      <c r="AF96" s="1842" t="n"/>
    </row>
    <row r="97" ht="13.5" customHeight="1" s="1883">
      <c r="A97" s="1856" t="n"/>
      <c r="B97" s="1856" t="n"/>
      <c r="C97" s="1856" t="n"/>
      <c r="D97" s="1842" t="n"/>
      <c r="E97" s="1842" t="n"/>
      <c r="F97" s="1842" t="n"/>
      <c r="G97" s="1842" t="n"/>
      <c r="H97" s="1842" t="n"/>
      <c r="I97" s="1842" t="n"/>
      <c r="J97" s="1842" t="n"/>
      <c r="K97" s="1842" t="n"/>
      <c r="L97" s="1842" t="n"/>
      <c r="M97" s="1842" t="n"/>
      <c r="N97" s="1842" t="n"/>
      <c r="O97" s="1842" t="n"/>
      <c r="P97" s="1842" t="n"/>
      <c r="Q97" s="1842" t="n"/>
      <c r="R97" s="1842" t="n"/>
      <c r="S97" s="1842" t="n"/>
      <c r="T97" s="1842" t="n"/>
      <c r="U97" s="1842" t="n"/>
      <c r="V97" s="1842" t="n"/>
      <c r="W97" s="1842" t="n"/>
      <c r="X97" s="1842" t="n"/>
      <c r="Y97" s="1842" t="n"/>
      <c r="Z97" s="1842" t="n"/>
      <c r="AA97" s="1842" t="n"/>
      <c r="AB97" s="1842" t="n"/>
      <c r="AC97" s="1842" t="n"/>
      <c r="AD97" s="1842" t="n"/>
      <c r="AE97" s="1842" t="n"/>
      <c r="AF97" s="1842" t="n"/>
    </row>
    <row r="98" ht="13.5" customHeight="1" s="1883">
      <c r="A98" s="1856" t="n"/>
      <c r="B98" s="1856" t="n"/>
      <c r="C98" s="1856" t="n"/>
      <c r="D98" s="1842" t="n"/>
      <c r="E98" s="1842" t="n"/>
      <c r="F98" s="1842" t="n"/>
      <c r="G98" s="1842" t="n"/>
      <c r="H98" s="1842" t="n"/>
      <c r="I98" s="1842" t="n"/>
      <c r="J98" s="1842" t="n"/>
      <c r="K98" s="1842" t="n"/>
      <c r="L98" s="1842" t="n"/>
      <c r="M98" s="1842" t="n"/>
      <c r="N98" s="1842" t="n"/>
      <c r="O98" s="1842" t="n"/>
      <c r="P98" s="1842" t="n"/>
      <c r="Q98" s="1842" t="n"/>
      <c r="R98" s="1842" t="n"/>
      <c r="S98" s="1842" t="n"/>
      <c r="T98" s="1842" t="n"/>
      <c r="U98" s="1842" t="n"/>
      <c r="V98" s="1842" t="n"/>
      <c r="W98" s="1842" t="n"/>
      <c r="X98" s="1842" t="n"/>
      <c r="Y98" s="1842" t="n"/>
      <c r="Z98" s="1842" t="n"/>
      <c r="AA98" s="1842" t="n"/>
      <c r="AB98" s="1842" t="n"/>
      <c r="AC98" s="1842" t="n"/>
      <c r="AD98" s="1842" t="n"/>
      <c r="AE98" s="1842" t="n"/>
      <c r="AF98" s="1842" t="n"/>
    </row>
    <row r="99" ht="13.5" customHeight="1" s="1883">
      <c r="A99" s="1856" t="n"/>
      <c r="B99" s="1856" t="n"/>
      <c r="C99" s="1856" t="n"/>
      <c r="D99" s="1842" t="n"/>
      <c r="E99" s="1842" t="n"/>
      <c r="F99" s="1842" t="n"/>
      <c r="G99" s="1842" t="n"/>
      <c r="H99" s="1842" t="n"/>
      <c r="I99" s="1842" t="n"/>
      <c r="J99" s="1842" t="n"/>
      <c r="K99" s="1842" t="n"/>
      <c r="L99" s="1842" t="n"/>
      <c r="M99" s="1842" t="n"/>
      <c r="N99" s="1842" t="n"/>
      <c r="O99" s="1842" t="n"/>
      <c r="P99" s="1842" t="n"/>
      <c r="Q99" s="1842" t="n"/>
      <c r="R99" s="1842" t="n"/>
      <c r="S99" s="1842" t="n"/>
      <c r="T99" s="1842" t="n"/>
      <c r="U99" s="1842" t="n"/>
      <c r="V99" s="1842" t="n"/>
      <c r="W99" s="1842" t="n"/>
      <c r="X99" s="1842" t="n"/>
      <c r="Y99" s="1842" t="n"/>
      <c r="Z99" s="1842" t="n"/>
      <c r="AA99" s="1842" t="n"/>
      <c r="AB99" s="1842" t="n"/>
      <c r="AC99" s="1842" t="n"/>
      <c r="AD99" s="1842" t="n"/>
      <c r="AE99" s="1842" t="n"/>
      <c r="AF99" s="1842" t="n"/>
    </row>
    <row r="100" ht="13.5" customHeight="1" s="1883">
      <c r="A100" s="1856" t="n"/>
      <c r="B100" s="1856" t="n"/>
      <c r="C100" s="1856" t="n"/>
      <c r="D100" s="1842" t="n"/>
      <c r="E100" s="1842" t="n"/>
      <c r="F100" s="1842" t="n"/>
      <c r="G100" s="1842" t="n"/>
      <c r="H100" s="1842" t="n"/>
      <c r="I100" s="1842" t="n"/>
      <c r="J100" s="1842" t="n"/>
      <c r="K100" s="1842" t="n"/>
      <c r="L100" s="1842" t="n"/>
      <c r="M100" s="1842" t="n"/>
      <c r="N100" s="1842" t="n"/>
      <c r="O100" s="1842" t="n"/>
      <c r="P100" s="1842" t="n"/>
      <c r="Q100" s="1842" t="n"/>
      <c r="R100" s="1842" t="n"/>
      <c r="S100" s="1842" t="n"/>
      <c r="T100" s="1842" t="n"/>
      <c r="U100" s="1842" t="n"/>
      <c r="V100" s="1842" t="n"/>
      <c r="W100" s="1842" t="n"/>
      <c r="X100" s="1842" t="n"/>
      <c r="Y100" s="1842" t="n"/>
      <c r="Z100" s="1842" t="n"/>
      <c r="AA100" s="1842" t="n"/>
      <c r="AB100" s="1842" t="n"/>
      <c r="AC100" s="1842" t="n"/>
      <c r="AD100" s="1842" t="n"/>
      <c r="AE100" s="1842" t="n"/>
      <c r="AF100" s="1842" t="n"/>
    </row>
    <row r="101" ht="13.5" customHeight="1" s="1883">
      <c r="A101" s="1856" t="n"/>
      <c r="B101" s="1856" t="n"/>
      <c r="C101" s="1856" t="n"/>
      <c r="D101" s="1842" t="n"/>
      <c r="E101" s="1842" t="n"/>
      <c r="F101" s="1842" t="n"/>
      <c r="G101" s="1842" t="n"/>
      <c r="H101" s="1842" t="n"/>
      <c r="I101" s="1842" t="n"/>
      <c r="J101" s="1842" t="n"/>
      <c r="K101" s="1842" t="n"/>
      <c r="L101" s="1842" t="n"/>
      <c r="M101" s="1842" t="n"/>
      <c r="N101" s="1842" t="n"/>
      <c r="O101" s="1842" t="n"/>
      <c r="P101" s="1842" t="n"/>
      <c r="Q101" s="1842" t="n"/>
      <c r="R101" s="1842" t="n"/>
      <c r="S101" s="1842" t="n"/>
      <c r="T101" s="1842" t="n"/>
      <c r="U101" s="1842" t="n"/>
      <c r="V101" s="1842" t="n"/>
      <c r="W101" s="1842" t="n"/>
      <c r="X101" s="1842" t="n"/>
      <c r="Y101" s="1842" t="n"/>
      <c r="Z101" s="1842" t="n"/>
      <c r="AA101" s="1842" t="n"/>
      <c r="AB101" s="1842" t="n"/>
      <c r="AC101" s="1842" t="n"/>
      <c r="AD101" s="1842" t="n"/>
      <c r="AE101" s="1842" t="n"/>
      <c r="AF101" s="1842" t="n"/>
    </row>
    <row r="102" ht="13.5" customHeight="1" s="1883">
      <c r="A102" s="1856" t="n"/>
      <c r="B102" s="1856" t="n"/>
      <c r="C102" s="1856" t="n"/>
      <c r="D102" s="1842" t="n"/>
      <c r="E102" s="1842" t="n"/>
      <c r="F102" s="1842" t="n"/>
      <c r="G102" s="1842" t="n"/>
      <c r="H102" s="1842" t="n"/>
      <c r="I102" s="1842" t="n"/>
      <c r="J102" s="1842" t="n"/>
      <c r="K102" s="1842" t="n"/>
      <c r="L102" s="1842" t="n"/>
      <c r="M102" s="1842" t="n"/>
      <c r="N102" s="1842" t="n"/>
      <c r="O102" s="1842" t="n"/>
      <c r="P102" s="1842" t="n"/>
      <c r="Q102" s="1842" t="n"/>
      <c r="R102" s="1842" t="n"/>
      <c r="S102" s="1842" t="n"/>
      <c r="T102" s="1842" t="n"/>
      <c r="U102" s="1842" t="n"/>
      <c r="V102" s="1842" t="n"/>
      <c r="W102" s="1842" t="n"/>
      <c r="X102" s="1842" t="n"/>
      <c r="Y102" s="1842" t="n"/>
      <c r="Z102" s="1842" t="n"/>
      <c r="AA102" s="1842" t="n"/>
      <c r="AB102" s="1842" t="n"/>
      <c r="AC102" s="1842" t="n"/>
      <c r="AD102" s="1842" t="n"/>
      <c r="AE102" s="1842" t="n"/>
      <c r="AF102" s="1842" t="n"/>
    </row>
    <row r="103" ht="13.5" customHeight="1" s="1883">
      <c r="A103" s="1856" t="n"/>
      <c r="B103" s="1856" t="n"/>
      <c r="C103" s="1856" t="n"/>
      <c r="D103" s="1842" t="n"/>
      <c r="E103" s="1842" t="n"/>
      <c r="F103" s="1842" t="n"/>
      <c r="G103" s="1842" t="n"/>
      <c r="H103" s="1842" t="n"/>
      <c r="I103" s="1842" t="n"/>
      <c r="J103" s="1842" t="n"/>
      <c r="K103" s="1842" t="n"/>
      <c r="L103" s="1842" t="n"/>
      <c r="M103" s="1842" t="n"/>
      <c r="N103" s="1842" t="n"/>
      <c r="O103" s="1842" t="n"/>
      <c r="P103" s="1842" t="n"/>
      <c r="Q103" s="1842" t="n"/>
      <c r="R103" s="1842" t="n"/>
      <c r="S103" s="1842" t="n"/>
      <c r="T103" s="1842" t="n"/>
      <c r="U103" s="1842" t="n"/>
      <c r="V103" s="1842" t="n"/>
      <c r="W103" s="1842" t="n"/>
      <c r="X103" s="1842" t="n"/>
      <c r="Y103" s="1842" t="n"/>
      <c r="Z103" s="1842" t="n"/>
      <c r="AA103" s="1842" t="n"/>
      <c r="AB103" s="1842" t="n"/>
      <c r="AC103" s="1842" t="n"/>
      <c r="AD103" s="1842" t="n"/>
      <c r="AE103" s="1842" t="n"/>
      <c r="AF103" s="1842" t="n"/>
    </row>
    <row r="104" ht="13.5" customHeight="1" s="1883">
      <c r="A104" s="1856" t="n"/>
      <c r="B104" s="1856" t="n"/>
      <c r="C104" s="1856" t="n"/>
      <c r="D104" s="1842" t="n"/>
      <c r="E104" s="1842" t="n"/>
      <c r="F104" s="1842" t="n"/>
      <c r="G104" s="1842" t="n"/>
      <c r="H104" s="1842" t="n"/>
      <c r="I104" s="1842" t="n"/>
      <c r="J104" s="1842" t="n"/>
      <c r="K104" s="1842" t="n"/>
      <c r="L104" s="1842" t="n"/>
      <c r="M104" s="1842" t="n"/>
      <c r="N104" s="1842" t="n"/>
      <c r="O104" s="1842" t="n"/>
      <c r="P104" s="1842" t="n"/>
      <c r="Q104" s="1842" t="n"/>
      <c r="R104" s="1842" t="n"/>
      <c r="S104" s="1842" t="n"/>
      <c r="T104" s="1842" t="n"/>
      <c r="U104" s="1842" t="n"/>
      <c r="V104" s="1842" t="n"/>
      <c r="W104" s="1842" t="n"/>
      <c r="X104" s="1842" t="n"/>
      <c r="Y104" s="1842" t="n"/>
      <c r="Z104" s="1842" t="n"/>
      <c r="AA104" s="1842" t="n"/>
      <c r="AB104" s="1842" t="n"/>
      <c r="AC104" s="1842" t="n"/>
      <c r="AD104" s="1842" t="n"/>
      <c r="AE104" s="1842" t="n"/>
      <c r="AF104" s="1842" t="n"/>
    </row>
    <row r="105" ht="13.5" customHeight="1" s="1883">
      <c r="A105" s="1856" t="n"/>
      <c r="B105" s="1856" t="n"/>
      <c r="C105" s="1856" t="n"/>
      <c r="D105" s="1842" t="n"/>
      <c r="E105" s="1842" t="n"/>
      <c r="F105" s="1842" t="n"/>
      <c r="G105" s="1842" t="n"/>
      <c r="H105" s="1842" t="n"/>
      <c r="I105" s="1842" t="n"/>
      <c r="J105" s="1842" t="n"/>
      <c r="K105" s="1842" t="n"/>
      <c r="L105" s="1842" t="n"/>
      <c r="M105" s="1842" t="n"/>
      <c r="N105" s="1842" t="n"/>
      <c r="O105" s="1842" t="n"/>
      <c r="P105" s="1842" t="n"/>
      <c r="Q105" s="1842" t="n"/>
      <c r="R105" s="1842" t="n"/>
      <c r="S105" s="1842" t="n"/>
      <c r="T105" s="1842" t="n"/>
      <c r="U105" s="1842" t="n"/>
      <c r="V105" s="1842" t="n"/>
      <c r="W105" s="1842" t="n"/>
      <c r="X105" s="1842" t="n"/>
      <c r="Y105" s="1842" t="n"/>
      <c r="Z105" s="1842" t="n"/>
      <c r="AA105" s="1842" t="n"/>
      <c r="AB105" s="1842" t="n"/>
      <c r="AC105" s="1842" t="n"/>
      <c r="AD105" s="1842" t="n"/>
      <c r="AE105" s="1842" t="n"/>
      <c r="AF105" s="1842" t="n"/>
    </row>
    <row r="106" ht="13.5" customHeight="1" s="1883">
      <c r="A106" s="1856" t="n"/>
      <c r="B106" s="1856" t="n"/>
      <c r="C106" s="1856" t="n"/>
      <c r="D106" s="1842" t="n"/>
      <c r="E106" s="1842" t="n"/>
      <c r="F106" s="1842" t="n"/>
      <c r="G106" s="1842" t="n"/>
      <c r="H106" s="1842" t="n"/>
      <c r="I106" s="1842" t="n"/>
      <c r="J106" s="1842" t="n"/>
      <c r="K106" s="1842" t="n"/>
      <c r="L106" s="1842" t="n"/>
      <c r="M106" s="1842" t="n"/>
      <c r="N106" s="1842" t="n"/>
      <c r="O106" s="1842" t="n"/>
      <c r="P106" s="1842" t="n"/>
      <c r="Q106" s="1842" t="n"/>
      <c r="R106" s="1842" t="n"/>
      <c r="S106" s="1842" t="n"/>
      <c r="T106" s="1842" t="n"/>
      <c r="U106" s="1842" t="n"/>
      <c r="V106" s="1842" t="n"/>
      <c r="W106" s="1842" t="n"/>
      <c r="X106" s="1842" t="n"/>
      <c r="Y106" s="1842" t="n"/>
      <c r="Z106" s="1842" t="n"/>
      <c r="AA106" s="1842" t="n"/>
      <c r="AB106" s="1842" t="n"/>
      <c r="AC106" s="1842" t="n"/>
      <c r="AD106" s="1842" t="n"/>
      <c r="AE106" s="1842" t="n"/>
      <c r="AF106" s="1842" t="n"/>
    </row>
    <row r="107" ht="13.5" customHeight="1" s="1883">
      <c r="A107" s="1856" t="n"/>
      <c r="B107" s="1856" t="n"/>
      <c r="C107" s="1856" t="n"/>
      <c r="D107" s="1842" t="n"/>
      <c r="E107" s="1842" t="n"/>
      <c r="F107" s="1842" t="n"/>
      <c r="G107" s="1842" t="n"/>
      <c r="H107" s="1842" t="n"/>
      <c r="I107" s="1842" t="n"/>
      <c r="J107" s="1842" t="n"/>
      <c r="K107" s="1842" t="n"/>
      <c r="L107" s="1842" t="n"/>
      <c r="M107" s="1842" t="n"/>
      <c r="N107" s="1842" t="n"/>
      <c r="O107" s="1842" t="n"/>
      <c r="P107" s="1842" t="n"/>
      <c r="Q107" s="1842" t="n"/>
      <c r="R107" s="1842" t="n"/>
      <c r="S107" s="1842" t="n"/>
      <c r="T107" s="1842" t="n"/>
      <c r="U107" s="1842" t="n"/>
      <c r="V107" s="1842" t="n"/>
      <c r="W107" s="1842" t="n"/>
      <c r="X107" s="1842" t="n"/>
      <c r="Y107" s="1842" t="n"/>
      <c r="Z107" s="1842" t="n"/>
      <c r="AA107" s="1842" t="n"/>
      <c r="AB107" s="1842" t="n"/>
      <c r="AC107" s="1842" t="n"/>
      <c r="AD107" s="1842" t="n"/>
      <c r="AE107" s="1842" t="n"/>
      <c r="AF107" s="1842" t="n"/>
    </row>
    <row r="108" ht="13.5" customHeight="1" s="1883">
      <c r="A108" s="1856" t="n"/>
      <c r="B108" s="1856" t="n"/>
      <c r="C108" s="1856" t="n"/>
      <c r="D108" s="1842" t="n"/>
      <c r="E108" s="1842" t="n"/>
      <c r="F108" s="1842" t="n"/>
      <c r="G108" s="1842" t="n"/>
      <c r="H108" s="1842" t="n"/>
      <c r="I108" s="1842" t="n"/>
      <c r="J108" s="1842" t="n"/>
      <c r="K108" s="1842" t="n"/>
      <c r="L108" s="1842" t="n"/>
      <c r="M108" s="1842" t="n"/>
      <c r="N108" s="1842" t="n"/>
      <c r="O108" s="1842" t="n"/>
      <c r="P108" s="1842" t="n"/>
      <c r="Q108" s="1842" t="n"/>
      <c r="R108" s="1842" t="n"/>
      <c r="S108" s="1842" t="n"/>
      <c r="T108" s="1842" t="n"/>
      <c r="U108" s="1842" t="n"/>
      <c r="V108" s="1842" t="n"/>
      <c r="W108" s="1842" t="n"/>
      <c r="X108" s="1842" t="n"/>
      <c r="Y108" s="1842" t="n"/>
      <c r="Z108" s="1842" t="n"/>
      <c r="AA108" s="1842" t="n"/>
      <c r="AB108" s="1842" t="n"/>
      <c r="AC108" s="1842" t="n"/>
      <c r="AD108" s="1842" t="n"/>
      <c r="AE108" s="1842" t="n"/>
      <c r="AF108" s="1842" t="n"/>
    </row>
    <row r="109" ht="13.5" customHeight="1" s="1883">
      <c r="A109" s="1856" t="n"/>
      <c r="B109" s="1856" t="n"/>
      <c r="C109" s="1856" t="n"/>
      <c r="D109" s="1842" t="n"/>
      <c r="E109" s="1842" t="n"/>
      <c r="F109" s="1842" t="n"/>
      <c r="G109" s="1842" t="n"/>
      <c r="H109" s="1842" t="n"/>
      <c r="I109" s="1842" t="n"/>
      <c r="J109" s="1842" t="n"/>
      <c r="K109" s="1842" t="n"/>
      <c r="L109" s="1842" t="n"/>
      <c r="M109" s="1842" t="n"/>
      <c r="N109" s="1842" t="n"/>
      <c r="O109" s="1842" t="n"/>
      <c r="P109" s="1842" t="n"/>
      <c r="Q109" s="1842" t="n"/>
      <c r="R109" s="1842" t="n"/>
      <c r="S109" s="1842" t="n"/>
      <c r="T109" s="1842" t="n"/>
      <c r="U109" s="1842" t="n"/>
      <c r="V109" s="1842" t="n"/>
      <c r="W109" s="1842" t="n"/>
      <c r="X109" s="1842" t="n"/>
      <c r="Y109" s="1842" t="n"/>
      <c r="Z109" s="1842" t="n"/>
      <c r="AA109" s="1842" t="n"/>
      <c r="AB109" s="1842" t="n"/>
      <c r="AC109" s="1842" t="n"/>
      <c r="AD109" s="1842" t="n"/>
      <c r="AE109" s="1842" t="n"/>
      <c r="AF109" s="1842" t="n"/>
    </row>
    <row r="110" ht="13.5" customHeight="1" s="1883">
      <c r="A110" s="1856" t="n"/>
      <c r="B110" s="1856" t="n"/>
      <c r="C110" s="1856" t="n"/>
      <c r="D110" s="1842" t="n"/>
      <c r="E110" s="1842" t="n"/>
      <c r="F110" s="1842" t="n"/>
      <c r="G110" s="1842" t="n"/>
      <c r="H110" s="1842" t="n"/>
      <c r="I110" s="1842" t="n"/>
      <c r="J110" s="1842" t="n"/>
      <c r="K110" s="1842" t="n"/>
      <c r="L110" s="1842" t="n"/>
      <c r="M110" s="1842" t="n"/>
      <c r="N110" s="1842" t="n"/>
      <c r="O110" s="1842" t="n"/>
      <c r="P110" s="1842" t="n"/>
      <c r="Q110" s="1842" t="n"/>
      <c r="R110" s="1842" t="n"/>
      <c r="S110" s="1842" t="n"/>
      <c r="T110" s="1842" t="n"/>
      <c r="U110" s="1842" t="n"/>
      <c r="V110" s="1842" t="n"/>
      <c r="W110" s="1842" t="n"/>
      <c r="X110" s="1842" t="n"/>
      <c r="Y110" s="1842" t="n"/>
      <c r="Z110" s="1842" t="n"/>
      <c r="AA110" s="1842" t="n"/>
      <c r="AB110" s="1842" t="n"/>
      <c r="AC110" s="1842" t="n"/>
      <c r="AD110" s="1842" t="n"/>
      <c r="AE110" s="1842" t="n"/>
      <c r="AF110" s="1842" t="n"/>
    </row>
    <row r="111" ht="13.5" customHeight="1" s="1883">
      <c r="A111" s="1856" t="n"/>
      <c r="B111" s="1856" t="n"/>
      <c r="C111" s="1856" t="n"/>
      <c r="D111" s="1842" t="n"/>
      <c r="E111" s="1842" t="n"/>
      <c r="F111" s="1842" t="n"/>
      <c r="G111" s="1842" t="n"/>
      <c r="H111" s="1842" t="n"/>
      <c r="I111" s="1842" t="n"/>
      <c r="J111" s="1842" t="n"/>
      <c r="K111" s="1842" t="n"/>
      <c r="L111" s="1842" t="n"/>
      <c r="M111" s="1842" t="n"/>
      <c r="N111" s="1842" t="n"/>
      <c r="O111" s="1842" t="n"/>
      <c r="P111" s="1842" t="n"/>
      <c r="Q111" s="1842" t="n"/>
      <c r="R111" s="1842" t="n"/>
      <c r="S111" s="1842" t="n"/>
      <c r="T111" s="1842" t="n"/>
      <c r="U111" s="1842" t="n"/>
      <c r="V111" s="1842" t="n"/>
      <c r="W111" s="1842" t="n"/>
      <c r="X111" s="1842" t="n"/>
      <c r="Y111" s="1842" t="n"/>
      <c r="Z111" s="1842" t="n"/>
      <c r="AA111" s="1842" t="n"/>
      <c r="AB111" s="1842" t="n"/>
      <c r="AC111" s="1842" t="n"/>
      <c r="AD111" s="1842" t="n"/>
      <c r="AE111" s="1842" t="n"/>
      <c r="AF111" s="1842" t="n"/>
    </row>
    <row r="112" ht="13.5" customHeight="1" s="1883">
      <c r="A112" s="1856" t="n"/>
      <c r="B112" s="1856" t="n"/>
      <c r="C112" s="1856" t="n"/>
      <c r="D112" s="1842" t="n"/>
      <c r="E112" s="1842" t="n"/>
      <c r="F112" s="1842" t="n"/>
      <c r="G112" s="1842" t="n"/>
      <c r="H112" s="1842" t="n"/>
      <c r="I112" s="1842" t="n"/>
      <c r="J112" s="1842" t="n"/>
      <c r="K112" s="1842" t="n"/>
      <c r="L112" s="1842" t="n"/>
      <c r="M112" s="1842" t="n"/>
      <c r="N112" s="1842" t="n"/>
      <c r="O112" s="1842" t="n"/>
      <c r="P112" s="1842" t="n"/>
      <c r="Q112" s="1842" t="n"/>
      <c r="R112" s="1842" t="n"/>
      <c r="S112" s="1842" t="n"/>
      <c r="T112" s="1842" t="n"/>
      <c r="U112" s="1842" t="n"/>
      <c r="V112" s="1842" t="n"/>
      <c r="W112" s="1842" t="n"/>
      <c r="X112" s="1842" t="n"/>
      <c r="Y112" s="1842" t="n"/>
      <c r="Z112" s="1842" t="n"/>
      <c r="AA112" s="1842" t="n"/>
      <c r="AB112" s="1842" t="n"/>
      <c r="AC112" s="1842" t="n"/>
      <c r="AD112" s="1842" t="n"/>
      <c r="AE112" s="1842" t="n"/>
      <c r="AF112" s="1842" t="n"/>
    </row>
    <row r="113" ht="13.5" customHeight="1" s="1883">
      <c r="A113" s="1856" t="n"/>
      <c r="B113" s="1856" t="n"/>
      <c r="C113" s="1856" t="n"/>
      <c r="D113" s="1842" t="n"/>
      <c r="E113" s="1842" t="n"/>
      <c r="F113" s="1842" t="n"/>
      <c r="G113" s="1842" t="n"/>
      <c r="H113" s="1842" t="n"/>
      <c r="I113" s="1842" t="n"/>
      <c r="J113" s="1842" t="n"/>
      <c r="K113" s="1842" t="n"/>
      <c r="L113" s="1842" t="n"/>
      <c r="M113" s="1842" t="n"/>
      <c r="N113" s="1842" t="n"/>
      <c r="O113" s="1842" t="n"/>
      <c r="P113" s="1842" t="n"/>
      <c r="Q113" s="1842" t="n"/>
      <c r="R113" s="1842" t="n"/>
      <c r="S113" s="1842" t="n"/>
      <c r="T113" s="1842" t="n"/>
      <c r="U113" s="1842" t="n"/>
      <c r="V113" s="1842" t="n"/>
      <c r="W113" s="1842" t="n"/>
      <c r="X113" s="1842" t="n"/>
      <c r="Y113" s="1842" t="n"/>
      <c r="Z113" s="1842" t="n"/>
      <c r="AA113" s="1842" t="n"/>
      <c r="AB113" s="1842" t="n"/>
      <c r="AC113" s="1842" t="n"/>
      <c r="AD113" s="1842" t="n"/>
      <c r="AE113" s="1842" t="n"/>
      <c r="AF113" s="1842" t="n"/>
    </row>
    <row r="114" ht="13.5" customHeight="1" s="1883">
      <c r="A114" s="1856" t="n"/>
      <c r="B114" s="1856" t="n"/>
      <c r="C114" s="1856" t="n"/>
      <c r="D114" s="1842" t="n"/>
      <c r="E114" s="1842" t="n"/>
      <c r="F114" s="1842" t="n"/>
      <c r="G114" s="1842" t="n"/>
      <c r="H114" s="1842" t="n"/>
      <c r="I114" s="1842" t="n"/>
      <c r="J114" s="1842" t="n"/>
      <c r="K114" s="1842" t="n"/>
      <c r="L114" s="1842" t="n"/>
      <c r="M114" s="1842" t="n"/>
      <c r="N114" s="1842" t="n"/>
      <c r="O114" s="1842" t="n"/>
      <c r="P114" s="1842" t="n"/>
      <c r="Q114" s="1842" t="n"/>
      <c r="R114" s="1842" t="n"/>
      <c r="S114" s="1842" t="n"/>
      <c r="T114" s="1842" t="n"/>
      <c r="U114" s="1842" t="n"/>
      <c r="V114" s="1842" t="n"/>
      <c r="W114" s="1842" t="n"/>
      <c r="X114" s="1842" t="n"/>
      <c r="Y114" s="1842" t="n"/>
      <c r="Z114" s="1842" t="n"/>
      <c r="AA114" s="1842" t="n"/>
      <c r="AB114" s="1842" t="n"/>
      <c r="AC114" s="1842" t="n"/>
      <c r="AD114" s="1842" t="n"/>
      <c r="AE114" s="1842" t="n"/>
      <c r="AF114" s="1842" t="n"/>
    </row>
    <row r="115" ht="13.5" customHeight="1" s="1883">
      <c r="A115" s="1856" t="n"/>
      <c r="B115" s="1856" t="n"/>
      <c r="C115" s="1856" t="n"/>
      <c r="D115" s="1842" t="n"/>
      <c r="E115" s="1842" t="n"/>
      <c r="F115" s="1842" t="n"/>
      <c r="G115" s="1842" t="n"/>
      <c r="H115" s="1842" t="n"/>
      <c r="I115" s="1842" t="n"/>
      <c r="J115" s="1842" t="n"/>
      <c r="K115" s="1842" t="n"/>
      <c r="L115" s="1842" t="n"/>
      <c r="M115" s="1842" t="n"/>
      <c r="N115" s="1842" t="n"/>
      <c r="O115" s="1842" t="n"/>
      <c r="P115" s="1842" t="n"/>
      <c r="Q115" s="1842" t="n"/>
      <c r="R115" s="1842" t="n"/>
      <c r="S115" s="1842" t="n"/>
      <c r="T115" s="1842" t="n"/>
      <c r="U115" s="1842" t="n"/>
      <c r="V115" s="1842" t="n"/>
      <c r="W115" s="1842" t="n"/>
      <c r="X115" s="1842" t="n"/>
      <c r="Y115" s="1842" t="n"/>
      <c r="Z115" s="1842" t="n"/>
      <c r="AA115" s="1842" t="n"/>
      <c r="AB115" s="1842" t="n"/>
      <c r="AC115" s="1842" t="n"/>
      <c r="AD115" s="1842" t="n"/>
      <c r="AE115" s="1842" t="n"/>
      <c r="AF115" s="1842" t="n"/>
    </row>
    <row r="116" ht="13.5" customHeight="1" s="1883">
      <c r="A116" s="1856" t="n"/>
      <c r="B116" s="1856" t="n"/>
      <c r="C116" s="1856" t="n"/>
      <c r="D116" s="1842" t="n"/>
      <c r="E116" s="1842" t="n"/>
      <c r="F116" s="1842" t="n"/>
      <c r="G116" s="1842" t="n"/>
      <c r="H116" s="1842" t="n"/>
      <c r="I116" s="1842" t="n"/>
      <c r="J116" s="1842" t="n"/>
      <c r="K116" s="1842" t="n"/>
      <c r="L116" s="1842" t="n"/>
      <c r="M116" s="1842" t="n"/>
      <c r="N116" s="1842" t="n"/>
      <c r="O116" s="1842" t="n"/>
      <c r="P116" s="1842" t="n"/>
      <c r="Q116" s="1842" t="n"/>
      <c r="R116" s="1842" t="n"/>
      <c r="S116" s="1842" t="n"/>
      <c r="T116" s="1842" t="n"/>
      <c r="U116" s="1842" t="n"/>
      <c r="V116" s="1842" t="n"/>
      <c r="W116" s="1842" t="n"/>
      <c r="X116" s="1842" t="n"/>
      <c r="Y116" s="1842" t="n"/>
      <c r="Z116" s="1842" t="n"/>
      <c r="AA116" s="1842" t="n"/>
      <c r="AB116" s="1842" t="n"/>
      <c r="AC116" s="1842" t="n"/>
      <c r="AD116" s="1842" t="n"/>
      <c r="AE116" s="1842" t="n"/>
      <c r="AF116" s="1842" t="n"/>
    </row>
    <row r="117" ht="13.5" customHeight="1" s="1883">
      <c r="A117" s="1856" t="n"/>
      <c r="B117" s="1856" t="n"/>
      <c r="C117" s="1856" t="n"/>
      <c r="D117" s="1842" t="n"/>
      <c r="E117" s="1842" t="n"/>
      <c r="F117" s="1842" t="n"/>
      <c r="G117" s="1842" t="n"/>
      <c r="H117" s="1842" t="n"/>
      <c r="I117" s="1842" t="n"/>
      <c r="J117" s="1842" t="n"/>
      <c r="K117" s="1842" t="n"/>
      <c r="L117" s="1842" t="n"/>
      <c r="M117" s="1842" t="n"/>
      <c r="N117" s="1842" t="n"/>
      <c r="O117" s="1842" t="n"/>
      <c r="P117" s="1842" t="n"/>
      <c r="Q117" s="1842" t="n"/>
      <c r="R117" s="1842" t="n"/>
      <c r="S117" s="1842" t="n"/>
      <c r="T117" s="1842" t="n"/>
      <c r="U117" s="1842" t="n"/>
      <c r="V117" s="1842" t="n"/>
      <c r="W117" s="1842" t="n"/>
      <c r="X117" s="1842" t="n"/>
      <c r="Y117" s="1842" t="n"/>
      <c r="Z117" s="1842" t="n"/>
      <c r="AA117" s="1842" t="n"/>
      <c r="AB117" s="1842" t="n"/>
      <c r="AC117" s="1842" t="n"/>
      <c r="AD117" s="1842" t="n"/>
      <c r="AE117" s="1842" t="n"/>
      <c r="AF117" s="1842" t="n"/>
    </row>
    <row r="118" ht="13.5" customHeight="1" s="1883">
      <c r="A118" s="1856" t="n"/>
      <c r="B118" s="1856" t="n"/>
      <c r="C118" s="1856" t="n"/>
      <c r="D118" s="1842" t="n"/>
      <c r="E118" s="1842" t="n"/>
      <c r="F118" s="1842" t="n"/>
      <c r="G118" s="1842" t="n"/>
      <c r="H118" s="1842" t="n"/>
      <c r="I118" s="1842" t="n"/>
      <c r="J118" s="1842" t="n"/>
      <c r="K118" s="1842" t="n"/>
      <c r="L118" s="1842" t="n"/>
      <c r="M118" s="1842" t="n"/>
      <c r="N118" s="1842" t="n"/>
      <c r="O118" s="1842" t="n"/>
      <c r="P118" s="1842" t="n"/>
      <c r="Q118" s="1842" t="n"/>
      <c r="R118" s="1842" t="n"/>
      <c r="S118" s="1842" t="n"/>
      <c r="T118" s="1842" t="n"/>
      <c r="U118" s="1842" t="n"/>
      <c r="V118" s="1842" t="n"/>
      <c r="W118" s="1842" t="n"/>
      <c r="X118" s="1842" t="n"/>
      <c r="Y118" s="1842" t="n"/>
      <c r="Z118" s="1842" t="n"/>
      <c r="AA118" s="1842" t="n"/>
      <c r="AB118" s="1842" t="n"/>
      <c r="AC118" s="1842" t="n"/>
      <c r="AD118" s="1842" t="n"/>
      <c r="AE118" s="1842" t="n"/>
      <c r="AF118" s="1842" t="n"/>
    </row>
    <row r="119" ht="13.5" customHeight="1" s="1883">
      <c r="A119" s="1856" t="n"/>
      <c r="B119" s="1856" t="n"/>
      <c r="C119" s="1856" t="n"/>
      <c r="D119" s="1842" t="n"/>
      <c r="E119" s="1842" t="n"/>
      <c r="F119" s="1842" t="n"/>
      <c r="G119" s="1842" t="n"/>
      <c r="H119" s="1842" t="n"/>
      <c r="I119" s="1842" t="n"/>
      <c r="J119" s="1842" t="n"/>
      <c r="K119" s="1842" t="n"/>
      <c r="L119" s="1842" t="n"/>
      <c r="M119" s="1842" t="n"/>
      <c r="N119" s="1842" t="n"/>
      <c r="O119" s="1842" t="n"/>
      <c r="P119" s="1842" t="n"/>
      <c r="Q119" s="1842" t="n"/>
      <c r="R119" s="1842" t="n"/>
      <c r="S119" s="1842" t="n"/>
      <c r="T119" s="1842" t="n"/>
      <c r="U119" s="1842" t="n"/>
      <c r="V119" s="1842" t="n"/>
      <c r="W119" s="1842" t="n"/>
      <c r="X119" s="1842" t="n"/>
      <c r="Y119" s="1842" t="n"/>
      <c r="Z119" s="1842" t="n"/>
      <c r="AA119" s="1842" t="n"/>
      <c r="AB119" s="1842" t="n"/>
      <c r="AC119" s="1842" t="n"/>
      <c r="AD119" s="1842" t="n"/>
      <c r="AE119" s="1842" t="n"/>
      <c r="AF119" s="1842" t="n"/>
    </row>
    <row r="120" ht="13.5" customHeight="1" s="1883">
      <c r="A120" s="1856" t="n"/>
      <c r="B120" s="1856" t="n"/>
      <c r="C120" s="1856" t="n"/>
      <c r="D120" s="1842" t="n"/>
      <c r="E120" s="1842" t="n"/>
      <c r="F120" s="1842" t="n"/>
      <c r="G120" s="1842" t="n"/>
      <c r="H120" s="1842" t="n"/>
      <c r="I120" s="1842" t="n"/>
      <c r="J120" s="1842" t="n"/>
      <c r="K120" s="1842" t="n"/>
      <c r="L120" s="1842" t="n"/>
      <c r="M120" s="1842" t="n"/>
      <c r="N120" s="1842" t="n"/>
      <c r="O120" s="1842" t="n"/>
      <c r="P120" s="1842" t="n"/>
      <c r="Q120" s="1842" t="n"/>
      <c r="R120" s="1842" t="n"/>
      <c r="S120" s="1842" t="n"/>
      <c r="T120" s="1842" t="n"/>
      <c r="U120" s="1842" t="n"/>
      <c r="V120" s="1842" t="n"/>
      <c r="W120" s="1842" t="n"/>
      <c r="X120" s="1842" t="n"/>
      <c r="Y120" s="1842" t="n"/>
      <c r="Z120" s="1842" t="n"/>
      <c r="AA120" s="1842" t="n"/>
      <c r="AB120" s="1842" t="n"/>
      <c r="AC120" s="1842" t="n"/>
      <c r="AD120" s="1842" t="n"/>
      <c r="AE120" s="1842" t="n"/>
      <c r="AF120" s="1842" t="n"/>
    </row>
    <row r="121" ht="13.5" customHeight="1" s="1883">
      <c r="A121" s="1856" t="n"/>
      <c r="B121" s="1856" t="n"/>
      <c r="C121" s="1856" t="n"/>
      <c r="D121" s="1842" t="n"/>
      <c r="E121" s="1842" t="n"/>
      <c r="F121" s="1842" t="n"/>
      <c r="G121" s="1842" t="n"/>
      <c r="H121" s="1842" t="n"/>
      <c r="I121" s="1842" t="n"/>
      <c r="J121" s="1842" t="n"/>
      <c r="K121" s="1842" t="n"/>
      <c r="L121" s="1842" t="n"/>
      <c r="M121" s="1842" t="n"/>
      <c r="N121" s="1842" t="n"/>
      <c r="O121" s="1842" t="n"/>
      <c r="P121" s="1842" t="n"/>
      <c r="Q121" s="1842" t="n"/>
      <c r="R121" s="1842" t="n"/>
      <c r="S121" s="1842" t="n"/>
      <c r="T121" s="1842" t="n"/>
      <c r="U121" s="1842" t="n"/>
      <c r="V121" s="1842" t="n"/>
      <c r="W121" s="1842" t="n"/>
      <c r="X121" s="1842" t="n"/>
      <c r="Y121" s="1842" t="n"/>
      <c r="Z121" s="1842" t="n"/>
      <c r="AA121" s="1842" t="n"/>
      <c r="AB121" s="1842" t="n"/>
      <c r="AC121" s="1842" t="n"/>
      <c r="AD121" s="1842" t="n"/>
      <c r="AE121" s="1842" t="n"/>
      <c r="AF121" s="1842" t="n"/>
    </row>
    <row r="122" ht="13.5" customHeight="1" s="1883">
      <c r="A122" s="1856" t="n"/>
      <c r="B122" s="1856" t="n"/>
      <c r="C122" s="1856" t="n"/>
      <c r="D122" s="1842" t="n"/>
      <c r="E122" s="1842" t="n"/>
      <c r="F122" s="1842" t="n"/>
      <c r="G122" s="1842" t="n"/>
      <c r="H122" s="1842" t="n"/>
      <c r="I122" s="1842" t="n"/>
      <c r="J122" s="1842" t="n"/>
      <c r="K122" s="1842" t="n"/>
      <c r="L122" s="1842" t="n"/>
      <c r="M122" s="1842" t="n"/>
      <c r="N122" s="1842" t="n"/>
      <c r="O122" s="1842" t="n"/>
      <c r="P122" s="1842" t="n"/>
      <c r="Q122" s="1842" t="n"/>
      <c r="R122" s="1842" t="n"/>
      <c r="S122" s="1842" t="n"/>
      <c r="T122" s="1842" t="n"/>
      <c r="U122" s="1842" t="n"/>
      <c r="V122" s="1842" t="n"/>
      <c r="W122" s="1842" t="n"/>
      <c r="X122" s="1842" t="n"/>
      <c r="Y122" s="1842" t="n"/>
      <c r="Z122" s="1842" t="n"/>
      <c r="AA122" s="1842" t="n"/>
      <c r="AB122" s="1842" t="n"/>
      <c r="AC122" s="1842" t="n"/>
      <c r="AD122" s="1842" t="n"/>
      <c r="AE122" s="1842" t="n"/>
      <c r="AF122" s="1842" t="n"/>
    </row>
    <row r="123" ht="13.5" customHeight="1" s="1883">
      <c r="A123" s="1856" t="n"/>
      <c r="B123" s="1856" t="n"/>
      <c r="C123" s="1856" t="n"/>
      <c r="D123" s="1842" t="n"/>
      <c r="E123" s="1842" t="n"/>
      <c r="F123" s="1842" t="n"/>
      <c r="G123" s="1842" t="n"/>
      <c r="H123" s="1842" t="n"/>
      <c r="I123" s="1842" t="n"/>
      <c r="J123" s="1842" t="n"/>
      <c r="K123" s="1842" t="n"/>
      <c r="L123" s="1842" t="n"/>
      <c r="M123" s="1842" t="n"/>
      <c r="N123" s="1842" t="n"/>
      <c r="O123" s="1842" t="n"/>
      <c r="P123" s="1842" t="n"/>
      <c r="Q123" s="1842" t="n"/>
      <c r="R123" s="1842" t="n"/>
      <c r="S123" s="1842" t="n"/>
      <c r="T123" s="1842" t="n"/>
      <c r="U123" s="1842" t="n"/>
      <c r="V123" s="1842" t="n"/>
      <c r="W123" s="1842" t="n"/>
      <c r="X123" s="1842" t="n"/>
      <c r="Y123" s="1842" t="n"/>
      <c r="Z123" s="1842" t="n"/>
      <c r="AA123" s="1842" t="n"/>
      <c r="AB123" s="1842" t="n"/>
      <c r="AC123" s="1842" t="n"/>
      <c r="AD123" s="1842" t="n"/>
      <c r="AE123" s="1842" t="n"/>
      <c r="AF123" s="1842" t="n"/>
    </row>
    <row r="124" ht="13.5" customHeight="1" s="1883">
      <c r="A124" s="1856" t="n"/>
      <c r="B124" s="1856" t="n"/>
      <c r="C124" s="1856" t="n"/>
      <c r="D124" s="1842" t="n"/>
      <c r="E124" s="1842" t="n"/>
      <c r="F124" s="1842" t="n"/>
      <c r="G124" s="1842" t="n"/>
      <c r="H124" s="1842" t="n"/>
      <c r="I124" s="1842" t="n"/>
      <c r="J124" s="1842" t="n"/>
      <c r="K124" s="1842" t="n"/>
      <c r="L124" s="1842" t="n"/>
      <c r="M124" s="1842" t="n"/>
      <c r="N124" s="1842" t="n"/>
      <c r="O124" s="1842" t="n"/>
      <c r="P124" s="1842" t="n"/>
      <c r="Q124" s="1842" t="n"/>
      <c r="R124" s="1842" t="n"/>
      <c r="S124" s="1842" t="n"/>
      <c r="T124" s="1842" t="n"/>
      <c r="U124" s="1842" t="n"/>
      <c r="V124" s="1842" t="n"/>
      <c r="W124" s="1842" t="n"/>
      <c r="X124" s="1842" t="n"/>
      <c r="Y124" s="1842" t="n"/>
      <c r="Z124" s="1842" t="n"/>
      <c r="AA124" s="1842" t="n"/>
      <c r="AB124" s="1842" t="n"/>
      <c r="AC124" s="1842" t="n"/>
      <c r="AD124" s="1842" t="n"/>
      <c r="AE124" s="1842" t="n"/>
      <c r="AF124" s="1842" t="n"/>
    </row>
    <row r="125" ht="13.5" customHeight="1" s="1883">
      <c r="A125" s="1856" t="n"/>
      <c r="B125" s="1856" t="n"/>
      <c r="C125" s="1856" t="n"/>
      <c r="D125" s="1842" t="n"/>
      <c r="E125" s="1842" t="n"/>
      <c r="F125" s="1842" t="n"/>
      <c r="G125" s="1842" t="n"/>
      <c r="H125" s="1842" t="n"/>
      <c r="I125" s="1842" t="n"/>
      <c r="J125" s="1842" t="n"/>
      <c r="K125" s="1842" t="n"/>
      <c r="L125" s="1842" t="n"/>
      <c r="M125" s="1842" t="n"/>
      <c r="N125" s="1842" t="n"/>
      <c r="O125" s="1842" t="n"/>
      <c r="P125" s="1842" t="n"/>
      <c r="Q125" s="1842" t="n"/>
      <c r="R125" s="1842" t="n"/>
      <c r="S125" s="1842" t="n"/>
      <c r="T125" s="1842" t="n"/>
      <c r="U125" s="1842" t="n"/>
      <c r="V125" s="1842" t="n"/>
      <c r="W125" s="1842" t="n"/>
      <c r="X125" s="1842" t="n"/>
      <c r="Y125" s="1842" t="n"/>
      <c r="Z125" s="1842" t="n"/>
      <c r="AA125" s="1842" t="n"/>
      <c r="AB125" s="1842" t="n"/>
      <c r="AC125" s="1842" t="n"/>
      <c r="AD125" s="1842" t="n"/>
      <c r="AE125" s="1842" t="n"/>
      <c r="AF125" s="1842" t="n"/>
    </row>
    <row r="126" ht="13.5" customHeight="1" s="1883">
      <c r="A126" s="1856" t="n"/>
      <c r="B126" s="1856" t="n"/>
      <c r="C126" s="1856" t="n"/>
      <c r="D126" s="1842" t="n"/>
      <c r="E126" s="1842" t="n"/>
      <c r="F126" s="1842" t="n"/>
      <c r="G126" s="1842" t="n"/>
      <c r="H126" s="1842" t="n"/>
      <c r="I126" s="1842" t="n"/>
      <c r="J126" s="1842" t="n"/>
      <c r="K126" s="1842" t="n"/>
      <c r="L126" s="1842" t="n"/>
      <c r="M126" s="1842" t="n"/>
      <c r="N126" s="1842" t="n"/>
      <c r="O126" s="1842" t="n"/>
      <c r="P126" s="1842" t="n"/>
      <c r="Q126" s="1842" t="n"/>
      <c r="R126" s="1842" t="n"/>
      <c r="S126" s="1842" t="n"/>
      <c r="T126" s="1842" t="n"/>
      <c r="U126" s="1842" t="n"/>
      <c r="V126" s="1842" t="n"/>
      <c r="W126" s="1842" t="n"/>
      <c r="X126" s="1842" t="n"/>
      <c r="Y126" s="1842" t="n"/>
      <c r="Z126" s="1842" t="n"/>
      <c r="AA126" s="1842" t="n"/>
      <c r="AB126" s="1842" t="n"/>
      <c r="AC126" s="1842" t="n"/>
      <c r="AD126" s="1842" t="n"/>
      <c r="AE126" s="1842" t="n"/>
      <c r="AF126" s="1842" t="n"/>
    </row>
    <row r="127" ht="13.5" customHeight="1" s="1883">
      <c r="A127" s="1856" t="n"/>
      <c r="B127" s="1856" t="n"/>
      <c r="C127" s="1856" t="n"/>
      <c r="D127" s="1842" t="n"/>
      <c r="E127" s="1842" t="n"/>
      <c r="F127" s="1842" t="n"/>
      <c r="G127" s="1842" t="n"/>
      <c r="H127" s="1842" t="n"/>
      <c r="I127" s="1842" t="n"/>
      <c r="J127" s="1842" t="n"/>
      <c r="K127" s="1842" t="n"/>
      <c r="L127" s="1842" t="n"/>
      <c r="M127" s="1842" t="n"/>
      <c r="N127" s="1842" t="n"/>
      <c r="O127" s="1842" t="n"/>
      <c r="P127" s="1842" t="n"/>
      <c r="Q127" s="1842" t="n"/>
      <c r="R127" s="1842" t="n"/>
      <c r="S127" s="1842" t="n"/>
      <c r="T127" s="1842" t="n"/>
      <c r="U127" s="1842" t="n"/>
      <c r="V127" s="1842" t="n"/>
      <c r="W127" s="1842" t="n"/>
      <c r="X127" s="1842" t="n"/>
      <c r="Y127" s="1842" t="n"/>
      <c r="Z127" s="1842" t="n"/>
      <c r="AA127" s="1842" t="n"/>
      <c r="AB127" s="1842" t="n"/>
      <c r="AC127" s="1842" t="n"/>
      <c r="AD127" s="1842" t="n"/>
      <c r="AE127" s="1842" t="n"/>
      <c r="AF127" s="1842" t="n"/>
    </row>
    <row r="128" ht="13.5" customHeight="1" s="1883">
      <c r="A128" s="1856" t="n"/>
      <c r="B128" s="1856" t="n"/>
      <c r="C128" s="1856" t="n"/>
      <c r="D128" s="1842" t="n"/>
      <c r="E128" s="1842" t="n"/>
      <c r="F128" s="1842" t="n"/>
      <c r="G128" s="1842" t="n"/>
      <c r="H128" s="1842" t="n"/>
      <c r="I128" s="1842" t="n"/>
      <c r="J128" s="1842" t="n"/>
      <c r="K128" s="1842" t="n"/>
      <c r="L128" s="1842" t="n"/>
      <c r="M128" s="1842" t="n"/>
      <c r="N128" s="1842" t="n"/>
      <c r="O128" s="1842" t="n"/>
      <c r="P128" s="1842" t="n"/>
      <c r="Q128" s="1842" t="n"/>
      <c r="R128" s="1842" t="n"/>
      <c r="S128" s="1842" t="n"/>
      <c r="T128" s="1842" t="n"/>
      <c r="U128" s="1842" t="n"/>
      <c r="V128" s="1842" t="n"/>
      <c r="W128" s="1842" t="n"/>
      <c r="X128" s="1842" t="n"/>
      <c r="Y128" s="1842" t="n"/>
      <c r="Z128" s="1842" t="n"/>
      <c r="AA128" s="1842" t="n"/>
      <c r="AB128" s="1842" t="n"/>
      <c r="AC128" s="1842" t="n"/>
      <c r="AD128" s="1842" t="n"/>
      <c r="AE128" s="1842" t="n"/>
      <c r="AF128" s="1842" t="n"/>
    </row>
    <row r="129" ht="13.5" customHeight="1" s="1883">
      <c r="A129" s="1856" t="n"/>
      <c r="B129" s="1856" t="n"/>
      <c r="C129" s="1856" t="n"/>
      <c r="D129" s="1842" t="n"/>
      <c r="E129" s="1842" t="n"/>
      <c r="F129" s="1842" t="n"/>
      <c r="G129" s="1842" t="n"/>
      <c r="H129" s="1842" t="n"/>
      <c r="I129" s="1842" t="n"/>
      <c r="J129" s="1842" t="n"/>
      <c r="K129" s="1842" t="n"/>
      <c r="L129" s="1842" t="n"/>
      <c r="M129" s="1842" t="n"/>
      <c r="N129" s="1842" t="n"/>
      <c r="O129" s="1842" t="n"/>
      <c r="P129" s="1842" t="n"/>
      <c r="Q129" s="1842" t="n"/>
      <c r="R129" s="1842" t="n"/>
      <c r="S129" s="1842" t="n"/>
      <c r="T129" s="1842" t="n"/>
      <c r="U129" s="1842" t="n"/>
      <c r="V129" s="1842" t="n"/>
      <c r="W129" s="1842" t="n"/>
      <c r="X129" s="1842" t="n"/>
      <c r="Y129" s="1842" t="n"/>
      <c r="Z129" s="1842" t="n"/>
      <c r="AA129" s="1842" t="n"/>
      <c r="AB129" s="1842" t="n"/>
      <c r="AC129" s="1842" t="n"/>
      <c r="AD129" s="1842" t="n"/>
      <c r="AE129" s="1842" t="n"/>
      <c r="AF129" s="1842" t="n"/>
    </row>
    <row r="130" ht="13.5" customHeight="1" s="1883">
      <c r="A130" s="1856" t="n"/>
      <c r="B130" s="1856" t="n"/>
      <c r="C130" s="1856" t="n"/>
      <c r="D130" s="1842" t="n"/>
      <c r="E130" s="1842" t="n"/>
      <c r="F130" s="1842" t="n"/>
      <c r="G130" s="1842" t="n"/>
      <c r="H130" s="1842" t="n"/>
      <c r="I130" s="1842" t="n"/>
      <c r="J130" s="1842" t="n"/>
      <c r="K130" s="1842" t="n"/>
      <c r="L130" s="1842" t="n"/>
      <c r="M130" s="1842" t="n"/>
      <c r="N130" s="1842" t="n"/>
      <c r="O130" s="1842" t="n"/>
      <c r="P130" s="1842" t="n"/>
      <c r="Q130" s="1842" t="n"/>
      <c r="R130" s="1842" t="n"/>
      <c r="S130" s="1842" t="n"/>
      <c r="T130" s="1842" t="n"/>
      <c r="U130" s="1842" t="n"/>
      <c r="V130" s="1842" t="n"/>
      <c r="W130" s="1842" t="n"/>
      <c r="X130" s="1842" t="n"/>
      <c r="Y130" s="1842" t="n"/>
      <c r="Z130" s="1842" t="n"/>
      <c r="AA130" s="1842" t="n"/>
      <c r="AB130" s="1842" t="n"/>
      <c r="AC130" s="1842" t="n"/>
      <c r="AD130" s="1842" t="n"/>
      <c r="AE130" s="1842" t="n"/>
      <c r="AF130" s="1842" t="n"/>
    </row>
    <row r="131" ht="13.5" customHeight="1" s="1883">
      <c r="A131" s="1856" t="n"/>
      <c r="B131" s="1856" t="n"/>
      <c r="C131" s="1856" t="n"/>
      <c r="D131" s="1842" t="n"/>
      <c r="E131" s="1842" t="n"/>
      <c r="F131" s="1842" t="n"/>
      <c r="G131" s="1842" t="n"/>
      <c r="H131" s="1842" t="n"/>
      <c r="I131" s="1842" t="n"/>
      <c r="J131" s="1842" t="n"/>
      <c r="K131" s="1842" t="n"/>
      <c r="L131" s="1842" t="n"/>
      <c r="M131" s="1842" t="n"/>
      <c r="N131" s="1842" t="n"/>
      <c r="O131" s="1842" t="n"/>
      <c r="P131" s="1842" t="n"/>
      <c r="Q131" s="1842" t="n"/>
      <c r="R131" s="1842" t="n"/>
      <c r="S131" s="1842" t="n"/>
      <c r="T131" s="1842" t="n"/>
      <c r="U131" s="1842" t="n"/>
      <c r="V131" s="1842" t="n"/>
      <c r="W131" s="1842" t="n"/>
      <c r="X131" s="1842" t="n"/>
      <c r="Y131" s="1842" t="n"/>
      <c r="Z131" s="1842" t="n"/>
      <c r="AA131" s="1842" t="n"/>
      <c r="AB131" s="1842" t="n"/>
      <c r="AC131" s="1842" t="n"/>
      <c r="AD131" s="1842" t="n"/>
      <c r="AE131" s="1842" t="n"/>
      <c r="AF131" s="1842" t="n"/>
    </row>
    <row r="132" ht="13.5" customHeight="1" s="1883">
      <c r="A132" s="1856" t="n"/>
      <c r="B132" s="1856" t="n"/>
      <c r="C132" s="1856" t="n"/>
      <c r="D132" s="1842" t="n"/>
      <c r="E132" s="1842" t="n"/>
      <c r="F132" s="1842" t="n"/>
      <c r="G132" s="1842" t="n"/>
      <c r="H132" s="1842" t="n"/>
      <c r="I132" s="1842" t="n"/>
      <c r="J132" s="1842" t="n"/>
      <c r="K132" s="1842" t="n"/>
      <c r="L132" s="1842" t="n"/>
      <c r="M132" s="1842" t="n"/>
      <c r="N132" s="1842" t="n"/>
      <c r="O132" s="1842" t="n"/>
      <c r="P132" s="1842" t="n"/>
      <c r="Q132" s="1842" t="n"/>
      <c r="R132" s="1842" t="n"/>
      <c r="S132" s="1842" t="n"/>
      <c r="T132" s="1842" t="n"/>
      <c r="U132" s="1842" t="n"/>
      <c r="V132" s="1842" t="n"/>
      <c r="W132" s="1842" t="n"/>
      <c r="X132" s="1842" t="n"/>
      <c r="Y132" s="1842" t="n"/>
      <c r="Z132" s="1842" t="n"/>
      <c r="AA132" s="1842" t="n"/>
      <c r="AB132" s="1842" t="n"/>
      <c r="AC132" s="1842" t="n"/>
      <c r="AD132" s="1842" t="n"/>
      <c r="AE132" s="1842" t="n"/>
      <c r="AF132" s="1842" t="n"/>
    </row>
    <row r="133" ht="13.5" customHeight="1" s="1883">
      <c r="A133" s="1856" t="n"/>
      <c r="B133" s="1856" t="n"/>
      <c r="C133" s="1856" t="n"/>
      <c r="D133" s="1842" t="n"/>
      <c r="E133" s="1842" t="n"/>
      <c r="F133" s="1842" t="n"/>
      <c r="G133" s="1842" t="n"/>
      <c r="H133" s="1842" t="n"/>
      <c r="I133" s="1842" t="n"/>
      <c r="J133" s="1842" t="n"/>
      <c r="K133" s="1842" t="n"/>
      <c r="L133" s="1842" t="n"/>
      <c r="M133" s="1842" t="n"/>
      <c r="N133" s="1842" t="n"/>
      <c r="O133" s="1842" t="n"/>
      <c r="P133" s="1842" t="n"/>
      <c r="Q133" s="1842" t="n"/>
      <c r="R133" s="1842" t="n"/>
      <c r="S133" s="1842" t="n"/>
      <c r="T133" s="1842" t="n"/>
      <c r="U133" s="1842" t="n"/>
      <c r="V133" s="1842" t="n"/>
      <c r="W133" s="1842" t="n"/>
      <c r="X133" s="1842" t="n"/>
      <c r="Y133" s="1842" t="n"/>
      <c r="Z133" s="1842" t="n"/>
      <c r="AA133" s="1842" t="n"/>
      <c r="AB133" s="1842" t="n"/>
      <c r="AC133" s="1842" t="n"/>
      <c r="AD133" s="1842" t="n"/>
      <c r="AE133" s="1842" t="n"/>
      <c r="AF133" s="1842" t="n"/>
    </row>
    <row r="134" ht="13.5" customHeight="1" s="1883">
      <c r="A134" s="1856" t="n"/>
      <c r="B134" s="1856" t="n"/>
      <c r="C134" s="1856" t="n"/>
      <c r="D134" s="1842" t="n"/>
      <c r="E134" s="1842" t="n"/>
      <c r="F134" s="1842" t="n"/>
      <c r="G134" s="1842" t="n"/>
      <c r="H134" s="1842" t="n"/>
      <c r="I134" s="1842" t="n"/>
      <c r="J134" s="1842" t="n"/>
      <c r="K134" s="1842" t="n"/>
      <c r="L134" s="1842" t="n"/>
      <c r="M134" s="1842" t="n"/>
      <c r="N134" s="1842" t="n"/>
      <c r="O134" s="1842" t="n"/>
      <c r="P134" s="1842" t="n"/>
      <c r="Q134" s="1842" t="n"/>
      <c r="R134" s="1842" t="n"/>
      <c r="S134" s="1842" t="n"/>
      <c r="T134" s="1842" t="n"/>
      <c r="U134" s="1842" t="n"/>
      <c r="V134" s="1842" t="n"/>
      <c r="W134" s="1842" t="n"/>
      <c r="X134" s="1842" t="n"/>
      <c r="Y134" s="1842" t="n"/>
      <c r="Z134" s="1842" t="n"/>
      <c r="AA134" s="1842" t="n"/>
      <c r="AB134" s="1842" t="n"/>
      <c r="AC134" s="1842" t="n"/>
      <c r="AD134" s="1842" t="n"/>
      <c r="AE134" s="1842" t="n"/>
      <c r="AF134" s="1842" t="n"/>
    </row>
    <row r="135" ht="13.5" customHeight="1" s="1883">
      <c r="A135" s="1856" t="n"/>
      <c r="B135" s="1856" t="n"/>
      <c r="C135" s="1856" t="n"/>
      <c r="D135" s="1842" t="n"/>
      <c r="E135" s="1842" t="n"/>
      <c r="F135" s="1842" t="n"/>
      <c r="G135" s="1842" t="n"/>
      <c r="H135" s="1842" t="n"/>
      <c r="I135" s="1842" t="n"/>
      <c r="J135" s="1842" t="n"/>
      <c r="K135" s="1842" t="n"/>
      <c r="L135" s="1842" t="n"/>
      <c r="M135" s="1842" t="n"/>
      <c r="N135" s="1842" t="n"/>
      <c r="O135" s="1842" t="n"/>
      <c r="P135" s="1842" t="n"/>
      <c r="Q135" s="1842" t="n"/>
      <c r="R135" s="1842" t="n"/>
      <c r="S135" s="1842" t="n"/>
      <c r="T135" s="1842" t="n"/>
      <c r="U135" s="1842" t="n"/>
      <c r="V135" s="1842" t="n"/>
      <c r="W135" s="1842" t="n"/>
      <c r="X135" s="1842" t="n"/>
      <c r="Y135" s="1842" t="n"/>
      <c r="Z135" s="1842" t="n"/>
      <c r="AA135" s="1842" t="n"/>
      <c r="AB135" s="1842" t="n"/>
      <c r="AC135" s="1842" t="n"/>
      <c r="AD135" s="1842" t="n"/>
      <c r="AE135" s="1842" t="n"/>
      <c r="AF135" s="1842" t="n"/>
    </row>
    <row r="136" ht="13.5" customHeight="1" s="1883">
      <c r="A136" s="1856" t="n"/>
      <c r="B136" s="1856" t="n"/>
      <c r="C136" s="1856" t="n"/>
      <c r="D136" s="1842" t="n"/>
      <c r="E136" s="1842" t="n"/>
      <c r="F136" s="1842" t="n"/>
      <c r="G136" s="1842" t="n"/>
      <c r="H136" s="1842" t="n"/>
      <c r="I136" s="1842" t="n"/>
      <c r="J136" s="1842" t="n"/>
      <c r="K136" s="1842" t="n"/>
      <c r="L136" s="1842" t="n"/>
      <c r="M136" s="1842" t="n"/>
      <c r="N136" s="1842" t="n"/>
      <c r="O136" s="1842" t="n"/>
      <c r="P136" s="1842" t="n"/>
      <c r="Q136" s="1842" t="n"/>
      <c r="R136" s="1842" t="n"/>
      <c r="S136" s="1842" t="n"/>
      <c r="T136" s="1842" t="n"/>
      <c r="U136" s="1842" t="n"/>
      <c r="V136" s="1842" t="n"/>
      <c r="W136" s="1842" t="n"/>
      <c r="X136" s="1842" t="n"/>
      <c r="Y136" s="1842" t="n"/>
      <c r="Z136" s="1842" t="n"/>
      <c r="AA136" s="1842" t="n"/>
      <c r="AB136" s="1842" t="n"/>
      <c r="AC136" s="1842" t="n"/>
      <c r="AD136" s="1842" t="n"/>
      <c r="AE136" s="1842" t="n"/>
      <c r="AF136" s="1842" t="n"/>
    </row>
    <row r="137" ht="13.5" customHeight="1" s="1883">
      <c r="A137" s="1856" t="n"/>
      <c r="B137" s="1856" t="n"/>
      <c r="C137" s="1856" t="n"/>
      <c r="D137" s="1842" t="n"/>
      <c r="E137" s="1842" t="n"/>
      <c r="F137" s="1842" t="n"/>
      <c r="G137" s="1842" t="n"/>
      <c r="H137" s="1842" t="n"/>
      <c r="I137" s="1842" t="n"/>
      <c r="J137" s="1842" t="n"/>
      <c r="K137" s="1842" t="n"/>
      <c r="L137" s="1842" t="n"/>
      <c r="M137" s="1842" t="n"/>
      <c r="N137" s="1842" t="n"/>
      <c r="O137" s="1842" t="n"/>
      <c r="P137" s="1842" t="n"/>
      <c r="Q137" s="1842" t="n"/>
      <c r="R137" s="1842" t="n"/>
      <c r="S137" s="1842" t="n"/>
      <c r="T137" s="1842" t="n"/>
      <c r="U137" s="1842" t="n"/>
      <c r="V137" s="1842" t="n"/>
      <c r="W137" s="1842" t="n"/>
      <c r="X137" s="1842" t="n"/>
      <c r="Y137" s="1842" t="n"/>
      <c r="Z137" s="1842" t="n"/>
      <c r="AA137" s="1842" t="n"/>
      <c r="AB137" s="1842" t="n"/>
      <c r="AC137" s="1842" t="n"/>
      <c r="AD137" s="1842" t="n"/>
      <c r="AE137" s="1842" t="n"/>
      <c r="AF137" s="1842" t="n"/>
    </row>
    <row r="138" ht="13.5" customHeight="1" s="1883">
      <c r="A138" s="1856" t="n"/>
      <c r="B138" s="1856" t="n"/>
      <c r="C138" s="1856" t="n"/>
      <c r="D138" s="1842" t="n"/>
      <c r="E138" s="1842" t="n"/>
      <c r="F138" s="1842" t="n"/>
      <c r="G138" s="1842" t="n"/>
      <c r="H138" s="1842" t="n"/>
      <c r="I138" s="1842" t="n"/>
      <c r="J138" s="1842" t="n"/>
      <c r="K138" s="1842" t="n"/>
      <c r="L138" s="1842" t="n"/>
      <c r="M138" s="1842" t="n"/>
      <c r="N138" s="1842" t="n"/>
      <c r="O138" s="1842" t="n"/>
      <c r="P138" s="1842" t="n"/>
      <c r="Q138" s="1842" t="n"/>
      <c r="R138" s="1842" t="n"/>
      <c r="S138" s="1842" t="n"/>
      <c r="T138" s="1842" t="n"/>
      <c r="U138" s="1842" t="n"/>
      <c r="V138" s="1842" t="n"/>
      <c r="W138" s="1842" t="n"/>
      <c r="X138" s="1842" t="n"/>
      <c r="Y138" s="1842" t="n"/>
      <c r="Z138" s="1842" t="n"/>
      <c r="AA138" s="1842" t="n"/>
      <c r="AB138" s="1842" t="n"/>
      <c r="AC138" s="1842" t="n"/>
      <c r="AD138" s="1842" t="n"/>
      <c r="AE138" s="1842" t="n"/>
      <c r="AF138" s="1842" t="n"/>
    </row>
    <row r="139" ht="13.5" customHeight="1" s="1883">
      <c r="A139" s="1856" t="n"/>
      <c r="B139" s="1856" t="n"/>
      <c r="C139" s="1856" t="n"/>
      <c r="D139" s="1842" t="n"/>
      <c r="E139" s="1842" t="n"/>
      <c r="F139" s="1842" t="n"/>
      <c r="G139" s="1842" t="n"/>
      <c r="H139" s="1842" t="n"/>
      <c r="I139" s="1842" t="n"/>
      <c r="J139" s="1842" t="n"/>
      <c r="K139" s="1842" t="n"/>
      <c r="L139" s="1842" t="n"/>
      <c r="M139" s="1842" t="n"/>
      <c r="N139" s="1842" t="n"/>
      <c r="O139" s="1842" t="n"/>
      <c r="P139" s="1842" t="n"/>
      <c r="Q139" s="1842" t="n"/>
      <c r="R139" s="1842" t="n"/>
      <c r="S139" s="1842" t="n"/>
      <c r="T139" s="1842" t="n"/>
      <c r="U139" s="1842" t="n"/>
      <c r="V139" s="1842" t="n"/>
      <c r="W139" s="1842" t="n"/>
      <c r="X139" s="1842" t="n"/>
      <c r="Y139" s="1842" t="n"/>
      <c r="Z139" s="1842" t="n"/>
      <c r="AA139" s="1842" t="n"/>
      <c r="AB139" s="1842" t="n"/>
      <c r="AC139" s="1842" t="n"/>
      <c r="AD139" s="1842" t="n"/>
      <c r="AE139" s="1842" t="n"/>
      <c r="AF139" s="1842" t="n"/>
    </row>
    <row r="140" ht="13.5" customHeight="1" s="1883">
      <c r="A140" s="1856" t="n"/>
      <c r="B140" s="1856" t="n"/>
      <c r="C140" s="1856" t="n"/>
      <c r="D140" s="1842" t="n"/>
      <c r="E140" s="1842" t="n"/>
      <c r="F140" s="1842" t="n"/>
      <c r="G140" s="1842" t="n"/>
      <c r="H140" s="1842" t="n"/>
      <c r="I140" s="1842" t="n"/>
      <c r="J140" s="1842" t="n"/>
      <c r="K140" s="1842" t="n"/>
      <c r="L140" s="1842" t="n"/>
      <c r="M140" s="1842" t="n"/>
      <c r="N140" s="1842" t="n"/>
      <c r="O140" s="1842" t="n"/>
      <c r="P140" s="1842" t="n"/>
      <c r="Q140" s="1842" t="n"/>
      <c r="R140" s="1842" t="n"/>
      <c r="S140" s="1842" t="n"/>
      <c r="T140" s="1842" t="n"/>
      <c r="U140" s="1842" t="n"/>
      <c r="V140" s="1842" t="n"/>
      <c r="W140" s="1842" t="n"/>
      <c r="X140" s="1842" t="n"/>
      <c r="Y140" s="1842" t="n"/>
      <c r="Z140" s="1842" t="n"/>
      <c r="AA140" s="1842" t="n"/>
      <c r="AB140" s="1842" t="n"/>
      <c r="AC140" s="1842" t="n"/>
      <c r="AD140" s="1842" t="n"/>
      <c r="AE140" s="1842" t="n"/>
      <c r="AF140" s="1842" t="n"/>
    </row>
    <row r="141" ht="13.5" customHeight="1" s="1883">
      <c r="A141" s="1856" t="n"/>
      <c r="B141" s="1856" t="n"/>
      <c r="C141" s="1856" t="n"/>
      <c r="D141" s="1842" t="n"/>
      <c r="E141" s="1842" t="n"/>
      <c r="F141" s="1842" t="n"/>
      <c r="G141" s="1842" t="n"/>
      <c r="H141" s="1842" t="n"/>
      <c r="I141" s="1842" t="n"/>
      <c r="J141" s="1842" t="n"/>
      <c r="K141" s="1842" t="n"/>
      <c r="L141" s="1842" t="n"/>
      <c r="M141" s="1842" t="n"/>
      <c r="N141" s="1842" t="n"/>
      <c r="O141" s="1842" t="n"/>
      <c r="P141" s="1842" t="n"/>
      <c r="Q141" s="1842" t="n"/>
      <c r="R141" s="1842" t="n"/>
      <c r="S141" s="1842" t="n"/>
      <c r="T141" s="1842" t="n"/>
      <c r="U141" s="1842" t="n"/>
      <c r="V141" s="1842" t="n"/>
      <c r="W141" s="1842" t="n"/>
      <c r="X141" s="1842" t="n"/>
      <c r="Y141" s="1842" t="n"/>
      <c r="Z141" s="1842" t="n"/>
      <c r="AA141" s="1842" t="n"/>
      <c r="AB141" s="1842" t="n"/>
      <c r="AC141" s="1842" t="n"/>
      <c r="AD141" s="1842" t="n"/>
      <c r="AE141" s="1842" t="n"/>
      <c r="AF141" s="1842" t="n"/>
    </row>
    <row r="142" ht="13.5" customHeight="1" s="1883">
      <c r="A142" s="1856" t="n"/>
      <c r="B142" s="1856" t="n"/>
      <c r="C142" s="1856" t="n"/>
      <c r="D142" s="1842" t="n"/>
      <c r="E142" s="1842" t="n"/>
      <c r="F142" s="1842" t="n"/>
      <c r="G142" s="1842" t="n"/>
      <c r="H142" s="1842" t="n"/>
      <c r="I142" s="1842" t="n"/>
      <c r="J142" s="1842" t="n"/>
      <c r="K142" s="1842" t="n"/>
      <c r="L142" s="1842" t="n"/>
      <c r="M142" s="1842" t="n"/>
      <c r="N142" s="1842" t="n"/>
      <c r="O142" s="1842" t="n"/>
      <c r="P142" s="1842" t="n"/>
      <c r="Q142" s="1842" t="n"/>
      <c r="R142" s="1842" t="n"/>
      <c r="S142" s="1842" t="n"/>
      <c r="T142" s="1842" t="n"/>
      <c r="U142" s="1842" t="n"/>
      <c r="V142" s="1842" t="n"/>
      <c r="W142" s="1842" t="n"/>
      <c r="X142" s="1842" t="n"/>
      <c r="Y142" s="1842" t="n"/>
      <c r="Z142" s="1842" t="n"/>
      <c r="AA142" s="1842" t="n"/>
      <c r="AB142" s="1842" t="n"/>
      <c r="AC142" s="1842" t="n"/>
      <c r="AD142" s="1842" t="n"/>
      <c r="AE142" s="1842" t="n"/>
      <c r="AF142" s="1842" t="n"/>
    </row>
    <row r="143" ht="13.5" customHeight="1" s="1883">
      <c r="A143" s="1856" t="n"/>
      <c r="B143" s="1856" t="n"/>
      <c r="C143" s="1856" t="n"/>
      <c r="D143" s="1842" t="n"/>
      <c r="E143" s="1842" t="n"/>
      <c r="F143" s="1842" t="n"/>
      <c r="G143" s="1842" t="n"/>
      <c r="H143" s="1842" t="n"/>
      <c r="I143" s="1842" t="n"/>
      <c r="J143" s="1842" t="n"/>
      <c r="K143" s="1842" t="n"/>
      <c r="L143" s="1842" t="n"/>
      <c r="M143" s="1842" t="n"/>
      <c r="N143" s="1842" t="n"/>
      <c r="O143" s="1842" t="n"/>
      <c r="P143" s="1842" t="n"/>
      <c r="Q143" s="1842" t="n"/>
      <c r="R143" s="1842" t="n"/>
      <c r="S143" s="1842" t="n"/>
      <c r="T143" s="1842" t="n"/>
      <c r="U143" s="1842" t="n"/>
      <c r="V143" s="1842" t="n"/>
      <c r="W143" s="1842" t="n"/>
      <c r="X143" s="1842" t="n"/>
      <c r="Y143" s="1842" t="n"/>
      <c r="Z143" s="1842" t="n"/>
      <c r="AA143" s="1842" t="n"/>
      <c r="AB143" s="1842" t="n"/>
      <c r="AC143" s="1842" t="n"/>
      <c r="AD143" s="1842" t="n"/>
      <c r="AE143" s="1842" t="n"/>
      <c r="AF143" s="1842" t="n"/>
    </row>
    <row r="144" ht="13.5" customHeight="1" s="1883">
      <c r="A144" s="1856" t="n"/>
      <c r="B144" s="1856" t="n"/>
      <c r="C144" s="1856" t="n"/>
      <c r="D144" s="1842" t="n"/>
      <c r="E144" s="1842" t="n"/>
      <c r="F144" s="1842" t="n"/>
      <c r="G144" s="1842" t="n"/>
      <c r="H144" s="1842" t="n"/>
      <c r="I144" s="1842" t="n"/>
      <c r="J144" s="1842" t="n"/>
      <c r="K144" s="1842" t="n"/>
      <c r="L144" s="1842" t="n"/>
      <c r="M144" s="1842" t="n"/>
      <c r="N144" s="1842" t="n"/>
      <c r="O144" s="1842" t="n"/>
      <c r="P144" s="1842" t="n"/>
      <c r="Q144" s="1842" t="n"/>
      <c r="R144" s="1842" t="n"/>
      <c r="S144" s="1842" t="n"/>
      <c r="T144" s="1842" t="n"/>
      <c r="U144" s="1842" t="n"/>
      <c r="V144" s="1842" t="n"/>
      <c r="W144" s="1842" t="n"/>
      <c r="X144" s="1842" t="n"/>
      <c r="Y144" s="1842" t="n"/>
      <c r="Z144" s="1842" t="n"/>
      <c r="AA144" s="1842" t="n"/>
      <c r="AB144" s="1842" t="n"/>
      <c r="AC144" s="1842" t="n"/>
      <c r="AD144" s="1842" t="n"/>
      <c r="AE144" s="1842" t="n"/>
      <c r="AF144" s="1842" t="n"/>
    </row>
    <row r="145" ht="13.5" customHeight="1" s="1883">
      <c r="A145" s="1856" t="n"/>
      <c r="B145" s="1856" t="n"/>
      <c r="C145" s="1856" t="n"/>
      <c r="D145" s="1842" t="n"/>
      <c r="E145" s="1842" t="n"/>
      <c r="F145" s="1842" t="n"/>
      <c r="G145" s="1842" t="n"/>
      <c r="H145" s="1842" t="n"/>
      <c r="I145" s="1842" t="n"/>
      <c r="J145" s="1842" t="n"/>
      <c r="K145" s="1842" t="n"/>
      <c r="L145" s="1842" t="n"/>
      <c r="M145" s="1842" t="n"/>
      <c r="N145" s="1842" t="n"/>
      <c r="O145" s="1842" t="n"/>
      <c r="P145" s="1842" t="n"/>
      <c r="Q145" s="1842" t="n"/>
      <c r="R145" s="1842" t="n"/>
      <c r="S145" s="1842" t="n"/>
      <c r="T145" s="1842" t="n"/>
      <c r="U145" s="1842" t="n"/>
      <c r="V145" s="1842" t="n"/>
      <c r="W145" s="1842" t="n"/>
      <c r="X145" s="1842" t="n"/>
      <c r="Y145" s="1842" t="n"/>
      <c r="Z145" s="1842" t="n"/>
      <c r="AA145" s="1842" t="n"/>
      <c r="AB145" s="1842" t="n"/>
      <c r="AC145" s="1842" t="n"/>
      <c r="AD145" s="1842" t="n"/>
      <c r="AE145" s="1842" t="n"/>
      <c r="AF145" s="1842" t="n"/>
    </row>
    <row r="146" ht="13.5" customHeight="1" s="1883">
      <c r="A146" s="1856" t="n"/>
      <c r="B146" s="1856" t="n"/>
      <c r="C146" s="1856" t="n"/>
      <c r="D146" s="1842" t="n"/>
      <c r="E146" s="1842" t="n"/>
      <c r="F146" s="1842" t="n"/>
      <c r="G146" s="1842" t="n"/>
      <c r="H146" s="1842" t="n"/>
      <c r="I146" s="1842" t="n"/>
      <c r="J146" s="1842" t="n"/>
      <c r="K146" s="1842" t="n"/>
      <c r="L146" s="1842" t="n"/>
      <c r="M146" s="1842" t="n"/>
      <c r="N146" s="1842" t="n"/>
      <c r="O146" s="1842" t="n"/>
      <c r="P146" s="1842" t="n"/>
      <c r="Q146" s="1842" t="n"/>
      <c r="R146" s="1842" t="n"/>
      <c r="S146" s="1842" t="n"/>
      <c r="T146" s="1842" t="n"/>
      <c r="U146" s="1842" t="n"/>
      <c r="V146" s="1842" t="n"/>
      <c r="W146" s="1842" t="n"/>
      <c r="X146" s="1842" t="n"/>
      <c r="Y146" s="1842" t="n"/>
      <c r="Z146" s="1842" t="n"/>
      <c r="AA146" s="1842" t="n"/>
      <c r="AB146" s="1842" t="n"/>
      <c r="AC146" s="1842" t="n"/>
      <c r="AD146" s="1842" t="n"/>
      <c r="AE146" s="1842" t="n"/>
      <c r="AF146" s="1842" t="n"/>
    </row>
    <row r="147" ht="13.5" customHeight="1" s="1883">
      <c r="A147" s="1856" t="n"/>
      <c r="B147" s="1856" t="n"/>
      <c r="C147" s="1856" t="n"/>
      <c r="D147" s="1842" t="n"/>
      <c r="E147" s="1842" t="n"/>
      <c r="F147" s="1842" t="n"/>
      <c r="G147" s="1842" t="n"/>
      <c r="H147" s="1842" t="n"/>
      <c r="I147" s="1842" t="n"/>
      <c r="J147" s="1842" t="n"/>
      <c r="K147" s="1842" t="n"/>
      <c r="L147" s="1842" t="n"/>
      <c r="M147" s="1842" t="n"/>
      <c r="N147" s="1842" t="n"/>
      <c r="O147" s="1842" t="n"/>
      <c r="P147" s="1842" t="n"/>
      <c r="Q147" s="1842" t="n"/>
      <c r="R147" s="1842" t="n"/>
      <c r="S147" s="1842" t="n"/>
      <c r="T147" s="1842" t="n"/>
      <c r="U147" s="1842" t="n"/>
      <c r="V147" s="1842" t="n"/>
      <c r="W147" s="1842" t="n"/>
      <c r="X147" s="1842" t="n"/>
      <c r="Y147" s="1842" t="n"/>
      <c r="Z147" s="1842" t="n"/>
      <c r="AA147" s="1842" t="n"/>
      <c r="AB147" s="1842" t="n"/>
      <c r="AC147" s="1842" t="n"/>
      <c r="AD147" s="1842" t="n"/>
      <c r="AE147" s="1842" t="n"/>
      <c r="AF147" s="1842" t="n"/>
    </row>
    <row r="148" ht="13.5" customHeight="1" s="1883">
      <c r="A148" s="1856" t="n"/>
      <c r="B148" s="1856" t="n"/>
      <c r="C148" s="1856" t="n"/>
      <c r="D148" s="1842" t="n"/>
      <c r="E148" s="1842" t="n"/>
      <c r="F148" s="1842" t="n"/>
      <c r="G148" s="1842" t="n"/>
      <c r="H148" s="1842" t="n"/>
      <c r="I148" s="1842" t="n"/>
      <c r="J148" s="1842" t="n"/>
      <c r="K148" s="1842" t="n"/>
      <c r="L148" s="1842" t="n"/>
      <c r="M148" s="1842" t="n"/>
      <c r="N148" s="1842" t="n"/>
      <c r="O148" s="1842" t="n"/>
      <c r="P148" s="1842" t="n"/>
      <c r="Q148" s="1842" t="n"/>
      <c r="R148" s="1842" t="n"/>
      <c r="S148" s="1842" t="n"/>
      <c r="T148" s="1842" t="n"/>
      <c r="U148" s="1842" t="n"/>
      <c r="V148" s="1842" t="n"/>
      <c r="W148" s="1842" t="n"/>
      <c r="X148" s="1842" t="n"/>
      <c r="Y148" s="1842" t="n"/>
      <c r="Z148" s="1842" t="n"/>
      <c r="AA148" s="1842" t="n"/>
      <c r="AB148" s="1842" t="n"/>
      <c r="AC148" s="1842" t="n"/>
      <c r="AD148" s="1842" t="n"/>
      <c r="AE148" s="1842" t="n"/>
      <c r="AF148" s="1842" t="n"/>
    </row>
    <row r="149" ht="13.5" customHeight="1" s="1883">
      <c r="A149" s="1856" t="n"/>
      <c r="B149" s="1856" t="n"/>
      <c r="C149" s="1856" t="n"/>
      <c r="D149" s="1842" t="n"/>
      <c r="E149" s="1842" t="n"/>
      <c r="F149" s="1842" t="n"/>
      <c r="G149" s="1842" t="n"/>
      <c r="H149" s="1842" t="n"/>
      <c r="I149" s="1842" t="n"/>
      <c r="J149" s="1842" t="n"/>
      <c r="K149" s="1842" t="n"/>
      <c r="L149" s="1842" t="n"/>
      <c r="M149" s="1842" t="n"/>
      <c r="N149" s="1842" t="n"/>
      <c r="O149" s="1842" t="n"/>
      <c r="P149" s="1842" t="n"/>
      <c r="Q149" s="1842" t="n"/>
      <c r="R149" s="1842" t="n"/>
      <c r="S149" s="1842" t="n"/>
      <c r="T149" s="1842" t="n"/>
      <c r="U149" s="1842" t="n"/>
      <c r="V149" s="1842" t="n"/>
      <c r="W149" s="1842" t="n"/>
      <c r="X149" s="1842" t="n"/>
      <c r="Y149" s="1842" t="n"/>
      <c r="Z149" s="1842" t="n"/>
      <c r="AA149" s="1842" t="n"/>
      <c r="AB149" s="1842" t="n"/>
      <c r="AC149" s="1842" t="n"/>
      <c r="AD149" s="1842" t="n"/>
      <c r="AE149" s="1842" t="n"/>
      <c r="AF149" s="1842" t="n"/>
    </row>
    <row r="150" ht="13.5" customHeight="1" s="1883">
      <c r="A150" s="1856" t="n"/>
      <c r="B150" s="1856" t="n"/>
      <c r="C150" s="1856" t="n"/>
      <c r="D150" s="1842" t="n"/>
      <c r="E150" s="1842" t="n"/>
      <c r="F150" s="1842" t="n"/>
      <c r="G150" s="1842" t="n"/>
      <c r="H150" s="1842" t="n"/>
      <c r="I150" s="1842" t="n"/>
      <c r="J150" s="1842" t="n"/>
      <c r="K150" s="1842" t="n"/>
      <c r="L150" s="1842" t="n"/>
      <c r="M150" s="1842" t="n"/>
      <c r="N150" s="1842" t="n"/>
      <c r="O150" s="1842" t="n"/>
      <c r="P150" s="1842" t="n"/>
      <c r="Q150" s="1842" t="n"/>
      <c r="R150" s="1842" t="n"/>
      <c r="S150" s="1842" t="n"/>
      <c r="T150" s="1842" t="n"/>
      <c r="U150" s="1842" t="n"/>
      <c r="V150" s="1842" t="n"/>
      <c r="W150" s="1842" t="n"/>
      <c r="X150" s="1842" t="n"/>
      <c r="Y150" s="1842" t="n"/>
      <c r="Z150" s="1842" t="n"/>
      <c r="AA150" s="1842" t="n"/>
      <c r="AB150" s="1842" t="n"/>
      <c r="AC150" s="1842" t="n"/>
      <c r="AD150" s="1842" t="n"/>
      <c r="AE150" s="1842" t="n"/>
      <c r="AF150" s="1842" t="n"/>
    </row>
    <row r="151" ht="13.5" customHeight="1" s="1883">
      <c r="A151" s="1856" t="n"/>
      <c r="B151" s="1856" t="n"/>
      <c r="C151" s="1856" t="n"/>
      <c r="D151" s="1842" t="n"/>
      <c r="E151" s="1842" t="n"/>
      <c r="F151" s="1842" t="n"/>
      <c r="G151" s="1842" t="n"/>
      <c r="H151" s="1842" t="n"/>
      <c r="I151" s="1842" t="n"/>
      <c r="J151" s="1842" t="n"/>
      <c r="K151" s="1842" t="n"/>
      <c r="L151" s="1842" t="n"/>
      <c r="M151" s="1842" t="n"/>
      <c r="N151" s="1842" t="n"/>
      <c r="O151" s="1842" t="n"/>
      <c r="P151" s="1842" t="n"/>
      <c r="Q151" s="1842" t="n"/>
      <c r="R151" s="1842" t="n"/>
      <c r="S151" s="1842" t="n"/>
      <c r="T151" s="1842" t="n"/>
      <c r="U151" s="1842" t="n"/>
      <c r="V151" s="1842" t="n"/>
      <c r="W151" s="1842" t="n"/>
      <c r="X151" s="1842" t="n"/>
      <c r="Y151" s="1842" t="n"/>
      <c r="Z151" s="1842" t="n"/>
      <c r="AA151" s="1842" t="n"/>
      <c r="AB151" s="1842" t="n"/>
      <c r="AC151" s="1842" t="n"/>
      <c r="AD151" s="1842" t="n"/>
      <c r="AE151" s="1842" t="n"/>
      <c r="AF151" s="1842" t="n"/>
    </row>
    <row r="152" ht="13.5" customHeight="1" s="1883">
      <c r="A152" s="1856" t="n"/>
      <c r="B152" s="1856" t="n"/>
      <c r="C152" s="1856" t="n"/>
      <c r="D152" s="1842" t="n"/>
      <c r="E152" s="1842" t="n"/>
      <c r="F152" s="1842" t="n"/>
      <c r="G152" s="1842" t="n"/>
      <c r="H152" s="1842" t="n"/>
      <c r="I152" s="1842" t="n"/>
      <c r="J152" s="1842" t="n"/>
      <c r="K152" s="1842" t="n"/>
      <c r="L152" s="1842" t="n"/>
      <c r="M152" s="1842" t="n"/>
      <c r="N152" s="1842" t="n"/>
      <c r="O152" s="1842" t="n"/>
      <c r="P152" s="1842" t="n"/>
      <c r="Q152" s="1842" t="n"/>
      <c r="R152" s="1842" t="n"/>
      <c r="S152" s="1842" t="n"/>
      <c r="T152" s="1842" t="n"/>
      <c r="U152" s="1842" t="n"/>
      <c r="V152" s="1842" t="n"/>
      <c r="W152" s="1842" t="n"/>
      <c r="X152" s="1842" t="n"/>
      <c r="Y152" s="1842" t="n"/>
      <c r="Z152" s="1842" t="n"/>
      <c r="AA152" s="1842" t="n"/>
      <c r="AB152" s="1842" t="n"/>
      <c r="AC152" s="1842" t="n"/>
      <c r="AD152" s="1842" t="n"/>
      <c r="AE152" s="1842" t="n"/>
      <c r="AF152" s="1842" t="n"/>
    </row>
    <row r="153" ht="13.5" customHeight="1" s="1883">
      <c r="A153" s="1856" t="n"/>
      <c r="B153" s="1856" t="n"/>
      <c r="C153" s="1856" t="n"/>
      <c r="D153" s="1842" t="n"/>
      <c r="E153" s="1842" t="n"/>
      <c r="F153" s="1842" t="n"/>
      <c r="G153" s="1842" t="n"/>
      <c r="H153" s="1842" t="n"/>
      <c r="I153" s="1842" t="n"/>
      <c r="J153" s="1842" t="n"/>
      <c r="K153" s="1842" t="n"/>
      <c r="L153" s="1842" t="n"/>
      <c r="M153" s="1842" t="n"/>
      <c r="N153" s="1842" t="n"/>
      <c r="O153" s="1842" t="n"/>
      <c r="P153" s="1842" t="n"/>
      <c r="Q153" s="1842" t="n"/>
      <c r="R153" s="1842" t="n"/>
      <c r="S153" s="1842" t="n"/>
      <c r="T153" s="1842" t="n"/>
      <c r="U153" s="1842" t="n"/>
      <c r="V153" s="1842" t="n"/>
      <c r="W153" s="1842" t="n"/>
      <c r="X153" s="1842" t="n"/>
      <c r="Y153" s="1842" t="n"/>
      <c r="Z153" s="1842" t="n"/>
      <c r="AA153" s="1842" t="n"/>
      <c r="AB153" s="1842" t="n"/>
      <c r="AC153" s="1842" t="n"/>
      <c r="AD153" s="1842" t="n"/>
      <c r="AE153" s="1842" t="n"/>
      <c r="AF153" s="1842" t="n"/>
    </row>
    <row r="154" ht="13.5" customHeight="1" s="1883">
      <c r="A154" s="1856" t="n"/>
      <c r="B154" s="1856" t="n"/>
      <c r="C154" s="1856" t="n"/>
      <c r="D154" s="1842" t="n"/>
      <c r="E154" s="1842" t="n"/>
      <c r="F154" s="1842" t="n"/>
      <c r="G154" s="1842" t="n"/>
      <c r="H154" s="1842" t="n"/>
      <c r="I154" s="1842" t="n"/>
      <c r="J154" s="1842" t="n"/>
      <c r="K154" s="1842" t="n"/>
      <c r="L154" s="1842" t="n"/>
      <c r="M154" s="1842" t="n"/>
      <c r="N154" s="1842" t="n"/>
      <c r="O154" s="1842" t="n"/>
      <c r="P154" s="1842" t="n"/>
      <c r="Q154" s="1842" t="n"/>
      <c r="R154" s="1842" t="n"/>
      <c r="S154" s="1842" t="n"/>
      <c r="T154" s="1842" t="n"/>
      <c r="U154" s="1842" t="n"/>
      <c r="V154" s="1842" t="n"/>
      <c r="W154" s="1842" t="n"/>
      <c r="X154" s="1842" t="n"/>
      <c r="Y154" s="1842" t="n"/>
      <c r="Z154" s="1842" t="n"/>
      <c r="AA154" s="1842" t="n"/>
      <c r="AB154" s="1842" t="n"/>
      <c r="AC154" s="1842" t="n"/>
      <c r="AD154" s="1842" t="n"/>
      <c r="AE154" s="1842" t="n"/>
      <c r="AF154" s="1842" t="n"/>
    </row>
    <row r="155" ht="13.5" customHeight="1" s="1883">
      <c r="A155" s="1856" t="n"/>
      <c r="B155" s="1856" t="n"/>
      <c r="C155" s="1856" t="n"/>
      <c r="D155" s="1842" t="n"/>
      <c r="E155" s="1842" t="n"/>
      <c r="F155" s="1842" t="n"/>
      <c r="G155" s="1842" t="n"/>
      <c r="H155" s="1842" t="n"/>
      <c r="I155" s="1842" t="n"/>
      <c r="J155" s="1842" t="n"/>
      <c r="K155" s="1842" t="n"/>
      <c r="L155" s="1842" t="n"/>
      <c r="M155" s="1842" t="n"/>
      <c r="N155" s="1842" t="n"/>
      <c r="O155" s="1842" t="n"/>
      <c r="P155" s="1842" t="n"/>
      <c r="Q155" s="1842" t="n"/>
      <c r="R155" s="1842" t="n"/>
      <c r="S155" s="1842" t="n"/>
      <c r="T155" s="1842" t="n"/>
      <c r="U155" s="1842" t="n"/>
      <c r="V155" s="1842" t="n"/>
      <c r="W155" s="1842" t="n"/>
      <c r="X155" s="1842" t="n"/>
      <c r="Y155" s="1842" t="n"/>
      <c r="Z155" s="1842" t="n"/>
      <c r="AA155" s="1842" t="n"/>
      <c r="AB155" s="1842" t="n"/>
      <c r="AC155" s="1842" t="n"/>
      <c r="AD155" s="1842" t="n"/>
      <c r="AE155" s="1842" t="n"/>
      <c r="AF155" s="1842" t="n"/>
    </row>
    <row r="156" ht="13.5" customHeight="1" s="1883">
      <c r="A156" s="1856" t="n"/>
      <c r="B156" s="1856" t="n"/>
      <c r="C156" s="1856" t="n"/>
      <c r="D156" s="1842" t="n"/>
      <c r="E156" s="1842" t="n"/>
      <c r="F156" s="1842" t="n"/>
      <c r="G156" s="1842" t="n"/>
      <c r="H156" s="1842" t="n"/>
      <c r="I156" s="1842" t="n"/>
      <c r="J156" s="1842" t="n"/>
      <c r="K156" s="1842" t="n"/>
      <c r="L156" s="1842" t="n"/>
      <c r="M156" s="1842" t="n"/>
      <c r="N156" s="1842" t="n"/>
      <c r="O156" s="1842" t="n"/>
      <c r="P156" s="1842" t="n"/>
      <c r="Q156" s="1842" t="n"/>
      <c r="R156" s="1842" t="n"/>
      <c r="S156" s="1842" t="n"/>
      <c r="T156" s="1842" t="n"/>
      <c r="U156" s="1842" t="n"/>
      <c r="V156" s="1842" t="n"/>
      <c r="W156" s="1842" t="n"/>
      <c r="X156" s="1842" t="n"/>
      <c r="Y156" s="1842" t="n"/>
      <c r="Z156" s="1842" t="n"/>
      <c r="AA156" s="1842" t="n"/>
      <c r="AB156" s="1842" t="n"/>
      <c r="AC156" s="1842" t="n"/>
      <c r="AD156" s="1842" t="n"/>
      <c r="AE156" s="1842" t="n"/>
      <c r="AF156" s="1842" t="n"/>
    </row>
    <row r="157" ht="13.5" customHeight="1" s="1883">
      <c r="A157" s="1856" t="n"/>
      <c r="B157" s="1856" t="n"/>
      <c r="C157" s="1856" t="n"/>
      <c r="D157" s="1842" t="n"/>
      <c r="E157" s="1842" t="n"/>
      <c r="F157" s="1842" t="n"/>
      <c r="G157" s="1842" t="n"/>
      <c r="H157" s="1842" t="n"/>
      <c r="I157" s="1842" t="n"/>
      <c r="J157" s="1842" t="n"/>
      <c r="K157" s="1842" t="n"/>
      <c r="L157" s="1842" t="n"/>
      <c r="M157" s="1842" t="n"/>
      <c r="N157" s="1842" t="n"/>
      <c r="O157" s="1842" t="n"/>
      <c r="P157" s="1842" t="n"/>
      <c r="Q157" s="1842" t="n"/>
      <c r="R157" s="1842" t="n"/>
      <c r="S157" s="1842" t="n"/>
      <c r="T157" s="1842" t="n"/>
      <c r="U157" s="1842" t="n"/>
      <c r="V157" s="1842" t="n"/>
      <c r="W157" s="1842" t="n"/>
      <c r="X157" s="1842" t="n"/>
      <c r="Y157" s="1842" t="n"/>
      <c r="Z157" s="1842" t="n"/>
      <c r="AA157" s="1842" t="n"/>
      <c r="AB157" s="1842" t="n"/>
      <c r="AC157" s="1842" t="n"/>
      <c r="AD157" s="1842" t="n"/>
      <c r="AE157" s="1842" t="n"/>
      <c r="AF157" s="1842" t="n"/>
    </row>
    <row r="158" ht="13.5" customHeight="1" s="1883">
      <c r="A158" s="1856" t="n"/>
      <c r="B158" s="1856" t="n"/>
      <c r="C158" s="1856" t="n"/>
      <c r="D158" s="1842" t="n"/>
      <c r="E158" s="1842" t="n"/>
      <c r="F158" s="1842" t="n"/>
      <c r="G158" s="1842" t="n"/>
      <c r="H158" s="1842" t="n"/>
      <c r="I158" s="1842" t="n"/>
      <c r="J158" s="1842" t="n"/>
      <c r="K158" s="1842" t="n"/>
      <c r="L158" s="1842" t="n"/>
      <c r="M158" s="1842" t="n"/>
      <c r="N158" s="1842" t="n"/>
      <c r="O158" s="1842" t="n"/>
      <c r="P158" s="1842" t="n"/>
      <c r="Q158" s="1842" t="n"/>
      <c r="R158" s="1842" t="n"/>
      <c r="S158" s="1842" t="n"/>
      <c r="T158" s="1842" t="n"/>
      <c r="U158" s="1842" t="n"/>
      <c r="V158" s="1842" t="n"/>
      <c r="W158" s="1842" t="n"/>
      <c r="X158" s="1842" t="n"/>
      <c r="Y158" s="1842" t="n"/>
      <c r="Z158" s="1842" t="n"/>
      <c r="AA158" s="1842" t="n"/>
      <c r="AB158" s="1842" t="n"/>
      <c r="AC158" s="1842" t="n"/>
      <c r="AD158" s="1842" t="n"/>
      <c r="AE158" s="1842" t="n"/>
      <c r="AF158" s="1842" t="n"/>
    </row>
    <row r="159" ht="13.5" customHeight="1" s="1883">
      <c r="A159" s="1856" t="n"/>
      <c r="B159" s="1856" t="n"/>
      <c r="C159" s="1856" t="n"/>
      <c r="D159" s="1842" t="n"/>
      <c r="E159" s="1842" t="n"/>
      <c r="F159" s="1842" t="n"/>
      <c r="G159" s="1842" t="n"/>
      <c r="H159" s="1842" t="n"/>
      <c r="I159" s="1842" t="n"/>
      <c r="J159" s="1842" t="n"/>
      <c r="K159" s="1842" t="n"/>
      <c r="L159" s="1842" t="n"/>
      <c r="M159" s="1842" t="n"/>
      <c r="N159" s="1842" t="n"/>
      <c r="O159" s="1842" t="n"/>
      <c r="P159" s="1842" t="n"/>
      <c r="Q159" s="1842" t="n"/>
      <c r="R159" s="1842" t="n"/>
      <c r="S159" s="1842" t="n"/>
      <c r="T159" s="1842" t="n"/>
      <c r="U159" s="1842" t="n"/>
      <c r="V159" s="1842" t="n"/>
      <c r="W159" s="1842" t="n"/>
      <c r="X159" s="1842" t="n"/>
      <c r="Y159" s="1842" t="n"/>
      <c r="Z159" s="1842" t="n"/>
      <c r="AA159" s="1842" t="n"/>
      <c r="AB159" s="1842" t="n"/>
      <c r="AC159" s="1842" t="n"/>
      <c r="AD159" s="1842" t="n"/>
      <c r="AE159" s="1842" t="n"/>
      <c r="AF159" s="1842" t="n"/>
    </row>
    <row r="160" ht="13.5" customHeight="1" s="1883">
      <c r="A160" s="1856" t="n"/>
      <c r="B160" s="1856" t="n"/>
      <c r="C160" s="1856" t="n"/>
      <c r="D160" s="1842" t="n"/>
      <c r="E160" s="1842" t="n"/>
      <c r="F160" s="1842" t="n"/>
      <c r="G160" s="1842" t="n"/>
      <c r="H160" s="1842" t="n"/>
      <c r="I160" s="1842" t="n"/>
      <c r="J160" s="1842" t="n"/>
      <c r="K160" s="1842" t="n"/>
      <c r="L160" s="1842" t="n"/>
      <c r="M160" s="1842" t="n"/>
      <c r="N160" s="1842" t="n"/>
      <c r="O160" s="1842" t="n"/>
      <c r="P160" s="1842" t="n"/>
      <c r="Q160" s="1842" t="n"/>
      <c r="R160" s="1842" t="n"/>
      <c r="S160" s="1842" t="n"/>
      <c r="T160" s="1842" t="n"/>
      <c r="U160" s="1842" t="n"/>
      <c r="V160" s="1842" t="n"/>
      <c r="W160" s="1842" t="n"/>
      <c r="X160" s="1842" t="n"/>
      <c r="Y160" s="1842" t="n"/>
      <c r="Z160" s="1842" t="n"/>
      <c r="AA160" s="1842" t="n"/>
      <c r="AB160" s="1842" t="n"/>
      <c r="AC160" s="1842" t="n"/>
      <c r="AD160" s="1842" t="n"/>
      <c r="AE160" s="1842" t="n"/>
      <c r="AF160" s="1842" t="n"/>
    </row>
    <row r="161" ht="13.5" customHeight="1" s="1883">
      <c r="A161" s="1856" t="n"/>
      <c r="B161" s="1856" t="n"/>
      <c r="C161" s="1856" t="n"/>
      <c r="D161" s="1842" t="n"/>
      <c r="E161" s="1842" t="n"/>
      <c r="F161" s="1842" t="n"/>
      <c r="G161" s="1842" t="n"/>
      <c r="H161" s="1842" t="n"/>
      <c r="I161" s="1842" t="n"/>
      <c r="J161" s="1842" t="n"/>
      <c r="K161" s="1842" t="n"/>
      <c r="L161" s="1842" t="n"/>
      <c r="M161" s="1842" t="n"/>
      <c r="N161" s="1842" t="n"/>
      <c r="O161" s="1842" t="n"/>
      <c r="P161" s="1842" t="n"/>
      <c r="Q161" s="1842" t="n"/>
      <c r="R161" s="1842" t="n"/>
      <c r="S161" s="1842" t="n"/>
      <c r="T161" s="1842" t="n"/>
      <c r="U161" s="1842" t="n"/>
      <c r="V161" s="1842" t="n"/>
      <c r="W161" s="1842" t="n"/>
      <c r="X161" s="1842" t="n"/>
      <c r="Y161" s="1842" t="n"/>
      <c r="Z161" s="1842" t="n"/>
      <c r="AA161" s="1842" t="n"/>
      <c r="AB161" s="1842" t="n"/>
      <c r="AC161" s="1842" t="n"/>
      <c r="AD161" s="1842" t="n"/>
      <c r="AE161" s="1842" t="n"/>
      <c r="AF161" s="1842" t="n"/>
    </row>
    <row r="162" ht="13.5" customHeight="1" s="1883">
      <c r="A162" s="1856" t="n"/>
      <c r="B162" s="1856" t="n"/>
      <c r="C162" s="1856" t="n"/>
      <c r="D162" s="1842" t="n"/>
      <c r="E162" s="1842" t="n"/>
      <c r="F162" s="1842" t="n"/>
      <c r="G162" s="1842" t="n"/>
      <c r="H162" s="1842" t="n"/>
      <c r="I162" s="1842" t="n"/>
      <c r="J162" s="1842" t="n"/>
      <c r="K162" s="1842" t="n"/>
      <c r="L162" s="1842" t="n"/>
      <c r="M162" s="1842" t="n"/>
      <c r="N162" s="1842" t="n"/>
      <c r="O162" s="1842" t="n"/>
      <c r="P162" s="1842" t="n"/>
      <c r="Q162" s="1842" t="n"/>
      <c r="R162" s="1842" t="n"/>
      <c r="S162" s="1842" t="n"/>
      <c r="T162" s="1842" t="n"/>
      <c r="U162" s="1842" t="n"/>
      <c r="V162" s="1842" t="n"/>
      <c r="W162" s="1842" t="n"/>
      <c r="X162" s="1842" t="n"/>
      <c r="Y162" s="1842" t="n"/>
      <c r="Z162" s="1842" t="n"/>
      <c r="AA162" s="1842" t="n"/>
      <c r="AB162" s="1842" t="n"/>
      <c r="AC162" s="1842" t="n"/>
      <c r="AD162" s="1842" t="n"/>
      <c r="AE162" s="1842" t="n"/>
      <c r="AF162" s="1842" t="n"/>
    </row>
    <row r="163" ht="13.5" customHeight="1" s="1883">
      <c r="A163" s="1856" t="n"/>
      <c r="B163" s="1856" t="n"/>
      <c r="C163" s="1856" t="n"/>
      <c r="D163" s="1842" t="n"/>
      <c r="E163" s="1842" t="n"/>
      <c r="F163" s="1842" t="n"/>
      <c r="G163" s="1842" t="n"/>
      <c r="H163" s="1842" t="n"/>
      <c r="I163" s="1842" t="n"/>
      <c r="J163" s="1842" t="n"/>
      <c r="K163" s="1842" t="n"/>
      <c r="L163" s="1842" t="n"/>
      <c r="M163" s="1842" t="n"/>
      <c r="N163" s="1842" t="n"/>
      <c r="O163" s="1842" t="n"/>
      <c r="P163" s="1842" t="n"/>
      <c r="Q163" s="1842" t="n"/>
      <c r="R163" s="1842" t="n"/>
      <c r="S163" s="1842" t="n"/>
      <c r="T163" s="1842" t="n"/>
      <c r="U163" s="1842" t="n"/>
      <c r="V163" s="1842" t="n"/>
      <c r="W163" s="1842" t="n"/>
      <c r="X163" s="1842" t="n"/>
      <c r="Y163" s="1842" t="n"/>
      <c r="Z163" s="1842" t="n"/>
      <c r="AA163" s="1842" t="n"/>
      <c r="AB163" s="1842" t="n"/>
      <c r="AC163" s="1842" t="n"/>
      <c r="AD163" s="1842" t="n"/>
      <c r="AE163" s="1842" t="n"/>
      <c r="AF163" s="1842" t="n"/>
    </row>
    <row r="164" ht="13.5" customHeight="1" s="1883">
      <c r="A164" s="1856" t="n"/>
      <c r="B164" s="1856" t="n"/>
      <c r="C164" s="1856" t="n"/>
      <c r="D164" s="1842" t="n"/>
      <c r="E164" s="1842" t="n"/>
      <c r="F164" s="1842" t="n"/>
      <c r="G164" s="1842" t="n"/>
      <c r="H164" s="1842" t="n"/>
      <c r="I164" s="1842" t="n"/>
      <c r="J164" s="1842" t="n"/>
      <c r="K164" s="1842" t="n"/>
      <c r="L164" s="1842" t="n"/>
      <c r="M164" s="1842" t="n"/>
      <c r="N164" s="1842" t="n"/>
      <c r="O164" s="1842" t="n"/>
      <c r="P164" s="1842" t="n"/>
      <c r="Q164" s="1842" t="n"/>
      <c r="R164" s="1842" t="n"/>
      <c r="S164" s="1842" t="n"/>
      <c r="T164" s="1842" t="n"/>
      <c r="U164" s="1842" t="n"/>
      <c r="V164" s="1842" t="n"/>
      <c r="W164" s="1842" t="n"/>
      <c r="X164" s="1842" t="n"/>
      <c r="Y164" s="1842" t="n"/>
      <c r="Z164" s="1842" t="n"/>
      <c r="AA164" s="1842" t="n"/>
      <c r="AB164" s="1842" t="n"/>
      <c r="AC164" s="1842" t="n"/>
      <c r="AD164" s="1842" t="n"/>
      <c r="AE164" s="1842" t="n"/>
      <c r="AF164" s="1842" t="n"/>
    </row>
    <row r="165" ht="13.5" customHeight="1" s="1883">
      <c r="A165" s="1856" t="n"/>
      <c r="B165" s="1856" t="n"/>
      <c r="C165" s="1856" t="n"/>
      <c r="D165" s="1842" t="n"/>
      <c r="E165" s="1842" t="n"/>
      <c r="F165" s="1842" t="n"/>
      <c r="G165" s="1842" t="n"/>
      <c r="H165" s="1842" t="n"/>
      <c r="I165" s="1842" t="n"/>
      <c r="J165" s="1842" t="n"/>
      <c r="K165" s="1842" t="n"/>
      <c r="L165" s="1842" t="n"/>
      <c r="M165" s="1842" t="n"/>
      <c r="N165" s="1842" t="n"/>
      <c r="O165" s="1842" t="n"/>
      <c r="P165" s="1842" t="n"/>
      <c r="Q165" s="1842" t="n"/>
      <c r="R165" s="1842" t="n"/>
      <c r="S165" s="1842" t="n"/>
      <c r="T165" s="1842" t="n"/>
      <c r="U165" s="1842" t="n"/>
      <c r="V165" s="1842" t="n"/>
      <c r="W165" s="1842" t="n"/>
      <c r="X165" s="1842" t="n"/>
      <c r="Y165" s="1842" t="n"/>
      <c r="Z165" s="1842" t="n"/>
      <c r="AA165" s="1842" t="n"/>
      <c r="AB165" s="1842" t="n"/>
      <c r="AC165" s="1842" t="n"/>
      <c r="AD165" s="1842" t="n"/>
      <c r="AE165" s="1842" t="n"/>
      <c r="AF165" s="1842" t="n"/>
    </row>
    <row r="166" ht="13.5" customHeight="1" s="1883">
      <c r="A166" s="1856" t="n"/>
      <c r="B166" s="1856" t="n"/>
      <c r="C166" s="1856" t="n"/>
      <c r="D166" s="1842" t="n"/>
      <c r="E166" s="1842" t="n"/>
      <c r="F166" s="1842" t="n"/>
      <c r="G166" s="1842" t="n"/>
      <c r="H166" s="1842" t="n"/>
      <c r="I166" s="1842" t="n"/>
      <c r="J166" s="1842" t="n"/>
      <c r="K166" s="1842" t="n"/>
      <c r="L166" s="1842" t="n"/>
      <c r="M166" s="1842" t="n"/>
      <c r="N166" s="1842" t="n"/>
      <c r="O166" s="1842" t="n"/>
      <c r="P166" s="1842" t="n"/>
      <c r="Q166" s="1842" t="n"/>
      <c r="R166" s="1842" t="n"/>
      <c r="S166" s="1842" t="n"/>
      <c r="T166" s="1842" t="n"/>
      <c r="U166" s="1842" t="n"/>
      <c r="V166" s="1842" t="n"/>
      <c r="W166" s="1842" t="n"/>
      <c r="X166" s="1842" t="n"/>
      <c r="Y166" s="1842" t="n"/>
      <c r="Z166" s="1842" t="n"/>
      <c r="AA166" s="1842" t="n"/>
      <c r="AB166" s="1842" t="n"/>
      <c r="AC166" s="1842" t="n"/>
      <c r="AD166" s="1842" t="n"/>
      <c r="AE166" s="1842" t="n"/>
      <c r="AF166" s="1842" t="n"/>
    </row>
    <row r="167" ht="13.5" customHeight="1" s="1883">
      <c r="A167" s="1856" t="n"/>
      <c r="B167" s="1856" t="n"/>
      <c r="C167" s="1856" t="n"/>
      <c r="D167" s="1842" t="n"/>
      <c r="E167" s="1842" t="n"/>
      <c r="F167" s="1842" t="n"/>
      <c r="G167" s="1842" t="n"/>
      <c r="H167" s="1842" t="n"/>
      <c r="I167" s="1842" t="n"/>
      <c r="J167" s="1842" t="n"/>
      <c r="K167" s="1842" t="n"/>
      <c r="L167" s="1842" t="n"/>
      <c r="M167" s="1842" t="n"/>
      <c r="N167" s="1842" t="n"/>
      <c r="O167" s="1842" t="n"/>
      <c r="P167" s="1842" t="n"/>
      <c r="Q167" s="1842" t="n"/>
      <c r="R167" s="1842" t="n"/>
      <c r="S167" s="1842" t="n"/>
      <c r="T167" s="1842" t="n"/>
      <c r="U167" s="1842" t="n"/>
      <c r="V167" s="1842" t="n"/>
      <c r="W167" s="1842" t="n"/>
      <c r="X167" s="1842" t="n"/>
      <c r="Y167" s="1842" t="n"/>
      <c r="Z167" s="1842" t="n"/>
      <c r="AA167" s="1842" t="n"/>
      <c r="AB167" s="1842" t="n"/>
      <c r="AC167" s="1842" t="n"/>
      <c r="AD167" s="1842" t="n"/>
      <c r="AE167" s="1842" t="n"/>
      <c r="AF167" s="1842" t="n"/>
    </row>
    <row r="168" ht="13.5" customHeight="1" s="1883">
      <c r="A168" s="1856" t="n"/>
      <c r="B168" s="1856" t="n"/>
      <c r="C168" s="1856" t="n"/>
      <c r="D168" s="1842" t="n"/>
      <c r="E168" s="1842" t="n"/>
      <c r="F168" s="1842" t="n"/>
      <c r="G168" s="1842" t="n"/>
      <c r="H168" s="1842" t="n"/>
      <c r="I168" s="1842" t="n"/>
      <c r="J168" s="1842" t="n"/>
      <c r="K168" s="1842" t="n"/>
      <c r="L168" s="1842" t="n"/>
      <c r="M168" s="1842" t="n"/>
      <c r="N168" s="1842" t="n"/>
      <c r="O168" s="1842" t="n"/>
      <c r="P168" s="1842" t="n"/>
      <c r="Q168" s="1842" t="n"/>
      <c r="R168" s="1842" t="n"/>
      <c r="S168" s="1842" t="n"/>
      <c r="T168" s="1842" t="n"/>
      <c r="U168" s="1842" t="n"/>
      <c r="V168" s="1842" t="n"/>
      <c r="W168" s="1842" t="n"/>
      <c r="X168" s="1842" t="n"/>
      <c r="Y168" s="1842" t="n"/>
      <c r="Z168" s="1842" t="n"/>
      <c r="AA168" s="1842" t="n"/>
      <c r="AB168" s="1842" t="n"/>
      <c r="AC168" s="1842" t="n"/>
      <c r="AD168" s="1842" t="n"/>
      <c r="AE168" s="1842" t="n"/>
      <c r="AF168" s="1842" t="n"/>
    </row>
    <row r="169" ht="13.5" customHeight="1" s="1883">
      <c r="A169" s="1856" t="n"/>
      <c r="B169" s="1856" t="n"/>
      <c r="C169" s="1856" t="n"/>
      <c r="D169" s="1842" t="n"/>
      <c r="E169" s="1842" t="n"/>
      <c r="F169" s="1842" t="n"/>
      <c r="G169" s="1842" t="n"/>
      <c r="H169" s="1842" t="n"/>
      <c r="I169" s="1842" t="n"/>
      <c r="J169" s="1842" t="n"/>
      <c r="K169" s="1842" t="n"/>
      <c r="L169" s="1842" t="n"/>
      <c r="M169" s="1842" t="n"/>
      <c r="N169" s="1842" t="n"/>
      <c r="O169" s="1842" t="n"/>
      <c r="P169" s="1842" t="n"/>
      <c r="Q169" s="1842" t="n"/>
      <c r="R169" s="1842" t="n"/>
      <c r="S169" s="1842" t="n"/>
      <c r="T169" s="1842" t="n"/>
      <c r="U169" s="1842" t="n"/>
      <c r="V169" s="1842" t="n"/>
      <c r="W169" s="1842" t="n"/>
      <c r="X169" s="1842" t="n"/>
      <c r="Y169" s="1842" t="n"/>
      <c r="Z169" s="1842" t="n"/>
      <c r="AA169" s="1842" t="n"/>
      <c r="AB169" s="1842" t="n"/>
      <c r="AC169" s="1842" t="n"/>
      <c r="AD169" s="1842" t="n"/>
      <c r="AE169" s="1842" t="n"/>
      <c r="AF169" s="1842" t="n"/>
    </row>
    <row r="170" ht="13.5" customHeight="1" s="1883">
      <c r="A170" s="1856" t="n"/>
      <c r="B170" s="1856" t="n"/>
      <c r="C170" s="1856" t="n"/>
      <c r="D170" s="1842" t="n"/>
      <c r="E170" s="1842" t="n"/>
      <c r="F170" s="1842" t="n"/>
      <c r="G170" s="1842" t="n"/>
      <c r="H170" s="1842" t="n"/>
      <c r="I170" s="1842" t="n"/>
      <c r="J170" s="1842" t="n"/>
      <c r="K170" s="1842" t="n"/>
      <c r="L170" s="1842" t="n"/>
      <c r="M170" s="1842" t="n"/>
      <c r="N170" s="1842" t="n"/>
      <c r="O170" s="1842" t="n"/>
      <c r="P170" s="1842" t="n"/>
      <c r="Q170" s="1842" t="n"/>
      <c r="R170" s="1842" t="n"/>
      <c r="S170" s="1842" t="n"/>
      <c r="T170" s="1842" t="n"/>
      <c r="U170" s="1842" t="n"/>
      <c r="V170" s="1842" t="n"/>
      <c r="W170" s="1842" t="n"/>
      <c r="X170" s="1842" t="n"/>
      <c r="Y170" s="1842" t="n"/>
      <c r="Z170" s="1842" t="n"/>
      <c r="AA170" s="1842" t="n"/>
      <c r="AB170" s="1842" t="n"/>
      <c r="AC170" s="1842" t="n"/>
      <c r="AD170" s="1842" t="n"/>
      <c r="AE170" s="1842" t="n"/>
      <c r="AF170" s="1842" t="n"/>
    </row>
    <row r="171" ht="13.5" customHeight="1" s="1883">
      <c r="A171" s="1856" t="n"/>
      <c r="B171" s="1856" t="n"/>
      <c r="C171" s="1856" t="n"/>
      <c r="D171" s="1842" t="n"/>
      <c r="E171" s="1842" t="n"/>
      <c r="F171" s="1842" t="n"/>
      <c r="G171" s="1842" t="n"/>
      <c r="H171" s="1842" t="n"/>
      <c r="I171" s="1842" t="n"/>
      <c r="J171" s="1842" t="n"/>
      <c r="K171" s="1842" t="n"/>
      <c r="L171" s="1842" t="n"/>
      <c r="M171" s="1842" t="n"/>
      <c r="N171" s="1842" t="n"/>
      <c r="O171" s="1842" t="n"/>
      <c r="P171" s="1842" t="n"/>
      <c r="Q171" s="1842" t="n"/>
      <c r="R171" s="1842" t="n"/>
      <c r="S171" s="1842" t="n"/>
      <c r="T171" s="1842" t="n"/>
      <c r="U171" s="1842" t="n"/>
      <c r="V171" s="1842" t="n"/>
      <c r="W171" s="1842" t="n"/>
      <c r="X171" s="1842" t="n"/>
      <c r="Y171" s="1842" t="n"/>
      <c r="Z171" s="1842" t="n"/>
      <c r="AA171" s="1842" t="n"/>
      <c r="AB171" s="1842" t="n"/>
      <c r="AC171" s="1842" t="n"/>
      <c r="AD171" s="1842" t="n"/>
      <c r="AE171" s="1842" t="n"/>
      <c r="AF171" s="1842" t="n"/>
    </row>
    <row r="172" ht="13.5" customHeight="1" s="1883">
      <c r="A172" s="1856" t="n"/>
      <c r="B172" s="1856" t="n"/>
      <c r="C172" s="1856" t="n"/>
      <c r="D172" s="1842" t="n"/>
      <c r="E172" s="1842" t="n"/>
      <c r="F172" s="1842" t="n"/>
      <c r="G172" s="1842" t="n"/>
      <c r="H172" s="1842" t="n"/>
      <c r="I172" s="1842" t="n"/>
      <c r="J172" s="1842" t="n"/>
      <c r="K172" s="1842" t="n"/>
      <c r="L172" s="1842" t="n"/>
      <c r="M172" s="1842" t="n"/>
      <c r="N172" s="1842" t="n"/>
      <c r="O172" s="1842" t="n"/>
      <c r="P172" s="1842" t="n"/>
      <c r="Q172" s="1842" t="n"/>
      <c r="R172" s="1842" t="n"/>
      <c r="S172" s="1842" t="n"/>
      <c r="T172" s="1842" t="n"/>
      <c r="U172" s="1842" t="n"/>
      <c r="V172" s="1842" t="n"/>
      <c r="W172" s="1842" t="n"/>
      <c r="X172" s="1842" t="n"/>
      <c r="Y172" s="1842" t="n"/>
      <c r="Z172" s="1842" t="n"/>
      <c r="AA172" s="1842" t="n"/>
      <c r="AB172" s="1842" t="n"/>
      <c r="AC172" s="1842" t="n"/>
      <c r="AD172" s="1842" t="n"/>
      <c r="AE172" s="1842" t="n"/>
      <c r="AF172" s="1842" t="n"/>
    </row>
    <row r="173" ht="13.5" customHeight="1" s="1883">
      <c r="A173" s="1856" t="n"/>
      <c r="B173" s="1856" t="n"/>
      <c r="C173" s="1856" t="n"/>
      <c r="D173" s="1842" t="n"/>
      <c r="E173" s="1842" t="n"/>
      <c r="F173" s="1842" t="n"/>
      <c r="G173" s="1842" t="n"/>
      <c r="H173" s="1842" t="n"/>
      <c r="I173" s="1842" t="n"/>
      <c r="J173" s="1842" t="n"/>
      <c r="K173" s="1842" t="n"/>
      <c r="L173" s="1842" t="n"/>
      <c r="M173" s="1842" t="n"/>
      <c r="N173" s="1842" t="n"/>
      <c r="O173" s="1842" t="n"/>
      <c r="P173" s="1842" t="n"/>
      <c r="Q173" s="1842" t="n"/>
      <c r="R173" s="1842" t="n"/>
      <c r="S173" s="1842" t="n"/>
      <c r="T173" s="1842" t="n"/>
      <c r="U173" s="1842" t="n"/>
      <c r="V173" s="1842" t="n"/>
      <c r="W173" s="1842" t="n"/>
      <c r="X173" s="1842" t="n"/>
      <c r="Y173" s="1842" t="n"/>
      <c r="Z173" s="1842" t="n"/>
      <c r="AA173" s="1842" t="n"/>
      <c r="AB173" s="1842" t="n"/>
      <c r="AC173" s="1842" t="n"/>
      <c r="AD173" s="1842" t="n"/>
      <c r="AE173" s="1842" t="n"/>
      <c r="AF173" s="1842" t="n"/>
    </row>
    <row r="174" ht="13.5" customHeight="1" s="1883">
      <c r="A174" s="1856" t="n"/>
      <c r="B174" s="1856" t="n"/>
      <c r="C174" s="1856" t="n"/>
      <c r="D174" s="1842" t="n"/>
      <c r="E174" s="1842" t="n"/>
      <c r="F174" s="1842" t="n"/>
      <c r="G174" s="1842" t="n"/>
      <c r="H174" s="1842" t="n"/>
      <c r="I174" s="1842" t="n"/>
      <c r="J174" s="1842" t="n"/>
      <c r="K174" s="1842" t="n"/>
      <c r="L174" s="1842" t="n"/>
      <c r="M174" s="1842" t="n"/>
      <c r="N174" s="1842" t="n"/>
      <c r="O174" s="1842" t="n"/>
      <c r="P174" s="1842" t="n"/>
      <c r="Q174" s="1842" t="n"/>
      <c r="R174" s="1842" t="n"/>
      <c r="S174" s="1842" t="n"/>
      <c r="T174" s="1842" t="n"/>
      <c r="U174" s="1842" t="n"/>
      <c r="V174" s="1842" t="n"/>
      <c r="W174" s="1842" t="n"/>
      <c r="X174" s="1842" t="n"/>
      <c r="Y174" s="1842" t="n"/>
      <c r="Z174" s="1842" t="n"/>
      <c r="AA174" s="1842" t="n"/>
      <c r="AB174" s="1842" t="n"/>
      <c r="AC174" s="1842" t="n"/>
      <c r="AD174" s="1842" t="n"/>
      <c r="AE174" s="1842" t="n"/>
      <c r="AF174" s="1842" t="n"/>
    </row>
    <row r="175" ht="13.5" customHeight="1" s="1883">
      <c r="A175" s="1856" t="n"/>
      <c r="B175" s="1856" t="n"/>
      <c r="C175" s="1856" t="n"/>
      <c r="D175" s="1842" t="n"/>
      <c r="E175" s="1842" t="n"/>
      <c r="F175" s="1842" t="n"/>
      <c r="G175" s="1842" t="n"/>
      <c r="H175" s="1842" t="n"/>
      <c r="I175" s="1842" t="n"/>
      <c r="J175" s="1842" t="n"/>
      <c r="K175" s="1842" t="n"/>
      <c r="L175" s="1842" t="n"/>
      <c r="M175" s="1842" t="n"/>
      <c r="N175" s="1842" t="n"/>
      <c r="O175" s="1842" t="n"/>
      <c r="P175" s="1842" t="n"/>
      <c r="Q175" s="1842" t="n"/>
      <c r="R175" s="1842" t="n"/>
      <c r="S175" s="1842" t="n"/>
      <c r="T175" s="1842" t="n"/>
      <c r="U175" s="1842" t="n"/>
      <c r="V175" s="1842" t="n"/>
      <c r="W175" s="1842" t="n"/>
      <c r="X175" s="1842" t="n"/>
      <c r="Y175" s="1842" t="n"/>
      <c r="Z175" s="1842" t="n"/>
      <c r="AA175" s="1842" t="n"/>
      <c r="AB175" s="1842" t="n"/>
      <c r="AC175" s="1842" t="n"/>
      <c r="AD175" s="1842" t="n"/>
      <c r="AE175" s="1842" t="n"/>
      <c r="AF175" s="1842" t="n"/>
    </row>
    <row r="176" ht="13.5" customHeight="1" s="1883">
      <c r="A176" s="1856" t="n"/>
      <c r="B176" s="1856" t="n"/>
      <c r="C176" s="1856" t="n"/>
      <c r="D176" s="1842" t="n"/>
      <c r="E176" s="1842" t="n"/>
      <c r="F176" s="1842" t="n"/>
      <c r="G176" s="1842" t="n"/>
      <c r="H176" s="1842" t="n"/>
      <c r="I176" s="1842" t="n"/>
      <c r="J176" s="1842" t="n"/>
      <c r="K176" s="1842" t="n"/>
      <c r="L176" s="1842" t="n"/>
      <c r="M176" s="1842" t="n"/>
      <c r="N176" s="1842" t="n"/>
      <c r="O176" s="1842" t="n"/>
      <c r="P176" s="1842" t="n"/>
      <c r="Q176" s="1842" t="n"/>
      <c r="R176" s="1842" t="n"/>
      <c r="S176" s="1842" t="n"/>
      <c r="T176" s="1842" t="n"/>
      <c r="U176" s="1842" t="n"/>
      <c r="V176" s="1842" t="n"/>
      <c r="W176" s="1842" t="n"/>
      <c r="X176" s="1842" t="n"/>
      <c r="Y176" s="1842" t="n"/>
      <c r="Z176" s="1842" t="n"/>
      <c r="AA176" s="1842" t="n"/>
      <c r="AB176" s="1842" t="n"/>
      <c r="AC176" s="1842" t="n"/>
      <c r="AD176" s="1842" t="n"/>
      <c r="AE176" s="1842" t="n"/>
      <c r="AF176" s="1842" t="n"/>
    </row>
    <row r="177" ht="13.5" customHeight="1" s="1883">
      <c r="A177" s="1856" t="n"/>
      <c r="B177" s="1856" t="n"/>
      <c r="C177" s="1856" t="n"/>
      <c r="D177" s="1842" t="n"/>
      <c r="E177" s="1842" t="n"/>
      <c r="F177" s="1842" t="n"/>
      <c r="G177" s="1842" t="n"/>
      <c r="H177" s="1842" t="n"/>
      <c r="I177" s="1842" t="n"/>
      <c r="J177" s="1842" t="n"/>
      <c r="K177" s="1842" t="n"/>
      <c r="L177" s="1842" t="n"/>
      <c r="M177" s="1842" t="n"/>
      <c r="N177" s="1842" t="n"/>
      <c r="O177" s="1842" t="n"/>
      <c r="P177" s="1842" t="n"/>
      <c r="Q177" s="1842" t="n"/>
      <c r="R177" s="1842" t="n"/>
      <c r="S177" s="1842" t="n"/>
      <c r="T177" s="1842" t="n"/>
      <c r="U177" s="1842" t="n"/>
      <c r="V177" s="1842" t="n"/>
      <c r="W177" s="1842" t="n"/>
      <c r="X177" s="1842" t="n"/>
      <c r="Y177" s="1842" t="n"/>
      <c r="Z177" s="1842" t="n"/>
      <c r="AA177" s="1842" t="n"/>
      <c r="AB177" s="1842" t="n"/>
      <c r="AC177" s="1842" t="n"/>
      <c r="AD177" s="1842" t="n"/>
      <c r="AE177" s="1842" t="n"/>
      <c r="AF177" s="1842" t="n"/>
    </row>
    <row r="178" ht="13.5" customHeight="1" s="1883">
      <c r="A178" s="1856" t="n"/>
      <c r="B178" s="1856" t="n"/>
      <c r="C178" s="1856" t="n"/>
      <c r="D178" s="1842" t="n"/>
      <c r="E178" s="1842" t="n"/>
      <c r="F178" s="1842" t="n"/>
      <c r="G178" s="1842" t="n"/>
      <c r="H178" s="1842" t="n"/>
      <c r="I178" s="1842" t="n"/>
      <c r="J178" s="1842" t="n"/>
      <c r="K178" s="1842" t="n"/>
      <c r="L178" s="1842" t="n"/>
      <c r="M178" s="1842" t="n"/>
      <c r="N178" s="1842" t="n"/>
      <c r="O178" s="1842" t="n"/>
      <c r="P178" s="1842" t="n"/>
      <c r="Q178" s="1842" t="n"/>
      <c r="R178" s="1842" t="n"/>
      <c r="S178" s="1842" t="n"/>
      <c r="T178" s="1842" t="n"/>
      <c r="U178" s="1842" t="n"/>
      <c r="V178" s="1842" t="n"/>
      <c r="W178" s="1842" t="n"/>
      <c r="X178" s="1842" t="n"/>
      <c r="Y178" s="1842" t="n"/>
      <c r="Z178" s="1842" t="n"/>
      <c r="AA178" s="1842" t="n"/>
      <c r="AB178" s="1842" t="n"/>
      <c r="AC178" s="1842" t="n"/>
      <c r="AD178" s="1842" t="n"/>
      <c r="AE178" s="1842" t="n"/>
      <c r="AF178" s="1842" t="n"/>
    </row>
    <row r="179" ht="13.5" customHeight="1" s="1883">
      <c r="A179" s="1856" t="n"/>
      <c r="B179" s="1856" t="n"/>
      <c r="C179" s="1856" t="n"/>
      <c r="D179" s="1842" t="n"/>
      <c r="E179" s="1842" t="n"/>
      <c r="F179" s="1842" t="n"/>
      <c r="G179" s="1842" t="n"/>
      <c r="H179" s="1842" t="n"/>
      <c r="I179" s="1842" t="n"/>
      <c r="J179" s="1842" t="n"/>
      <c r="K179" s="1842" t="n"/>
      <c r="L179" s="1842" t="n"/>
      <c r="M179" s="1842" t="n"/>
      <c r="N179" s="1842" t="n"/>
      <c r="O179" s="1842" t="n"/>
      <c r="P179" s="1842" t="n"/>
      <c r="Q179" s="1842" t="n"/>
      <c r="R179" s="1842" t="n"/>
      <c r="S179" s="1842" t="n"/>
      <c r="T179" s="1842" t="n"/>
      <c r="U179" s="1842" t="n"/>
      <c r="V179" s="1842" t="n"/>
      <c r="W179" s="1842" t="n"/>
      <c r="X179" s="1842" t="n"/>
      <c r="Y179" s="1842" t="n"/>
      <c r="Z179" s="1842" t="n"/>
      <c r="AA179" s="1842" t="n"/>
      <c r="AB179" s="1842" t="n"/>
      <c r="AC179" s="1842" t="n"/>
      <c r="AD179" s="1842" t="n"/>
      <c r="AE179" s="1842" t="n"/>
      <c r="AF179" s="1842" t="n"/>
    </row>
    <row r="180" ht="13.5" customHeight="1" s="1883">
      <c r="A180" s="1856" t="n"/>
      <c r="B180" s="1856" t="n"/>
      <c r="C180" s="1856" t="n"/>
      <c r="D180" s="1842" t="n"/>
      <c r="E180" s="1842" t="n"/>
      <c r="F180" s="1842" t="n"/>
      <c r="G180" s="1842" t="n"/>
      <c r="H180" s="1842" t="n"/>
      <c r="I180" s="1842" t="n"/>
      <c r="J180" s="1842" t="n"/>
      <c r="K180" s="1842" t="n"/>
      <c r="L180" s="1842" t="n"/>
      <c r="M180" s="1842" t="n"/>
      <c r="N180" s="1842" t="n"/>
      <c r="O180" s="1842" t="n"/>
      <c r="P180" s="1842" t="n"/>
      <c r="Q180" s="1842" t="n"/>
      <c r="R180" s="1842" t="n"/>
      <c r="S180" s="1842" t="n"/>
      <c r="T180" s="1842" t="n"/>
      <c r="U180" s="1842" t="n"/>
      <c r="V180" s="1842" t="n"/>
      <c r="W180" s="1842" t="n"/>
      <c r="X180" s="1842" t="n"/>
      <c r="Y180" s="1842" t="n"/>
      <c r="Z180" s="1842" t="n"/>
      <c r="AA180" s="1842" t="n"/>
      <c r="AB180" s="1842" t="n"/>
      <c r="AC180" s="1842" t="n"/>
      <c r="AD180" s="1842" t="n"/>
      <c r="AE180" s="1842" t="n"/>
      <c r="AF180" s="1842" t="n"/>
    </row>
    <row r="181" ht="13.5" customHeight="1" s="1883">
      <c r="A181" s="1856" t="n"/>
      <c r="B181" s="1856" t="n"/>
      <c r="C181" s="1856" t="n"/>
      <c r="D181" s="1842" t="n"/>
      <c r="E181" s="1842" t="n"/>
      <c r="F181" s="1842" t="n"/>
      <c r="G181" s="1842" t="n"/>
      <c r="H181" s="1842" t="n"/>
      <c r="I181" s="1842" t="n"/>
      <c r="J181" s="1842" t="n"/>
      <c r="K181" s="1842" t="n"/>
      <c r="L181" s="1842" t="n"/>
      <c r="M181" s="1842" t="n"/>
      <c r="N181" s="1842" t="n"/>
      <c r="O181" s="1842" t="n"/>
      <c r="P181" s="1842" t="n"/>
      <c r="Q181" s="1842" t="n"/>
      <c r="R181" s="1842" t="n"/>
      <c r="S181" s="1842" t="n"/>
      <c r="T181" s="1842" t="n"/>
      <c r="U181" s="1842" t="n"/>
      <c r="V181" s="1842" t="n"/>
      <c r="W181" s="1842" t="n"/>
      <c r="X181" s="1842" t="n"/>
      <c r="Y181" s="1842" t="n"/>
      <c r="Z181" s="1842" t="n"/>
      <c r="AA181" s="1842" t="n"/>
      <c r="AB181" s="1842" t="n"/>
      <c r="AC181" s="1842" t="n"/>
      <c r="AD181" s="1842" t="n"/>
      <c r="AE181" s="1842" t="n"/>
      <c r="AF181" s="1842" t="n"/>
    </row>
    <row r="182" ht="13.5" customHeight="1" s="1883">
      <c r="A182" s="1856" t="n"/>
      <c r="B182" s="1856" t="n"/>
      <c r="C182" s="1856" t="n"/>
      <c r="D182" s="1842" t="n"/>
      <c r="E182" s="1842" t="n"/>
      <c r="F182" s="1842" t="n"/>
      <c r="G182" s="1842" t="n"/>
      <c r="H182" s="1842" t="n"/>
      <c r="I182" s="1842" t="n"/>
      <c r="J182" s="1842" t="n"/>
      <c r="K182" s="1842" t="n"/>
      <c r="L182" s="1842" t="n"/>
      <c r="M182" s="1842" t="n"/>
      <c r="N182" s="1842" t="n"/>
      <c r="O182" s="1842" t="n"/>
      <c r="P182" s="1842" t="n"/>
      <c r="Q182" s="1842" t="n"/>
      <c r="R182" s="1842" t="n"/>
      <c r="S182" s="1842" t="n"/>
      <c r="T182" s="1842" t="n"/>
      <c r="U182" s="1842" t="n"/>
      <c r="V182" s="1842" t="n"/>
      <c r="W182" s="1842" t="n"/>
      <c r="X182" s="1842" t="n"/>
      <c r="Y182" s="1842" t="n"/>
      <c r="Z182" s="1842" t="n"/>
      <c r="AA182" s="1842" t="n"/>
      <c r="AB182" s="1842" t="n"/>
      <c r="AC182" s="1842" t="n"/>
      <c r="AD182" s="1842" t="n"/>
      <c r="AE182" s="1842" t="n"/>
      <c r="AF182" s="1842" t="n"/>
    </row>
    <row r="183" ht="13.5" customHeight="1" s="1883">
      <c r="A183" s="1856" t="n"/>
      <c r="B183" s="1856" t="n"/>
      <c r="C183" s="1856" t="n"/>
      <c r="D183" s="1842" t="n"/>
      <c r="E183" s="1842" t="n"/>
      <c r="F183" s="1842" t="n"/>
      <c r="G183" s="1842" t="n"/>
      <c r="H183" s="1842" t="n"/>
      <c r="I183" s="1842" t="n"/>
      <c r="J183" s="1842" t="n"/>
      <c r="K183" s="1842" t="n"/>
      <c r="L183" s="1842" t="n"/>
      <c r="M183" s="1842" t="n"/>
      <c r="N183" s="1842" t="n"/>
      <c r="O183" s="1842" t="n"/>
      <c r="P183" s="1842" t="n"/>
      <c r="Q183" s="1842" t="n"/>
      <c r="R183" s="1842" t="n"/>
      <c r="S183" s="1842" t="n"/>
      <c r="T183" s="1842" t="n"/>
      <c r="U183" s="1842" t="n"/>
      <c r="V183" s="1842" t="n"/>
      <c r="W183" s="1842" t="n"/>
      <c r="X183" s="1842" t="n"/>
      <c r="Y183" s="1842" t="n"/>
      <c r="Z183" s="1842" t="n"/>
      <c r="AA183" s="1842" t="n"/>
      <c r="AB183" s="1842" t="n"/>
      <c r="AC183" s="1842" t="n"/>
      <c r="AD183" s="1842" t="n"/>
      <c r="AE183" s="1842" t="n"/>
      <c r="AF183" s="1842" t="n"/>
    </row>
    <row r="184" ht="13.5" customHeight="1" s="1883">
      <c r="A184" s="1856" t="n"/>
      <c r="B184" s="1856" t="n"/>
      <c r="C184" s="1856" t="n"/>
      <c r="D184" s="1842" t="n"/>
      <c r="E184" s="1842" t="n"/>
      <c r="F184" s="1842" t="n"/>
      <c r="G184" s="1842" t="n"/>
      <c r="H184" s="1842" t="n"/>
      <c r="I184" s="1842" t="n"/>
      <c r="J184" s="1842" t="n"/>
      <c r="K184" s="1842" t="n"/>
      <c r="L184" s="1842" t="n"/>
      <c r="M184" s="1842" t="n"/>
      <c r="N184" s="1842" t="n"/>
      <c r="O184" s="1842" t="n"/>
      <c r="P184" s="1842" t="n"/>
      <c r="Q184" s="1842" t="n"/>
      <c r="R184" s="1842" t="n"/>
      <c r="S184" s="1842" t="n"/>
      <c r="T184" s="1842" t="n"/>
      <c r="U184" s="1842" t="n"/>
      <c r="V184" s="1842" t="n"/>
      <c r="W184" s="1842" t="n"/>
      <c r="X184" s="1842" t="n"/>
      <c r="Y184" s="1842" t="n"/>
      <c r="Z184" s="1842" t="n"/>
      <c r="AA184" s="1842" t="n"/>
      <c r="AB184" s="1842" t="n"/>
      <c r="AC184" s="1842" t="n"/>
      <c r="AD184" s="1842" t="n"/>
      <c r="AE184" s="1842" t="n"/>
      <c r="AF184" s="1842" t="n"/>
    </row>
    <row r="185" ht="13.5" customHeight="1" s="1883">
      <c r="A185" s="1856" t="n"/>
      <c r="B185" s="1856" t="n"/>
      <c r="C185" s="1856" t="n"/>
      <c r="D185" s="1842" t="n"/>
      <c r="E185" s="1842" t="n"/>
      <c r="F185" s="1842" t="n"/>
      <c r="G185" s="1842" t="n"/>
      <c r="H185" s="1842" t="n"/>
      <c r="I185" s="1842" t="n"/>
      <c r="J185" s="1842" t="n"/>
      <c r="K185" s="1842" t="n"/>
      <c r="L185" s="1842" t="n"/>
      <c r="M185" s="1842" t="n"/>
      <c r="N185" s="1842" t="n"/>
      <c r="O185" s="1842" t="n"/>
      <c r="P185" s="1842" t="n"/>
      <c r="Q185" s="1842" t="n"/>
      <c r="R185" s="1842" t="n"/>
      <c r="S185" s="1842" t="n"/>
      <c r="T185" s="1842" t="n"/>
      <c r="U185" s="1842" t="n"/>
      <c r="V185" s="1842" t="n"/>
      <c r="W185" s="1842" t="n"/>
      <c r="X185" s="1842" t="n"/>
      <c r="Y185" s="1842" t="n"/>
      <c r="Z185" s="1842" t="n"/>
      <c r="AA185" s="1842" t="n"/>
      <c r="AB185" s="1842" t="n"/>
      <c r="AC185" s="1842" t="n"/>
      <c r="AD185" s="1842" t="n"/>
      <c r="AE185" s="1842" t="n"/>
      <c r="AF185" s="1842" t="n"/>
    </row>
    <row r="186" ht="13.5" customHeight="1" s="1883">
      <c r="A186" s="1856" t="n"/>
      <c r="B186" s="1856" t="n"/>
      <c r="C186" s="1856" t="n"/>
      <c r="D186" s="1842" t="n"/>
      <c r="E186" s="1842" t="n"/>
      <c r="F186" s="1842" t="n"/>
      <c r="G186" s="1842" t="n"/>
      <c r="H186" s="1842" t="n"/>
      <c r="I186" s="1842" t="n"/>
      <c r="J186" s="1842" t="n"/>
      <c r="K186" s="1842" t="n"/>
      <c r="L186" s="1842" t="n"/>
      <c r="M186" s="1842" t="n"/>
      <c r="N186" s="1842" t="n"/>
      <c r="O186" s="1842" t="n"/>
      <c r="P186" s="1842" t="n"/>
      <c r="Q186" s="1842" t="n"/>
      <c r="R186" s="1842" t="n"/>
      <c r="S186" s="1842" t="n"/>
      <c r="T186" s="1842" t="n"/>
      <c r="U186" s="1842" t="n"/>
      <c r="V186" s="1842" t="n"/>
      <c r="W186" s="1842" t="n"/>
      <c r="X186" s="1842" t="n"/>
      <c r="Y186" s="1842" t="n"/>
      <c r="Z186" s="1842" t="n"/>
      <c r="AA186" s="1842" t="n"/>
      <c r="AB186" s="1842" t="n"/>
      <c r="AC186" s="1842" t="n"/>
      <c r="AD186" s="1842" t="n"/>
      <c r="AE186" s="1842" t="n"/>
      <c r="AF186" s="1842" t="n"/>
    </row>
    <row r="187" ht="13.5" customHeight="1" s="1883">
      <c r="A187" s="1856" t="n"/>
      <c r="B187" s="1856" t="n"/>
      <c r="C187" s="1856" t="n"/>
      <c r="D187" s="1842" t="n"/>
      <c r="E187" s="1842" t="n"/>
      <c r="F187" s="1842" t="n"/>
      <c r="G187" s="1842" t="n"/>
      <c r="H187" s="1842" t="n"/>
      <c r="I187" s="1842" t="n"/>
      <c r="J187" s="1842" t="n"/>
      <c r="K187" s="1842" t="n"/>
      <c r="L187" s="1842" t="n"/>
      <c r="M187" s="1842" t="n"/>
      <c r="N187" s="1842" t="n"/>
      <c r="O187" s="1842" t="n"/>
      <c r="P187" s="1842" t="n"/>
      <c r="Q187" s="1842" t="n"/>
      <c r="R187" s="1842" t="n"/>
      <c r="S187" s="1842" t="n"/>
      <c r="T187" s="1842" t="n"/>
      <c r="U187" s="1842" t="n"/>
      <c r="V187" s="1842" t="n"/>
      <c r="W187" s="1842" t="n"/>
      <c r="X187" s="1842" t="n"/>
      <c r="Y187" s="1842" t="n"/>
      <c r="Z187" s="1842" t="n"/>
      <c r="AA187" s="1842" t="n"/>
      <c r="AB187" s="1842" t="n"/>
      <c r="AC187" s="1842" t="n"/>
      <c r="AD187" s="1842" t="n"/>
      <c r="AE187" s="1842" t="n"/>
      <c r="AF187" s="1842" t="n"/>
    </row>
    <row r="188" ht="13.5" customHeight="1" s="1883">
      <c r="A188" s="1856" t="n"/>
      <c r="B188" s="1856" t="n"/>
      <c r="C188" s="1856" t="n"/>
      <c r="D188" s="1842" t="n"/>
      <c r="E188" s="1842" t="n"/>
      <c r="F188" s="1842" t="n"/>
      <c r="G188" s="1842" t="n"/>
      <c r="H188" s="1842" t="n"/>
      <c r="I188" s="1842" t="n"/>
      <c r="J188" s="1842" t="n"/>
      <c r="K188" s="1842" t="n"/>
      <c r="L188" s="1842" t="n"/>
      <c r="M188" s="1842" t="n"/>
      <c r="N188" s="1842" t="n"/>
      <c r="O188" s="1842" t="n"/>
      <c r="P188" s="1842" t="n"/>
      <c r="Q188" s="1842" t="n"/>
      <c r="R188" s="1842" t="n"/>
      <c r="S188" s="1842" t="n"/>
      <c r="T188" s="1842" t="n"/>
      <c r="U188" s="1842" t="n"/>
      <c r="V188" s="1842" t="n"/>
      <c r="W188" s="1842" t="n"/>
      <c r="X188" s="1842" t="n"/>
      <c r="Y188" s="1842" t="n"/>
      <c r="Z188" s="1842" t="n"/>
      <c r="AA188" s="1842" t="n"/>
      <c r="AB188" s="1842" t="n"/>
      <c r="AC188" s="1842" t="n"/>
      <c r="AD188" s="1842" t="n"/>
      <c r="AE188" s="1842" t="n"/>
      <c r="AF188" s="1842" t="n"/>
    </row>
    <row r="189" ht="13.5" customHeight="1" s="1883">
      <c r="A189" s="1856" t="n"/>
      <c r="B189" s="1856" t="n"/>
      <c r="C189" s="1856" t="n"/>
      <c r="D189" s="1842" t="n"/>
      <c r="E189" s="1842" t="n"/>
      <c r="F189" s="1842" t="n"/>
      <c r="G189" s="1842" t="n"/>
      <c r="H189" s="1842" t="n"/>
      <c r="I189" s="1842" t="n"/>
      <c r="J189" s="1842" t="n"/>
      <c r="K189" s="1842" t="n"/>
      <c r="L189" s="1842" t="n"/>
      <c r="M189" s="1842" t="n"/>
      <c r="N189" s="1842" t="n"/>
      <c r="O189" s="1842" t="n"/>
      <c r="P189" s="1842" t="n"/>
      <c r="Q189" s="1842" t="n"/>
      <c r="R189" s="1842" t="n"/>
      <c r="S189" s="1842" t="n"/>
      <c r="T189" s="1842" t="n"/>
      <c r="U189" s="1842" t="n"/>
      <c r="V189" s="1842" t="n"/>
      <c r="W189" s="1842" t="n"/>
      <c r="X189" s="1842" t="n"/>
      <c r="Y189" s="1842" t="n"/>
      <c r="Z189" s="1842" t="n"/>
      <c r="AA189" s="1842" t="n"/>
      <c r="AB189" s="1842" t="n"/>
      <c r="AC189" s="1842" t="n"/>
      <c r="AD189" s="1842" t="n"/>
      <c r="AE189" s="1842" t="n"/>
      <c r="AF189" s="1842" t="n"/>
    </row>
    <row r="190" ht="13.5" customHeight="1" s="1883">
      <c r="A190" s="1856" t="n"/>
      <c r="B190" s="1856" t="n"/>
      <c r="C190" s="1856" t="n"/>
      <c r="D190" s="1842" t="n"/>
      <c r="E190" s="1842" t="n"/>
      <c r="F190" s="1842" t="n"/>
      <c r="G190" s="1842" t="n"/>
      <c r="H190" s="1842" t="n"/>
      <c r="I190" s="1842" t="n"/>
      <c r="J190" s="1842" t="n"/>
      <c r="K190" s="1842" t="n"/>
      <c r="L190" s="1842" t="n"/>
      <c r="M190" s="1842" t="n"/>
      <c r="N190" s="1842" t="n"/>
      <c r="O190" s="1842" t="n"/>
      <c r="P190" s="1842" t="n"/>
      <c r="Q190" s="1842" t="n"/>
      <c r="R190" s="1842" t="n"/>
      <c r="S190" s="1842" t="n"/>
      <c r="T190" s="1842" t="n"/>
      <c r="U190" s="1842" t="n"/>
      <c r="V190" s="1842" t="n"/>
      <c r="W190" s="1842" t="n"/>
      <c r="X190" s="1842" t="n"/>
      <c r="Y190" s="1842" t="n"/>
      <c r="Z190" s="1842" t="n"/>
      <c r="AA190" s="1842" t="n"/>
      <c r="AB190" s="1842" t="n"/>
      <c r="AC190" s="1842" t="n"/>
      <c r="AD190" s="1842" t="n"/>
      <c r="AE190" s="1842" t="n"/>
      <c r="AF190" s="1842" t="n"/>
    </row>
    <row r="191" ht="13.5" customHeight="1" s="1883">
      <c r="A191" s="1856" t="n"/>
      <c r="B191" s="1856" t="n"/>
      <c r="C191" s="1856" t="n"/>
      <c r="D191" s="1842" t="n"/>
      <c r="E191" s="1842" t="n"/>
      <c r="F191" s="1842" t="n"/>
      <c r="G191" s="1842" t="n"/>
      <c r="H191" s="1842" t="n"/>
      <c r="I191" s="1842" t="n"/>
      <c r="J191" s="1842" t="n"/>
      <c r="K191" s="1842" t="n"/>
      <c r="L191" s="1842" t="n"/>
      <c r="M191" s="1842" t="n"/>
      <c r="N191" s="1842" t="n"/>
      <c r="O191" s="1842" t="n"/>
      <c r="P191" s="1842" t="n"/>
      <c r="Q191" s="1842" t="n"/>
      <c r="R191" s="1842" t="n"/>
      <c r="S191" s="1842" t="n"/>
      <c r="T191" s="1842" t="n"/>
      <c r="U191" s="1842" t="n"/>
      <c r="V191" s="1842" t="n"/>
      <c r="W191" s="1842" t="n"/>
      <c r="X191" s="1842" t="n"/>
      <c r="Y191" s="1842" t="n"/>
      <c r="Z191" s="1842" t="n"/>
      <c r="AA191" s="1842" t="n"/>
      <c r="AB191" s="1842" t="n"/>
      <c r="AC191" s="1842" t="n"/>
      <c r="AD191" s="1842" t="n"/>
      <c r="AE191" s="1842" t="n"/>
      <c r="AF191" s="1842" t="n"/>
    </row>
    <row r="192" ht="13.5" customHeight="1" s="1883">
      <c r="A192" s="1856" t="n"/>
      <c r="B192" s="1856" t="n"/>
      <c r="C192" s="1856" t="n"/>
      <c r="D192" s="1842" t="n"/>
      <c r="E192" s="1842" t="n"/>
      <c r="F192" s="1842" t="n"/>
      <c r="G192" s="1842" t="n"/>
      <c r="H192" s="1842" t="n"/>
      <c r="I192" s="1842" t="n"/>
      <c r="J192" s="1842" t="n"/>
      <c r="K192" s="1842" t="n"/>
      <c r="L192" s="1842" t="n"/>
      <c r="M192" s="1842" t="n"/>
      <c r="N192" s="1842" t="n"/>
      <c r="O192" s="1842" t="n"/>
      <c r="P192" s="1842" t="n"/>
      <c r="Q192" s="1842" t="n"/>
      <c r="R192" s="1842" t="n"/>
      <c r="S192" s="1842" t="n"/>
      <c r="T192" s="1842" t="n"/>
      <c r="U192" s="1842" t="n"/>
      <c r="V192" s="1842" t="n"/>
      <c r="W192" s="1842" t="n"/>
      <c r="X192" s="1842" t="n"/>
      <c r="Y192" s="1842" t="n"/>
      <c r="Z192" s="1842" t="n"/>
      <c r="AA192" s="1842" t="n"/>
      <c r="AB192" s="1842" t="n"/>
      <c r="AC192" s="1842" t="n"/>
      <c r="AD192" s="1842" t="n"/>
      <c r="AE192" s="1842" t="n"/>
      <c r="AF192" s="1842" t="n"/>
    </row>
    <row r="193" ht="13.5" customHeight="1" s="1883">
      <c r="A193" s="1856" t="n"/>
      <c r="B193" s="1856" t="n"/>
      <c r="C193" s="1856" t="n"/>
      <c r="D193" s="1842" t="n"/>
      <c r="E193" s="1842" t="n"/>
      <c r="F193" s="1842" t="n"/>
      <c r="G193" s="1842" t="n"/>
      <c r="H193" s="1842" t="n"/>
      <c r="I193" s="1842" t="n"/>
      <c r="J193" s="1842" t="n"/>
      <c r="K193" s="1842" t="n"/>
      <c r="L193" s="1842" t="n"/>
      <c r="M193" s="1842" t="n"/>
      <c r="N193" s="1842" t="n"/>
      <c r="O193" s="1842" t="n"/>
      <c r="P193" s="1842" t="n"/>
      <c r="Q193" s="1842" t="n"/>
      <c r="R193" s="1842" t="n"/>
      <c r="S193" s="1842" t="n"/>
      <c r="T193" s="1842" t="n"/>
      <c r="U193" s="1842" t="n"/>
      <c r="V193" s="1842" t="n"/>
      <c r="W193" s="1842" t="n"/>
      <c r="X193" s="1842" t="n"/>
      <c r="Y193" s="1842" t="n"/>
      <c r="Z193" s="1842" t="n"/>
      <c r="AA193" s="1842" t="n"/>
      <c r="AB193" s="1842" t="n"/>
      <c r="AC193" s="1842" t="n"/>
      <c r="AD193" s="1842" t="n"/>
      <c r="AE193" s="1842" t="n"/>
      <c r="AF193" s="1842" t="n"/>
    </row>
    <row r="194" ht="13.5" customHeight="1" s="1883">
      <c r="A194" s="1856" t="n"/>
      <c r="B194" s="1856" t="n"/>
      <c r="C194" s="1856" t="n"/>
      <c r="D194" s="1842" t="n"/>
      <c r="E194" s="1842" t="n"/>
      <c r="F194" s="1842" t="n"/>
      <c r="G194" s="1842" t="n"/>
      <c r="H194" s="1842" t="n"/>
      <c r="I194" s="1842" t="n"/>
      <c r="J194" s="1842" t="n"/>
      <c r="K194" s="1842" t="n"/>
      <c r="L194" s="1842" t="n"/>
      <c r="M194" s="1842" t="n"/>
      <c r="N194" s="1842" t="n"/>
      <c r="O194" s="1842" t="n"/>
      <c r="P194" s="1842" t="n"/>
      <c r="Q194" s="1842" t="n"/>
      <c r="R194" s="1842" t="n"/>
      <c r="S194" s="1842" t="n"/>
      <c r="T194" s="1842" t="n"/>
      <c r="U194" s="1842" t="n"/>
      <c r="V194" s="1842" t="n"/>
      <c r="W194" s="1842" t="n"/>
      <c r="X194" s="1842" t="n"/>
      <c r="Y194" s="1842" t="n"/>
      <c r="Z194" s="1842" t="n"/>
      <c r="AA194" s="1842" t="n"/>
      <c r="AB194" s="1842" t="n"/>
      <c r="AC194" s="1842" t="n"/>
      <c r="AD194" s="1842" t="n"/>
      <c r="AE194" s="1842" t="n"/>
      <c r="AF194" s="1842" t="n"/>
    </row>
    <row r="195" ht="13.5" customHeight="1" s="1883">
      <c r="A195" s="1856" t="n"/>
      <c r="B195" s="1856" t="n"/>
      <c r="C195" s="1856" t="n"/>
      <c r="D195" s="1842" t="n"/>
      <c r="E195" s="1842" t="n"/>
      <c r="F195" s="1842" t="n"/>
      <c r="G195" s="1842" t="n"/>
      <c r="H195" s="1842" t="n"/>
      <c r="I195" s="1842" t="n"/>
      <c r="J195" s="1842" t="n"/>
      <c r="K195" s="1842" t="n"/>
      <c r="L195" s="1842" t="n"/>
      <c r="M195" s="1842" t="n"/>
      <c r="N195" s="1842" t="n"/>
      <c r="O195" s="1842" t="n"/>
      <c r="P195" s="1842" t="n"/>
      <c r="Q195" s="1842" t="n"/>
      <c r="R195" s="1842" t="n"/>
      <c r="S195" s="1842" t="n"/>
      <c r="T195" s="1842" t="n"/>
      <c r="U195" s="1842" t="n"/>
      <c r="V195" s="1842" t="n"/>
      <c r="W195" s="1842" t="n"/>
      <c r="X195" s="1842" t="n"/>
      <c r="Y195" s="1842" t="n"/>
      <c r="Z195" s="1842" t="n"/>
      <c r="AA195" s="1842" t="n"/>
      <c r="AB195" s="1842" t="n"/>
      <c r="AC195" s="1842" t="n"/>
      <c r="AD195" s="1842" t="n"/>
      <c r="AE195" s="1842" t="n"/>
      <c r="AF195" s="1842" t="n"/>
    </row>
    <row r="196" ht="13.5" customHeight="1" s="1883">
      <c r="A196" s="1856" t="n"/>
      <c r="B196" s="1856" t="n"/>
      <c r="C196" s="1856" t="n"/>
      <c r="D196" s="1842" t="n"/>
      <c r="E196" s="1842" t="n"/>
      <c r="F196" s="1842" t="n"/>
      <c r="G196" s="1842" t="n"/>
      <c r="H196" s="1842" t="n"/>
      <c r="I196" s="1842" t="n"/>
      <c r="J196" s="1842" t="n"/>
      <c r="K196" s="1842" t="n"/>
      <c r="L196" s="1842" t="n"/>
      <c r="M196" s="1842" t="n"/>
      <c r="N196" s="1842" t="n"/>
      <c r="O196" s="1842" t="n"/>
      <c r="P196" s="1842" t="n"/>
      <c r="Q196" s="1842" t="n"/>
      <c r="R196" s="1842" t="n"/>
      <c r="S196" s="1842" t="n"/>
      <c r="T196" s="1842" t="n"/>
      <c r="U196" s="1842" t="n"/>
      <c r="V196" s="1842" t="n"/>
      <c r="W196" s="1842" t="n"/>
      <c r="X196" s="1842" t="n"/>
      <c r="Y196" s="1842" t="n"/>
      <c r="Z196" s="1842" t="n"/>
      <c r="AA196" s="1842" t="n"/>
      <c r="AB196" s="1842" t="n"/>
      <c r="AC196" s="1842" t="n"/>
      <c r="AD196" s="1842" t="n"/>
      <c r="AE196" s="1842" t="n"/>
      <c r="AF196" s="1842" t="n"/>
    </row>
    <row r="197" ht="13.5" customHeight="1" s="1883">
      <c r="A197" s="1856" t="n"/>
      <c r="B197" s="1856" t="n"/>
      <c r="C197" s="1856" t="n"/>
      <c r="D197" s="1842" t="n"/>
      <c r="E197" s="1842" t="n"/>
      <c r="F197" s="1842" t="n"/>
      <c r="G197" s="1842" t="n"/>
      <c r="H197" s="1842" t="n"/>
      <c r="I197" s="1842" t="n"/>
      <c r="J197" s="1842" t="n"/>
      <c r="K197" s="1842" t="n"/>
      <c r="L197" s="1842" t="n"/>
      <c r="M197" s="1842" t="n"/>
      <c r="N197" s="1842" t="n"/>
      <c r="O197" s="1842" t="n"/>
      <c r="P197" s="1842" t="n"/>
      <c r="Q197" s="1842" t="n"/>
      <c r="R197" s="1842" t="n"/>
      <c r="S197" s="1842" t="n"/>
      <c r="T197" s="1842" t="n"/>
      <c r="U197" s="1842" t="n"/>
      <c r="V197" s="1842" t="n"/>
      <c r="W197" s="1842" t="n"/>
      <c r="X197" s="1842" t="n"/>
      <c r="Y197" s="1842" t="n"/>
      <c r="Z197" s="1842" t="n"/>
      <c r="AA197" s="1842" t="n"/>
      <c r="AB197" s="1842" t="n"/>
      <c r="AC197" s="1842" t="n"/>
      <c r="AD197" s="1842" t="n"/>
      <c r="AE197" s="1842" t="n"/>
      <c r="AF197" s="1842" t="n"/>
    </row>
    <row r="198" ht="13.5" customHeight="1" s="1883">
      <c r="A198" s="1856" t="n"/>
      <c r="B198" s="1856" t="n"/>
      <c r="C198" s="1856" t="n"/>
      <c r="D198" s="1842" t="n"/>
      <c r="E198" s="1842" t="n"/>
      <c r="F198" s="1842" t="n"/>
      <c r="G198" s="1842" t="n"/>
      <c r="H198" s="1842" t="n"/>
      <c r="I198" s="1842" t="n"/>
      <c r="J198" s="1842" t="n"/>
      <c r="K198" s="1842" t="n"/>
      <c r="L198" s="1842" t="n"/>
      <c r="M198" s="1842" t="n"/>
      <c r="N198" s="1842" t="n"/>
      <c r="O198" s="1842" t="n"/>
      <c r="P198" s="1842" t="n"/>
      <c r="Q198" s="1842" t="n"/>
      <c r="R198" s="1842" t="n"/>
      <c r="S198" s="1842" t="n"/>
      <c r="T198" s="1842" t="n"/>
      <c r="U198" s="1842" t="n"/>
      <c r="V198" s="1842" t="n"/>
      <c r="W198" s="1842" t="n"/>
      <c r="X198" s="1842" t="n"/>
      <c r="Y198" s="1842" t="n"/>
      <c r="Z198" s="1842" t="n"/>
      <c r="AA198" s="1842" t="n"/>
      <c r="AB198" s="1842" t="n"/>
      <c r="AC198" s="1842" t="n"/>
      <c r="AD198" s="1842" t="n"/>
      <c r="AE198" s="1842" t="n"/>
      <c r="AF198" s="1842" t="n"/>
    </row>
    <row r="199" ht="13.5" customHeight="1" s="1883">
      <c r="A199" s="1856" t="n"/>
      <c r="B199" s="1856" t="n"/>
      <c r="C199" s="1856" t="n"/>
      <c r="D199" s="1842" t="n"/>
      <c r="E199" s="1842" t="n"/>
      <c r="F199" s="1842" t="n"/>
      <c r="G199" s="1842" t="n"/>
      <c r="H199" s="1842" t="n"/>
      <c r="I199" s="1842" t="n"/>
      <c r="J199" s="1842" t="n"/>
      <c r="K199" s="1842" t="n"/>
      <c r="L199" s="1842" t="n"/>
      <c r="M199" s="1842" t="n"/>
      <c r="N199" s="1842" t="n"/>
      <c r="O199" s="1842" t="n"/>
      <c r="P199" s="1842" t="n"/>
      <c r="Q199" s="1842" t="n"/>
      <c r="R199" s="1842" t="n"/>
      <c r="S199" s="1842" t="n"/>
      <c r="T199" s="1842" t="n"/>
      <c r="U199" s="1842" t="n"/>
      <c r="V199" s="1842" t="n"/>
      <c r="W199" s="1842" t="n"/>
      <c r="X199" s="1842" t="n"/>
      <c r="Y199" s="1842" t="n"/>
      <c r="Z199" s="1842" t="n"/>
      <c r="AA199" s="1842" t="n"/>
      <c r="AB199" s="1842" t="n"/>
      <c r="AC199" s="1842" t="n"/>
      <c r="AD199" s="1842" t="n"/>
      <c r="AE199" s="1842" t="n"/>
      <c r="AF199" s="1842" t="n"/>
    </row>
    <row r="200" ht="13.5" customHeight="1" s="1883">
      <c r="A200" s="1856" t="n"/>
      <c r="B200" s="1856" t="n"/>
      <c r="C200" s="1856" t="n"/>
      <c r="D200" s="1842" t="n"/>
      <c r="E200" s="1842" t="n"/>
      <c r="F200" s="1842" t="n"/>
      <c r="G200" s="1842" t="n"/>
      <c r="H200" s="1842" t="n"/>
      <c r="I200" s="1842" t="n"/>
      <c r="J200" s="1842" t="n"/>
      <c r="K200" s="1842" t="n"/>
      <c r="L200" s="1842" t="n"/>
      <c r="M200" s="1842" t="n"/>
      <c r="N200" s="1842" t="n"/>
      <c r="O200" s="1842" t="n"/>
      <c r="P200" s="1842" t="n"/>
      <c r="Q200" s="1842" t="n"/>
      <c r="R200" s="1842" t="n"/>
      <c r="S200" s="1842" t="n"/>
      <c r="T200" s="1842" t="n"/>
      <c r="U200" s="1842" t="n"/>
      <c r="V200" s="1842" t="n"/>
      <c r="W200" s="1842" t="n"/>
      <c r="X200" s="1842" t="n"/>
      <c r="Y200" s="1842" t="n"/>
      <c r="Z200" s="1842" t="n"/>
      <c r="AA200" s="1842" t="n"/>
      <c r="AB200" s="1842" t="n"/>
      <c r="AC200" s="1842" t="n"/>
      <c r="AD200" s="1842" t="n"/>
      <c r="AE200" s="1842" t="n"/>
      <c r="AF200" s="1842" t="n"/>
    </row>
    <row r="201" ht="13.5" customHeight="1" s="1883">
      <c r="A201" s="1856" t="n"/>
      <c r="B201" s="1856" t="n"/>
      <c r="C201" s="1856" t="n"/>
      <c r="D201" s="1842" t="n"/>
      <c r="E201" s="1842" t="n"/>
      <c r="F201" s="1842" t="n"/>
      <c r="G201" s="1842" t="n"/>
      <c r="H201" s="1842" t="n"/>
      <c r="I201" s="1842" t="n"/>
      <c r="J201" s="1842" t="n"/>
      <c r="K201" s="1842" t="n"/>
      <c r="L201" s="1842" t="n"/>
      <c r="M201" s="1842" t="n"/>
      <c r="N201" s="1842" t="n"/>
      <c r="O201" s="1842" t="n"/>
      <c r="P201" s="1842" t="n"/>
      <c r="Q201" s="1842" t="n"/>
      <c r="R201" s="1842" t="n"/>
      <c r="S201" s="1842" t="n"/>
      <c r="T201" s="1842" t="n"/>
      <c r="U201" s="1842" t="n"/>
      <c r="V201" s="1842" t="n"/>
      <c r="W201" s="1842" t="n"/>
      <c r="X201" s="1842" t="n"/>
      <c r="Y201" s="1842" t="n"/>
      <c r="Z201" s="1842" t="n"/>
      <c r="AA201" s="1842" t="n"/>
      <c r="AB201" s="1842" t="n"/>
      <c r="AC201" s="1842" t="n"/>
      <c r="AD201" s="1842" t="n"/>
      <c r="AE201" s="1842" t="n"/>
      <c r="AF201" s="1842" t="n"/>
    </row>
    <row r="202" ht="13.5" customHeight="1" s="1883">
      <c r="A202" s="1856" t="n"/>
      <c r="B202" s="1856" t="n"/>
      <c r="C202" s="1856" t="n"/>
      <c r="D202" s="1842" t="n"/>
      <c r="E202" s="1842" t="n"/>
      <c r="F202" s="1842" t="n"/>
      <c r="G202" s="1842" t="n"/>
      <c r="H202" s="1842" t="n"/>
      <c r="I202" s="1842" t="n"/>
      <c r="J202" s="1842" t="n"/>
      <c r="K202" s="1842" t="n"/>
      <c r="L202" s="1842" t="n"/>
      <c r="M202" s="1842" t="n"/>
      <c r="N202" s="1842" t="n"/>
      <c r="O202" s="1842" t="n"/>
      <c r="P202" s="1842" t="n"/>
      <c r="Q202" s="1842" t="n"/>
      <c r="R202" s="1842" t="n"/>
      <c r="S202" s="1842" t="n"/>
      <c r="T202" s="1842" t="n"/>
      <c r="U202" s="1842" t="n"/>
      <c r="V202" s="1842" t="n"/>
      <c r="W202" s="1842" t="n"/>
      <c r="X202" s="1842" t="n"/>
      <c r="Y202" s="1842" t="n"/>
      <c r="Z202" s="1842" t="n"/>
      <c r="AA202" s="1842" t="n"/>
      <c r="AB202" s="1842" t="n"/>
      <c r="AC202" s="1842" t="n"/>
      <c r="AD202" s="1842" t="n"/>
      <c r="AE202" s="1842" t="n"/>
      <c r="AF202" s="1842" t="n"/>
    </row>
    <row r="203" ht="13.5" customHeight="1" s="1883">
      <c r="A203" s="1856" t="n"/>
      <c r="B203" s="1856" t="n"/>
      <c r="C203" s="1856" t="n"/>
      <c r="D203" s="1842" t="n"/>
      <c r="E203" s="1842" t="n"/>
      <c r="F203" s="1842" t="n"/>
      <c r="G203" s="1842" t="n"/>
      <c r="H203" s="1842" t="n"/>
      <c r="I203" s="1842" t="n"/>
      <c r="J203" s="1842" t="n"/>
      <c r="K203" s="1842" t="n"/>
      <c r="L203" s="1842" t="n"/>
      <c r="M203" s="1842" t="n"/>
      <c r="N203" s="1842" t="n"/>
      <c r="O203" s="1842" t="n"/>
      <c r="P203" s="1842" t="n"/>
      <c r="Q203" s="1842" t="n"/>
      <c r="R203" s="1842" t="n"/>
      <c r="S203" s="1842" t="n"/>
      <c r="T203" s="1842" t="n"/>
      <c r="U203" s="1842" t="n"/>
      <c r="V203" s="1842" t="n"/>
      <c r="W203" s="1842" t="n"/>
      <c r="X203" s="1842" t="n"/>
      <c r="Y203" s="1842" t="n"/>
      <c r="Z203" s="1842" t="n"/>
      <c r="AA203" s="1842" t="n"/>
      <c r="AB203" s="1842" t="n"/>
      <c r="AC203" s="1842" t="n"/>
      <c r="AD203" s="1842" t="n"/>
      <c r="AE203" s="1842" t="n"/>
      <c r="AF203" s="1842" t="n"/>
    </row>
    <row r="204" ht="13.5" customHeight="1" s="1883">
      <c r="A204" s="1856" t="n"/>
      <c r="B204" s="1856" t="n"/>
      <c r="C204" s="1856" t="n"/>
      <c r="D204" s="1842" t="n"/>
      <c r="E204" s="1842" t="n"/>
      <c r="F204" s="1842" t="n"/>
      <c r="G204" s="1842" t="n"/>
      <c r="H204" s="1842" t="n"/>
      <c r="I204" s="1842" t="n"/>
      <c r="J204" s="1842" t="n"/>
      <c r="K204" s="1842" t="n"/>
      <c r="L204" s="1842" t="n"/>
      <c r="M204" s="1842" t="n"/>
      <c r="N204" s="1842" t="n"/>
      <c r="O204" s="1842" t="n"/>
      <c r="P204" s="1842" t="n"/>
      <c r="Q204" s="1842" t="n"/>
      <c r="R204" s="1842" t="n"/>
      <c r="S204" s="1842" t="n"/>
      <c r="T204" s="1842" t="n"/>
      <c r="U204" s="1842" t="n"/>
      <c r="V204" s="1842" t="n"/>
      <c r="W204" s="1842" t="n"/>
      <c r="X204" s="1842" t="n"/>
      <c r="Y204" s="1842" t="n"/>
      <c r="Z204" s="1842" t="n"/>
      <c r="AA204" s="1842" t="n"/>
      <c r="AB204" s="1842" t="n"/>
      <c r="AC204" s="1842" t="n"/>
      <c r="AD204" s="1842" t="n"/>
      <c r="AE204" s="1842" t="n"/>
      <c r="AF204" s="1842" t="n"/>
    </row>
    <row r="205" ht="13.5" customHeight="1" s="1883">
      <c r="A205" s="1856" t="n"/>
      <c r="B205" s="1856" t="n"/>
      <c r="C205" s="1856" t="n"/>
      <c r="D205" s="1842" t="n"/>
      <c r="E205" s="1842" t="n"/>
      <c r="F205" s="1842" t="n"/>
      <c r="G205" s="1842" t="n"/>
      <c r="H205" s="1842" t="n"/>
      <c r="I205" s="1842" t="n"/>
      <c r="J205" s="1842" t="n"/>
      <c r="K205" s="1842" t="n"/>
      <c r="L205" s="1842" t="n"/>
      <c r="M205" s="1842" t="n"/>
      <c r="N205" s="1842" t="n"/>
      <c r="O205" s="1842" t="n"/>
      <c r="P205" s="1842" t="n"/>
      <c r="Q205" s="1842" t="n"/>
      <c r="R205" s="1842" t="n"/>
      <c r="S205" s="1842" t="n"/>
      <c r="T205" s="1842" t="n"/>
      <c r="U205" s="1842" t="n"/>
      <c r="V205" s="1842" t="n"/>
      <c r="W205" s="1842" t="n"/>
      <c r="X205" s="1842" t="n"/>
      <c r="Y205" s="1842" t="n"/>
      <c r="Z205" s="1842" t="n"/>
      <c r="AA205" s="1842" t="n"/>
      <c r="AB205" s="1842" t="n"/>
      <c r="AC205" s="1842" t="n"/>
      <c r="AD205" s="1842" t="n"/>
      <c r="AE205" s="1842" t="n"/>
      <c r="AF205" s="1842" t="n"/>
    </row>
    <row r="206" ht="13.5" customHeight="1" s="1883">
      <c r="A206" s="1856" t="n"/>
      <c r="B206" s="1856" t="n"/>
      <c r="C206" s="1856" t="n"/>
      <c r="D206" s="1842" t="n"/>
      <c r="E206" s="1842" t="n"/>
      <c r="F206" s="1842" t="n"/>
      <c r="G206" s="1842" t="n"/>
      <c r="H206" s="1842" t="n"/>
      <c r="I206" s="1842" t="n"/>
      <c r="J206" s="1842" t="n"/>
      <c r="K206" s="1842" t="n"/>
      <c r="L206" s="1842" t="n"/>
      <c r="M206" s="1842" t="n"/>
      <c r="N206" s="1842" t="n"/>
      <c r="O206" s="1842" t="n"/>
      <c r="P206" s="1842" t="n"/>
      <c r="Q206" s="1842" t="n"/>
      <c r="R206" s="1842" t="n"/>
      <c r="S206" s="1842" t="n"/>
      <c r="T206" s="1842" t="n"/>
      <c r="U206" s="1842" t="n"/>
      <c r="V206" s="1842" t="n"/>
      <c r="W206" s="1842" t="n"/>
      <c r="X206" s="1842" t="n"/>
      <c r="Y206" s="1842" t="n"/>
      <c r="Z206" s="1842" t="n"/>
      <c r="AA206" s="1842" t="n"/>
      <c r="AB206" s="1842" t="n"/>
      <c r="AC206" s="1842" t="n"/>
      <c r="AD206" s="1842" t="n"/>
      <c r="AE206" s="1842" t="n"/>
      <c r="AF206" s="1842" t="n"/>
    </row>
    <row r="207" ht="13.5" customHeight="1" s="1883">
      <c r="A207" s="1856" t="n"/>
      <c r="B207" s="1856" t="n"/>
      <c r="C207" s="1856" t="n"/>
      <c r="D207" s="1842" t="n"/>
      <c r="E207" s="1842" t="n"/>
      <c r="F207" s="1842" t="n"/>
      <c r="G207" s="1842" t="n"/>
      <c r="H207" s="1842" t="n"/>
      <c r="I207" s="1842" t="n"/>
      <c r="J207" s="1842" t="n"/>
      <c r="K207" s="1842" t="n"/>
      <c r="L207" s="1842" t="n"/>
      <c r="M207" s="1842" t="n"/>
      <c r="N207" s="1842" t="n"/>
      <c r="O207" s="1842" t="n"/>
      <c r="P207" s="1842" t="n"/>
      <c r="Q207" s="1842" t="n"/>
      <c r="R207" s="1842" t="n"/>
      <c r="S207" s="1842" t="n"/>
      <c r="T207" s="1842" t="n"/>
      <c r="U207" s="1842" t="n"/>
      <c r="V207" s="1842" t="n"/>
      <c r="W207" s="1842" t="n"/>
      <c r="X207" s="1842" t="n"/>
      <c r="Y207" s="1842" t="n"/>
      <c r="Z207" s="1842" t="n"/>
      <c r="AA207" s="1842" t="n"/>
      <c r="AB207" s="1842" t="n"/>
      <c r="AC207" s="1842" t="n"/>
      <c r="AD207" s="1842" t="n"/>
      <c r="AE207" s="1842" t="n"/>
      <c r="AF207" s="1842" t="n"/>
    </row>
    <row r="208" ht="13.5" customHeight="1" s="1883">
      <c r="A208" s="1856" t="n"/>
      <c r="B208" s="1856" t="n"/>
      <c r="C208" s="1856" t="n"/>
      <c r="D208" s="1842" t="n"/>
      <c r="E208" s="1842" t="n"/>
      <c r="F208" s="1842" t="n"/>
      <c r="G208" s="1842" t="n"/>
      <c r="H208" s="1842" t="n"/>
      <c r="I208" s="1842" t="n"/>
      <c r="J208" s="1842" t="n"/>
      <c r="K208" s="1842" t="n"/>
      <c r="L208" s="1842" t="n"/>
      <c r="M208" s="1842" t="n"/>
      <c r="N208" s="1842" t="n"/>
      <c r="O208" s="1842" t="n"/>
      <c r="P208" s="1842" t="n"/>
      <c r="Q208" s="1842" t="n"/>
      <c r="R208" s="1842" t="n"/>
      <c r="S208" s="1842" t="n"/>
      <c r="T208" s="1842" t="n"/>
      <c r="U208" s="1842" t="n"/>
      <c r="V208" s="1842" t="n"/>
      <c r="W208" s="1842" t="n"/>
      <c r="X208" s="1842" t="n"/>
      <c r="Y208" s="1842" t="n"/>
      <c r="Z208" s="1842" t="n"/>
      <c r="AA208" s="1842" t="n"/>
      <c r="AB208" s="1842" t="n"/>
      <c r="AC208" s="1842" t="n"/>
      <c r="AD208" s="1842" t="n"/>
      <c r="AE208" s="1842" t="n"/>
      <c r="AF208" s="1842" t="n"/>
    </row>
    <row r="209" ht="13.5" customHeight="1" s="1883">
      <c r="A209" s="1856" t="n"/>
      <c r="B209" s="1856" t="n"/>
      <c r="C209" s="1856" t="n"/>
      <c r="D209" s="1842" t="n"/>
      <c r="E209" s="1842" t="n"/>
      <c r="F209" s="1842" t="n"/>
      <c r="G209" s="1842" t="n"/>
      <c r="H209" s="1842" t="n"/>
      <c r="I209" s="1842" t="n"/>
      <c r="J209" s="1842" t="n"/>
      <c r="K209" s="1842" t="n"/>
      <c r="L209" s="1842" t="n"/>
      <c r="M209" s="1842" t="n"/>
      <c r="N209" s="1842" t="n"/>
      <c r="O209" s="1842" t="n"/>
      <c r="P209" s="1842" t="n"/>
      <c r="Q209" s="1842" t="n"/>
      <c r="R209" s="1842" t="n"/>
      <c r="S209" s="1842" t="n"/>
      <c r="T209" s="1842" t="n"/>
      <c r="U209" s="1842" t="n"/>
      <c r="V209" s="1842" t="n"/>
      <c r="W209" s="1842" t="n"/>
      <c r="X209" s="1842" t="n"/>
      <c r="Y209" s="1842" t="n"/>
      <c r="Z209" s="1842" t="n"/>
      <c r="AA209" s="1842" t="n"/>
      <c r="AB209" s="1842" t="n"/>
      <c r="AC209" s="1842" t="n"/>
      <c r="AD209" s="1842" t="n"/>
      <c r="AE209" s="1842" t="n"/>
      <c r="AF209" s="1842" t="n"/>
    </row>
    <row r="210" ht="13.5" customHeight="1" s="1883">
      <c r="A210" s="1856" t="n"/>
      <c r="B210" s="1856" t="n"/>
      <c r="C210" s="1856" t="n"/>
      <c r="D210" s="1842" t="n"/>
      <c r="E210" s="1842" t="n"/>
      <c r="F210" s="1842" t="n"/>
      <c r="G210" s="1842" t="n"/>
      <c r="H210" s="1842" t="n"/>
      <c r="I210" s="1842" t="n"/>
      <c r="J210" s="1842" t="n"/>
      <c r="K210" s="1842" t="n"/>
      <c r="L210" s="1842" t="n"/>
      <c r="M210" s="1842" t="n"/>
      <c r="N210" s="1842" t="n"/>
      <c r="O210" s="1842" t="n"/>
      <c r="P210" s="1842" t="n"/>
      <c r="Q210" s="1842" t="n"/>
      <c r="R210" s="1842" t="n"/>
      <c r="S210" s="1842" t="n"/>
      <c r="T210" s="1842" t="n"/>
      <c r="U210" s="1842" t="n"/>
      <c r="V210" s="1842" t="n"/>
      <c r="W210" s="1842" t="n"/>
      <c r="X210" s="1842" t="n"/>
      <c r="Y210" s="1842" t="n"/>
      <c r="Z210" s="1842" t="n"/>
      <c r="AA210" s="1842" t="n"/>
      <c r="AB210" s="1842" t="n"/>
      <c r="AC210" s="1842" t="n"/>
      <c r="AD210" s="1842" t="n"/>
      <c r="AE210" s="1842" t="n"/>
      <c r="AF210" s="1842" t="n"/>
    </row>
    <row r="211" ht="13.5" customHeight="1" s="1883">
      <c r="A211" s="1856" t="n"/>
      <c r="B211" s="1856" t="n"/>
      <c r="C211" s="1856" t="n"/>
      <c r="D211" s="1842" t="n"/>
      <c r="E211" s="1842" t="n"/>
      <c r="F211" s="1842" t="n"/>
      <c r="G211" s="1842" t="n"/>
      <c r="H211" s="1842" t="n"/>
      <c r="I211" s="1842" t="n"/>
      <c r="J211" s="1842" t="n"/>
      <c r="K211" s="1842" t="n"/>
      <c r="L211" s="1842" t="n"/>
      <c r="M211" s="1842" t="n"/>
      <c r="N211" s="1842" t="n"/>
      <c r="O211" s="1842" t="n"/>
      <c r="P211" s="1842" t="n"/>
      <c r="Q211" s="1842" t="n"/>
      <c r="R211" s="1842" t="n"/>
      <c r="S211" s="1842" t="n"/>
      <c r="T211" s="1842" t="n"/>
      <c r="U211" s="1842" t="n"/>
      <c r="V211" s="1842" t="n"/>
      <c r="W211" s="1842" t="n"/>
      <c r="X211" s="1842" t="n"/>
      <c r="Y211" s="1842" t="n"/>
      <c r="Z211" s="1842" t="n"/>
      <c r="AA211" s="1842" t="n"/>
      <c r="AB211" s="1842" t="n"/>
      <c r="AC211" s="1842" t="n"/>
      <c r="AD211" s="1842" t="n"/>
      <c r="AE211" s="1842" t="n"/>
      <c r="AF211" s="1842" t="n"/>
    </row>
    <row r="212" ht="13.5" customHeight="1" s="1883">
      <c r="A212" s="1856" t="n"/>
      <c r="B212" s="1856" t="n"/>
      <c r="C212" s="1856" t="n"/>
      <c r="D212" s="1842" t="n"/>
      <c r="E212" s="1842" t="n"/>
      <c r="F212" s="1842" t="n"/>
      <c r="G212" s="1842" t="n"/>
      <c r="H212" s="1842" t="n"/>
      <c r="I212" s="1842" t="n"/>
      <c r="J212" s="1842" t="n"/>
      <c r="K212" s="1842" t="n"/>
      <c r="L212" s="1842" t="n"/>
      <c r="M212" s="1842" t="n"/>
      <c r="N212" s="1842" t="n"/>
      <c r="O212" s="1842" t="n"/>
      <c r="P212" s="1842" t="n"/>
      <c r="Q212" s="1842" t="n"/>
      <c r="R212" s="1842" t="n"/>
      <c r="S212" s="1842" t="n"/>
      <c r="T212" s="1842" t="n"/>
      <c r="U212" s="1842" t="n"/>
      <c r="V212" s="1842" t="n"/>
      <c r="W212" s="1842" t="n"/>
      <c r="X212" s="1842" t="n"/>
      <c r="Y212" s="1842" t="n"/>
      <c r="Z212" s="1842" t="n"/>
      <c r="AA212" s="1842" t="n"/>
      <c r="AB212" s="1842" t="n"/>
      <c r="AC212" s="1842" t="n"/>
      <c r="AD212" s="1842" t="n"/>
      <c r="AE212" s="1842" t="n"/>
      <c r="AF212" s="1842" t="n"/>
    </row>
    <row r="213" ht="13.5" customHeight="1" s="1883">
      <c r="A213" s="1856" t="n"/>
      <c r="B213" s="1856" t="n"/>
      <c r="C213" s="1856" t="n"/>
      <c r="D213" s="1842" t="n"/>
      <c r="E213" s="1842" t="n"/>
      <c r="F213" s="1842" t="n"/>
      <c r="G213" s="1842" t="n"/>
      <c r="H213" s="1842" t="n"/>
      <c r="I213" s="1842" t="n"/>
      <c r="J213" s="1842" t="n"/>
      <c r="K213" s="1842" t="n"/>
      <c r="L213" s="1842" t="n"/>
      <c r="M213" s="1842" t="n"/>
      <c r="N213" s="1842" t="n"/>
      <c r="O213" s="1842" t="n"/>
      <c r="P213" s="1842" t="n"/>
      <c r="Q213" s="1842" t="n"/>
      <c r="R213" s="1842" t="n"/>
      <c r="S213" s="1842" t="n"/>
      <c r="T213" s="1842" t="n"/>
      <c r="U213" s="1842" t="n"/>
      <c r="V213" s="1842" t="n"/>
      <c r="W213" s="1842" t="n"/>
      <c r="X213" s="1842" t="n"/>
      <c r="Y213" s="1842" t="n"/>
      <c r="Z213" s="1842" t="n"/>
      <c r="AA213" s="1842" t="n"/>
      <c r="AB213" s="1842" t="n"/>
      <c r="AC213" s="1842" t="n"/>
      <c r="AD213" s="1842" t="n"/>
      <c r="AE213" s="1842" t="n"/>
      <c r="AF213" s="1842" t="n"/>
    </row>
    <row r="214" ht="13.5" customHeight="1" s="1883">
      <c r="A214" s="1856" t="n"/>
      <c r="B214" s="1856" t="n"/>
      <c r="C214" s="1856" t="n"/>
      <c r="D214" s="1842" t="n"/>
      <c r="E214" s="1842" t="n"/>
      <c r="F214" s="1842" t="n"/>
      <c r="G214" s="1842" t="n"/>
      <c r="H214" s="1842" t="n"/>
      <c r="I214" s="1842" t="n"/>
      <c r="J214" s="1842" t="n"/>
      <c r="K214" s="1842" t="n"/>
      <c r="L214" s="1842" t="n"/>
      <c r="M214" s="1842" t="n"/>
      <c r="N214" s="1842" t="n"/>
      <c r="O214" s="1842" t="n"/>
      <c r="P214" s="1842" t="n"/>
      <c r="Q214" s="1842" t="n"/>
      <c r="R214" s="1842" t="n"/>
      <c r="S214" s="1842" t="n"/>
      <c r="T214" s="1842" t="n"/>
      <c r="U214" s="1842" t="n"/>
      <c r="V214" s="1842" t="n"/>
      <c r="W214" s="1842" t="n"/>
      <c r="X214" s="1842" t="n"/>
      <c r="Y214" s="1842" t="n"/>
      <c r="Z214" s="1842" t="n"/>
      <c r="AA214" s="1842" t="n"/>
      <c r="AB214" s="1842" t="n"/>
      <c r="AC214" s="1842" t="n"/>
      <c r="AD214" s="1842" t="n"/>
      <c r="AE214" s="1842" t="n"/>
      <c r="AF214" s="1842" t="n"/>
    </row>
    <row r="215" ht="13.5" customHeight="1" s="1883">
      <c r="A215" s="1856" t="n"/>
      <c r="B215" s="1856" t="n"/>
      <c r="C215" s="1856" t="n"/>
      <c r="D215" s="1842" t="n"/>
      <c r="E215" s="1842" t="n"/>
      <c r="F215" s="1842" t="n"/>
      <c r="G215" s="1842" t="n"/>
      <c r="H215" s="1842" t="n"/>
      <c r="I215" s="1842" t="n"/>
      <c r="J215" s="1842" t="n"/>
      <c r="K215" s="1842" t="n"/>
      <c r="L215" s="1842" t="n"/>
      <c r="M215" s="1842" t="n"/>
      <c r="N215" s="1842" t="n"/>
      <c r="O215" s="1842" t="n"/>
      <c r="P215" s="1842" t="n"/>
      <c r="Q215" s="1842" t="n"/>
      <c r="R215" s="1842" t="n"/>
      <c r="S215" s="1842" t="n"/>
      <c r="T215" s="1842" t="n"/>
      <c r="U215" s="1842" t="n"/>
      <c r="V215" s="1842" t="n"/>
      <c r="W215" s="1842" t="n"/>
      <c r="X215" s="1842" t="n"/>
      <c r="Y215" s="1842" t="n"/>
      <c r="Z215" s="1842" t="n"/>
      <c r="AA215" s="1842" t="n"/>
      <c r="AB215" s="1842" t="n"/>
      <c r="AC215" s="1842" t="n"/>
      <c r="AD215" s="1842" t="n"/>
      <c r="AE215" s="1842" t="n"/>
      <c r="AF215" s="1842" t="n"/>
    </row>
    <row r="216" ht="13.5" customHeight="1" s="1883">
      <c r="A216" s="1856" t="n"/>
      <c r="B216" s="1856" t="n"/>
      <c r="C216" s="1856" t="n"/>
      <c r="D216" s="1842" t="n"/>
      <c r="E216" s="1842" t="n"/>
      <c r="F216" s="1842" t="n"/>
      <c r="G216" s="1842" t="n"/>
      <c r="H216" s="1842" t="n"/>
      <c r="I216" s="1842" t="n"/>
      <c r="J216" s="1842" t="n"/>
      <c r="K216" s="1842" t="n"/>
      <c r="L216" s="1842" t="n"/>
      <c r="M216" s="1842" t="n"/>
      <c r="N216" s="1842" t="n"/>
      <c r="O216" s="1842" t="n"/>
      <c r="P216" s="1842" t="n"/>
      <c r="Q216" s="1842" t="n"/>
      <c r="R216" s="1842" t="n"/>
      <c r="S216" s="1842" t="n"/>
      <c r="T216" s="1842" t="n"/>
      <c r="U216" s="1842" t="n"/>
      <c r="V216" s="1842" t="n"/>
      <c r="W216" s="1842" t="n"/>
      <c r="X216" s="1842" t="n"/>
      <c r="Y216" s="1842" t="n"/>
      <c r="Z216" s="1842" t="n"/>
      <c r="AA216" s="1842" t="n"/>
      <c r="AB216" s="1842" t="n"/>
      <c r="AC216" s="1842" t="n"/>
      <c r="AD216" s="1842" t="n"/>
      <c r="AE216" s="1842" t="n"/>
      <c r="AF216" s="1842" t="n"/>
    </row>
    <row r="217" ht="13.5" customHeight="1" s="1883">
      <c r="A217" s="1856" t="n"/>
      <c r="B217" s="1856" t="n"/>
      <c r="C217" s="1856" t="n"/>
      <c r="D217" s="1842" t="n"/>
      <c r="E217" s="1842" t="n"/>
      <c r="F217" s="1842" t="n"/>
      <c r="G217" s="1842" t="n"/>
      <c r="H217" s="1842" t="n"/>
      <c r="I217" s="1842" t="n"/>
      <c r="J217" s="1842" t="n"/>
      <c r="K217" s="1842" t="n"/>
      <c r="L217" s="1842" t="n"/>
      <c r="M217" s="1842" t="n"/>
      <c r="N217" s="1842" t="n"/>
      <c r="O217" s="1842" t="n"/>
      <c r="P217" s="1842" t="n"/>
      <c r="Q217" s="1842" t="n"/>
      <c r="R217" s="1842" t="n"/>
      <c r="S217" s="1842" t="n"/>
      <c r="T217" s="1842" t="n"/>
      <c r="U217" s="1842" t="n"/>
      <c r="V217" s="1842" t="n"/>
      <c r="W217" s="1842" t="n"/>
      <c r="X217" s="1842" t="n"/>
      <c r="Y217" s="1842" t="n"/>
      <c r="Z217" s="1842" t="n"/>
      <c r="AA217" s="1842" t="n"/>
      <c r="AB217" s="1842" t="n"/>
      <c r="AC217" s="1842" t="n"/>
      <c r="AD217" s="1842" t="n"/>
      <c r="AE217" s="1842" t="n"/>
      <c r="AF217" s="1842" t="n"/>
    </row>
    <row r="218" ht="13.5" customHeight="1" s="1883">
      <c r="A218" s="1856" t="n"/>
      <c r="B218" s="1856" t="n"/>
      <c r="C218" s="1856" t="n"/>
      <c r="D218" s="1842" t="n"/>
      <c r="E218" s="1842" t="n"/>
      <c r="F218" s="1842" t="n"/>
      <c r="G218" s="1842" t="n"/>
      <c r="H218" s="1842" t="n"/>
      <c r="I218" s="1842" t="n"/>
      <c r="J218" s="1842" t="n"/>
      <c r="K218" s="1842" t="n"/>
      <c r="L218" s="1842" t="n"/>
      <c r="M218" s="1842" t="n"/>
      <c r="N218" s="1842" t="n"/>
      <c r="O218" s="1842" t="n"/>
      <c r="P218" s="1842" t="n"/>
      <c r="Q218" s="1842" t="n"/>
      <c r="R218" s="1842" t="n"/>
      <c r="S218" s="1842" t="n"/>
      <c r="T218" s="1842" t="n"/>
      <c r="U218" s="1842" t="n"/>
      <c r="V218" s="1842" t="n"/>
      <c r="W218" s="1842" t="n"/>
      <c r="X218" s="1842" t="n"/>
      <c r="Y218" s="1842" t="n"/>
      <c r="Z218" s="1842" t="n"/>
      <c r="AA218" s="1842" t="n"/>
      <c r="AB218" s="1842" t="n"/>
      <c r="AC218" s="1842" t="n"/>
      <c r="AD218" s="1842" t="n"/>
      <c r="AE218" s="1842" t="n"/>
      <c r="AF218" s="1842" t="n"/>
    </row>
    <row r="219" ht="13.5" customHeight="1" s="1883">
      <c r="A219" s="1856" t="n"/>
      <c r="B219" s="1856" t="n"/>
      <c r="C219" s="1856" t="n"/>
      <c r="D219" s="1842" t="n"/>
      <c r="E219" s="1842" t="n"/>
      <c r="F219" s="1842" t="n"/>
      <c r="G219" s="1842" t="n"/>
      <c r="H219" s="1842" t="n"/>
      <c r="I219" s="1842" t="n"/>
      <c r="J219" s="1842" t="n"/>
      <c r="K219" s="1842" t="n"/>
      <c r="L219" s="1842" t="n"/>
      <c r="M219" s="1842" t="n"/>
      <c r="N219" s="1842" t="n"/>
      <c r="O219" s="1842" t="n"/>
      <c r="P219" s="1842" t="n"/>
      <c r="Q219" s="1842" t="n"/>
      <c r="R219" s="1842" t="n"/>
      <c r="S219" s="1842" t="n"/>
      <c r="T219" s="1842" t="n"/>
      <c r="U219" s="1842" t="n"/>
      <c r="V219" s="1842" t="n"/>
      <c r="W219" s="1842" t="n"/>
      <c r="X219" s="1842" t="n"/>
      <c r="Y219" s="1842" t="n"/>
      <c r="Z219" s="1842" t="n"/>
      <c r="AA219" s="1842" t="n"/>
      <c r="AB219" s="1842" t="n"/>
      <c r="AC219" s="1842" t="n"/>
      <c r="AD219" s="1842" t="n"/>
      <c r="AE219" s="1842" t="n"/>
      <c r="AF219" s="1842" t="n"/>
    </row>
    <row r="220" ht="13.5" customHeight="1" s="1883">
      <c r="A220" s="1856" t="n"/>
      <c r="B220" s="1856" t="n"/>
      <c r="C220" s="1856" t="n"/>
      <c r="D220" s="1842" t="n"/>
      <c r="E220" s="1842" t="n"/>
      <c r="F220" s="1842" t="n"/>
      <c r="G220" s="1842" t="n"/>
      <c r="H220" s="1842" t="n"/>
      <c r="I220" s="1842" t="n"/>
      <c r="J220" s="1842" t="n"/>
      <c r="K220" s="1842" t="n"/>
      <c r="L220" s="1842" t="n"/>
      <c r="M220" s="1842" t="n"/>
      <c r="N220" s="1842" t="n"/>
      <c r="O220" s="1842" t="n"/>
      <c r="P220" s="1842" t="n"/>
      <c r="Q220" s="1842" t="n"/>
      <c r="R220" s="1842" t="n"/>
      <c r="S220" s="1842" t="n"/>
      <c r="T220" s="1842" t="n"/>
      <c r="U220" s="1842" t="n"/>
      <c r="V220" s="1842" t="n"/>
      <c r="W220" s="1842" t="n"/>
      <c r="X220" s="1842" t="n"/>
      <c r="Y220" s="1842" t="n"/>
      <c r="Z220" s="1842" t="n"/>
      <c r="AA220" s="1842" t="n"/>
      <c r="AB220" s="1842" t="n"/>
      <c r="AC220" s="1842" t="n"/>
      <c r="AD220" s="1842" t="n"/>
      <c r="AE220" s="1842" t="n"/>
      <c r="AF220" s="1842" t="n"/>
    </row>
    <row r="221" ht="13.5" customHeight="1" s="1883">
      <c r="A221" s="1856" t="n"/>
      <c r="B221" s="1856" t="n"/>
      <c r="C221" s="1856" t="n"/>
      <c r="D221" s="1842" t="n"/>
      <c r="E221" s="1842" t="n"/>
      <c r="F221" s="1842" t="n"/>
      <c r="G221" s="1842" t="n"/>
      <c r="H221" s="1842" t="n"/>
      <c r="I221" s="1842" t="n"/>
      <c r="J221" s="1842" t="n"/>
      <c r="K221" s="1842" t="n"/>
      <c r="L221" s="1842" t="n"/>
      <c r="M221" s="1842" t="n"/>
      <c r="N221" s="1842" t="n"/>
      <c r="O221" s="1842" t="n"/>
      <c r="P221" s="1842" t="n"/>
      <c r="Q221" s="1842" t="n"/>
      <c r="R221" s="1842" t="n"/>
      <c r="S221" s="1842" t="n"/>
      <c r="T221" s="1842" t="n"/>
      <c r="U221" s="1842" t="n"/>
      <c r="V221" s="1842" t="n"/>
      <c r="W221" s="1842" t="n"/>
      <c r="X221" s="1842" t="n"/>
      <c r="Y221" s="1842" t="n"/>
      <c r="Z221" s="1842" t="n"/>
      <c r="AA221" s="1842" t="n"/>
      <c r="AB221" s="1842" t="n"/>
      <c r="AC221" s="1842" t="n"/>
      <c r="AD221" s="1842" t="n"/>
      <c r="AE221" s="1842" t="n"/>
      <c r="AF221" s="1842" t="n"/>
    </row>
    <row r="222" ht="13.5" customHeight="1" s="1883">
      <c r="A222" s="1856" t="n"/>
      <c r="B222" s="1856" t="n"/>
      <c r="C222" s="1856" t="n"/>
      <c r="D222" s="1842" t="n"/>
      <c r="E222" s="1842" t="n"/>
      <c r="F222" s="1842" t="n"/>
      <c r="G222" s="1842" t="n"/>
      <c r="H222" s="1842" t="n"/>
      <c r="I222" s="1842" t="n"/>
      <c r="J222" s="1842" t="n"/>
      <c r="K222" s="1842" t="n"/>
      <c r="L222" s="1842" t="n"/>
      <c r="M222" s="1842" t="n"/>
      <c r="N222" s="1842" t="n"/>
      <c r="O222" s="1842" t="n"/>
      <c r="P222" s="1842" t="n"/>
      <c r="Q222" s="1842" t="n"/>
      <c r="R222" s="1842" t="n"/>
      <c r="S222" s="1842" t="n"/>
      <c r="T222" s="1842" t="n"/>
      <c r="U222" s="1842" t="n"/>
      <c r="V222" s="1842" t="n"/>
      <c r="W222" s="1842" t="n"/>
      <c r="X222" s="1842" t="n"/>
      <c r="Y222" s="1842" t="n"/>
      <c r="Z222" s="1842" t="n"/>
      <c r="AA222" s="1842" t="n"/>
      <c r="AB222" s="1842" t="n"/>
      <c r="AC222" s="1842" t="n"/>
      <c r="AD222" s="1842" t="n"/>
      <c r="AE222" s="1842" t="n"/>
      <c r="AF222" s="1842" t="n"/>
    </row>
    <row r="223" ht="13.5" customHeight="1" s="1883">
      <c r="A223" s="1856" t="n"/>
      <c r="B223" s="1856" t="n"/>
      <c r="C223" s="1856" t="n"/>
      <c r="D223" s="1842" t="n"/>
      <c r="E223" s="1842" t="n"/>
      <c r="F223" s="1842" t="n"/>
      <c r="G223" s="1842" t="n"/>
      <c r="H223" s="1842" t="n"/>
      <c r="I223" s="1842" t="n"/>
      <c r="J223" s="1842" t="n"/>
      <c r="K223" s="1842" t="n"/>
      <c r="L223" s="1842" t="n"/>
      <c r="M223" s="1842" t="n"/>
      <c r="N223" s="1842" t="n"/>
      <c r="O223" s="1842" t="n"/>
      <c r="P223" s="1842" t="n"/>
      <c r="Q223" s="1842" t="n"/>
      <c r="R223" s="1842" t="n"/>
      <c r="S223" s="1842" t="n"/>
      <c r="T223" s="1842" t="n"/>
      <c r="U223" s="1842" t="n"/>
      <c r="V223" s="1842" t="n"/>
      <c r="W223" s="1842" t="n"/>
      <c r="X223" s="1842" t="n"/>
      <c r="Y223" s="1842" t="n"/>
      <c r="Z223" s="1842" t="n"/>
      <c r="AA223" s="1842" t="n"/>
      <c r="AB223" s="1842" t="n"/>
      <c r="AC223" s="1842" t="n"/>
      <c r="AD223" s="1842" t="n"/>
      <c r="AE223" s="1842" t="n"/>
      <c r="AF223" s="1842" t="n"/>
    </row>
    <row r="224" ht="13.5" customHeight="1" s="1883">
      <c r="A224" s="1856" t="n"/>
      <c r="B224" s="1856" t="n"/>
      <c r="C224" s="1856" t="n"/>
      <c r="D224" s="1842" t="n"/>
      <c r="E224" s="1842" t="n"/>
      <c r="F224" s="1842" t="n"/>
      <c r="G224" s="1842" t="n"/>
      <c r="H224" s="1842" t="n"/>
      <c r="I224" s="1842" t="n"/>
      <c r="J224" s="1842" t="n"/>
      <c r="K224" s="1842" t="n"/>
      <c r="L224" s="1842" t="n"/>
      <c r="M224" s="1842" t="n"/>
      <c r="N224" s="1842" t="n"/>
      <c r="O224" s="1842" t="n"/>
      <c r="P224" s="1842" t="n"/>
      <c r="Q224" s="1842" t="n"/>
      <c r="R224" s="1842" t="n"/>
      <c r="S224" s="1842" t="n"/>
      <c r="T224" s="1842" t="n"/>
      <c r="U224" s="1842" t="n"/>
      <c r="V224" s="1842" t="n"/>
      <c r="W224" s="1842" t="n"/>
      <c r="X224" s="1842" t="n"/>
      <c r="Y224" s="1842" t="n"/>
      <c r="Z224" s="1842" t="n"/>
      <c r="AA224" s="1842" t="n"/>
      <c r="AB224" s="1842" t="n"/>
      <c r="AC224" s="1842" t="n"/>
      <c r="AD224" s="1842" t="n"/>
      <c r="AE224" s="1842" t="n"/>
      <c r="AF224" s="1842" t="n"/>
    </row>
    <row r="225" ht="13.5" customHeight="1" s="1883">
      <c r="A225" s="1856" t="n"/>
      <c r="B225" s="1856" t="n"/>
      <c r="C225" s="1856" t="n"/>
      <c r="D225" s="1842" t="n"/>
      <c r="E225" s="1842" t="n"/>
      <c r="F225" s="1842" t="n"/>
      <c r="G225" s="1842" t="n"/>
      <c r="H225" s="1842" t="n"/>
      <c r="I225" s="1842" t="n"/>
      <c r="J225" s="1842" t="n"/>
      <c r="K225" s="1842" t="n"/>
      <c r="L225" s="1842" t="n"/>
      <c r="M225" s="1842" t="n"/>
      <c r="N225" s="1842" t="n"/>
      <c r="O225" s="1842" t="n"/>
      <c r="P225" s="1842" t="n"/>
      <c r="Q225" s="1842" t="n"/>
      <c r="R225" s="1842" t="n"/>
      <c r="S225" s="1842" t="n"/>
      <c r="T225" s="1842" t="n"/>
      <c r="U225" s="1842" t="n"/>
      <c r="V225" s="1842" t="n"/>
      <c r="W225" s="1842" t="n"/>
      <c r="X225" s="1842" t="n"/>
      <c r="Y225" s="1842" t="n"/>
      <c r="Z225" s="1842" t="n"/>
      <c r="AA225" s="1842" t="n"/>
      <c r="AB225" s="1842" t="n"/>
      <c r="AC225" s="1842" t="n"/>
      <c r="AD225" s="1842" t="n"/>
      <c r="AE225" s="1842" t="n"/>
      <c r="AF225" s="1842" t="n"/>
    </row>
    <row r="226" ht="13.5" customHeight="1" s="1883">
      <c r="A226" s="1856" t="n"/>
      <c r="B226" s="1856" t="n"/>
      <c r="C226" s="1856" t="n"/>
      <c r="D226" s="1842" t="n"/>
      <c r="E226" s="1842" t="n"/>
      <c r="F226" s="1842" t="n"/>
      <c r="G226" s="1842" t="n"/>
      <c r="H226" s="1842" t="n"/>
      <c r="I226" s="1842" t="n"/>
      <c r="J226" s="1842" t="n"/>
      <c r="K226" s="1842" t="n"/>
      <c r="L226" s="1842" t="n"/>
      <c r="M226" s="1842" t="n"/>
      <c r="N226" s="1842" t="n"/>
      <c r="O226" s="1842" t="n"/>
      <c r="P226" s="1842" t="n"/>
      <c r="Q226" s="1842" t="n"/>
      <c r="R226" s="1842" t="n"/>
      <c r="S226" s="1842" t="n"/>
      <c r="T226" s="1842" t="n"/>
      <c r="U226" s="1842" t="n"/>
      <c r="V226" s="1842" t="n"/>
      <c r="W226" s="1842" t="n"/>
      <c r="X226" s="1842" t="n"/>
      <c r="Y226" s="1842" t="n"/>
      <c r="Z226" s="1842" t="n"/>
      <c r="AA226" s="1842" t="n"/>
      <c r="AB226" s="1842" t="n"/>
      <c r="AC226" s="1842" t="n"/>
      <c r="AD226" s="1842" t="n"/>
      <c r="AE226" s="1842" t="n"/>
      <c r="AF226" s="1842" t="n"/>
    </row>
    <row r="227" ht="13.5" customHeight="1" s="1883">
      <c r="A227" s="1856" t="n"/>
      <c r="B227" s="1856" t="n"/>
      <c r="C227" s="1856" t="n"/>
      <c r="D227" s="1842" t="n"/>
      <c r="E227" s="1842" t="n"/>
      <c r="F227" s="1842" t="n"/>
      <c r="G227" s="1842" t="n"/>
      <c r="H227" s="1842" t="n"/>
      <c r="I227" s="1842" t="n"/>
      <c r="J227" s="1842" t="n"/>
      <c r="K227" s="1842" t="n"/>
      <c r="L227" s="1842" t="n"/>
      <c r="M227" s="1842" t="n"/>
      <c r="N227" s="1842" t="n"/>
      <c r="O227" s="1842" t="n"/>
      <c r="P227" s="1842" t="n"/>
      <c r="Q227" s="1842" t="n"/>
      <c r="R227" s="1842" t="n"/>
      <c r="S227" s="1842" t="n"/>
      <c r="T227" s="1842" t="n"/>
      <c r="U227" s="1842" t="n"/>
      <c r="V227" s="1842" t="n"/>
      <c r="W227" s="1842" t="n"/>
      <c r="X227" s="1842" t="n"/>
      <c r="Y227" s="1842" t="n"/>
      <c r="Z227" s="1842" t="n"/>
      <c r="AA227" s="1842" t="n"/>
      <c r="AB227" s="1842" t="n"/>
      <c r="AC227" s="1842" t="n"/>
      <c r="AD227" s="1842" t="n"/>
      <c r="AE227" s="1842" t="n"/>
      <c r="AF227" s="1842" t="n"/>
    </row>
    <row r="228" ht="13.5" customHeight="1" s="1883">
      <c r="A228" s="1856" t="n"/>
      <c r="B228" s="1856" t="n"/>
      <c r="C228" s="1856" t="n"/>
      <c r="D228" s="1842" t="n"/>
      <c r="E228" s="1842" t="n"/>
      <c r="F228" s="1842" t="n"/>
      <c r="G228" s="1842" t="n"/>
      <c r="H228" s="1842" t="n"/>
      <c r="I228" s="1842" t="n"/>
      <c r="J228" s="1842" t="n"/>
      <c r="K228" s="1842" t="n"/>
      <c r="L228" s="1842" t="n"/>
      <c r="M228" s="1842" t="n"/>
      <c r="N228" s="1842" t="n"/>
      <c r="O228" s="1842" t="n"/>
      <c r="P228" s="1842" t="n"/>
      <c r="Q228" s="1842" t="n"/>
      <c r="R228" s="1842" t="n"/>
      <c r="S228" s="1842" t="n"/>
      <c r="T228" s="1842" t="n"/>
      <c r="U228" s="1842" t="n"/>
      <c r="V228" s="1842" t="n"/>
      <c r="W228" s="1842" t="n"/>
      <c r="X228" s="1842" t="n"/>
      <c r="Y228" s="1842" t="n"/>
      <c r="Z228" s="1842" t="n"/>
      <c r="AA228" s="1842" t="n"/>
      <c r="AB228" s="1842" t="n"/>
      <c r="AC228" s="1842" t="n"/>
      <c r="AD228" s="1842" t="n"/>
      <c r="AE228" s="1842" t="n"/>
      <c r="AF228" s="1842" t="n"/>
    </row>
    <row r="229" ht="13.5" customHeight="1" s="1883">
      <c r="A229" s="1856" t="n"/>
      <c r="B229" s="1856" t="n"/>
      <c r="C229" s="1856" t="n"/>
      <c r="D229" s="1842" t="n"/>
      <c r="E229" s="1842" t="n"/>
      <c r="F229" s="1842" t="n"/>
      <c r="G229" s="1842" t="n"/>
      <c r="H229" s="1842" t="n"/>
      <c r="I229" s="1842" t="n"/>
      <c r="J229" s="1842" t="n"/>
      <c r="K229" s="1842" t="n"/>
      <c r="L229" s="1842" t="n"/>
      <c r="M229" s="1842" t="n"/>
      <c r="N229" s="1842" t="n"/>
      <c r="O229" s="1842" t="n"/>
      <c r="P229" s="1842" t="n"/>
      <c r="Q229" s="1842" t="n"/>
      <c r="R229" s="1842" t="n"/>
      <c r="S229" s="1842" t="n"/>
      <c r="T229" s="1842" t="n"/>
      <c r="U229" s="1842" t="n"/>
      <c r="V229" s="1842" t="n"/>
      <c r="W229" s="1842" t="n"/>
      <c r="X229" s="1842" t="n"/>
      <c r="Y229" s="1842" t="n"/>
      <c r="Z229" s="1842" t="n"/>
      <c r="AA229" s="1842" t="n"/>
      <c r="AB229" s="1842" t="n"/>
      <c r="AC229" s="1842" t="n"/>
      <c r="AD229" s="1842" t="n"/>
      <c r="AE229" s="1842" t="n"/>
      <c r="AF229" s="1842" t="n"/>
    </row>
    <row r="230" ht="13.5" customHeight="1" s="1883">
      <c r="A230" s="1856" t="n"/>
      <c r="B230" s="1856" t="n"/>
      <c r="C230" s="1856" t="n"/>
      <c r="D230" s="1842" t="n"/>
      <c r="E230" s="1842" t="n"/>
      <c r="F230" s="1842" t="n"/>
      <c r="G230" s="1842" t="n"/>
      <c r="H230" s="1842" t="n"/>
      <c r="I230" s="1842" t="n"/>
      <c r="J230" s="1842" t="n"/>
      <c r="K230" s="1842" t="n"/>
      <c r="L230" s="1842" t="n"/>
      <c r="M230" s="1842" t="n"/>
      <c r="N230" s="1842" t="n"/>
      <c r="O230" s="1842" t="n"/>
      <c r="P230" s="1842" t="n"/>
      <c r="Q230" s="1842" t="n"/>
      <c r="R230" s="1842" t="n"/>
      <c r="S230" s="1842" t="n"/>
      <c r="T230" s="1842" t="n"/>
      <c r="U230" s="1842" t="n"/>
      <c r="V230" s="1842" t="n"/>
      <c r="W230" s="1842" t="n"/>
      <c r="X230" s="1842" t="n"/>
      <c r="Y230" s="1842" t="n"/>
      <c r="Z230" s="1842" t="n"/>
      <c r="AA230" s="1842" t="n"/>
      <c r="AB230" s="1842" t="n"/>
      <c r="AC230" s="1842" t="n"/>
      <c r="AD230" s="1842" t="n"/>
      <c r="AE230" s="1842" t="n"/>
      <c r="AF230" s="1842" t="n"/>
    </row>
    <row r="231" ht="13.5" customHeight="1" s="1883">
      <c r="A231" s="1856" t="n"/>
      <c r="B231" s="1856" t="n"/>
      <c r="C231" s="1856" t="n"/>
      <c r="D231" s="1842" t="n"/>
      <c r="E231" s="1842" t="n"/>
      <c r="F231" s="1842" t="n"/>
      <c r="G231" s="1842" t="n"/>
      <c r="H231" s="1842" t="n"/>
      <c r="I231" s="1842" t="n"/>
      <c r="J231" s="1842" t="n"/>
      <c r="K231" s="1842" t="n"/>
      <c r="L231" s="1842" t="n"/>
      <c r="M231" s="1842" t="n"/>
      <c r="N231" s="1842" t="n"/>
      <c r="O231" s="1842" t="n"/>
      <c r="P231" s="1842" t="n"/>
      <c r="Q231" s="1842" t="n"/>
      <c r="R231" s="1842" t="n"/>
      <c r="S231" s="1842" t="n"/>
      <c r="T231" s="1842" t="n"/>
      <c r="U231" s="1842" t="n"/>
      <c r="V231" s="1842" t="n"/>
      <c r="W231" s="1842" t="n"/>
      <c r="X231" s="1842" t="n"/>
      <c r="Y231" s="1842" t="n"/>
      <c r="Z231" s="1842" t="n"/>
      <c r="AA231" s="1842" t="n"/>
      <c r="AB231" s="1842" t="n"/>
      <c r="AC231" s="1842" t="n"/>
      <c r="AD231" s="1842" t="n"/>
      <c r="AE231" s="1842" t="n"/>
      <c r="AF231" s="1842" t="n"/>
    </row>
    <row r="232" ht="13.5" customHeight="1" s="1883">
      <c r="A232" s="1856" t="n"/>
      <c r="B232" s="1856" t="n"/>
      <c r="C232" s="1856" t="n"/>
      <c r="D232" s="1842" t="n"/>
      <c r="E232" s="1842" t="n"/>
      <c r="F232" s="1842" t="n"/>
      <c r="G232" s="1842" t="n"/>
      <c r="H232" s="1842" t="n"/>
      <c r="I232" s="1842" t="n"/>
      <c r="J232" s="1842" t="n"/>
      <c r="K232" s="1842" t="n"/>
      <c r="L232" s="1842" t="n"/>
      <c r="M232" s="1842" t="n"/>
      <c r="N232" s="1842" t="n"/>
      <c r="O232" s="1842" t="n"/>
      <c r="P232" s="1842" t="n"/>
      <c r="Q232" s="1842" t="n"/>
      <c r="R232" s="1842" t="n"/>
      <c r="S232" s="1842" t="n"/>
      <c r="T232" s="1842" t="n"/>
      <c r="U232" s="1842" t="n"/>
      <c r="V232" s="1842" t="n"/>
      <c r="W232" s="1842" t="n"/>
      <c r="X232" s="1842" t="n"/>
      <c r="Y232" s="1842" t="n"/>
      <c r="Z232" s="1842" t="n"/>
      <c r="AA232" s="1842" t="n"/>
      <c r="AB232" s="1842" t="n"/>
      <c r="AC232" s="1842" t="n"/>
      <c r="AD232" s="1842" t="n"/>
      <c r="AE232" s="1842" t="n"/>
      <c r="AF232" s="1842" t="n"/>
    </row>
    <row r="233" ht="13.5" customHeight="1" s="1883">
      <c r="A233" s="1856" t="n"/>
      <c r="B233" s="1856" t="n"/>
      <c r="C233" s="1856" t="n"/>
      <c r="D233" s="1842" t="n"/>
      <c r="E233" s="1842" t="n"/>
      <c r="F233" s="1842" t="n"/>
      <c r="G233" s="1842" t="n"/>
      <c r="H233" s="1842" t="n"/>
      <c r="I233" s="1842" t="n"/>
      <c r="J233" s="1842" t="n"/>
      <c r="K233" s="1842" t="n"/>
      <c r="L233" s="1842" t="n"/>
      <c r="M233" s="1842" t="n"/>
      <c r="N233" s="1842" t="n"/>
      <c r="O233" s="1842" t="n"/>
      <c r="P233" s="1842" t="n"/>
      <c r="Q233" s="1842" t="n"/>
      <c r="R233" s="1842" t="n"/>
      <c r="S233" s="1842" t="n"/>
      <c r="T233" s="1842" t="n"/>
      <c r="U233" s="1842" t="n"/>
      <c r="V233" s="1842" t="n"/>
      <c r="W233" s="1842" t="n"/>
      <c r="X233" s="1842" t="n"/>
      <c r="Y233" s="1842" t="n"/>
      <c r="Z233" s="1842" t="n"/>
      <c r="AA233" s="1842" t="n"/>
      <c r="AB233" s="1842" t="n"/>
      <c r="AC233" s="1842" t="n"/>
      <c r="AD233" s="1842" t="n"/>
      <c r="AE233" s="1842" t="n"/>
      <c r="AF233" s="1842" t="n"/>
    </row>
    <row r="234" ht="13.5" customHeight="1" s="1883">
      <c r="A234" s="1856" t="n"/>
      <c r="B234" s="1856" t="n"/>
      <c r="C234" s="1856" t="n"/>
      <c r="D234" s="1842" t="n"/>
      <c r="E234" s="1842" t="n"/>
      <c r="F234" s="1842" t="n"/>
      <c r="G234" s="1842" t="n"/>
      <c r="H234" s="1842" t="n"/>
      <c r="I234" s="1842" t="n"/>
      <c r="J234" s="1842" t="n"/>
      <c r="K234" s="1842" t="n"/>
      <c r="L234" s="1842" t="n"/>
      <c r="M234" s="1842" t="n"/>
      <c r="N234" s="1842" t="n"/>
      <c r="O234" s="1842" t="n"/>
      <c r="P234" s="1842" t="n"/>
      <c r="Q234" s="1842" t="n"/>
      <c r="R234" s="1842" t="n"/>
      <c r="S234" s="1842" t="n"/>
      <c r="T234" s="1842" t="n"/>
      <c r="U234" s="1842" t="n"/>
      <c r="V234" s="1842" t="n"/>
      <c r="W234" s="1842" t="n"/>
      <c r="X234" s="1842" t="n"/>
      <c r="Y234" s="1842" t="n"/>
      <c r="Z234" s="1842" t="n"/>
      <c r="AA234" s="1842" t="n"/>
      <c r="AB234" s="1842" t="n"/>
      <c r="AC234" s="1842" t="n"/>
      <c r="AD234" s="1842" t="n"/>
      <c r="AE234" s="1842" t="n"/>
      <c r="AF234" s="1842" t="n"/>
    </row>
    <row r="235" ht="13.5" customHeight="1" s="1883">
      <c r="A235" s="1856" t="n"/>
      <c r="B235" s="1856" t="n"/>
      <c r="C235" s="1856" t="n"/>
      <c r="D235" s="1842" t="n"/>
      <c r="E235" s="1842" t="n"/>
      <c r="F235" s="1842" t="n"/>
      <c r="G235" s="1842" t="n"/>
      <c r="H235" s="1842" t="n"/>
      <c r="I235" s="1842" t="n"/>
      <c r="J235" s="1842" t="n"/>
      <c r="K235" s="1842" t="n"/>
      <c r="L235" s="1842" t="n"/>
      <c r="M235" s="1842" t="n"/>
      <c r="N235" s="1842" t="n"/>
      <c r="O235" s="1842" t="n"/>
      <c r="P235" s="1842" t="n"/>
      <c r="Q235" s="1842" t="n"/>
      <c r="R235" s="1842" t="n"/>
      <c r="S235" s="1842" t="n"/>
      <c r="T235" s="1842" t="n"/>
      <c r="U235" s="1842" t="n"/>
      <c r="V235" s="1842" t="n"/>
      <c r="W235" s="1842" t="n"/>
      <c r="X235" s="1842" t="n"/>
      <c r="Y235" s="1842" t="n"/>
      <c r="Z235" s="1842" t="n"/>
      <c r="AA235" s="1842" t="n"/>
      <c r="AB235" s="1842" t="n"/>
      <c r="AC235" s="1842" t="n"/>
      <c r="AD235" s="1842" t="n"/>
      <c r="AE235" s="1842" t="n"/>
      <c r="AF235" s="1842" t="n"/>
    </row>
    <row r="236" ht="13.5" customHeight="1" s="1883">
      <c r="A236" s="1856" t="n"/>
      <c r="B236" s="1856" t="n"/>
      <c r="C236" s="1856" t="n"/>
      <c r="D236" s="1842" t="n"/>
      <c r="E236" s="1842" t="n"/>
      <c r="F236" s="1842" t="n"/>
      <c r="G236" s="1842" t="n"/>
      <c r="H236" s="1842" t="n"/>
      <c r="I236" s="1842" t="n"/>
      <c r="J236" s="1842" t="n"/>
      <c r="K236" s="1842" t="n"/>
      <c r="L236" s="1842" t="n"/>
      <c r="M236" s="1842" t="n"/>
      <c r="N236" s="1842" t="n"/>
      <c r="O236" s="1842" t="n"/>
      <c r="P236" s="1842" t="n"/>
      <c r="Q236" s="1842" t="n"/>
      <c r="R236" s="1842" t="n"/>
      <c r="S236" s="1842" t="n"/>
      <c r="T236" s="1842" t="n"/>
      <c r="U236" s="1842" t="n"/>
      <c r="V236" s="1842" t="n"/>
      <c r="W236" s="1842" t="n"/>
      <c r="X236" s="1842" t="n"/>
      <c r="Y236" s="1842" t="n"/>
      <c r="Z236" s="1842" t="n"/>
      <c r="AA236" s="1842" t="n"/>
      <c r="AB236" s="1842" t="n"/>
      <c r="AC236" s="1842" t="n"/>
      <c r="AD236" s="1842" t="n"/>
      <c r="AE236" s="1842" t="n"/>
      <c r="AF236" s="1842" t="n"/>
    </row>
    <row r="237" ht="13.5" customHeight="1" s="1883">
      <c r="A237" s="1856" t="n"/>
      <c r="B237" s="1856" t="n"/>
      <c r="C237" s="1856" t="n"/>
      <c r="D237" s="1842" t="n"/>
      <c r="E237" s="1842" t="n"/>
      <c r="F237" s="1842" t="n"/>
      <c r="G237" s="1842" t="n"/>
      <c r="H237" s="1842" t="n"/>
      <c r="I237" s="1842" t="n"/>
      <c r="J237" s="1842" t="n"/>
      <c r="K237" s="1842" t="n"/>
      <c r="L237" s="1842" t="n"/>
      <c r="M237" s="1842" t="n"/>
      <c r="N237" s="1842" t="n"/>
      <c r="O237" s="1842" t="n"/>
      <c r="P237" s="1842" t="n"/>
      <c r="Q237" s="1842" t="n"/>
      <c r="R237" s="1842" t="n"/>
      <c r="S237" s="1842" t="n"/>
      <c r="T237" s="1842" t="n"/>
      <c r="U237" s="1842" t="n"/>
      <c r="V237" s="1842" t="n"/>
      <c r="W237" s="1842" t="n"/>
      <c r="X237" s="1842" t="n"/>
      <c r="Y237" s="1842" t="n"/>
      <c r="Z237" s="1842" t="n"/>
      <c r="AA237" s="1842" t="n"/>
      <c r="AB237" s="1842" t="n"/>
      <c r="AC237" s="1842" t="n"/>
      <c r="AD237" s="1842" t="n"/>
      <c r="AE237" s="1842" t="n"/>
      <c r="AF237" s="1842" t="n"/>
    </row>
    <row r="238" ht="13.5" customHeight="1" s="1883">
      <c r="A238" s="1856" t="n"/>
      <c r="B238" s="1856" t="n"/>
      <c r="C238" s="1856" t="n"/>
      <c r="D238" s="1842" t="n"/>
      <c r="E238" s="1842" t="n"/>
      <c r="F238" s="1842" t="n"/>
      <c r="G238" s="1842" t="n"/>
      <c r="H238" s="1842" t="n"/>
      <c r="I238" s="1842" t="n"/>
      <c r="J238" s="1842" t="n"/>
      <c r="K238" s="1842" t="n"/>
      <c r="L238" s="1842" t="n"/>
      <c r="M238" s="1842" t="n"/>
      <c r="N238" s="1842" t="n"/>
      <c r="O238" s="1842" t="n"/>
      <c r="P238" s="1842" t="n"/>
      <c r="Q238" s="1842" t="n"/>
      <c r="R238" s="1842" t="n"/>
      <c r="S238" s="1842" t="n"/>
      <c r="T238" s="1842" t="n"/>
      <c r="U238" s="1842" t="n"/>
      <c r="V238" s="1842" t="n"/>
      <c r="W238" s="1842" t="n"/>
      <c r="X238" s="1842" t="n"/>
      <c r="Y238" s="1842" t="n"/>
      <c r="Z238" s="1842" t="n"/>
      <c r="AA238" s="1842" t="n"/>
      <c r="AB238" s="1842" t="n"/>
      <c r="AC238" s="1842" t="n"/>
      <c r="AD238" s="1842" t="n"/>
      <c r="AE238" s="1842" t="n"/>
      <c r="AF238" s="1842" t="n"/>
    </row>
    <row r="239" ht="13.5" customHeight="1" s="1883">
      <c r="A239" s="1856" t="n"/>
      <c r="B239" s="1856" t="n"/>
      <c r="C239" s="1856" t="n"/>
      <c r="D239" s="1842" t="n"/>
      <c r="E239" s="1842" t="n"/>
      <c r="F239" s="1842" t="n"/>
      <c r="G239" s="1842" t="n"/>
      <c r="H239" s="1842" t="n"/>
      <c r="I239" s="1842" t="n"/>
      <c r="J239" s="1842" t="n"/>
      <c r="K239" s="1842" t="n"/>
      <c r="L239" s="1842" t="n"/>
      <c r="M239" s="1842" t="n"/>
      <c r="N239" s="1842" t="n"/>
      <c r="O239" s="1842" t="n"/>
      <c r="P239" s="1842" t="n"/>
      <c r="Q239" s="1842" t="n"/>
      <c r="R239" s="1842" t="n"/>
      <c r="S239" s="1842" t="n"/>
      <c r="T239" s="1842" t="n"/>
      <c r="U239" s="1842" t="n"/>
      <c r="V239" s="1842" t="n"/>
      <c r="W239" s="1842" t="n"/>
      <c r="X239" s="1842" t="n"/>
      <c r="Y239" s="1842" t="n"/>
      <c r="Z239" s="1842" t="n"/>
      <c r="AA239" s="1842" t="n"/>
      <c r="AB239" s="1842" t="n"/>
      <c r="AC239" s="1842" t="n"/>
      <c r="AD239" s="1842" t="n"/>
      <c r="AE239" s="1842" t="n"/>
      <c r="AF239" s="1842" t="n"/>
    </row>
    <row r="240" ht="13.5" customHeight="1" s="1883">
      <c r="A240" s="1856" t="n"/>
      <c r="B240" s="1856" t="n"/>
      <c r="C240" s="1856" t="n"/>
      <c r="D240" s="1842" t="n"/>
      <c r="E240" s="1842" t="n"/>
      <c r="F240" s="1842" t="n"/>
      <c r="G240" s="1842" t="n"/>
      <c r="H240" s="1842" t="n"/>
      <c r="I240" s="1842" t="n"/>
      <c r="J240" s="1842" t="n"/>
      <c r="K240" s="1842" t="n"/>
      <c r="L240" s="1842" t="n"/>
      <c r="M240" s="1842" t="n"/>
      <c r="N240" s="1842" t="n"/>
      <c r="O240" s="1842" t="n"/>
      <c r="P240" s="1842" t="n"/>
      <c r="Q240" s="1842" t="n"/>
      <c r="R240" s="1842" t="n"/>
      <c r="S240" s="1842" t="n"/>
      <c r="T240" s="1842" t="n"/>
      <c r="U240" s="1842" t="n"/>
      <c r="V240" s="1842" t="n"/>
      <c r="W240" s="1842" t="n"/>
      <c r="X240" s="1842" t="n"/>
      <c r="Y240" s="1842" t="n"/>
      <c r="Z240" s="1842" t="n"/>
      <c r="AA240" s="1842" t="n"/>
      <c r="AB240" s="1842" t="n"/>
      <c r="AC240" s="1842" t="n"/>
      <c r="AD240" s="1842" t="n"/>
      <c r="AE240" s="1842" t="n"/>
      <c r="AF240" s="1842" t="n"/>
    </row>
    <row r="241" ht="13.5" customHeight="1" s="1883">
      <c r="A241" s="1856" t="n"/>
      <c r="B241" s="1856" t="n"/>
      <c r="C241" s="1856" t="n"/>
      <c r="D241" s="1842" t="n"/>
      <c r="E241" s="1842" t="n"/>
      <c r="F241" s="1842" t="n"/>
      <c r="G241" s="1842" t="n"/>
      <c r="H241" s="1842" t="n"/>
      <c r="I241" s="1842" t="n"/>
      <c r="J241" s="1842" t="n"/>
      <c r="K241" s="1842" t="n"/>
      <c r="L241" s="1842" t="n"/>
      <c r="M241" s="1842" t="n"/>
      <c r="N241" s="1842" t="n"/>
      <c r="O241" s="1842" t="n"/>
      <c r="P241" s="1842" t="n"/>
      <c r="Q241" s="1842" t="n"/>
      <c r="R241" s="1842" t="n"/>
      <c r="S241" s="1842" t="n"/>
      <c r="T241" s="1842" t="n"/>
      <c r="U241" s="1842" t="n"/>
      <c r="V241" s="1842" t="n"/>
      <c r="W241" s="1842" t="n"/>
      <c r="X241" s="1842" t="n"/>
      <c r="Y241" s="1842" t="n"/>
      <c r="Z241" s="1842" t="n"/>
      <c r="AA241" s="1842" t="n"/>
      <c r="AB241" s="1842" t="n"/>
      <c r="AC241" s="1842" t="n"/>
      <c r="AD241" s="1842" t="n"/>
      <c r="AE241" s="1842" t="n"/>
      <c r="AF241" s="1842" t="n"/>
    </row>
    <row r="242" ht="13.5" customHeight="1" s="1883">
      <c r="A242" s="1856" t="n"/>
      <c r="B242" s="1856" t="n"/>
      <c r="C242" s="1856" t="n"/>
      <c r="D242" s="1842" t="n"/>
      <c r="E242" s="1842" t="n"/>
      <c r="F242" s="1842" t="n"/>
      <c r="G242" s="1842" t="n"/>
      <c r="H242" s="1842" t="n"/>
      <c r="I242" s="1842" t="n"/>
      <c r="J242" s="1842" t="n"/>
      <c r="K242" s="1842" t="n"/>
      <c r="L242" s="1842" t="n"/>
      <c r="M242" s="1842" t="n"/>
      <c r="N242" s="1842" t="n"/>
      <c r="O242" s="1842" t="n"/>
      <c r="P242" s="1842" t="n"/>
      <c r="Q242" s="1842" t="n"/>
      <c r="R242" s="1842" t="n"/>
      <c r="S242" s="1842" t="n"/>
      <c r="T242" s="1842" t="n"/>
      <c r="U242" s="1842" t="n"/>
      <c r="V242" s="1842" t="n"/>
      <c r="W242" s="1842" t="n"/>
      <c r="X242" s="1842" t="n"/>
      <c r="Y242" s="1842" t="n"/>
      <c r="Z242" s="1842" t="n"/>
      <c r="AA242" s="1842" t="n"/>
      <c r="AB242" s="1842" t="n"/>
      <c r="AC242" s="1842" t="n"/>
      <c r="AD242" s="1842" t="n"/>
      <c r="AE242" s="1842" t="n"/>
      <c r="AF242" s="1842" t="n"/>
    </row>
    <row r="243" ht="13.5" customHeight="1" s="1883">
      <c r="A243" s="1856" t="n"/>
      <c r="B243" s="1856" t="n"/>
      <c r="C243" s="1856" t="n"/>
      <c r="D243" s="1842" t="n"/>
      <c r="E243" s="1842" t="n"/>
      <c r="F243" s="1842" t="n"/>
      <c r="G243" s="1842" t="n"/>
      <c r="H243" s="1842" t="n"/>
      <c r="I243" s="1842" t="n"/>
      <c r="J243" s="1842" t="n"/>
      <c r="K243" s="1842" t="n"/>
      <c r="L243" s="1842" t="n"/>
      <c r="M243" s="1842" t="n"/>
      <c r="N243" s="1842" t="n"/>
      <c r="O243" s="1842" t="n"/>
      <c r="P243" s="1842" t="n"/>
      <c r="Q243" s="1842" t="n"/>
      <c r="R243" s="1842" t="n"/>
      <c r="S243" s="1842" t="n"/>
      <c r="T243" s="1842" t="n"/>
      <c r="U243" s="1842" t="n"/>
      <c r="V243" s="1842" t="n"/>
      <c r="W243" s="1842" t="n"/>
      <c r="X243" s="1842" t="n"/>
      <c r="Y243" s="1842" t="n"/>
      <c r="Z243" s="1842" t="n"/>
      <c r="AA243" s="1842" t="n"/>
      <c r="AB243" s="1842" t="n"/>
      <c r="AC243" s="1842" t="n"/>
      <c r="AD243" s="1842" t="n"/>
      <c r="AE243" s="1842" t="n"/>
      <c r="AF243" s="1842" t="n"/>
    </row>
    <row r="244" ht="13.5" customHeight="1" s="1883">
      <c r="A244" s="1856" t="n"/>
      <c r="B244" s="1856" t="n"/>
      <c r="C244" s="1856" t="n"/>
      <c r="D244" s="1842" t="n"/>
      <c r="E244" s="1842" t="n"/>
      <c r="F244" s="1842" t="n"/>
      <c r="G244" s="1842" t="n"/>
      <c r="H244" s="1842" t="n"/>
      <c r="I244" s="1842" t="n"/>
      <c r="J244" s="1842" t="n"/>
      <c r="K244" s="1842" t="n"/>
      <c r="L244" s="1842" t="n"/>
      <c r="M244" s="1842" t="n"/>
      <c r="N244" s="1842" t="n"/>
      <c r="O244" s="1842" t="n"/>
      <c r="P244" s="1842" t="n"/>
      <c r="Q244" s="1842" t="n"/>
      <c r="R244" s="1842" t="n"/>
      <c r="S244" s="1842" t="n"/>
      <c r="T244" s="1842" t="n"/>
      <c r="U244" s="1842" t="n"/>
      <c r="V244" s="1842" t="n"/>
      <c r="W244" s="1842" t="n"/>
      <c r="X244" s="1842" t="n"/>
      <c r="Y244" s="1842" t="n"/>
      <c r="Z244" s="1842" t="n"/>
      <c r="AA244" s="1842" t="n"/>
      <c r="AB244" s="1842" t="n"/>
      <c r="AC244" s="1842" t="n"/>
      <c r="AD244" s="1842" t="n"/>
      <c r="AE244" s="1842" t="n"/>
      <c r="AF244" s="1842" t="n"/>
    </row>
    <row r="245" ht="13.5" customHeight="1" s="1883">
      <c r="A245" s="1856" t="n"/>
      <c r="B245" s="1856" t="n"/>
      <c r="C245" s="1856" t="n"/>
      <c r="D245" s="1842" t="n"/>
      <c r="E245" s="1842" t="n"/>
      <c r="F245" s="1842" t="n"/>
      <c r="G245" s="1842" t="n"/>
      <c r="H245" s="1842" t="n"/>
      <c r="I245" s="1842" t="n"/>
      <c r="J245" s="1842" t="n"/>
      <c r="K245" s="1842" t="n"/>
      <c r="L245" s="1842" t="n"/>
      <c r="M245" s="1842" t="n"/>
      <c r="N245" s="1842" t="n"/>
      <c r="O245" s="1842" t="n"/>
      <c r="P245" s="1842" t="n"/>
      <c r="Q245" s="1842" t="n"/>
      <c r="R245" s="1842" t="n"/>
      <c r="S245" s="1842" t="n"/>
      <c r="T245" s="1842" t="n"/>
      <c r="U245" s="1842" t="n"/>
      <c r="V245" s="1842" t="n"/>
      <c r="W245" s="1842" t="n"/>
      <c r="X245" s="1842" t="n"/>
      <c r="Y245" s="1842" t="n"/>
      <c r="Z245" s="1842" t="n"/>
      <c r="AA245" s="1842" t="n"/>
      <c r="AB245" s="1842" t="n"/>
      <c r="AC245" s="1842" t="n"/>
      <c r="AD245" s="1842" t="n"/>
      <c r="AE245" s="1842" t="n"/>
      <c r="AF245" s="1842" t="n"/>
    </row>
    <row r="246" ht="13.5" customHeight="1" s="1883">
      <c r="A246" s="1856" t="n"/>
      <c r="B246" s="1856" t="n"/>
      <c r="C246" s="1856" t="n"/>
      <c r="D246" s="1842" t="n"/>
      <c r="E246" s="1842" t="n"/>
      <c r="F246" s="1842" t="n"/>
      <c r="G246" s="1842" t="n"/>
      <c r="H246" s="1842" t="n"/>
      <c r="I246" s="1842" t="n"/>
      <c r="J246" s="1842" t="n"/>
      <c r="K246" s="1842" t="n"/>
      <c r="L246" s="1842" t="n"/>
      <c r="M246" s="1842" t="n"/>
      <c r="N246" s="1842" t="n"/>
      <c r="O246" s="1842" t="n"/>
      <c r="P246" s="1842" t="n"/>
      <c r="Q246" s="1842" t="n"/>
      <c r="R246" s="1842" t="n"/>
      <c r="S246" s="1842" t="n"/>
      <c r="T246" s="1842" t="n"/>
      <c r="U246" s="1842" t="n"/>
      <c r="V246" s="1842" t="n"/>
      <c r="W246" s="1842" t="n"/>
      <c r="X246" s="1842" t="n"/>
      <c r="Y246" s="1842" t="n"/>
      <c r="Z246" s="1842" t="n"/>
      <c r="AA246" s="1842" t="n"/>
      <c r="AB246" s="1842" t="n"/>
      <c r="AC246" s="1842" t="n"/>
      <c r="AD246" s="1842" t="n"/>
      <c r="AE246" s="1842" t="n"/>
      <c r="AF246" s="1842" t="n"/>
    </row>
    <row r="247" ht="13.5" customHeight="1" s="1883">
      <c r="A247" s="1856" t="n"/>
      <c r="B247" s="1856" t="n"/>
      <c r="C247" s="1856" t="n"/>
      <c r="D247" s="1842" t="n"/>
      <c r="E247" s="1842" t="n"/>
      <c r="F247" s="1842" t="n"/>
      <c r="G247" s="1842" t="n"/>
      <c r="H247" s="1842" t="n"/>
      <c r="I247" s="1842" t="n"/>
      <c r="J247" s="1842" t="n"/>
      <c r="K247" s="1842" t="n"/>
      <c r="L247" s="1842" t="n"/>
      <c r="M247" s="1842" t="n"/>
      <c r="N247" s="1842" t="n"/>
      <c r="O247" s="1842" t="n"/>
      <c r="P247" s="1842" t="n"/>
      <c r="Q247" s="1842" t="n"/>
      <c r="R247" s="1842" t="n"/>
      <c r="S247" s="1842" t="n"/>
      <c r="T247" s="1842" t="n"/>
      <c r="U247" s="1842" t="n"/>
      <c r="V247" s="1842" t="n"/>
      <c r="W247" s="1842" t="n"/>
      <c r="X247" s="1842" t="n"/>
      <c r="Y247" s="1842" t="n"/>
      <c r="Z247" s="1842" t="n"/>
      <c r="AA247" s="1842" t="n"/>
      <c r="AB247" s="1842" t="n"/>
      <c r="AC247" s="1842" t="n"/>
      <c r="AD247" s="1842" t="n"/>
      <c r="AE247" s="1842" t="n"/>
      <c r="AF247" s="1842" t="n"/>
    </row>
    <row r="248" ht="13.5" customHeight="1" s="1883">
      <c r="A248" s="1856" t="n"/>
      <c r="B248" s="1856" t="n"/>
      <c r="C248" s="1856" t="n"/>
      <c r="D248" s="1842" t="n"/>
      <c r="E248" s="1842" t="n"/>
      <c r="F248" s="1842" t="n"/>
      <c r="G248" s="1842" t="n"/>
      <c r="H248" s="1842" t="n"/>
      <c r="I248" s="1842" t="n"/>
      <c r="J248" s="1842" t="n"/>
      <c r="K248" s="1842" t="n"/>
      <c r="L248" s="1842" t="n"/>
      <c r="M248" s="1842" t="n"/>
      <c r="N248" s="1842" t="n"/>
      <c r="O248" s="1842" t="n"/>
      <c r="P248" s="1842" t="n"/>
      <c r="Q248" s="1842" t="n"/>
      <c r="R248" s="1842" t="n"/>
      <c r="S248" s="1842" t="n"/>
      <c r="T248" s="1842" t="n"/>
      <c r="U248" s="1842" t="n"/>
      <c r="V248" s="1842" t="n"/>
      <c r="W248" s="1842" t="n"/>
      <c r="X248" s="1842" t="n"/>
      <c r="Y248" s="1842" t="n"/>
      <c r="Z248" s="1842" t="n"/>
      <c r="AA248" s="1842" t="n"/>
      <c r="AB248" s="1842" t="n"/>
      <c r="AC248" s="1842" t="n"/>
      <c r="AD248" s="1842" t="n"/>
      <c r="AE248" s="1842" t="n"/>
      <c r="AF248" s="1842" t="n"/>
    </row>
    <row r="249" ht="13.5" customHeight="1" s="1883">
      <c r="A249" s="1856" t="n"/>
      <c r="B249" s="1856" t="n"/>
      <c r="C249" s="1856" t="n"/>
      <c r="D249" s="1842" t="n"/>
      <c r="E249" s="1842" t="n"/>
      <c r="F249" s="1842" t="n"/>
      <c r="G249" s="1842" t="n"/>
      <c r="H249" s="1842" t="n"/>
      <c r="I249" s="1842" t="n"/>
      <c r="J249" s="1842" t="n"/>
      <c r="K249" s="1842" t="n"/>
      <c r="L249" s="1842" t="n"/>
      <c r="M249" s="1842" t="n"/>
      <c r="N249" s="1842" t="n"/>
      <c r="O249" s="1842" t="n"/>
      <c r="P249" s="1842" t="n"/>
      <c r="Q249" s="1842" t="n"/>
      <c r="R249" s="1842" t="n"/>
      <c r="S249" s="1842" t="n"/>
      <c r="T249" s="1842" t="n"/>
      <c r="U249" s="1842" t="n"/>
      <c r="V249" s="1842" t="n"/>
      <c r="W249" s="1842" t="n"/>
      <c r="X249" s="1842" t="n"/>
      <c r="Y249" s="1842" t="n"/>
      <c r="Z249" s="1842" t="n"/>
      <c r="AA249" s="1842" t="n"/>
      <c r="AB249" s="1842" t="n"/>
      <c r="AC249" s="1842" t="n"/>
      <c r="AD249" s="1842" t="n"/>
      <c r="AE249" s="1842" t="n"/>
      <c r="AF249" s="1842" t="n"/>
    </row>
    <row r="250" ht="13.5" customHeight="1" s="1883">
      <c r="A250" s="1856" t="n"/>
      <c r="B250" s="1856" t="n"/>
      <c r="C250" s="1856" t="n"/>
      <c r="D250" s="1842" t="n"/>
      <c r="E250" s="1842" t="n"/>
      <c r="F250" s="1842" t="n"/>
      <c r="G250" s="1842" t="n"/>
      <c r="H250" s="1842" t="n"/>
      <c r="I250" s="1842" t="n"/>
      <c r="J250" s="1842" t="n"/>
      <c r="K250" s="1842" t="n"/>
      <c r="L250" s="1842" t="n"/>
      <c r="M250" s="1842" t="n"/>
      <c r="N250" s="1842" t="n"/>
      <c r="O250" s="1842" t="n"/>
      <c r="P250" s="1842" t="n"/>
      <c r="Q250" s="1842" t="n"/>
      <c r="R250" s="1842" t="n"/>
      <c r="S250" s="1842" t="n"/>
      <c r="T250" s="1842" t="n"/>
      <c r="U250" s="1842" t="n"/>
      <c r="V250" s="1842" t="n"/>
      <c r="W250" s="1842" t="n"/>
      <c r="X250" s="1842" t="n"/>
      <c r="Y250" s="1842" t="n"/>
      <c r="Z250" s="1842" t="n"/>
      <c r="AA250" s="1842" t="n"/>
      <c r="AB250" s="1842" t="n"/>
      <c r="AC250" s="1842" t="n"/>
      <c r="AD250" s="1842" t="n"/>
      <c r="AE250" s="1842" t="n"/>
      <c r="AF250" s="1842" t="n"/>
    </row>
    <row r="251" ht="13.5" customHeight="1" s="1883">
      <c r="A251" s="1842" t="n"/>
      <c r="B251" s="1842" t="n"/>
      <c r="C251" s="1842" t="n"/>
      <c r="D251" s="1842" t="n"/>
      <c r="E251" s="1842" t="n"/>
      <c r="F251" s="1842" t="n"/>
      <c r="G251" s="1842" t="n"/>
      <c r="H251" s="1842" t="n"/>
      <c r="I251" s="1842" t="n"/>
      <c r="J251" s="1842" t="n"/>
      <c r="K251" s="1842" t="n"/>
      <c r="L251" s="1842" t="n"/>
      <c r="M251" s="1842" t="n"/>
      <c r="N251" s="1842" t="n"/>
      <c r="O251" s="1842" t="n"/>
      <c r="P251" s="1842" t="n"/>
      <c r="Q251" s="1842" t="n"/>
      <c r="R251" s="1842" t="n"/>
      <c r="S251" s="1842" t="n"/>
      <c r="T251" s="1842" t="n"/>
      <c r="U251" s="1842" t="n"/>
      <c r="V251" s="1842" t="n"/>
      <c r="W251" s="1842" t="n"/>
      <c r="X251" s="1842" t="n"/>
      <c r="Y251" s="1842" t="n"/>
      <c r="Z251" s="1842" t="n"/>
      <c r="AA251" s="1842" t="n"/>
      <c r="AB251" s="1842" t="n"/>
      <c r="AC251" s="1842" t="n"/>
      <c r="AD251" s="1842" t="n"/>
      <c r="AE251" s="1842" t="n"/>
      <c r="AF251" s="1842" t="n"/>
    </row>
    <row r="252" ht="13.5" customHeight="1" s="1883">
      <c r="A252" s="1842" t="n"/>
      <c r="B252" s="1842" t="n"/>
      <c r="C252" s="1842" t="n"/>
      <c r="D252" s="1842" t="n"/>
      <c r="E252" s="1842" t="n"/>
      <c r="F252" s="1842" t="n"/>
      <c r="G252" s="1842" t="n"/>
      <c r="H252" s="1842" t="n"/>
      <c r="I252" s="1842" t="n"/>
      <c r="J252" s="1842" t="n"/>
      <c r="K252" s="1842" t="n"/>
      <c r="L252" s="1842" t="n"/>
      <c r="M252" s="1842" t="n"/>
      <c r="N252" s="1842" t="n"/>
      <c r="O252" s="1842" t="n"/>
      <c r="P252" s="1842" t="n"/>
      <c r="Q252" s="1842" t="n"/>
      <c r="R252" s="1842" t="n"/>
      <c r="S252" s="1842" t="n"/>
      <c r="T252" s="1842" t="n"/>
      <c r="U252" s="1842" t="n"/>
      <c r="V252" s="1842" t="n"/>
      <c r="W252" s="1842" t="n"/>
      <c r="X252" s="1842" t="n"/>
      <c r="Y252" s="1842" t="n"/>
      <c r="Z252" s="1842" t="n"/>
      <c r="AA252" s="1842" t="n"/>
      <c r="AB252" s="1842" t="n"/>
      <c r="AC252" s="1842" t="n"/>
      <c r="AD252" s="1842" t="n"/>
      <c r="AE252" s="1842" t="n"/>
      <c r="AF252" s="1842" t="n"/>
    </row>
    <row r="253" ht="13.5" customHeight="1" s="1883">
      <c r="A253" s="1842" t="n"/>
      <c r="B253" s="1842" t="n"/>
      <c r="C253" s="1842" t="n"/>
      <c r="D253" s="1842" t="n"/>
      <c r="E253" s="1842" t="n"/>
      <c r="F253" s="1842" t="n"/>
      <c r="G253" s="1842" t="n"/>
      <c r="H253" s="1842" t="n"/>
      <c r="I253" s="1842" t="n"/>
      <c r="J253" s="1842" t="n"/>
      <c r="K253" s="1842" t="n"/>
      <c r="L253" s="1842" t="n"/>
      <c r="M253" s="1842" t="n"/>
      <c r="N253" s="1842" t="n"/>
      <c r="O253" s="1842" t="n"/>
      <c r="P253" s="1842" t="n"/>
      <c r="Q253" s="1842" t="n"/>
      <c r="R253" s="1842" t="n"/>
      <c r="S253" s="1842" t="n"/>
      <c r="T253" s="1842" t="n"/>
      <c r="U253" s="1842" t="n"/>
      <c r="V253" s="1842" t="n"/>
      <c r="W253" s="1842" t="n"/>
      <c r="X253" s="1842" t="n"/>
      <c r="Y253" s="1842" t="n"/>
      <c r="Z253" s="1842" t="n"/>
      <c r="AA253" s="1842" t="n"/>
      <c r="AB253" s="1842" t="n"/>
      <c r="AC253" s="1842" t="n"/>
      <c r="AD253" s="1842" t="n"/>
      <c r="AE253" s="1842" t="n"/>
      <c r="AF253" s="1842" t="n"/>
    </row>
    <row r="254" ht="13.5" customHeight="1" s="1883">
      <c r="A254" s="1842" t="n"/>
      <c r="B254" s="1842" t="n"/>
      <c r="C254" s="1842" t="n"/>
      <c r="D254" s="1842" t="n"/>
      <c r="E254" s="1842" t="n"/>
      <c r="F254" s="1842" t="n"/>
      <c r="G254" s="1842" t="n"/>
      <c r="H254" s="1842" t="n"/>
      <c r="I254" s="1842" t="n"/>
      <c r="J254" s="1842" t="n"/>
      <c r="K254" s="1842" t="n"/>
      <c r="L254" s="1842" t="n"/>
      <c r="M254" s="1842" t="n"/>
      <c r="N254" s="1842" t="n"/>
      <c r="O254" s="1842" t="n"/>
      <c r="P254" s="1842" t="n"/>
      <c r="Q254" s="1842" t="n"/>
      <c r="R254" s="1842" t="n"/>
      <c r="S254" s="1842" t="n"/>
      <c r="T254" s="1842" t="n"/>
      <c r="U254" s="1842" t="n"/>
      <c r="V254" s="1842" t="n"/>
      <c r="W254" s="1842" t="n"/>
      <c r="X254" s="1842" t="n"/>
      <c r="Y254" s="1842" t="n"/>
      <c r="Z254" s="1842" t="n"/>
      <c r="AA254" s="1842" t="n"/>
      <c r="AB254" s="1842" t="n"/>
      <c r="AC254" s="1842" t="n"/>
      <c r="AD254" s="1842" t="n"/>
      <c r="AE254" s="1842" t="n"/>
      <c r="AF254" s="1842" t="n"/>
    </row>
    <row r="255" ht="13.5" customHeight="1" s="1883">
      <c r="A255" s="1842" t="n"/>
      <c r="B255" s="1842" t="n"/>
      <c r="C255" s="1842" t="n"/>
      <c r="D255" s="1842" t="n"/>
      <c r="E255" s="1842" t="n"/>
      <c r="F255" s="1842" t="n"/>
      <c r="G255" s="1842" t="n"/>
      <c r="H255" s="1842" t="n"/>
      <c r="I255" s="1842" t="n"/>
      <c r="J255" s="1842" t="n"/>
      <c r="K255" s="1842" t="n"/>
      <c r="L255" s="1842" t="n"/>
      <c r="M255" s="1842" t="n"/>
      <c r="N255" s="1842" t="n"/>
      <c r="O255" s="1842" t="n"/>
      <c r="P255" s="1842" t="n"/>
      <c r="Q255" s="1842" t="n"/>
      <c r="R255" s="1842" t="n"/>
      <c r="S255" s="1842" t="n"/>
      <c r="T255" s="1842" t="n"/>
      <c r="U255" s="1842" t="n"/>
      <c r="V255" s="1842" t="n"/>
      <c r="W255" s="1842" t="n"/>
      <c r="X255" s="1842" t="n"/>
      <c r="Y255" s="1842" t="n"/>
      <c r="Z255" s="1842" t="n"/>
      <c r="AA255" s="1842" t="n"/>
      <c r="AB255" s="1842" t="n"/>
      <c r="AC255" s="1842" t="n"/>
      <c r="AD255" s="1842" t="n"/>
      <c r="AE255" s="1842" t="n"/>
      <c r="AF255" s="1842" t="n"/>
    </row>
    <row r="256" ht="13.5" customHeight="1" s="1883">
      <c r="A256" s="1842" t="n"/>
      <c r="B256" s="1842" t="n"/>
      <c r="C256" s="1842" t="n"/>
      <c r="D256" s="1842" t="n"/>
      <c r="E256" s="1842" t="n"/>
      <c r="F256" s="1842" t="n"/>
      <c r="G256" s="1842" t="n"/>
      <c r="H256" s="1842" t="n"/>
      <c r="I256" s="1842" t="n"/>
      <c r="J256" s="1842" t="n"/>
      <c r="K256" s="1842" t="n"/>
      <c r="L256" s="1842" t="n"/>
      <c r="M256" s="1842" t="n"/>
      <c r="N256" s="1842" t="n"/>
      <c r="O256" s="1842" t="n"/>
      <c r="P256" s="1842" t="n"/>
      <c r="Q256" s="1842" t="n"/>
      <c r="R256" s="1842" t="n"/>
      <c r="S256" s="1842" t="n"/>
      <c r="T256" s="1842" t="n"/>
      <c r="U256" s="1842" t="n"/>
      <c r="V256" s="1842" t="n"/>
      <c r="W256" s="1842" t="n"/>
      <c r="X256" s="1842" t="n"/>
      <c r="Y256" s="1842" t="n"/>
      <c r="Z256" s="1842" t="n"/>
      <c r="AA256" s="1842" t="n"/>
      <c r="AB256" s="1842" t="n"/>
      <c r="AC256" s="1842" t="n"/>
      <c r="AD256" s="1842" t="n"/>
      <c r="AE256" s="1842" t="n"/>
      <c r="AF256" s="1842" t="n"/>
    </row>
    <row r="257" ht="13.5" customHeight="1" s="1883">
      <c r="A257" s="1842" t="n"/>
      <c r="B257" s="1842" t="n"/>
      <c r="C257" s="1842" t="n"/>
      <c r="D257" s="1842" t="n"/>
      <c r="E257" s="1842" t="n"/>
      <c r="F257" s="1842" t="n"/>
      <c r="G257" s="1842" t="n"/>
      <c r="H257" s="1842" t="n"/>
      <c r="I257" s="1842" t="n"/>
      <c r="J257" s="1842" t="n"/>
      <c r="K257" s="1842" t="n"/>
      <c r="L257" s="1842" t="n"/>
      <c r="M257" s="1842" t="n"/>
      <c r="N257" s="1842" t="n"/>
      <c r="O257" s="1842" t="n"/>
      <c r="P257" s="1842" t="n"/>
      <c r="Q257" s="1842" t="n"/>
      <c r="R257" s="1842" t="n"/>
      <c r="S257" s="1842" t="n"/>
      <c r="T257" s="1842" t="n"/>
      <c r="U257" s="1842" t="n"/>
      <c r="V257" s="1842" t="n"/>
      <c r="W257" s="1842" t="n"/>
      <c r="X257" s="1842" t="n"/>
      <c r="Y257" s="1842" t="n"/>
      <c r="Z257" s="1842" t="n"/>
      <c r="AA257" s="1842" t="n"/>
      <c r="AB257" s="1842" t="n"/>
      <c r="AC257" s="1842" t="n"/>
      <c r="AD257" s="1842" t="n"/>
      <c r="AE257" s="1842" t="n"/>
      <c r="AF257" s="1842" t="n"/>
    </row>
    <row r="258" ht="13.5" customHeight="1" s="1883">
      <c r="A258" s="1842" t="n"/>
      <c r="B258" s="1842" t="n"/>
      <c r="C258" s="1842" t="n"/>
      <c r="D258" s="1842" t="n"/>
      <c r="E258" s="1842" t="n"/>
      <c r="F258" s="1842" t="n"/>
      <c r="G258" s="1842" t="n"/>
      <c r="H258" s="1842" t="n"/>
      <c r="I258" s="1842" t="n"/>
      <c r="J258" s="1842" t="n"/>
      <c r="K258" s="1842" t="n"/>
      <c r="L258" s="1842" t="n"/>
      <c r="M258" s="1842" t="n"/>
      <c r="N258" s="1842" t="n"/>
      <c r="O258" s="1842" t="n"/>
      <c r="P258" s="1842" t="n"/>
      <c r="Q258" s="1842" t="n"/>
      <c r="R258" s="1842" t="n"/>
      <c r="S258" s="1842" t="n"/>
      <c r="T258" s="1842" t="n"/>
      <c r="U258" s="1842" t="n"/>
      <c r="V258" s="1842" t="n"/>
      <c r="W258" s="1842" t="n"/>
      <c r="X258" s="1842" t="n"/>
      <c r="Y258" s="1842" t="n"/>
      <c r="Z258" s="1842" t="n"/>
      <c r="AA258" s="1842" t="n"/>
      <c r="AB258" s="1842" t="n"/>
      <c r="AC258" s="1842" t="n"/>
      <c r="AD258" s="1842" t="n"/>
      <c r="AE258" s="1842" t="n"/>
      <c r="AF258" s="1842" t="n"/>
    </row>
    <row r="259" ht="13.5" customHeight="1" s="1883">
      <c r="A259" s="1842" t="n"/>
      <c r="B259" s="1842" t="n"/>
      <c r="C259" s="1842" t="n"/>
      <c r="D259" s="1842" t="n"/>
      <c r="E259" s="1842" t="n"/>
      <c r="F259" s="1842" t="n"/>
      <c r="G259" s="1842" t="n"/>
      <c r="H259" s="1842" t="n"/>
      <c r="I259" s="1842" t="n"/>
      <c r="J259" s="1842" t="n"/>
      <c r="K259" s="1842" t="n"/>
      <c r="L259" s="1842" t="n"/>
      <c r="M259" s="1842" t="n"/>
      <c r="N259" s="1842" t="n"/>
      <c r="O259" s="1842" t="n"/>
      <c r="P259" s="1842" t="n"/>
      <c r="Q259" s="1842" t="n"/>
      <c r="R259" s="1842" t="n"/>
      <c r="S259" s="1842" t="n"/>
      <c r="T259" s="1842" t="n"/>
      <c r="U259" s="1842" t="n"/>
      <c r="V259" s="1842" t="n"/>
      <c r="W259" s="1842" t="n"/>
      <c r="X259" s="1842" t="n"/>
      <c r="Y259" s="1842" t="n"/>
      <c r="Z259" s="1842" t="n"/>
      <c r="AA259" s="1842" t="n"/>
      <c r="AB259" s="1842" t="n"/>
      <c r="AC259" s="1842" t="n"/>
      <c r="AD259" s="1842" t="n"/>
      <c r="AE259" s="1842" t="n"/>
      <c r="AF259" s="1842" t="n"/>
    </row>
    <row r="260" ht="13.5" customHeight="1" s="1883">
      <c r="A260" s="1842" t="n"/>
      <c r="B260" s="1842" t="n"/>
      <c r="C260" s="1842" t="n"/>
      <c r="D260" s="1842" t="n"/>
      <c r="E260" s="1842" t="n"/>
      <c r="F260" s="1842" t="n"/>
      <c r="G260" s="1842" t="n"/>
      <c r="H260" s="1842" t="n"/>
      <c r="I260" s="1842" t="n"/>
      <c r="J260" s="1842" t="n"/>
      <c r="K260" s="1842" t="n"/>
      <c r="L260" s="1842" t="n"/>
      <c r="M260" s="1842" t="n"/>
      <c r="N260" s="1842" t="n"/>
      <c r="O260" s="1842" t="n"/>
      <c r="P260" s="1842" t="n"/>
      <c r="Q260" s="1842" t="n"/>
      <c r="R260" s="1842" t="n"/>
      <c r="S260" s="1842" t="n"/>
      <c r="T260" s="1842" t="n"/>
      <c r="U260" s="1842" t="n"/>
      <c r="V260" s="1842" t="n"/>
      <c r="W260" s="1842" t="n"/>
      <c r="X260" s="1842" t="n"/>
      <c r="Y260" s="1842" t="n"/>
      <c r="Z260" s="1842" t="n"/>
      <c r="AA260" s="1842" t="n"/>
      <c r="AB260" s="1842" t="n"/>
      <c r="AC260" s="1842" t="n"/>
      <c r="AD260" s="1842" t="n"/>
      <c r="AE260" s="1842" t="n"/>
      <c r="AF260" s="1842" t="n"/>
    </row>
    <row r="261" ht="13.5" customHeight="1" s="1883">
      <c r="A261" s="1842" t="n"/>
      <c r="B261" s="1842" t="n"/>
      <c r="C261" s="1842" t="n"/>
      <c r="D261" s="1842" t="n"/>
      <c r="E261" s="1842" t="n"/>
      <c r="F261" s="1842" t="n"/>
      <c r="G261" s="1842" t="n"/>
      <c r="H261" s="1842" t="n"/>
      <c r="I261" s="1842" t="n"/>
      <c r="J261" s="1842" t="n"/>
      <c r="K261" s="1842" t="n"/>
      <c r="L261" s="1842" t="n"/>
      <c r="M261" s="1842" t="n"/>
      <c r="N261" s="1842" t="n"/>
      <c r="O261" s="1842" t="n"/>
      <c r="P261" s="1842" t="n"/>
      <c r="Q261" s="1842" t="n"/>
      <c r="R261" s="1842" t="n"/>
      <c r="S261" s="1842" t="n"/>
      <c r="T261" s="1842" t="n"/>
      <c r="U261" s="1842" t="n"/>
      <c r="V261" s="1842" t="n"/>
      <c r="W261" s="1842" t="n"/>
      <c r="X261" s="1842" t="n"/>
      <c r="Y261" s="1842" t="n"/>
      <c r="Z261" s="1842" t="n"/>
      <c r="AA261" s="1842" t="n"/>
      <c r="AB261" s="1842" t="n"/>
      <c r="AC261" s="1842" t="n"/>
      <c r="AD261" s="1842" t="n"/>
      <c r="AE261" s="1842" t="n"/>
      <c r="AF261" s="1842" t="n"/>
    </row>
    <row r="262" ht="13.5" customHeight="1" s="1883">
      <c r="A262" s="1842" t="n"/>
      <c r="B262" s="1842" t="n"/>
      <c r="C262" s="1842" t="n"/>
      <c r="D262" s="1842" t="n"/>
      <c r="E262" s="1842" t="n"/>
      <c r="F262" s="1842" t="n"/>
      <c r="G262" s="1842" t="n"/>
      <c r="H262" s="1842" t="n"/>
      <c r="I262" s="1842" t="n"/>
      <c r="J262" s="1842" t="n"/>
      <c r="K262" s="1842" t="n"/>
      <c r="L262" s="1842" t="n"/>
      <c r="M262" s="1842" t="n"/>
      <c r="N262" s="1842" t="n"/>
      <c r="O262" s="1842" t="n"/>
      <c r="P262" s="1842" t="n"/>
      <c r="Q262" s="1842" t="n"/>
      <c r="R262" s="1842" t="n"/>
      <c r="S262" s="1842" t="n"/>
      <c r="T262" s="1842" t="n"/>
      <c r="U262" s="1842" t="n"/>
      <c r="V262" s="1842" t="n"/>
      <c r="W262" s="1842" t="n"/>
      <c r="X262" s="1842" t="n"/>
      <c r="Y262" s="1842" t="n"/>
      <c r="Z262" s="1842" t="n"/>
      <c r="AA262" s="1842" t="n"/>
      <c r="AB262" s="1842" t="n"/>
      <c r="AC262" s="1842" t="n"/>
      <c r="AD262" s="1842" t="n"/>
      <c r="AE262" s="1842" t="n"/>
      <c r="AF262" s="1842" t="n"/>
    </row>
    <row r="263" ht="13.5" customHeight="1" s="1883">
      <c r="A263" s="1842" t="n"/>
      <c r="B263" s="1842" t="n"/>
      <c r="C263" s="1842" t="n"/>
      <c r="D263" s="1842" t="n"/>
      <c r="E263" s="1842" t="n"/>
      <c r="F263" s="1842" t="n"/>
      <c r="G263" s="1842" t="n"/>
      <c r="H263" s="1842" t="n"/>
      <c r="I263" s="1842" t="n"/>
      <c r="J263" s="1842" t="n"/>
      <c r="K263" s="1842" t="n"/>
      <c r="L263" s="1842" t="n"/>
      <c r="M263" s="1842" t="n"/>
      <c r="N263" s="1842" t="n"/>
      <c r="O263" s="1842" t="n"/>
      <c r="P263" s="1842" t="n"/>
      <c r="Q263" s="1842" t="n"/>
      <c r="R263" s="1842" t="n"/>
      <c r="S263" s="1842" t="n"/>
      <c r="T263" s="1842" t="n"/>
      <c r="U263" s="1842" t="n"/>
      <c r="V263" s="1842" t="n"/>
      <c r="W263" s="1842" t="n"/>
      <c r="X263" s="1842" t="n"/>
      <c r="Y263" s="1842" t="n"/>
      <c r="Z263" s="1842" t="n"/>
      <c r="AA263" s="1842" t="n"/>
      <c r="AB263" s="1842" t="n"/>
      <c r="AC263" s="1842" t="n"/>
      <c r="AD263" s="1842" t="n"/>
      <c r="AE263" s="1842" t="n"/>
      <c r="AF263" s="1842" t="n"/>
    </row>
    <row r="264" ht="13.5" customHeight="1" s="1883">
      <c r="A264" s="1842" t="n"/>
      <c r="B264" s="1842" t="n"/>
      <c r="C264" s="1842" t="n"/>
      <c r="D264" s="1842" t="n"/>
      <c r="E264" s="1842" t="n"/>
      <c r="F264" s="1842" t="n"/>
      <c r="G264" s="1842" t="n"/>
      <c r="H264" s="1842" t="n"/>
      <c r="I264" s="1842" t="n"/>
      <c r="J264" s="1842" t="n"/>
      <c r="K264" s="1842" t="n"/>
      <c r="L264" s="1842" t="n"/>
      <c r="M264" s="1842" t="n"/>
      <c r="N264" s="1842" t="n"/>
      <c r="O264" s="1842" t="n"/>
      <c r="P264" s="1842" t="n"/>
      <c r="Q264" s="1842" t="n"/>
      <c r="R264" s="1842" t="n"/>
      <c r="S264" s="1842" t="n"/>
      <c r="T264" s="1842" t="n"/>
      <c r="U264" s="1842" t="n"/>
      <c r="V264" s="1842" t="n"/>
      <c r="W264" s="1842" t="n"/>
      <c r="X264" s="1842" t="n"/>
      <c r="Y264" s="1842" t="n"/>
      <c r="Z264" s="1842" t="n"/>
      <c r="AA264" s="1842" t="n"/>
      <c r="AB264" s="1842" t="n"/>
      <c r="AC264" s="1842" t="n"/>
      <c r="AD264" s="1842" t="n"/>
      <c r="AE264" s="1842" t="n"/>
      <c r="AF264" s="1842" t="n"/>
    </row>
    <row r="265" ht="13.5" customHeight="1" s="1883">
      <c r="A265" s="1842" t="n"/>
      <c r="B265" s="1842" t="n"/>
      <c r="C265" s="1842" t="n"/>
      <c r="D265" s="1842" t="n"/>
      <c r="E265" s="1842" t="n"/>
      <c r="F265" s="1842" t="n"/>
      <c r="G265" s="1842" t="n"/>
      <c r="H265" s="1842" t="n"/>
      <c r="I265" s="1842" t="n"/>
      <c r="J265" s="1842" t="n"/>
      <c r="K265" s="1842" t="n"/>
      <c r="L265" s="1842" t="n"/>
      <c r="M265" s="1842" t="n"/>
      <c r="N265" s="1842" t="n"/>
      <c r="O265" s="1842" t="n"/>
      <c r="P265" s="1842" t="n"/>
      <c r="Q265" s="1842" t="n"/>
      <c r="R265" s="1842" t="n"/>
      <c r="S265" s="1842" t="n"/>
      <c r="T265" s="1842" t="n"/>
      <c r="U265" s="1842" t="n"/>
      <c r="V265" s="1842" t="n"/>
      <c r="W265" s="1842" t="n"/>
      <c r="X265" s="1842" t="n"/>
      <c r="Y265" s="1842" t="n"/>
      <c r="Z265" s="1842" t="n"/>
      <c r="AA265" s="1842" t="n"/>
      <c r="AB265" s="1842" t="n"/>
      <c r="AC265" s="1842" t="n"/>
      <c r="AD265" s="1842" t="n"/>
      <c r="AE265" s="1842" t="n"/>
      <c r="AF265" s="1842" t="n"/>
    </row>
    <row r="266" ht="13.5" customHeight="1" s="1883">
      <c r="A266" s="1842" t="n"/>
      <c r="B266" s="1842" t="n"/>
      <c r="C266" s="1842" t="n"/>
      <c r="D266" s="1842" t="n"/>
      <c r="E266" s="1842" t="n"/>
      <c r="F266" s="1842" t="n"/>
      <c r="G266" s="1842" t="n"/>
      <c r="H266" s="1842" t="n"/>
      <c r="I266" s="1842" t="n"/>
      <c r="J266" s="1842" t="n"/>
      <c r="K266" s="1842" t="n"/>
      <c r="L266" s="1842" t="n"/>
      <c r="M266" s="1842" t="n"/>
      <c r="N266" s="1842" t="n"/>
      <c r="O266" s="1842" t="n"/>
      <c r="P266" s="1842" t="n"/>
      <c r="Q266" s="1842" t="n"/>
      <c r="R266" s="1842" t="n"/>
      <c r="S266" s="1842" t="n"/>
      <c r="T266" s="1842" t="n"/>
      <c r="U266" s="1842" t="n"/>
      <c r="V266" s="1842" t="n"/>
      <c r="W266" s="1842" t="n"/>
      <c r="X266" s="1842" t="n"/>
      <c r="Y266" s="1842" t="n"/>
      <c r="Z266" s="1842" t="n"/>
      <c r="AA266" s="1842" t="n"/>
      <c r="AB266" s="1842" t="n"/>
      <c r="AC266" s="1842" t="n"/>
      <c r="AD266" s="1842" t="n"/>
      <c r="AE266" s="1842" t="n"/>
      <c r="AF266" s="1842" t="n"/>
    </row>
    <row r="267" ht="13.5" customHeight="1" s="1883">
      <c r="A267" s="1842" t="n"/>
      <c r="B267" s="1842" t="n"/>
      <c r="C267" s="1842" t="n"/>
      <c r="D267" s="1842" t="n"/>
      <c r="E267" s="1842" t="n"/>
      <c r="F267" s="1842" t="n"/>
      <c r="G267" s="1842" t="n"/>
      <c r="H267" s="1842" t="n"/>
      <c r="I267" s="1842" t="n"/>
      <c r="J267" s="1842" t="n"/>
      <c r="K267" s="1842" t="n"/>
      <c r="L267" s="1842" t="n"/>
      <c r="M267" s="1842" t="n"/>
      <c r="N267" s="1842" t="n"/>
      <c r="O267" s="1842" t="n"/>
      <c r="P267" s="1842" t="n"/>
      <c r="Q267" s="1842" t="n"/>
      <c r="R267" s="1842" t="n"/>
      <c r="S267" s="1842" t="n"/>
      <c r="T267" s="1842" t="n"/>
      <c r="U267" s="1842" t="n"/>
      <c r="V267" s="1842" t="n"/>
      <c r="W267" s="1842" t="n"/>
      <c r="X267" s="1842" t="n"/>
      <c r="Y267" s="1842" t="n"/>
      <c r="Z267" s="1842" t="n"/>
      <c r="AA267" s="1842" t="n"/>
      <c r="AB267" s="1842" t="n"/>
      <c r="AC267" s="1842" t="n"/>
      <c r="AD267" s="1842" t="n"/>
      <c r="AE267" s="1842" t="n"/>
      <c r="AF267" s="1842" t="n"/>
    </row>
    <row r="268" ht="13.5" customHeight="1" s="1883">
      <c r="A268" s="1842" t="n"/>
      <c r="B268" s="1842" t="n"/>
      <c r="C268" s="1842" t="n"/>
      <c r="D268" s="1842" t="n"/>
      <c r="E268" s="1842" t="n"/>
      <c r="F268" s="1842" t="n"/>
      <c r="G268" s="1842" t="n"/>
      <c r="H268" s="1842" t="n"/>
      <c r="I268" s="1842" t="n"/>
      <c r="J268" s="1842" t="n"/>
      <c r="K268" s="1842" t="n"/>
      <c r="L268" s="1842" t="n"/>
      <c r="M268" s="1842" t="n"/>
      <c r="N268" s="1842" t="n"/>
      <c r="O268" s="1842" t="n"/>
      <c r="P268" s="1842" t="n"/>
      <c r="Q268" s="1842" t="n"/>
      <c r="R268" s="1842" t="n"/>
      <c r="S268" s="1842" t="n"/>
      <c r="T268" s="1842" t="n"/>
      <c r="U268" s="1842" t="n"/>
      <c r="V268" s="1842" t="n"/>
      <c r="W268" s="1842" t="n"/>
      <c r="X268" s="1842" t="n"/>
      <c r="Y268" s="1842" t="n"/>
      <c r="Z268" s="1842" t="n"/>
      <c r="AA268" s="1842" t="n"/>
      <c r="AB268" s="1842" t="n"/>
      <c r="AC268" s="1842" t="n"/>
      <c r="AD268" s="1842" t="n"/>
      <c r="AE268" s="1842" t="n"/>
      <c r="AF268" s="1842" t="n"/>
    </row>
    <row r="269" ht="13.5" customHeight="1" s="1883">
      <c r="A269" s="1842" t="n"/>
      <c r="B269" s="1842" t="n"/>
      <c r="C269" s="1842" t="n"/>
      <c r="D269" s="1842" t="n"/>
      <c r="E269" s="1842" t="n"/>
      <c r="F269" s="1842" t="n"/>
      <c r="G269" s="1842" t="n"/>
      <c r="H269" s="1842" t="n"/>
      <c r="I269" s="1842" t="n"/>
      <c r="J269" s="1842" t="n"/>
      <c r="K269" s="1842" t="n"/>
      <c r="L269" s="1842" t="n"/>
      <c r="M269" s="1842" t="n"/>
      <c r="N269" s="1842" t="n"/>
      <c r="O269" s="1842" t="n"/>
      <c r="P269" s="1842" t="n"/>
      <c r="Q269" s="1842" t="n"/>
      <c r="R269" s="1842" t="n"/>
      <c r="S269" s="1842" t="n"/>
      <c r="T269" s="1842" t="n"/>
      <c r="U269" s="1842" t="n"/>
      <c r="V269" s="1842" t="n"/>
      <c r="W269" s="1842" t="n"/>
      <c r="X269" s="1842" t="n"/>
      <c r="Y269" s="1842" t="n"/>
      <c r="Z269" s="1842" t="n"/>
      <c r="AA269" s="1842" t="n"/>
      <c r="AB269" s="1842" t="n"/>
      <c r="AC269" s="1842" t="n"/>
      <c r="AD269" s="1842" t="n"/>
      <c r="AE269" s="1842" t="n"/>
      <c r="AF269" s="1842" t="n"/>
    </row>
    <row r="270" ht="13.5" customHeight="1" s="1883">
      <c r="A270" s="1842" t="n"/>
      <c r="B270" s="1842" t="n"/>
      <c r="C270" s="1842" t="n"/>
      <c r="D270" s="1842" t="n"/>
      <c r="E270" s="1842" t="n"/>
      <c r="F270" s="1842" t="n"/>
      <c r="G270" s="1842" t="n"/>
      <c r="H270" s="1842" t="n"/>
      <c r="I270" s="1842" t="n"/>
      <c r="J270" s="1842" t="n"/>
      <c r="K270" s="1842" t="n"/>
      <c r="L270" s="1842" t="n"/>
      <c r="M270" s="1842" t="n"/>
      <c r="N270" s="1842" t="n"/>
      <c r="O270" s="1842" t="n"/>
      <c r="P270" s="1842" t="n"/>
      <c r="Q270" s="1842" t="n"/>
      <c r="R270" s="1842" t="n"/>
      <c r="S270" s="1842" t="n"/>
      <c r="T270" s="1842" t="n"/>
      <c r="U270" s="1842" t="n"/>
      <c r="V270" s="1842" t="n"/>
      <c r="W270" s="1842" t="n"/>
      <c r="X270" s="1842" t="n"/>
      <c r="Y270" s="1842" t="n"/>
      <c r="Z270" s="1842" t="n"/>
      <c r="AA270" s="1842" t="n"/>
      <c r="AB270" s="1842" t="n"/>
      <c r="AC270" s="1842" t="n"/>
      <c r="AD270" s="1842" t="n"/>
      <c r="AE270" s="1842" t="n"/>
      <c r="AF270" s="1842" t="n"/>
    </row>
    <row r="271" ht="13.5" customHeight="1" s="1883">
      <c r="A271" s="1842" t="n"/>
      <c r="B271" s="1842" t="n"/>
      <c r="C271" s="1842" t="n"/>
      <c r="D271" s="1842" t="n"/>
      <c r="E271" s="1842" t="n"/>
      <c r="F271" s="1842" t="n"/>
      <c r="G271" s="1842" t="n"/>
      <c r="H271" s="1842" t="n"/>
      <c r="I271" s="1842" t="n"/>
      <c r="J271" s="1842" t="n"/>
      <c r="K271" s="1842" t="n"/>
      <c r="L271" s="1842" t="n"/>
      <c r="M271" s="1842" t="n"/>
      <c r="N271" s="1842" t="n"/>
      <c r="O271" s="1842" t="n"/>
      <c r="P271" s="1842" t="n"/>
      <c r="Q271" s="1842" t="n"/>
      <c r="R271" s="1842" t="n"/>
      <c r="S271" s="1842" t="n"/>
      <c r="T271" s="1842" t="n"/>
      <c r="U271" s="1842" t="n"/>
      <c r="V271" s="1842" t="n"/>
      <c r="W271" s="1842" t="n"/>
      <c r="X271" s="1842" t="n"/>
      <c r="Y271" s="1842" t="n"/>
      <c r="Z271" s="1842" t="n"/>
      <c r="AA271" s="1842" t="n"/>
      <c r="AB271" s="1842" t="n"/>
      <c r="AC271" s="1842" t="n"/>
      <c r="AD271" s="1842" t="n"/>
      <c r="AE271" s="1842" t="n"/>
      <c r="AF271" s="1842" t="n"/>
    </row>
    <row r="272" ht="13.5" customHeight="1" s="1883">
      <c r="A272" s="1842" t="n"/>
      <c r="B272" s="1842" t="n"/>
      <c r="C272" s="1842" t="n"/>
      <c r="D272" s="1842" t="n"/>
      <c r="E272" s="1842" t="n"/>
      <c r="F272" s="1842" t="n"/>
      <c r="G272" s="1842" t="n"/>
      <c r="H272" s="1842" t="n"/>
      <c r="I272" s="1842" t="n"/>
      <c r="J272" s="1842" t="n"/>
      <c r="K272" s="1842" t="n"/>
      <c r="L272" s="1842" t="n"/>
      <c r="M272" s="1842" t="n"/>
      <c r="N272" s="1842" t="n"/>
      <c r="O272" s="1842" t="n"/>
      <c r="P272" s="1842" t="n"/>
      <c r="Q272" s="1842" t="n"/>
      <c r="R272" s="1842" t="n"/>
      <c r="S272" s="1842" t="n"/>
      <c r="T272" s="1842" t="n"/>
      <c r="U272" s="1842" t="n"/>
      <c r="V272" s="1842" t="n"/>
      <c r="W272" s="1842" t="n"/>
      <c r="X272" s="1842" t="n"/>
      <c r="Y272" s="1842" t="n"/>
      <c r="Z272" s="1842" t="n"/>
      <c r="AA272" s="1842" t="n"/>
      <c r="AB272" s="1842" t="n"/>
      <c r="AC272" s="1842" t="n"/>
      <c r="AD272" s="1842" t="n"/>
      <c r="AE272" s="1842" t="n"/>
      <c r="AF272" s="1842" t="n"/>
    </row>
    <row r="273" ht="13.5" customHeight="1" s="1883">
      <c r="A273" s="1842" t="n"/>
      <c r="B273" s="1842" t="n"/>
      <c r="C273" s="1842" t="n"/>
      <c r="D273" s="1842" t="n"/>
      <c r="E273" s="1842" t="n"/>
      <c r="F273" s="1842" t="n"/>
      <c r="G273" s="1842" t="n"/>
      <c r="H273" s="1842" t="n"/>
      <c r="I273" s="1842" t="n"/>
      <c r="J273" s="1842" t="n"/>
      <c r="K273" s="1842" t="n"/>
      <c r="L273" s="1842" t="n"/>
      <c r="M273" s="1842" t="n"/>
      <c r="N273" s="1842" t="n"/>
      <c r="O273" s="1842" t="n"/>
      <c r="P273" s="1842" t="n"/>
      <c r="Q273" s="1842" t="n"/>
      <c r="R273" s="1842" t="n"/>
      <c r="S273" s="1842" t="n"/>
      <c r="T273" s="1842" t="n"/>
      <c r="U273" s="1842" t="n"/>
      <c r="V273" s="1842" t="n"/>
      <c r="W273" s="1842" t="n"/>
      <c r="X273" s="1842" t="n"/>
      <c r="Y273" s="1842" t="n"/>
      <c r="Z273" s="1842" t="n"/>
      <c r="AA273" s="1842" t="n"/>
      <c r="AB273" s="1842" t="n"/>
      <c r="AC273" s="1842" t="n"/>
      <c r="AD273" s="1842" t="n"/>
      <c r="AE273" s="1842" t="n"/>
      <c r="AF273" s="1842" t="n"/>
    </row>
    <row r="274" ht="13.5" customHeight="1" s="1883">
      <c r="A274" s="1842" t="n"/>
      <c r="B274" s="1842" t="n"/>
      <c r="C274" s="1842" t="n"/>
      <c r="D274" s="1842" t="n"/>
      <c r="E274" s="1842" t="n"/>
      <c r="F274" s="1842" t="n"/>
      <c r="G274" s="1842" t="n"/>
      <c r="H274" s="1842" t="n"/>
      <c r="I274" s="1842" t="n"/>
      <c r="J274" s="1842" t="n"/>
      <c r="K274" s="1842" t="n"/>
      <c r="L274" s="1842" t="n"/>
      <c r="M274" s="1842" t="n"/>
      <c r="N274" s="1842" t="n"/>
      <c r="O274" s="1842" t="n"/>
      <c r="P274" s="1842" t="n"/>
      <c r="Q274" s="1842" t="n"/>
      <c r="R274" s="1842" t="n"/>
      <c r="S274" s="1842" t="n"/>
      <c r="T274" s="1842" t="n"/>
      <c r="U274" s="1842" t="n"/>
      <c r="V274" s="1842" t="n"/>
      <c r="W274" s="1842" t="n"/>
      <c r="X274" s="1842" t="n"/>
      <c r="Y274" s="1842" t="n"/>
      <c r="Z274" s="1842" t="n"/>
      <c r="AA274" s="1842" t="n"/>
      <c r="AB274" s="1842" t="n"/>
      <c r="AC274" s="1842" t="n"/>
      <c r="AD274" s="1842" t="n"/>
      <c r="AE274" s="1842" t="n"/>
      <c r="AF274" s="1842" t="n"/>
    </row>
    <row r="275" ht="13.5" customHeight="1" s="1883">
      <c r="A275" s="1842" t="n"/>
      <c r="B275" s="1842" t="n"/>
      <c r="C275" s="1842" t="n"/>
      <c r="D275" s="1842" t="n"/>
      <c r="E275" s="1842" t="n"/>
      <c r="F275" s="1842" t="n"/>
      <c r="G275" s="1842" t="n"/>
      <c r="H275" s="1842" t="n"/>
      <c r="I275" s="1842" t="n"/>
      <c r="J275" s="1842" t="n"/>
      <c r="K275" s="1842" t="n"/>
      <c r="L275" s="1842" t="n"/>
      <c r="M275" s="1842" t="n"/>
      <c r="N275" s="1842" t="n"/>
      <c r="O275" s="1842" t="n"/>
      <c r="P275" s="1842" t="n"/>
      <c r="Q275" s="1842" t="n"/>
      <c r="R275" s="1842" t="n"/>
      <c r="S275" s="1842" t="n"/>
      <c r="T275" s="1842" t="n"/>
      <c r="U275" s="1842" t="n"/>
      <c r="V275" s="1842" t="n"/>
      <c r="W275" s="1842" t="n"/>
      <c r="X275" s="1842" t="n"/>
      <c r="Y275" s="1842" t="n"/>
      <c r="Z275" s="1842" t="n"/>
      <c r="AA275" s="1842" t="n"/>
      <c r="AB275" s="1842" t="n"/>
      <c r="AC275" s="1842" t="n"/>
      <c r="AD275" s="1842" t="n"/>
      <c r="AE275" s="1842" t="n"/>
      <c r="AF275" s="1842" t="n"/>
    </row>
    <row r="276" ht="13.5" customHeight="1" s="1883">
      <c r="A276" s="1842" t="n"/>
      <c r="B276" s="1842" t="n"/>
      <c r="C276" s="1842" t="n"/>
      <c r="D276" s="1842" t="n"/>
      <c r="E276" s="1842" t="n"/>
      <c r="F276" s="1842" t="n"/>
      <c r="G276" s="1842" t="n"/>
      <c r="H276" s="1842" t="n"/>
      <c r="I276" s="1842" t="n"/>
      <c r="J276" s="1842" t="n"/>
      <c r="K276" s="1842" t="n"/>
      <c r="L276" s="1842" t="n"/>
      <c r="M276" s="1842" t="n"/>
      <c r="N276" s="1842" t="n"/>
      <c r="O276" s="1842" t="n"/>
      <c r="P276" s="1842" t="n"/>
      <c r="Q276" s="1842" t="n"/>
      <c r="R276" s="1842" t="n"/>
      <c r="S276" s="1842" t="n"/>
      <c r="T276" s="1842" t="n"/>
      <c r="U276" s="1842" t="n"/>
      <c r="V276" s="1842" t="n"/>
      <c r="W276" s="1842" t="n"/>
      <c r="X276" s="1842" t="n"/>
      <c r="Y276" s="1842" t="n"/>
      <c r="Z276" s="1842" t="n"/>
      <c r="AA276" s="1842" t="n"/>
      <c r="AB276" s="1842" t="n"/>
      <c r="AC276" s="1842" t="n"/>
      <c r="AD276" s="1842" t="n"/>
      <c r="AE276" s="1842" t="n"/>
      <c r="AF276" s="1842" t="n"/>
    </row>
    <row r="277" ht="13.5" customHeight="1" s="1883">
      <c r="A277" s="1842" t="n"/>
      <c r="B277" s="1842" t="n"/>
      <c r="C277" s="1842" t="n"/>
      <c r="D277" s="1842" t="n"/>
      <c r="E277" s="1842" t="n"/>
      <c r="F277" s="1842" t="n"/>
      <c r="G277" s="1842" t="n"/>
      <c r="H277" s="1842" t="n"/>
      <c r="I277" s="1842" t="n"/>
      <c r="J277" s="1842" t="n"/>
      <c r="K277" s="1842" t="n"/>
      <c r="L277" s="1842" t="n"/>
      <c r="M277" s="1842" t="n"/>
      <c r="N277" s="1842" t="n"/>
      <c r="O277" s="1842" t="n"/>
      <c r="P277" s="1842" t="n"/>
      <c r="Q277" s="1842" t="n"/>
      <c r="R277" s="1842" t="n"/>
      <c r="S277" s="1842" t="n"/>
      <c r="T277" s="1842" t="n"/>
      <c r="U277" s="1842" t="n"/>
      <c r="V277" s="1842" t="n"/>
      <c r="W277" s="1842" t="n"/>
      <c r="X277" s="1842" t="n"/>
      <c r="Y277" s="1842" t="n"/>
      <c r="Z277" s="1842" t="n"/>
      <c r="AA277" s="1842" t="n"/>
      <c r="AB277" s="1842" t="n"/>
      <c r="AC277" s="1842" t="n"/>
      <c r="AD277" s="1842" t="n"/>
      <c r="AE277" s="1842" t="n"/>
      <c r="AF277" s="1842" t="n"/>
    </row>
    <row r="278" ht="13.5" customHeight="1" s="1883">
      <c r="A278" s="1842" t="n"/>
      <c r="B278" s="1842" t="n"/>
      <c r="C278" s="1842" t="n"/>
      <c r="D278" s="1842" t="n"/>
      <c r="E278" s="1842" t="n"/>
      <c r="F278" s="1842" t="n"/>
      <c r="G278" s="1842" t="n"/>
      <c r="H278" s="1842" t="n"/>
      <c r="I278" s="1842" t="n"/>
      <c r="J278" s="1842" t="n"/>
      <c r="K278" s="1842" t="n"/>
      <c r="L278" s="1842" t="n"/>
      <c r="M278" s="1842" t="n"/>
      <c r="N278" s="1842" t="n"/>
      <c r="O278" s="1842" t="n"/>
      <c r="P278" s="1842" t="n"/>
      <c r="Q278" s="1842" t="n"/>
      <c r="R278" s="1842" t="n"/>
      <c r="S278" s="1842" t="n"/>
      <c r="T278" s="1842" t="n"/>
      <c r="U278" s="1842" t="n"/>
      <c r="V278" s="1842" t="n"/>
      <c r="W278" s="1842" t="n"/>
      <c r="X278" s="1842" t="n"/>
      <c r="Y278" s="1842" t="n"/>
      <c r="Z278" s="1842" t="n"/>
      <c r="AA278" s="1842" t="n"/>
      <c r="AB278" s="1842" t="n"/>
      <c r="AC278" s="1842" t="n"/>
      <c r="AD278" s="1842" t="n"/>
      <c r="AE278" s="1842" t="n"/>
      <c r="AF278" s="1842" t="n"/>
    </row>
    <row r="279" ht="13.5" customHeight="1" s="1883">
      <c r="A279" s="1842" t="n"/>
      <c r="B279" s="1842" t="n"/>
      <c r="C279" s="1842" t="n"/>
      <c r="D279" s="1842" t="n"/>
      <c r="E279" s="1842" t="n"/>
      <c r="F279" s="1842" t="n"/>
      <c r="G279" s="1842" t="n"/>
      <c r="H279" s="1842" t="n"/>
      <c r="I279" s="1842" t="n"/>
      <c r="J279" s="1842" t="n"/>
      <c r="K279" s="1842" t="n"/>
      <c r="L279" s="1842" t="n"/>
      <c r="M279" s="1842" t="n"/>
      <c r="N279" s="1842" t="n"/>
      <c r="O279" s="1842" t="n"/>
      <c r="P279" s="1842" t="n"/>
      <c r="Q279" s="1842" t="n"/>
      <c r="R279" s="1842" t="n"/>
      <c r="S279" s="1842" t="n"/>
      <c r="T279" s="1842" t="n"/>
      <c r="U279" s="1842" t="n"/>
      <c r="V279" s="1842" t="n"/>
      <c r="W279" s="1842" t="n"/>
      <c r="X279" s="1842" t="n"/>
      <c r="Y279" s="1842" t="n"/>
      <c r="Z279" s="1842" t="n"/>
      <c r="AA279" s="1842" t="n"/>
      <c r="AB279" s="1842" t="n"/>
      <c r="AC279" s="1842" t="n"/>
      <c r="AD279" s="1842" t="n"/>
      <c r="AE279" s="1842" t="n"/>
      <c r="AF279" s="1842" t="n"/>
    </row>
    <row r="280" ht="13.5" customHeight="1" s="1883">
      <c r="A280" s="1842" t="n"/>
      <c r="B280" s="1842" t="n"/>
      <c r="C280" s="1842" t="n"/>
      <c r="D280" s="1842" t="n"/>
      <c r="E280" s="1842" t="n"/>
      <c r="F280" s="1842" t="n"/>
      <c r="G280" s="1842" t="n"/>
      <c r="H280" s="1842" t="n"/>
      <c r="I280" s="1842" t="n"/>
      <c r="J280" s="1842" t="n"/>
      <c r="K280" s="1842" t="n"/>
      <c r="L280" s="1842" t="n"/>
      <c r="M280" s="1842" t="n"/>
      <c r="N280" s="1842" t="n"/>
      <c r="O280" s="1842" t="n"/>
      <c r="P280" s="1842" t="n"/>
      <c r="Q280" s="1842" t="n"/>
      <c r="R280" s="1842" t="n"/>
      <c r="S280" s="1842" t="n"/>
      <c r="T280" s="1842" t="n"/>
      <c r="U280" s="1842" t="n"/>
      <c r="V280" s="1842" t="n"/>
      <c r="W280" s="1842" t="n"/>
      <c r="X280" s="1842" t="n"/>
      <c r="Y280" s="1842" t="n"/>
      <c r="Z280" s="1842" t="n"/>
      <c r="AA280" s="1842" t="n"/>
      <c r="AB280" s="1842" t="n"/>
      <c r="AC280" s="1842" t="n"/>
      <c r="AD280" s="1842" t="n"/>
      <c r="AE280" s="1842" t="n"/>
      <c r="AF280" s="1842" t="n"/>
    </row>
    <row r="281" ht="13.5" customHeight="1" s="1883">
      <c r="A281" s="1842" t="n"/>
      <c r="B281" s="1842" t="n"/>
      <c r="C281" s="1842" t="n"/>
      <c r="D281" s="1842" t="n"/>
      <c r="E281" s="1842" t="n"/>
      <c r="F281" s="1842" t="n"/>
      <c r="G281" s="1842" t="n"/>
      <c r="H281" s="1842" t="n"/>
      <c r="I281" s="1842" t="n"/>
      <c r="J281" s="1842" t="n"/>
      <c r="K281" s="1842" t="n"/>
      <c r="L281" s="1842" t="n"/>
      <c r="M281" s="1842" t="n"/>
      <c r="N281" s="1842" t="n"/>
      <c r="O281" s="1842" t="n"/>
      <c r="P281" s="1842" t="n"/>
      <c r="Q281" s="1842" t="n"/>
      <c r="R281" s="1842" t="n"/>
      <c r="S281" s="1842" t="n"/>
      <c r="T281" s="1842" t="n"/>
      <c r="U281" s="1842" t="n"/>
      <c r="V281" s="1842" t="n"/>
      <c r="W281" s="1842" t="n"/>
      <c r="X281" s="1842" t="n"/>
      <c r="Y281" s="1842" t="n"/>
      <c r="Z281" s="1842" t="n"/>
      <c r="AA281" s="1842" t="n"/>
      <c r="AB281" s="1842" t="n"/>
      <c r="AC281" s="1842" t="n"/>
      <c r="AD281" s="1842" t="n"/>
      <c r="AE281" s="1842" t="n"/>
      <c r="AF281" s="1842" t="n"/>
    </row>
    <row r="282" ht="13.5" customHeight="1" s="1883">
      <c r="A282" s="1842" t="n"/>
      <c r="B282" s="1842" t="n"/>
      <c r="C282" s="1842" t="n"/>
      <c r="D282" s="1842" t="n"/>
      <c r="E282" s="1842" t="n"/>
      <c r="F282" s="1842" t="n"/>
      <c r="G282" s="1842" t="n"/>
      <c r="H282" s="1842" t="n"/>
      <c r="I282" s="1842" t="n"/>
      <c r="J282" s="1842" t="n"/>
      <c r="K282" s="1842" t="n"/>
      <c r="L282" s="1842" t="n"/>
      <c r="M282" s="1842" t="n"/>
      <c r="N282" s="1842" t="n"/>
      <c r="O282" s="1842" t="n"/>
      <c r="P282" s="1842" t="n"/>
      <c r="Q282" s="1842" t="n"/>
      <c r="R282" s="1842" t="n"/>
      <c r="S282" s="1842" t="n"/>
      <c r="T282" s="1842" t="n"/>
      <c r="U282" s="1842" t="n"/>
      <c r="V282" s="1842" t="n"/>
      <c r="W282" s="1842" t="n"/>
      <c r="X282" s="1842" t="n"/>
      <c r="Y282" s="1842" t="n"/>
      <c r="Z282" s="1842" t="n"/>
      <c r="AA282" s="1842" t="n"/>
      <c r="AB282" s="1842" t="n"/>
      <c r="AC282" s="1842" t="n"/>
      <c r="AD282" s="1842" t="n"/>
      <c r="AE282" s="1842" t="n"/>
      <c r="AF282" s="1842" t="n"/>
    </row>
    <row r="283" ht="13.5" customHeight="1" s="1883">
      <c r="A283" s="1842" t="n"/>
      <c r="B283" s="1842" t="n"/>
      <c r="C283" s="1842" t="n"/>
      <c r="D283" s="1842" t="n"/>
      <c r="E283" s="1842" t="n"/>
      <c r="F283" s="1842" t="n"/>
      <c r="G283" s="1842" t="n"/>
      <c r="H283" s="1842" t="n"/>
      <c r="I283" s="1842" t="n"/>
      <c r="J283" s="1842" t="n"/>
      <c r="K283" s="1842" t="n"/>
      <c r="L283" s="1842" t="n"/>
      <c r="M283" s="1842" t="n"/>
      <c r="N283" s="1842" t="n"/>
      <c r="O283" s="1842" t="n"/>
      <c r="P283" s="1842" t="n"/>
      <c r="Q283" s="1842" t="n"/>
      <c r="R283" s="1842" t="n"/>
      <c r="S283" s="1842" t="n"/>
      <c r="T283" s="1842" t="n"/>
      <c r="U283" s="1842" t="n"/>
      <c r="V283" s="1842" t="n"/>
      <c r="W283" s="1842" t="n"/>
      <c r="X283" s="1842" t="n"/>
      <c r="Y283" s="1842" t="n"/>
      <c r="Z283" s="1842" t="n"/>
      <c r="AA283" s="1842" t="n"/>
      <c r="AB283" s="1842" t="n"/>
      <c r="AC283" s="1842" t="n"/>
      <c r="AD283" s="1842" t="n"/>
      <c r="AE283" s="1842" t="n"/>
      <c r="AF283" s="1842" t="n"/>
    </row>
    <row r="284" ht="13.5" customHeight="1" s="1883">
      <c r="A284" s="1842" t="n"/>
      <c r="B284" s="1842" t="n"/>
      <c r="C284" s="1842" t="n"/>
      <c r="D284" s="1842" t="n"/>
      <c r="E284" s="1842" t="n"/>
      <c r="F284" s="1842" t="n"/>
      <c r="G284" s="1842" t="n"/>
      <c r="H284" s="1842" t="n"/>
      <c r="I284" s="1842" t="n"/>
      <c r="J284" s="1842" t="n"/>
      <c r="K284" s="1842" t="n"/>
      <c r="L284" s="1842" t="n"/>
      <c r="M284" s="1842" t="n"/>
      <c r="N284" s="1842" t="n"/>
      <c r="O284" s="1842" t="n"/>
      <c r="P284" s="1842" t="n"/>
      <c r="Q284" s="1842" t="n"/>
      <c r="R284" s="1842" t="n"/>
      <c r="S284" s="1842" t="n"/>
      <c r="T284" s="1842" t="n"/>
      <c r="U284" s="1842" t="n"/>
      <c r="V284" s="1842" t="n"/>
      <c r="W284" s="1842" t="n"/>
      <c r="X284" s="1842" t="n"/>
      <c r="Y284" s="1842" t="n"/>
      <c r="Z284" s="1842" t="n"/>
      <c r="AA284" s="1842" t="n"/>
      <c r="AB284" s="1842" t="n"/>
      <c r="AC284" s="1842" t="n"/>
      <c r="AD284" s="1842" t="n"/>
      <c r="AE284" s="1842" t="n"/>
      <c r="AF284" s="1842" t="n"/>
    </row>
    <row r="285" ht="13.5" customHeight="1" s="1883">
      <c r="A285" s="1842" t="n"/>
      <c r="B285" s="1842" t="n"/>
      <c r="C285" s="1842" t="n"/>
      <c r="D285" s="1842" t="n"/>
      <c r="E285" s="1842" t="n"/>
      <c r="F285" s="1842" t="n"/>
      <c r="G285" s="1842" t="n"/>
      <c r="H285" s="1842" t="n"/>
      <c r="I285" s="1842" t="n"/>
      <c r="J285" s="1842" t="n"/>
      <c r="K285" s="1842" t="n"/>
      <c r="L285" s="1842" t="n"/>
      <c r="M285" s="1842" t="n"/>
      <c r="N285" s="1842" t="n"/>
      <c r="O285" s="1842" t="n"/>
      <c r="P285" s="1842" t="n"/>
      <c r="Q285" s="1842" t="n"/>
      <c r="R285" s="1842" t="n"/>
      <c r="S285" s="1842" t="n"/>
      <c r="T285" s="1842" t="n"/>
      <c r="U285" s="1842" t="n"/>
      <c r="V285" s="1842" t="n"/>
      <c r="W285" s="1842" t="n"/>
      <c r="X285" s="1842" t="n"/>
      <c r="Y285" s="1842" t="n"/>
      <c r="Z285" s="1842" t="n"/>
      <c r="AA285" s="1842" t="n"/>
      <c r="AB285" s="1842" t="n"/>
      <c r="AC285" s="1842" t="n"/>
      <c r="AD285" s="1842" t="n"/>
      <c r="AE285" s="1842" t="n"/>
      <c r="AF285" s="1842" t="n"/>
    </row>
    <row r="286" ht="13.5" customHeight="1" s="1883">
      <c r="A286" s="1842" t="n"/>
      <c r="B286" s="1842" t="n"/>
      <c r="C286" s="1842" t="n"/>
      <c r="D286" s="1842" t="n"/>
      <c r="E286" s="1842" t="n"/>
      <c r="F286" s="1842" t="n"/>
      <c r="G286" s="1842" t="n"/>
      <c r="H286" s="1842" t="n"/>
      <c r="I286" s="1842" t="n"/>
      <c r="J286" s="1842" t="n"/>
      <c r="K286" s="1842" t="n"/>
      <c r="L286" s="1842" t="n"/>
      <c r="M286" s="1842" t="n"/>
      <c r="N286" s="1842" t="n"/>
      <c r="O286" s="1842" t="n"/>
      <c r="P286" s="1842" t="n"/>
      <c r="Q286" s="1842" t="n"/>
      <c r="R286" s="1842" t="n"/>
      <c r="S286" s="1842" t="n"/>
      <c r="T286" s="1842" t="n"/>
      <c r="U286" s="1842" t="n"/>
      <c r="V286" s="1842" t="n"/>
      <c r="W286" s="1842" t="n"/>
      <c r="X286" s="1842" t="n"/>
      <c r="Y286" s="1842" t="n"/>
      <c r="Z286" s="1842" t="n"/>
      <c r="AA286" s="1842" t="n"/>
      <c r="AB286" s="1842" t="n"/>
      <c r="AC286" s="1842" t="n"/>
      <c r="AD286" s="1842" t="n"/>
      <c r="AE286" s="1842" t="n"/>
      <c r="AF286" s="1842" t="n"/>
    </row>
    <row r="287" ht="13.5" customHeight="1" s="1883">
      <c r="A287" s="1842" t="n"/>
      <c r="B287" s="1842" t="n"/>
      <c r="C287" s="1842" t="n"/>
      <c r="D287" s="1842" t="n"/>
      <c r="E287" s="1842" t="n"/>
      <c r="F287" s="1842" t="n"/>
      <c r="G287" s="1842" t="n"/>
      <c r="H287" s="1842" t="n"/>
      <c r="I287" s="1842" t="n"/>
      <c r="J287" s="1842" t="n"/>
      <c r="K287" s="1842" t="n"/>
      <c r="L287" s="1842" t="n"/>
      <c r="M287" s="1842" t="n"/>
      <c r="N287" s="1842" t="n"/>
      <c r="O287" s="1842" t="n"/>
      <c r="P287" s="1842" t="n"/>
      <c r="Q287" s="1842" t="n"/>
      <c r="R287" s="1842" t="n"/>
      <c r="S287" s="1842" t="n"/>
      <c r="T287" s="1842" t="n"/>
      <c r="U287" s="1842" t="n"/>
      <c r="V287" s="1842" t="n"/>
      <c r="W287" s="1842" t="n"/>
      <c r="X287" s="1842" t="n"/>
      <c r="Y287" s="1842" t="n"/>
      <c r="Z287" s="1842" t="n"/>
      <c r="AA287" s="1842" t="n"/>
      <c r="AB287" s="1842" t="n"/>
      <c r="AC287" s="1842" t="n"/>
      <c r="AD287" s="1842" t="n"/>
      <c r="AE287" s="1842" t="n"/>
      <c r="AF287" s="1842" t="n"/>
    </row>
    <row r="288" ht="13.5" customHeight="1" s="1883">
      <c r="A288" s="1842" t="n"/>
      <c r="B288" s="1842" t="n"/>
      <c r="C288" s="1842" t="n"/>
      <c r="D288" s="1842" t="n"/>
      <c r="E288" s="1842" t="n"/>
      <c r="F288" s="1842" t="n"/>
      <c r="G288" s="1842" t="n"/>
      <c r="H288" s="1842" t="n"/>
      <c r="I288" s="1842" t="n"/>
      <c r="J288" s="1842" t="n"/>
      <c r="K288" s="1842" t="n"/>
      <c r="L288" s="1842" t="n"/>
      <c r="M288" s="1842" t="n"/>
      <c r="N288" s="1842" t="n"/>
      <c r="O288" s="1842" t="n"/>
      <c r="P288" s="1842" t="n"/>
      <c r="Q288" s="1842" t="n"/>
      <c r="R288" s="1842" t="n"/>
      <c r="S288" s="1842" t="n"/>
      <c r="T288" s="1842" t="n"/>
      <c r="U288" s="1842" t="n"/>
      <c r="V288" s="1842" t="n"/>
      <c r="W288" s="1842" t="n"/>
      <c r="X288" s="1842" t="n"/>
      <c r="Y288" s="1842" t="n"/>
      <c r="Z288" s="1842" t="n"/>
      <c r="AA288" s="1842" t="n"/>
      <c r="AB288" s="1842" t="n"/>
      <c r="AC288" s="1842" t="n"/>
      <c r="AD288" s="1842" t="n"/>
      <c r="AE288" s="1842" t="n"/>
      <c r="AF288" s="1842" t="n"/>
    </row>
    <row r="289" ht="13.5" customHeight="1" s="1883">
      <c r="A289" s="1842" t="n"/>
      <c r="B289" s="1842" t="n"/>
      <c r="C289" s="1842" t="n"/>
      <c r="D289" s="1842" t="n"/>
      <c r="E289" s="1842" t="n"/>
      <c r="F289" s="1842" t="n"/>
      <c r="G289" s="1842" t="n"/>
      <c r="H289" s="1842" t="n"/>
      <c r="I289" s="1842" t="n"/>
      <c r="J289" s="1842" t="n"/>
      <c r="K289" s="1842" t="n"/>
      <c r="L289" s="1842" t="n"/>
      <c r="M289" s="1842" t="n"/>
      <c r="N289" s="1842" t="n"/>
      <c r="O289" s="1842" t="n"/>
      <c r="P289" s="1842" t="n"/>
      <c r="Q289" s="1842" t="n"/>
      <c r="R289" s="1842" t="n"/>
      <c r="S289" s="1842" t="n"/>
      <c r="T289" s="1842" t="n"/>
      <c r="U289" s="1842" t="n"/>
      <c r="V289" s="1842" t="n"/>
      <c r="W289" s="1842" t="n"/>
      <c r="X289" s="1842" t="n"/>
      <c r="Y289" s="1842" t="n"/>
      <c r="Z289" s="1842" t="n"/>
      <c r="AA289" s="1842" t="n"/>
      <c r="AB289" s="1842" t="n"/>
      <c r="AC289" s="1842" t="n"/>
      <c r="AD289" s="1842" t="n"/>
      <c r="AE289" s="1842" t="n"/>
      <c r="AF289" s="1842" t="n"/>
    </row>
    <row r="290" ht="13.5" customHeight="1" s="1883">
      <c r="A290" s="1842" t="n"/>
      <c r="B290" s="1842" t="n"/>
      <c r="C290" s="1842" t="n"/>
      <c r="D290" s="1842" t="n"/>
      <c r="E290" s="1842" t="n"/>
      <c r="F290" s="1842" t="n"/>
      <c r="G290" s="1842" t="n"/>
      <c r="H290" s="1842" t="n"/>
      <c r="I290" s="1842" t="n"/>
      <c r="J290" s="1842" t="n"/>
      <c r="K290" s="1842" t="n"/>
      <c r="L290" s="1842" t="n"/>
      <c r="M290" s="1842" t="n"/>
      <c r="N290" s="1842" t="n"/>
      <c r="O290" s="1842" t="n"/>
      <c r="P290" s="1842" t="n"/>
      <c r="Q290" s="1842" t="n"/>
      <c r="R290" s="1842" t="n"/>
      <c r="S290" s="1842" t="n"/>
      <c r="T290" s="1842" t="n"/>
      <c r="U290" s="1842" t="n"/>
      <c r="V290" s="1842" t="n"/>
      <c r="W290" s="1842" t="n"/>
      <c r="X290" s="1842" t="n"/>
      <c r="Y290" s="1842" t="n"/>
      <c r="Z290" s="1842" t="n"/>
      <c r="AA290" s="1842" t="n"/>
      <c r="AB290" s="1842" t="n"/>
      <c r="AC290" s="1842" t="n"/>
      <c r="AD290" s="1842" t="n"/>
      <c r="AE290" s="1842" t="n"/>
      <c r="AF290" s="1842" t="n"/>
    </row>
    <row r="291" ht="13.5" customHeight="1" s="1883">
      <c r="A291" s="1842" t="n"/>
      <c r="B291" s="1842" t="n"/>
      <c r="C291" s="1842" t="n"/>
      <c r="D291" s="1842" t="n"/>
      <c r="E291" s="1842" t="n"/>
      <c r="F291" s="1842" t="n"/>
      <c r="G291" s="1842" t="n"/>
      <c r="H291" s="1842" t="n"/>
      <c r="I291" s="1842" t="n"/>
      <c r="J291" s="1842" t="n"/>
      <c r="K291" s="1842" t="n"/>
      <c r="L291" s="1842" t="n"/>
      <c r="M291" s="1842" t="n"/>
      <c r="N291" s="1842" t="n"/>
      <c r="O291" s="1842" t="n"/>
      <c r="P291" s="1842" t="n"/>
      <c r="Q291" s="1842" t="n"/>
      <c r="R291" s="1842" t="n"/>
      <c r="S291" s="1842" t="n"/>
      <c r="T291" s="1842" t="n"/>
      <c r="U291" s="1842" t="n"/>
      <c r="V291" s="1842" t="n"/>
      <c r="W291" s="1842" t="n"/>
      <c r="X291" s="1842" t="n"/>
      <c r="Y291" s="1842" t="n"/>
      <c r="Z291" s="1842" t="n"/>
      <c r="AA291" s="1842" t="n"/>
      <c r="AB291" s="1842" t="n"/>
      <c r="AC291" s="1842" t="n"/>
      <c r="AD291" s="1842" t="n"/>
      <c r="AE291" s="1842" t="n"/>
      <c r="AF291" s="1842" t="n"/>
    </row>
    <row r="292" ht="13.5" customHeight="1" s="1883">
      <c r="A292" s="1842" t="n"/>
      <c r="B292" s="1842" t="n"/>
      <c r="C292" s="1842" t="n"/>
      <c r="D292" s="1842" t="n"/>
      <c r="E292" s="1842" t="n"/>
      <c r="F292" s="1842" t="n"/>
      <c r="G292" s="1842" t="n"/>
      <c r="H292" s="1842" t="n"/>
      <c r="I292" s="1842" t="n"/>
      <c r="J292" s="1842" t="n"/>
      <c r="K292" s="1842" t="n"/>
      <c r="L292" s="1842" t="n"/>
      <c r="M292" s="1842" t="n"/>
      <c r="N292" s="1842" t="n"/>
      <c r="O292" s="1842" t="n"/>
      <c r="P292" s="1842" t="n"/>
      <c r="Q292" s="1842" t="n"/>
      <c r="R292" s="1842" t="n"/>
      <c r="S292" s="1842" t="n"/>
      <c r="T292" s="1842" t="n"/>
      <c r="U292" s="1842" t="n"/>
      <c r="V292" s="1842" t="n"/>
      <c r="W292" s="1842" t="n"/>
      <c r="X292" s="1842" t="n"/>
      <c r="Y292" s="1842" t="n"/>
      <c r="Z292" s="1842" t="n"/>
      <c r="AA292" s="1842" t="n"/>
      <c r="AB292" s="1842" t="n"/>
      <c r="AC292" s="1842" t="n"/>
      <c r="AD292" s="1842" t="n"/>
      <c r="AE292" s="1842" t="n"/>
      <c r="AF292" s="1842" t="n"/>
    </row>
    <row r="293" ht="13.5" customHeight="1" s="1883">
      <c r="A293" s="1842" t="n"/>
      <c r="B293" s="1842" t="n"/>
      <c r="C293" s="1842" t="n"/>
      <c r="D293" s="1842" t="n"/>
      <c r="E293" s="1842" t="n"/>
      <c r="F293" s="1842" t="n"/>
      <c r="G293" s="1842" t="n"/>
      <c r="H293" s="1842" t="n"/>
      <c r="I293" s="1842" t="n"/>
      <c r="J293" s="1842" t="n"/>
      <c r="K293" s="1842" t="n"/>
      <c r="L293" s="1842" t="n"/>
      <c r="M293" s="1842" t="n"/>
      <c r="N293" s="1842" t="n"/>
      <c r="O293" s="1842" t="n"/>
      <c r="P293" s="1842" t="n"/>
      <c r="Q293" s="1842" t="n"/>
      <c r="R293" s="1842" t="n"/>
      <c r="S293" s="1842" t="n"/>
      <c r="T293" s="1842" t="n"/>
      <c r="U293" s="1842" t="n"/>
      <c r="V293" s="1842" t="n"/>
      <c r="W293" s="1842" t="n"/>
      <c r="X293" s="1842" t="n"/>
      <c r="Y293" s="1842" t="n"/>
      <c r="Z293" s="1842" t="n"/>
      <c r="AA293" s="1842" t="n"/>
      <c r="AB293" s="1842" t="n"/>
      <c r="AC293" s="1842" t="n"/>
      <c r="AD293" s="1842" t="n"/>
      <c r="AE293" s="1842" t="n"/>
      <c r="AF293" s="1842" t="n"/>
    </row>
    <row r="294" ht="13.5" customHeight="1" s="1883">
      <c r="A294" s="1842" t="n"/>
      <c r="B294" s="1842" t="n"/>
      <c r="C294" s="1842" t="n"/>
      <c r="D294" s="1842" t="n"/>
      <c r="E294" s="1842" t="n"/>
      <c r="F294" s="1842" t="n"/>
      <c r="G294" s="1842" t="n"/>
      <c r="H294" s="1842" t="n"/>
      <c r="I294" s="1842" t="n"/>
      <c r="J294" s="1842" t="n"/>
      <c r="K294" s="1842" t="n"/>
      <c r="L294" s="1842" t="n"/>
      <c r="M294" s="1842" t="n"/>
      <c r="N294" s="1842" t="n"/>
      <c r="O294" s="1842" t="n"/>
      <c r="P294" s="1842" t="n"/>
      <c r="Q294" s="1842" t="n"/>
      <c r="R294" s="1842" t="n"/>
      <c r="S294" s="1842" t="n"/>
      <c r="T294" s="1842" t="n"/>
      <c r="U294" s="1842" t="n"/>
      <c r="V294" s="1842" t="n"/>
      <c r="W294" s="1842" t="n"/>
      <c r="X294" s="1842" t="n"/>
      <c r="Y294" s="1842" t="n"/>
      <c r="Z294" s="1842" t="n"/>
      <c r="AA294" s="1842" t="n"/>
      <c r="AB294" s="1842" t="n"/>
      <c r="AC294" s="1842" t="n"/>
      <c r="AD294" s="1842" t="n"/>
      <c r="AE294" s="1842" t="n"/>
      <c r="AF294" s="1842" t="n"/>
    </row>
    <row r="295" ht="13.5" customHeight="1" s="1883">
      <c r="A295" s="1842" t="n"/>
      <c r="B295" s="1842" t="n"/>
      <c r="C295" s="1842" t="n"/>
      <c r="D295" s="1842" t="n"/>
      <c r="E295" s="1842" t="n"/>
      <c r="F295" s="1842" t="n"/>
      <c r="G295" s="1842" t="n"/>
      <c r="H295" s="1842" t="n"/>
      <c r="I295" s="1842" t="n"/>
      <c r="J295" s="1842" t="n"/>
      <c r="K295" s="1842" t="n"/>
      <c r="L295" s="1842" t="n"/>
      <c r="M295" s="1842" t="n"/>
      <c r="N295" s="1842" t="n"/>
      <c r="O295" s="1842" t="n"/>
      <c r="P295" s="1842" t="n"/>
      <c r="Q295" s="1842" t="n"/>
      <c r="R295" s="1842" t="n"/>
      <c r="S295" s="1842" t="n"/>
      <c r="T295" s="1842" t="n"/>
      <c r="U295" s="1842" t="n"/>
      <c r="V295" s="1842" t="n"/>
      <c r="W295" s="1842" t="n"/>
      <c r="X295" s="1842" t="n"/>
      <c r="Y295" s="1842" t="n"/>
      <c r="Z295" s="1842" t="n"/>
      <c r="AA295" s="1842" t="n"/>
      <c r="AB295" s="1842" t="n"/>
      <c r="AC295" s="1842" t="n"/>
      <c r="AD295" s="1842" t="n"/>
      <c r="AE295" s="1842" t="n"/>
      <c r="AF295" s="1842" t="n"/>
    </row>
    <row r="296" ht="13.5" customHeight="1" s="1883">
      <c r="A296" s="1842" t="n"/>
      <c r="B296" s="1842" t="n"/>
      <c r="C296" s="1842" t="n"/>
      <c r="D296" s="1842" t="n"/>
      <c r="E296" s="1842" t="n"/>
      <c r="F296" s="1842" t="n"/>
      <c r="G296" s="1842" t="n"/>
      <c r="H296" s="1842" t="n"/>
      <c r="I296" s="1842" t="n"/>
      <c r="J296" s="1842" t="n"/>
      <c r="K296" s="1842" t="n"/>
      <c r="L296" s="1842" t="n"/>
      <c r="M296" s="1842" t="n"/>
      <c r="N296" s="1842" t="n"/>
      <c r="O296" s="1842" t="n"/>
      <c r="P296" s="1842" t="n"/>
      <c r="Q296" s="1842" t="n"/>
      <c r="R296" s="1842" t="n"/>
      <c r="S296" s="1842" t="n"/>
      <c r="T296" s="1842" t="n"/>
      <c r="U296" s="1842" t="n"/>
      <c r="V296" s="1842" t="n"/>
      <c r="W296" s="1842" t="n"/>
      <c r="X296" s="1842" t="n"/>
      <c r="Y296" s="1842" t="n"/>
      <c r="Z296" s="1842" t="n"/>
      <c r="AA296" s="1842" t="n"/>
      <c r="AB296" s="1842" t="n"/>
      <c r="AC296" s="1842" t="n"/>
      <c r="AD296" s="1842" t="n"/>
      <c r="AE296" s="1842" t="n"/>
      <c r="AF296" s="1842" t="n"/>
    </row>
    <row r="297" ht="13.5" customHeight="1" s="1883">
      <c r="A297" s="1842" t="n"/>
      <c r="B297" s="1842" t="n"/>
      <c r="C297" s="1842" t="n"/>
      <c r="D297" s="1842" t="n"/>
      <c r="E297" s="1842" t="n"/>
      <c r="F297" s="1842" t="n"/>
      <c r="G297" s="1842" t="n"/>
      <c r="H297" s="1842" t="n"/>
      <c r="I297" s="1842" t="n"/>
      <c r="J297" s="1842" t="n"/>
      <c r="K297" s="1842" t="n"/>
      <c r="L297" s="1842" t="n"/>
      <c r="M297" s="1842" t="n"/>
      <c r="N297" s="1842" t="n"/>
      <c r="O297" s="1842" t="n"/>
      <c r="P297" s="1842" t="n"/>
      <c r="Q297" s="1842" t="n"/>
      <c r="R297" s="1842" t="n"/>
      <c r="S297" s="1842" t="n"/>
      <c r="T297" s="1842" t="n"/>
      <c r="U297" s="1842" t="n"/>
      <c r="V297" s="1842" t="n"/>
      <c r="W297" s="1842" t="n"/>
      <c r="X297" s="1842" t="n"/>
      <c r="Y297" s="1842" t="n"/>
      <c r="Z297" s="1842" t="n"/>
      <c r="AA297" s="1842" t="n"/>
      <c r="AB297" s="1842" t="n"/>
      <c r="AC297" s="1842" t="n"/>
      <c r="AD297" s="1842" t="n"/>
      <c r="AE297" s="1842" t="n"/>
      <c r="AF297" s="1842" t="n"/>
    </row>
    <row r="298" ht="13.5" customHeight="1" s="1883">
      <c r="A298" s="1842" t="n"/>
      <c r="B298" s="1842" t="n"/>
      <c r="C298" s="1842" t="n"/>
      <c r="D298" s="1842" t="n"/>
      <c r="E298" s="1842" t="n"/>
      <c r="F298" s="1842" t="n"/>
      <c r="G298" s="1842" t="n"/>
      <c r="H298" s="1842" t="n"/>
      <c r="I298" s="1842" t="n"/>
      <c r="J298" s="1842" t="n"/>
      <c r="K298" s="1842" t="n"/>
      <c r="L298" s="1842" t="n"/>
      <c r="M298" s="1842" t="n"/>
      <c r="N298" s="1842" t="n"/>
      <c r="O298" s="1842" t="n"/>
      <c r="P298" s="1842" t="n"/>
      <c r="Q298" s="1842" t="n"/>
      <c r="R298" s="1842" t="n"/>
      <c r="S298" s="1842" t="n"/>
      <c r="T298" s="1842" t="n"/>
      <c r="U298" s="1842" t="n"/>
      <c r="V298" s="1842" t="n"/>
      <c r="W298" s="1842" t="n"/>
      <c r="X298" s="1842" t="n"/>
      <c r="Y298" s="1842" t="n"/>
      <c r="Z298" s="1842" t="n"/>
      <c r="AA298" s="1842" t="n"/>
      <c r="AB298" s="1842" t="n"/>
      <c r="AC298" s="1842" t="n"/>
      <c r="AD298" s="1842" t="n"/>
      <c r="AE298" s="1842" t="n"/>
      <c r="AF298" s="1842" t="n"/>
    </row>
    <row r="299" ht="13.5" customHeight="1" s="1883">
      <c r="A299" s="1842" t="n"/>
      <c r="B299" s="1842" t="n"/>
      <c r="C299" s="1842" t="n"/>
      <c r="D299" s="1842" t="n"/>
      <c r="E299" s="1842" t="n"/>
      <c r="F299" s="1842" t="n"/>
      <c r="G299" s="1842" t="n"/>
      <c r="H299" s="1842" t="n"/>
      <c r="I299" s="1842" t="n"/>
      <c r="J299" s="1842" t="n"/>
      <c r="K299" s="1842" t="n"/>
      <c r="L299" s="1842" t="n"/>
      <c r="M299" s="1842" t="n"/>
      <c r="N299" s="1842" t="n"/>
      <c r="O299" s="1842" t="n"/>
      <c r="P299" s="1842" t="n"/>
      <c r="Q299" s="1842" t="n"/>
      <c r="R299" s="1842" t="n"/>
      <c r="S299" s="1842" t="n"/>
      <c r="T299" s="1842" t="n"/>
      <c r="U299" s="1842" t="n"/>
      <c r="V299" s="1842" t="n"/>
      <c r="W299" s="1842" t="n"/>
      <c r="X299" s="1842" t="n"/>
      <c r="Y299" s="1842" t="n"/>
      <c r="Z299" s="1842" t="n"/>
      <c r="AA299" s="1842" t="n"/>
      <c r="AB299" s="1842" t="n"/>
      <c r="AC299" s="1842" t="n"/>
      <c r="AD299" s="1842" t="n"/>
      <c r="AE299" s="1842" t="n"/>
      <c r="AF299" s="1842" t="n"/>
    </row>
    <row r="300" ht="13.5" customHeight="1" s="1883">
      <c r="A300" s="1842" t="n"/>
      <c r="B300" s="1842" t="n"/>
      <c r="C300" s="1842" t="n"/>
      <c r="D300" s="1842" t="n"/>
      <c r="E300" s="1842" t="n"/>
      <c r="F300" s="1842" t="n"/>
      <c r="G300" s="1842" t="n"/>
      <c r="H300" s="1842" t="n"/>
      <c r="I300" s="1842" t="n"/>
      <c r="J300" s="1842" t="n"/>
      <c r="K300" s="1842" t="n"/>
      <c r="L300" s="1842" t="n"/>
      <c r="M300" s="1842" t="n"/>
      <c r="N300" s="1842" t="n"/>
      <c r="O300" s="1842" t="n"/>
      <c r="P300" s="1842" t="n"/>
      <c r="Q300" s="1842" t="n"/>
      <c r="R300" s="1842" t="n"/>
      <c r="S300" s="1842" t="n"/>
      <c r="T300" s="1842" t="n"/>
      <c r="U300" s="1842" t="n"/>
      <c r="V300" s="1842" t="n"/>
      <c r="W300" s="1842" t="n"/>
      <c r="X300" s="1842" t="n"/>
      <c r="Y300" s="1842" t="n"/>
      <c r="Z300" s="1842" t="n"/>
      <c r="AA300" s="1842" t="n"/>
      <c r="AB300" s="1842" t="n"/>
      <c r="AC300" s="1842" t="n"/>
      <c r="AD300" s="1842" t="n"/>
      <c r="AE300" s="1842" t="n"/>
      <c r="AF300" s="1842" t="n"/>
    </row>
    <row r="301" ht="13.5" customHeight="1" s="1883">
      <c r="A301" s="1842" t="n"/>
      <c r="B301" s="1842" t="n"/>
      <c r="C301" s="1842" t="n"/>
      <c r="D301" s="1842" t="n"/>
      <c r="E301" s="1842" t="n"/>
      <c r="F301" s="1842" t="n"/>
      <c r="G301" s="1842" t="n"/>
      <c r="H301" s="1842" t="n"/>
      <c r="I301" s="1842" t="n"/>
      <c r="J301" s="1842" t="n"/>
      <c r="K301" s="1842" t="n"/>
      <c r="L301" s="1842" t="n"/>
      <c r="M301" s="1842" t="n"/>
      <c r="N301" s="1842" t="n"/>
      <c r="O301" s="1842" t="n"/>
      <c r="P301" s="1842" t="n"/>
      <c r="Q301" s="1842" t="n"/>
      <c r="R301" s="1842" t="n"/>
      <c r="S301" s="1842" t="n"/>
      <c r="T301" s="1842" t="n"/>
      <c r="U301" s="1842" t="n"/>
      <c r="V301" s="1842" t="n"/>
      <c r="W301" s="1842" t="n"/>
      <c r="X301" s="1842" t="n"/>
      <c r="Y301" s="1842" t="n"/>
      <c r="Z301" s="1842" t="n"/>
      <c r="AA301" s="1842" t="n"/>
      <c r="AB301" s="1842" t="n"/>
      <c r="AC301" s="1842" t="n"/>
      <c r="AD301" s="1842" t="n"/>
      <c r="AE301" s="1842" t="n"/>
      <c r="AF301" s="1842" t="n"/>
    </row>
    <row r="302" ht="13.5" customHeight="1" s="1883">
      <c r="A302" s="1842" t="n"/>
      <c r="B302" s="1842" t="n"/>
      <c r="C302" s="1842" t="n"/>
      <c r="D302" s="1842" t="n"/>
      <c r="E302" s="1842" t="n"/>
      <c r="F302" s="1842" t="n"/>
      <c r="G302" s="1842" t="n"/>
      <c r="H302" s="1842" t="n"/>
      <c r="I302" s="1842" t="n"/>
      <c r="J302" s="1842" t="n"/>
      <c r="K302" s="1842" t="n"/>
      <c r="L302" s="1842" t="n"/>
      <c r="M302" s="1842" t="n"/>
      <c r="N302" s="1842" t="n"/>
      <c r="O302" s="1842" t="n"/>
      <c r="P302" s="1842" t="n"/>
      <c r="Q302" s="1842" t="n"/>
      <c r="R302" s="1842" t="n"/>
      <c r="S302" s="1842" t="n"/>
      <c r="T302" s="1842" t="n"/>
      <c r="U302" s="1842" t="n"/>
      <c r="V302" s="1842" t="n"/>
      <c r="W302" s="1842" t="n"/>
      <c r="X302" s="1842" t="n"/>
      <c r="Y302" s="1842" t="n"/>
      <c r="Z302" s="1842" t="n"/>
      <c r="AA302" s="1842" t="n"/>
      <c r="AB302" s="1842" t="n"/>
      <c r="AC302" s="1842" t="n"/>
      <c r="AD302" s="1842" t="n"/>
      <c r="AE302" s="1842" t="n"/>
      <c r="AF302" s="1842" t="n"/>
    </row>
    <row r="303" ht="13.5" customHeight="1" s="1883">
      <c r="A303" s="1842" t="n"/>
      <c r="B303" s="1842" t="n"/>
      <c r="C303" s="1842" t="n"/>
      <c r="D303" s="1842" t="n"/>
      <c r="E303" s="1842" t="n"/>
      <c r="F303" s="1842" t="n"/>
      <c r="G303" s="1842" t="n"/>
      <c r="H303" s="1842" t="n"/>
      <c r="I303" s="1842" t="n"/>
      <c r="J303" s="1842" t="n"/>
      <c r="K303" s="1842" t="n"/>
      <c r="L303" s="1842" t="n"/>
      <c r="M303" s="1842" t="n"/>
      <c r="N303" s="1842" t="n"/>
      <c r="O303" s="1842" t="n"/>
      <c r="P303" s="1842" t="n"/>
      <c r="Q303" s="1842" t="n"/>
      <c r="R303" s="1842" t="n"/>
      <c r="S303" s="1842" t="n"/>
      <c r="T303" s="1842" t="n"/>
      <c r="U303" s="1842" t="n"/>
      <c r="V303" s="1842" t="n"/>
      <c r="W303" s="1842" t="n"/>
      <c r="X303" s="1842" t="n"/>
      <c r="Y303" s="1842" t="n"/>
      <c r="Z303" s="1842" t="n"/>
      <c r="AA303" s="1842" t="n"/>
      <c r="AB303" s="1842" t="n"/>
      <c r="AC303" s="1842" t="n"/>
      <c r="AD303" s="1842" t="n"/>
      <c r="AE303" s="1842" t="n"/>
      <c r="AF303" s="1842" t="n"/>
    </row>
    <row r="304" ht="13.5" customHeight="1" s="1883">
      <c r="A304" s="1842" t="n"/>
      <c r="B304" s="1842" t="n"/>
      <c r="C304" s="1842" t="n"/>
      <c r="D304" s="1842" t="n"/>
      <c r="E304" s="1842" t="n"/>
      <c r="F304" s="1842" t="n"/>
      <c r="G304" s="1842" t="n"/>
      <c r="H304" s="1842" t="n"/>
      <c r="I304" s="1842" t="n"/>
      <c r="J304" s="1842" t="n"/>
      <c r="K304" s="1842" t="n"/>
      <c r="L304" s="1842" t="n"/>
      <c r="M304" s="1842" t="n"/>
      <c r="N304" s="1842" t="n"/>
      <c r="O304" s="1842" t="n"/>
      <c r="P304" s="1842" t="n"/>
      <c r="Q304" s="1842" t="n"/>
      <c r="R304" s="1842" t="n"/>
      <c r="S304" s="1842" t="n"/>
      <c r="T304" s="1842" t="n"/>
      <c r="U304" s="1842" t="n"/>
      <c r="V304" s="1842" t="n"/>
      <c r="W304" s="1842" t="n"/>
      <c r="X304" s="1842" t="n"/>
      <c r="Y304" s="1842" t="n"/>
      <c r="Z304" s="1842" t="n"/>
      <c r="AA304" s="1842" t="n"/>
      <c r="AB304" s="1842" t="n"/>
      <c r="AC304" s="1842" t="n"/>
      <c r="AD304" s="1842" t="n"/>
      <c r="AE304" s="1842" t="n"/>
      <c r="AF304" s="1842" t="n"/>
    </row>
    <row r="305" ht="13.5" customHeight="1" s="1883">
      <c r="A305" s="1842" t="n"/>
      <c r="B305" s="1842" t="n"/>
      <c r="C305" s="1842" t="n"/>
      <c r="D305" s="1842" t="n"/>
      <c r="E305" s="1842" t="n"/>
      <c r="F305" s="1842" t="n"/>
      <c r="G305" s="1842" t="n"/>
      <c r="H305" s="1842" t="n"/>
      <c r="I305" s="1842" t="n"/>
      <c r="J305" s="1842" t="n"/>
      <c r="K305" s="1842" t="n"/>
      <c r="L305" s="1842" t="n"/>
      <c r="M305" s="1842" t="n"/>
      <c r="N305" s="1842" t="n"/>
      <c r="O305" s="1842" t="n"/>
      <c r="P305" s="1842" t="n"/>
      <c r="Q305" s="1842" t="n"/>
      <c r="R305" s="1842" t="n"/>
      <c r="S305" s="1842" t="n"/>
      <c r="T305" s="1842" t="n"/>
      <c r="U305" s="1842" t="n"/>
      <c r="V305" s="1842" t="n"/>
      <c r="W305" s="1842" t="n"/>
      <c r="X305" s="1842" t="n"/>
      <c r="Y305" s="1842" t="n"/>
      <c r="Z305" s="1842" t="n"/>
      <c r="AA305" s="1842" t="n"/>
      <c r="AB305" s="1842" t="n"/>
      <c r="AC305" s="1842" t="n"/>
      <c r="AD305" s="1842" t="n"/>
      <c r="AE305" s="1842" t="n"/>
      <c r="AF305" s="1842" t="n"/>
    </row>
    <row r="306" ht="13.5" customHeight="1" s="1883">
      <c r="A306" s="1842" t="n"/>
      <c r="B306" s="1842" t="n"/>
      <c r="C306" s="1842" t="n"/>
      <c r="D306" s="1842" t="n"/>
      <c r="E306" s="1842" t="n"/>
      <c r="F306" s="1842" t="n"/>
      <c r="G306" s="1842" t="n"/>
      <c r="H306" s="1842" t="n"/>
      <c r="I306" s="1842" t="n"/>
      <c r="J306" s="1842" t="n"/>
      <c r="K306" s="1842" t="n"/>
      <c r="L306" s="1842" t="n"/>
      <c r="M306" s="1842" t="n"/>
      <c r="N306" s="1842" t="n"/>
      <c r="O306" s="1842" t="n"/>
      <c r="P306" s="1842" t="n"/>
      <c r="Q306" s="1842" t="n"/>
      <c r="R306" s="1842" t="n"/>
      <c r="S306" s="1842" t="n"/>
      <c r="T306" s="1842" t="n"/>
      <c r="U306" s="1842" t="n"/>
      <c r="V306" s="1842" t="n"/>
      <c r="W306" s="1842" t="n"/>
      <c r="X306" s="1842" t="n"/>
      <c r="Y306" s="1842" t="n"/>
      <c r="Z306" s="1842" t="n"/>
      <c r="AA306" s="1842" t="n"/>
      <c r="AB306" s="1842" t="n"/>
      <c r="AC306" s="1842" t="n"/>
      <c r="AD306" s="1842" t="n"/>
      <c r="AE306" s="1842" t="n"/>
      <c r="AF306" s="1842" t="n"/>
    </row>
    <row r="307" ht="13.5" customHeight="1" s="1883">
      <c r="A307" s="1842" t="n"/>
      <c r="B307" s="1842" t="n"/>
      <c r="C307" s="1842" t="n"/>
      <c r="D307" s="1842" t="n"/>
      <c r="E307" s="1842" t="n"/>
      <c r="F307" s="1842" t="n"/>
      <c r="G307" s="1842" t="n"/>
      <c r="H307" s="1842" t="n"/>
      <c r="I307" s="1842" t="n"/>
      <c r="J307" s="1842" t="n"/>
      <c r="K307" s="1842" t="n"/>
      <c r="L307" s="1842" t="n"/>
      <c r="M307" s="1842" t="n"/>
      <c r="N307" s="1842" t="n"/>
      <c r="O307" s="1842" t="n"/>
      <c r="P307" s="1842" t="n"/>
      <c r="Q307" s="1842" t="n"/>
      <c r="R307" s="1842" t="n"/>
      <c r="S307" s="1842" t="n"/>
      <c r="T307" s="1842" t="n"/>
      <c r="U307" s="1842" t="n"/>
      <c r="V307" s="1842" t="n"/>
      <c r="W307" s="1842" t="n"/>
      <c r="X307" s="1842" t="n"/>
      <c r="Y307" s="1842" t="n"/>
      <c r="Z307" s="1842" t="n"/>
      <c r="AA307" s="1842" t="n"/>
      <c r="AB307" s="1842" t="n"/>
      <c r="AC307" s="1842" t="n"/>
      <c r="AD307" s="1842" t="n"/>
      <c r="AE307" s="1842" t="n"/>
      <c r="AF307" s="1842" t="n"/>
    </row>
    <row r="308" ht="13.5" customHeight="1" s="1883">
      <c r="A308" s="1842" t="n"/>
      <c r="B308" s="1842" t="n"/>
      <c r="C308" s="1842" t="n"/>
      <c r="D308" s="1842" t="n"/>
      <c r="E308" s="1842" t="n"/>
      <c r="F308" s="1842" t="n"/>
      <c r="G308" s="1842" t="n"/>
      <c r="H308" s="1842" t="n"/>
      <c r="I308" s="1842" t="n"/>
      <c r="J308" s="1842" t="n"/>
      <c r="K308" s="1842" t="n"/>
      <c r="L308" s="1842" t="n"/>
      <c r="M308" s="1842" t="n"/>
      <c r="N308" s="1842" t="n"/>
      <c r="O308" s="1842" t="n"/>
      <c r="P308" s="1842" t="n"/>
      <c r="Q308" s="1842" t="n"/>
      <c r="R308" s="1842" t="n"/>
      <c r="S308" s="1842" t="n"/>
      <c r="T308" s="1842" t="n"/>
      <c r="U308" s="1842" t="n"/>
      <c r="V308" s="1842" t="n"/>
      <c r="W308" s="1842" t="n"/>
      <c r="X308" s="1842" t="n"/>
      <c r="Y308" s="1842" t="n"/>
      <c r="Z308" s="1842" t="n"/>
      <c r="AA308" s="1842" t="n"/>
      <c r="AB308" s="1842" t="n"/>
      <c r="AC308" s="1842" t="n"/>
      <c r="AD308" s="1842" t="n"/>
      <c r="AE308" s="1842" t="n"/>
      <c r="AF308" s="1842" t="n"/>
    </row>
    <row r="309" ht="13.5" customHeight="1" s="1883">
      <c r="A309" s="1842" t="n"/>
      <c r="B309" s="1842" t="n"/>
      <c r="C309" s="1842" t="n"/>
      <c r="D309" s="1842" t="n"/>
      <c r="E309" s="1842" t="n"/>
      <c r="F309" s="1842" t="n"/>
      <c r="G309" s="1842" t="n"/>
      <c r="H309" s="1842" t="n"/>
      <c r="I309" s="1842" t="n"/>
      <c r="J309" s="1842" t="n"/>
      <c r="K309" s="1842" t="n"/>
      <c r="L309" s="1842" t="n"/>
      <c r="M309" s="1842" t="n"/>
      <c r="N309" s="1842" t="n"/>
      <c r="O309" s="1842" t="n"/>
      <c r="P309" s="1842" t="n"/>
      <c r="Q309" s="1842" t="n"/>
      <c r="R309" s="1842" t="n"/>
      <c r="S309" s="1842" t="n"/>
      <c r="T309" s="1842" t="n"/>
      <c r="U309" s="1842" t="n"/>
      <c r="V309" s="1842" t="n"/>
      <c r="W309" s="1842" t="n"/>
      <c r="X309" s="1842" t="n"/>
      <c r="Y309" s="1842" t="n"/>
      <c r="Z309" s="1842" t="n"/>
      <c r="AA309" s="1842" t="n"/>
      <c r="AB309" s="1842" t="n"/>
      <c r="AC309" s="1842" t="n"/>
      <c r="AD309" s="1842" t="n"/>
      <c r="AE309" s="1842" t="n"/>
      <c r="AF309" s="1842" t="n"/>
    </row>
    <row r="310" ht="13.5" customHeight="1" s="1883">
      <c r="A310" s="1842" t="n"/>
      <c r="B310" s="1842" t="n"/>
      <c r="C310" s="1842" t="n"/>
      <c r="D310" s="1842" t="n"/>
      <c r="E310" s="1842" t="n"/>
      <c r="F310" s="1842" t="n"/>
      <c r="G310" s="1842" t="n"/>
      <c r="H310" s="1842" t="n"/>
      <c r="I310" s="1842" t="n"/>
      <c r="J310" s="1842" t="n"/>
      <c r="K310" s="1842" t="n"/>
      <c r="L310" s="1842" t="n"/>
      <c r="M310" s="1842" t="n"/>
      <c r="N310" s="1842" t="n"/>
      <c r="O310" s="1842" t="n"/>
      <c r="P310" s="1842" t="n"/>
      <c r="Q310" s="1842" t="n"/>
      <c r="R310" s="1842" t="n"/>
      <c r="S310" s="1842" t="n"/>
      <c r="T310" s="1842" t="n"/>
      <c r="U310" s="1842" t="n"/>
      <c r="V310" s="1842" t="n"/>
      <c r="W310" s="1842" t="n"/>
      <c r="X310" s="1842" t="n"/>
      <c r="Y310" s="1842" t="n"/>
      <c r="Z310" s="1842" t="n"/>
      <c r="AA310" s="1842" t="n"/>
      <c r="AB310" s="1842" t="n"/>
      <c r="AC310" s="1842" t="n"/>
      <c r="AD310" s="1842" t="n"/>
      <c r="AE310" s="1842" t="n"/>
      <c r="AF310" s="1842" t="n"/>
    </row>
    <row r="311" ht="13.5" customHeight="1" s="1883">
      <c r="A311" s="1842" t="n"/>
      <c r="B311" s="1842" t="n"/>
      <c r="C311" s="1842" t="n"/>
      <c r="D311" s="1842" t="n"/>
      <c r="E311" s="1842" t="n"/>
      <c r="F311" s="1842" t="n"/>
      <c r="G311" s="1842" t="n"/>
      <c r="H311" s="1842" t="n"/>
      <c r="I311" s="1842" t="n"/>
      <c r="J311" s="1842" t="n"/>
      <c r="K311" s="1842" t="n"/>
      <c r="L311" s="1842" t="n"/>
      <c r="M311" s="1842" t="n"/>
      <c r="N311" s="1842" t="n"/>
      <c r="O311" s="1842" t="n"/>
      <c r="P311" s="1842" t="n"/>
      <c r="Q311" s="1842" t="n"/>
      <c r="R311" s="1842" t="n"/>
      <c r="S311" s="1842" t="n"/>
      <c r="T311" s="1842" t="n"/>
      <c r="U311" s="1842" t="n"/>
      <c r="V311" s="1842" t="n"/>
      <c r="W311" s="1842" t="n"/>
      <c r="X311" s="1842" t="n"/>
      <c r="Y311" s="1842" t="n"/>
      <c r="Z311" s="1842" t="n"/>
      <c r="AA311" s="1842" t="n"/>
      <c r="AB311" s="1842" t="n"/>
      <c r="AC311" s="1842" t="n"/>
      <c r="AD311" s="1842" t="n"/>
      <c r="AE311" s="1842" t="n"/>
      <c r="AF311" s="1842" t="n"/>
    </row>
    <row r="312" ht="13.5" customHeight="1" s="1883">
      <c r="A312" s="1842" t="n"/>
      <c r="B312" s="1842" t="n"/>
      <c r="C312" s="1842" t="n"/>
      <c r="D312" s="1842" t="n"/>
      <c r="E312" s="1842" t="n"/>
      <c r="F312" s="1842" t="n"/>
      <c r="G312" s="1842" t="n"/>
      <c r="H312" s="1842" t="n"/>
      <c r="I312" s="1842" t="n"/>
      <c r="J312" s="1842" t="n"/>
      <c r="K312" s="1842" t="n"/>
      <c r="L312" s="1842" t="n"/>
      <c r="M312" s="1842" t="n"/>
      <c r="N312" s="1842" t="n"/>
      <c r="O312" s="1842" t="n"/>
      <c r="P312" s="1842" t="n"/>
      <c r="Q312" s="1842" t="n"/>
      <c r="R312" s="1842" t="n"/>
      <c r="S312" s="1842" t="n"/>
      <c r="T312" s="1842" t="n"/>
      <c r="U312" s="1842" t="n"/>
      <c r="V312" s="1842" t="n"/>
      <c r="W312" s="1842" t="n"/>
      <c r="X312" s="1842" t="n"/>
      <c r="Y312" s="1842" t="n"/>
      <c r="Z312" s="1842" t="n"/>
      <c r="AA312" s="1842" t="n"/>
      <c r="AB312" s="1842" t="n"/>
      <c r="AC312" s="1842" t="n"/>
      <c r="AD312" s="1842" t="n"/>
      <c r="AE312" s="1842" t="n"/>
      <c r="AF312" s="1842" t="n"/>
    </row>
    <row r="313" ht="13.5" customHeight="1" s="1883">
      <c r="A313" s="1842" t="n"/>
      <c r="B313" s="1842" t="n"/>
      <c r="C313" s="1842" t="n"/>
      <c r="D313" s="1842" t="n"/>
      <c r="E313" s="1842" t="n"/>
      <c r="F313" s="1842" t="n"/>
      <c r="G313" s="1842" t="n"/>
      <c r="H313" s="1842" t="n"/>
      <c r="I313" s="1842" t="n"/>
      <c r="J313" s="1842" t="n"/>
      <c r="K313" s="1842" t="n"/>
      <c r="L313" s="1842" t="n"/>
      <c r="M313" s="1842" t="n"/>
      <c r="N313" s="1842" t="n"/>
      <c r="O313" s="1842" t="n"/>
      <c r="P313" s="1842" t="n"/>
      <c r="Q313" s="1842" t="n"/>
      <c r="R313" s="1842" t="n"/>
      <c r="S313" s="1842" t="n"/>
      <c r="T313" s="1842" t="n"/>
      <c r="U313" s="1842" t="n"/>
      <c r="V313" s="1842" t="n"/>
      <c r="W313" s="1842" t="n"/>
      <c r="X313" s="1842" t="n"/>
      <c r="Y313" s="1842" t="n"/>
      <c r="Z313" s="1842" t="n"/>
      <c r="AA313" s="1842" t="n"/>
      <c r="AB313" s="1842" t="n"/>
      <c r="AC313" s="1842" t="n"/>
      <c r="AD313" s="1842" t="n"/>
      <c r="AE313" s="1842" t="n"/>
      <c r="AF313" s="1842" t="n"/>
    </row>
    <row r="314" ht="13.5" customHeight="1" s="1883">
      <c r="A314" s="1842" t="n"/>
      <c r="B314" s="1842" t="n"/>
      <c r="C314" s="1842" t="n"/>
      <c r="D314" s="1842" t="n"/>
      <c r="E314" s="1842" t="n"/>
      <c r="F314" s="1842" t="n"/>
      <c r="G314" s="1842" t="n"/>
      <c r="H314" s="1842" t="n"/>
      <c r="I314" s="1842" t="n"/>
      <c r="J314" s="1842" t="n"/>
      <c r="K314" s="1842" t="n"/>
      <c r="L314" s="1842" t="n"/>
      <c r="M314" s="1842" t="n"/>
      <c r="N314" s="1842" t="n"/>
      <c r="O314" s="1842" t="n"/>
      <c r="P314" s="1842" t="n"/>
      <c r="Q314" s="1842" t="n"/>
      <c r="R314" s="1842" t="n"/>
      <c r="S314" s="1842" t="n"/>
      <c r="T314" s="1842" t="n"/>
      <c r="U314" s="1842" t="n"/>
      <c r="V314" s="1842" t="n"/>
      <c r="W314" s="1842" t="n"/>
      <c r="X314" s="1842" t="n"/>
      <c r="Y314" s="1842" t="n"/>
      <c r="Z314" s="1842" t="n"/>
      <c r="AA314" s="1842" t="n"/>
      <c r="AB314" s="1842" t="n"/>
      <c r="AC314" s="1842" t="n"/>
      <c r="AD314" s="1842" t="n"/>
      <c r="AE314" s="1842" t="n"/>
      <c r="AF314" s="1842" t="n"/>
    </row>
    <row r="315" ht="13.5" customHeight="1" s="1883">
      <c r="A315" s="1842" t="n"/>
      <c r="B315" s="1842" t="n"/>
      <c r="C315" s="1842" t="n"/>
      <c r="D315" s="1842" t="n"/>
      <c r="E315" s="1842" t="n"/>
      <c r="F315" s="1842" t="n"/>
      <c r="G315" s="1842" t="n"/>
      <c r="H315" s="1842" t="n"/>
      <c r="I315" s="1842" t="n"/>
      <c r="J315" s="1842" t="n"/>
      <c r="K315" s="1842" t="n"/>
      <c r="L315" s="1842" t="n"/>
      <c r="M315" s="1842" t="n"/>
      <c r="N315" s="1842" t="n"/>
      <c r="O315" s="1842" t="n"/>
      <c r="P315" s="1842" t="n"/>
      <c r="Q315" s="1842" t="n"/>
      <c r="R315" s="1842" t="n"/>
      <c r="S315" s="1842" t="n"/>
      <c r="T315" s="1842" t="n"/>
      <c r="U315" s="1842" t="n"/>
      <c r="V315" s="1842" t="n"/>
      <c r="W315" s="1842" t="n"/>
      <c r="X315" s="1842" t="n"/>
      <c r="Y315" s="1842" t="n"/>
      <c r="Z315" s="1842" t="n"/>
      <c r="AA315" s="1842" t="n"/>
      <c r="AB315" s="1842" t="n"/>
      <c r="AC315" s="1842" t="n"/>
      <c r="AD315" s="1842" t="n"/>
      <c r="AE315" s="1842" t="n"/>
      <c r="AF315" s="1842" t="n"/>
    </row>
    <row r="316" ht="13.5" customHeight="1" s="1883">
      <c r="A316" s="1842" t="n"/>
      <c r="B316" s="1842" t="n"/>
      <c r="C316" s="1842" t="n"/>
      <c r="D316" s="1842" t="n"/>
      <c r="E316" s="1842" t="n"/>
      <c r="F316" s="1842" t="n"/>
      <c r="G316" s="1842" t="n"/>
      <c r="H316" s="1842" t="n"/>
      <c r="I316" s="1842" t="n"/>
      <c r="J316" s="1842" t="n"/>
      <c r="K316" s="1842" t="n"/>
      <c r="L316" s="1842" t="n"/>
      <c r="M316" s="1842" t="n"/>
      <c r="N316" s="1842" t="n"/>
      <c r="O316" s="1842" t="n"/>
      <c r="P316" s="1842" t="n"/>
      <c r="Q316" s="1842" t="n"/>
      <c r="R316" s="1842" t="n"/>
      <c r="S316" s="1842" t="n"/>
      <c r="T316" s="1842" t="n"/>
      <c r="U316" s="1842" t="n"/>
      <c r="V316" s="1842" t="n"/>
      <c r="W316" s="1842" t="n"/>
      <c r="X316" s="1842" t="n"/>
      <c r="Y316" s="1842" t="n"/>
      <c r="Z316" s="1842" t="n"/>
      <c r="AA316" s="1842" t="n"/>
      <c r="AB316" s="1842" t="n"/>
      <c r="AC316" s="1842" t="n"/>
      <c r="AD316" s="1842" t="n"/>
      <c r="AE316" s="1842" t="n"/>
      <c r="AF316" s="1842" t="n"/>
    </row>
    <row r="317" ht="13.5" customHeight="1" s="1883">
      <c r="A317" s="1842" t="n"/>
      <c r="B317" s="1842" t="n"/>
      <c r="C317" s="1842" t="n"/>
      <c r="D317" s="1842" t="n"/>
      <c r="E317" s="1842" t="n"/>
      <c r="F317" s="1842" t="n"/>
      <c r="G317" s="1842" t="n"/>
      <c r="H317" s="1842" t="n"/>
      <c r="I317" s="1842" t="n"/>
      <c r="J317" s="1842" t="n"/>
      <c r="K317" s="1842" t="n"/>
      <c r="L317" s="1842" t="n"/>
      <c r="M317" s="1842" t="n"/>
      <c r="N317" s="1842" t="n"/>
      <c r="O317" s="1842" t="n"/>
      <c r="P317" s="1842" t="n"/>
      <c r="Q317" s="1842" t="n"/>
      <c r="R317" s="1842" t="n"/>
      <c r="S317" s="1842" t="n"/>
      <c r="T317" s="1842" t="n"/>
      <c r="U317" s="1842" t="n"/>
      <c r="V317" s="1842" t="n"/>
      <c r="W317" s="1842" t="n"/>
      <c r="X317" s="1842" t="n"/>
      <c r="Y317" s="1842" t="n"/>
      <c r="Z317" s="1842" t="n"/>
      <c r="AA317" s="1842" t="n"/>
      <c r="AB317" s="1842" t="n"/>
      <c r="AC317" s="1842" t="n"/>
      <c r="AD317" s="1842" t="n"/>
      <c r="AE317" s="1842" t="n"/>
      <c r="AF317" s="1842" t="n"/>
    </row>
    <row r="318" ht="13.5" customHeight="1" s="1883">
      <c r="A318" s="1842" t="n"/>
      <c r="B318" s="1842" t="n"/>
      <c r="C318" s="1842" t="n"/>
      <c r="D318" s="1842" t="n"/>
      <c r="E318" s="1842" t="n"/>
      <c r="F318" s="1842" t="n"/>
      <c r="G318" s="1842" t="n"/>
      <c r="H318" s="1842" t="n"/>
      <c r="I318" s="1842" t="n"/>
      <c r="J318" s="1842" t="n"/>
      <c r="K318" s="1842" t="n"/>
      <c r="L318" s="1842" t="n"/>
      <c r="M318" s="1842" t="n"/>
      <c r="N318" s="1842" t="n"/>
      <c r="O318" s="1842" t="n"/>
      <c r="P318" s="1842" t="n"/>
      <c r="Q318" s="1842" t="n"/>
      <c r="R318" s="1842" t="n"/>
      <c r="S318" s="1842" t="n"/>
      <c r="T318" s="1842" t="n"/>
      <c r="U318" s="1842" t="n"/>
      <c r="V318" s="1842" t="n"/>
      <c r="W318" s="1842" t="n"/>
      <c r="X318" s="1842" t="n"/>
      <c r="Y318" s="1842" t="n"/>
      <c r="Z318" s="1842" t="n"/>
      <c r="AA318" s="1842" t="n"/>
      <c r="AB318" s="1842" t="n"/>
      <c r="AC318" s="1842" t="n"/>
      <c r="AD318" s="1842" t="n"/>
      <c r="AE318" s="1842" t="n"/>
      <c r="AF318" s="1842" t="n"/>
    </row>
    <row r="319" ht="13.5" customHeight="1" s="1883">
      <c r="A319" s="1842" t="n"/>
      <c r="B319" s="1842" t="n"/>
      <c r="C319" s="1842" t="n"/>
      <c r="D319" s="1842" t="n"/>
      <c r="E319" s="1842" t="n"/>
      <c r="F319" s="1842" t="n"/>
      <c r="G319" s="1842" t="n"/>
      <c r="H319" s="1842" t="n"/>
      <c r="I319" s="1842" t="n"/>
      <c r="J319" s="1842" t="n"/>
      <c r="K319" s="1842" t="n"/>
      <c r="L319" s="1842" t="n"/>
      <c r="M319" s="1842" t="n"/>
      <c r="N319" s="1842" t="n"/>
      <c r="O319" s="1842" t="n"/>
      <c r="P319" s="1842" t="n"/>
      <c r="Q319" s="1842" t="n"/>
      <c r="R319" s="1842" t="n"/>
      <c r="S319" s="1842" t="n"/>
      <c r="T319" s="1842" t="n"/>
      <c r="U319" s="1842" t="n"/>
      <c r="V319" s="1842" t="n"/>
      <c r="W319" s="1842" t="n"/>
      <c r="X319" s="1842" t="n"/>
      <c r="Y319" s="1842" t="n"/>
      <c r="Z319" s="1842" t="n"/>
      <c r="AA319" s="1842" t="n"/>
      <c r="AB319" s="1842" t="n"/>
      <c r="AC319" s="1842" t="n"/>
      <c r="AD319" s="1842" t="n"/>
      <c r="AE319" s="1842" t="n"/>
      <c r="AF319" s="1842" t="n"/>
    </row>
    <row r="320" ht="13.5" customHeight="1" s="1883">
      <c r="A320" s="1842" t="n"/>
      <c r="B320" s="1842" t="n"/>
      <c r="C320" s="1842" t="n"/>
      <c r="D320" s="1842" t="n"/>
      <c r="E320" s="1842" t="n"/>
      <c r="F320" s="1842" t="n"/>
      <c r="G320" s="1842" t="n"/>
      <c r="H320" s="1842" t="n"/>
      <c r="I320" s="1842" t="n"/>
      <c r="J320" s="1842" t="n"/>
      <c r="K320" s="1842" t="n"/>
      <c r="L320" s="1842" t="n"/>
      <c r="M320" s="1842" t="n"/>
      <c r="N320" s="1842" t="n"/>
      <c r="O320" s="1842" t="n"/>
      <c r="P320" s="1842" t="n"/>
      <c r="Q320" s="1842" t="n"/>
      <c r="R320" s="1842" t="n"/>
      <c r="S320" s="1842" t="n"/>
      <c r="T320" s="1842" t="n"/>
      <c r="U320" s="1842" t="n"/>
      <c r="V320" s="1842" t="n"/>
      <c r="W320" s="1842" t="n"/>
      <c r="X320" s="1842" t="n"/>
      <c r="Y320" s="1842" t="n"/>
      <c r="Z320" s="1842" t="n"/>
      <c r="AA320" s="1842" t="n"/>
      <c r="AB320" s="1842" t="n"/>
      <c r="AC320" s="1842" t="n"/>
      <c r="AD320" s="1842" t="n"/>
      <c r="AE320" s="1842" t="n"/>
      <c r="AF320" s="1842" t="n"/>
    </row>
    <row r="321" ht="13.5" customHeight="1" s="1883">
      <c r="A321" s="1842" t="n"/>
      <c r="B321" s="1842" t="n"/>
      <c r="C321" s="1842" t="n"/>
      <c r="D321" s="1842" t="n"/>
      <c r="E321" s="1842" t="n"/>
      <c r="F321" s="1842" t="n"/>
      <c r="G321" s="1842" t="n"/>
      <c r="H321" s="1842" t="n"/>
      <c r="I321" s="1842" t="n"/>
      <c r="J321" s="1842" t="n"/>
      <c r="K321" s="1842" t="n"/>
      <c r="L321" s="1842" t="n"/>
      <c r="M321" s="1842" t="n"/>
      <c r="N321" s="1842" t="n"/>
      <c r="O321" s="1842" t="n"/>
      <c r="P321" s="1842" t="n"/>
      <c r="Q321" s="1842" t="n"/>
      <c r="R321" s="1842" t="n"/>
      <c r="S321" s="1842" t="n"/>
      <c r="T321" s="1842" t="n"/>
      <c r="U321" s="1842" t="n"/>
      <c r="V321" s="1842" t="n"/>
      <c r="W321" s="1842" t="n"/>
      <c r="X321" s="1842" t="n"/>
      <c r="Y321" s="1842" t="n"/>
      <c r="Z321" s="1842" t="n"/>
      <c r="AA321" s="1842" t="n"/>
      <c r="AB321" s="1842" t="n"/>
      <c r="AC321" s="1842" t="n"/>
      <c r="AD321" s="1842" t="n"/>
      <c r="AE321" s="1842" t="n"/>
      <c r="AF321" s="1842" t="n"/>
    </row>
    <row r="322" ht="13.5" customHeight="1" s="1883">
      <c r="A322" s="1842" t="n"/>
      <c r="B322" s="1842" t="n"/>
      <c r="C322" s="1842" t="n"/>
      <c r="D322" s="1842" t="n"/>
      <c r="E322" s="1842" t="n"/>
      <c r="F322" s="1842" t="n"/>
      <c r="G322" s="1842" t="n"/>
      <c r="H322" s="1842" t="n"/>
      <c r="I322" s="1842" t="n"/>
      <c r="J322" s="1842" t="n"/>
      <c r="K322" s="1842" t="n"/>
      <c r="L322" s="1842" t="n"/>
      <c r="M322" s="1842" t="n"/>
      <c r="N322" s="1842" t="n"/>
      <c r="O322" s="1842" t="n"/>
      <c r="P322" s="1842" t="n"/>
      <c r="Q322" s="1842" t="n"/>
      <c r="R322" s="1842" t="n"/>
      <c r="S322" s="1842" t="n"/>
      <c r="T322" s="1842" t="n"/>
      <c r="U322" s="1842" t="n"/>
      <c r="V322" s="1842" t="n"/>
      <c r="W322" s="1842" t="n"/>
      <c r="X322" s="1842" t="n"/>
      <c r="Y322" s="1842" t="n"/>
      <c r="Z322" s="1842" t="n"/>
      <c r="AA322" s="1842" t="n"/>
      <c r="AB322" s="1842" t="n"/>
      <c r="AC322" s="1842" t="n"/>
      <c r="AD322" s="1842" t="n"/>
      <c r="AE322" s="1842" t="n"/>
      <c r="AF322" s="1842" t="n"/>
    </row>
    <row r="323" ht="13.5" customHeight="1" s="1883">
      <c r="A323" s="1842" t="n"/>
      <c r="B323" s="1842" t="n"/>
      <c r="C323" s="1842" t="n"/>
      <c r="D323" s="1842" t="n"/>
      <c r="E323" s="1842" t="n"/>
      <c r="F323" s="1842" t="n"/>
      <c r="G323" s="1842" t="n"/>
      <c r="H323" s="1842" t="n"/>
      <c r="I323" s="1842" t="n"/>
      <c r="J323" s="1842" t="n"/>
      <c r="K323" s="1842" t="n"/>
      <c r="L323" s="1842" t="n"/>
      <c r="M323" s="1842" t="n"/>
      <c r="N323" s="1842" t="n"/>
      <c r="O323" s="1842" t="n"/>
      <c r="P323" s="1842" t="n"/>
      <c r="Q323" s="1842" t="n"/>
      <c r="R323" s="1842" t="n"/>
      <c r="S323" s="1842" t="n"/>
      <c r="T323" s="1842" t="n"/>
      <c r="U323" s="1842" t="n"/>
      <c r="V323" s="1842" t="n"/>
      <c r="W323" s="1842" t="n"/>
      <c r="X323" s="1842" t="n"/>
      <c r="Y323" s="1842" t="n"/>
      <c r="Z323" s="1842" t="n"/>
      <c r="AA323" s="1842" t="n"/>
      <c r="AB323" s="1842" t="n"/>
      <c r="AC323" s="1842" t="n"/>
      <c r="AD323" s="1842" t="n"/>
      <c r="AE323" s="1842" t="n"/>
      <c r="AF323" s="1842" t="n"/>
    </row>
    <row r="324" ht="13.5" customHeight="1" s="1883">
      <c r="A324" s="1842" t="n"/>
      <c r="B324" s="1842" t="n"/>
      <c r="C324" s="1842" t="n"/>
      <c r="D324" s="1842" t="n"/>
      <c r="E324" s="1842" t="n"/>
      <c r="F324" s="1842" t="n"/>
      <c r="G324" s="1842" t="n"/>
      <c r="H324" s="1842" t="n"/>
      <c r="I324" s="1842" t="n"/>
      <c r="J324" s="1842" t="n"/>
      <c r="K324" s="1842" t="n"/>
      <c r="L324" s="1842" t="n"/>
      <c r="M324" s="1842" t="n"/>
      <c r="N324" s="1842" t="n"/>
      <c r="O324" s="1842" t="n"/>
      <c r="P324" s="1842" t="n"/>
      <c r="Q324" s="1842" t="n"/>
      <c r="R324" s="1842" t="n"/>
      <c r="S324" s="1842" t="n"/>
      <c r="T324" s="1842" t="n"/>
      <c r="U324" s="1842" t="n"/>
      <c r="V324" s="1842" t="n"/>
      <c r="W324" s="1842" t="n"/>
      <c r="X324" s="1842" t="n"/>
      <c r="Y324" s="1842" t="n"/>
      <c r="Z324" s="1842" t="n"/>
      <c r="AA324" s="1842" t="n"/>
      <c r="AB324" s="1842" t="n"/>
      <c r="AC324" s="1842" t="n"/>
      <c r="AD324" s="1842" t="n"/>
      <c r="AE324" s="1842" t="n"/>
      <c r="AF324" s="1842" t="n"/>
    </row>
    <row r="325" ht="13.5" customHeight="1" s="1883">
      <c r="A325" s="1842" t="n"/>
      <c r="B325" s="1842" t="n"/>
      <c r="C325" s="1842" t="n"/>
      <c r="D325" s="1842" t="n"/>
      <c r="E325" s="1842" t="n"/>
      <c r="F325" s="1842" t="n"/>
      <c r="G325" s="1842" t="n"/>
      <c r="H325" s="1842" t="n"/>
      <c r="I325" s="1842" t="n"/>
      <c r="J325" s="1842" t="n"/>
      <c r="K325" s="1842" t="n"/>
      <c r="L325" s="1842" t="n"/>
      <c r="M325" s="1842" t="n"/>
      <c r="N325" s="1842" t="n"/>
      <c r="O325" s="1842" t="n"/>
      <c r="P325" s="1842" t="n"/>
      <c r="Q325" s="1842" t="n"/>
      <c r="R325" s="1842" t="n"/>
      <c r="S325" s="1842" t="n"/>
      <c r="T325" s="1842" t="n"/>
      <c r="U325" s="1842" t="n"/>
      <c r="V325" s="1842" t="n"/>
      <c r="W325" s="1842" t="n"/>
      <c r="X325" s="1842" t="n"/>
      <c r="Y325" s="1842" t="n"/>
      <c r="Z325" s="1842" t="n"/>
      <c r="AA325" s="1842" t="n"/>
      <c r="AB325" s="1842" t="n"/>
      <c r="AC325" s="1842" t="n"/>
      <c r="AD325" s="1842" t="n"/>
      <c r="AE325" s="1842" t="n"/>
      <c r="AF325" s="1842" t="n"/>
    </row>
    <row r="326" ht="13.5" customHeight="1" s="1883">
      <c r="A326" s="1842" t="n"/>
      <c r="B326" s="1842" t="n"/>
      <c r="C326" s="1842" t="n"/>
      <c r="D326" s="1842" t="n"/>
      <c r="E326" s="1842" t="n"/>
      <c r="F326" s="1842" t="n"/>
      <c r="G326" s="1842" t="n"/>
      <c r="H326" s="1842" t="n"/>
      <c r="I326" s="1842" t="n"/>
      <c r="J326" s="1842" t="n"/>
      <c r="K326" s="1842" t="n"/>
      <c r="L326" s="1842" t="n"/>
      <c r="M326" s="1842" t="n"/>
      <c r="N326" s="1842" t="n"/>
      <c r="O326" s="1842" t="n"/>
      <c r="P326" s="1842" t="n"/>
      <c r="Q326" s="1842" t="n"/>
      <c r="R326" s="1842" t="n"/>
      <c r="S326" s="1842" t="n"/>
      <c r="T326" s="1842" t="n"/>
      <c r="U326" s="1842" t="n"/>
      <c r="V326" s="1842" t="n"/>
      <c r="W326" s="1842" t="n"/>
      <c r="X326" s="1842" t="n"/>
      <c r="Y326" s="1842" t="n"/>
      <c r="Z326" s="1842" t="n"/>
      <c r="AA326" s="1842" t="n"/>
      <c r="AB326" s="1842" t="n"/>
      <c r="AC326" s="1842" t="n"/>
      <c r="AD326" s="1842" t="n"/>
      <c r="AE326" s="1842" t="n"/>
      <c r="AF326" s="1842" t="n"/>
    </row>
    <row r="327" ht="13.5" customHeight="1" s="1883">
      <c r="A327" s="1842" t="n"/>
      <c r="B327" s="1842" t="n"/>
      <c r="C327" s="1842" t="n"/>
      <c r="D327" s="1842" t="n"/>
      <c r="E327" s="1842" t="n"/>
      <c r="F327" s="1842" t="n"/>
      <c r="G327" s="1842" t="n"/>
      <c r="H327" s="1842" t="n"/>
      <c r="I327" s="1842" t="n"/>
      <c r="J327" s="1842" t="n"/>
      <c r="K327" s="1842" t="n"/>
      <c r="L327" s="1842" t="n"/>
      <c r="M327" s="1842" t="n"/>
      <c r="N327" s="1842" t="n"/>
      <c r="O327" s="1842" t="n"/>
      <c r="P327" s="1842" t="n"/>
      <c r="Q327" s="1842" t="n"/>
      <c r="R327" s="1842" t="n"/>
      <c r="S327" s="1842" t="n"/>
      <c r="T327" s="1842" t="n"/>
      <c r="U327" s="1842" t="n"/>
      <c r="V327" s="1842" t="n"/>
      <c r="W327" s="1842" t="n"/>
      <c r="X327" s="1842" t="n"/>
      <c r="Y327" s="1842" t="n"/>
      <c r="Z327" s="1842" t="n"/>
      <c r="AA327" s="1842" t="n"/>
      <c r="AB327" s="1842" t="n"/>
      <c r="AC327" s="1842" t="n"/>
      <c r="AD327" s="1842" t="n"/>
      <c r="AE327" s="1842" t="n"/>
      <c r="AF327" s="1842" t="n"/>
    </row>
    <row r="328" ht="13.5" customHeight="1" s="1883">
      <c r="A328" s="1842" t="n"/>
      <c r="B328" s="1842" t="n"/>
      <c r="C328" s="1842" t="n"/>
      <c r="D328" s="1842" t="n"/>
      <c r="E328" s="1842" t="n"/>
      <c r="F328" s="1842" t="n"/>
      <c r="G328" s="1842" t="n"/>
      <c r="H328" s="1842" t="n"/>
      <c r="I328" s="1842" t="n"/>
      <c r="J328" s="1842" t="n"/>
      <c r="K328" s="1842" t="n"/>
      <c r="L328" s="1842" t="n"/>
      <c r="M328" s="1842" t="n"/>
      <c r="N328" s="1842" t="n"/>
      <c r="O328" s="1842" t="n"/>
      <c r="P328" s="1842" t="n"/>
      <c r="Q328" s="1842" t="n"/>
      <c r="R328" s="1842" t="n"/>
      <c r="S328" s="1842" t="n"/>
      <c r="T328" s="1842" t="n"/>
      <c r="U328" s="1842" t="n"/>
      <c r="V328" s="1842" t="n"/>
      <c r="W328" s="1842" t="n"/>
      <c r="X328" s="1842" t="n"/>
      <c r="Y328" s="1842" t="n"/>
      <c r="Z328" s="1842" t="n"/>
      <c r="AA328" s="1842" t="n"/>
      <c r="AB328" s="1842" t="n"/>
      <c r="AC328" s="1842" t="n"/>
      <c r="AD328" s="1842" t="n"/>
      <c r="AE328" s="1842" t="n"/>
      <c r="AF328" s="1842" t="n"/>
    </row>
    <row r="329" ht="13.5" customHeight="1" s="1883">
      <c r="A329" s="1842" t="n"/>
      <c r="B329" s="1842" t="n"/>
      <c r="C329" s="1842" t="n"/>
      <c r="D329" s="1842" t="n"/>
      <c r="E329" s="1842" t="n"/>
      <c r="F329" s="1842" t="n"/>
      <c r="G329" s="1842" t="n"/>
      <c r="H329" s="1842" t="n"/>
      <c r="I329" s="1842" t="n"/>
      <c r="J329" s="1842" t="n"/>
      <c r="K329" s="1842" t="n"/>
      <c r="L329" s="1842" t="n"/>
      <c r="M329" s="1842" t="n"/>
      <c r="N329" s="1842" t="n"/>
      <c r="O329" s="1842" t="n"/>
      <c r="P329" s="1842" t="n"/>
      <c r="Q329" s="1842" t="n"/>
      <c r="R329" s="1842" t="n"/>
      <c r="S329" s="1842" t="n"/>
      <c r="T329" s="1842" t="n"/>
      <c r="U329" s="1842" t="n"/>
      <c r="V329" s="1842" t="n"/>
      <c r="W329" s="1842" t="n"/>
      <c r="X329" s="1842" t="n"/>
      <c r="Y329" s="1842" t="n"/>
      <c r="Z329" s="1842" t="n"/>
      <c r="AA329" s="1842" t="n"/>
      <c r="AB329" s="1842" t="n"/>
      <c r="AC329" s="1842" t="n"/>
      <c r="AD329" s="1842" t="n"/>
      <c r="AE329" s="1842" t="n"/>
      <c r="AF329" s="1842" t="n"/>
    </row>
    <row r="330" ht="13.5" customHeight="1" s="1883">
      <c r="A330" s="1842" t="n"/>
      <c r="B330" s="1842" t="n"/>
      <c r="C330" s="1842" t="n"/>
      <c r="D330" s="1842" t="n"/>
      <c r="E330" s="1842" t="n"/>
      <c r="F330" s="1842" t="n"/>
      <c r="G330" s="1842" t="n"/>
      <c r="H330" s="1842" t="n"/>
      <c r="I330" s="1842" t="n"/>
      <c r="J330" s="1842" t="n"/>
      <c r="K330" s="1842" t="n"/>
      <c r="L330" s="1842" t="n"/>
      <c r="M330" s="1842" t="n"/>
      <c r="N330" s="1842" t="n"/>
      <c r="O330" s="1842" t="n"/>
      <c r="P330" s="1842" t="n"/>
      <c r="Q330" s="1842" t="n"/>
      <c r="R330" s="1842" t="n"/>
      <c r="S330" s="1842" t="n"/>
      <c r="T330" s="1842" t="n"/>
      <c r="U330" s="1842" t="n"/>
      <c r="V330" s="1842" t="n"/>
      <c r="W330" s="1842" t="n"/>
      <c r="X330" s="1842" t="n"/>
      <c r="Y330" s="1842" t="n"/>
      <c r="Z330" s="1842" t="n"/>
      <c r="AA330" s="1842" t="n"/>
      <c r="AB330" s="1842" t="n"/>
      <c r="AC330" s="1842" t="n"/>
      <c r="AD330" s="1842" t="n"/>
      <c r="AE330" s="1842" t="n"/>
      <c r="AF330" s="1842" t="n"/>
    </row>
    <row r="331" ht="13.5" customHeight="1" s="1883">
      <c r="A331" s="1842" t="n"/>
      <c r="B331" s="1842" t="n"/>
      <c r="C331" s="1842" t="n"/>
      <c r="D331" s="1842" t="n"/>
      <c r="E331" s="1842" t="n"/>
      <c r="F331" s="1842" t="n"/>
      <c r="G331" s="1842" t="n"/>
      <c r="H331" s="1842" t="n"/>
      <c r="I331" s="1842" t="n"/>
      <c r="J331" s="1842" t="n"/>
      <c r="K331" s="1842" t="n"/>
      <c r="L331" s="1842" t="n"/>
      <c r="M331" s="1842" t="n"/>
      <c r="N331" s="1842" t="n"/>
      <c r="O331" s="1842" t="n"/>
      <c r="P331" s="1842" t="n"/>
      <c r="Q331" s="1842" t="n"/>
      <c r="R331" s="1842" t="n"/>
      <c r="S331" s="1842" t="n"/>
      <c r="T331" s="1842" t="n"/>
      <c r="U331" s="1842" t="n"/>
      <c r="V331" s="1842" t="n"/>
      <c r="W331" s="1842" t="n"/>
      <c r="X331" s="1842" t="n"/>
      <c r="Y331" s="1842" t="n"/>
      <c r="Z331" s="1842" t="n"/>
      <c r="AA331" s="1842" t="n"/>
      <c r="AB331" s="1842" t="n"/>
      <c r="AC331" s="1842" t="n"/>
      <c r="AD331" s="1842" t="n"/>
      <c r="AE331" s="1842" t="n"/>
      <c r="AF331" s="1842" t="n"/>
    </row>
    <row r="332" ht="13.5" customHeight="1" s="1883">
      <c r="A332" s="1842" t="n"/>
      <c r="B332" s="1842" t="n"/>
      <c r="C332" s="1842" t="n"/>
      <c r="D332" s="1842" t="n"/>
      <c r="E332" s="1842" t="n"/>
      <c r="F332" s="1842" t="n"/>
      <c r="G332" s="1842" t="n"/>
      <c r="H332" s="1842" t="n"/>
      <c r="I332" s="1842" t="n"/>
      <c r="J332" s="1842" t="n"/>
      <c r="K332" s="1842" t="n"/>
      <c r="L332" s="1842" t="n"/>
      <c r="M332" s="1842" t="n"/>
      <c r="N332" s="1842" t="n"/>
      <c r="O332" s="1842" t="n"/>
      <c r="P332" s="1842" t="n"/>
      <c r="Q332" s="1842" t="n"/>
      <c r="R332" s="1842" t="n"/>
      <c r="S332" s="1842" t="n"/>
      <c r="T332" s="1842" t="n"/>
      <c r="U332" s="1842" t="n"/>
      <c r="V332" s="1842" t="n"/>
      <c r="W332" s="1842" t="n"/>
      <c r="X332" s="1842" t="n"/>
      <c r="Y332" s="1842" t="n"/>
      <c r="Z332" s="1842" t="n"/>
      <c r="AA332" s="1842" t="n"/>
      <c r="AB332" s="1842" t="n"/>
      <c r="AC332" s="1842" t="n"/>
      <c r="AD332" s="1842" t="n"/>
      <c r="AE332" s="1842" t="n"/>
      <c r="AF332" s="1842" t="n"/>
    </row>
    <row r="333" ht="13.5" customHeight="1" s="1883">
      <c r="A333" s="1842" t="n"/>
      <c r="B333" s="1842" t="n"/>
      <c r="C333" s="1842" t="n"/>
      <c r="D333" s="1842" t="n"/>
      <c r="E333" s="1842" t="n"/>
      <c r="F333" s="1842" t="n"/>
      <c r="G333" s="1842" t="n"/>
      <c r="H333" s="1842" t="n"/>
      <c r="I333" s="1842" t="n"/>
      <c r="J333" s="1842" t="n"/>
      <c r="K333" s="1842" t="n"/>
      <c r="L333" s="1842" t="n"/>
      <c r="M333" s="1842" t="n"/>
      <c r="N333" s="1842" t="n"/>
      <c r="O333" s="1842" t="n"/>
      <c r="P333" s="1842" t="n"/>
      <c r="Q333" s="1842" t="n"/>
      <c r="R333" s="1842" t="n"/>
      <c r="S333" s="1842" t="n"/>
      <c r="T333" s="1842" t="n"/>
      <c r="U333" s="1842" t="n"/>
      <c r="V333" s="1842" t="n"/>
      <c r="W333" s="1842" t="n"/>
      <c r="X333" s="1842" t="n"/>
      <c r="Y333" s="1842" t="n"/>
      <c r="Z333" s="1842" t="n"/>
      <c r="AA333" s="1842" t="n"/>
      <c r="AB333" s="1842" t="n"/>
      <c r="AC333" s="1842" t="n"/>
      <c r="AD333" s="1842" t="n"/>
      <c r="AE333" s="1842" t="n"/>
      <c r="AF333" s="1842" t="n"/>
    </row>
    <row r="334" ht="13.5" customHeight="1" s="1883">
      <c r="A334" s="1842" t="n"/>
      <c r="B334" s="1842" t="n"/>
      <c r="C334" s="1842" t="n"/>
      <c r="D334" s="1842" t="n"/>
      <c r="E334" s="1842" t="n"/>
      <c r="F334" s="1842" t="n"/>
      <c r="G334" s="1842" t="n"/>
      <c r="H334" s="1842" t="n"/>
      <c r="I334" s="1842" t="n"/>
      <c r="J334" s="1842" t="n"/>
      <c r="K334" s="1842" t="n"/>
      <c r="L334" s="1842" t="n"/>
      <c r="M334" s="1842" t="n"/>
      <c r="N334" s="1842" t="n"/>
      <c r="O334" s="1842" t="n"/>
      <c r="P334" s="1842" t="n"/>
      <c r="Q334" s="1842" t="n"/>
      <c r="R334" s="1842" t="n"/>
      <c r="S334" s="1842" t="n"/>
      <c r="T334" s="1842" t="n"/>
      <c r="U334" s="1842" t="n"/>
      <c r="V334" s="1842" t="n"/>
      <c r="W334" s="1842" t="n"/>
      <c r="X334" s="1842" t="n"/>
      <c r="Y334" s="1842" t="n"/>
      <c r="Z334" s="1842" t="n"/>
      <c r="AA334" s="1842" t="n"/>
      <c r="AB334" s="1842" t="n"/>
      <c r="AC334" s="1842" t="n"/>
      <c r="AD334" s="1842" t="n"/>
      <c r="AE334" s="1842" t="n"/>
      <c r="AF334" s="1842" t="n"/>
    </row>
    <row r="335" ht="13.5" customHeight="1" s="1883">
      <c r="A335" s="1842" t="n"/>
      <c r="B335" s="1842" t="n"/>
      <c r="C335" s="1842" t="n"/>
      <c r="D335" s="1842" t="n"/>
      <c r="E335" s="1842" t="n"/>
      <c r="F335" s="1842" t="n"/>
      <c r="G335" s="1842" t="n"/>
      <c r="H335" s="1842" t="n"/>
      <c r="I335" s="1842" t="n"/>
      <c r="J335" s="1842" t="n"/>
      <c r="K335" s="1842" t="n"/>
      <c r="L335" s="1842" t="n"/>
      <c r="M335" s="1842" t="n"/>
      <c r="N335" s="1842" t="n"/>
      <c r="O335" s="1842" t="n"/>
      <c r="P335" s="1842" t="n"/>
      <c r="Q335" s="1842" t="n"/>
      <c r="R335" s="1842" t="n"/>
      <c r="S335" s="1842" t="n"/>
      <c r="T335" s="1842" t="n"/>
      <c r="U335" s="1842" t="n"/>
      <c r="V335" s="1842" t="n"/>
      <c r="W335" s="1842" t="n"/>
      <c r="X335" s="1842" t="n"/>
      <c r="Y335" s="1842" t="n"/>
      <c r="Z335" s="1842" t="n"/>
      <c r="AA335" s="1842" t="n"/>
      <c r="AB335" s="1842" t="n"/>
      <c r="AC335" s="1842" t="n"/>
      <c r="AD335" s="1842" t="n"/>
      <c r="AE335" s="1842" t="n"/>
      <c r="AF335" s="1842" t="n"/>
    </row>
    <row r="336" ht="13.5" customHeight="1" s="1883">
      <c r="A336" s="1842" t="n"/>
      <c r="B336" s="1842" t="n"/>
      <c r="C336" s="1842" t="n"/>
      <c r="D336" s="1842" t="n"/>
      <c r="E336" s="1842" t="n"/>
      <c r="F336" s="1842" t="n"/>
      <c r="G336" s="1842" t="n"/>
      <c r="H336" s="1842" t="n"/>
      <c r="I336" s="1842" t="n"/>
      <c r="J336" s="1842" t="n"/>
      <c r="K336" s="1842" t="n"/>
      <c r="L336" s="1842" t="n"/>
      <c r="M336" s="1842" t="n"/>
      <c r="N336" s="1842" t="n"/>
      <c r="O336" s="1842" t="n"/>
      <c r="P336" s="1842" t="n"/>
      <c r="Q336" s="1842" t="n"/>
      <c r="R336" s="1842" t="n"/>
      <c r="S336" s="1842" t="n"/>
      <c r="T336" s="1842" t="n"/>
      <c r="U336" s="1842" t="n"/>
      <c r="V336" s="1842" t="n"/>
      <c r="W336" s="1842" t="n"/>
      <c r="X336" s="1842" t="n"/>
      <c r="Y336" s="1842" t="n"/>
      <c r="Z336" s="1842" t="n"/>
      <c r="AA336" s="1842" t="n"/>
      <c r="AB336" s="1842" t="n"/>
      <c r="AC336" s="1842" t="n"/>
      <c r="AD336" s="1842" t="n"/>
      <c r="AE336" s="1842" t="n"/>
      <c r="AF336" s="1842" t="n"/>
    </row>
    <row r="337" ht="13.5" customHeight="1" s="1883">
      <c r="A337" s="1842" t="n"/>
      <c r="B337" s="1842" t="n"/>
      <c r="C337" s="1842" t="n"/>
      <c r="D337" s="1842" t="n"/>
      <c r="E337" s="1842" t="n"/>
      <c r="F337" s="1842" t="n"/>
      <c r="G337" s="1842" t="n"/>
      <c r="H337" s="1842" t="n"/>
      <c r="I337" s="1842" t="n"/>
      <c r="J337" s="1842" t="n"/>
      <c r="K337" s="1842" t="n"/>
      <c r="L337" s="1842" t="n"/>
      <c r="M337" s="1842" t="n"/>
      <c r="N337" s="1842" t="n"/>
      <c r="O337" s="1842" t="n"/>
      <c r="P337" s="1842" t="n"/>
      <c r="Q337" s="1842" t="n"/>
      <c r="R337" s="1842" t="n"/>
      <c r="S337" s="1842" t="n"/>
      <c r="T337" s="1842" t="n"/>
      <c r="U337" s="1842" t="n"/>
      <c r="V337" s="1842" t="n"/>
      <c r="W337" s="1842" t="n"/>
      <c r="X337" s="1842" t="n"/>
      <c r="Y337" s="1842" t="n"/>
      <c r="Z337" s="1842" t="n"/>
      <c r="AA337" s="1842" t="n"/>
      <c r="AB337" s="1842" t="n"/>
      <c r="AC337" s="1842" t="n"/>
      <c r="AD337" s="1842" t="n"/>
      <c r="AE337" s="1842" t="n"/>
      <c r="AF337" s="1842" t="n"/>
    </row>
    <row r="338" ht="13.5" customHeight="1" s="1883">
      <c r="A338" s="1842" t="n"/>
      <c r="B338" s="1842" t="n"/>
      <c r="C338" s="1842" t="n"/>
      <c r="D338" s="1842" t="n"/>
      <c r="E338" s="1842" t="n"/>
      <c r="F338" s="1842" t="n"/>
      <c r="G338" s="1842" t="n"/>
      <c r="H338" s="1842" t="n"/>
      <c r="I338" s="1842" t="n"/>
      <c r="J338" s="1842" t="n"/>
      <c r="K338" s="1842" t="n"/>
      <c r="L338" s="1842" t="n"/>
      <c r="M338" s="1842" t="n"/>
      <c r="N338" s="1842" t="n"/>
      <c r="O338" s="1842" t="n"/>
      <c r="P338" s="1842" t="n"/>
      <c r="Q338" s="1842" t="n"/>
      <c r="R338" s="1842" t="n"/>
      <c r="S338" s="1842" t="n"/>
      <c r="T338" s="1842" t="n"/>
      <c r="U338" s="1842" t="n"/>
      <c r="V338" s="1842" t="n"/>
      <c r="W338" s="1842" t="n"/>
      <c r="X338" s="1842" t="n"/>
      <c r="Y338" s="1842" t="n"/>
      <c r="Z338" s="1842" t="n"/>
      <c r="AA338" s="1842" t="n"/>
      <c r="AB338" s="1842" t="n"/>
      <c r="AC338" s="1842" t="n"/>
      <c r="AD338" s="1842" t="n"/>
      <c r="AE338" s="1842" t="n"/>
      <c r="AF338" s="1842" t="n"/>
    </row>
    <row r="339" ht="13.5" customHeight="1" s="1883">
      <c r="A339" s="1842" t="n"/>
      <c r="B339" s="1842" t="n"/>
      <c r="C339" s="1842" t="n"/>
      <c r="D339" s="1842" t="n"/>
      <c r="E339" s="1842" t="n"/>
      <c r="F339" s="1842" t="n"/>
      <c r="G339" s="1842" t="n"/>
      <c r="H339" s="1842" t="n"/>
      <c r="I339" s="1842" t="n"/>
      <c r="J339" s="1842" t="n"/>
      <c r="K339" s="1842" t="n"/>
      <c r="L339" s="1842" t="n"/>
      <c r="M339" s="1842" t="n"/>
      <c r="N339" s="1842" t="n"/>
      <c r="O339" s="1842" t="n"/>
      <c r="P339" s="1842" t="n"/>
      <c r="Q339" s="1842" t="n"/>
      <c r="R339" s="1842" t="n"/>
      <c r="S339" s="1842" t="n"/>
      <c r="T339" s="1842" t="n"/>
      <c r="U339" s="1842" t="n"/>
      <c r="V339" s="1842" t="n"/>
      <c r="W339" s="1842" t="n"/>
      <c r="X339" s="1842" t="n"/>
      <c r="Y339" s="1842" t="n"/>
      <c r="Z339" s="1842" t="n"/>
      <c r="AA339" s="1842" t="n"/>
      <c r="AB339" s="1842" t="n"/>
      <c r="AC339" s="1842" t="n"/>
      <c r="AD339" s="1842" t="n"/>
      <c r="AE339" s="1842" t="n"/>
      <c r="AF339" s="1842" t="n"/>
    </row>
    <row r="340" ht="13.5" customHeight="1" s="1883">
      <c r="A340" s="1842" t="n"/>
      <c r="B340" s="1842" t="n"/>
      <c r="C340" s="1842" t="n"/>
      <c r="D340" s="1842" t="n"/>
      <c r="E340" s="1842" t="n"/>
      <c r="F340" s="1842" t="n"/>
      <c r="G340" s="1842" t="n"/>
      <c r="H340" s="1842" t="n"/>
      <c r="I340" s="1842" t="n"/>
      <c r="J340" s="1842" t="n"/>
      <c r="K340" s="1842" t="n"/>
      <c r="L340" s="1842" t="n"/>
      <c r="M340" s="1842" t="n"/>
      <c r="N340" s="1842" t="n"/>
      <c r="O340" s="1842" t="n"/>
      <c r="P340" s="1842" t="n"/>
      <c r="Q340" s="1842" t="n"/>
      <c r="R340" s="1842" t="n"/>
      <c r="S340" s="1842" t="n"/>
      <c r="T340" s="1842" t="n"/>
      <c r="U340" s="1842" t="n"/>
      <c r="V340" s="1842" t="n"/>
      <c r="W340" s="1842" t="n"/>
      <c r="X340" s="1842" t="n"/>
      <c r="Y340" s="1842" t="n"/>
      <c r="Z340" s="1842" t="n"/>
      <c r="AA340" s="1842" t="n"/>
      <c r="AB340" s="1842" t="n"/>
      <c r="AC340" s="1842" t="n"/>
      <c r="AD340" s="1842" t="n"/>
      <c r="AE340" s="1842" t="n"/>
      <c r="AF340" s="1842" t="n"/>
    </row>
    <row r="341" ht="13.5" customHeight="1" s="1883">
      <c r="A341" s="1842" t="n"/>
      <c r="B341" s="1842" t="n"/>
      <c r="C341" s="1842" t="n"/>
      <c r="D341" s="1842" t="n"/>
      <c r="E341" s="1842" t="n"/>
      <c r="F341" s="1842" t="n"/>
      <c r="G341" s="1842" t="n"/>
      <c r="H341" s="1842" t="n"/>
      <c r="I341" s="1842" t="n"/>
      <c r="J341" s="1842" t="n"/>
      <c r="K341" s="1842" t="n"/>
      <c r="L341" s="1842" t="n"/>
      <c r="M341" s="1842" t="n"/>
      <c r="N341" s="1842" t="n"/>
      <c r="O341" s="1842" t="n"/>
      <c r="P341" s="1842" t="n"/>
      <c r="Q341" s="1842" t="n"/>
      <c r="R341" s="1842" t="n"/>
      <c r="S341" s="1842" t="n"/>
      <c r="T341" s="1842" t="n"/>
      <c r="U341" s="1842" t="n"/>
      <c r="V341" s="1842" t="n"/>
      <c r="W341" s="1842" t="n"/>
      <c r="X341" s="1842" t="n"/>
      <c r="Y341" s="1842" t="n"/>
      <c r="Z341" s="1842" t="n"/>
      <c r="AA341" s="1842" t="n"/>
      <c r="AB341" s="1842" t="n"/>
      <c r="AC341" s="1842" t="n"/>
      <c r="AD341" s="1842" t="n"/>
      <c r="AE341" s="1842" t="n"/>
      <c r="AF341" s="1842" t="n"/>
    </row>
    <row r="342" ht="13.5" customHeight="1" s="1883">
      <c r="A342" s="1842" t="n"/>
      <c r="B342" s="1842" t="n"/>
      <c r="C342" s="1842" t="n"/>
      <c r="D342" s="1842" t="n"/>
      <c r="E342" s="1842" t="n"/>
      <c r="F342" s="1842" t="n"/>
      <c r="G342" s="1842" t="n"/>
      <c r="H342" s="1842" t="n"/>
      <c r="I342" s="1842" t="n"/>
      <c r="J342" s="1842" t="n"/>
      <c r="K342" s="1842" t="n"/>
      <c r="L342" s="1842" t="n"/>
      <c r="M342" s="1842" t="n"/>
      <c r="N342" s="1842" t="n"/>
      <c r="O342" s="1842" t="n"/>
      <c r="P342" s="1842" t="n"/>
      <c r="Q342" s="1842" t="n"/>
      <c r="R342" s="1842" t="n"/>
      <c r="S342" s="1842" t="n"/>
      <c r="T342" s="1842" t="n"/>
      <c r="U342" s="1842" t="n"/>
      <c r="V342" s="1842" t="n"/>
      <c r="W342" s="1842" t="n"/>
      <c r="X342" s="1842" t="n"/>
      <c r="Y342" s="1842" t="n"/>
      <c r="Z342" s="1842" t="n"/>
      <c r="AA342" s="1842" t="n"/>
      <c r="AB342" s="1842" t="n"/>
      <c r="AC342" s="1842" t="n"/>
      <c r="AD342" s="1842" t="n"/>
      <c r="AE342" s="1842" t="n"/>
      <c r="AF342" s="1842" t="n"/>
    </row>
    <row r="343" ht="13.5" customHeight="1" s="1883">
      <c r="A343" s="1842" t="n"/>
      <c r="B343" s="1842" t="n"/>
      <c r="C343" s="1842" t="n"/>
      <c r="D343" s="1842" t="n"/>
      <c r="E343" s="1842" t="n"/>
      <c r="F343" s="1842" t="n"/>
      <c r="G343" s="1842" t="n"/>
      <c r="H343" s="1842" t="n"/>
      <c r="I343" s="1842" t="n"/>
      <c r="J343" s="1842" t="n"/>
      <c r="K343" s="1842" t="n"/>
      <c r="L343" s="1842" t="n"/>
      <c r="M343" s="1842" t="n"/>
      <c r="N343" s="1842" t="n"/>
      <c r="O343" s="1842" t="n"/>
      <c r="P343" s="1842" t="n"/>
      <c r="Q343" s="1842" t="n"/>
      <c r="R343" s="1842" t="n"/>
      <c r="S343" s="1842" t="n"/>
      <c r="T343" s="1842" t="n"/>
      <c r="U343" s="1842" t="n"/>
      <c r="V343" s="1842" t="n"/>
      <c r="W343" s="1842" t="n"/>
      <c r="X343" s="1842" t="n"/>
      <c r="Y343" s="1842" t="n"/>
      <c r="Z343" s="1842" t="n"/>
      <c r="AA343" s="1842" t="n"/>
      <c r="AB343" s="1842" t="n"/>
      <c r="AC343" s="1842" t="n"/>
      <c r="AD343" s="1842" t="n"/>
      <c r="AE343" s="1842" t="n"/>
      <c r="AF343" s="1842" t="n"/>
    </row>
    <row r="344" ht="13.5" customHeight="1" s="1883">
      <c r="A344" s="1842" t="n"/>
      <c r="B344" s="1842" t="n"/>
      <c r="C344" s="1842" t="n"/>
      <c r="D344" s="1842" t="n"/>
      <c r="E344" s="1842" t="n"/>
      <c r="F344" s="1842" t="n"/>
      <c r="G344" s="1842" t="n"/>
      <c r="H344" s="1842" t="n"/>
      <c r="I344" s="1842" t="n"/>
      <c r="J344" s="1842" t="n"/>
      <c r="K344" s="1842" t="n"/>
      <c r="L344" s="1842" t="n"/>
      <c r="M344" s="1842" t="n"/>
      <c r="N344" s="1842" t="n"/>
      <c r="O344" s="1842" t="n"/>
      <c r="P344" s="1842" t="n"/>
      <c r="Q344" s="1842" t="n"/>
      <c r="R344" s="1842" t="n"/>
      <c r="S344" s="1842" t="n"/>
      <c r="T344" s="1842" t="n"/>
      <c r="U344" s="1842" t="n"/>
      <c r="V344" s="1842" t="n"/>
      <c r="W344" s="1842" t="n"/>
      <c r="X344" s="1842" t="n"/>
      <c r="Y344" s="1842" t="n"/>
      <c r="Z344" s="1842" t="n"/>
      <c r="AA344" s="1842" t="n"/>
      <c r="AB344" s="1842" t="n"/>
      <c r="AC344" s="1842" t="n"/>
      <c r="AD344" s="1842" t="n"/>
      <c r="AE344" s="1842" t="n"/>
      <c r="AF344" s="1842" t="n"/>
    </row>
    <row r="345" ht="13.5" customHeight="1" s="1883">
      <c r="A345" s="1842" t="n"/>
      <c r="B345" s="1842" t="n"/>
      <c r="C345" s="1842" t="n"/>
      <c r="D345" s="1842" t="n"/>
      <c r="E345" s="1842" t="n"/>
      <c r="F345" s="1842" t="n"/>
      <c r="G345" s="1842" t="n"/>
      <c r="H345" s="1842" t="n"/>
      <c r="I345" s="1842" t="n"/>
      <c r="J345" s="1842" t="n"/>
      <c r="K345" s="1842" t="n"/>
      <c r="L345" s="1842" t="n"/>
      <c r="M345" s="1842" t="n"/>
      <c r="N345" s="1842" t="n"/>
      <c r="O345" s="1842" t="n"/>
      <c r="P345" s="1842" t="n"/>
      <c r="Q345" s="1842" t="n"/>
      <c r="R345" s="1842" t="n"/>
      <c r="S345" s="1842" t="n"/>
      <c r="T345" s="1842" t="n"/>
      <c r="U345" s="1842" t="n"/>
      <c r="V345" s="1842" t="n"/>
      <c r="W345" s="1842" t="n"/>
      <c r="X345" s="1842" t="n"/>
      <c r="Y345" s="1842" t="n"/>
      <c r="Z345" s="1842" t="n"/>
      <c r="AA345" s="1842" t="n"/>
      <c r="AB345" s="1842" t="n"/>
      <c r="AC345" s="1842" t="n"/>
      <c r="AD345" s="1842" t="n"/>
      <c r="AE345" s="1842" t="n"/>
      <c r="AF345" s="1842" t="n"/>
    </row>
    <row r="346" ht="13.5" customHeight="1" s="1883">
      <c r="A346" s="1842" t="n"/>
      <c r="B346" s="1842" t="n"/>
      <c r="C346" s="1842" t="n"/>
      <c r="D346" s="1842" t="n"/>
      <c r="E346" s="1842" t="n"/>
      <c r="F346" s="1842" t="n"/>
      <c r="G346" s="1842" t="n"/>
      <c r="H346" s="1842" t="n"/>
      <c r="I346" s="1842" t="n"/>
      <c r="J346" s="1842" t="n"/>
      <c r="K346" s="1842" t="n"/>
      <c r="L346" s="1842" t="n"/>
      <c r="M346" s="1842" t="n"/>
      <c r="N346" s="1842" t="n"/>
      <c r="O346" s="1842" t="n"/>
      <c r="P346" s="1842" t="n"/>
      <c r="Q346" s="1842" t="n"/>
      <c r="R346" s="1842" t="n"/>
      <c r="S346" s="1842" t="n"/>
      <c r="T346" s="1842" t="n"/>
      <c r="U346" s="1842" t="n"/>
      <c r="V346" s="1842" t="n"/>
      <c r="W346" s="1842" t="n"/>
      <c r="X346" s="1842" t="n"/>
      <c r="Y346" s="1842" t="n"/>
      <c r="Z346" s="1842" t="n"/>
      <c r="AA346" s="1842" t="n"/>
      <c r="AB346" s="1842" t="n"/>
      <c r="AC346" s="1842" t="n"/>
      <c r="AD346" s="1842" t="n"/>
      <c r="AE346" s="1842" t="n"/>
      <c r="AF346" s="1842" t="n"/>
    </row>
    <row r="347" ht="13.5" customHeight="1" s="1883">
      <c r="A347" s="1842" t="n"/>
      <c r="B347" s="1842" t="n"/>
      <c r="C347" s="1842" t="n"/>
      <c r="D347" s="1842" t="n"/>
      <c r="E347" s="1842" t="n"/>
      <c r="F347" s="1842" t="n"/>
      <c r="G347" s="1842" t="n"/>
      <c r="H347" s="1842" t="n"/>
      <c r="I347" s="1842" t="n"/>
      <c r="J347" s="1842" t="n"/>
      <c r="K347" s="1842" t="n"/>
      <c r="L347" s="1842" t="n"/>
      <c r="M347" s="1842" t="n"/>
      <c r="N347" s="1842" t="n"/>
      <c r="O347" s="1842" t="n"/>
      <c r="P347" s="1842" t="n"/>
      <c r="Q347" s="1842" t="n"/>
      <c r="R347" s="1842" t="n"/>
      <c r="S347" s="1842" t="n"/>
      <c r="T347" s="1842" t="n"/>
      <c r="U347" s="1842" t="n"/>
      <c r="V347" s="1842" t="n"/>
      <c r="W347" s="1842" t="n"/>
      <c r="X347" s="1842" t="n"/>
      <c r="Y347" s="1842" t="n"/>
      <c r="Z347" s="1842" t="n"/>
      <c r="AA347" s="1842" t="n"/>
      <c r="AB347" s="1842" t="n"/>
      <c r="AC347" s="1842" t="n"/>
      <c r="AD347" s="1842" t="n"/>
      <c r="AE347" s="1842" t="n"/>
      <c r="AF347" s="1842" t="n"/>
    </row>
    <row r="348" ht="13.5" customHeight="1" s="1883">
      <c r="A348" s="1842" t="n"/>
      <c r="B348" s="1842" t="n"/>
      <c r="C348" s="1842" t="n"/>
      <c r="D348" s="1842" t="n"/>
      <c r="E348" s="1842" t="n"/>
      <c r="F348" s="1842" t="n"/>
      <c r="G348" s="1842" t="n"/>
      <c r="H348" s="1842" t="n"/>
      <c r="I348" s="1842" t="n"/>
      <c r="J348" s="1842" t="n"/>
      <c r="K348" s="1842" t="n"/>
      <c r="L348" s="1842" t="n"/>
      <c r="M348" s="1842" t="n"/>
      <c r="N348" s="1842" t="n"/>
      <c r="O348" s="1842" t="n"/>
      <c r="P348" s="1842" t="n"/>
      <c r="Q348" s="1842" t="n"/>
      <c r="R348" s="1842" t="n"/>
      <c r="S348" s="1842" t="n"/>
      <c r="T348" s="1842" t="n"/>
      <c r="U348" s="1842" t="n"/>
      <c r="V348" s="1842" t="n"/>
      <c r="W348" s="1842" t="n"/>
      <c r="X348" s="1842" t="n"/>
      <c r="Y348" s="1842" t="n"/>
      <c r="Z348" s="1842" t="n"/>
      <c r="AA348" s="1842" t="n"/>
      <c r="AB348" s="1842" t="n"/>
      <c r="AC348" s="1842" t="n"/>
      <c r="AD348" s="1842" t="n"/>
      <c r="AE348" s="1842" t="n"/>
      <c r="AF348" s="1842" t="n"/>
    </row>
    <row r="349" ht="13.5" customHeight="1" s="1883">
      <c r="A349" s="1842" t="n"/>
      <c r="B349" s="1842" t="n"/>
      <c r="C349" s="1842" t="n"/>
      <c r="D349" s="1842" t="n"/>
      <c r="E349" s="1842" t="n"/>
      <c r="F349" s="1842" t="n"/>
      <c r="G349" s="1842" t="n"/>
      <c r="H349" s="1842" t="n"/>
      <c r="I349" s="1842" t="n"/>
      <c r="J349" s="1842" t="n"/>
      <c r="K349" s="1842" t="n"/>
      <c r="L349" s="1842" t="n"/>
      <c r="M349" s="1842" t="n"/>
      <c r="N349" s="1842" t="n"/>
      <c r="O349" s="1842" t="n"/>
      <c r="P349" s="1842" t="n"/>
      <c r="Q349" s="1842" t="n"/>
      <c r="R349" s="1842" t="n"/>
      <c r="S349" s="1842" t="n"/>
      <c r="T349" s="1842" t="n"/>
      <c r="U349" s="1842" t="n"/>
      <c r="V349" s="1842" t="n"/>
      <c r="W349" s="1842" t="n"/>
      <c r="X349" s="1842" t="n"/>
      <c r="Y349" s="1842" t="n"/>
      <c r="Z349" s="1842" t="n"/>
      <c r="AA349" s="1842" t="n"/>
      <c r="AB349" s="1842" t="n"/>
      <c r="AC349" s="1842" t="n"/>
      <c r="AD349" s="1842" t="n"/>
      <c r="AE349" s="1842" t="n"/>
      <c r="AF349" s="1842" t="n"/>
    </row>
    <row r="350" ht="13.5" customHeight="1" s="1883">
      <c r="A350" s="1842" t="n"/>
      <c r="B350" s="1842" t="n"/>
      <c r="C350" s="1842" t="n"/>
      <c r="D350" s="1842" t="n"/>
      <c r="E350" s="1842" t="n"/>
      <c r="F350" s="1842" t="n"/>
      <c r="G350" s="1842" t="n"/>
      <c r="H350" s="1842" t="n"/>
      <c r="I350" s="1842" t="n"/>
      <c r="J350" s="1842" t="n"/>
      <c r="K350" s="1842" t="n"/>
      <c r="L350" s="1842" t="n"/>
      <c r="M350" s="1842" t="n"/>
      <c r="N350" s="1842" t="n"/>
      <c r="O350" s="1842" t="n"/>
      <c r="P350" s="1842" t="n"/>
      <c r="Q350" s="1842" t="n"/>
      <c r="R350" s="1842" t="n"/>
      <c r="S350" s="1842" t="n"/>
      <c r="T350" s="1842" t="n"/>
      <c r="U350" s="1842" t="n"/>
      <c r="V350" s="1842" t="n"/>
      <c r="W350" s="1842" t="n"/>
      <c r="X350" s="1842" t="n"/>
      <c r="Y350" s="1842" t="n"/>
      <c r="Z350" s="1842" t="n"/>
      <c r="AA350" s="1842" t="n"/>
      <c r="AB350" s="1842" t="n"/>
      <c r="AC350" s="1842" t="n"/>
      <c r="AD350" s="1842" t="n"/>
      <c r="AE350" s="1842" t="n"/>
      <c r="AF350" s="1842" t="n"/>
    </row>
    <row r="351" ht="13.5" customHeight="1" s="1883">
      <c r="A351" s="1842" t="n"/>
      <c r="B351" s="1842" t="n"/>
      <c r="C351" s="1842" t="n"/>
      <c r="D351" s="1842" t="n"/>
      <c r="E351" s="1842" t="n"/>
      <c r="F351" s="1842" t="n"/>
      <c r="G351" s="1842" t="n"/>
      <c r="H351" s="1842" t="n"/>
      <c r="I351" s="1842" t="n"/>
      <c r="J351" s="1842" t="n"/>
      <c r="K351" s="1842" t="n"/>
      <c r="L351" s="1842" t="n"/>
      <c r="M351" s="1842" t="n"/>
      <c r="N351" s="1842" t="n"/>
      <c r="O351" s="1842" t="n"/>
      <c r="P351" s="1842" t="n"/>
      <c r="Q351" s="1842" t="n"/>
      <c r="R351" s="1842" t="n"/>
      <c r="S351" s="1842" t="n"/>
      <c r="T351" s="1842" t="n"/>
      <c r="U351" s="1842" t="n"/>
      <c r="V351" s="1842" t="n"/>
      <c r="W351" s="1842" t="n"/>
      <c r="X351" s="1842" t="n"/>
      <c r="Y351" s="1842" t="n"/>
      <c r="Z351" s="1842" t="n"/>
      <c r="AA351" s="1842" t="n"/>
      <c r="AB351" s="1842" t="n"/>
      <c r="AC351" s="1842" t="n"/>
      <c r="AD351" s="1842" t="n"/>
      <c r="AE351" s="1842" t="n"/>
      <c r="AF351" s="1842" t="n"/>
    </row>
    <row r="352" ht="13.5" customHeight="1" s="1883">
      <c r="A352" s="1842" t="n"/>
      <c r="B352" s="1842" t="n"/>
      <c r="C352" s="1842" t="n"/>
      <c r="D352" s="1842" t="n"/>
      <c r="E352" s="1842" t="n"/>
      <c r="F352" s="1842" t="n"/>
      <c r="G352" s="1842" t="n"/>
      <c r="H352" s="1842" t="n"/>
      <c r="I352" s="1842" t="n"/>
      <c r="J352" s="1842" t="n"/>
      <c r="K352" s="1842" t="n"/>
      <c r="L352" s="1842" t="n"/>
      <c r="M352" s="1842" t="n"/>
      <c r="N352" s="1842" t="n"/>
      <c r="O352" s="1842" t="n"/>
      <c r="P352" s="1842" t="n"/>
      <c r="Q352" s="1842" t="n"/>
      <c r="R352" s="1842" t="n"/>
      <c r="S352" s="1842" t="n"/>
      <c r="T352" s="1842" t="n"/>
      <c r="U352" s="1842" t="n"/>
      <c r="V352" s="1842" t="n"/>
      <c r="W352" s="1842" t="n"/>
      <c r="X352" s="1842" t="n"/>
      <c r="Y352" s="1842" t="n"/>
      <c r="Z352" s="1842" t="n"/>
      <c r="AA352" s="1842" t="n"/>
      <c r="AB352" s="1842" t="n"/>
      <c r="AC352" s="1842" t="n"/>
      <c r="AD352" s="1842" t="n"/>
      <c r="AE352" s="1842" t="n"/>
      <c r="AF352" s="1842" t="n"/>
    </row>
    <row r="353" ht="13.5" customHeight="1" s="1883">
      <c r="A353" s="1842" t="n"/>
      <c r="B353" s="1842" t="n"/>
      <c r="C353" s="1842" t="n"/>
      <c r="D353" s="1842" t="n"/>
      <c r="E353" s="1842" t="n"/>
      <c r="F353" s="1842" t="n"/>
      <c r="G353" s="1842" t="n"/>
      <c r="H353" s="1842" t="n"/>
      <c r="I353" s="1842" t="n"/>
      <c r="J353" s="1842" t="n"/>
      <c r="K353" s="1842" t="n"/>
      <c r="L353" s="1842" t="n"/>
      <c r="M353" s="1842" t="n"/>
      <c r="N353" s="1842" t="n"/>
      <c r="O353" s="1842" t="n"/>
      <c r="P353" s="1842" t="n"/>
      <c r="Q353" s="1842" t="n"/>
      <c r="R353" s="1842" t="n"/>
      <c r="S353" s="1842" t="n"/>
      <c r="T353" s="1842" t="n"/>
      <c r="U353" s="1842" t="n"/>
      <c r="V353" s="1842" t="n"/>
      <c r="W353" s="1842" t="n"/>
      <c r="X353" s="1842" t="n"/>
      <c r="Y353" s="1842" t="n"/>
      <c r="Z353" s="1842" t="n"/>
      <c r="AA353" s="1842" t="n"/>
      <c r="AB353" s="1842" t="n"/>
      <c r="AC353" s="1842" t="n"/>
      <c r="AD353" s="1842" t="n"/>
      <c r="AE353" s="1842" t="n"/>
      <c r="AF353" s="1842" t="n"/>
    </row>
    <row r="354" ht="13.5" customHeight="1" s="1883">
      <c r="A354" s="1842" t="n"/>
      <c r="B354" s="1842" t="n"/>
      <c r="C354" s="1842" t="n"/>
      <c r="D354" s="1842" t="n"/>
      <c r="E354" s="1842" t="n"/>
      <c r="F354" s="1842" t="n"/>
      <c r="G354" s="1842" t="n"/>
      <c r="H354" s="1842" t="n"/>
      <c r="I354" s="1842" t="n"/>
      <c r="J354" s="1842" t="n"/>
      <c r="K354" s="1842" t="n"/>
      <c r="L354" s="1842" t="n"/>
      <c r="M354" s="1842" t="n"/>
      <c r="N354" s="1842" t="n"/>
      <c r="O354" s="1842" t="n"/>
      <c r="P354" s="1842" t="n"/>
      <c r="Q354" s="1842" t="n"/>
      <c r="R354" s="1842" t="n"/>
      <c r="S354" s="1842" t="n"/>
      <c r="T354" s="1842" t="n"/>
      <c r="U354" s="1842" t="n"/>
      <c r="V354" s="1842" t="n"/>
      <c r="W354" s="1842" t="n"/>
      <c r="X354" s="1842" t="n"/>
      <c r="Y354" s="1842" t="n"/>
      <c r="Z354" s="1842" t="n"/>
      <c r="AA354" s="1842" t="n"/>
      <c r="AB354" s="1842" t="n"/>
      <c r="AC354" s="1842" t="n"/>
      <c r="AD354" s="1842" t="n"/>
      <c r="AE354" s="1842" t="n"/>
      <c r="AF354" s="1842" t="n"/>
    </row>
    <row r="355" ht="13.5" customHeight="1" s="1883">
      <c r="A355" s="1842" t="n"/>
      <c r="B355" s="1842" t="n"/>
      <c r="C355" s="1842" t="n"/>
      <c r="D355" s="1842" t="n"/>
      <c r="E355" s="1842" t="n"/>
      <c r="F355" s="1842" t="n"/>
      <c r="G355" s="1842" t="n"/>
      <c r="H355" s="1842" t="n"/>
      <c r="I355" s="1842" t="n"/>
      <c r="J355" s="1842" t="n"/>
      <c r="K355" s="1842" t="n"/>
      <c r="L355" s="1842" t="n"/>
      <c r="M355" s="1842" t="n"/>
      <c r="N355" s="1842" t="n"/>
      <c r="O355" s="1842" t="n"/>
      <c r="P355" s="1842" t="n"/>
      <c r="Q355" s="1842" t="n"/>
      <c r="R355" s="1842" t="n"/>
      <c r="S355" s="1842" t="n"/>
      <c r="T355" s="1842" t="n"/>
      <c r="U355" s="1842" t="n"/>
      <c r="V355" s="1842" t="n"/>
      <c r="W355" s="1842" t="n"/>
      <c r="X355" s="1842" t="n"/>
      <c r="Y355" s="1842" t="n"/>
      <c r="Z355" s="1842" t="n"/>
      <c r="AA355" s="1842" t="n"/>
      <c r="AB355" s="1842" t="n"/>
      <c r="AC355" s="1842" t="n"/>
      <c r="AD355" s="1842" t="n"/>
      <c r="AE355" s="1842" t="n"/>
      <c r="AF355" s="1842" t="n"/>
    </row>
    <row r="356" ht="13.5" customHeight="1" s="1883">
      <c r="A356" s="1842" t="n"/>
      <c r="B356" s="1842" t="n"/>
      <c r="C356" s="1842" t="n"/>
      <c r="D356" s="1842" t="n"/>
      <c r="E356" s="1842" t="n"/>
      <c r="F356" s="1842" t="n"/>
      <c r="G356" s="1842" t="n"/>
      <c r="H356" s="1842" t="n"/>
      <c r="I356" s="1842" t="n"/>
      <c r="J356" s="1842" t="n"/>
      <c r="K356" s="1842" t="n"/>
      <c r="L356" s="1842" t="n"/>
      <c r="M356" s="1842" t="n"/>
      <c r="N356" s="1842" t="n"/>
      <c r="O356" s="1842" t="n"/>
      <c r="P356" s="1842" t="n"/>
      <c r="Q356" s="1842" t="n"/>
      <c r="R356" s="1842" t="n"/>
      <c r="S356" s="1842" t="n"/>
      <c r="T356" s="1842" t="n"/>
      <c r="U356" s="1842" t="n"/>
      <c r="V356" s="1842" t="n"/>
      <c r="W356" s="1842" t="n"/>
      <c r="X356" s="1842" t="n"/>
      <c r="Y356" s="1842" t="n"/>
      <c r="Z356" s="1842" t="n"/>
      <c r="AA356" s="1842" t="n"/>
      <c r="AB356" s="1842" t="n"/>
      <c r="AC356" s="1842" t="n"/>
      <c r="AD356" s="1842" t="n"/>
      <c r="AE356" s="1842" t="n"/>
      <c r="AF356" s="1842" t="n"/>
    </row>
    <row r="357" ht="13.5" customHeight="1" s="1883">
      <c r="A357" s="1842" t="n"/>
      <c r="B357" s="1842" t="n"/>
      <c r="C357" s="1842" t="n"/>
      <c r="D357" s="1842" t="n"/>
      <c r="E357" s="1842" t="n"/>
      <c r="F357" s="1842" t="n"/>
      <c r="G357" s="1842" t="n"/>
      <c r="H357" s="1842" t="n"/>
      <c r="I357" s="1842" t="n"/>
      <c r="J357" s="1842" t="n"/>
      <c r="K357" s="1842" t="n"/>
      <c r="L357" s="1842" t="n"/>
      <c r="M357" s="1842" t="n"/>
      <c r="N357" s="1842" t="n"/>
      <c r="O357" s="1842" t="n"/>
      <c r="P357" s="1842" t="n"/>
      <c r="Q357" s="1842" t="n"/>
      <c r="R357" s="1842" t="n"/>
      <c r="S357" s="1842" t="n"/>
      <c r="T357" s="1842" t="n"/>
      <c r="U357" s="1842" t="n"/>
      <c r="V357" s="1842" t="n"/>
      <c r="W357" s="1842" t="n"/>
      <c r="X357" s="1842" t="n"/>
      <c r="Y357" s="1842" t="n"/>
      <c r="Z357" s="1842" t="n"/>
      <c r="AA357" s="1842" t="n"/>
      <c r="AB357" s="1842" t="n"/>
      <c r="AC357" s="1842" t="n"/>
      <c r="AD357" s="1842" t="n"/>
      <c r="AE357" s="1842" t="n"/>
      <c r="AF357" s="1842" t="n"/>
    </row>
    <row r="358" ht="13.5" customHeight="1" s="1883">
      <c r="A358" s="1842" t="n"/>
      <c r="B358" s="1842" t="n"/>
      <c r="C358" s="1842" t="n"/>
      <c r="D358" s="1842" t="n"/>
      <c r="E358" s="1842" t="n"/>
      <c r="F358" s="1842" t="n"/>
      <c r="G358" s="1842" t="n"/>
      <c r="H358" s="1842" t="n"/>
      <c r="I358" s="1842" t="n"/>
      <c r="J358" s="1842" t="n"/>
      <c r="K358" s="1842" t="n"/>
      <c r="L358" s="1842" t="n"/>
      <c r="M358" s="1842" t="n"/>
      <c r="N358" s="1842" t="n"/>
      <c r="O358" s="1842" t="n"/>
      <c r="P358" s="1842" t="n"/>
      <c r="Q358" s="1842" t="n"/>
      <c r="R358" s="1842" t="n"/>
      <c r="S358" s="1842" t="n"/>
      <c r="T358" s="1842" t="n"/>
      <c r="U358" s="1842" t="n"/>
      <c r="V358" s="1842" t="n"/>
      <c r="W358" s="1842" t="n"/>
      <c r="X358" s="1842" t="n"/>
      <c r="Y358" s="1842" t="n"/>
      <c r="Z358" s="1842" t="n"/>
      <c r="AA358" s="1842" t="n"/>
      <c r="AB358" s="1842" t="n"/>
      <c r="AC358" s="1842" t="n"/>
      <c r="AD358" s="1842" t="n"/>
      <c r="AE358" s="1842" t="n"/>
      <c r="AF358" s="1842" t="n"/>
    </row>
    <row r="359" ht="13.5" customHeight="1" s="1883">
      <c r="A359" s="1842" t="n"/>
      <c r="B359" s="1842" t="n"/>
      <c r="C359" s="1842" t="n"/>
      <c r="D359" s="1842" t="n"/>
      <c r="E359" s="1842" t="n"/>
      <c r="F359" s="1842" t="n"/>
      <c r="G359" s="1842" t="n"/>
      <c r="H359" s="1842" t="n"/>
      <c r="I359" s="1842" t="n"/>
      <c r="J359" s="1842" t="n"/>
      <c r="K359" s="1842" t="n"/>
      <c r="L359" s="1842" t="n"/>
      <c r="M359" s="1842" t="n"/>
      <c r="N359" s="1842" t="n"/>
      <c r="O359" s="1842" t="n"/>
      <c r="P359" s="1842" t="n"/>
      <c r="Q359" s="1842" t="n"/>
      <c r="R359" s="1842" t="n"/>
      <c r="S359" s="1842" t="n"/>
      <c r="T359" s="1842" t="n"/>
      <c r="U359" s="1842" t="n"/>
      <c r="V359" s="1842" t="n"/>
      <c r="W359" s="1842" t="n"/>
      <c r="X359" s="1842" t="n"/>
      <c r="Y359" s="1842" t="n"/>
      <c r="Z359" s="1842" t="n"/>
      <c r="AA359" s="1842" t="n"/>
      <c r="AB359" s="1842" t="n"/>
      <c r="AC359" s="1842" t="n"/>
      <c r="AD359" s="1842" t="n"/>
      <c r="AE359" s="1842" t="n"/>
      <c r="AF359" s="1842" t="n"/>
    </row>
    <row r="360" ht="13.5" customHeight="1" s="1883">
      <c r="A360" s="1842" t="n"/>
      <c r="B360" s="1842" t="n"/>
      <c r="C360" s="1842" t="n"/>
      <c r="D360" s="1842" t="n"/>
      <c r="E360" s="1842" t="n"/>
      <c r="F360" s="1842" t="n"/>
      <c r="G360" s="1842" t="n"/>
      <c r="H360" s="1842" t="n"/>
      <c r="I360" s="1842" t="n"/>
      <c r="J360" s="1842" t="n"/>
      <c r="K360" s="1842" t="n"/>
      <c r="L360" s="1842" t="n"/>
      <c r="M360" s="1842" t="n"/>
      <c r="N360" s="1842" t="n"/>
      <c r="O360" s="1842" t="n"/>
      <c r="P360" s="1842" t="n"/>
      <c r="Q360" s="1842" t="n"/>
      <c r="R360" s="1842" t="n"/>
      <c r="S360" s="1842" t="n"/>
      <c r="T360" s="1842" t="n"/>
      <c r="U360" s="1842" t="n"/>
      <c r="V360" s="1842" t="n"/>
      <c r="W360" s="1842" t="n"/>
      <c r="X360" s="1842" t="n"/>
      <c r="Y360" s="1842" t="n"/>
      <c r="Z360" s="1842" t="n"/>
      <c r="AA360" s="1842" t="n"/>
      <c r="AB360" s="1842" t="n"/>
      <c r="AC360" s="1842" t="n"/>
      <c r="AD360" s="1842" t="n"/>
      <c r="AE360" s="1842" t="n"/>
      <c r="AF360" s="1842" t="n"/>
    </row>
    <row r="361" ht="13.5" customHeight="1" s="1883">
      <c r="A361" s="1842" t="n"/>
      <c r="B361" s="1842" t="n"/>
      <c r="C361" s="1842" t="n"/>
      <c r="D361" s="1842" t="n"/>
      <c r="E361" s="1842" t="n"/>
      <c r="F361" s="1842" t="n"/>
      <c r="G361" s="1842" t="n"/>
      <c r="H361" s="1842" t="n"/>
      <c r="I361" s="1842" t="n"/>
      <c r="J361" s="1842" t="n"/>
      <c r="K361" s="1842" t="n"/>
      <c r="L361" s="1842" t="n"/>
      <c r="M361" s="1842" t="n"/>
      <c r="N361" s="1842" t="n"/>
      <c r="O361" s="1842" t="n"/>
      <c r="P361" s="1842" t="n"/>
      <c r="Q361" s="1842" t="n"/>
      <c r="R361" s="1842" t="n"/>
      <c r="S361" s="1842" t="n"/>
      <c r="T361" s="1842" t="n"/>
      <c r="U361" s="1842" t="n"/>
      <c r="V361" s="1842" t="n"/>
      <c r="W361" s="1842" t="n"/>
      <c r="X361" s="1842" t="n"/>
      <c r="Y361" s="1842" t="n"/>
      <c r="Z361" s="1842" t="n"/>
      <c r="AA361" s="1842" t="n"/>
      <c r="AB361" s="1842" t="n"/>
      <c r="AC361" s="1842" t="n"/>
      <c r="AD361" s="1842" t="n"/>
      <c r="AE361" s="1842" t="n"/>
      <c r="AF361" s="1842" t="n"/>
    </row>
    <row r="362" ht="13.5" customHeight="1" s="1883">
      <c r="A362" s="1842" t="n"/>
      <c r="B362" s="1842" t="n"/>
      <c r="C362" s="1842" t="n"/>
      <c r="D362" s="1842" t="n"/>
      <c r="E362" s="1842" t="n"/>
      <c r="F362" s="1842" t="n"/>
      <c r="G362" s="1842" t="n"/>
      <c r="H362" s="1842" t="n"/>
      <c r="I362" s="1842" t="n"/>
      <c r="J362" s="1842" t="n"/>
      <c r="K362" s="1842" t="n"/>
      <c r="L362" s="1842" t="n"/>
      <c r="M362" s="1842" t="n"/>
      <c r="N362" s="1842" t="n"/>
      <c r="O362" s="1842" t="n"/>
      <c r="P362" s="1842" t="n"/>
      <c r="Q362" s="1842" t="n"/>
      <c r="R362" s="1842" t="n"/>
      <c r="S362" s="1842" t="n"/>
      <c r="T362" s="1842" t="n"/>
      <c r="U362" s="1842" t="n"/>
      <c r="V362" s="1842" t="n"/>
      <c r="W362" s="1842" t="n"/>
      <c r="X362" s="1842" t="n"/>
      <c r="Y362" s="1842" t="n"/>
      <c r="Z362" s="1842" t="n"/>
      <c r="AA362" s="1842" t="n"/>
      <c r="AB362" s="1842" t="n"/>
      <c r="AC362" s="1842" t="n"/>
      <c r="AD362" s="1842" t="n"/>
      <c r="AE362" s="1842" t="n"/>
      <c r="AF362" s="1842" t="n"/>
    </row>
    <row r="363" ht="13.5" customHeight="1" s="1883">
      <c r="A363" s="1842" t="n"/>
      <c r="B363" s="1842" t="n"/>
      <c r="C363" s="1842" t="n"/>
      <c r="D363" s="1842" t="n"/>
      <c r="E363" s="1842" t="n"/>
      <c r="F363" s="1842" t="n"/>
      <c r="G363" s="1842" t="n"/>
      <c r="H363" s="1842" t="n"/>
      <c r="I363" s="1842" t="n"/>
      <c r="J363" s="1842" t="n"/>
      <c r="K363" s="1842" t="n"/>
      <c r="L363" s="1842" t="n"/>
      <c r="M363" s="1842" t="n"/>
      <c r="N363" s="1842" t="n"/>
      <c r="O363" s="1842" t="n"/>
      <c r="P363" s="1842" t="n"/>
      <c r="Q363" s="1842" t="n"/>
      <c r="R363" s="1842" t="n"/>
      <c r="S363" s="1842" t="n"/>
      <c r="T363" s="1842" t="n"/>
      <c r="U363" s="1842" t="n"/>
      <c r="V363" s="1842" t="n"/>
      <c r="W363" s="1842" t="n"/>
      <c r="X363" s="1842" t="n"/>
      <c r="Y363" s="1842" t="n"/>
      <c r="Z363" s="1842" t="n"/>
      <c r="AA363" s="1842" t="n"/>
      <c r="AB363" s="1842" t="n"/>
      <c r="AC363" s="1842" t="n"/>
      <c r="AD363" s="1842" t="n"/>
      <c r="AE363" s="1842" t="n"/>
      <c r="AF363" s="1842" t="n"/>
    </row>
    <row r="364" ht="13.5" customHeight="1" s="1883">
      <c r="A364" s="1842" t="n"/>
      <c r="B364" s="1842" t="n"/>
      <c r="C364" s="1842" t="n"/>
      <c r="D364" s="1842" t="n"/>
      <c r="E364" s="1842" t="n"/>
      <c r="F364" s="1842" t="n"/>
      <c r="G364" s="1842" t="n"/>
      <c r="H364" s="1842" t="n"/>
      <c r="I364" s="1842" t="n"/>
      <c r="J364" s="1842" t="n"/>
      <c r="K364" s="1842" t="n"/>
      <c r="L364" s="1842" t="n"/>
      <c r="M364" s="1842" t="n"/>
      <c r="N364" s="1842" t="n"/>
      <c r="O364" s="1842" t="n"/>
      <c r="P364" s="1842" t="n"/>
      <c r="Q364" s="1842" t="n"/>
      <c r="R364" s="1842" t="n"/>
      <c r="S364" s="1842" t="n"/>
      <c r="T364" s="1842" t="n"/>
      <c r="U364" s="1842" t="n"/>
      <c r="V364" s="1842" t="n"/>
      <c r="W364" s="1842" t="n"/>
      <c r="X364" s="1842" t="n"/>
      <c r="Y364" s="1842" t="n"/>
      <c r="Z364" s="1842" t="n"/>
      <c r="AA364" s="1842" t="n"/>
      <c r="AB364" s="1842" t="n"/>
      <c r="AC364" s="1842" t="n"/>
      <c r="AD364" s="1842" t="n"/>
      <c r="AE364" s="1842" t="n"/>
      <c r="AF364" s="1842" t="n"/>
    </row>
    <row r="365" ht="13.5" customHeight="1" s="1883">
      <c r="A365" s="1842" t="n"/>
      <c r="B365" s="1842" t="n"/>
      <c r="C365" s="1842" t="n"/>
      <c r="D365" s="1842" t="n"/>
      <c r="E365" s="1842" t="n"/>
      <c r="F365" s="1842" t="n"/>
      <c r="G365" s="1842" t="n"/>
      <c r="H365" s="1842" t="n"/>
      <c r="I365" s="1842" t="n"/>
      <c r="J365" s="1842" t="n"/>
      <c r="K365" s="1842" t="n"/>
      <c r="L365" s="1842" t="n"/>
      <c r="M365" s="1842" t="n"/>
      <c r="N365" s="1842" t="n"/>
      <c r="O365" s="1842" t="n"/>
      <c r="P365" s="1842" t="n"/>
      <c r="Q365" s="1842" t="n"/>
      <c r="R365" s="1842" t="n"/>
      <c r="S365" s="1842" t="n"/>
      <c r="T365" s="1842" t="n"/>
      <c r="U365" s="1842" t="n"/>
      <c r="V365" s="1842" t="n"/>
      <c r="W365" s="1842" t="n"/>
      <c r="X365" s="1842" t="n"/>
      <c r="Y365" s="1842" t="n"/>
      <c r="Z365" s="1842" t="n"/>
      <c r="AA365" s="1842" t="n"/>
      <c r="AB365" s="1842" t="n"/>
      <c r="AC365" s="1842" t="n"/>
      <c r="AD365" s="1842" t="n"/>
      <c r="AE365" s="1842" t="n"/>
      <c r="AF365" s="1842" t="n"/>
    </row>
    <row r="366" ht="13.5" customHeight="1" s="1883">
      <c r="A366" s="1842" t="n"/>
      <c r="B366" s="1842" t="n"/>
      <c r="C366" s="1842" t="n"/>
      <c r="D366" s="1842" t="n"/>
      <c r="E366" s="1842" t="n"/>
      <c r="F366" s="1842" t="n"/>
      <c r="G366" s="1842" t="n"/>
      <c r="H366" s="1842" t="n"/>
      <c r="I366" s="1842" t="n"/>
      <c r="J366" s="1842" t="n"/>
      <c r="K366" s="1842" t="n"/>
      <c r="L366" s="1842" t="n"/>
      <c r="M366" s="1842" t="n"/>
      <c r="N366" s="1842" t="n"/>
      <c r="O366" s="1842" t="n"/>
      <c r="P366" s="1842" t="n"/>
      <c r="Q366" s="1842" t="n"/>
      <c r="R366" s="1842" t="n"/>
      <c r="S366" s="1842" t="n"/>
      <c r="T366" s="1842" t="n"/>
      <c r="U366" s="1842" t="n"/>
      <c r="V366" s="1842" t="n"/>
      <c r="W366" s="1842" t="n"/>
      <c r="X366" s="1842" t="n"/>
      <c r="Y366" s="1842" t="n"/>
      <c r="Z366" s="1842" t="n"/>
      <c r="AA366" s="1842" t="n"/>
      <c r="AB366" s="1842" t="n"/>
      <c r="AC366" s="1842" t="n"/>
      <c r="AD366" s="1842" t="n"/>
      <c r="AE366" s="1842" t="n"/>
      <c r="AF366" s="1842" t="n"/>
    </row>
    <row r="367" ht="13.5" customHeight="1" s="1883">
      <c r="A367" s="1842" t="n"/>
      <c r="B367" s="1842" t="n"/>
      <c r="C367" s="1842" t="n"/>
      <c r="D367" s="1842" t="n"/>
      <c r="E367" s="1842" t="n"/>
      <c r="F367" s="1842" t="n"/>
      <c r="G367" s="1842" t="n"/>
      <c r="H367" s="1842" t="n"/>
      <c r="I367" s="1842" t="n"/>
      <c r="J367" s="1842" t="n"/>
      <c r="K367" s="1842" t="n"/>
      <c r="L367" s="1842" t="n"/>
      <c r="M367" s="1842" t="n"/>
      <c r="N367" s="1842" t="n"/>
      <c r="O367" s="1842" t="n"/>
      <c r="P367" s="1842" t="n"/>
      <c r="Q367" s="1842" t="n"/>
      <c r="R367" s="1842" t="n"/>
      <c r="S367" s="1842" t="n"/>
      <c r="T367" s="1842" t="n"/>
      <c r="U367" s="1842" t="n"/>
      <c r="V367" s="1842" t="n"/>
      <c r="W367" s="1842" t="n"/>
      <c r="X367" s="1842" t="n"/>
      <c r="Y367" s="1842" t="n"/>
      <c r="Z367" s="1842" t="n"/>
      <c r="AA367" s="1842" t="n"/>
      <c r="AB367" s="1842" t="n"/>
      <c r="AC367" s="1842" t="n"/>
      <c r="AD367" s="1842" t="n"/>
      <c r="AE367" s="1842" t="n"/>
      <c r="AF367" s="1842" t="n"/>
    </row>
    <row r="368" ht="13.5" customHeight="1" s="1883">
      <c r="A368" s="1842" t="n"/>
      <c r="B368" s="1842" t="n"/>
      <c r="C368" s="1842" t="n"/>
      <c r="D368" s="1842" t="n"/>
      <c r="E368" s="1842" t="n"/>
      <c r="F368" s="1842" t="n"/>
      <c r="G368" s="1842" t="n"/>
      <c r="H368" s="1842" t="n"/>
      <c r="I368" s="1842" t="n"/>
      <c r="J368" s="1842" t="n"/>
      <c r="K368" s="1842" t="n"/>
      <c r="L368" s="1842" t="n"/>
      <c r="M368" s="1842" t="n"/>
      <c r="N368" s="1842" t="n"/>
      <c r="O368" s="1842" t="n"/>
      <c r="P368" s="1842" t="n"/>
      <c r="Q368" s="1842" t="n"/>
      <c r="R368" s="1842" t="n"/>
      <c r="S368" s="1842" t="n"/>
      <c r="T368" s="1842" t="n"/>
      <c r="U368" s="1842" t="n"/>
      <c r="V368" s="1842" t="n"/>
      <c r="W368" s="1842" t="n"/>
      <c r="X368" s="1842" t="n"/>
      <c r="Y368" s="1842" t="n"/>
      <c r="Z368" s="1842" t="n"/>
      <c r="AA368" s="1842" t="n"/>
      <c r="AB368" s="1842" t="n"/>
      <c r="AC368" s="1842" t="n"/>
      <c r="AD368" s="1842" t="n"/>
      <c r="AE368" s="1842" t="n"/>
      <c r="AF368" s="1842" t="n"/>
    </row>
    <row r="369" ht="13.5" customHeight="1" s="1883">
      <c r="A369" s="1842" t="n"/>
      <c r="B369" s="1842" t="n"/>
      <c r="C369" s="1842" t="n"/>
      <c r="D369" s="1842" t="n"/>
      <c r="E369" s="1842" t="n"/>
      <c r="F369" s="1842" t="n"/>
      <c r="G369" s="1842" t="n"/>
      <c r="H369" s="1842" t="n"/>
      <c r="I369" s="1842" t="n"/>
      <c r="J369" s="1842" t="n"/>
      <c r="K369" s="1842" t="n"/>
      <c r="L369" s="1842" t="n"/>
      <c r="M369" s="1842" t="n"/>
      <c r="N369" s="1842" t="n"/>
      <c r="O369" s="1842" t="n"/>
      <c r="P369" s="1842" t="n"/>
      <c r="Q369" s="1842" t="n"/>
      <c r="R369" s="1842" t="n"/>
      <c r="S369" s="1842" t="n"/>
      <c r="T369" s="1842" t="n"/>
      <c r="U369" s="1842" t="n"/>
      <c r="V369" s="1842" t="n"/>
      <c r="W369" s="1842" t="n"/>
      <c r="X369" s="1842" t="n"/>
      <c r="Y369" s="1842" t="n"/>
      <c r="Z369" s="1842" t="n"/>
      <c r="AA369" s="1842" t="n"/>
      <c r="AB369" s="1842" t="n"/>
      <c r="AC369" s="1842" t="n"/>
      <c r="AD369" s="1842" t="n"/>
      <c r="AE369" s="1842" t="n"/>
      <c r="AF369" s="1842" t="n"/>
    </row>
    <row r="370" ht="13.5" customHeight="1" s="1883">
      <c r="A370" s="1842" t="n"/>
      <c r="B370" s="1842" t="n"/>
      <c r="C370" s="1842" t="n"/>
      <c r="D370" s="1842" t="n"/>
      <c r="E370" s="1842" t="n"/>
      <c r="F370" s="1842" t="n"/>
      <c r="G370" s="1842" t="n"/>
      <c r="H370" s="1842" t="n"/>
      <c r="I370" s="1842" t="n"/>
      <c r="J370" s="1842" t="n"/>
      <c r="K370" s="1842" t="n"/>
      <c r="L370" s="1842" t="n"/>
      <c r="M370" s="1842" t="n"/>
      <c r="N370" s="1842" t="n"/>
      <c r="O370" s="1842" t="n"/>
      <c r="P370" s="1842" t="n"/>
      <c r="Q370" s="1842" t="n"/>
      <c r="R370" s="1842" t="n"/>
      <c r="S370" s="1842" t="n"/>
      <c r="T370" s="1842" t="n"/>
      <c r="U370" s="1842" t="n"/>
      <c r="V370" s="1842" t="n"/>
      <c r="W370" s="1842" t="n"/>
      <c r="X370" s="1842" t="n"/>
      <c r="Y370" s="1842" t="n"/>
      <c r="Z370" s="1842" t="n"/>
      <c r="AA370" s="1842" t="n"/>
      <c r="AB370" s="1842" t="n"/>
      <c r="AC370" s="1842" t="n"/>
      <c r="AD370" s="1842" t="n"/>
      <c r="AE370" s="1842" t="n"/>
      <c r="AF370" s="1842" t="n"/>
    </row>
    <row r="371" ht="13.5" customHeight="1" s="1883">
      <c r="A371" s="1842" t="n"/>
      <c r="B371" s="1842" t="n"/>
      <c r="C371" s="1842" t="n"/>
      <c r="D371" s="1842" t="n"/>
      <c r="E371" s="1842" t="n"/>
      <c r="F371" s="1842" t="n"/>
      <c r="G371" s="1842" t="n"/>
      <c r="H371" s="1842" t="n"/>
      <c r="I371" s="1842" t="n"/>
      <c r="J371" s="1842" t="n"/>
      <c r="K371" s="1842" t="n"/>
      <c r="L371" s="1842" t="n"/>
      <c r="M371" s="1842" t="n"/>
      <c r="N371" s="1842" t="n"/>
      <c r="O371" s="1842" t="n"/>
      <c r="P371" s="1842" t="n"/>
      <c r="Q371" s="1842" t="n"/>
      <c r="R371" s="1842" t="n"/>
      <c r="S371" s="1842" t="n"/>
      <c r="T371" s="1842" t="n"/>
      <c r="U371" s="1842" t="n"/>
      <c r="V371" s="1842" t="n"/>
      <c r="W371" s="1842" t="n"/>
      <c r="X371" s="1842" t="n"/>
      <c r="Y371" s="1842" t="n"/>
      <c r="Z371" s="1842" t="n"/>
      <c r="AA371" s="1842" t="n"/>
      <c r="AB371" s="1842" t="n"/>
      <c r="AC371" s="1842" t="n"/>
      <c r="AD371" s="1842" t="n"/>
      <c r="AE371" s="1842" t="n"/>
      <c r="AF371" s="1842" t="n"/>
    </row>
    <row r="372" ht="13.5" customHeight="1" s="1883">
      <c r="A372" s="1842" t="n"/>
      <c r="B372" s="1842" t="n"/>
      <c r="C372" s="1842" t="n"/>
      <c r="D372" s="1842" t="n"/>
      <c r="E372" s="1842" t="n"/>
      <c r="F372" s="1842" t="n"/>
      <c r="G372" s="1842" t="n"/>
      <c r="H372" s="1842" t="n"/>
      <c r="I372" s="1842" t="n"/>
      <c r="J372" s="1842" t="n"/>
      <c r="K372" s="1842" t="n"/>
      <c r="L372" s="1842" t="n"/>
      <c r="M372" s="1842" t="n"/>
      <c r="N372" s="1842" t="n"/>
      <c r="O372" s="1842" t="n"/>
      <c r="P372" s="1842" t="n"/>
      <c r="Q372" s="1842" t="n"/>
      <c r="R372" s="1842" t="n"/>
      <c r="S372" s="1842" t="n"/>
      <c r="T372" s="1842" t="n"/>
      <c r="U372" s="1842" t="n"/>
      <c r="V372" s="1842" t="n"/>
      <c r="W372" s="1842" t="n"/>
      <c r="X372" s="1842" t="n"/>
      <c r="Y372" s="1842" t="n"/>
      <c r="Z372" s="1842" t="n"/>
      <c r="AA372" s="1842" t="n"/>
      <c r="AB372" s="1842" t="n"/>
      <c r="AC372" s="1842" t="n"/>
      <c r="AD372" s="1842" t="n"/>
      <c r="AE372" s="1842" t="n"/>
      <c r="AF372" s="1842" t="n"/>
    </row>
    <row r="373" ht="13.5" customHeight="1" s="1883">
      <c r="A373" s="1842" t="n"/>
      <c r="B373" s="1842" t="n"/>
      <c r="C373" s="1842" t="n"/>
      <c r="D373" s="1842" t="n"/>
      <c r="E373" s="1842" t="n"/>
      <c r="F373" s="1842" t="n"/>
      <c r="G373" s="1842" t="n"/>
      <c r="H373" s="1842" t="n"/>
      <c r="I373" s="1842" t="n"/>
      <c r="J373" s="1842" t="n"/>
      <c r="K373" s="1842" t="n"/>
      <c r="L373" s="1842" t="n"/>
      <c r="M373" s="1842" t="n"/>
      <c r="N373" s="1842" t="n"/>
      <c r="O373" s="1842" t="n"/>
      <c r="P373" s="1842" t="n"/>
      <c r="Q373" s="1842" t="n"/>
      <c r="R373" s="1842" t="n"/>
      <c r="S373" s="1842" t="n"/>
      <c r="T373" s="1842" t="n"/>
      <c r="U373" s="1842" t="n"/>
      <c r="V373" s="1842" t="n"/>
      <c r="W373" s="1842" t="n"/>
      <c r="X373" s="1842" t="n"/>
      <c r="Y373" s="1842" t="n"/>
      <c r="Z373" s="1842" t="n"/>
      <c r="AA373" s="1842" t="n"/>
      <c r="AB373" s="1842" t="n"/>
      <c r="AC373" s="1842" t="n"/>
      <c r="AD373" s="1842" t="n"/>
      <c r="AE373" s="1842" t="n"/>
      <c r="AF373" s="1842" t="n"/>
    </row>
    <row r="374" ht="13.5" customHeight="1" s="1883">
      <c r="A374" s="1842" t="n"/>
      <c r="B374" s="1842" t="n"/>
      <c r="C374" s="1842" t="n"/>
      <c r="D374" s="1842" t="n"/>
      <c r="E374" s="1842" t="n"/>
      <c r="F374" s="1842" t="n"/>
      <c r="G374" s="1842" t="n"/>
      <c r="H374" s="1842" t="n"/>
      <c r="I374" s="1842" t="n"/>
      <c r="J374" s="1842" t="n"/>
      <c r="K374" s="1842" t="n"/>
      <c r="L374" s="1842" t="n"/>
      <c r="M374" s="1842" t="n"/>
      <c r="N374" s="1842" t="n"/>
      <c r="O374" s="1842" t="n"/>
      <c r="P374" s="1842" t="n"/>
      <c r="Q374" s="1842" t="n"/>
      <c r="R374" s="1842" t="n"/>
      <c r="S374" s="1842" t="n"/>
      <c r="T374" s="1842" t="n"/>
      <c r="U374" s="1842" t="n"/>
      <c r="V374" s="1842" t="n"/>
      <c r="W374" s="1842" t="n"/>
      <c r="X374" s="1842" t="n"/>
      <c r="Y374" s="1842" t="n"/>
      <c r="Z374" s="1842" t="n"/>
      <c r="AA374" s="1842" t="n"/>
      <c r="AB374" s="1842" t="n"/>
      <c r="AC374" s="1842" t="n"/>
      <c r="AD374" s="1842" t="n"/>
      <c r="AE374" s="1842" t="n"/>
      <c r="AF374" s="1842" t="n"/>
    </row>
    <row r="375" ht="13.5" customHeight="1" s="1883">
      <c r="A375" s="1842" t="n"/>
      <c r="B375" s="1842" t="n"/>
      <c r="C375" s="1842" t="n"/>
      <c r="D375" s="1842" t="n"/>
      <c r="E375" s="1842" t="n"/>
      <c r="F375" s="1842" t="n"/>
      <c r="G375" s="1842" t="n"/>
      <c r="H375" s="1842" t="n"/>
      <c r="I375" s="1842" t="n"/>
      <c r="J375" s="1842" t="n"/>
      <c r="K375" s="1842" t="n"/>
      <c r="L375" s="1842" t="n"/>
      <c r="M375" s="1842" t="n"/>
      <c r="N375" s="1842" t="n"/>
      <c r="O375" s="1842" t="n"/>
      <c r="P375" s="1842" t="n"/>
      <c r="Q375" s="1842" t="n"/>
      <c r="R375" s="1842" t="n"/>
      <c r="S375" s="1842" t="n"/>
      <c r="T375" s="1842" t="n"/>
      <c r="U375" s="1842" t="n"/>
      <c r="V375" s="1842" t="n"/>
      <c r="W375" s="1842" t="n"/>
      <c r="X375" s="1842" t="n"/>
      <c r="Y375" s="1842" t="n"/>
      <c r="Z375" s="1842" t="n"/>
      <c r="AA375" s="1842" t="n"/>
      <c r="AB375" s="1842" t="n"/>
      <c r="AC375" s="1842" t="n"/>
      <c r="AD375" s="1842" t="n"/>
      <c r="AE375" s="1842" t="n"/>
      <c r="AF375" s="1842" t="n"/>
    </row>
    <row r="376" ht="13.5" customHeight="1" s="1883">
      <c r="A376" s="1842" t="n"/>
      <c r="B376" s="1842" t="n"/>
      <c r="C376" s="1842" t="n"/>
      <c r="D376" s="1842" t="n"/>
      <c r="E376" s="1842" t="n"/>
      <c r="F376" s="1842" t="n"/>
      <c r="G376" s="1842" t="n"/>
      <c r="H376" s="1842" t="n"/>
      <c r="I376" s="1842" t="n"/>
      <c r="J376" s="1842" t="n"/>
      <c r="K376" s="1842" t="n"/>
      <c r="L376" s="1842" t="n"/>
      <c r="M376" s="1842" t="n"/>
      <c r="N376" s="1842" t="n"/>
      <c r="O376" s="1842" t="n"/>
      <c r="P376" s="1842" t="n"/>
      <c r="Q376" s="1842" t="n"/>
      <c r="R376" s="1842" t="n"/>
      <c r="S376" s="1842" t="n"/>
      <c r="T376" s="1842" t="n"/>
      <c r="U376" s="1842" t="n"/>
      <c r="V376" s="1842" t="n"/>
      <c r="W376" s="1842" t="n"/>
      <c r="X376" s="1842" t="n"/>
      <c r="Y376" s="1842" t="n"/>
      <c r="Z376" s="1842" t="n"/>
      <c r="AA376" s="1842" t="n"/>
      <c r="AB376" s="1842" t="n"/>
      <c r="AC376" s="1842" t="n"/>
      <c r="AD376" s="1842" t="n"/>
      <c r="AE376" s="1842" t="n"/>
      <c r="AF376" s="1842" t="n"/>
    </row>
    <row r="377" ht="13.5" customHeight="1" s="1883">
      <c r="A377" s="1842" t="n"/>
      <c r="B377" s="1842" t="n"/>
      <c r="C377" s="1842" t="n"/>
      <c r="D377" s="1842" t="n"/>
      <c r="E377" s="1842" t="n"/>
      <c r="F377" s="1842" t="n"/>
      <c r="G377" s="1842" t="n"/>
      <c r="H377" s="1842" t="n"/>
      <c r="I377" s="1842" t="n"/>
      <c r="J377" s="1842" t="n"/>
      <c r="K377" s="1842" t="n"/>
      <c r="L377" s="1842" t="n"/>
      <c r="M377" s="1842" t="n"/>
      <c r="N377" s="1842" t="n"/>
      <c r="O377" s="1842" t="n"/>
      <c r="P377" s="1842" t="n"/>
      <c r="Q377" s="1842" t="n"/>
      <c r="R377" s="1842" t="n"/>
      <c r="S377" s="1842" t="n"/>
      <c r="T377" s="1842" t="n"/>
      <c r="U377" s="1842" t="n"/>
      <c r="V377" s="1842" t="n"/>
      <c r="W377" s="1842" t="n"/>
      <c r="X377" s="1842" t="n"/>
      <c r="Y377" s="1842" t="n"/>
      <c r="Z377" s="1842" t="n"/>
      <c r="AA377" s="1842" t="n"/>
      <c r="AB377" s="1842" t="n"/>
      <c r="AC377" s="1842" t="n"/>
      <c r="AD377" s="1842" t="n"/>
      <c r="AE377" s="1842" t="n"/>
      <c r="AF377" s="1842" t="n"/>
    </row>
    <row r="378" ht="13.5" customHeight="1" s="1883">
      <c r="A378" s="1842" t="n"/>
      <c r="B378" s="1842" t="n"/>
      <c r="C378" s="1842" t="n"/>
      <c r="D378" s="1842" t="n"/>
      <c r="E378" s="1842" t="n"/>
      <c r="F378" s="1842" t="n"/>
      <c r="G378" s="1842" t="n"/>
      <c r="H378" s="1842" t="n"/>
      <c r="I378" s="1842" t="n"/>
      <c r="J378" s="1842" t="n"/>
      <c r="K378" s="1842" t="n"/>
      <c r="L378" s="1842" t="n"/>
      <c r="M378" s="1842" t="n"/>
      <c r="N378" s="1842" t="n"/>
      <c r="O378" s="1842" t="n"/>
      <c r="P378" s="1842" t="n"/>
      <c r="Q378" s="1842" t="n"/>
      <c r="R378" s="1842" t="n"/>
      <c r="S378" s="1842" t="n"/>
      <c r="T378" s="1842" t="n"/>
      <c r="U378" s="1842" t="n"/>
      <c r="V378" s="1842" t="n"/>
      <c r="W378" s="1842" t="n"/>
      <c r="X378" s="1842" t="n"/>
      <c r="Y378" s="1842" t="n"/>
      <c r="Z378" s="1842" t="n"/>
      <c r="AA378" s="1842" t="n"/>
      <c r="AB378" s="1842" t="n"/>
      <c r="AC378" s="1842" t="n"/>
      <c r="AD378" s="1842" t="n"/>
      <c r="AE378" s="1842" t="n"/>
      <c r="AF378" s="1842" t="n"/>
    </row>
    <row r="379" ht="13.5" customHeight="1" s="1883">
      <c r="A379" s="1842" t="n"/>
      <c r="B379" s="1842" t="n"/>
      <c r="C379" s="1842" t="n"/>
      <c r="D379" s="1842" t="n"/>
      <c r="E379" s="1842" t="n"/>
      <c r="F379" s="1842" t="n"/>
      <c r="G379" s="1842" t="n"/>
      <c r="H379" s="1842" t="n"/>
      <c r="I379" s="1842" t="n"/>
      <c r="J379" s="1842" t="n"/>
      <c r="K379" s="1842" t="n"/>
      <c r="L379" s="1842" t="n"/>
      <c r="M379" s="1842" t="n"/>
      <c r="N379" s="1842" t="n"/>
      <c r="O379" s="1842" t="n"/>
      <c r="P379" s="1842" t="n"/>
      <c r="Q379" s="1842" t="n"/>
      <c r="R379" s="1842" t="n"/>
      <c r="S379" s="1842" t="n"/>
      <c r="T379" s="1842" t="n"/>
      <c r="U379" s="1842" t="n"/>
      <c r="V379" s="1842" t="n"/>
      <c r="W379" s="1842" t="n"/>
      <c r="X379" s="1842" t="n"/>
      <c r="Y379" s="1842" t="n"/>
      <c r="Z379" s="1842" t="n"/>
      <c r="AA379" s="1842" t="n"/>
      <c r="AB379" s="1842" t="n"/>
      <c r="AC379" s="1842" t="n"/>
      <c r="AD379" s="1842" t="n"/>
      <c r="AE379" s="1842" t="n"/>
      <c r="AF379" s="1842" t="n"/>
    </row>
    <row r="380" ht="13.5" customHeight="1" s="1883">
      <c r="A380" s="1842" t="n"/>
      <c r="B380" s="1842" t="n"/>
      <c r="C380" s="1842" t="n"/>
      <c r="D380" s="1842" t="n"/>
      <c r="E380" s="1842" t="n"/>
      <c r="F380" s="1842" t="n"/>
      <c r="G380" s="1842" t="n"/>
      <c r="H380" s="1842" t="n"/>
      <c r="I380" s="1842" t="n"/>
      <c r="J380" s="1842" t="n"/>
      <c r="K380" s="1842" t="n"/>
      <c r="L380" s="1842" t="n"/>
      <c r="M380" s="1842" t="n"/>
      <c r="N380" s="1842" t="n"/>
      <c r="O380" s="1842" t="n"/>
      <c r="P380" s="1842" t="n"/>
      <c r="Q380" s="1842" t="n"/>
      <c r="R380" s="1842" t="n"/>
      <c r="S380" s="1842" t="n"/>
      <c r="T380" s="1842" t="n"/>
      <c r="U380" s="1842" t="n"/>
      <c r="V380" s="1842" t="n"/>
      <c r="W380" s="1842" t="n"/>
      <c r="X380" s="1842" t="n"/>
      <c r="Y380" s="1842" t="n"/>
      <c r="Z380" s="1842" t="n"/>
      <c r="AA380" s="1842" t="n"/>
      <c r="AB380" s="1842" t="n"/>
      <c r="AC380" s="1842" t="n"/>
      <c r="AD380" s="1842" t="n"/>
      <c r="AE380" s="1842" t="n"/>
      <c r="AF380" s="1842" t="n"/>
    </row>
    <row r="381" ht="13.5" customHeight="1" s="1883">
      <c r="A381" s="1842" t="n"/>
      <c r="B381" s="1842" t="n"/>
      <c r="C381" s="1842" t="n"/>
      <c r="D381" s="1842" t="n"/>
      <c r="E381" s="1842" t="n"/>
      <c r="F381" s="1842" t="n"/>
      <c r="G381" s="1842" t="n"/>
      <c r="H381" s="1842" t="n"/>
      <c r="I381" s="1842" t="n"/>
      <c r="J381" s="1842" t="n"/>
      <c r="K381" s="1842" t="n"/>
      <c r="L381" s="1842" t="n"/>
      <c r="M381" s="1842" t="n"/>
      <c r="N381" s="1842" t="n"/>
      <c r="O381" s="1842" t="n"/>
      <c r="P381" s="1842" t="n"/>
      <c r="Q381" s="1842" t="n"/>
      <c r="R381" s="1842" t="n"/>
      <c r="S381" s="1842" t="n"/>
      <c r="T381" s="1842" t="n"/>
      <c r="U381" s="1842" t="n"/>
      <c r="V381" s="1842" t="n"/>
      <c r="W381" s="1842" t="n"/>
      <c r="X381" s="1842" t="n"/>
      <c r="Y381" s="1842" t="n"/>
      <c r="Z381" s="1842" t="n"/>
      <c r="AA381" s="1842" t="n"/>
      <c r="AB381" s="1842" t="n"/>
      <c r="AC381" s="1842" t="n"/>
      <c r="AD381" s="1842" t="n"/>
      <c r="AE381" s="1842" t="n"/>
      <c r="AF381" s="1842" t="n"/>
    </row>
    <row r="382" ht="13.5" customHeight="1" s="1883">
      <c r="A382" s="1842" t="n"/>
      <c r="B382" s="1842" t="n"/>
      <c r="C382" s="1842" t="n"/>
      <c r="D382" s="1842" t="n"/>
      <c r="E382" s="1842" t="n"/>
      <c r="F382" s="1842" t="n"/>
      <c r="G382" s="1842" t="n"/>
      <c r="H382" s="1842" t="n"/>
      <c r="I382" s="1842" t="n"/>
      <c r="J382" s="1842" t="n"/>
      <c r="K382" s="1842" t="n"/>
      <c r="L382" s="1842" t="n"/>
      <c r="M382" s="1842" t="n"/>
      <c r="N382" s="1842" t="n"/>
      <c r="O382" s="1842" t="n"/>
      <c r="P382" s="1842" t="n"/>
      <c r="Q382" s="1842" t="n"/>
      <c r="R382" s="1842" t="n"/>
      <c r="S382" s="1842" t="n"/>
      <c r="T382" s="1842" t="n"/>
      <c r="U382" s="1842" t="n"/>
      <c r="V382" s="1842" t="n"/>
      <c r="W382" s="1842" t="n"/>
      <c r="X382" s="1842" t="n"/>
      <c r="Y382" s="1842" t="n"/>
      <c r="Z382" s="1842" t="n"/>
      <c r="AA382" s="1842" t="n"/>
      <c r="AB382" s="1842" t="n"/>
      <c r="AC382" s="1842" t="n"/>
      <c r="AD382" s="1842" t="n"/>
      <c r="AE382" s="1842" t="n"/>
      <c r="AF382" s="1842" t="n"/>
    </row>
    <row r="383" ht="13.5" customHeight="1" s="1883">
      <c r="A383" s="1842" t="n"/>
      <c r="B383" s="1842" t="n"/>
      <c r="C383" s="1842" t="n"/>
      <c r="D383" s="1842" t="n"/>
      <c r="E383" s="1842" t="n"/>
      <c r="F383" s="1842" t="n"/>
      <c r="G383" s="1842" t="n"/>
      <c r="H383" s="1842" t="n"/>
      <c r="I383" s="1842" t="n"/>
      <c r="J383" s="1842" t="n"/>
      <c r="K383" s="1842" t="n"/>
      <c r="L383" s="1842" t="n"/>
      <c r="M383" s="1842" t="n"/>
      <c r="N383" s="1842" t="n"/>
      <c r="O383" s="1842" t="n"/>
      <c r="P383" s="1842" t="n"/>
      <c r="Q383" s="1842" t="n"/>
      <c r="R383" s="1842" t="n"/>
      <c r="S383" s="1842" t="n"/>
      <c r="T383" s="1842" t="n"/>
      <c r="U383" s="1842" t="n"/>
      <c r="V383" s="1842" t="n"/>
      <c r="W383" s="1842" t="n"/>
      <c r="X383" s="1842" t="n"/>
      <c r="Y383" s="1842" t="n"/>
      <c r="Z383" s="1842" t="n"/>
      <c r="AA383" s="1842" t="n"/>
      <c r="AB383" s="1842" t="n"/>
      <c r="AC383" s="1842" t="n"/>
      <c r="AD383" s="1842" t="n"/>
      <c r="AE383" s="1842" t="n"/>
      <c r="AF383" s="1842" t="n"/>
    </row>
    <row r="384" ht="13.5" customHeight="1" s="1883">
      <c r="A384" s="1842" t="n"/>
      <c r="B384" s="1842" t="n"/>
      <c r="C384" s="1842" t="n"/>
      <c r="D384" s="1842" t="n"/>
      <c r="E384" s="1842" t="n"/>
      <c r="F384" s="1842" t="n"/>
      <c r="G384" s="1842" t="n"/>
      <c r="H384" s="1842" t="n"/>
      <c r="I384" s="1842" t="n"/>
      <c r="J384" s="1842" t="n"/>
      <c r="K384" s="1842" t="n"/>
      <c r="L384" s="1842" t="n"/>
      <c r="M384" s="1842" t="n"/>
      <c r="N384" s="1842" t="n"/>
      <c r="O384" s="1842" t="n"/>
      <c r="P384" s="1842" t="n"/>
      <c r="Q384" s="1842" t="n"/>
      <c r="R384" s="1842" t="n"/>
      <c r="S384" s="1842" t="n"/>
      <c r="T384" s="1842" t="n"/>
      <c r="U384" s="1842" t="n"/>
      <c r="V384" s="1842" t="n"/>
      <c r="W384" s="1842" t="n"/>
      <c r="X384" s="1842" t="n"/>
      <c r="Y384" s="1842" t="n"/>
      <c r="Z384" s="1842" t="n"/>
      <c r="AA384" s="1842" t="n"/>
      <c r="AB384" s="1842" t="n"/>
      <c r="AC384" s="1842" t="n"/>
      <c r="AD384" s="1842" t="n"/>
      <c r="AE384" s="1842" t="n"/>
      <c r="AF384" s="1842" t="n"/>
    </row>
    <row r="385" ht="13.5" customHeight="1" s="1883">
      <c r="A385" s="1842" t="n"/>
      <c r="B385" s="1842" t="n"/>
      <c r="C385" s="1842" t="n"/>
      <c r="D385" s="1842" t="n"/>
      <c r="E385" s="1842" t="n"/>
      <c r="F385" s="1842" t="n"/>
      <c r="G385" s="1842" t="n"/>
      <c r="H385" s="1842" t="n"/>
      <c r="I385" s="1842" t="n"/>
      <c r="J385" s="1842" t="n"/>
      <c r="K385" s="1842" t="n"/>
      <c r="L385" s="1842" t="n"/>
      <c r="M385" s="1842" t="n"/>
      <c r="N385" s="1842" t="n"/>
      <c r="O385" s="1842" t="n"/>
      <c r="P385" s="1842" t="n"/>
      <c r="Q385" s="1842" t="n"/>
      <c r="R385" s="1842" t="n"/>
      <c r="S385" s="1842" t="n"/>
      <c r="T385" s="1842" t="n"/>
      <c r="U385" s="1842" t="n"/>
      <c r="V385" s="1842" t="n"/>
      <c r="W385" s="1842" t="n"/>
      <c r="X385" s="1842" t="n"/>
      <c r="Y385" s="1842" t="n"/>
      <c r="Z385" s="1842" t="n"/>
      <c r="AA385" s="1842" t="n"/>
      <c r="AB385" s="1842" t="n"/>
      <c r="AC385" s="1842" t="n"/>
      <c r="AD385" s="1842" t="n"/>
      <c r="AE385" s="1842" t="n"/>
      <c r="AF385" s="1842" t="n"/>
    </row>
    <row r="386" ht="13.5" customHeight="1" s="1883">
      <c r="A386" s="1842" t="n"/>
      <c r="B386" s="1842" t="n"/>
      <c r="C386" s="1842" t="n"/>
      <c r="D386" s="1842" t="n"/>
      <c r="E386" s="1842" t="n"/>
      <c r="F386" s="1842" t="n"/>
      <c r="G386" s="1842" t="n"/>
      <c r="H386" s="1842" t="n"/>
      <c r="I386" s="1842" t="n"/>
      <c r="J386" s="1842" t="n"/>
      <c r="K386" s="1842" t="n"/>
      <c r="L386" s="1842" t="n"/>
      <c r="M386" s="1842" t="n"/>
      <c r="N386" s="1842" t="n"/>
      <c r="O386" s="1842" t="n"/>
      <c r="P386" s="1842" t="n"/>
      <c r="Q386" s="1842" t="n"/>
      <c r="R386" s="1842" t="n"/>
      <c r="S386" s="1842" t="n"/>
      <c r="T386" s="1842" t="n"/>
      <c r="U386" s="1842" t="n"/>
      <c r="V386" s="1842" t="n"/>
      <c r="W386" s="1842" t="n"/>
      <c r="X386" s="1842" t="n"/>
      <c r="Y386" s="1842" t="n"/>
      <c r="Z386" s="1842" t="n"/>
      <c r="AA386" s="1842" t="n"/>
      <c r="AB386" s="1842" t="n"/>
      <c r="AC386" s="1842" t="n"/>
      <c r="AD386" s="1842" t="n"/>
      <c r="AE386" s="1842" t="n"/>
      <c r="AF386" s="1842" t="n"/>
    </row>
    <row r="387" ht="13.5" customHeight="1" s="1883">
      <c r="A387" s="1842" t="n"/>
      <c r="B387" s="1842" t="n"/>
      <c r="C387" s="1842" t="n"/>
      <c r="D387" s="1842" t="n"/>
      <c r="E387" s="1842" t="n"/>
      <c r="F387" s="1842" t="n"/>
      <c r="G387" s="1842" t="n"/>
      <c r="H387" s="1842" t="n"/>
      <c r="I387" s="1842" t="n"/>
      <c r="J387" s="1842" t="n"/>
      <c r="K387" s="1842" t="n"/>
      <c r="L387" s="1842" t="n"/>
      <c r="M387" s="1842" t="n"/>
      <c r="N387" s="1842" t="n"/>
      <c r="O387" s="1842" t="n"/>
      <c r="P387" s="1842" t="n"/>
      <c r="Q387" s="1842" t="n"/>
      <c r="R387" s="1842" t="n"/>
      <c r="S387" s="1842" t="n"/>
      <c r="T387" s="1842" t="n"/>
      <c r="U387" s="1842" t="n"/>
      <c r="V387" s="1842" t="n"/>
      <c r="W387" s="1842" t="n"/>
      <c r="X387" s="1842" t="n"/>
      <c r="Y387" s="1842" t="n"/>
      <c r="Z387" s="1842" t="n"/>
      <c r="AA387" s="1842" t="n"/>
      <c r="AB387" s="1842" t="n"/>
      <c r="AC387" s="1842" t="n"/>
      <c r="AD387" s="1842" t="n"/>
      <c r="AE387" s="1842" t="n"/>
      <c r="AF387" s="1842" t="n"/>
    </row>
    <row r="388" ht="13.5" customHeight="1" s="1883">
      <c r="A388" s="1842" t="n"/>
      <c r="B388" s="1842" t="n"/>
      <c r="C388" s="1842" t="n"/>
      <c r="D388" s="1842" t="n"/>
      <c r="E388" s="1842" t="n"/>
      <c r="F388" s="1842" t="n"/>
      <c r="G388" s="1842" t="n"/>
      <c r="H388" s="1842" t="n"/>
      <c r="I388" s="1842" t="n"/>
      <c r="J388" s="1842" t="n"/>
      <c r="K388" s="1842" t="n"/>
      <c r="L388" s="1842" t="n"/>
      <c r="M388" s="1842" t="n"/>
      <c r="N388" s="1842" t="n"/>
      <c r="O388" s="1842" t="n"/>
      <c r="P388" s="1842" t="n"/>
      <c r="Q388" s="1842" t="n"/>
      <c r="R388" s="1842" t="n"/>
      <c r="S388" s="1842" t="n"/>
      <c r="T388" s="1842" t="n"/>
      <c r="U388" s="1842" t="n"/>
      <c r="V388" s="1842" t="n"/>
      <c r="W388" s="1842" t="n"/>
      <c r="X388" s="1842" t="n"/>
      <c r="Y388" s="1842" t="n"/>
      <c r="Z388" s="1842" t="n"/>
      <c r="AA388" s="1842" t="n"/>
      <c r="AB388" s="1842" t="n"/>
      <c r="AC388" s="1842" t="n"/>
      <c r="AD388" s="1842" t="n"/>
      <c r="AE388" s="1842" t="n"/>
      <c r="AF388" s="1842" t="n"/>
    </row>
    <row r="389" ht="13.5" customHeight="1" s="1883">
      <c r="A389" s="1842" t="n"/>
      <c r="B389" s="1842" t="n"/>
      <c r="C389" s="1842" t="n"/>
      <c r="D389" s="1842" t="n"/>
      <c r="E389" s="1842" t="n"/>
      <c r="F389" s="1842" t="n"/>
      <c r="G389" s="1842" t="n"/>
      <c r="H389" s="1842" t="n"/>
      <c r="I389" s="1842" t="n"/>
      <c r="J389" s="1842" t="n"/>
      <c r="K389" s="1842" t="n"/>
      <c r="L389" s="1842" t="n"/>
      <c r="M389" s="1842" t="n"/>
      <c r="N389" s="1842" t="n"/>
      <c r="O389" s="1842" t="n"/>
      <c r="P389" s="1842" t="n"/>
      <c r="Q389" s="1842" t="n"/>
      <c r="R389" s="1842" t="n"/>
      <c r="S389" s="1842" t="n"/>
      <c r="T389" s="1842" t="n"/>
      <c r="U389" s="1842" t="n"/>
      <c r="V389" s="1842" t="n"/>
      <c r="W389" s="1842" t="n"/>
      <c r="X389" s="1842" t="n"/>
      <c r="Y389" s="1842" t="n"/>
      <c r="Z389" s="1842" t="n"/>
      <c r="AA389" s="1842" t="n"/>
      <c r="AB389" s="1842" t="n"/>
      <c r="AC389" s="1842" t="n"/>
      <c r="AD389" s="1842" t="n"/>
      <c r="AE389" s="1842" t="n"/>
      <c r="AF389" s="1842" t="n"/>
    </row>
    <row r="390" ht="13.5" customHeight="1" s="1883">
      <c r="A390" s="1842" t="n"/>
      <c r="B390" s="1842" t="n"/>
      <c r="C390" s="1842" t="n"/>
      <c r="D390" s="1842" t="n"/>
      <c r="E390" s="1842" t="n"/>
      <c r="F390" s="1842" t="n"/>
      <c r="G390" s="1842" t="n"/>
      <c r="H390" s="1842" t="n"/>
      <c r="I390" s="1842" t="n"/>
      <c r="J390" s="1842" t="n"/>
      <c r="K390" s="1842" t="n"/>
      <c r="L390" s="1842" t="n"/>
      <c r="M390" s="1842" t="n"/>
      <c r="N390" s="1842" t="n"/>
      <c r="O390" s="1842" t="n"/>
      <c r="P390" s="1842" t="n"/>
      <c r="Q390" s="1842" t="n"/>
      <c r="R390" s="1842" t="n"/>
      <c r="S390" s="1842" t="n"/>
      <c r="T390" s="1842" t="n"/>
      <c r="U390" s="1842" t="n"/>
      <c r="V390" s="1842" t="n"/>
      <c r="W390" s="1842" t="n"/>
      <c r="X390" s="1842" t="n"/>
      <c r="Y390" s="1842" t="n"/>
      <c r="Z390" s="1842" t="n"/>
      <c r="AA390" s="1842" t="n"/>
      <c r="AB390" s="1842" t="n"/>
      <c r="AC390" s="1842" t="n"/>
      <c r="AD390" s="1842" t="n"/>
      <c r="AE390" s="1842" t="n"/>
      <c r="AF390" s="1842" t="n"/>
    </row>
    <row r="391" ht="13.5" customHeight="1" s="1883">
      <c r="A391" s="1842" t="n"/>
      <c r="B391" s="1842" t="n"/>
      <c r="C391" s="1842" t="n"/>
      <c r="D391" s="1842" t="n"/>
      <c r="E391" s="1842" t="n"/>
      <c r="F391" s="1842" t="n"/>
      <c r="G391" s="1842" t="n"/>
      <c r="H391" s="1842" t="n"/>
      <c r="I391" s="1842" t="n"/>
      <c r="J391" s="1842" t="n"/>
      <c r="K391" s="1842" t="n"/>
      <c r="L391" s="1842" t="n"/>
      <c r="M391" s="1842" t="n"/>
      <c r="N391" s="1842" t="n"/>
      <c r="O391" s="1842" t="n"/>
      <c r="P391" s="1842" t="n"/>
      <c r="Q391" s="1842" t="n"/>
      <c r="R391" s="1842" t="n"/>
      <c r="S391" s="1842" t="n"/>
      <c r="T391" s="1842" t="n"/>
      <c r="U391" s="1842" t="n"/>
      <c r="V391" s="1842" t="n"/>
      <c r="W391" s="1842" t="n"/>
      <c r="X391" s="1842" t="n"/>
      <c r="Y391" s="1842" t="n"/>
      <c r="Z391" s="1842" t="n"/>
      <c r="AA391" s="1842" t="n"/>
      <c r="AB391" s="1842" t="n"/>
      <c r="AC391" s="1842" t="n"/>
      <c r="AD391" s="1842" t="n"/>
      <c r="AE391" s="1842" t="n"/>
      <c r="AF391" s="1842" t="n"/>
    </row>
    <row r="392" ht="13.5" customHeight="1" s="1883">
      <c r="A392" s="1842" t="n"/>
      <c r="B392" s="1842" t="n"/>
      <c r="C392" s="1842" t="n"/>
      <c r="D392" s="1842" t="n"/>
      <c r="E392" s="1842" t="n"/>
      <c r="F392" s="1842" t="n"/>
      <c r="G392" s="1842" t="n"/>
      <c r="H392" s="1842" t="n"/>
      <c r="I392" s="1842" t="n"/>
      <c r="J392" s="1842" t="n"/>
      <c r="K392" s="1842" t="n"/>
      <c r="L392" s="1842" t="n"/>
      <c r="M392" s="1842" t="n"/>
      <c r="N392" s="1842" t="n"/>
      <c r="O392" s="1842" t="n"/>
      <c r="P392" s="1842" t="n"/>
      <c r="Q392" s="1842" t="n"/>
      <c r="R392" s="1842" t="n"/>
      <c r="S392" s="1842" t="n"/>
      <c r="T392" s="1842" t="n"/>
      <c r="U392" s="1842" t="n"/>
      <c r="V392" s="1842" t="n"/>
      <c r="W392" s="1842" t="n"/>
      <c r="X392" s="1842" t="n"/>
      <c r="Y392" s="1842" t="n"/>
      <c r="Z392" s="1842" t="n"/>
      <c r="AA392" s="1842" t="n"/>
      <c r="AB392" s="1842" t="n"/>
      <c r="AC392" s="1842" t="n"/>
      <c r="AD392" s="1842" t="n"/>
      <c r="AE392" s="1842" t="n"/>
      <c r="AF392" s="1842" t="n"/>
    </row>
    <row r="393" ht="13.5" customHeight="1" s="1883">
      <c r="A393" s="1842" t="n"/>
      <c r="B393" s="1842" t="n"/>
      <c r="C393" s="1842" t="n"/>
      <c r="D393" s="1842" t="n"/>
      <c r="E393" s="1842" t="n"/>
      <c r="F393" s="1842" t="n"/>
      <c r="G393" s="1842" t="n"/>
      <c r="H393" s="1842" t="n"/>
      <c r="I393" s="1842" t="n"/>
      <c r="J393" s="1842" t="n"/>
      <c r="K393" s="1842" t="n"/>
      <c r="L393" s="1842" t="n"/>
      <c r="M393" s="1842" t="n"/>
      <c r="N393" s="1842" t="n"/>
      <c r="O393" s="1842" t="n"/>
      <c r="P393" s="1842" t="n"/>
      <c r="Q393" s="1842" t="n"/>
      <c r="R393" s="1842" t="n"/>
      <c r="S393" s="1842" t="n"/>
      <c r="T393" s="1842" t="n"/>
      <c r="U393" s="1842" t="n"/>
      <c r="V393" s="1842" t="n"/>
      <c r="W393" s="1842" t="n"/>
      <c r="X393" s="1842" t="n"/>
      <c r="Y393" s="1842" t="n"/>
      <c r="Z393" s="1842" t="n"/>
      <c r="AA393" s="1842" t="n"/>
      <c r="AB393" s="1842" t="n"/>
      <c r="AC393" s="1842" t="n"/>
      <c r="AD393" s="1842" t="n"/>
      <c r="AE393" s="1842" t="n"/>
      <c r="AF393" s="1842" t="n"/>
    </row>
    <row r="394" ht="13.5" customHeight="1" s="1883">
      <c r="A394" s="1842" t="n"/>
      <c r="B394" s="1842" t="n"/>
      <c r="C394" s="1842" t="n"/>
      <c r="D394" s="1842" t="n"/>
      <c r="E394" s="1842" t="n"/>
      <c r="F394" s="1842" t="n"/>
      <c r="G394" s="1842" t="n"/>
      <c r="H394" s="1842" t="n"/>
      <c r="I394" s="1842" t="n"/>
      <c r="J394" s="1842" t="n"/>
      <c r="K394" s="1842" t="n"/>
      <c r="L394" s="1842" t="n"/>
      <c r="M394" s="1842" t="n"/>
      <c r="N394" s="1842" t="n"/>
      <c r="O394" s="1842" t="n"/>
      <c r="P394" s="1842" t="n"/>
      <c r="Q394" s="1842" t="n"/>
      <c r="R394" s="1842" t="n"/>
      <c r="S394" s="1842" t="n"/>
      <c r="T394" s="1842" t="n"/>
      <c r="U394" s="1842" t="n"/>
      <c r="V394" s="1842" t="n"/>
      <c r="W394" s="1842" t="n"/>
      <c r="X394" s="1842" t="n"/>
      <c r="Y394" s="1842" t="n"/>
      <c r="Z394" s="1842" t="n"/>
      <c r="AA394" s="1842" t="n"/>
      <c r="AB394" s="1842" t="n"/>
      <c r="AC394" s="1842" t="n"/>
      <c r="AD394" s="1842" t="n"/>
      <c r="AE394" s="1842" t="n"/>
      <c r="AF394" s="1842" t="n"/>
    </row>
    <row r="395" ht="13.5" customHeight="1" s="1883">
      <c r="A395" s="1842" t="n"/>
      <c r="B395" s="1842" t="n"/>
      <c r="C395" s="1842" t="n"/>
      <c r="D395" s="1842" t="n"/>
      <c r="E395" s="1842" t="n"/>
      <c r="F395" s="1842" t="n"/>
      <c r="G395" s="1842" t="n"/>
      <c r="H395" s="1842" t="n"/>
      <c r="I395" s="1842" t="n"/>
      <c r="J395" s="1842" t="n"/>
      <c r="K395" s="1842" t="n"/>
      <c r="L395" s="1842" t="n"/>
      <c r="M395" s="1842" t="n"/>
      <c r="N395" s="1842" t="n"/>
      <c r="O395" s="1842" t="n"/>
      <c r="P395" s="1842" t="n"/>
      <c r="Q395" s="1842" t="n"/>
      <c r="R395" s="1842" t="n"/>
      <c r="S395" s="1842" t="n"/>
      <c r="T395" s="1842" t="n"/>
      <c r="U395" s="1842" t="n"/>
      <c r="V395" s="1842" t="n"/>
      <c r="W395" s="1842" t="n"/>
      <c r="X395" s="1842" t="n"/>
      <c r="Y395" s="1842" t="n"/>
      <c r="Z395" s="1842" t="n"/>
      <c r="AA395" s="1842" t="n"/>
      <c r="AB395" s="1842" t="n"/>
      <c r="AC395" s="1842" t="n"/>
      <c r="AD395" s="1842" t="n"/>
      <c r="AE395" s="1842" t="n"/>
      <c r="AF395" s="1842" t="n"/>
    </row>
    <row r="396" ht="13.5" customHeight="1" s="1883">
      <c r="A396" s="1842" t="n"/>
      <c r="B396" s="1842" t="n"/>
      <c r="C396" s="1842" t="n"/>
      <c r="D396" s="1842" t="n"/>
      <c r="E396" s="1842" t="n"/>
      <c r="F396" s="1842" t="n"/>
      <c r="G396" s="1842" t="n"/>
      <c r="H396" s="1842" t="n"/>
      <c r="I396" s="1842" t="n"/>
      <c r="J396" s="1842" t="n"/>
      <c r="K396" s="1842" t="n"/>
      <c r="L396" s="1842" t="n"/>
      <c r="M396" s="1842" t="n"/>
      <c r="N396" s="1842" t="n"/>
      <c r="O396" s="1842" t="n"/>
      <c r="P396" s="1842" t="n"/>
      <c r="Q396" s="1842" t="n"/>
      <c r="R396" s="1842" t="n"/>
      <c r="S396" s="1842" t="n"/>
      <c r="T396" s="1842" t="n"/>
      <c r="U396" s="1842" t="n"/>
      <c r="V396" s="1842" t="n"/>
      <c r="W396" s="1842" t="n"/>
      <c r="X396" s="1842" t="n"/>
      <c r="Y396" s="1842" t="n"/>
      <c r="Z396" s="1842" t="n"/>
      <c r="AA396" s="1842" t="n"/>
      <c r="AB396" s="1842" t="n"/>
      <c r="AC396" s="1842" t="n"/>
      <c r="AD396" s="1842" t="n"/>
      <c r="AE396" s="1842" t="n"/>
      <c r="AF396" s="1842" t="n"/>
    </row>
    <row r="397" ht="13.5" customHeight="1" s="1883">
      <c r="A397" s="1842" t="n"/>
      <c r="B397" s="1842" t="n"/>
      <c r="C397" s="1842" t="n"/>
      <c r="D397" s="1842" t="n"/>
      <c r="E397" s="1842" t="n"/>
      <c r="F397" s="1842" t="n"/>
      <c r="G397" s="1842" t="n"/>
      <c r="H397" s="1842" t="n"/>
      <c r="I397" s="1842" t="n"/>
      <c r="J397" s="1842" t="n"/>
      <c r="K397" s="1842" t="n"/>
      <c r="L397" s="1842" t="n"/>
      <c r="M397" s="1842" t="n"/>
      <c r="N397" s="1842" t="n"/>
      <c r="O397" s="1842" t="n"/>
      <c r="P397" s="1842" t="n"/>
      <c r="Q397" s="1842" t="n"/>
      <c r="R397" s="1842" t="n"/>
      <c r="S397" s="1842" t="n"/>
      <c r="T397" s="1842" t="n"/>
      <c r="U397" s="1842" t="n"/>
      <c r="V397" s="1842" t="n"/>
      <c r="W397" s="1842" t="n"/>
      <c r="X397" s="1842" t="n"/>
      <c r="Y397" s="1842" t="n"/>
      <c r="Z397" s="1842" t="n"/>
      <c r="AA397" s="1842" t="n"/>
      <c r="AB397" s="1842" t="n"/>
      <c r="AC397" s="1842" t="n"/>
      <c r="AD397" s="1842" t="n"/>
      <c r="AE397" s="1842" t="n"/>
      <c r="AF397" s="1842" t="n"/>
    </row>
    <row r="398" ht="13.5" customHeight="1" s="1883">
      <c r="A398" s="1842" t="n"/>
      <c r="B398" s="1842" t="n"/>
      <c r="C398" s="1842" t="n"/>
      <c r="D398" s="1842" t="n"/>
      <c r="E398" s="1842" t="n"/>
      <c r="F398" s="1842" t="n"/>
      <c r="G398" s="1842" t="n"/>
      <c r="H398" s="1842" t="n"/>
      <c r="I398" s="1842" t="n"/>
      <c r="J398" s="1842" t="n"/>
      <c r="K398" s="1842" t="n"/>
      <c r="L398" s="1842" t="n"/>
      <c r="M398" s="1842" t="n"/>
      <c r="N398" s="1842" t="n"/>
      <c r="O398" s="1842" t="n"/>
      <c r="P398" s="1842" t="n"/>
      <c r="Q398" s="1842" t="n"/>
      <c r="R398" s="1842" t="n"/>
      <c r="S398" s="1842" t="n"/>
      <c r="T398" s="1842" t="n"/>
      <c r="U398" s="1842" t="n"/>
      <c r="V398" s="1842" t="n"/>
      <c r="W398" s="1842" t="n"/>
      <c r="X398" s="1842" t="n"/>
      <c r="Y398" s="1842" t="n"/>
      <c r="Z398" s="1842" t="n"/>
      <c r="AA398" s="1842" t="n"/>
      <c r="AB398" s="1842" t="n"/>
      <c r="AC398" s="1842" t="n"/>
      <c r="AD398" s="1842" t="n"/>
      <c r="AE398" s="1842" t="n"/>
      <c r="AF398" s="1842" t="n"/>
    </row>
    <row r="399" ht="13.5" customHeight="1" s="1883">
      <c r="A399" s="1842" t="n"/>
      <c r="B399" s="1842" t="n"/>
      <c r="C399" s="1842" t="n"/>
      <c r="D399" s="1842" t="n"/>
      <c r="E399" s="1842" t="n"/>
      <c r="F399" s="1842" t="n"/>
      <c r="G399" s="1842" t="n"/>
      <c r="H399" s="1842" t="n"/>
      <c r="I399" s="1842" t="n"/>
      <c r="J399" s="1842" t="n"/>
      <c r="K399" s="1842" t="n"/>
      <c r="L399" s="1842" t="n"/>
      <c r="M399" s="1842" t="n"/>
      <c r="N399" s="1842" t="n"/>
      <c r="O399" s="1842" t="n"/>
      <c r="P399" s="1842" t="n"/>
      <c r="Q399" s="1842" t="n"/>
      <c r="R399" s="1842" t="n"/>
      <c r="S399" s="1842" t="n"/>
      <c r="T399" s="1842" t="n"/>
      <c r="U399" s="1842" t="n"/>
      <c r="V399" s="1842" t="n"/>
      <c r="W399" s="1842" t="n"/>
      <c r="X399" s="1842" t="n"/>
      <c r="Y399" s="1842" t="n"/>
      <c r="Z399" s="1842" t="n"/>
      <c r="AA399" s="1842" t="n"/>
      <c r="AB399" s="1842" t="n"/>
      <c r="AC399" s="1842" t="n"/>
      <c r="AD399" s="1842" t="n"/>
      <c r="AE399" s="1842" t="n"/>
      <c r="AF399" s="1842" t="n"/>
    </row>
    <row r="400" ht="13.5" customHeight="1" s="1883">
      <c r="A400" s="1842" t="n"/>
      <c r="B400" s="1842" t="n"/>
      <c r="C400" s="1842" t="n"/>
      <c r="D400" s="1842" t="n"/>
      <c r="E400" s="1842" t="n"/>
      <c r="F400" s="1842" t="n"/>
      <c r="G400" s="1842" t="n"/>
      <c r="H400" s="1842" t="n"/>
      <c r="I400" s="1842" t="n"/>
      <c r="J400" s="1842" t="n"/>
      <c r="K400" s="1842" t="n"/>
      <c r="L400" s="1842" t="n"/>
      <c r="M400" s="1842" t="n"/>
      <c r="N400" s="1842" t="n"/>
      <c r="O400" s="1842" t="n"/>
      <c r="P400" s="1842" t="n"/>
      <c r="Q400" s="1842" t="n"/>
      <c r="R400" s="1842" t="n"/>
      <c r="S400" s="1842" t="n"/>
      <c r="T400" s="1842" t="n"/>
      <c r="U400" s="1842" t="n"/>
      <c r="V400" s="1842" t="n"/>
      <c r="W400" s="1842" t="n"/>
      <c r="X400" s="1842" t="n"/>
      <c r="Y400" s="1842" t="n"/>
      <c r="Z400" s="1842" t="n"/>
      <c r="AA400" s="1842" t="n"/>
      <c r="AB400" s="1842" t="n"/>
      <c r="AC400" s="1842" t="n"/>
      <c r="AD400" s="1842" t="n"/>
      <c r="AE400" s="1842" t="n"/>
      <c r="AF400" s="1842" t="n"/>
    </row>
    <row r="401" ht="13.5" customHeight="1" s="1883">
      <c r="A401" s="1842" t="n"/>
      <c r="B401" s="1842" t="n"/>
      <c r="C401" s="1842" t="n"/>
      <c r="D401" s="1842" t="n"/>
      <c r="E401" s="1842" t="n"/>
      <c r="F401" s="1842" t="n"/>
      <c r="G401" s="1842" t="n"/>
      <c r="H401" s="1842" t="n"/>
      <c r="I401" s="1842" t="n"/>
      <c r="J401" s="1842" t="n"/>
      <c r="K401" s="1842" t="n"/>
      <c r="L401" s="1842" t="n"/>
      <c r="M401" s="1842" t="n"/>
      <c r="N401" s="1842" t="n"/>
      <c r="O401" s="1842" t="n"/>
      <c r="P401" s="1842" t="n"/>
      <c r="Q401" s="1842" t="n"/>
      <c r="R401" s="1842" t="n"/>
      <c r="S401" s="1842" t="n"/>
      <c r="T401" s="1842" t="n"/>
      <c r="U401" s="1842" t="n"/>
      <c r="V401" s="1842" t="n"/>
      <c r="W401" s="1842" t="n"/>
      <c r="X401" s="1842" t="n"/>
      <c r="Y401" s="1842" t="n"/>
      <c r="Z401" s="1842" t="n"/>
      <c r="AA401" s="1842" t="n"/>
      <c r="AB401" s="1842" t="n"/>
      <c r="AC401" s="1842" t="n"/>
      <c r="AD401" s="1842" t="n"/>
      <c r="AE401" s="1842" t="n"/>
      <c r="AF401" s="1842" t="n"/>
    </row>
    <row r="402" ht="13.5" customHeight="1" s="1883">
      <c r="A402" s="1842" t="n"/>
      <c r="B402" s="1842" t="n"/>
      <c r="C402" s="1842" t="n"/>
      <c r="D402" s="1842" t="n"/>
      <c r="E402" s="1842" t="n"/>
      <c r="F402" s="1842" t="n"/>
      <c r="G402" s="1842" t="n"/>
      <c r="H402" s="1842" t="n"/>
      <c r="I402" s="1842" t="n"/>
      <c r="J402" s="1842" t="n"/>
      <c r="K402" s="1842" t="n"/>
      <c r="L402" s="1842" t="n"/>
      <c r="M402" s="1842" t="n"/>
      <c r="N402" s="1842" t="n"/>
      <c r="O402" s="1842" t="n"/>
      <c r="P402" s="1842" t="n"/>
      <c r="Q402" s="1842" t="n"/>
      <c r="R402" s="1842" t="n"/>
      <c r="S402" s="1842" t="n"/>
      <c r="T402" s="1842" t="n"/>
      <c r="U402" s="1842" t="n"/>
      <c r="V402" s="1842" t="n"/>
      <c r="W402" s="1842" t="n"/>
      <c r="X402" s="1842" t="n"/>
      <c r="Y402" s="1842" t="n"/>
      <c r="Z402" s="1842" t="n"/>
      <c r="AA402" s="1842" t="n"/>
      <c r="AB402" s="1842" t="n"/>
      <c r="AC402" s="1842" t="n"/>
      <c r="AD402" s="1842" t="n"/>
      <c r="AE402" s="1842" t="n"/>
      <c r="AF402" s="1842" t="n"/>
    </row>
    <row r="403" ht="13.5" customHeight="1" s="1883">
      <c r="A403" s="1842" t="n"/>
      <c r="B403" s="1842" t="n"/>
      <c r="C403" s="1842" t="n"/>
      <c r="D403" s="1842" t="n"/>
      <c r="E403" s="1842" t="n"/>
      <c r="F403" s="1842" t="n"/>
      <c r="G403" s="1842" t="n"/>
      <c r="H403" s="1842" t="n"/>
      <c r="I403" s="1842" t="n"/>
      <c r="J403" s="1842" t="n"/>
      <c r="K403" s="1842" t="n"/>
      <c r="L403" s="1842" t="n"/>
      <c r="M403" s="1842" t="n"/>
      <c r="N403" s="1842" t="n"/>
      <c r="O403" s="1842" t="n"/>
      <c r="P403" s="1842" t="n"/>
      <c r="Q403" s="1842" t="n"/>
      <c r="R403" s="1842" t="n"/>
      <c r="S403" s="1842" t="n"/>
      <c r="T403" s="1842" t="n"/>
      <c r="U403" s="1842" t="n"/>
      <c r="V403" s="1842" t="n"/>
      <c r="W403" s="1842" t="n"/>
      <c r="X403" s="1842" t="n"/>
      <c r="Y403" s="1842" t="n"/>
      <c r="Z403" s="1842" t="n"/>
      <c r="AA403" s="1842" t="n"/>
      <c r="AB403" s="1842" t="n"/>
      <c r="AC403" s="1842" t="n"/>
      <c r="AD403" s="1842" t="n"/>
      <c r="AE403" s="1842" t="n"/>
      <c r="AF403" s="1842" t="n"/>
    </row>
    <row r="404" ht="13.5" customHeight="1" s="1883">
      <c r="A404" s="1842" t="n"/>
      <c r="B404" s="1842" t="n"/>
      <c r="C404" s="1842" t="n"/>
      <c r="D404" s="1842" t="n"/>
      <c r="E404" s="1842" t="n"/>
      <c r="F404" s="1842" t="n"/>
      <c r="G404" s="1842" t="n"/>
      <c r="H404" s="1842" t="n"/>
      <c r="I404" s="1842" t="n"/>
      <c r="J404" s="1842" t="n"/>
      <c r="K404" s="1842" t="n"/>
      <c r="L404" s="1842" t="n"/>
      <c r="M404" s="1842" t="n"/>
      <c r="N404" s="1842" t="n"/>
      <c r="O404" s="1842" t="n"/>
      <c r="P404" s="1842" t="n"/>
      <c r="Q404" s="1842" t="n"/>
      <c r="R404" s="1842" t="n"/>
      <c r="S404" s="1842" t="n"/>
      <c r="T404" s="1842" t="n"/>
      <c r="U404" s="1842" t="n"/>
      <c r="V404" s="1842" t="n"/>
      <c r="W404" s="1842" t="n"/>
      <c r="X404" s="1842" t="n"/>
      <c r="Y404" s="1842" t="n"/>
      <c r="Z404" s="1842" t="n"/>
      <c r="AA404" s="1842" t="n"/>
      <c r="AB404" s="1842" t="n"/>
      <c r="AC404" s="1842" t="n"/>
      <c r="AD404" s="1842" t="n"/>
      <c r="AE404" s="1842" t="n"/>
      <c r="AF404" s="1842" t="n"/>
    </row>
    <row r="405" ht="13.5" customHeight="1" s="1883">
      <c r="A405" s="1842" t="n"/>
      <c r="B405" s="1842" t="n"/>
      <c r="C405" s="1842" t="n"/>
      <c r="D405" s="1842" t="n"/>
      <c r="E405" s="1842" t="n"/>
      <c r="F405" s="1842" t="n"/>
      <c r="G405" s="1842" t="n"/>
      <c r="H405" s="1842" t="n"/>
      <c r="I405" s="1842" t="n"/>
      <c r="J405" s="1842" t="n"/>
      <c r="K405" s="1842" t="n"/>
      <c r="L405" s="1842" t="n"/>
      <c r="M405" s="1842" t="n"/>
      <c r="N405" s="1842" t="n"/>
      <c r="O405" s="1842" t="n"/>
      <c r="P405" s="1842" t="n"/>
      <c r="Q405" s="1842" t="n"/>
      <c r="R405" s="1842" t="n"/>
      <c r="S405" s="1842" t="n"/>
      <c r="T405" s="1842" t="n"/>
      <c r="U405" s="1842" t="n"/>
      <c r="V405" s="1842" t="n"/>
      <c r="W405" s="1842" t="n"/>
      <c r="X405" s="1842" t="n"/>
      <c r="Y405" s="1842" t="n"/>
      <c r="Z405" s="1842" t="n"/>
      <c r="AA405" s="1842" t="n"/>
      <c r="AB405" s="1842" t="n"/>
      <c r="AC405" s="1842" t="n"/>
      <c r="AD405" s="1842" t="n"/>
      <c r="AE405" s="1842" t="n"/>
      <c r="AF405" s="1842" t="n"/>
    </row>
    <row r="406" ht="13.5" customHeight="1" s="1883">
      <c r="A406" s="1842" t="n"/>
      <c r="B406" s="1842" t="n"/>
      <c r="C406" s="1842" t="n"/>
      <c r="D406" s="1842" t="n"/>
      <c r="E406" s="1842" t="n"/>
      <c r="F406" s="1842" t="n"/>
      <c r="G406" s="1842" t="n"/>
      <c r="H406" s="1842" t="n"/>
      <c r="I406" s="1842" t="n"/>
      <c r="J406" s="1842" t="n"/>
      <c r="K406" s="1842" t="n"/>
      <c r="L406" s="1842" t="n"/>
      <c r="M406" s="1842" t="n"/>
      <c r="N406" s="1842" t="n"/>
      <c r="O406" s="1842" t="n"/>
      <c r="P406" s="1842" t="n"/>
      <c r="Q406" s="1842" t="n"/>
      <c r="R406" s="1842" t="n"/>
      <c r="S406" s="1842" t="n"/>
      <c r="T406" s="1842" t="n"/>
      <c r="U406" s="1842" t="n"/>
      <c r="V406" s="1842" t="n"/>
      <c r="W406" s="1842" t="n"/>
      <c r="X406" s="1842" t="n"/>
      <c r="Y406" s="1842" t="n"/>
      <c r="Z406" s="1842" t="n"/>
      <c r="AA406" s="1842" t="n"/>
      <c r="AB406" s="1842" t="n"/>
      <c r="AC406" s="1842" t="n"/>
      <c r="AD406" s="1842" t="n"/>
      <c r="AE406" s="1842" t="n"/>
      <c r="AF406" s="1842" t="n"/>
    </row>
    <row r="407" ht="13.5" customHeight="1" s="1883">
      <c r="A407" s="1842" t="n"/>
      <c r="B407" s="1842" t="n"/>
      <c r="C407" s="1842" t="n"/>
      <c r="D407" s="1842" t="n"/>
      <c r="E407" s="1842" t="n"/>
      <c r="F407" s="1842" t="n"/>
      <c r="G407" s="1842" t="n"/>
      <c r="H407" s="1842" t="n"/>
      <c r="I407" s="1842" t="n"/>
      <c r="J407" s="1842" t="n"/>
      <c r="K407" s="1842" t="n"/>
      <c r="L407" s="1842" t="n"/>
      <c r="M407" s="1842" t="n"/>
      <c r="N407" s="1842" t="n"/>
      <c r="O407" s="1842" t="n"/>
      <c r="P407" s="1842" t="n"/>
      <c r="Q407" s="1842" t="n"/>
      <c r="R407" s="1842" t="n"/>
      <c r="S407" s="1842" t="n"/>
      <c r="T407" s="1842" t="n"/>
      <c r="U407" s="1842" t="n"/>
      <c r="V407" s="1842" t="n"/>
      <c r="W407" s="1842" t="n"/>
      <c r="X407" s="1842" t="n"/>
      <c r="Y407" s="1842" t="n"/>
      <c r="Z407" s="1842" t="n"/>
      <c r="AA407" s="1842" t="n"/>
      <c r="AB407" s="1842" t="n"/>
      <c r="AC407" s="1842" t="n"/>
      <c r="AD407" s="1842" t="n"/>
      <c r="AE407" s="1842" t="n"/>
      <c r="AF407" s="1842" t="n"/>
    </row>
    <row r="408" ht="13.5" customHeight="1" s="1883">
      <c r="A408" s="1842" t="n"/>
      <c r="B408" s="1842" t="n"/>
      <c r="C408" s="1842" t="n"/>
      <c r="D408" s="1842" t="n"/>
      <c r="E408" s="1842" t="n"/>
      <c r="F408" s="1842" t="n"/>
      <c r="G408" s="1842" t="n"/>
      <c r="H408" s="1842" t="n"/>
      <c r="I408" s="1842" t="n"/>
      <c r="J408" s="1842" t="n"/>
      <c r="K408" s="1842" t="n"/>
      <c r="L408" s="1842" t="n"/>
      <c r="M408" s="1842" t="n"/>
      <c r="N408" s="1842" t="n"/>
      <c r="O408" s="1842" t="n"/>
      <c r="P408" s="1842" t="n"/>
      <c r="Q408" s="1842" t="n"/>
      <c r="R408" s="1842" t="n"/>
      <c r="S408" s="1842" t="n"/>
      <c r="T408" s="1842" t="n"/>
      <c r="U408" s="1842" t="n"/>
      <c r="V408" s="1842" t="n"/>
      <c r="W408" s="1842" t="n"/>
      <c r="X408" s="1842" t="n"/>
      <c r="Y408" s="1842" t="n"/>
      <c r="Z408" s="1842" t="n"/>
      <c r="AA408" s="1842" t="n"/>
      <c r="AB408" s="1842" t="n"/>
      <c r="AC408" s="1842" t="n"/>
      <c r="AD408" s="1842" t="n"/>
      <c r="AE408" s="1842" t="n"/>
      <c r="AF408" s="1842" t="n"/>
    </row>
    <row r="409" ht="13.5" customHeight="1" s="1883">
      <c r="A409" s="1842" t="n"/>
      <c r="B409" s="1842" t="n"/>
      <c r="C409" s="1842" t="n"/>
      <c r="D409" s="1842" t="n"/>
      <c r="E409" s="1842" t="n"/>
      <c r="F409" s="1842" t="n"/>
      <c r="G409" s="1842" t="n"/>
      <c r="H409" s="1842" t="n"/>
      <c r="I409" s="1842" t="n"/>
      <c r="J409" s="1842" t="n"/>
      <c r="K409" s="1842" t="n"/>
      <c r="L409" s="1842" t="n"/>
      <c r="M409" s="1842" t="n"/>
      <c r="N409" s="1842" t="n"/>
      <c r="O409" s="1842" t="n"/>
      <c r="P409" s="1842" t="n"/>
      <c r="Q409" s="1842" t="n"/>
      <c r="R409" s="1842" t="n"/>
      <c r="S409" s="1842" t="n"/>
      <c r="T409" s="1842" t="n"/>
      <c r="U409" s="1842" t="n"/>
      <c r="V409" s="1842" t="n"/>
      <c r="W409" s="1842" t="n"/>
      <c r="X409" s="1842" t="n"/>
      <c r="Y409" s="1842" t="n"/>
      <c r="Z409" s="1842" t="n"/>
      <c r="AA409" s="1842" t="n"/>
      <c r="AB409" s="1842" t="n"/>
      <c r="AC409" s="1842" t="n"/>
      <c r="AD409" s="1842" t="n"/>
      <c r="AE409" s="1842" t="n"/>
      <c r="AF409" s="1842" t="n"/>
    </row>
    <row r="410" ht="13.5" customHeight="1" s="1883">
      <c r="A410" s="1842" t="n"/>
      <c r="B410" s="1842" t="n"/>
      <c r="C410" s="1842" t="n"/>
      <c r="D410" s="1842" t="n"/>
      <c r="E410" s="1842" t="n"/>
      <c r="F410" s="1842" t="n"/>
      <c r="G410" s="1842" t="n"/>
      <c r="H410" s="1842" t="n"/>
      <c r="I410" s="1842" t="n"/>
      <c r="J410" s="1842" t="n"/>
      <c r="K410" s="1842" t="n"/>
      <c r="L410" s="1842" t="n"/>
      <c r="M410" s="1842" t="n"/>
      <c r="N410" s="1842" t="n"/>
      <c r="O410" s="1842" t="n"/>
      <c r="P410" s="1842" t="n"/>
      <c r="Q410" s="1842" t="n"/>
      <c r="R410" s="1842" t="n"/>
      <c r="S410" s="1842" t="n"/>
      <c r="T410" s="1842" t="n"/>
      <c r="U410" s="1842" t="n"/>
      <c r="V410" s="1842" t="n"/>
      <c r="W410" s="1842" t="n"/>
      <c r="X410" s="1842" t="n"/>
      <c r="Y410" s="1842" t="n"/>
      <c r="Z410" s="1842" t="n"/>
      <c r="AA410" s="1842" t="n"/>
      <c r="AB410" s="1842" t="n"/>
      <c r="AC410" s="1842" t="n"/>
      <c r="AD410" s="1842" t="n"/>
      <c r="AE410" s="1842" t="n"/>
      <c r="AF410" s="1842" t="n"/>
    </row>
    <row r="411" ht="13.5" customHeight="1" s="1883">
      <c r="A411" s="1842" t="n"/>
      <c r="B411" s="1842" t="n"/>
      <c r="C411" s="1842" t="n"/>
      <c r="D411" s="1842" t="n"/>
      <c r="E411" s="1842" t="n"/>
      <c r="F411" s="1842" t="n"/>
      <c r="G411" s="1842" t="n"/>
      <c r="H411" s="1842" t="n"/>
      <c r="I411" s="1842" t="n"/>
      <c r="J411" s="1842" t="n"/>
      <c r="K411" s="1842" t="n"/>
      <c r="L411" s="1842" t="n"/>
      <c r="M411" s="1842" t="n"/>
      <c r="N411" s="1842" t="n"/>
      <c r="O411" s="1842" t="n"/>
      <c r="P411" s="1842" t="n"/>
      <c r="Q411" s="1842" t="n"/>
      <c r="R411" s="1842" t="n"/>
      <c r="S411" s="1842" t="n"/>
      <c r="T411" s="1842" t="n"/>
      <c r="U411" s="1842" t="n"/>
      <c r="V411" s="1842" t="n"/>
      <c r="W411" s="1842" t="n"/>
      <c r="X411" s="1842" t="n"/>
      <c r="Y411" s="1842" t="n"/>
      <c r="Z411" s="1842" t="n"/>
      <c r="AA411" s="1842" t="n"/>
      <c r="AB411" s="1842" t="n"/>
      <c r="AC411" s="1842" t="n"/>
      <c r="AD411" s="1842" t="n"/>
      <c r="AE411" s="1842" t="n"/>
      <c r="AF411" s="1842" t="n"/>
    </row>
    <row r="412" ht="13.5" customHeight="1" s="1883">
      <c r="A412" s="1842" t="n"/>
      <c r="B412" s="1842" t="n"/>
      <c r="C412" s="1842" t="n"/>
      <c r="D412" s="1842" t="n"/>
      <c r="E412" s="1842" t="n"/>
      <c r="F412" s="1842" t="n"/>
      <c r="G412" s="1842" t="n"/>
      <c r="H412" s="1842" t="n"/>
      <c r="I412" s="1842" t="n"/>
      <c r="J412" s="1842" t="n"/>
      <c r="K412" s="1842" t="n"/>
      <c r="L412" s="1842" t="n"/>
      <c r="M412" s="1842" t="n"/>
      <c r="N412" s="1842" t="n"/>
      <c r="O412" s="1842" t="n"/>
      <c r="P412" s="1842" t="n"/>
      <c r="Q412" s="1842" t="n"/>
      <c r="R412" s="1842" t="n"/>
      <c r="S412" s="1842" t="n"/>
      <c r="T412" s="1842" t="n"/>
      <c r="U412" s="1842" t="n"/>
      <c r="V412" s="1842" t="n"/>
      <c r="W412" s="1842" t="n"/>
      <c r="X412" s="1842" t="n"/>
      <c r="Y412" s="1842" t="n"/>
      <c r="Z412" s="1842" t="n"/>
      <c r="AA412" s="1842" t="n"/>
      <c r="AB412" s="1842" t="n"/>
      <c r="AC412" s="1842" t="n"/>
      <c r="AD412" s="1842" t="n"/>
      <c r="AE412" s="1842" t="n"/>
      <c r="AF412" s="1842" t="n"/>
    </row>
    <row r="413" ht="13.5" customHeight="1" s="1883">
      <c r="A413" s="1842" t="n"/>
      <c r="B413" s="1842" t="n"/>
      <c r="C413" s="1842" t="n"/>
      <c r="D413" s="1842" t="n"/>
      <c r="E413" s="1842" t="n"/>
      <c r="F413" s="1842" t="n"/>
      <c r="G413" s="1842" t="n"/>
      <c r="H413" s="1842" t="n"/>
      <c r="I413" s="1842" t="n"/>
      <c r="J413" s="1842" t="n"/>
      <c r="K413" s="1842" t="n"/>
      <c r="L413" s="1842" t="n"/>
      <c r="M413" s="1842" t="n"/>
      <c r="N413" s="1842" t="n"/>
      <c r="O413" s="1842" t="n"/>
      <c r="P413" s="1842" t="n"/>
      <c r="Q413" s="1842" t="n"/>
      <c r="R413" s="1842" t="n"/>
      <c r="S413" s="1842" t="n"/>
      <c r="T413" s="1842" t="n"/>
      <c r="U413" s="1842" t="n"/>
      <c r="V413" s="1842" t="n"/>
      <c r="W413" s="1842" t="n"/>
      <c r="X413" s="1842" t="n"/>
      <c r="Y413" s="1842" t="n"/>
      <c r="Z413" s="1842" t="n"/>
      <c r="AA413" s="1842" t="n"/>
      <c r="AB413" s="1842" t="n"/>
      <c r="AC413" s="1842" t="n"/>
      <c r="AD413" s="1842" t="n"/>
      <c r="AE413" s="1842" t="n"/>
      <c r="AF413" s="1842" t="n"/>
    </row>
    <row r="414" ht="13.5" customHeight="1" s="1883">
      <c r="A414" s="1842" t="n"/>
      <c r="B414" s="1842" t="n"/>
      <c r="C414" s="1842" t="n"/>
      <c r="D414" s="1842" t="n"/>
      <c r="E414" s="1842" t="n"/>
      <c r="F414" s="1842" t="n"/>
      <c r="G414" s="1842" t="n"/>
      <c r="H414" s="1842" t="n"/>
      <c r="I414" s="1842" t="n"/>
      <c r="J414" s="1842" t="n"/>
      <c r="K414" s="1842" t="n"/>
      <c r="L414" s="1842" t="n"/>
      <c r="M414" s="1842" t="n"/>
      <c r="N414" s="1842" t="n"/>
      <c r="O414" s="1842" t="n"/>
      <c r="P414" s="1842" t="n"/>
      <c r="Q414" s="1842" t="n"/>
      <c r="R414" s="1842" t="n"/>
      <c r="S414" s="1842" t="n"/>
      <c r="T414" s="1842" t="n"/>
      <c r="U414" s="1842" t="n"/>
      <c r="V414" s="1842" t="n"/>
      <c r="W414" s="1842" t="n"/>
      <c r="X414" s="1842" t="n"/>
      <c r="Y414" s="1842" t="n"/>
      <c r="Z414" s="1842" t="n"/>
      <c r="AA414" s="1842" t="n"/>
      <c r="AB414" s="1842" t="n"/>
      <c r="AC414" s="1842" t="n"/>
      <c r="AD414" s="1842" t="n"/>
      <c r="AE414" s="1842" t="n"/>
      <c r="AF414" s="1842" t="n"/>
    </row>
    <row r="415" ht="13.5" customHeight="1" s="1883">
      <c r="A415" s="1842" t="n"/>
      <c r="B415" s="1842" t="n"/>
      <c r="C415" s="1842" t="n"/>
      <c r="D415" s="1842" t="n"/>
      <c r="E415" s="1842" t="n"/>
      <c r="F415" s="1842" t="n"/>
      <c r="G415" s="1842" t="n"/>
      <c r="H415" s="1842" t="n"/>
      <c r="I415" s="1842" t="n"/>
      <c r="J415" s="1842" t="n"/>
      <c r="K415" s="1842" t="n"/>
      <c r="L415" s="1842" t="n"/>
      <c r="M415" s="1842" t="n"/>
      <c r="N415" s="1842" t="n"/>
      <c r="O415" s="1842" t="n"/>
      <c r="P415" s="1842" t="n"/>
      <c r="Q415" s="1842" t="n"/>
      <c r="R415" s="1842" t="n"/>
      <c r="S415" s="1842" t="n"/>
      <c r="T415" s="1842" t="n"/>
      <c r="U415" s="1842" t="n"/>
      <c r="V415" s="1842" t="n"/>
      <c r="W415" s="1842" t="n"/>
      <c r="X415" s="1842" t="n"/>
      <c r="Y415" s="1842" t="n"/>
      <c r="Z415" s="1842" t="n"/>
      <c r="AA415" s="1842" t="n"/>
      <c r="AB415" s="1842" t="n"/>
      <c r="AC415" s="1842" t="n"/>
      <c r="AD415" s="1842" t="n"/>
      <c r="AE415" s="1842" t="n"/>
      <c r="AF415" s="1842" t="n"/>
    </row>
    <row r="416" ht="13.5" customHeight="1" s="1883">
      <c r="A416" s="1842" t="n"/>
      <c r="B416" s="1842" t="n"/>
      <c r="C416" s="1842" t="n"/>
      <c r="D416" s="1842" t="n"/>
      <c r="E416" s="1842" t="n"/>
      <c r="F416" s="1842" t="n"/>
      <c r="G416" s="1842" t="n"/>
      <c r="H416" s="1842" t="n"/>
      <c r="I416" s="1842" t="n"/>
      <c r="J416" s="1842" t="n"/>
      <c r="K416" s="1842" t="n"/>
      <c r="L416" s="1842" t="n"/>
      <c r="M416" s="1842" t="n"/>
      <c r="N416" s="1842" t="n"/>
      <c r="O416" s="1842" t="n"/>
      <c r="P416" s="1842" t="n"/>
      <c r="Q416" s="1842" t="n"/>
      <c r="R416" s="1842" t="n"/>
      <c r="S416" s="1842" t="n"/>
      <c r="T416" s="1842" t="n"/>
      <c r="U416" s="1842" t="n"/>
      <c r="V416" s="1842" t="n"/>
      <c r="W416" s="1842" t="n"/>
      <c r="X416" s="1842" t="n"/>
      <c r="Y416" s="1842" t="n"/>
      <c r="Z416" s="1842" t="n"/>
      <c r="AA416" s="1842" t="n"/>
      <c r="AB416" s="1842" t="n"/>
      <c r="AC416" s="1842" t="n"/>
      <c r="AD416" s="1842" t="n"/>
      <c r="AE416" s="1842" t="n"/>
      <c r="AF416" s="1842" t="n"/>
    </row>
    <row r="417" ht="13.5" customHeight="1" s="1883">
      <c r="A417" s="1842" t="n"/>
      <c r="B417" s="1842" t="n"/>
      <c r="C417" s="1842" t="n"/>
      <c r="D417" s="1842" t="n"/>
      <c r="E417" s="1842" t="n"/>
      <c r="F417" s="1842" t="n"/>
      <c r="G417" s="1842" t="n"/>
      <c r="H417" s="1842" t="n"/>
      <c r="I417" s="1842" t="n"/>
      <c r="J417" s="1842" t="n"/>
      <c r="K417" s="1842" t="n"/>
      <c r="L417" s="1842" t="n"/>
      <c r="M417" s="1842" t="n"/>
      <c r="N417" s="1842" t="n"/>
      <c r="O417" s="1842" t="n"/>
      <c r="P417" s="1842" t="n"/>
      <c r="Q417" s="1842" t="n"/>
      <c r="R417" s="1842" t="n"/>
      <c r="S417" s="1842" t="n"/>
      <c r="T417" s="1842" t="n"/>
      <c r="U417" s="1842" t="n"/>
      <c r="V417" s="1842" t="n"/>
      <c r="W417" s="1842" t="n"/>
      <c r="X417" s="1842" t="n"/>
      <c r="Y417" s="1842" t="n"/>
      <c r="Z417" s="1842" t="n"/>
      <c r="AA417" s="1842" t="n"/>
      <c r="AB417" s="1842" t="n"/>
      <c r="AC417" s="1842" t="n"/>
      <c r="AD417" s="1842" t="n"/>
      <c r="AE417" s="1842" t="n"/>
      <c r="AF417" s="1842" t="n"/>
    </row>
    <row r="418" ht="13.5" customHeight="1" s="1883">
      <c r="A418" s="1842" t="n"/>
      <c r="B418" s="1842" t="n"/>
      <c r="C418" s="1842" t="n"/>
      <c r="D418" s="1842" t="n"/>
      <c r="E418" s="1842" t="n"/>
      <c r="F418" s="1842" t="n"/>
      <c r="G418" s="1842" t="n"/>
      <c r="H418" s="1842" t="n"/>
      <c r="I418" s="1842" t="n"/>
      <c r="J418" s="1842" t="n"/>
      <c r="K418" s="1842" t="n"/>
      <c r="L418" s="1842" t="n"/>
      <c r="M418" s="1842" t="n"/>
      <c r="N418" s="1842" t="n"/>
      <c r="O418" s="1842" t="n"/>
      <c r="P418" s="1842" t="n"/>
      <c r="Q418" s="1842" t="n"/>
      <c r="R418" s="1842" t="n"/>
      <c r="S418" s="1842" t="n"/>
      <c r="T418" s="1842" t="n"/>
      <c r="U418" s="1842" t="n"/>
      <c r="V418" s="1842" t="n"/>
      <c r="W418" s="1842" t="n"/>
      <c r="X418" s="1842" t="n"/>
      <c r="Y418" s="1842" t="n"/>
      <c r="Z418" s="1842" t="n"/>
      <c r="AA418" s="1842" t="n"/>
      <c r="AB418" s="1842" t="n"/>
      <c r="AC418" s="1842" t="n"/>
      <c r="AD418" s="1842" t="n"/>
      <c r="AE418" s="1842" t="n"/>
      <c r="AF418" s="1842" t="n"/>
    </row>
    <row r="419" ht="13.5" customHeight="1" s="1883">
      <c r="A419" s="1842" t="n"/>
      <c r="B419" s="1842" t="n"/>
      <c r="C419" s="1842" t="n"/>
      <c r="D419" s="1842" t="n"/>
      <c r="E419" s="1842" t="n"/>
      <c r="F419" s="1842" t="n"/>
      <c r="G419" s="1842" t="n"/>
      <c r="H419" s="1842" t="n"/>
      <c r="I419" s="1842" t="n"/>
      <c r="J419" s="1842" t="n"/>
      <c r="K419" s="1842" t="n"/>
      <c r="L419" s="1842" t="n"/>
      <c r="M419" s="1842" t="n"/>
      <c r="N419" s="1842" t="n"/>
      <c r="O419" s="1842" t="n"/>
      <c r="P419" s="1842" t="n"/>
      <c r="Q419" s="1842" t="n"/>
      <c r="R419" s="1842" t="n"/>
      <c r="S419" s="1842" t="n"/>
      <c r="T419" s="1842" t="n"/>
      <c r="U419" s="1842" t="n"/>
      <c r="V419" s="1842" t="n"/>
      <c r="W419" s="1842" t="n"/>
      <c r="X419" s="1842" t="n"/>
      <c r="Y419" s="1842" t="n"/>
      <c r="Z419" s="1842" t="n"/>
      <c r="AA419" s="1842" t="n"/>
      <c r="AB419" s="1842" t="n"/>
      <c r="AC419" s="1842" t="n"/>
      <c r="AD419" s="1842" t="n"/>
      <c r="AE419" s="1842" t="n"/>
      <c r="AF419" s="1842" t="n"/>
    </row>
    <row r="420" ht="13.5" customHeight="1" s="1883">
      <c r="A420" s="1842" t="n"/>
      <c r="B420" s="1842" t="n"/>
      <c r="C420" s="1842" t="n"/>
      <c r="D420" s="1842" t="n"/>
      <c r="E420" s="1842" t="n"/>
      <c r="F420" s="1842" t="n"/>
      <c r="G420" s="1842" t="n"/>
      <c r="H420" s="1842" t="n"/>
      <c r="I420" s="1842" t="n"/>
      <c r="J420" s="1842" t="n"/>
      <c r="K420" s="1842" t="n"/>
      <c r="L420" s="1842" t="n"/>
      <c r="M420" s="1842" t="n"/>
      <c r="N420" s="1842" t="n"/>
      <c r="O420" s="1842" t="n"/>
      <c r="P420" s="1842" t="n"/>
      <c r="Q420" s="1842" t="n"/>
      <c r="R420" s="1842" t="n"/>
      <c r="S420" s="1842" t="n"/>
      <c r="T420" s="1842" t="n"/>
      <c r="U420" s="1842" t="n"/>
      <c r="V420" s="1842" t="n"/>
      <c r="W420" s="1842" t="n"/>
      <c r="X420" s="1842" t="n"/>
      <c r="Y420" s="1842" t="n"/>
      <c r="Z420" s="1842" t="n"/>
      <c r="AA420" s="1842" t="n"/>
      <c r="AB420" s="1842" t="n"/>
      <c r="AC420" s="1842" t="n"/>
      <c r="AD420" s="1842" t="n"/>
      <c r="AE420" s="1842" t="n"/>
      <c r="AF420" s="1842" t="n"/>
    </row>
    <row r="421" ht="13.5" customHeight="1" s="1883">
      <c r="A421" s="1842" t="n"/>
      <c r="B421" s="1842" t="n"/>
      <c r="C421" s="1842" t="n"/>
      <c r="D421" s="1842" t="n"/>
      <c r="E421" s="1842" t="n"/>
      <c r="F421" s="1842" t="n"/>
      <c r="G421" s="1842" t="n"/>
      <c r="H421" s="1842" t="n"/>
      <c r="I421" s="1842" t="n"/>
      <c r="J421" s="1842" t="n"/>
      <c r="K421" s="1842" t="n"/>
      <c r="L421" s="1842" t="n"/>
      <c r="M421" s="1842" t="n"/>
      <c r="N421" s="1842" t="n"/>
      <c r="O421" s="1842" t="n"/>
      <c r="P421" s="1842" t="n"/>
      <c r="Q421" s="1842" t="n"/>
      <c r="R421" s="1842" t="n"/>
      <c r="S421" s="1842" t="n"/>
      <c r="T421" s="1842" t="n"/>
      <c r="U421" s="1842" t="n"/>
      <c r="V421" s="1842" t="n"/>
      <c r="W421" s="1842" t="n"/>
      <c r="X421" s="1842" t="n"/>
      <c r="Y421" s="1842" t="n"/>
      <c r="Z421" s="1842" t="n"/>
      <c r="AA421" s="1842" t="n"/>
      <c r="AB421" s="1842" t="n"/>
      <c r="AC421" s="1842" t="n"/>
      <c r="AD421" s="1842" t="n"/>
      <c r="AE421" s="1842" t="n"/>
      <c r="AF421" s="1842" t="n"/>
    </row>
    <row r="422" ht="13.5" customHeight="1" s="1883">
      <c r="A422" s="1842" t="n"/>
      <c r="B422" s="1842" t="n"/>
      <c r="C422" s="1842" t="n"/>
      <c r="D422" s="1842" t="n"/>
      <c r="E422" s="1842" t="n"/>
      <c r="F422" s="1842" t="n"/>
      <c r="G422" s="1842" t="n"/>
      <c r="H422" s="1842" t="n"/>
      <c r="I422" s="1842" t="n"/>
      <c r="J422" s="1842" t="n"/>
      <c r="K422" s="1842" t="n"/>
      <c r="L422" s="1842" t="n"/>
      <c r="M422" s="1842" t="n"/>
      <c r="N422" s="1842" t="n"/>
      <c r="O422" s="1842" t="n"/>
      <c r="P422" s="1842" t="n"/>
      <c r="Q422" s="1842" t="n"/>
      <c r="R422" s="1842" t="n"/>
      <c r="S422" s="1842" t="n"/>
      <c r="T422" s="1842" t="n"/>
      <c r="U422" s="1842" t="n"/>
      <c r="V422" s="1842" t="n"/>
      <c r="W422" s="1842" t="n"/>
      <c r="X422" s="1842" t="n"/>
      <c r="Y422" s="1842" t="n"/>
      <c r="Z422" s="1842" t="n"/>
      <c r="AA422" s="1842" t="n"/>
      <c r="AB422" s="1842" t="n"/>
      <c r="AC422" s="1842" t="n"/>
      <c r="AD422" s="1842" t="n"/>
      <c r="AE422" s="1842" t="n"/>
      <c r="AF422" s="1842" t="n"/>
    </row>
    <row r="423" ht="13.5" customHeight="1" s="1883">
      <c r="A423" s="1842" t="n"/>
      <c r="B423" s="1842" t="n"/>
      <c r="C423" s="1842" t="n"/>
      <c r="D423" s="1842" t="n"/>
      <c r="E423" s="1842" t="n"/>
      <c r="F423" s="1842" t="n"/>
      <c r="G423" s="1842" t="n"/>
      <c r="H423" s="1842" t="n"/>
      <c r="I423" s="1842" t="n"/>
      <c r="J423" s="1842" t="n"/>
      <c r="K423" s="1842" t="n"/>
      <c r="L423" s="1842" t="n"/>
      <c r="M423" s="1842" t="n"/>
      <c r="N423" s="1842" t="n"/>
      <c r="O423" s="1842" t="n"/>
      <c r="P423" s="1842" t="n"/>
      <c r="Q423" s="1842" t="n"/>
      <c r="R423" s="1842" t="n"/>
      <c r="S423" s="1842" t="n"/>
      <c r="T423" s="1842" t="n"/>
      <c r="U423" s="1842" t="n"/>
      <c r="V423" s="1842" t="n"/>
      <c r="W423" s="1842" t="n"/>
      <c r="X423" s="1842" t="n"/>
      <c r="Y423" s="1842" t="n"/>
      <c r="Z423" s="1842" t="n"/>
      <c r="AA423" s="1842" t="n"/>
      <c r="AB423" s="1842" t="n"/>
      <c r="AC423" s="1842" t="n"/>
      <c r="AD423" s="1842" t="n"/>
      <c r="AE423" s="1842" t="n"/>
      <c r="AF423" s="1842" t="n"/>
    </row>
    <row r="424" ht="13.5" customHeight="1" s="1883">
      <c r="A424" s="1842" t="n"/>
      <c r="B424" s="1842" t="n"/>
      <c r="C424" s="1842" t="n"/>
      <c r="D424" s="1842" t="n"/>
      <c r="E424" s="1842" t="n"/>
      <c r="F424" s="1842" t="n"/>
      <c r="G424" s="1842" t="n"/>
      <c r="H424" s="1842" t="n"/>
      <c r="I424" s="1842" t="n"/>
      <c r="J424" s="1842" t="n"/>
      <c r="K424" s="1842" t="n"/>
      <c r="L424" s="1842" t="n"/>
      <c r="M424" s="1842" t="n"/>
      <c r="N424" s="1842" t="n"/>
      <c r="O424" s="1842" t="n"/>
      <c r="P424" s="1842" t="n"/>
      <c r="Q424" s="1842" t="n"/>
      <c r="R424" s="1842" t="n"/>
      <c r="S424" s="1842" t="n"/>
      <c r="T424" s="1842" t="n"/>
      <c r="U424" s="1842" t="n"/>
      <c r="V424" s="1842" t="n"/>
      <c r="W424" s="1842" t="n"/>
      <c r="X424" s="1842" t="n"/>
      <c r="Y424" s="1842" t="n"/>
      <c r="Z424" s="1842" t="n"/>
      <c r="AA424" s="1842" t="n"/>
      <c r="AB424" s="1842" t="n"/>
      <c r="AC424" s="1842" t="n"/>
      <c r="AD424" s="1842" t="n"/>
      <c r="AE424" s="1842" t="n"/>
      <c r="AF424" s="1842" t="n"/>
    </row>
    <row r="425" ht="13.5" customHeight="1" s="1883">
      <c r="A425" s="1842" t="n"/>
      <c r="B425" s="1842" t="n"/>
      <c r="C425" s="1842" t="n"/>
      <c r="D425" s="1842" t="n"/>
      <c r="E425" s="1842" t="n"/>
      <c r="F425" s="1842" t="n"/>
      <c r="G425" s="1842" t="n"/>
      <c r="H425" s="1842" t="n"/>
      <c r="I425" s="1842" t="n"/>
      <c r="J425" s="1842" t="n"/>
      <c r="K425" s="1842" t="n"/>
      <c r="L425" s="1842" t="n"/>
      <c r="M425" s="1842" t="n"/>
      <c r="N425" s="1842" t="n"/>
      <c r="O425" s="1842" t="n"/>
      <c r="P425" s="1842" t="n"/>
      <c r="Q425" s="1842" t="n"/>
      <c r="R425" s="1842" t="n"/>
      <c r="S425" s="1842" t="n"/>
      <c r="T425" s="1842" t="n"/>
      <c r="U425" s="1842" t="n"/>
      <c r="V425" s="1842" t="n"/>
      <c r="W425" s="1842" t="n"/>
      <c r="X425" s="1842" t="n"/>
      <c r="Y425" s="1842" t="n"/>
      <c r="Z425" s="1842" t="n"/>
      <c r="AA425" s="1842" t="n"/>
      <c r="AB425" s="1842" t="n"/>
      <c r="AC425" s="1842" t="n"/>
      <c r="AD425" s="1842" t="n"/>
      <c r="AE425" s="1842" t="n"/>
      <c r="AF425" s="1842" t="n"/>
    </row>
    <row r="426" ht="13.5" customHeight="1" s="1883">
      <c r="A426" s="1842" t="n"/>
      <c r="B426" s="1842" t="n"/>
      <c r="C426" s="1842" t="n"/>
      <c r="D426" s="1842" t="n"/>
      <c r="E426" s="1842" t="n"/>
      <c r="F426" s="1842" t="n"/>
      <c r="G426" s="1842" t="n"/>
      <c r="H426" s="1842" t="n"/>
      <c r="I426" s="1842" t="n"/>
      <c r="J426" s="1842" t="n"/>
      <c r="K426" s="1842" t="n"/>
      <c r="L426" s="1842" t="n"/>
      <c r="M426" s="1842" t="n"/>
      <c r="N426" s="1842" t="n"/>
      <c r="O426" s="1842" t="n"/>
      <c r="P426" s="1842" t="n"/>
      <c r="Q426" s="1842" t="n"/>
      <c r="R426" s="1842" t="n"/>
      <c r="S426" s="1842" t="n"/>
      <c r="T426" s="1842" t="n"/>
      <c r="U426" s="1842" t="n"/>
      <c r="V426" s="1842" t="n"/>
      <c r="W426" s="1842" t="n"/>
      <c r="X426" s="1842" t="n"/>
      <c r="Y426" s="1842" t="n"/>
      <c r="Z426" s="1842" t="n"/>
      <c r="AA426" s="1842" t="n"/>
      <c r="AB426" s="1842" t="n"/>
      <c r="AC426" s="1842" t="n"/>
      <c r="AD426" s="1842" t="n"/>
      <c r="AE426" s="1842" t="n"/>
      <c r="AF426" s="1842" t="n"/>
    </row>
    <row r="427" ht="13.5" customHeight="1" s="1883">
      <c r="A427" s="1842" t="n"/>
      <c r="B427" s="1842" t="n"/>
      <c r="C427" s="1842" t="n"/>
      <c r="D427" s="1842" t="n"/>
      <c r="E427" s="1842" t="n"/>
      <c r="F427" s="1842" t="n"/>
      <c r="G427" s="1842" t="n"/>
      <c r="H427" s="1842" t="n"/>
      <c r="I427" s="1842" t="n"/>
      <c r="J427" s="1842" t="n"/>
      <c r="K427" s="1842" t="n"/>
      <c r="L427" s="1842" t="n"/>
      <c r="M427" s="1842" t="n"/>
      <c r="N427" s="1842" t="n"/>
      <c r="O427" s="1842" t="n"/>
      <c r="P427" s="1842" t="n"/>
      <c r="Q427" s="1842" t="n"/>
      <c r="R427" s="1842" t="n"/>
      <c r="S427" s="1842" t="n"/>
      <c r="T427" s="1842" t="n"/>
      <c r="U427" s="1842" t="n"/>
      <c r="V427" s="1842" t="n"/>
      <c r="W427" s="1842" t="n"/>
      <c r="X427" s="1842" t="n"/>
      <c r="Y427" s="1842" t="n"/>
      <c r="Z427" s="1842" t="n"/>
      <c r="AA427" s="1842" t="n"/>
      <c r="AB427" s="1842" t="n"/>
      <c r="AC427" s="1842" t="n"/>
      <c r="AD427" s="1842" t="n"/>
      <c r="AE427" s="1842" t="n"/>
      <c r="AF427" s="1842" t="n"/>
    </row>
    <row r="428" ht="13.5" customHeight="1" s="1883">
      <c r="A428" s="1842" t="n"/>
      <c r="B428" s="1842" t="n"/>
      <c r="C428" s="1842" t="n"/>
      <c r="D428" s="1842" t="n"/>
      <c r="E428" s="1842" t="n"/>
      <c r="F428" s="1842" t="n"/>
      <c r="G428" s="1842" t="n"/>
      <c r="H428" s="1842" t="n"/>
      <c r="I428" s="1842" t="n"/>
      <c r="J428" s="1842" t="n"/>
      <c r="K428" s="1842" t="n"/>
      <c r="L428" s="1842" t="n"/>
      <c r="M428" s="1842" t="n"/>
      <c r="N428" s="1842" t="n"/>
      <c r="O428" s="1842" t="n"/>
      <c r="P428" s="1842" t="n"/>
      <c r="Q428" s="1842" t="n"/>
      <c r="R428" s="1842" t="n"/>
      <c r="S428" s="1842" t="n"/>
      <c r="T428" s="1842" t="n"/>
      <c r="U428" s="1842" t="n"/>
      <c r="V428" s="1842" t="n"/>
      <c r="W428" s="1842" t="n"/>
      <c r="X428" s="1842" t="n"/>
      <c r="Y428" s="1842" t="n"/>
      <c r="Z428" s="1842" t="n"/>
      <c r="AA428" s="1842" t="n"/>
      <c r="AB428" s="1842" t="n"/>
      <c r="AC428" s="1842" t="n"/>
      <c r="AD428" s="1842" t="n"/>
      <c r="AE428" s="1842" t="n"/>
      <c r="AF428" s="1842" t="n"/>
    </row>
    <row r="429" ht="13.5" customHeight="1" s="1883">
      <c r="A429" s="1842" t="n"/>
      <c r="B429" s="1842" t="n"/>
      <c r="C429" s="1842" t="n"/>
      <c r="D429" s="1842" t="n"/>
      <c r="E429" s="1842" t="n"/>
      <c r="F429" s="1842" t="n"/>
      <c r="G429" s="1842" t="n"/>
      <c r="H429" s="1842" t="n"/>
      <c r="I429" s="1842" t="n"/>
      <c r="J429" s="1842" t="n"/>
      <c r="K429" s="1842" t="n"/>
      <c r="L429" s="1842" t="n"/>
      <c r="M429" s="1842" t="n"/>
      <c r="N429" s="1842" t="n"/>
      <c r="O429" s="1842" t="n"/>
      <c r="P429" s="1842" t="n"/>
      <c r="Q429" s="1842" t="n"/>
      <c r="R429" s="1842" t="n"/>
      <c r="S429" s="1842" t="n"/>
      <c r="T429" s="1842" t="n"/>
      <c r="U429" s="1842" t="n"/>
      <c r="V429" s="1842" t="n"/>
      <c r="W429" s="1842" t="n"/>
      <c r="X429" s="1842" t="n"/>
      <c r="Y429" s="1842" t="n"/>
      <c r="Z429" s="1842" t="n"/>
      <c r="AA429" s="1842" t="n"/>
      <c r="AB429" s="1842" t="n"/>
      <c r="AC429" s="1842" t="n"/>
      <c r="AD429" s="1842" t="n"/>
      <c r="AE429" s="1842" t="n"/>
      <c r="AF429" s="1842" t="n"/>
    </row>
    <row r="430" ht="13.5" customHeight="1" s="1883">
      <c r="A430" s="1842" t="n"/>
      <c r="B430" s="1842" t="n"/>
      <c r="C430" s="1842" t="n"/>
      <c r="D430" s="1842" t="n"/>
      <c r="E430" s="1842" t="n"/>
      <c r="F430" s="1842" t="n"/>
      <c r="G430" s="1842" t="n"/>
      <c r="H430" s="1842" t="n"/>
      <c r="I430" s="1842" t="n"/>
      <c r="J430" s="1842" t="n"/>
      <c r="K430" s="1842" t="n"/>
      <c r="L430" s="1842" t="n"/>
      <c r="M430" s="1842" t="n"/>
      <c r="N430" s="1842" t="n"/>
      <c r="O430" s="1842" t="n"/>
      <c r="P430" s="1842" t="n"/>
      <c r="Q430" s="1842" t="n"/>
      <c r="R430" s="1842" t="n"/>
      <c r="S430" s="1842" t="n"/>
      <c r="T430" s="1842" t="n"/>
      <c r="U430" s="1842" t="n"/>
      <c r="V430" s="1842" t="n"/>
      <c r="W430" s="1842" t="n"/>
      <c r="X430" s="1842" t="n"/>
      <c r="Y430" s="1842" t="n"/>
      <c r="Z430" s="1842" t="n"/>
      <c r="AA430" s="1842" t="n"/>
      <c r="AB430" s="1842" t="n"/>
      <c r="AC430" s="1842" t="n"/>
      <c r="AD430" s="1842" t="n"/>
      <c r="AE430" s="1842" t="n"/>
      <c r="AF430" s="1842" t="n"/>
    </row>
    <row r="431" ht="13.5" customHeight="1" s="1883">
      <c r="A431" s="1842" t="n"/>
      <c r="B431" s="1842" t="n"/>
      <c r="C431" s="1842" t="n"/>
      <c r="D431" s="1842" t="n"/>
      <c r="E431" s="1842" t="n"/>
      <c r="F431" s="1842" t="n"/>
      <c r="G431" s="1842" t="n"/>
      <c r="H431" s="1842" t="n"/>
      <c r="I431" s="1842" t="n"/>
      <c r="J431" s="1842" t="n"/>
      <c r="K431" s="1842" t="n"/>
      <c r="L431" s="1842" t="n"/>
      <c r="M431" s="1842" t="n"/>
      <c r="N431" s="1842" t="n"/>
      <c r="O431" s="1842" t="n"/>
      <c r="P431" s="1842" t="n"/>
      <c r="Q431" s="1842" t="n"/>
      <c r="R431" s="1842" t="n"/>
      <c r="S431" s="1842" t="n"/>
      <c r="T431" s="1842" t="n"/>
      <c r="U431" s="1842" t="n"/>
      <c r="V431" s="1842" t="n"/>
      <c r="W431" s="1842" t="n"/>
      <c r="X431" s="1842" t="n"/>
      <c r="Y431" s="1842" t="n"/>
      <c r="Z431" s="1842" t="n"/>
      <c r="AA431" s="1842" t="n"/>
      <c r="AB431" s="1842" t="n"/>
      <c r="AC431" s="1842" t="n"/>
      <c r="AD431" s="1842" t="n"/>
      <c r="AE431" s="1842" t="n"/>
      <c r="AF431" s="1842" t="n"/>
    </row>
    <row r="432" ht="13.5" customHeight="1" s="1883">
      <c r="A432" s="1842" t="n"/>
      <c r="B432" s="1842" t="n"/>
      <c r="C432" s="1842" t="n"/>
      <c r="D432" s="1842" t="n"/>
      <c r="E432" s="1842" t="n"/>
      <c r="F432" s="1842" t="n"/>
      <c r="G432" s="1842" t="n"/>
      <c r="H432" s="1842" t="n"/>
      <c r="I432" s="1842" t="n"/>
      <c r="J432" s="1842" t="n"/>
      <c r="K432" s="1842" t="n"/>
      <c r="L432" s="1842" t="n"/>
      <c r="M432" s="1842" t="n"/>
      <c r="N432" s="1842" t="n"/>
      <c r="O432" s="1842" t="n"/>
      <c r="P432" s="1842" t="n"/>
      <c r="Q432" s="1842" t="n"/>
      <c r="R432" s="1842" t="n"/>
      <c r="S432" s="1842" t="n"/>
      <c r="T432" s="1842" t="n"/>
      <c r="U432" s="1842" t="n"/>
      <c r="V432" s="1842" t="n"/>
      <c r="W432" s="1842" t="n"/>
      <c r="X432" s="1842" t="n"/>
      <c r="Y432" s="1842" t="n"/>
      <c r="Z432" s="1842" t="n"/>
      <c r="AA432" s="1842" t="n"/>
      <c r="AB432" s="1842" t="n"/>
      <c r="AC432" s="1842" t="n"/>
      <c r="AD432" s="1842" t="n"/>
      <c r="AE432" s="1842" t="n"/>
      <c r="AF432" s="1842" t="n"/>
    </row>
    <row r="433" ht="13.5" customHeight="1" s="1883">
      <c r="A433" s="1842" t="n"/>
      <c r="B433" s="1842" t="n"/>
      <c r="C433" s="1842" t="n"/>
      <c r="D433" s="1842" t="n"/>
      <c r="E433" s="1842" t="n"/>
      <c r="F433" s="1842" t="n"/>
      <c r="G433" s="1842" t="n"/>
      <c r="H433" s="1842" t="n"/>
      <c r="I433" s="1842" t="n"/>
      <c r="J433" s="1842" t="n"/>
      <c r="K433" s="1842" t="n"/>
      <c r="L433" s="1842" t="n"/>
      <c r="M433" s="1842" t="n"/>
      <c r="N433" s="1842" t="n"/>
      <c r="O433" s="1842" t="n"/>
      <c r="P433" s="1842" t="n"/>
      <c r="Q433" s="1842" t="n"/>
      <c r="R433" s="1842" t="n"/>
      <c r="S433" s="1842" t="n"/>
      <c r="T433" s="1842" t="n"/>
      <c r="U433" s="1842" t="n"/>
      <c r="V433" s="1842" t="n"/>
      <c r="W433" s="1842" t="n"/>
      <c r="X433" s="1842" t="n"/>
      <c r="Y433" s="1842" t="n"/>
      <c r="Z433" s="1842" t="n"/>
      <c r="AA433" s="1842" t="n"/>
      <c r="AB433" s="1842" t="n"/>
      <c r="AC433" s="1842" t="n"/>
      <c r="AD433" s="1842" t="n"/>
      <c r="AE433" s="1842" t="n"/>
      <c r="AF433" s="1842" t="n"/>
    </row>
    <row r="434" ht="13.5" customHeight="1" s="1883">
      <c r="A434" s="1842" t="n"/>
      <c r="B434" s="1842" t="n"/>
      <c r="C434" s="1842" t="n"/>
      <c r="D434" s="1842" t="n"/>
      <c r="E434" s="1842" t="n"/>
      <c r="F434" s="1842" t="n"/>
      <c r="G434" s="1842" t="n"/>
      <c r="H434" s="1842" t="n"/>
      <c r="I434" s="1842" t="n"/>
      <c r="J434" s="1842" t="n"/>
      <c r="K434" s="1842" t="n"/>
      <c r="L434" s="1842" t="n"/>
      <c r="M434" s="1842" t="n"/>
      <c r="N434" s="1842" t="n"/>
      <c r="O434" s="1842" t="n"/>
      <c r="P434" s="1842" t="n"/>
      <c r="Q434" s="1842" t="n"/>
      <c r="R434" s="1842" t="n"/>
      <c r="S434" s="1842" t="n"/>
      <c r="T434" s="1842" t="n"/>
      <c r="U434" s="1842" t="n"/>
      <c r="V434" s="1842" t="n"/>
      <c r="W434" s="1842" t="n"/>
      <c r="X434" s="1842" t="n"/>
      <c r="Y434" s="1842" t="n"/>
      <c r="Z434" s="1842" t="n"/>
      <c r="AA434" s="1842" t="n"/>
      <c r="AB434" s="1842" t="n"/>
      <c r="AC434" s="1842" t="n"/>
      <c r="AD434" s="1842" t="n"/>
      <c r="AE434" s="1842" t="n"/>
      <c r="AF434" s="1842" t="n"/>
    </row>
    <row r="435" ht="13.5" customHeight="1" s="1883">
      <c r="A435" s="1842" t="n"/>
      <c r="B435" s="1842" t="n"/>
      <c r="C435" s="1842" t="n"/>
      <c r="D435" s="1842" t="n"/>
      <c r="E435" s="1842" t="n"/>
      <c r="F435" s="1842" t="n"/>
      <c r="G435" s="1842" t="n"/>
      <c r="H435" s="1842" t="n"/>
      <c r="I435" s="1842" t="n"/>
      <c r="J435" s="1842" t="n"/>
      <c r="K435" s="1842" t="n"/>
      <c r="L435" s="1842" t="n"/>
      <c r="M435" s="1842" t="n"/>
      <c r="N435" s="1842" t="n"/>
      <c r="O435" s="1842" t="n"/>
      <c r="P435" s="1842" t="n"/>
      <c r="Q435" s="1842" t="n"/>
      <c r="R435" s="1842" t="n"/>
      <c r="S435" s="1842" t="n"/>
      <c r="T435" s="1842" t="n"/>
      <c r="U435" s="1842" t="n"/>
      <c r="V435" s="1842" t="n"/>
      <c r="W435" s="1842" t="n"/>
      <c r="X435" s="1842" t="n"/>
      <c r="Y435" s="1842" t="n"/>
      <c r="Z435" s="1842" t="n"/>
      <c r="AA435" s="1842" t="n"/>
      <c r="AB435" s="1842" t="n"/>
      <c r="AC435" s="1842" t="n"/>
      <c r="AD435" s="1842" t="n"/>
      <c r="AE435" s="1842" t="n"/>
      <c r="AF435" s="1842" t="n"/>
    </row>
    <row r="436" ht="13.5" customHeight="1" s="1883">
      <c r="A436" s="1842" t="n"/>
      <c r="B436" s="1842" t="n"/>
      <c r="C436" s="1842" t="n"/>
      <c r="D436" s="1842" t="n"/>
      <c r="E436" s="1842" t="n"/>
      <c r="F436" s="1842" t="n"/>
      <c r="G436" s="1842" t="n"/>
      <c r="H436" s="1842" t="n"/>
      <c r="I436" s="1842" t="n"/>
      <c r="J436" s="1842" t="n"/>
      <c r="K436" s="1842" t="n"/>
      <c r="L436" s="1842" t="n"/>
      <c r="M436" s="1842" t="n"/>
      <c r="N436" s="1842" t="n"/>
      <c r="O436" s="1842" t="n"/>
      <c r="P436" s="1842" t="n"/>
      <c r="Q436" s="1842" t="n"/>
      <c r="R436" s="1842" t="n"/>
      <c r="S436" s="1842" t="n"/>
      <c r="T436" s="1842" t="n"/>
      <c r="U436" s="1842" t="n"/>
      <c r="V436" s="1842" t="n"/>
      <c r="W436" s="1842" t="n"/>
      <c r="X436" s="1842" t="n"/>
      <c r="Y436" s="1842" t="n"/>
      <c r="Z436" s="1842" t="n"/>
      <c r="AA436" s="1842" t="n"/>
      <c r="AB436" s="1842" t="n"/>
      <c r="AC436" s="1842" t="n"/>
      <c r="AD436" s="1842" t="n"/>
      <c r="AE436" s="1842" t="n"/>
      <c r="AF436" s="1842" t="n"/>
    </row>
    <row r="437" ht="13.5" customHeight="1" s="1883">
      <c r="A437" s="1842" t="n"/>
      <c r="B437" s="1842" t="n"/>
      <c r="C437" s="1842" t="n"/>
      <c r="D437" s="1842" t="n"/>
      <c r="E437" s="1842" t="n"/>
      <c r="F437" s="1842" t="n"/>
      <c r="G437" s="1842" t="n"/>
      <c r="H437" s="1842" t="n"/>
      <c r="I437" s="1842" t="n"/>
      <c r="J437" s="1842" t="n"/>
      <c r="K437" s="1842" t="n"/>
      <c r="L437" s="1842" t="n"/>
      <c r="M437" s="1842" t="n"/>
      <c r="N437" s="1842" t="n"/>
      <c r="O437" s="1842" t="n"/>
      <c r="P437" s="1842" t="n"/>
      <c r="Q437" s="1842" t="n"/>
      <c r="R437" s="1842" t="n"/>
      <c r="S437" s="1842" t="n"/>
      <c r="T437" s="1842" t="n"/>
      <c r="U437" s="1842" t="n"/>
      <c r="V437" s="1842" t="n"/>
      <c r="W437" s="1842" t="n"/>
      <c r="X437" s="1842" t="n"/>
      <c r="Y437" s="1842" t="n"/>
      <c r="Z437" s="1842" t="n"/>
      <c r="AA437" s="1842" t="n"/>
      <c r="AB437" s="1842" t="n"/>
      <c r="AC437" s="1842" t="n"/>
      <c r="AD437" s="1842" t="n"/>
      <c r="AE437" s="1842" t="n"/>
      <c r="AF437" s="1842" t="n"/>
    </row>
    <row r="438" ht="13.5" customHeight="1" s="1883">
      <c r="A438" s="1842" t="n"/>
      <c r="B438" s="1842" t="n"/>
      <c r="C438" s="1842" t="n"/>
      <c r="D438" s="1842" t="n"/>
      <c r="E438" s="1842" t="n"/>
      <c r="F438" s="1842" t="n"/>
      <c r="G438" s="1842" t="n"/>
      <c r="H438" s="1842" t="n"/>
      <c r="I438" s="1842" t="n"/>
      <c r="J438" s="1842" t="n"/>
      <c r="K438" s="1842" t="n"/>
      <c r="L438" s="1842" t="n"/>
      <c r="M438" s="1842" t="n"/>
      <c r="N438" s="1842" t="n"/>
      <c r="O438" s="1842" t="n"/>
      <c r="P438" s="1842" t="n"/>
      <c r="Q438" s="1842" t="n"/>
      <c r="R438" s="1842" t="n"/>
      <c r="S438" s="1842" t="n"/>
      <c r="T438" s="1842" t="n"/>
      <c r="U438" s="1842" t="n"/>
      <c r="V438" s="1842" t="n"/>
      <c r="W438" s="1842" t="n"/>
      <c r="X438" s="1842" t="n"/>
      <c r="Y438" s="1842" t="n"/>
      <c r="Z438" s="1842" t="n"/>
      <c r="AA438" s="1842" t="n"/>
      <c r="AB438" s="1842" t="n"/>
      <c r="AC438" s="1842" t="n"/>
      <c r="AD438" s="1842" t="n"/>
      <c r="AE438" s="1842" t="n"/>
      <c r="AF438" s="1842" t="n"/>
    </row>
    <row r="439" ht="13.5" customHeight="1" s="1883">
      <c r="A439" s="1842" t="n"/>
      <c r="B439" s="1842" t="n"/>
      <c r="C439" s="1842" t="n"/>
      <c r="D439" s="1842" t="n"/>
      <c r="E439" s="1842" t="n"/>
      <c r="F439" s="1842" t="n"/>
      <c r="G439" s="1842" t="n"/>
      <c r="H439" s="1842" t="n"/>
      <c r="I439" s="1842" t="n"/>
      <c r="J439" s="1842" t="n"/>
      <c r="K439" s="1842" t="n"/>
      <c r="L439" s="1842" t="n"/>
      <c r="M439" s="1842" t="n"/>
      <c r="N439" s="1842" t="n"/>
      <c r="O439" s="1842" t="n"/>
      <c r="P439" s="1842" t="n"/>
      <c r="Q439" s="1842" t="n"/>
      <c r="R439" s="1842" t="n"/>
      <c r="S439" s="1842" t="n"/>
      <c r="T439" s="1842" t="n"/>
      <c r="U439" s="1842" t="n"/>
      <c r="V439" s="1842" t="n"/>
      <c r="W439" s="1842" t="n"/>
      <c r="X439" s="1842" t="n"/>
      <c r="Y439" s="1842" t="n"/>
      <c r="Z439" s="1842" t="n"/>
      <c r="AA439" s="1842" t="n"/>
      <c r="AB439" s="1842" t="n"/>
      <c r="AC439" s="1842" t="n"/>
      <c r="AD439" s="1842" t="n"/>
      <c r="AE439" s="1842" t="n"/>
      <c r="AF439" s="1842" t="n"/>
    </row>
    <row r="440" ht="13.5" customHeight="1" s="1883">
      <c r="A440" s="1842" t="n"/>
      <c r="B440" s="1842" t="n"/>
      <c r="C440" s="1842" t="n"/>
      <c r="D440" s="1842" t="n"/>
      <c r="E440" s="1842" t="n"/>
      <c r="F440" s="1842" t="n"/>
      <c r="G440" s="1842" t="n"/>
      <c r="H440" s="1842" t="n"/>
      <c r="I440" s="1842" t="n"/>
      <c r="J440" s="1842" t="n"/>
      <c r="K440" s="1842" t="n"/>
      <c r="L440" s="1842" t="n"/>
      <c r="M440" s="1842" t="n"/>
      <c r="N440" s="1842" t="n"/>
      <c r="O440" s="1842" t="n"/>
      <c r="P440" s="1842" t="n"/>
      <c r="Q440" s="1842" t="n"/>
      <c r="R440" s="1842" t="n"/>
      <c r="S440" s="1842" t="n"/>
      <c r="T440" s="1842" t="n"/>
      <c r="U440" s="1842" t="n"/>
      <c r="V440" s="1842" t="n"/>
      <c r="W440" s="1842" t="n"/>
      <c r="X440" s="1842" t="n"/>
      <c r="Y440" s="1842" t="n"/>
      <c r="Z440" s="1842" t="n"/>
      <c r="AA440" s="1842" t="n"/>
      <c r="AB440" s="1842" t="n"/>
      <c r="AC440" s="1842" t="n"/>
      <c r="AD440" s="1842" t="n"/>
      <c r="AE440" s="1842" t="n"/>
      <c r="AF440" s="1842" t="n"/>
    </row>
    <row r="441" ht="13.5" customHeight="1" s="1883">
      <c r="A441" s="1842" t="n"/>
      <c r="B441" s="1842" t="n"/>
      <c r="C441" s="1842" t="n"/>
      <c r="D441" s="1842" t="n"/>
      <c r="E441" s="1842" t="n"/>
      <c r="F441" s="1842" t="n"/>
      <c r="G441" s="1842" t="n"/>
      <c r="H441" s="1842" t="n"/>
      <c r="I441" s="1842" t="n"/>
      <c r="J441" s="1842" t="n"/>
      <c r="K441" s="1842" t="n"/>
      <c r="L441" s="1842" t="n"/>
      <c r="M441" s="1842" t="n"/>
      <c r="N441" s="1842" t="n"/>
      <c r="O441" s="1842" t="n"/>
      <c r="P441" s="1842" t="n"/>
      <c r="Q441" s="1842" t="n"/>
      <c r="R441" s="1842" t="n"/>
      <c r="S441" s="1842" t="n"/>
      <c r="T441" s="1842" t="n"/>
      <c r="U441" s="1842" t="n"/>
      <c r="V441" s="1842" t="n"/>
      <c r="W441" s="1842" t="n"/>
      <c r="X441" s="1842" t="n"/>
      <c r="Y441" s="1842" t="n"/>
      <c r="Z441" s="1842" t="n"/>
      <c r="AA441" s="1842" t="n"/>
      <c r="AB441" s="1842" t="n"/>
      <c r="AC441" s="1842" t="n"/>
      <c r="AD441" s="1842" t="n"/>
      <c r="AE441" s="1842" t="n"/>
      <c r="AF441" s="1842" t="n"/>
    </row>
    <row r="442" ht="13.5" customHeight="1" s="1883">
      <c r="A442" s="1842" t="n"/>
      <c r="B442" s="1842" t="n"/>
      <c r="C442" s="1842" t="n"/>
      <c r="D442" s="1842" t="n"/>
      <c r="E442" s="1842" t="n"/>
      <c r="F442" s="1842" t="n"/>
      <c r="G442" s="1842" t="n"/>
      <c r="H442" s="1842" t="n"/>
      <c r="I442" s="1842" t="n"/>
      <c r="J442" s="1842" t="n"/>
      <c r="K442" s="1842" t="n"/>
      <c r="L442" s="1842" t="n"/>
      <c r="M442" s="1842" t="n"/>
      <c r="N442" s="1842" t="n"/>
      <c r="O442" s="1842" t="n"/>
      <c r="P442" s="1842" t="n"/>
      <c r="Q442" s="1842" t="n"/>
      <c r="R442" s="1842" t="n"/>
      <c r="S442" s="1842" t="n"/>
      <c r="T442" s="1842" t="n"/>
      <c r="U442" s="1842" t="n"/>
      <c r="V442" s="1842" t="n"/>
      <c r="W442" s="1842" t="n"/>
      <c r="X442" s="1842" t="n"/>
      <c r="Y442" s="1842" t="n"/>
      <c r="Z442" s="1842" t="n"/>
      <c r="AA442" s="1842" t="n"/>
      <c r="AB442" s="1842" t="n"/>
      <c r="AC442" s="1842" t="n"/>
      <c r="AD442" s="1842" t="n"/>
      <c r="AE442" s="1842" t="n"/>
      <c r="AF442" s="1842" t="n"/>
    </row>
    <row r="443" ht="13.5" customHeight="1" s="1883">
      <c r="A443" s="1842" t="n"/>
      <c r="B443" s="1842" t="n"/>
      <c r="C443" s="1842" t="n"/>
      <c r="D443" s="1842" t="n"/>
      <c r="E443" s="1842" t="n"/>
      <c r="F443" s="1842" t="n"/>
      <c r="G443" s="1842" t="n"/>
      <c r="H443" s="1842" t="n"/>
      <c r="I443" s="1842" t="n"/>
      <c r="J443" s="1842" t="n"/>
      <c r="K443" s="1842" t="n"/>
      <c r="L443" s="1842" t="n"/>
      <c r="M443" s="1842" t="n"/>
      <c r="N443" s="1842" t="n"/>
      <c r="O443" s="1842" t="n"/>
      <c r="P443" s="1842" t="n"/>
      <c r="Q443" s="1842" t="n"/>
      <c r="R443" s="1842" t="n"/>
      <c r="S443" s="1842" t="n"/>
      <c r="T443" s="1842" t="n"/>
      <c r="U443" s="1842" t="n"/>
      <c r="V443" s="1842" t="n"/>
      <c r="W443" s="1842" t="n"/>
      <c r="X443" s="1842" t="n"/>
      <c r="Y443" s="1842" t="n"/>
      <c r="Z443" s="1842" t="n"/>
      <c r="AA443" s="1842" t="n"/>
      <c r="AB443" s="1842" t="n"/>
      <c r="AC443" s="1842" t="n"/>
      <c r="AD443" s="1842" t="n"/>
      <c r="AE443" s="1842" t="n"/>
      <c r="AF443" s="1842" t="n"/>
    </row>
    <row r="444" ht="13.5" customHeight="1" s="1883">
      <c r="A444" s="1842" t="n"/>
      <c r="B444" s="1842" t="n"/>
      <c r="C444" s="1842" t="n"/>
      <c r="D444" s="1842" t="n"/>
      <c r="E444" s="1842" t="n"/>
      <c r="F444" s="1842" t="n"/>
      <c r="G444" s="1842" t="n"/>
      <c r="H444" s="1842" t="n"/>
      <c r="I444" s="1842" t="n"/>
      <c r="J444" s="1842" t="n"/>
      <c r="K444" s="1842" t="n"/>
      <c r="L444" s="1842" t="n"/>
      <c r="M444" s="1842" t="n"/>
      <c r="N444" s="1842" t="n"/>
      <c r="O444" s="1842" t="n"/>
      <c r="P444" s="1842" t="n"/>
      <c r="Q444" s="1842" t="n"/>
      <c r="R444" s="1842" t="n"/>
      <c r="S444" s="1842" t="n"/>
      <c r="T444" s="1842" t="n"/>
      <c r="U444" s="1842" t="n"/>
      <c r="V444" s="1842" t="n"/>
      <c r="W444" s="1842" t="n"/>
      <c r="X444" s="1842" t="n"/>
      <c r="Y444" s="1842" t="n"/>
      <c r="Z444" s="1842" t="n"/>
      <c r="AA444" s="1842" t="n"/>
      <c r="AB444" s="1842" t="n"/>
      <c r="AC444" s="1842" t="n"/>
      <c r="AD444" s="1842" t="n"/>
      <c r="AE444" s="1842" t="n"/>
      <c r="AF444" s="1842" t="n"/>
    </row>
    <row r="445" ht="13.5" customHeight="1" s="1883">
      <c r="A445" s="1842" t="n"/>
      <c r="B445" s="1842" t="n"/>
      <c r="C445" s="1842" t="n"/>
      <c r="D445" s="1842" t="n"/>
      <c r="E445" s="1842" t="n"/>
      <c r="F445" s="1842" t="n"/>
      <c r="G445" s="1842" t="n"/>
      <c r="H445" s="1842" t="n"/>
      <c r="I445" s="1842" t="n"/>
      <c r="J445" s="1842" t="n"/>
      <c r="K445" s="1842" t="n"/>
      <c r="L445" s="1842" t="n"/>
      <c r="M445" s="1842" t="n"/>
      <c r="N445" s="1842" t="n"/>
      <c r="O445" s="1842" t="n"/>
      <c r="P445" s="1842" t="n"/>
      <c r="Q445" s="1842" t="n"/>
      <c r="R445" s="1842" t="n"/>
      <c r="S445" s="1842" t="n"/>
      <c r="T445" s="1842" t="n"/>
      <c r="U445" s="1842" t="n"/>
      <c r="V445" s="1842" t="n"/>
      <c r="W445" s="1842" t="n"/>
      <c r="X445" s="1842" t="n"/>
      <c r="Y445" s="1842" t="n"/>
      <c r="Z445" s="1842" t="n"/>
      <c r="AA445" s="1842" t="n"/>
      <c r="AB445" s="1842" t="n"/>
      <c r="AC445" s="1842" t="n"/>
      <c r="AD445" s="1842" t="n"/>
      <c r="AE445" s="1842" t="n"/>
      <c r="AF445" s="1842" t="n"/>
    </row>
    <row r="446" ht="13.5" customHeight="1" s="1883">
      <c r="A446" s="1842" t="n"/>
      <c r="B446" s="1842" t="n"/>
      <c r="C446" s="1842" t="n"/>
      <c r="D446" s="1842" t="n"/>
      <c r="E446" s="1842" t="n"/>
      <c r="F446" s="1842" t="n"/>
      <c r="G446" s="1842" t="n"/>
      <c r="H446" s="1842" t="n"/>
      <c r="I446" s="1842" t="n"/>
      <c r="J446" s="1842" t="n"/>
      <c r="K446" s="1842" t="n"/>
      <c r="L446" s="1842" t="n"/>
      <c r="M446" s="1842" t="n"/>
      <c r="N446" s="1842" t="n"/>
      <c r="O446" s="1842" t="n"/>
      <c r="P446" s="1842" t="n"/>
      <c r="Q446" s="1842" t="n"/>
      <c r="R446" s="1842" t="n"/>
      <c r="S446" s="1842" t="n"/>
      <c r="T446" s="1842" t="n"/>
      <c r="U446" s="1842" t="n"/>
      <c r="V446" s="1842" t="n"/>
      <c r="W446" s="1842" t="n"/>
      <c r="X446" s="1842" t="n"/>
      <c r="Y446" s="1842" t="n"/>
      <c r="Z446" s="1842" t="n"/>
      <c r="AA446" s="1842" t="n"/>
      <c r="AB446" s="1842" t="n"/>
      <c r="AC446" s="1842" t="n"/>
      <c r="AD446" s="1842" t="n"/>
      <c r="AE446" s="1842" t="n"/>
      <c r="AF446" s="1842" t="n"/>
    </row>
    <row r="447" ht="13.5" customHeight="1" s="1883">
      <c r="A447" s="1842" t="n"/>
      <c r="B447" s="1842" t="n"/>
      <c r="C447" s="1842" t="n"/>
      <c r="D447" s="1842" t="n"/>
      <c r="E447" s="1842" t="n"/>
      <c r="F447" s="1842" t="n"/>
      <c r="G447" s="1842" t="n"/>
      <c r="H447" s="1842" t="n"/>
      <c r="I447" s="1842" t="n"/>
      <c r="J447" s="1842" t="n"/>
      <c r="K447" s="1842" t="n"/>
      <c r="L447" s="1842" t="n"/>
      <c r="M447" s="1842" t="n"/>
      <c r="N447" s="1842" t="n"/>
      <c r="O447" s="1842" t="n"/>
      <c r="P447" s="1842" t="n"/>
      <c r="Q447" s="1842" t="n"/>
      <c r="R447" s="1842" t="n"/>
      <c r="S447" s="1842" t="n"/>
      <c r="T447" s="1842" t="n"/>
      <c r="U447" s="1842" t="n"/>
      <c r="V447" s="1842" t="n"/>
      <c r="W447" s="1842" t="n"/>
      <c r="X447" s="1842" t="n"/>
      <c r="Y447" s="1842" t="n"/>
      <c r="Z447" s="1842" t="n"/>
      <c r="AA447" s="1842" t="n"/>
      <c r="AB447" s="1842" t="n"/>
      <c r="AC447" s="1842" t="n"/>
      <c r="AD447" s="1842" t="n"/>
      <c r="AE447" s="1842" t="n"/>
      <c r="AF447" s="1842" t="n"/>
    </row>
    <row r="448" ht="13.5" customHeight="1" s="1883">
      <c r="A448" s="1842" t="n"/>
      <c r="B448" s="1842" t="n"/>
      <c r="C448" s="1842" t="n"/>
      <c r="D448" s="1842" t="n"/>
      <c r="E448" s="1842" t="n"/>
      <c r="F448" s="1842" t="n"/>
      <c r="G448" s="1842" t="n"/>
      <c r="H448" s="1842" t="n"/>
      <c r="I448" s="1842" t="n"/>
      <c r="J448" s="1842" t="n"/>
      <c r="K448" s="1842" t="n"/>
      <c r="L448" s="1842" t="n"/>
      <c r="M448" s="1842" t="n"/>
      <c r="N448" s="1842" t="n"/>
      <c r="O448" s="1842" t="n"/>
      <c r="P448" s="1842" t="n"/>
      <c r="Q448" s="1842" t="n"/>
      <c r="R448" s="1842" t="n"/>
      <c r="S448" s="1842" t="n"/>
      <c r="T448" s="1842" t="n"/>
      <c r="U448" s="1842" t="n"/>
      <c r="V448" s="1842" t="n"/>
      <c r="W448" s="1842" t="n"/>
      <c r="X448" s="1842" t="n"/>
      <c r="Y448" s="1842" t="n"/>
      <c r="Z448" s="1842" t="n"/>
      <c r="AA448" s="1842" t="n"/>
      <c r="AB448" s="1842" t="n"/>
      <c r="AC448" s="1842" t="n"/>
      <c r="AD448" s="1842" t="n"/>
      <c r="AE448" s="1842" t="n"/>
      <c r="AF448" s="1842" t="n"/>
    </row>
    <row r="449" ht="13.5" customHeight="1" s="1883">
      <c r="A449" s="1842" t="n"/>
      <c r="B449" s="1842" t="n"/>
      <c r="C449" s="1842" t="n"/>
      <c r="D449" s="1842" t="n"/>
      <c r="E449" s="1842" t="n"/>
      <c r="F449" s="1842" t="n"/>
      <c r="G449" s="1842" t="n"/>
      <c r="H449" s="1842" t="n"/>
      <c r="I449" s="1842" t="n"/>
      <c r="J449" s="1842" t="n"/>
      <c r="K449" s="1842" t="n"/>
      <c r="L449" s="1842" t="n"/>
      <c r="M449" s="1842" t="n"/>
      <c r="N449" s="1842" t="n"/>
      <c r="O449" s="1842" t="n"/>
      <c r="P449" s="1842" t="n"/>
      <c r="Q449" s="1842" t="n"/>
      <c r="R449" s="1842" t="n"/>
      <c r="S449" s="1842" t="n"/>
      <c r="T449" s="1842" t="n"/>
      <c r="U449" s="1842" t="n"/>
      <c r="V449" s="1842" t="n"/>
      <c r="W449" s="1842" t="n"/>
      <c r="X449" s="1842" t="n"/>
      <c r="Y449" s="1842" t="n"/>
      <c r="Z449" s="1842" t="n"/>
      <c r="AA449" s="1842" t="n"/>
      <c r="AB449" s="1842" t="n"/>
      <c r="AC449" s="1842" t="n"/>
      <c r="AD449" s="1842" t="n"/>
      <c r="AE449" s="1842" t="n"/>
      <c r="AF449" s="1842" t="n"/>
    </row>
    <row r="450" ht="13.5" customHeight="1" s="1883">
      <c r="A450" s="1842" t="n"/>
      <c r="B450" s="1842" t="n"/>
      <c r="C450" s="1842" t="n"/>
      <c r="D450" s="1842" t="n"/>
      <c r="E450" s="1842" t="n"/>
      <c r="F450" s="1842" t="n"/>
      <c r="G450" s="1842" t="n"/>
      <c r="H450" s="1842" t="n"/>
      <c r="I450" s="1842" t="n"/>
      <c r="J450" s="1842" t="n"/>
      <c r="K450" s="1842" t="n"/>
      <c r="L450" s="1842" t="n"/>
      <c r="M450" s="1842" t="n"/>
      <c r="N450" s="1842" t="n"/>
      <c r="O450" s="1842" t="n"/>
      <c r="P450" s="1842" t="n"/>
      <c r="Q450" s="1842" t="n"/>
      <c r="R450" s="1842" t="n"/>
      <c r="S450" s="1842" t="n"/>
      <c r="T450" s="1842" t="n"/>
      <c r="U450" s="1842" t="n"/>
      <c r="V450" s="1842" t="n"/>
      <c r="W450" s="1842" t="n"/>
      <c r="X450" s="1842" t="n"/>
      <c r="Y450" s="1842" t="n"/>
      <c r="Z450" s="1842" t="n"/>
      <c r="AA450" s="1842" t="n"/>
      <c r="AB450" s="1842" t="n"/>
      <c r="AC450" s="1842" t="n"/>
      <c r="AD450" s="1842" t="n"/>
      <c r="AE450" s="1842" t="n"/>
      <c r="AF450" s="1842" t="n"/>
    </row>
    <row r="451" ht="13.5" customHeight="1" s="1883">
      <c r="A451" s="1842" t="n"/>
      <c r="B451" s="1842" t="n"/>
      <c r="C451" s="1842" t="n"/>
      <c r="D451" s="1842" t="n"/>
      <c r="E451" s="1842" t="n"/>
      <c r="F451" s="1842" t="n"/>
      <c r="G451" s="1842" t="n"/>
      <c r="H451" s="1842" t="n"/>
      <c r="I451" s="1842" t="n"/>
      <c r="J451" s="1842" t="n"/>
      <c r="K451" s="1842" t="n"/>
      <c r="L451" s="1842" t="n"/>
      <c r="M451" s="1842" t="n"/>
      <c r="N451" s="1842" t="n"/>
      <c r="O451" s="1842" t="n"/>
      <c r="P451" s="1842" t="n"/>
      <c r="Q451" s="1842" t="n"/>
      <c r="R451" s="1842" t="n"/>
      <c r="S451" s="1842" t="n"/>
      <c r="T451" s="1842" t="n"/>
      <c r="U451" s="1842" t="n"/>
      <c r="V451" s="1842" t="n"/>
      <c r="W451" s="1842" t="n"/>
      <c r="X451" s="1842" t="n"/>
      <c r="Y451" s="1842" t="n"/>
      <c r="Z451" s="1842" t="n"/>
      <c r="AA451" s="1842" t="n"/>
      <c r="AB451" s="1842" t="n"/>
      <c r="AC451" s="1842" t="n"/>
      <c r="AD451" s="1842" t="n"/>
      <c r="AE451" s="1842" t="n"/>
      <c r="AF451" s="1842" t="n"/>
    </row>
    <row r="452" ht="13.5" customHeight="1" s="1883">
      <c r="A452" s="1842" t="n"/>
      <c r="B452" s="1842" t="n"/>
      <c r="C452" s="1842" t="n"/>
      <c r="D452" s="1842" t="n"/>
      <c r="E452" s="1842" t="n"/>
      <c r="F452" s="1842" t="n"/>
      <c r="G452" s="1842" t="n"/>
      <c r="H452" s="1842" t="n"/>
      <c r="I452" s="1842" t="n"/>
      <c r="J452" s="1842" t="n"/>
      <c r="K452" s="1842" t="n"/>
      <c r="L452" s="1842" t="n"/>
      <c r="M452" s="1842" t="n"/>
      <c r="N452" s="1842" t="n"/>
      <c r="O452" s="1842" t="n"/>
      <c r="P452" s="1842" t="n"/>
      <c r="Q452" s="1842" t="n"/>
      <c r="R452" s="1842" t="n"/>
      <c r="S452" s="1842" t="n"/>
      <c r="T452" s="1842" t="n"/>
      <c r="U452" s="1842" t="n"/>
      <c r="V452" s="1842" t="n"/>
      <c r="W452" s="1842" t="n"/>
      <c r="X452" s="1842" t="n"/>
      <c r="Y452" s="1842" t="n"/>
      <c r="Z452" s="1842" t="n"/>
      <c r="AA452" s="1842" t="n"/>
      <c r="AB452" s="1842" t="n"/>
      <c r="AC452" s="1842" t="n"/>
      <c r="AD452" s="1842" t="n"/>
      <c r="AE452" s="1842" t="n"/>
      <c r="AF452" s="1842" t="n"/>
    </row>
    <row r="453" ht="13.5" customHeight="1" s="1883">
      <c r="A453" s="1842" t="n"/>
      <c r="B453" s="1842" t="n"/>
      <c r="C453" s="1842" t="n"/>
      <c r="D453" s="1842" t="n"/>
      <c r="E453" s="1842" t="n"/>
      <c r="F453" s="1842" t="n"/>
      <c r="G453" s="1842" t="n"/>
      <c r="H453" s="1842" t="n"/>
      <c r="I453" s="1842" t="n"/>
      <c r="J453" s="1842" t="n"/>
      <c r="K453" s="1842" t="n"/>
      <c r="L453" s="1842" t="n"/>
      <c r="M453" s="1842" t="n"/>
      <c r="N453" s="1842" t="n"/>
      <c r="O453" s="1842" t="n"/>
      <c r="P453" s="1842" t="n"/>
      <c r="Q453" s="1842" t="n"/>
      <c r="R453" s="1842" t="n"/>
      <c r="S453" s="1842" t="n"/>
      <c r="T453" s="1842" t="n"/>
      <c r="U453" s="1842" t="n"/>
      <c r="V453" s="1842" t="n"/>
      <c r="W453" s="1842" t="n"/>
      <c r="X453" s="1842" t="n"/>
      <c r="Y453" s="1842" t="n"/>
      <c r="Z453" s="1842" t="n"/>
      <c r="AA453" s="1842" t="n"/>
      <c r="AB453" s="1842" t="n"/>
      <c r="AC453" s="1842" t="n"/>
      <c r="AD453" s="1842" t="n"/>
      <c r="AE453" s="1842" t="n"/>
      <c r="AF453" s="1842" t="n"/>
    </row>
    <row r="454" ht="13.5" customHeight="1" s="1883">
      <c r="A454" s="1842" t="n"/>
      <c r="B454" s="1842" t="n"/>
      <c r="C454" s="1842" t="n"/>
      <c r="D454" s="1842" t="n"/>
      <c r="E454" s="1842" t="n"/>
      <c r="F454" s="1842" t="n"/>
      <c r="G454" s="1842" t="n"/>
      <c r="H454" s="1842" t="n"/>
      <c r="I454" s="1842" t="n"/>
      <c r="J454" s="1842" t="n"/>
      <c r="K454" s="1842" t="n"/>
      <c r="L454" s="1842" t="n"/>
      <c r="M454" s="1842" t="n"/>
      <c r="N454" s="1842" t="n"/>
      <c r="O454" s="1842" t="n"/>
      <c r="P454" s="1842" t="n"/>
      <c r="Q454" s="1842" t="n"/>
      <c r="R454" s="1842" t="n"/>
      <c r="S454" s="1842" t="n"/>
      <c r="T454" s="1842" t="n"/>
      <c r="U454" s="1842" t="n"/>
      <c r="V454" s="1842" t="n"/>
      <c r="W454" s="1842" t="n"/>
      <c r="X454" s="1842" t="n"/>
      <c r="Y454" s="1842" t="n"/>
      <c r="Z454" s="1842" t="n"/>
      <c r="AA454" s="1842" t="n"/>
      <c r="AB454" s="1842" t="n"/>
      <c r="AC454" s="1842" t="n"/>
      <c r="AD454" s="1842" t="n"/>
      <c r="AE454" s="1842" t="n"/>
      <c r="AF454" s="1842" t="n"/>
    </row>
    <row r="455" ht="13.5" customHeight="1" s="1883">
      <c r="A455" s="1842" t="n"/>
      <c r="B455" s="1842" t="n"/>
      <c r="C455" s="1842" t="n"/>
      <c r="D455" s="1842" t="n"/>
      <c r="E455" s="1842" t="n"/>
      <c r="F455" s="1842" t="n"/>
      <c r="G455" s="1842" t="n"/>
      <c r="H455" s="1842" t="n"/>
      <c r="I455" s="1842" t="n"/>
      <c r="J455" s="1842" t="n"/>
      <c r="K455" s="1842" t="n"/>
      <c r="L455" s="1842" t="n"/>
      <c r="M455" s="1842" t="n"/>
      <c r="N455" s="1842" t="n"/>
      <c r="O455" s="1842" t="n"/>
      <c r="P455" s="1842" t="n"/>
      <c r="Q455" s="1842" t="n"/>
      <c r="R455" s="1842" t="n"/>
      <c r="S455" s="1842" t="n"/>
      <c r="T455" s="1842" t="n"/>
      <c r="U455" s="1842" t="n"/>
      <c r="V455" s="1842" t="n"/>
      <c r="W455" s="1842" t="n"/>
      <c r="X455" s="1842" t="n"/>
      <c r="Y455" s="1842" t="n"/>
      <c r="Z455" s="1842" t="n"/>
      <c r="AA455" s="1842" t="n"/>
      <c r="AB455" s="1842" t="n"/>
      <c r="AC455" s="1842" t="n"/>
      <c r="AD455" s="1842" t="n"/>
      <c r="AE455" s="1842" t="n"/>
      <c r="AF455" s="1842" t="n"/>
    </row>
    <row r="456" ht="13.5" customHeight="1" s="1883">
      <c r="A456" s="1842" t="n"/>
      <c r="B456" s="1842" t="n"/>
      <c r="C456" s="1842" t="n"/>
      <c r="D456" s="1842" t="n"/>
      <c r="E456" s="1842" t="n"/>
      <c r="F456" s="1842" t="n"/>
      <c r="G456" s="1842" t="n"/>
      <c r="H456" s="1842" t="n"/>
      <c r="I456" s="1842" t="n"/>
      <c r="J456" s="1842" t="n"/>
      <c r="K456" s="1842" t="n"/>
      <c r="L456" s="1842" t="n"/>
      <c r="M456" s="1842" t="n"/>
      <c r="N456" s="1842" t="n"/>
      <c r="O456" s="1842" t="n"/>
      <c r="P456" s="1842" t="n"/>
      <c r="Q456" s="1842" t="n"/>
      <c r="R456" s="1842" t="n"/>
      <c r="S456" s="1842" t="n"/>
      <c r="T456" s="1842" t="n"/>
      <c r="U456" s="1842" t="n"/>
      <c r="V456" s="1842" t="n"/>
      <c r="W456" s="1842" t="n"/>
      <c r="X456" s="1842" t="n"/>
      <c r="Y456" s="1842" t="n"/>
      <c r="Z456" s="1842" t="n"/>
      <c r="AA456" s="1842" t="n"/>
      <c r="AB456" s="1842" t="n"/>
      <c r="AC456" s="1842" t="n"/>
      <c r="AD456" s="1842" t="n"/>
      <c r="AE456" s="1842" t="n"/>
      <c r="AF456" s="1842" t="n"/>
    </row>
    <row r="457" ht="13.5" customHeight="1" s="1883">
      <c r="A457" s="1842" t="n"/>
      <c r="B457" s="1842" t="n"/>
      <c r="C457" s="1842" t="n"/>
      <c r="D457" s="1842" t="n"/>
      <c r="E457" s="1842" t="n"/>
      <c r="F457" s="1842" t="n"/>
      <c r="G457" s="1842" t="n"/>
      <c r="H457" s="1842" t="n"/>
      <c r="I457" s="1842" t="n"/>
      <c r="J457" s="1842" t="n"/>
      <c r="K457" s="1842" t="n"/>
      <c r="L457" s="1842" t="n"/>
      <c r="M457" s="1842" t="n"/>
      <c r="N457" s="1842" t="n"/>
      <c r="O457" s="1842" t="n"/>
      <c r="P457" s="1842" t="n"/>
      <c r="Q457" s="1842" t="n"/>
      <c r="R457" s="1842" t="n"/>
      <c r="S457" s="1842" t="n"/>
      <c r="T457" s="1842" t="n"/>
      <c r="U457" s="1842" t="n"/>
      <c r="V457" s="1842" t="n"/>
      <c r="W457" s="1842" t="n"/>
      <c r="X457" s="1842" t="n"/>
      <c r="Y457" s="1842" t="n"/>
      <c r="Z457" s="1842" t="n"/>
      <c r="AA457" s="1842" t="n"/>
      <c r="AB457" s="1842" t="n"/>
      <c r="AC457" s="1842" t="n"/>
      <c r="AD457" s="1842" t="n"/>
      <c r="AE457" s="1842" t="n"/>
      <c r="AF457" s="1842" t="n"/>
    </row>
    <row r="458" ht="13.5" customHeight="1" s="1883">
      <c r="A458" s="1842" t="n"/>
      <c r="B458" s="1842" t="n"/>
      <c r="C458" s="1842" t="n"/>
      <c r="D458" s="1842" t="n"/>
      <c r="E458" s="1842" t="n"/>
      <c r="F458" s="1842" t="n"/>
      <c r="G458" s="1842" t="n"/>
      <c r="H458" s="1842" t="n"/>
      <c r="I458" s="1842" t="n"/>
      <c r="J458" s="1842" t="n"/>
      <c r="K458" s="1842" t="n"/>
      <c r="L458" s="1842" t="n"/>
      <c r="M458" s="1842" t="n"/>
      <c r="N458" s="1842" t="n"/>
      <c r="O458" s="1842" t="n"/>
      <c r="P458" s="1842" t="n"/>
      <c r="Q458" s="1842" t="n"/>
      <c r="R458" s="1842" t="n"/>
      <c r="S458" s="1842" t="n"/>
      <c r="T458" s="1842" t="n"/>
      <c r="U458" s="1842" t="n"/>
      <c r="V458" s="1842" t="n"/>
      <c r="W458" s="1842" t="n"/>
      <c r="X458" s="1842" t="n"/>
      <c r="Y458" s="1842" t="n"/>
      <c r="Z458" s="1842" t="n"/>
      <c r="AA458" s="1842" t="n"/>
      <c r="AB458" s="1842" t="n"/>
      <c r="AC458" s="1842" t="n"/>
      <c r="AD458" s="1842" t="n"/>
      <c r="AE458" s="1842" t="n"/>
      <c r="AF458" s="1842" t="n"/>
    </row>
    <row r="459" ht="13.5" customHeight="1" s="1883">
      <c r="A459" s="1842" t="n"/>
      <c r="B459" s="1842" t="n"/>
      <c r="C459" s="1842" t="n"/>
      <c r="D459" s="1842" t="n"/>
      <c r="E459" s="1842" t="n"/>
      <c r="F459" s="1842" t="n"/>
      <c r="G459" s="1842" t="n"/>
      <c r="H459" s="1842" t="n"/>
      <c r="I459" s="1842" t="n"/>
      <c r="J459" s="1842" t="n"/>
      <c r="K459" s="1842" t="n"/>
      <c r="L459" s="1842" t="n"/>
      <c r="M459" s="1842" t="n"/>
      <c r="N459" s="1842" t="n"/>
      <c r="O459" s="1842" t="n"/>
      <c r="P459" s="1842" t="n"/>
      <c r="Q459" s="1842" t="n"/>
      <c r="R459" s="1842" t="n"/>
      <c r="S459" s="1842" t="n"/>
      <c r="T459" s="1842" t="n"/>
      <c r="U459" s="1842" t="n"/>
      <c r="V459" s="1842" t="n"/>
      <c r="W459" s="1842" t="n"/>
      <c r="X459" s="1842" t="n"/>
      <c r="Y459" s="1842" t="n"/>
      <c r="Z459" s="1842" t="n"/>
      <c r="AA459" s="1842" t="n"/>
      <c r="AB459" s="1842" t="n"/>
      <c r="AC459" s="1842" t="n"/>
      <c r="AD459" s="1842" t="n"/>
      <c r="AE459" s="1842" t="n"/>
      <c r="AF459" s="1842" t="n"/>
    </row>
    <row r="460" ht="13.5" customHeight="1" s="1883">
      <c r="A460" s="1842" t="n"/>
      <c r="B460" s="1842" t="n"/>
      <c r="C460" s="1842" t="n"/>
      <c r="D460" s="1842" t="n"/>
      <c r="E460" s="1842" t="n"/>
      <c r="F460" s="1842" t="n"/>
      <c r="G460" s="1842" t="n"/>
      <c r="H460" s="1842" t="n"/>
      <c r="I460" s="1842" t="n"/>
      <c r="J460" s="1842" t="n"/>
      <c r="K460" s="1842" t="n"/>
      <c r="L460" s="1842" t="n"/>
      <c r="M460" s="1842" t="n"/>
      <c r="N460" s="1842" t="n"/>
      <c r="O460" s="1842" t="n"/>
      <c r="P460" s="1842" t="n"/>
      <c r="Q460" s="1842" t="n"/>
      <c r="R460" s="1842" t="n"/>
      <c r="S460" s="1842" t="n"/>
      <c r="T460" s="1842" t="n"/>
      <c r="U460" s="1842" t="n"/>
      <c r="V460" s="1842" t="n"/>
      <c r="W460" s="1842" t="n"/>
      <c r="X460" s="1842" t="n"/>
      <c r="Y460" s="1842" t="n"/>
      <c r="Z460" s="1842" t="n"/>
      <c r="AA460" s="1842" t="n"/>
      <c r="AB460" s="1842" t="n"/>
      <c r="AC460" s="1842" t="n"/>
      <c r="AD460" s="1842" t="n"/>
      <c r="AE460" s="1842" t="n"/>
      <c r="AF460" s="1842" t="n"/>
    </row>
    <row r="461" ht="13.5" customHeight="1" s="1883">
      <c r="A461" s="1842" t="n"/>
      <c r="B461" s="1842" t="n"/>
      <c r="C461" s="1842" t="n"/>
      <c r="D461" s="1842" t="n"/>
      <c r="E461" s="1842" t="n"/>
      <c r="F461" s="1842" t="n"/>
      <c r="G461" s="1842" t="n"/>
      <c r="H461" s="1842" t="n"/>
      <c r="I461" s="1842" t="n"/>
      <c r="J461" s="1842" t="n"/>
      <c r="K461" s="1842" t="n"/>
      <c r="L461" s="1842" t="n"/>
      <c r="M461" s="1842" t="n"/>
      <c r="N461" s="1842" t="n"/>
      <c r="O461" s="1842" t="n"/>
      <c r="P461" s="1842" t="n"/>
      <c r="Q461" s="1842" t="n"/>
      <c r="R461" s="1842" t="n"/>
      <c r="S461" s="1842" t="n"/>
      <c r="T461" s="1842" t="n"/>
      <c r="U461" s="1842" t="n"/>
      <c r="V461" s="1842" t="n"/>
      <c r="W461" s="1842" t="n"/>
      <c r="X461" s="1842" t="n"/>
      <c r="Y461" s="1842" t="n"/>
      <c r="Z461" s="1842" t="n"/>
      <c r="AA461" s="1842" t="n"/>
      <c r="AB461" s="1842" t="n"/>
      <c r="AC461" s="1842" t="n"/>
      <c r="AD461" s="1842" t="n"/>
      <c r="AE461" s="1842" t="n"/>
      <c r="AF461" s="1842" t="n"/>
    </row>
    <row r="462" ht="13.5" customHeight="1" s="1883">
      <c r="A462" s="1842" t="n"/>
      <c r="B462" s="1842" t="n"/>
      <c r="C462" s="1842" t="n"/>
      <c r="D462" s="1842" t="n"/>
      <c r="E462" s="1842" t="n"/>
      <c r="F462" s="1842" t="n"/>
      <c r="G462" s="1842" t="n"/>
      <c r="H462" s="1842" t="n"/>
      <c r="I462" s="1842" t="n"/>
      <c r="J462" s="1842" t="n"/>
      <c r="K462" s="1842" t="n"/>
      <c r="L462" s="1842" t="n"/>
      <c r="M462" s="1842" t="n"/>
      <c r="N462" s="1842" t="n"/>
      <c r="O462" s="1842" t="n"/>
      <c r="P462" s="1842" t="n"/>
      <c r="Q462" s="1842" t="n"/>
      <c r="R462" s="1842" t="n"/>
      <c r="S462" s="1842" t="n"/>
      <c r="T462" s="1842" t="n"/>
      <c r="U462" s="1842" t="n"/>
      <c r="V462" s="1842" t="n"/>
      <c r="W462" s="1842" t="n"/>
      <c r="X462" s="1842" t="n"/>
      <c r="Y462" s="1842" t="n"/>
      <c r="Z462" s="1842" t="n"/>
      <c r="AA462" s="1842" t="n"/>
      <c r="AB462" s="1842" t="n"/>
      <c r="AC462" s="1842" t="n"/>
      <c r="AD462" s="1842" t="n"/>
      <c r="AE462" s="1842" t="n"/>
      <c r="AF462" s="1842" t="n"/>
    </row>
    <row r="463" ht="13.5" customHeight="1" s="1883">
      <c r="A463" s="1842" t="n"/>
      <c r="B463" s="1842" t="n"/>
      <c r="C463" s="1842" t="n"/>
      <c r="D463" s="1842" t="n"/>
      <c r="E463" s="1842" t="n"/>
      <c r="F463" s="1842" t="n"/>
      <c r="G463" s="1842" t="n"/>
      <c r="H463" s="1842" t="n"/>
      <c r="I463" s="1842" t="n"/>
      <c r="J463" s="1842" t="n"/>
      <c r="K463" s="1842" t="n"/>
      <c r="L463" s="1842" t="n"/>
      <c r="M463" s="1842" t="n"/>
      <c r="N463" s="1842" t="n"/>
      <c r="O463" s="1842" t="n"/>
      <c r="P463" s="1842" t="n"/>
      <c r="Q463" s="1842" t="n"/>
      <c r="R463" s="1842" t="n"/>
      <c r="S463" s="1842" t="n"/>
      <c r="T463" s="1842" t="n"/>
      <c r="U463" s="1842" t="n"/>
      <c r="V463" s="1842" t="n"/>
      <c r="W463" s="1842" t="n"/>
      <c r="X463" s="1842" t="n"/>
      <c r="Y463" s="1842" t="n"/>
      <c r="Z463" s="1842" t="n"/>
      <c r="AA463" s="1842" t="n"/>
      <c r="AB463" s="1842" t="n"/>
      <c r="AC463" s="1842" t="n"/>
      <c r="AD463" s="1842" t="n"/>
      <c r="AE463" s="1842" t="n"/>
      <c r="AF463" s="1842" t="n"/>
    </row>
    <row r="464" ht="13.5" customHeight="1" s="1883">
      <c r="A464" s="1842" t="n"/>
      <c r="B464" s="1842" t="n"/>
      <c r="C464" s="1842" t="n"/>
      <c r="D464" s="1842" t="n"/>
      <c r="E464" s="1842" t="n"/>
      <c r="F464" s="1842" t="n"/>
      <c r="G464" s="1842" t="n"/>
      <c r="H464" s="1842" t="n"/>
      <c r="I464" s="1842" t="n"/>
      <c r="J464" s="1842" t="n"/>
      <c r="K464" s="1842" t="n"/>
      <c r="L464" s="1842" t="n"/>
      <c r="M464" s="1842" t="n"/>
      <c r="N464" s="1842" t="n"/>
      <c r="O464" s="1842" t="n"/>
      <c r="P464" s="1842" t="n"/>
      <c r="Q464" s="1842" t="n"/>
      <c r="R464" s="1842" t="n"/>
      <c r="S464" s="1842" t="n"/>
      <c r="T464" s="1842" t="n"/>
      <c r="U464" s="1842" t="n"/>
      <c r="V464" s="1842" t="n"/>
      <c r="W464" s="1842" t="n"/>
      <c r="X464" s="1842" t="n"/>
      <c r="Y464" s="1842" t="n"/>
      <c r="Z464" s="1842" t="n"/>
      <c r="AA464" s="1842" t="n"/>
      <c r="AB464" s="1842" t="n"/>
      <c r="AC464" s="1842" t="n"/>
      <c r="AD464" s="1842" t="n"/>
      <c r="AE464" s="1842" t="n"/>
      <c r="AF464" s="1842" t="n"/>
    </row>
    <row r="465" ht="13.5" customHeight="1" s="1883">
      <c r="A465" s="1842" t="n"/>
      <c r="B465" s="1842" t="n"/>
      <c r="C465" s="1842" t="n"/>
      <c r="D465" s="1842" t="n"/>
      <c r="E465" s="1842" t="n"/>
      <c r="F465" s="1842" t="n"/>
      <c r="G465" s="1842" t="n"/>
      <c r="H465" s="1842" t="n"/>
      <c r="I465" s="1842" t="n"/>
      <c r="J465" s="1842" t="n"/>
      <c r="K465" s="1842" t="n"/>
      <c r="L465" s="1842" t="n"/>
      <c r="M465" s="1842" t="n"/>
      <c r="N465" s="1842" t="n"/>
      <c r="O465" s="1842" t="n"/>
      <c r="P465" s="1842" t="n"/>
      <c r="Q465" s="1842" t="n"/>
      <c r="R465" s="1842" t="n"/>
      <c r="S465" s="1842" t="n"/>
      <c r="T465" s="1842" t="n"/>
      <c r="U465" s="1842" t="n"/>
      <c r="V465" s="1842" t="n"/>
      <c r="W465" s="1842" t="n"/>
      <c r="X465" s="1842" t="n"/>
      <c r="Y465" s="1842" t="n"/>
      <c r="Z465" s="1842" t="n"/>
      <c r="AA465" s="1842" t="n"/>
      <c r="AB465" s="1842" t="n"/>
      <c r="AC465" s="1842" t="n"/>
      <c r="AD465" s="1842" t="n"/>
      <c r="AE465" s="1842" t="n"/>
      <c r="AF465" s="1842" t="n"/>
    </row>
    <row r="466" ht="13.5" customHeight="1" s="1883">
      <c r="A466" s="1842" t="n"/>
      <c r="B466" s="1842" t="n"/>
      <c r="C466" s="1842" t="n"/>
      <c r="D466" s="1842" t="n"/>
      <c r="E466" s="1842" t="n"/>
      <c r="F466" s="1842" t="n"/>
      <c r="G466" s="1842" t="n"/>
      <c r="H466" s="1842" t="n"/>
      <c r="I466" s="1842" t="n"/>
      <c r="J466" s="1842" t="n"/>
      <c r="K466" s="1842" t="n"/>
      <c r="L466" s="1842" t="n"/>
      <c r="M466" s="1842" t="n"/>
      <c r="N466" s="1842" t="n"/>
      <c r="O466" s="1842" t="n"/>
      <c r="P466" s="1842" t="n"/>
      <c r="Q466" s="1842" t="n"/>
      <c r="R466" s="1842" t="n"/>
      <c r="S466" s="1842" t="n"/>
      <c r="T466" s="1842" t="n"/>
      <c r="U466" s="1842" t="n"/>
      <c r="V466" s="1842" t="n"/>
      <c r="W466" s="1842" t="n"/>
      <c r="X466" s="1842" t="n"/>
      <c r="Y466" s="1842" t="n"/>
      <c r="Z466" s="1842" t="n"/>
      <c r="AA466" s="1842" t="n"/>
      <c r="AB466" s="1842" t="n"/>
      <c r="AC466" s="1842" t="n"/>
      <c r="AD466" s="1842" t="n"/>
      <c r="AE466" s="1842" t="n"/>
      <c r="AF466" s="1842" t="n"/>
    </row>
    <row r="467" ht="13.5" customHeight="1" s="1883">
      <c r="A467" s="1842" t="n"/>
      <c r="B467" s="1842" t="n"/>
      <c r="C467" s="1842" t="n"/>
      <c r="D467" s="1842" t="n"/>
      <c r="E467" s="1842" t="n"/>
      <c r="F467" s="1842" t="n"/>
      <c r="G467" s="1842" t="n"/>
      <c r="H467" s="1842" t="n"/>
      <c r="I467" s="1842" t="n"/>
      <c r="J467" s="1842" t="n"/>
      <c r="K467" s="1842" t="n"/>
      <c r="L467" s="1842" t="n"/>
      <c r="M467" s="1842" t="n"/>
      <c r="N467" s="1842" t="n"/>
      <c r="O467" s="1842" t="n"/>
      <c r="P467" s="1842" t="n"/>
      <c r="Q467" s="1842" t="n"/>
      <c r="R467" s="1842" t="n"/>
      <c r="S467" s="1842" t="n"/>
      <c r="T467" s="1842" t="n"/>
      <c r="U467" s="1842" t="n"/>
      <c r="V467" s="1842" t="n"/>
      <c r="W467" s="1842" t="n"/>
      <c r="X467" s="1842" t="n"/>
      <c r="Y467" s="1842" t="n"/>
      <c r="Z467" s="1842" t="n"/>
      <c r="AA467" s="1842" t="n"/>
      <c r="AB467" s="1842" t="n"/>
      <c r="AC467" s="1842" t="n"/>
      <c r="AD467" s="1842" t="n"/>
      <c r="AE467" s="1842" t="n"/>
      <c r="AF467" s="1842" t="n"/>
    </row>
    <row r="468" ht="13.5" customHeight="1" s="1883">
      <c r="A468" s="1842" t="n"/>
      <c r="B468" s="1842" t="n"/>
      <c r="C468" s="1842" t="n"/>
      <c r="D468" s="1842" t="n"/>
      <c r="E468" s="1842" t="n"/>
      <c r="F468" s="1842" t="n"/>
      <c r="G468" s="1842" t="n"/>
      <c r="H468" s="1842" t="n"/>
      <c r="I468" s="1842" t="n"/>
      <c r="J468" s="1842" t="n"/>
      <c r="K468" s="1842" t="n"/>
      <c r="L468" s="1842" t="n"/>
      <c r="M468" s="1842" t="n"/>
      <c r="N468" s="1842" t="n"/>
      <c r="O468" s="1842" t="n"/>
      <c r="P468" s="1842" t="n"/>
      <c r="Q468" s="1842" t="n"/>
      <c r="R468" s="1842" t="n"/>
      <c r="S468" s="1842" t="n"/>
      <c r="T468" s="1842" t="n"/>
      <c r="U468" s="1842" t="n"/>
      <c r="V468" s="1842" t="n"/>
      <c r="W468" s="1842" t="n"/>
      <c r="X468" s="1842" t="n"/>
      <c r="Y468" s="1842" t="n"/>
      <c r="Z468" s="1842" t="n"/>
      <c r="AA468" s="1842" t="n"/>
      <c r="AB468" s="1842" t="n"/>
      <c r="AC468" s="1842" t="n"/>
      <c r="AD468" s="1842" t="n"/>
      <c r="AE468" s="1842" t="n"/>
      <c r="AF468" s="1842" t="n"/>
    </row>
    <row r="469" ht="13.5" customHeight="1" s="1883">
      <c r="A469" s="1842" t="n"/>
      <c r="B469" s="1842" t="n"/>
      <c r="C469" s="1842" t="n"/>
      <c r="D469" s="1842" t="n"/>
      <c r="E469" s="1842" t="n"/>
      <c r="F469" s="1842" t="n"/>
      <c r="G469" s="1842" t="n"/>
      <c r="H469" s="1842" t="n"/>
      <c r="I469" s="1842" t="n"/>
      <c r="J469" s="1842" t="n"/>
      <c r="K469" s="1842" t="n"/>
      <c r="L469" s="1842" t="n"/>
      <c r="M469" s="1842" t="n"/>
      <c r="N469" s="1842" t="n"/>
      <c r="O469" s="1842" t="n"/>
      <c r="P469" s="1842" t="n"/>
      <c r="Q469" s="1842" t="n"/>
      <c r="R469" s="1842" t="n"/>
      <c r="S469" s="1842" t="n"/>
      <c r="T469" s="1842" t="n"/>
      <c r="U469" s="1842" t="n"/>
      <c r="V469" s="1842" t="n"/>
      <c r="W469" s="1842" t="n"/>
      <c r="X469" s="1842" t="n"/>
      <c r="Y469" s="1842" t="n"/>
      <c r="Z469" s="1842" t="n"/>
      <c r="AA469" s="1842" t="n"/>
      <c r="AB469" s="1842" t="n"/>
      <c r="AC469" s="1842" t="n"/>
      <c r="AD469" s="1842" t="n"/>
      <c r="AE469" s="1842" t="n"/>
      <c r="AF469" s="1842" t="n"/>
    </row>
    <row r="470" ht="13.5" customHeight="1" s="1883">
      <c r="A470" s="1842" t="n"/>
      <c r="B470" s="1842" t="n"/>
      <c r="C470" s="1842" t="n"/>
      <c r="D470" s="1842" t="n"/>
      <c r="E470" s="1842" t="n"/>
      <c r="F470" s="1842" t="n"/>
      <c r="G470" s="1842" t="n"/>
      <c r="H470" s="1842" t="n"/>
      <c r="I470" s="1842" t="n"/>
      <c r="J470" s="1842" t="n"/>
      <c r="K470" s="1842" t="n"/>
      <c r="L470" s="1842" t="n"/>
      <c r="M470" s="1842" t="n"/>
      <c r="N470" s="1842" t="n"/>
      <c r="O470" s="1842" t="n"/>
      <c r="P470" s="1842" t="n"/>
      <c r="Q470" s="1842" t="n"/>
      <c r="R470" s="1842" t="n"/>
      <c r="S470" s="1842" t="n"/>
      <c r="T470" s="1842" t="n"/>
      <c r="U470" s="1842" t="n"/>
      <c r="V470" s="1842" t="n"/>
      <c r="W470" s="1842" t="n"/>
      <c r="X470" s="1842" t="n"/>
      <c r="Y470" s="1842" t="n"/>
      <c r="Z470" s="1842" t="n"/>
      <c r="AA470" s="1842" t="n"/>
      <c r="AB470" s="1842" t="n"/>
      <c r="AC470" s="1842" t="n"/>
      <c r="AD470" s="1842" t="n"/>
      <c r="AE470" s="1842" t="n"/>
      <c r="AF470" s="1842" t="n"/>
    </row>
    <row r="471" ht="13.5" customHeight="1" s="1883">
      <c r="A471" s="1842" t="n"/>
      <c r="B471" s="1842" t="n"/>
      <c r="C471" s="1842" t="n"/>
      <c r="D471" s="1842" t="n"/>
      <c r="E471" s="1842" t="n"/>
      <c r="F471" s="1842" t="n"/>
      <c r="G471" s="1842" t="n"/>
      <c r="H471" s="1842" t="n"/>
      <c r="I471" s="1842" t="n"/>
      <c r="J471" s="1842" t="n"/>
      <c r="K471" s="1842" t="n"/>
      <c r="L471" s="1842" t="n"/>
      <c r="M471" s="1842" t="n"/>
      <c r="N471" s="1842" t="n"/>
      <c r="O471" s="1842" t="n"/>
      <c r="P471" s="1842" t="n"/>
      <c r="Q471" s="1842" t="n"/>
      <c r="R471" s="1842" t="n"/>
      <c r="S471" s="1842" t="n"/>
      <c r="T471" s="1842" t="n"/>
      <c r="U471" s="1842" t="n"/>
      <c r="V471" s="1842" t="n"/>
      <c r="W471" s="1842" t="n"/>
      <c r="X471" s="1842" t="n"/>
      <c r="Y471" s="1842" t="n"/>
      <c r="Z471" s="1842" t="n"/>
      <c r="AA471" s="1842" t="n"/>
      <c r="AB471" s="1842" t="n"/>
      <c r="AC471" s="1842" t="n"/>
      <c r="AD471" s="1842" t="n"/>
      <c r="AE471" s="1842" t="n"/>
      <c r="AF471" s="1842" t="n"/>
    </row>
    <row r="472" ht="13.5" customHeight="1" s="1883">
      <c r="A472" s="1842" t="n"/>
      <c r="B472" s="1842" t="n"/>
      <c r="C472" s="1842" t="n"/>
      <c r="D472" s="1842" t="n"/>
      <c r="E472" s="1842" t="n"/>
      <c r="F472" s="1842" t="n"/>
      <c r="G472" s="1842" t="n"/>
      <c r="H472" s="1842" t="n"/>
      <c r="I472" s="1842" t="n"/>
      <c r="J472" s="1842" t="n"/>
      <c r="K472" s="1842" t="n"/>
      <c r="L472" s="1842" t="n"/>
      <c r="M472" s="1842" t="n"/>
      <c r="N472" s="1842" t="n"/>
      <c r="O472" s="1842" t="n"/>
      <c r="P472" s="1842" t="n"/>
      <c r="Q472" s="1842" t="n"/>
      <c r="R472" s="1842" t="n"/>
      <c r="S472" s="1842" t="n"/>
      <c r="T472" s="1842" t="n"/>
      <c r="U472" s="1842" t="n"/>
      <c r="V472" s="1842" t="n"/>
      <c r="W472" s="1842" t="n"/>
      <c r="X472" s="1842" t="n"/>
      <c r="Y472" s="1842" t="n"/>
      <c r="Z472" s="1842" t="n"/>
      <c r="AA472" s="1842" t="n"/>
      <c r="AB472" s="1842" t="n"/>
      <c r="AC472" s="1842" t="n"/>
      <c r="AD472" s="1842" t="n"/>
      <c r="AE472" s="1842" t="n"/>
      <c r="AF472" s="1842" t="n"/>
    </row>
    <row r="473" ht="13.5" customHeight="1" s="1883">
      <c r="A473" s="1842" t="n"/>
      <c r="B473" s="1842" t="n"/>
      <c r="C473" s="1842" t="n"/>
      <c r="D473" s="1842" t="n"/>
      <c r="E473" s="1842" t="n"/>
      <c r="F473" s="1842" t="n"/>
      <c r="G473" s="1842" t="n"/>
      <c r="H473" s="1842" t="n"/>
      <c r="I473" s="1842" t="n"/>
      <c r="J473" s="1842" t="n"/>
      <c r="K473" s="1842" t="n"/>
      <c r="L473" s="1842" t="n"/>
      <c r="M473" s="1842" t="n"/>
      <c r="N473" s="1842" t="n"/>
      <c r="O473" s="1842" t="n"/>
      <c r="P473" s="1842" t="n"/>
      <c r="Q473" s="1842" t="n"/>
      <c r="R473" s="1842" t="n"/>
      <c r="S473" s="1842" t="n"/>
      <c r="T473" s="1842" t="n"/>
      <c r="U473" s="1842" t="n"/>
      <c r="V473" s="1842" t="n"/>
      <c r="W473" s="1842" t="n"/>
      <c r="X473" s="1842" t="n"/>
      <c r="Y473" s="1842" t="n"/>
      <c r="Z473" s="1842" t="n"/>
      <c r="AA473" s="1842" t="n"/>
      <c r="AB473" s="1842" t="n"/>
      <c r="AC473" s="1842" t="n"/>
      <c r="AD473" s="1842" t="n"/>
      <c r="AE473" s="1842" t="n"/>
      <c r="AF473" s="1842" t="n"/>
    </row>
    <row r="474" ht="13.5" customHeight="1" s="1883">
      <c r="A474" s="1842" t="n"/>
      <c r="B474" s="1842" t="n"/>
      <c r="C474" s="1842" t="n"/>
      <c r="D474" s="1842" t="n"/>
      <c r="E474" s="1842" t="n"/>
      <c r="F474" s="1842" t="n"/>
      <c r="G474" s="1842" t="n"/>
      <c r="H474" s="1842" t="n"/>
      <c r="I474" s="1842" t="n"/>
      <c r="J474" s="1842" t="n"/>
      <c r="K474" s="1842" t="n"/>
      <c r="L474" s="1842" t="n"/>
      <c r="M474" s="1842" t="n"/>
      <c r="N474" s="1842" t="n"/>
      <c r="O474" s="1842" t="n"/>
      <c r="P474" s="1842" t="n"/>
      <c r="Q474" s="1842" t="n"/>
      <c r="R474" s="1842" t="n"/>
      <c r="S474" s="1842" t="n"/>
      <c r="T474" s="1842" t="n"/>
      <c r="U474" s="1842" t="n"/>
      <c r="V474" s="1842" t="n"/>
      <c r="W474" s="1842" t="n"/>
      <c r="X474" s="1842" t="n"/>
      <c r="Y474" s="1842" t="n"/>
      <c r="Z474" s="1842" t="n"/>
      <c r="AA474" s="1842" t="n"/>
      <c r="AB474" s="1842" t="n"/>
      <c r="AC474" s="1842" t="n"/>
      <c r="AD474" s="1842" t="n"/>
      <c r="AE474" s="1842" t="n"/>
      <c r="AF474" s="1842" t="n"/>
    </row>
    <row r="475" ht="13.5" customHeight="1" s="1883">
      <c r="A475" s="1842" t="n"/>
      <c r="B475" s="1842" t="n"/>
      <c r="C475" s="1842" t="n"/>
      <c r="D475" s="1842" t="n"/>
      <c r="E475" s="1842" t="n"/>
      <c r="F475" s="1842" t="n"/>
      <c r="G475" s="1842" t="n"/>
      <c r="H475" s="1842" t="n"/>
      <c r="I475" s="1842" t="n"/>
      <c r="J475" s="1842" t="n"/>
      <c r="K475" s="1842" t="n"/>
      <c r="L475" s="1842" t="n"/>
      <c r="M475" s="1842" t="n"/>
      <c r="N475" s="1842" t="n"/>
      <c r="O475" s="1842" t="n"/>
      <c r="P475" s="1842" t="n"/>
      <c r="Q475" s="1842" t="n"/>
      <c r="R475" s="1842" t="n"/>
      <c r="S475" s="1842" t="n"/>
      <c r="T475" s="1842" t="n"/>
      <c r="U475" s="1842" t="n"/>
      <c r="V475" s="1842" t="n"/>
      <c r="W475" s="1842" t="n"/>
      <c r="X475" s="1842" t="n"/>
      <c r="Y475" s="1842" t="n"/>
      <c r="Z475" s="1842" t="n"/>
      <c r="AA475" s="1842" t="n"/>
      <c r="AB475" s="1842" t="n"/>
      <c r="AC475" s="1842" t="n"/>
      <c r="AD475" s="1842" t="n"/>
      <c r="AE475" s="1842" t="n"/>
      <c r="AF475" s="1842" t="n"/>
    </row>
    <row r="476" ht="13.5" customHeight="1" s="1883">
      <c r="A476" s="1842" t="n"/>
      <c r="B476" s="1842" t="n"/>
      <c r="C476" s="1842" t="n"/>
      <c r="D476" s="1842" t="n"/>
      <c r="E476" s="1842" t="n"/>
      <c r="F476" s="1842" t="n"/>
      <c r="G476" s="1842" t="n"/>
      <c r="H476" s="1842" t="n"/>
      <c r="I476" s="1842" t="n"/>
      <c r="J476" s="1842" t="n"/>
      <c r="K476" s="1842" t="n"/>
      <c r="L476" s="1842" t="n"/>
      <c r="M476" s="1842" t="n"/>
      <c r="N476" s="1842" t="n"/>
      <c r="O476" s="1842" t="n"/>
      <c r="P476" s="1842" t="n"/>
      <c r="Q476" s="1842" t="n"/>
      <c r="R476" s="1842" t="n"/>
      <c r="S476" s="1842" t="n"/>
      <c r="T476" s="1842" t="n"/>
      <c r="U476" s="1842" t="n"/>
      <c r="V476" s="1842" t="n"/>
      <c r="W476" s="1842" t="n"/>
      <c r="X476" s="1842" t="n"/>
      <c r="Y476" s="1842" t="n"/>
      <c r="Z476" s="1842" t="n"/>
      <c r="AA476" s="1842" t="n"/>
      <c r="AB476" s="1842" t="n"/>
      <c r="AC476" s="1842" t="n"/>
      <c r="AD476" s="1842" t="n"/>
      <c r="AE476" s="1842" t="n"/>
      <c r="AF476" s="1842" t="n"/>
    </row>
    <row r="477" ht="13.5" customHeight="1" s="1883">
      <c r="A477" s="1842" t="n"/>
      <c r="B477" s="1842" t="n"/>
      <c r="C477" s="1842" t="n"/>
      <c r="D477" s="1842" t="n"/>
      <c r="E477" s="1842" t="n"/>
      <c r="F477" s="1842" t="n"/>
      <c r="G477" s="1842" t="n"/>
      <c r="H477" s="1842" t="n"/>
      <c r="I477" s="1842" t="n"/>
      <c r="J477" s="1842" t="n"/>
      <c r="K477" s="1842" t="n"/>
      <c r="L477" s="1842" t="n"/>
      <c r="M477" s="1842" t="n"/>
      <c r="N477" s="1842" t="n"/>
      <c r="O477" s="1842" t="n"/>
      <c r="P477" s="1842" t="n"/>
      <c r="Q477" s="1842" t="n"/>
      <c r="R477" s="1842" t="n"/>
      <c r="S477" s="1842" t="n"/>
      <c r="T477" s="1842" t="n"/>
      <c r="U477" s="1842" t="n"/>
      <c r="V477" s="1842" t="n"/>
      <c r="W477" s="1842" t="n"/>
      <c r="X477" s="1842" t="n"/>
      <c r="Y477" s="1842" t="n"/>
      <c r="Z477" s="1842" t="n"/>
      <c r="AA477" s="1842" t="n"/>
      <c r="AB477" s="1842" t="n"/>
      <c r="AC477" s="1842" t="n"/>
      <c r="AD477" s="1842" t="n"/>
      <c r="AE477" s="1842" t="n"/>
      <c r="AF477" s="1842" t="n"/>
    </row>
    <row r="478" ht="13.5" customHeight="1" s="1883">
      <c r="A478" s="1842" t="n"/>
      <c r="B478" s="1842" t="n"/>
      <c r="C478" s="1842" t="n"/>
      <c r="D478" s="1842" t="n"/>
      <c r="E478" s="1842" t="n"/>
      <c r="F478" s="1842" t="n"/>
      <c r="G478" s="1842" t="n"/>
      <c r="H478" s="1842" t="n"/>
      <c r="I478" s="1842" t="n"/>
      <c r="J478" s="1842" t="n"/>
      <c r="K478" s="1842" t="n"/>
      <c r="L478" s="1842" t="n"/>
      <c r="M478" s="1842" t="n"/>
      <c r="N478" s="1842" t="n"/>
      <c r="O478" s="1842" t="n"/>
      <c r="P478" s="1842" t="n"/>
      <c r="Q478" s="1842" t="n"/>
      <c r="R478" s="1842" t="n"/>
      <c r="S478" s="1842" t="n"/>
      <c r="T478" s="1842" t="n"/>
      <c r="U478" s="1842" t="n"/>
      <c r="V478" s="1842" t="n"/>
      <c r="W478" s="1842" t="n"/>
      <c r="X478" s="1842" t="n"/>
      <c r="Y478" s="1842" t="n"/>
      <c r="Z478" s="1842" t="n"/>
      <c r="AA478" s="1842" t="n"/>
      <c r="AB478" s="1842" t="n"/>
      <c r="AC478" s="1842" t="n"/>
      <c r="AD478" s="1842" t="n"/>
      <c r="AE478" s="1842" t="n"/>
      <c r="AF478" s="1842" t="n"/>
    </row>
    <row r="479" ht="13.5" customHeight="1" s="1883">
      <c r="A479" s="1842" t="n"/>
      <c r="B479" s="1842" t="n"/>
      <c r="C479" s="1842" t="n"/>
      <c r="D479" s="1842" t="n"/>
      <c r="E479" s="1842" t="n"/>
      <c r="F479" s="1842" t="n"/>
      <c r="G479" s="1842" t="n"/>
      <c r="H479" s="1842" t="n"/>
      <c r="I479" s="1842" t="n"/>
      <c r="J479" s="1842" t="n"/>
      <c r="K479" s="1842" t="n"/>
      <c r="L479" s="1842" t="n"/>
      <c r="M479" s="1842" t="n"/>
      <c r="N479" s="1842" t="n"/>
      <c r="O479" s="1842" t="n"/>
      <c r="P479" s="1842" t="n"/>
      <c r="Q479" s="1842" t="n"/>
      <c r="R479" s="1842" t="n"/>
      <c r="S479" s="1842" t="n"/>
      <c r="T479" s="1842" t="n"/>
      <c r="U479" s="1842" t="n"/>
      <c r="V479" s="1842" t="n"/>
      <c r="W479" s="1842" t="n"/>
      <c r="X479" s="1842" t="n"/>
      <c r="Y479" s="1842" t="n"/>
      <c r="Z479" s="1842" t="n"/>
      <c r="AA479" s="1842" t="n"/>
      <c r="AB479" s="1842" t="n"/>
      <c r="AC479" s="1842" t="n"/>
      <c r="AD479" s="1842" t="n"/>
      <c r="AE479" s="1842" t="n"/>
      <c r="AF479" s="1842" t="n"/>
    </row>
    <row r="480" ht="13.5" customHeight="1" s="1883">
      <c r="A480" s="1842" t="n"/>
      <c r="B480" s="1842" t="n"/>
      <c r="C480" s="1842" t="n"/>
      <c r="D480" s="1842" t="n"/>
      <c r="E480" s="1842" t="n"/>
      <c r="F480" s="1842" t="n"/>
      <c r="G480" s="1842" t="n"/>
      <c r="H480" s="1842" t="n"/>
      <c r="I480" s="1842" t="n"/>
      <c r="J480" s="1842" t="n"/>
      <c r="K480" s="1842" t="n"/>
      <c r="L480" s="1842" t="n"/>
      <c r="M480" s="1842" t="n"/>
      <c r="N480" s="1842" t="n"/>
      <c r="O480" s="1842" t="n"/>
      <c r="P480" s="1842" t="n"/>
      <c r="Q480" s="1842" t="n"/>
      <c r="R480" s="1842" t="n"/>
      <c r="S480" s="1842" t="n"/>
      <c r="T480" s="1842" t="n"/>
      <c r="U480" s="1842" t="n"/>
      <c r="V480" s="1842" t="n"/>
      <c r="W480" s="1842" t="n"/>
      <c r="X480" s="1842" t="n"/>
      <c r="Y480" s="1842" t="n"/>
      <c r="Z480" s="1842" t="n"/>
      <c r="AA480" s="1842" t="n"/>
      <c r="AB480" s="1842" t="n"/>
      <c r="AC480" s="1842" t="n"/>
      <c r="AD480" s="1842" t="n"/>
      <c r="AE480" s="1842" t="n"/>
      <c r="AF480" s="1842" t="n"/>
    </row>
    <row r="481" ht="13.5" customHeight="1" s="1883">
      <c r="A481" s="1842" t="n"/>
      <c r="B481" s="1842" t="n"/>
      <c r="C481" s="1842" t="n"/>
      <c r="D481" s="1842" t="n"/>
      <c r="E481" s="1842" t="n"/>
      <c r="F481" s="1842" t="n"/>
      <c r="G481" s="1842" t="n"/>
      <c r="H481" s="1842" t="n"/>
      <c r="I481" s="1842" t="n"/>
      <c r="J481" s="1842" t="n"/>
      <c r="K481" s="1842" t="n"/>
      <c r="L481" s="1842" t="n"/>
      <c r="M481" s="1842" t="n"/>
      <c r="N481" s="1842" t="n"/>
      <c r="O481" s="1842" t="n"/>
      <c r="P481" s="1842" t="n"/>
      <c r="Q481" s="1842" t="n"/>
      <c r="R481" s="1842" t="n"/>
      <c r="S481" s="1842" t="n"/>
      <c r="T481" s="1842" t="n"/>
      <c r="U481" s="1842" t="n"/>
      <c r="V481" s="1842" t="n"/>
      <c r="W481" s="1842" t="n"/>
      <c r="X481" s="1842" t="n"/>
      <c r="Y481" s="1842" t="n"/>
      <c r="Z481" s="1842" t="n"/>
      <c r="AA481" s="1842" t="n"/>
      <c r="AB481" s="1842" t="n"/>
      <c r="AC481" s="1842" t="n"/>
      <c r="AD481" s="1842" t="n"/>
      <c r="AE481" s="1842" t="n"/>
      <c r="AF481" s="1842" t="n"/>
    </row>
    <row r="482" ht="13.5" customHeight="1" s="1883">
      <c r="A482" s="1842" t="n"/>
      <c r="B482" s="1842" t="n"/>
      <c r="C482" s="1842" t="n"/>
      <c r="D482" s="1842" t="n"/>
      <c r="E482" s="1842" t="n"/>
      <c r="F482" s="1842" t="n"/>
      <c r="G482" s="1842" t="n"/>
      <c r="H482" s="1842" t="n"/>
      <c r="I482" s="1842" t="n"/>
      <c r="J482" s="1842" t="n"/>
      <c r="K482" s="1842" t="n"/>
      <c r="L482" s="1842" t="n"/>
      <c r="M482" s="1842" t="n"/>
      <c r="N482" s="1842" t="n"/>
      <c r="O482" s="1842" t="n"/>
      <c r="P482" s="1842" t="n"/>
      <c r="Q482" s="1842" t="n"/>
      <c r="R482" s="1842" t="n"/>
      <c r="S482" s="1842" t="n"/>
      <c r="T482" s="1842" t="n"/>
      <c r="U482" s="1842" t="n"/>
      <c r="V482" s="1842" t="n"/>
      <c r="W482" s="1842" t="n"/>
      <c r="X482" s="1842" t="n"/>
      <c r="Y482" s="1842" t="n"/>
      <c r="Z482" s="1842" t="n"/>
      <c r="AA482" s="1842" t="n"/>
      <c r="AB482" s="1842" t="n"/>
      <c r="AC482" s="1842" t="n"/>
      <c r="AD482" s="1842" t="n"/>
      <c r="AE482" s="1842" t="n"/>
      <c r="AF482" s="1842" t="n"/>
    </row>
    <row r="483" ht="13.5" customHeight="1" s="1883">
      <c r="A483" s="1842" t="n"/>
      <c r="B483" s="1842" t="n"/>
      <c r="C483" s="1842" t="n"/>
      <c r="D483" s="1842" t="n"/>
      <c r="E483" s="1842" t="n"/>
      <c r="F483" s="1842" t="n"/>
      <c r="G483" s="1842" t="n"/>
      <c r="H483" s="1842" t="n"/>
      <c r="I483" s="1842" t="n"/>
      <c r="J483" s="1842" t="n"/>
      <c r="K483" s="1842" t="n"/>
      <c r="L483" s="1842" t="n"/>
      <c r="M483" s="1842" t="n"/>
      <c r="N483" s="1842" t="n"/>
      <c r="O483" s="1842" t="n"/>
      <c r="P483" s="1842" t="n"/>
      <c r="Q483" s="1842" t="n"/>
      <c r="R483" s="1842" t="n"/>
      <c r="S483" s="1842" t="n"/>
      <c r="T483" s="1842" t="n"/>
      <c r="U483" s="1842" t="n"/>
      <c r="V483" s="1842" t="n"/>
      <c r="W483" s="1842" t="n"/>
      <c r="X483" s="1842" t="n"/>
      <c r="Y483" s="1842" t="n"/>
      <c r="Z483" s="1842" t="n"/>
      <c r="AA483" s="1842" t="n"/>
      <c r="AB483" s="1842" t="n"/>
      <c r="AC483" s="1842" t="n"/>
      <c r="AD483" s="1842" t="n"/>
      <c r="AE483" s="1842" t="n"/>
      <c r="AF483" s="1842" t="n"/>
    </row>
    <row r="484" ht="13.5" customHeight="1" s="1883">
      <c r="A484" s="1842" t="n"/>
      <c r="B484" s="1842" t="n"/>
      <c r="C484" s="1842" t="n"/>
      <c r="D484" s="1842" t="n"/>
      <c r="E484" s="1842" t="n"/>
      <c r="F484" s="1842" t="n"/>
      <c r="G484" s="1842" t="n"/>
      <c r="H484" s="1842" t="n"/>
      <c r="I484" s="1842" t="n"/>
      <c r="J484" s="1842" t="n"/>
      <c r="K484" s="1842" t="n"/>
      <c r="L484" s="1842" t="n"/>
      <c r="M484" s="1842" t="n"/>
      <c r="N484" s="1842" t="n"/>
      <c r="O484" s="1842" t="n"/>
      <c r="P484" s="1842" t="n"/>
      <c r="Q484" s="1842" t="n"/>
      <c r="R484" s="1842" t="n"/>
      <c r="S484" s="1842" t="n"/>
      <c r="T484" s="1842" t="n"/>
      <c r="U484" s="1842" t="n"/>
      <c r="V484" s="1842" t="n"/>
      <c r="W484" s="1842" t="n"/>
      <c r="X484" s="1842" t="n"/>
      <c r="Y484" s="1842" t="n"/>
      <c r="Z484" s="1842" t="n"/>
      <c r="AA484" s="1842" t="n"/>
      <c r="AB484" s="1842" t="n"/>
      <c r="AC484" s="1842" t="n"/>
      <c r="AD484" s="1842" t="n"/>
      <c r="AE484" s="1842" t="n"/>
      <c r="AF484" s="1842" t="n"/>
    </row>
    <row r="485" ht="13.5" customHeight="1" s="1883">
      <c r="A485" s="1842" t="n"/>
      <c r="B485" s="1842" t="n"/>
      <c r="C485" s="1842" t="n"/>
      <c r="D485" s="1842" t="n"/>
      <c r="E485" s="1842" t="n"/>
      <c r="F485" s="1842" t="n"/>
      <c r="G485" s="1842" t="n"/>
      <c r="H485" s="1842" t="n"/>
      <c r="I485" s="1842" t="n"/>
      <c r="J485" s="1842" t="n"/>
      <c r="K485" s="1842" t="n"/>
      <c r="L485" s="1842" t="n"/>
      <c r="M485" s="1842" t="n"/>
      <c r="N485" s="1842" t="n"/>
      <c r="O485" s="1842" t="n"/>
      <c r="P485" s="1842" t="n"/>
      <c r="Q485" s="1842" t="n"/>
      <c r="R485" s="1842" t="n"/>
      <c r="S485" s="1842" t="n"/>
      <c r="T485" s="1842" t="n"/>
      <c r="U485" s="1842" t="n"/>
      <c r="V485" s="1842" t="n"/>
      <c r="W485" s="1842" t="n"/>
      <c r="X485" s="1842" t="n"/>
      <c r="Y485" s="1842" t="n"/>
      <c r="Z485" s="1842" t="n"/>
      <c r="AA485" s="1842" t="n"/>
      <c r="AB485" s="1842" t="n"/>
      <c r="AC485" s="1842" t="n"/>
      <c r="AD485" s="1842" t="n"/>
      <c r="AE485" s="1842" t="n"/>
      <c r="AF485" s="1842" t="n"/>
    </row>
    <row r="486" ht="13.5" customHeight="1" s="1883">
      <c r="A486" s="1842" t="n"/>
      <c r="B486" s="1842" t="n"/>
      <c r="C486" s="1842" t="n"/>
      <c r="D486" s="1842" t="n"/>
      <c r="E486" s="1842" t="n"/>
      <c r="F486" s="1842" t="n"/>
      <c r="G486" s="1842" t="n"/>
      <c r="H486" s="1842" t="n"/>
      <c r="I486" s="1842" t="n"/>
      <c r="J486" s="1842" t="n"/>
      <c r="K486" s="1842" t="n"/>
      <c r="L486" s="1842" t="n"/>
      <c r="M486" s="1842" t="n"/>
      <c r="N486" s="1842" t="n"/>
      <c r="O486" s="1842" t="n"/>
      <c r="P486" s="1842" t="n"/>
      <c r="Q486" s="1842" t="n"/>
      <c r="R486" s="1842" t="n"/>
      <c r="S486" s="1842" t="n"/>
      <c r="T486" s="1842" t="n"/>
      <c r="U486" s="1842" t="n"/>
      <c r="V486" s="1842" t="n"/>
      <c r="W486" s="1842" t="n"/>
      <c r="X486" s="1842" t="n"/>
      <c r="Y486" s="1842" t="n"/>
      <c r="Z486" s="1842" t="n"/>
      <c r="AA486" s="1842" t="n"/>
      <c r="AB486" s="1842" t="n"/>
      <c r="AC486" s="1842" t="n"/>
      <c r="AD486" s="1842" t="n"/>
      <c r="AE486" s="1842" t="n"/>
      <c r="AF486" s="1842" t="n"/>
    </row>
    <row r="487" ht="13.5" customHeight="1" s="1883">
      <c r="A487" s="1842" t="n"/>
      <c r="B487" s="1842" t="n"/>
      <c r="C487" s="1842" t="n"/>
      <c r="D487" s="1842" t="n"/>
      <c r="E487" s="1842" t="n"/>
      <c r="F487" s="1842" t="n"/>
      <c r="G487" s="1842" t="n"/>
      <c r="H487" s="1842" t="n"/>
      <c r="I487" s="1842" t="n"/>
      <c r="J487" s="1842" t="n"/>
      <c r="K487" s="1842" t="n"/>
      <c r="L487" s="1842" t="n"/>
      <c r="M487" s="1842" t="n"/>
      <c r="N487" s="1842" t="n"/>
      <c r="O487" s="1842" t="n"/>
      <c r="P487" s="1842" t="n"/>
      <c r="Q487" s="1842" t="n"/>
      <c r="R487" s="1842" t="n"/>
      <c r="S487" s="1842" t="n"/>
      <c r="T487" s="1842" t="n"/>
      <c r="U487" s="1842" t="n"/>
      <c r="V487" s="1842" t="n"/>
      <c r="W487" s="1842" t="n"/>
      <c r="X487" s="1842" t="n"/>
      <c r="Y487" s="1842" t="n"/>
      <c r="Z487" s="1842" t="n"/>
      <c r="AA487" s="1842" t="n"/>
      <c r="AB487" s="1842" t="n"/>
      <c r="AC487" s="1842" t="n"/>
      <c r="AD487" s="1842" t="n"/>
      <c r="AE487" s="1842" t="n"/>
      <c r="AF487" s="1842" t="n"/>
    </row>
    <row r="488" ht="13.5" customHeight="1" s="1883">
      <c r="A488" s="1842" t="n"/>
      <c r="B488" s="1842" t="n"/>
      <c r="C488" s="1842" t="n"/>
      <c r="D488" s="1842" t="n"/>
      <c r="E488" s="1842" t="n"/>
      <c r="F488" s="1842" t="n"/>
      <c r="G488" s="1842" t="n"/>
      <c r="H488" s="1842" t="n"/>
      <c r="I488" s="1842" t="n"/>
      <c r="J488" s="1842" t="n"/>
      <c r="K488" s="1842" t="n"/>
      <c r="L488" s="1842" t="n"/>
      <c r="M488" s="1842" t="n"/>
      <c r="N488" s="1842" t="n"/>
      <c r="O488" s="1842" t="n"/>
      <c r="P488" s="1842" t="n"/>
      <c r="Q488" s="1842" t="n"/>
      <c r="R488" s="1842" t="n"/>
      <c r="S488" s="1842" t="n"/>
      <c r="T488" s="1842" t="n"/>
      <c r="U488" s="1842" t="n"/>
      <c r="V488" s="1842" t="n"/>
      <c r="W488" s="1842" t="n"/>
      <c r="X488" s="1842" t="n"/>
      <c r="Y488" s="1842" t="n"/>
      <c r="Z488" s="1842" t="n"/>
      <c r="AA488" s="1842" t="n"/>
      <c r="AB488" s="1842" t="n"/>
      <c r="AC488" s="1842" t="n"/>
      <c r="AD488" s="1842" t="n"/>
      <c r="AE488" s="1842" t="n"/>
      <c r="AF488" s="1842" t="n"/>
    </row>
    <row r="489" ht="13.5" customHeight="1" s="1883">
      <c r="A489" s="1842" t="n"/>
      <c r="B489" s="1842" t="n"/>
      <c r="C489" s="1842" t="n"/>
      <c r="D489" s="1842" t="n"/>
      <c r="E489" s="1842" t="n"/>
      <c r="F489" s="1842" t="n"/>
      <c r="G489" s="1842" t="n"/>
      <c r="H489" s="1842" t="n"/>
      <c r="I489" s="1842" t="n"/>
      <c r="J489" s="1842" t="n"/>
      <c r="K489" s="1842" t="n"/>
      <c r="L489" s="1842" t="n"/>
      <c r="M489" s="1842" t="n"/>
      <c r="N489" s="1842" t="n"/>
      <c r="O489" s="1842" t="n"/>
      <c r="P489" s="1842" t="n"/>
      <c r="Q489" s="1842" t="n"/>
      <c r="R489" s="1842" t="n"/>
      <c r="S489" s="1842" t="n"/>
      <c r="T489" s="1842" t="n"/>
      <c r="U489" s="1842" t="n"/>
      <c r="V489" s="1842" t="n"/>
      <c r="W489" s="1842" t="n"/>
      <c r="X489" s="1842" t="n"/>
      <c r="Y489" s="1842" t="n"/>
      <c r="Z489" s="1842" t="n"/>
      <c r="AA489" s="1842" t="n"/>
      <c r="AB489" s="1842" t="n"/>
      <c r="AC489" s="1842" t="n"/>
      <c r="AD489" s="1842" t="n"/>
      <c r="AE489" s="1842" t="n"/>
      <c r="AF489" s="1842" t="n"/>
    </row>
    <row r="490" ht="13.5" customHeight="1" s="1883">
      <c r="A490" s="1842" t="n"/>
      <c r="B490" s="1842" t="n"/>
      <c r="C490" s="1842" t="n"/>
      <c r="D490" s="1842" t="n"/>
      <c r="E490" s="1842" t="n"/>
      <c r="F490" s="1842" t="n"/>
      <c r="G490" s="1842" t="n"/>
      <c r="H490" s="1842" t="n"/>
      <c r="I490" s="1842" t="n"/>
      <c r="J490" s="1842" t="n"/>
      <c r="K490" s="1842" t="n"/>
      <c r="L490" s="1842" t="n"/>
      <c r="M490" s="1842" t="n"/>
      <c r="N490" s="1842" t="n"/>
      <c r="O490" s="1842" t="n"/>
      <c r="P490" s="1842" t="n"/>
      <c r="Q490" s="1842" t="n"/>
      <c r="R490" s="1842" t="n"/>
      <c r="S490" s="1842" t="n"/>
      <c r="T490" s="1842" t="n"/>
      <c r="U490" s="1842" t="n"/>
      <c r="V490" s="1842" t="n"/>
      <c r="W490" s="1842" t="n"/>
      <c r="X490" s="1842" t="n"/>
      <c r="Y490" s="1842" t="n"/>
      <c r="Z490" s="1842" t="n"/>
      <c r="AA490" s="1842" t="n"/>
      <c r="AB490" s="1842" t="n"/>
      <c r="AC490" s="1842" t="n"/>
      <c r="AD490" s="1842" t="n"/>
      <c r="AE490" s="1842" t="n"/>
      <c r="AF490" s="1842" t="n"/>
    </row>
    <row r="491" ht="13.5" customHeight="1" s="1883">
      <c r="A491" s="1842" t="n"/>
      <c r="B491" s="1842" t="n"/>
      <c r="C491" s="1842" t="n"/>
      <c r="D491" s="1842" t="n"/>
      <c r="E491" s="1842" t="n"/>
      <c r="F491" s="1842" t="n"/>
      <c r="G491" s="1842" t="n"/>
      <c r="H491" s="1842" t="n"/>
      <c r="I491" s="1842" t="n"/>
      <c r="J491" s="1842" t="n"/>
      <c r="K491" s="1842" t="n"/>
      <c r="L491" s="1842" t="n"/>
      <c r="M491" s="1842" t="n"/>
      <c r="N491" s="1842" t="n"/>
      <c r="O491" s="1842" t="n"/>
      <c r="P491" s="1842" t="n"/>
      <c r="Q491" s="1842" t="n"/>
      <c r="R491" s="1842" t="n"/>
      <c r="S491" s="1842" t="n"/>
      <c r="T491" s="1842" t="n"/>
      <c r="U491" s="1842" t="n"/>
      <c r="V491" s="1842" t="n"/>
      <c r="W491" s="1842" t="n"/>
      <c r="X491" s="1842" t="n"/>
      <c r="Y491" s="1842" t="n"/>
      <c r="Z491" s="1842" t="n"/>
      <c r="AA491" s="1842" t="n"/>
      <c r="AB491" s="1842" t="n"/>
      <c r="AC491" s="1842" t="n"/>
      <c r="AD491" s="1842" t="n"/>
      <c r="AE491" s="1842" t="n"/>
      <c r="AF491" s="1842" t="n"/>
    </row>
    <row r="492" ht="13.5" customHeight="1" s="1883">
      <c r="A492" s="1842" t="n"/>
      <c r="B492" s="1842" t="n"/>
      <c r="C492" s="1842" t="n"/>
      <c r="D492" s="1842" t="n"/>
      <c r="E492" s="1842" t="n"/>
      <c r="F492" s="1842" t="n"/>
      <c r="G492" s="1842" t="n"/>
      <c r="H492" s="1842" t="n"/>
      <c r="I492" s="1842" t="n"/>
      <c r="J492" s="1842" t="n"/>
      <c r="K492" s="1842" t="n"/>
      <c r="L492" s="1842" t="n"/>
      <c r="M492" s="1842" t="n"/>
      <c r="N492" s="1842" t="n"/>
      <c r="O492" s="1842" t="n"/>
      <c r="P492" s="1842" t="n"/>
      <c r="Q492" s="1842" t="n"/>
      <c r="R492" s="1842" t="n"/>
      <c r="S492" s="1842" t="n"/>
      <c r="T492" s="1842" t="n"/>
      <c r="U492" s="1842" t="n"/>
      <c r="V492" s="1842" t="n"/>
      <c r="W492" s="1842" t="n"/>
      <c r="X492" s="1842" t="n"/>
      <c r="Y492" s="1842" t="n"/>
      <c r="Z492" s="1842" t="n"/>
      <c r="AA492" s="1842" t="n"/>
      <c r="AB492" s="1842" t="n"/>
      <c r="AC492" s="1842" t="n"/>
      <c r="AD492" s="1842" t="n"/>
      <c r="AE492" s="1842" t="n"/>
      <c r="AF492" s="1842" t="n"/>
    </row>
    <row r="493" ht="13.5" customHeight="1" s="1883">
      <c r="A493" s="1842" t="n"/>
      <c r="B493" s="1842" t="n"/>
      <c r="C493" s="1842" t="n"/>
      <c r="D493" s="1842" t="n"/>
      <c r="E493" s="1842" t="n"/>
      <c r="F493" s="1842" t="n"/>
      <c r="G493" s="1842" t="n"/>
      <c r="H493" s="1842" t="n"/>
      <c r="I493" s="1842" t="n"/>
      <c r="J493" s="1842" t="n"/>
      <c r="K493" s="1842" t="n"/>
      <c r="L493" s="1842" t="n"/>
      <c r="M493" s="1842" t="n"/>
      <c r="N493" s="1842" t="n"/>
      <c r="O493" s="1842" t="n"/>
      <c r="P493" s="1842" t="n"/>
      <c r="Q493" s="1842" t="n"/>
      <c r="R493" s="1842" t="n"/>
      <c r="S493" s="1842" t="n"/>
      <c r="T493" s="1842" t="n"/>
      <c r="U493" s="1842" t="n"/>
      <c r="V493" s="1842" t="n"/>
      <c r="W493" s="1842" t="n"/>
      <c r="X493" s="1842" t="n"/>
      <c r="Y493" s="1842" t="n"/>
      <c r="Z493" s="1842" t="n"/>
      <c r="AA493" s="1842" t="n"/>
      <c r="AB493" s="1842" t="n"/>
      <c r="AC493" s="1842" t="n"/>
      <c r="AD493" s="1842" t="n"/>
      <c r="AE493" s="1842" t="n"/>
      <c r="AF493" s="1842" t="n"/>
    </row>
    <row r="494" ht="13.5" customHeight="1" s="1883">
      <c r="A494" s="1842" t="n"/>
      <c r="B494" s="1842" t="n"/>
      <c r="C494" s="1842" t="n"/>
      <c r="D494" s="1842" t="n"/>
      <c r="E494" s="1842" t="n"/>
      <c r="F494" s="1842" t="n"/>
      <c r="G494" s="1842" t="n"/>
      <c r="H494" s="1842" t="n"/>
      <c r="I494" s="1842" t="n"/>
      <c r="J494" s="1842" t="n"/>
      <c r="K494" s="1842" t="n"/>
      <c r="L494" s="1842" t="n"/>
      <c r="M494" s="1842" t="n"/>
      <c r="N494" s="1842" t="n"/>
      <c r="O494" s="1842" t="n"/>
      <c r="P494" s="1842" t="n"/>
      <c r="Q494" s="1842" t="n"/>
      <c r="R494" s="1842" t="n"/>
      <c r="S494" s="1842" t="n"/>
      <c r="T494" s="1842" t="n"/>
      <c r="U494" s="1842" t="n"/>
      <c r="V494" s="1842" t="n"/>
      <c r="W494" s="1842" t="n"/>
      <c r="X494" s="1842" t="n"/>
      <c r="Y494" s="1842" t="n"/>
      <c r="Z494" s="1842" t="n"/>
      <c r="AA494" s="1842" t="n"/>
      <c r="AB494" s="1842" t="n"/>
      <c r="AC494" s="1842" t="n"/>
      <c r="AD494" s="1842" t="n"/>
      <c r="AE494" s="1842" t="n"/>
      <c r="AF494" s="1842" t="n"/>
    </row>
    <row r="495" ht="13.5" customHeight="1" s="1883">
      <c r="A495" s="1842" t="n"/>
      <c r="B495" s="1842" t="n"/>
      <c r="C495" s="1842" t="n"/>
      <c r="D495" s="1842" t="n"/>
      <c r="E495" s="1842" t="n"/>
      <c r="F495" s="1842" t="n"/>
      <c r="G495" s="1842" t="n"/>
      <c r="H495" s="1842" t="n"/>
      <c r="I495" s="1842" t="n"/>
      <c r="J495" s="1842" t="n"/>
      <c r="K495" s="1842" t="n"/>
      <c r="L495" s="1842" t="n"/>
      <c r="M495" s="1842" t="n"/>
      <c r="N495" s="1842" t="n"/>
      <c r="O495" s="1842" t="n"/>
      <c r="P495" s="1842" t="n"/>
      <c r="Q495" s="1842" t="n"/>
      <c r="R495" s="1842" t="n"/>
      <c r="S495" s="1842" t="n"/>
      <c r="T495" s="1842" t="n"/>
      <c r="U495" s="1842" t="n"/>
      <c r="V495" s="1842" t="n"/>
      <c r="W495" s="1842" t="n"/>
      <c r="X495" s="1842" t="n"/>
      <c r="Y495" s="1842" t="n"/>
      <c r="Z495" s="1842" t="n"/>
      <c r="AA495" s="1842" t="n"/>
      <c r="AB495" s="1842" t="n"/>
      <c r="AC495" s="1842" t="n"/>
      <c r="AD495" s="1842" t="n"/>
      <c r="AE495" s="1842" t="n"/>
      <c r="AF495" s="1842" t="n"/>
    </row>
    <row r="496" ht="13.5" customHeight="1" s="1883">
      <c r="A496" s="1842" t="n"/>
      <c r="B496" s="1842" t="n"/>
      <c r="C496" s="1842" t="n"/>
      <c r="D496" s="1842" t="n"/>
      <c r="E496" s="1842" t="n"/>
      <c r="F496" s="1842" t="n"/>
      <c r="G496" s="1842" t="n"/>
      <c r="H496" s="1842" t="n"/>
      <c r="I496" s="1842" t="n"/>
      <c r="J496" s="1842" t="n"/>
      <c r="K496" s="1842" t="n"/>
      <c r="L496" s="1842" t="n"/>
      <c r="M496" s="1842" t="n"/>
      <c r="N496" s="1842" t="n"/>
      <c r="O496" s="1842" t="n"/>
      <c r="P496" s="1842" t="n"/>
      <c r="Q496" s="1842" t="n"/>
      <c r="R496" s="1842" t="n"/>
      <c r="S496" s="1842" t="n"/>
      <c r="T496" s="1842" t="n"/>
      <c r="U496" s="1842" t="n"/>
      <c r="V496" s="1842" t="n"/>
      <c r="W496" s="1842" t="n"/>
      <c r="X496" s="1842" t="n"/>
      <c r="Y496" s="1842" t="n"/>
      <c r="Z496" s="1842" t="n"/>
      <c r="AA496" s="1842" t="n"/>
      <c r="AB496" s="1842" t="n"/>
      <c r="AC496" s="1842" t="n"/>
      <c r="AD496" s="1842" t="n"/>
      <c r="AE496" s="1842" t="n"/>
      <c r="AF496" s="1842" t="n"/>
    </row>
    <row r="497" ht="13.5" customHeight="1" s="1883">
      <c r="A497" s="1842" t="n"/>
      <c r="B497" s="1842" t="n"/>
      <c r="C497" s="1842" t="n"/>
      <c r="D497" s="1842" t="n"/>
      <c r="E497" s="1842" t="n"/>
      <c r="F497" s="1842" t="n"/>
      <c r="G497" s="1842" t="n"/>
      <c r="H497" s="1842" t="n"/>
      <c r="I497" s="1842" t="n"/>
      <c r="J497" s="1842" t="n"/>
      <c r="K497" s="1842" t="n"/>
      <c r="L497" s="1842" t="n"/>
      <c r="M497" s="1842" t="n"/>
      <c r="N497" s="1842" t="n"/>
      <c r="O497" s="1842" t="n"/>
      <c r="P497" s="1842" t="n"/>
      <c r="Q497" s="1842" t="n"/>
      <c r="R497" s="1842" t="n"/>
      <c r="S497" s="1842" t="n"/>
      <c r="T497" s="1842" t="n"/>
      <c r="U497" s="1842" t="n"/>
      <c r="V497" s="1842" t="n"/>
      <c r="W497" s="1842" t="n"/>
      <c r="X497" s="1842" t="n"/>
      <c r="Y497" s="1842" t="n"/>
      <c r="Z497" s="1842" t="n"/>
      <c r="AA497" s="1842" t="n"/>
      <c r="AB497" s="1842" t="n"/>
      <c r="AC497" s="1842" t="n"/>
      <c r="AD497" s="1842" t="n"/>
      <c r="AE497" s="1842" t="n"/>
      <c r="AF497" s="1842" t="n"/>
    </row>
    <row r="498" ht="13.5" customHeight="1" s="1883">
      <c r="A498" s="1842" t="n"/>
      <c r="B498" s="1842" t="n"/>
      <c r="C498" s="1842" t="n"/>
      <c r="D498" s="1842" t="n"/>
      <c r="E498" s="1842" t="n"/>
      <c r="F498" s="1842" t="n"/>
      <c r="G498" s="1842" t="n"/>
      <c r="H498" s="1842" t="n"/>
      <c r="I498" s="1842" t="n"/>
      <c r="J498" s="1842" t="n"/>
      <c r="K498" s="1842" t="n"/>
      <c r="L498" s="1842" t="n"/>
      <c r="M498" s="1842" t="n"/>
      <c r="N498" s="1842" t="n"/>
      <c r="O498" s="1842" t="n"/>
      <c r="P498" s="1842" t="n"/>
      <c r="Q498" s="1842" t="n"/>
      <c r="R498" s="1842" t="n"/>
      <c r="S498" s="1842" t="n"/>
      <c r="T498" s="1842" t="n"/>
      <c r="U498" s="1842" t="n"/>
      <c r="V498" s="1842" t="n"/>
      <c r="W498" s="1842" t="n"/>
      <c r="X498" s="1842" t="n"/>
      <c r="Y498" s="1842" t="n"/>
      <c r="Z498" s="1842" t="n"/>
      <c r="AA498" s="1842" t="n"/>
      <c r="AB498" s="1842" t="n"/>
      <c r="AC498" s="1842" t="n"/>
      <c r="AD498" s="1842" t="n"/>
      <c r="AE498" s="1842" t="n"/>
      <c r="AF498" s="1842" t="n"/>
    </row>
    <row r="499" ht="13.5" customHeight="1" s="1883">
      <c r="A499" s="1842" t="n"/>
      <c r="B499" s="1842" t="n"/>
      <c r="C499" s="1842" t="n"/>
      <c r="D499" s="1842" t="n"/>
      <c r="E499" s="1842" t="n"/>
      <c r="F499" s="1842" t="n"/>
      <c r="G499" s="1842" t="n"/>
      <c r="H499" s="1842" t="n"/>
      <c r="I499" s="1842" t="n"/>
      <c r="J499" s="1842" t="n"/>
      <c r="K499" s="1842" t="n"/>
      <c r="L499" s="1842" t="n"/>
      <c r="M499" s="1842" t="n"/>
      <c r="N499" s="1842" t="n"/>
      <c r="O499" s="1842" t="n"/>
      <c r="P499" s="1842" t="n"/>
      <c r="Q499" s="1842" t="n"/>
      <c r="R499" s="1842" t="n"/>
      <c r="S499" s="1842" t="n"/>
      <c r="T499" s="1842" t="n"/>
      <c r="U499" s="1842" t="n"/>
      <c r="V499" s="1842" t="n"/>
      <c r="W499" s="1842" t="n"/>
      <c r="X499" s="1842" t="n"/>
      <c r="Y499" s="1842" t="n"/>
      <c r="Z499" s="1842" t="n"/>
      <c r="AA499" s="1842" t="n"/>
      <c r="AB499" s="1842" t="n"/>
      <c r="AC499" s="1842" t="n"/>
      <c r="AD499" s="1842" t="n"/>
      <c r="AE499" s="1842" t="n"/>
      <c r="AF499" s="1842" t="n"/>
    </row>
    <row r="500" ht="13.5" customHeight="1" s="1883">
      <c r="A500" s="1842" t="n"/>
      <c r="B500" s="1842" t="n"/>
      <c r="C500" s="1842" t="n"/>
      <c r="D500" s="1842" t="n"/>
      <c r="E500" s="1842" t="n"/>
      <c r="F500" s="1842" t="n"/>
      <c r="G500" s="1842" t="n"/>
      <c r="H500" s="1842" t="n"/>
      <c r="I500" s="1842" t="n"/>
      <c r="J500" s="1842" t="n"/>
      <c r="K500" s="1842" t="n"/>
      <c r="L500" s="1842" t="n"/>
      <c r="M500" s="1842" t="n"/>
      <c r="N500" s="1842" t="n"/>
      <c r="O500" s="1842" t="n"/>
      <c r="P500" s="1842" t="n"/>
      <c r="Q500" s="1842" t="n"/>
      <c r="R500" s="1842" t="n"/>
      <c r="S500" s="1842" t="n"/>
      <c r="T500" s="1842" t="n"/>
      <c r="U500" s="1842" t="n"/>
      <c r="V500" s="1842" t="n"/>
      <c r="W500" s="1842" t="n"/>
      <c r="X500" s="1842" t="n"/>
      <c r="Y500" s="1842" t="n"/>
      <c r="Z500" s="1842" t="n"/>
      <c r="AA500" s="1842" t="n"/>
      <c r="AB500" s="1842" t="n"/>
      <c r="AC500" s="1842" t="n"/>
      <c r="AD500" s="1842" t="n"/>
      <c r="AE500" s="1842" t="n"/>
      <c r="AF500" s="1842" t="n"/>
    </row>
    <row r="501" ht="13.5" customHeight="1" s="1883">
      <c r="A501" s="1842" t="n"/>
      <c r="B501" s="1842" t="n"/>
      <c r="C501" s="1842" t="n"/>
      <c r="D501" s="1842" t="n"/>
      <c r="E501" s="1842" t="n"/>
      <c r="F501" s="1842" t="n"/>
      <c r="G501" s="1842" t="n"/>
      <c r="H501" s="1842" t="n"/>
      <c r="I501" s="1842" t="n"/>
      <c r="J501" s="1842" t="n"/>
      <c r="K501" s="1842" t="n"/>
      <c r="L501" s="1842" t="n"/>
      <c r="M501" s="1842" t="n"/>
      <c r="N501" s="1842" t="n"/>
      <c r="O501" s="1842" t="n"/>
      <c r="P501" s="1842" t="n"/>
      <c r="Q501" s="1842" t="n"/>
      <c r="R501" s="1842" t="n"/>
      <c r="S501" s="1842" t="n"/>
      <c r="T501" s="1842" t="n"/>
      <c r="U501" s="1842" t="n"/>
      <c r="V501" s="1842" t="n"/>
      <c r="W501" s="1842" t="n"/>
      <c r="X501" s="1842" t="n"/>
      <c r="Y501" s="1842" t="n"/>
      <c r="Z501" s="1842" t="n"/>
      <c r="AA501" s="1842" t="n"/>
      <c r="AB501" s="1842" t="n"/>
      <c r="AC501" s="1842" t="n"/>
      <c r="AD501" s="1842" t="n"/>
      <c r="AE501" s="1842" t="n"/>
      <c r="AF501" s="1842" t="n"/>
    </row>
    <row r="502" ht="13.5" customHeight="1" s="1883">
      <c r="A502" s="1842" t="n"/>
      <c r="B502" s="1842" t="n"/>
      <c r="C502" s="1842" t="n"/>
      <c r="D502" s="1842" t="n"/>
      <c r="E502" s="1842" t="n"/>
      <c r="F502" s="1842" t="n"/>
      <c r="G502" s="1842" t="n"/>
      <c r="H502" s="1842" t="n"/>
      <c r="I502" s="1842" t="n"/>
      <c r="J502" s="1842" t="n"/>
      <c r="K502" s="1842" t="n"/>
      <c r="L502" s="1842" t="n"/>
      <c r="M502" s="1842" t="n"/>
      <c r="N502" s="1842" t="n"/>
      <c r="O502" s="1842" t="n"/>
      <c r="P502" s="1842" t="n"/>
      <c r="Q502" s="1842" t="n"/>
      <c r="R502" s="1842" t="n"/>
      <c r="S502" s="1842" t="n"/>
      <c r="T502" s="1842" t="n"/>
      <c r="U502" s="1842" t="n"/>
      <c r="V502" s="1842" t="n"/>
      <c r="W502" s="1842" t="n"/>
      <c r="X502" s="1842" t="n"/>
      <c r="Y502" s="1842" t="n"/>
      <c r="Z502" s="1842" t="n"/>
      <c r="AA502" s="1842" t="n"/>
      <c r="AB502" s="1842" t="n"/>
      <c r="AC502" s="1842" t="n"/>
      <c r="AD502" s="1842" t="n"/>
      <c r="AE502" s="1842" t="n"/>
      <c r="AF502" s="1842" t="n"/>
    </row>
    <row r="503" ht="13.5" customHeight="1" s="1883">
      <c r="A503" s="1842" t="n"/>
      <c r="B503" s="1842" t="n"/>
      <c r="C503" s="1842" t="n"/>
      <c r="D503" s="1842" t="n"/>
      <c r="E503" s="1842" t="n"/>
      <c r="F503" s="1842" t="n"/>
      <c r="G503" s="1842" t="n"/>
      <c r="H503" s="1842" t="n"/>
      <c r="I503" s="1842" t="n"/>
      <c r="J503" s="1842" t="n"/>
      <c r="K503" s="1842" t="n"/>
      <c r="L503" s="1842" t="n"/>
      <c r="M503" s="1842" t="n"/>
      <c r="N503" s="1842" t="n"/>
      <c r="O503" s="1842" t="n"/>
      <c r="P503" s="1842" t="n"/>
      <c r="Q503" s="1842" t="n"/>
      <c r="R503" s="1842" t="n"/>
      <c r="S503" s="1842" t="n"/>
      <c r="T503" s="1842" t="n"/>
      <c r="U503" s="1842" t="n"/>
      <c r="V503" s="1842" t="n"/>
      <c r="W503" s="1842" t="n"/>
      <c r="X503" s="1842" t="n"/>
      <c r="Y503" s="1842" t="n"/>
      <c r="Z503" s="1842" t="n"/>
      <c r="AA503" s="1842" t="n"/>
      <c r="AB503" s="1842" t="n"/>
      <c r="AC503" s="1842" t="n"/>
      <c r="AD503" s="1842" t="n"/>
      <c r="AE503" s="1842" t="n"/>
      <c r="AF503" s="1842" t="n"/>
    </row>
    <row r="504" ht="13.5" customHeight="1" s="1883">
      <c r="A504" s="1842" t="n"/>
      <c r="B504" s="1842" t="n"/>
      <c r="C504" s="1842" t="n"/>
      <c r="D504" s="1842" t="n"/>
      <c r="E504" s="1842" t="n"/>
      <c r="F504" s="1842" t="n"/>
      <c r="G504" s="1842" t="n"/>
      <c r="H504" s="1842" t="n"/>
      <c r="I504" s="1842" t="n"/>
      <c r="J504" s="1842" t="n"/>
      <c r="K504" s="1842" t="n"/>
      <c r="L504" s="1842" t="n"/>
      <c r="M504" s="1842" t="n"/>
      <c r="N504" s="1842" t="n"/>
      <c r="O504" s="1842" t="n"/>
      <c r="P504" s="1842" t="n"/>
      <c r="Q504" s="1842" t="n"/>
      <c r="R504" s="1842" t="n"/>
      <c r="S504" s="1842" t="n"/>
      <c r="T504" s="1842" t="n"/>
      <c r="U504" s="1842" t="n"/>
      <c r="V504" s="1842" t="n"/>
      <c r="W504" s="1842" t="n"/>
      <c r="X504" s="1842" t="n"/>
      <c r="Y504" s="1842" t="n"/>
      <c r="Z504" s="1842" t="n"/>
      <c r="AA504" s="1842" t="n"/>
      <c r="AB504" s="1842" t="n"/>
      <c r="AC504" s="1842" t="n"/>
      <c r="AD504" s="1842" t="n"/>
      <c r="AE504" s="1842" t="n"/>
      <c r="AF504" s="1842" t="n"/>
    </row>
    <row r="505" ht="13.5" customHeight="1" s="1883">
      <c r="A505" s="1842" t="n"/>
      <c r="B505" s="1842" t="n"/>
      <c r="C505" s="1842" t="n"/>
      <c r="D505" s="1842" t="n"/>
      <c r="E505" s="1842" t="n"/>
      <c r="F505" s="1842" t="n"/>
      <c r="G505" s="1842" t="n"/>
      <c r="H505" s="1842" t="n"/>
      <c r="I505" s="1842" t="n"/>
      <c r="J505" s="1842" t="n"/>
      <c r="K505" s="1842" t="n"/>
      <c r="L505" s="1842" t="n"/>
      <c r="M505" s="1842" t="n"/>
      <c r="N505" s="1842" t="n"/>
      <c r="O505" s="1842" t="n"/>
      <c r="P505" s="1842" t="n"/>
      <c r="Q505" s="1842" t="n"/>
      <c r="R505" s="1842" t="n"/>
      <c r="S505" s="1842" t="n"/>
      <c r="T505" s="1842" t="n"/>
      <c r="U505" s="1842" t="n"/>
      <c r="V505" s="1842" t="n"/>
      <c r="W505" s="1842" t="n"/>
      <c r="X505" s="1842" t="n"/>
      <c r="Y505" s="1842" t="n"/>
      <c r="Z505" s="1842" t="n"/>
      <c r="AA505" s="1842" t="n"/>
      <c r="AB505" s="1842" t="n"/>
      <c r="AC505" s="1842" t="n"/>
      <c r="AD505" s="1842" t="n"/>
      <c r="AE505" s="1842" t="n"/>
      <c r="AF505" s="1842" t="n"/>
    </row>
    <row r="506" ht="13.5" customHeight="1" s="1883">
      <c r="A506" s="1842" t="n"/>
      <c r="B506" s="1842" t="n"/>
      <c r="C506" s="1842" t="n"/>
      <c r="D506" s="1842" t="n"/>
      <c r="E506" s="1842" t="n"/>
      <c r="F506" s="1842" t="n"/>
      <c r="G506" s="1842" t="n"/>
      <c r="H506" s="1842" t="n"/>
      <c r="I506" s="1842" t="n"/>
      <c r="J506" s="1842" t="n"/>
      <c r="K506" s="1842" t="n"/>
      <c r="L506" s="1842" t="n"/>
      <c r="M506" s="1842" t="n"/>
      <c r="N506" s="1842" t="n"/>
      <c r="O506" s="1842" t="n"/>
      <c r="P506" s="1842" t="n"/>
      <c r="Q506" s="1842" t="n"/>
      <c r="R506" s="1842" t="n"/>
      <c r="S506" s="1842" t="n"/>
      <c r="T506" s="1842" t="n"/>
      <c r="U506" s="1842" t="n"/>
      <c r="V506" s="1842" t="n"/>
      <c r="W506" s="1842" t="n"/>
      <c r="X506" s="1842" t="n"/>
      <c r="Y506" s="1842" t="n"/>
      <c r="Z506" s="1842" t="n"/>
      <c r="AA506" s="1842" t="n"/>
      <c r="AB506" s="1842" t="n"/>
      <c r="AC506" s="1842" t="n"/>
      <c r="AD506" s="1842" t="n"/>
      <c r="AE506" s="1842" t="n"/>
      <c r="AF506" s="1842" t="n"/>
    </row>
    <row r="507" ht="13.5" customHeight="1" s="1883">
      <c r="A507" s="1842" t="n"/>
      <c r="B507" s="1842" t="n"/>
      <c r="C507" s="1842" t="n"/>
      <c r="D507" s="1842" t="n"/>
      <c r="E507" s="1842" t="n"/>
      <c r="F507" s="1842" t="n"/>
      <c r="G507" s="1842" t="n"/>
      <c r="H507" s="1842" t="n"/>
      <c r="I507" s="1842" t="n"/>
      <c r="J507" s="1842" t="n"/>
      <c r="K507" s="1842" t="n"/>
      <c r="L507" s="1842" t="n"/>
      <c r="M507" s="1842" t="n"/>
      <c r="N507" s="1842" t="n"/>
      <c r="O507" s="1842" t="n"/>
      <c r="P507" s="1842" t="n"/>
      <c r="Q507" s="1842" t="n"/>
      <c r="R507" s="1842" t="n"/>
      <c r="S507" s="1842" t="n"/>
      <c r="T507" s="1842" t="n"/>
      <c r="U507" s="1842" t="n"/>
      <c r="V507" s="1842" t="n"/>
      <c r="W507" s="1842" t="n"/>
      <c r="X507" s="1842" t="n"/>
      <c r="Y507" s="1842" t="n"/>
      <c r="Z507" s="1842" t="n"/>
      <c r="AA507" s="1842" t="n"/>
      <c r="AB507" s="1842" t="n"/>
      <c r="AC507" s="1842" t="n"/>
      <c r="AD507" s="1842" t="n"/>
      <c r="AE507" s="1842" t="n"/>
      <c r="AF507" s="1842" t="n"/>
    </row>
    <row r="508" ht="13.5" customHeight="1" s="1883">
      <c r="A508" s="1842" t="n"/>
      <c r="B508" s="1842" t="n"/>
      <c r="C508" s="1842" t="n"/>
      <c r="D508" s="1842" t="n"/>
      <c r="E508" s="1842" t="n"/>
      <c r="F508" s="1842" t="n"/>
      <c r="G508" s="1842" t="n"/>
      <c r="H508" s="1842" t="n"/>
      <c r="I508" s="1842" t="n"/>
      <c r="J508" s="1842" t="n"/>
      <c r="K508" s="1842" t="n"/>
      <c r="L508" s="1842" t="n"/>
      <c r="M508" s="1842" t="n"/>
      <c r="N508" s="1842" t="n"/>
      <c r="O508" s="1842" t="n"/>
      <c r="P508" s="1842" t="n"/>
      <c r="Q508" s="1842" t="n"/>
      <c r="R508" s="1842" t="n"/>
      <c r="S508" s="1842" t="n"/>
      <c r="T508" s="1842" t="n"/>
      <c r="U508" s="1842" t="n"/>
      <c r="V508" s="1842" t="n"/>
      <c r="W508" s="1842" t="n"/>
      <c r="X508" s="1842" t="n"/>
      <c r="Y508" s="1842" t="n"/>
      <c r="Z508" s="1842" t="n"/>
      <c r="AA508" s="1842" t="n"/>
      <c r="AB508" s="1842" t="n"/>
      <c r="AC508" s="1842" t="n"/>
      <c r="AD508" s="1842" t="n"/>
      <c r="AE508" s="1842" t="n"/>
      <c r="AF508" s="1842" t="n"/>
    </row>
    <row r="509" ht="13.5" customHeight="1" s="1883">
      <c r="A509" s="1842" t="n"/>
      <c r="B509" s="1842" t="n"/>
      <c r="C509" s="1842" t="n"/>
      <c r="D509" s="1842" t="n"/>
      <c r="E509" s="1842" t="n"/>
      <c r="F509" s="1842" t="n"/>
      <c r="G509" s="1842" t="n"/>
      <c r="H509" s="1842" t="n"/>
      <c r="I509" s="1842" t="n"/>
      <c r="J509" s="1842" t="n"/>
      <c r="K509" s="1842" t="n"/>
      <c r="L509" s="1842" t="n"/>
      <c r="M509" s="1842" t="n"/>
      <c r="N509" s="1842" t="n"/>
      <c r="O509" s="1842" t="n"/>
      <c r="P509" s="1842" t="n"/>
      <c r="Q509" s="1842" t="n"/>
      <c r="R509" s="1842" t="n"/>
      <c r="S509" s="1842" t="n"/>
      <c r="T509" s="1842" t="n"/>
      <c r="U509" s="1842" t="n"/>
      <c r="V509" s="1842" t="n"/>
      <c r="W509" s="1842" t="n"/>
      <c r="X509" s="1842" t="n"/>
      <c r="Y509" s="1842" t="n"/>
      <c r="Z509" s="1842" t="n"/>
      <c r="AA509" s="1842" t="n"/>
      <c r="AB509" s="1842" t="n"/>
      <c r="AC509" s="1842" t="n"/>
      <c r="AD509" s="1842" t="n"/>
      <c r="AE509" s="1842" t="n"/>
      <c r="AF509" s="1842" t="n"/>
    </row>
    <row r="510" ht="13.5" customHeight="1" s="1883">
      <c r="A510" s="1842" t="n"/>
      <c r="B510" s="1842" t="n"/>
      <c r="C510" s="1842" t="n"/>
      <c r="D510" s="1842" t="n"/>
      <c r="E510" s="1842" t="n"/>
      <c r="F510" s="1842" t="n"/>
      <c r="G510" s="1842" t="n"/>
      <c r="H510" s="1842" t="n"/>
      <c r="I510" s="1842" t="n"/>
      <c r="J510" s="1842" t="n"/>
      <c r="K510" s="1842" t="n"/>
      <c r="L510" s="1842" t="n"/>
      <c r="M510" s="1842" t="n"/>
      <c r="N510" s="1842" t="n"/>
      <c r="O510" s="1842" t="n"/>
      <c r="P510" s="1842" t="n"/>
      <c r="Q510" s="1842" t="n"/>
      <c r="R510" s="1842" t="n"/>
      <c r="S510" s="1842" t="n"/>
      <c r="T510" s="1842" t="n"/>
      <c r="U510" s="1842" t="n"/>
      <c r="V510" s="1842" t="n"/>
      <c r="W510" s="1842" t="n"/>
      <c r="X510" s="1842" t="n"/>
      <c r="Y510" s="1842" t="n"/>
      <c r="Z510" s="1842" t="n"/>
      <c r="AA510" s="1842" t="n"/>
      <c r="AB510" s="1842" t="n"/>
      <c r="AC510" s="1842" t="n"/>
      <c r="AD510" s="1842" t="n"/>
      <c r="AE510" s="1842" t="n"/>
      <c r="AF510" s="1842" t="n"/>
    </row>
    <row r="511" ht="13.5" customHeight="1" s="1883">
      <c r="A511" s="1842" t="n"/>
      <c r="B511" s="1842" t="n"/>
      <c r="C511" s="1842" t="n"/>
      <c r="D511" s="1842" t="n"/>
      <c r="E511" s="1842" t="n"/>
      <c r="F511" s="1842" t="n"/>
      <c r="G511" s="1842" t="n"/>
      <c r="H511" s="1842" t="n"/>
      <c r="I511" s="1842" t="n"/>
      <c r="J511" s="1842" t="n"/>
      <c r="K511" s="1842" t="n"/>
      <c r="L511" s="1842" t="n"/>
      <c r="M511" s="1842" t="n"/>
      <c r="N511" s="1842" t="n"/>
      <c r="O511" s="1842" t="n"/>
      <c r="P511" s="1842" t="n"/>
      <c r="Q511" s="1842" t="n"/>
      <c r="R511" s="1842" t="n"/>
      <c r="S511" s="1842" t="n"/>
      <c r="T511" s="1842" t="n"/>
      <c r="U511" s="1842" t="n"/>
      <c r="V511" s="1842" t="n"/>
      <c r="W511" s="1842" t="n"/>
      <c r="X511" s="1842" t="n"/>
      <c r="Y511" s="1842" t="n"/>
      <c r="Z511" s="1842" t="n"/>
      <c r="AA511" s="1842" t="n"/>
      <c r="AB511" s="1842" t="n"/>
      <c r="AC511" s="1842" t="n"/>
      <c r="AD511" s="1842" t="n"/>
      <c r="AE511" s="1842" t="n"/>
      <c r="AF511" s="1842" t="n"/>
    </row>
    <row r="512" ht="13.5" customHeight="1" s="1883">
      <c r="A512" s="1842" t="n"/>
      <c r="B512" s="1842" t="n"/>
      <c r="C512" s="1842" t="n"/>
      <c r="D512" s="1842" t="n"/>
      <c r="E512" s="1842" t="n"/>
      <c r="F512" s="1842" t="n"/>
      <c r="G512" s="1842" t="n"/>
      <c r="H512" s="1842" t="n"/>
      <c r="I512" s="1842" t="n"/>
      <c r="J512" s="1842" t="n"/>
      <c r="K512" s="1842" t="n"/>
      <c r="L512" s="1842" t="n"/>
      <c r="M512" s="1842" t="n"/>
      <c r="N512" s="1842" t="n"/>
      <c r="O512" s="1842" t="n"/>
      <c r="P512" s="1842" t="n"/>
      <c r="Q512" s="1842" t="n"/>
      <c r="R512" s="1842" t="n"/>
      <c r="S512" s="1842" t="n"/>
      <c r="T512" s="1842" t="n"/>
      <c r="U512" s="1842" t="n"/>
      <c r="V512" s="1842" t="n"/>
      <c r="W512" s="1842" t="n"/>
      <c r="X512" s="1842" t="n"/>
      <c r="Y512" s="1842" t="n"/>
      <c r="Z512" s="1842" t="n"/>
      <c r="AA512" s="1842" t="n"/>
      <c r="AB512" s="1842" t="n"/>
      <c r="AC512" s="1842" t="n"/>
      <c r="AD512" s="1842" t="n"/>
      <c r="AE512" s="1842" t="n"/>
      <c r="AF512" s="1842" t="n"/>
    </row>
    <row r="513" ht="13.5" customHeight="1" s="1883">
      <c r="A513" s="1842" t="n"/>
      <c r="B513" s="1842" t="n"/>
      <c r="C513" s="1842" t="n"/>
      <c r="D513" s="1842" t="n"/>
      <c r="E513" s="1842" t="n"/>
      <c r="F513" s="1842" t="n"/>
      <c r="G513" s="1842" t="n"/>
      <c r="H513" s="1842" t="n"/>
      <c r="I513" s="1842" t="n"/>
      <c r="J513" s="1842" t="n"/>
      <c r="K513" s="1842" t="n"/>
      <c r="L513" s="1842" t="n"/>
      <c r="M513" s="1842" t="n"/>
      <c r="N513" s="1842" t="n"/>
      <c r="O513" s="1842" t="n"/>
      <c r="P513" s="1842" t="n"/>
      <c r="Q513" s="1842" t="n"/>
      <c r="R513" s="1842" t="n"/>
      <c r="S513" s="1842" t="n"/>
      <c r="T513" s="1842" t="n"/>
      <c r="U513" s="1842" t="n"/>
      <c r="V513" s="1842" t="n"/>
      <c r="W513" s="1842" t="n"/>
      <c r="X513" s="1842" t="n"/>
      <c r="Y513" s="1842" t="n"/>
      <c r="Z513" s="1842" t="n"/>
      <c r="AA513" s="1842" t="n"/>
      <c r="AB513" s="1842" t="n"/>
      <c r="AC513" s="1842" t="n"/>
      <c r="AD513" s="1842" t="n"/>
      <c r="AE513" s="1842" t="n"/>
      <c r="AF513" s="1842" t="n"/>
    </row>
    <row r="514" ht="13.5" customHeight="1" s="1883">
      <c r="A514" s="1842" t="n"/>
      <c r="B514" s="1842" t="n"/>
      <c r="C514" s="1842" t="n"/>
      <c r="D514" s="1842" t="n"/>
      <c r="E514" s="1842" t="n"/>
      <c r="F514" s="1842" t="n"/>
      <c r="G514" s="1842" t="n"/>
      <c r="H514" s="1842" t="n"/>
      <c r="I514" s="1842" t="n"/>
      <c r="J514" s="1842" t="n"/>
      <c r="K514" s="1842" t="n"/>
      <c r="L514" s="1842" t="n"/>
      <c r="M514" s="1842" t="n"/>
      <c r="N514" s="1842" t="n"/>
      <c r="O514" s="1842" t="n"/>
      <c r="P514" s="1842" t="n"/>
      <c r="Q514" s="1842" t="n"/>
      <c r="R514" s="1842" t="n"/>
      <c r="S514" s="1842" t="n"/>
      <c r="T514" s="1842" t="n"/>
      <c r="U514" s="1842" t="n"/>
      <c r="V514" s="1842" t="n"/>
      <c r="W514" s="1842" t="n"/>
      <c r="X514" s="1842" t="n"/>
      <c r="Y514" s="1842" t="n"/>
      <c r="Z514" s="1842" t="n"/>
      <c r="AA514" s="1842" t="n"/>
      <c r="AB514" s="1842" t="n"/>
      <c r="AC514" s="1842" t="n"/>
      <c r="AD514" s="1842" t="n"/>
      <c r="AE514" s="1842" t="n"/>
      <c r="AF514" s="1842" t="n"/>
    </row>
    <row r="515" ht="13.5" customHeight="1" s="1883">
      <c r="A515" s="1842" t="n"/>
      <c r="B515" s="1842" t="n"/>
      <c r="C515" s="1842" t="n"/>
      <c r="D515" s="1842" t="n"/>
      <c r="E515" s="1842" t="n"/>
      <c r="F515" s="1842" t="n"/>
      <c r="G515" s="1842" t="n"/>
      <c r="H515" s="1842" t="n"/>
      <c r="I515" s="1842" t="n"/>
      <c r="J515" s="1842" t="n"/>
      <c r="K515" s="1842" t="n"/>
      <c r="L515" s="1842" t="n"/>
      <c r="M515" s="1842" t="n"/>
      <c r="N515" s="1842" t="n"/>
      <c r="O515" s="1842" t="n"/>
      <c r="P515" s="1842" t="n"/>
      <c r="Q515" s="1842" t="n"/>
      <c r="R515" s="1842" t="n"/>
      <c r="S515" s="1842" t="n"/>
      <c r="T515" s="1842" t="n"/>
      <c r="U515" s="1842" t="n"/>
      <c r="V515" s="1842" t="n"/>
      <c r="W515" s="1842" t="n"/>
      <c r="X515" s="1842" t="n"/>
      <c r="Y515" s="1842" t="n"/>
      <c r="Z515" s="1842" t="n"/>
      <c r="AA515" s="1842" t="n"/>
      <c r="AB515" s="1842" t="n"/>
      <c r="AC515" s="1842" t="n"/>
      <c r="AD515" s="1842" t="n"/>
      <c r="AE515" s="1842" t="n"/>
      <c r="AF515" s="1842" t="n"/>
    </row>
    <row r="516" ht="13.5" customHeight="1" s="1883">
      <c r="A516" s="1842" t="n"/>
      <c r="B516" s="1842" t="n"/>
      <c r="C516" s="1842" t="n"/>
      <c r="D516" s="1842" t="n"/>
      <c r="E516" s="1842" t="n"/>
      <c r="F516" s="1842" t="n"/>
      <c r="G516" s="1842" t="n"/>
      <c r="H516" s="1842" t="n"/>
      <c r="I516" s="1842" t="n"/>
      <c r="J516" s="1842" t="n"/>
      <c r="K516" s="1842" t="n"/>
      <c r="L516" s="1842" t="n"/>
      <c r="M516" s="1842" t="n"/>
      <c r="N516" s="1842" t="n"/>
      <c r="O516" s="1842" t="n"/>
      <c r="P516" s="1842" t="n"/>
      <c r="Q516" s="1842" t="n"/>
      <c r="R516" s="1842" t="n"/>
      <c r="S516" s="1842" t="n"/>
      <c r="T516" s="1842" t="n"/>
      <c r="U516" s="1842" t="n"/>
      <c r="V516" s="1842" t="n"/>
      <c r="W516" s="1842" t="n"/>
      <c r="X516" s="1842" t="n"/>
      <c r="Y516" s="1842" t="n"/>
      <c r="Z516" s="1842" t="n"/>
      <c r="AA516" s="1842" t="n"/>
      <c r="AB516" s="1842" t="n"/>
      <c r="AC516" s="1842" t="n"/>
      <c r="AD516" s="1842" t="n"/>
      <c r="AE516" s="1842" t="n"/>
      <c r="AF516" s="1842" t="n"/>
    </row>
    <row r="517" ht="13.5" customHeight="1" s="1883">
      <c r="A517" s="1842" t="n"/>
      <c r="B517" s="1842" t="n"/>
      <c r="C517" s="1842" t="n"/>
      <c r="D517" s="1842" t="n"/>
      <c r="E517" s="1842" t="n"/>
      <c r="F517" s="1842" t="n"/>
      <c r="G517" s="1842" t="n"/>
      <c r="H517" s="1842" t="n"/>
      <c r="I517" s="1842" t="n"/>
      <c r="J517" s="1842" t="n"/>
      <c r="K517" s="1842" t="n"/>
      <c r="L517" s="1842" t="n"/>
      <c r="M517" s="1842" t="n"/>
      <c r="N517" s="1842" t="n"/>
      <c r="O517" s="1842" t="n"/>
      <c r="P517" s="1842" t="n"/>
      <c r="Q517" s="1842" t="n"/>
      <c r="R517" s="1842" t="n"/>
      <c r="S517" s="1842" t="n"/>
      <c r="T517" s="1842" t="n"/>
      <c r="U517" s="1842" t="n"/>
      <c r="V517" s="1842" t="n"/>
      <c r="W517" s="1842" t="n"/>
      <c r="X517" s="1842" t="n"/>
      <c r="Y517" s="1842" t="n"/>
      <c r="Z517" s="1842" t="n"/>
      <c r="AA517" s="1842" t="n"/>
      <c r="AB517" s="1842" t="n"/>
      <c r="AC517" s="1842" t="n"/>
      <c r="AD517" s="1842" t="n"/>
      <c r="AE517" s="1842" t="n"/>
      <c r="AF517" s="1842" t="n"/>
    </row>
    <row r="518" ht="13.5" customHeight="1" s="1883">
      <c r="A518" s="1842" t="n"/>
      <c r="B518" s="1842" t="n"/>
      <c r="C518" s="1842" t="n"/>
      <c r="D518" s="1842" t="n"/>
      <c r="E518" s="1842" t="n"/>
      <c r="F518" s="1842" t="n"/>
      <c r="G518" s="1842" t="n"/>
      <c r="H518" s="1842" t="n"/>
      <c r="I518" s="1842" t="n"/>
      <c r="J518" s="1842" t="n"/>
      <c r="K518" s="1842" t="n"/>
      <c r="L518" s="1842" t="n"/>
      <c r="M518" s="1842" t="n"/>
      <c r="N518" s="1842" t="n"/>
      <c r="O518" s="1842" t="n"/>
      <c r="P518" s="1842" t="n"/>
      <c r="Q518" s="1842" t="n"/>
      <c r="R518" s="1842" t="n"/>
      <c r="S518" s="1842" t="n"/>
      <c r="T518" s="1842" t="n"/>
      <c r="U518" s="1842" t="n"/>
      <c r="V518" s="1842" t="n"/>
      <c r="W518" s="1842" t="n"/>
      <c r="X518" s="1842" t="n"/>
      <c r="Y518" s="1842" t="n"/>
      <c r="Z518" s="1842" t="n"/>
      <c r="AA518" s="1842" t="n"/>
      <c r="AB518" s="1842" t="n"/>
      <c r="AC518" s="1842" t="n"/>
      <c r="AD518" s="1842" t="n"/>
      <c r="AE518" s="1842" t="n"/>
      <c r="AF518" s="1842" t="n"/>
    </row>
    <row r="519" ht="13.5" customHeight="1" s="1883">
      <c r="A519" s="1842" t="n"/>
      <c r="B519" s="1842" t="n"/>
      <c r="C519" s="1842" t="n"/>
      <c r="D519" s="1842" t="n"/>
      <c r="E519" s="1842" t="n"/>
      <c r="F519" s="1842" t="n"/>
      <c r="G519" s="1842" t="n"/>
      <c r="H519" s="1842" t="n"/>
      <c r="I519" s="1842" t="n"/>
      <c r="J519" s="1842" t="n"/>
      <c r="K519" s="1842" t="n"/>
      <c r="L519" s="1842" t="n"/>
      <c r="M519" s="1842" t="n"/>
      <c r="N519" s="1842" t="n"/>
      <c r="O519" s="1842" t="n"/>
      <c r="P519" s="1842" t="n"/>
      <c r="Q519" s="1842" t="n"/>
      <c r="R519" s="1842" t="n"/>
      <c r="S519" s="1842" t="n"/>
      <c r="T519" s="1842" t="n"/>
      <c r="U519" s="1842" t="n"/>
      <c r="V519" s="1842" t="n"/>
      <c r="W519" s="1842" t="n"/>
      <c r="X519" s="1842" t="n"/>
      <c r="Y519" s="1842" t="n"/>
      <c r="Z519" s="1842" t="n"/>
      <c r="AA519" s="1842" t="n"/>
      <c r="AB519" s="1842" t="n"/>
      <c r="AC519" s="1842" t="n"/>
      <c r="AD519" s="1842" t="n"/>
      <c r="AE519" s="1842" t="n"/>
      <c r="AF519" s="1842" t="n"/>
    </row>
    <row r="520" ht="13.5" customHeight="1" s="1883">
      <c r="A520" s="1842" t="n"/>
      <c r="B520" s="1842" t="n"/>
      <c r="C520" s="1842" t="n"/>
      <c r="D520" s="1842" t="n"/>
      <c r="E520" s="1842" t="n"/>
      <c r="F520" s="1842" t="n"/>
      <c r="G520" s="1842" t="n"/>
      <c r="H520" s="1842" t="n"/>
      <c r="I520" s="1842" t="n"/>
      <c r="J520" s="1842" t="n"/>
      <c r="K520" s="1842" t="n"/>
      <c r="L520" s="1842" t="n"/>
      <c r="M520" s="1842" t="n"/>
      <c r="N520" s="1842" t="n"/>
      <c r="O520" s="1842" t="n"/>
      <c r="P520" s="1842" t="n"/>
      <c r="Q520" s="1842" t="n"/>
      <c r="R520" s="1842" t="n"/>
      <c r="S520" s="1842" t="n"/>
      <c r="T520" s="1842" t="n"/>
      <c r="U520" s="1842" t="n"/>
      <c r="V520" s="1842" t="n"/>
      <c r="W520" s="1842" t="n"/>
      <c r="X520" s="1842" t="n"/>
      <c r="Y520" s="1842" t="n"/>
      <c r="Z520" s="1842" t="n"/>
      <c r="AA520" s="1842" t="n"/>
      <c r="AB520" s="1842" t="n"/>
      <c r="AC520" s="1842" t="n"/>
      <c r="AD520" s="1842" t="n"/>
      <c r="AE520" s="1842" t="n"/>
      <c r="AF520" s="1842" t="n"/>
    </row>
    <row r="521" ht="13.5" customHeight="1" s="1883">
      <c r="A521" s="1842" t="n"/>
      <c r="B521" s="1842" t="n"/>
      <c r="C521" s="1842" t="n"/>
      <c r="D521" s="1842" t="n"/>
      <c r="E521" s="1842" t="n"/>
      <c r="F521" s="1842" t="n"/>
      <c r="G521" s="1842" t="n"/>
      <c r="H521" s="1842" t="n"/>
      <c r="I521" s="1842" t="n"/>
      <c r="J521" s="1842" t="n"/>
      <c r="K521" s="1842" t="n"/>
      <c r="L521" s="1842" t="n"/>
      <c r="M521" s="1842" t="n"/>
      <c r="N521" s="1842" t="n"/>
      <c r="O521" s="1842" t="n"/>
      <c r="P521" s="1842" t="n"/>
      <c r="Q521" s="1842" t="n"/>
      <c r="R521" s="1842" t="n"/>
      <c r="S521" s="1842" t="n"/>
      <c r="T521" s="1842" t="n"/>
      <c r="U521" s="1842" t="n"/>
      <c r="V521" s="1842" t="n"/>
      <c r="W521" s="1842" t="n"/>
      <c r="X521" s="1842" t="n"/>
      <c r="Y521" s="1842" t="n"/>
      <c r="Z521" s="1842" t="n"/>
      <c r="AA521" s="1842" t="n"/>
      <c r="AB521" s="1842" t="n"/>
      <c r="AC521" s="1842" t="n"/>
      <c r="AD521" s="1842" t="n"/>
      <c r="AE521" s="1842" t="n"/>
      <c r="AF521" s="1842" t="n"/>
    </row>
    <row r="522" ht="13.5" customHeight="1" s="1883">
      <c r="A522" s="1842" t="n"/>
      <c r="B522" s="1842" t="n"/>
      <c r="C522" s="1842" t="n"/>
      <c r="D522" s="1842" t="n"/>
      <c r="E522" s="1842" t="n"/>
      <c r="F522" s="1842" t="n"/>
      <c r="G522" s="1842" t="n"/>
      <c r="H522" s="1842" t="n"/>
      <c r="I522" s="1842" t="n"/>
      <c r="J522" s="1842" t="n"/>
      <c r="K522" s="1842" t="n"/>
      <c r="L522" s="1842" t="n"/>
      <c r="M522" s="1842" t="n"/>
      <c r="N522" s="1842" t="n"/>
      <c r="O522" s="1842" t="n"/>
      <c r="P522" s="1842" t="n"/>
      <c r="Q522" s="1842" t="n"/>
      <c r="R522" s="1842" t="n"/>
      <c r="S522" s="1842" t="n"/>
      <c r="T522" s="1842" t="n"/>
      <c r="U522" s="1842" t="n"/>
      <c r="V522" s="1842" t="n"/>
      <c r="W522" s="1842" t="n"/>
      <c r="X522" s="1842" t="n"/>
      <c r="Y522" s="1842" t="n"/>
      <c r="Z522" s="1842" t="n"/>
      <c r="AA522" s="1842" t="n"/>
      <c r="AB522" s="1842" t="n"/>
      <c r="AC522" s="1842" t="n"/>
      <c r="AD522" s="1842" t="n"/>
      <c r="AE522" s="1842" t="n"/>
      <c r="AF522" s="1842" t="n"/>
    </row>
    <row r="523" ht="13.5" customHeight="1" s="1883">
      <c r="A523" s="1842" t="n"/>
      <c r="B523" s="1842" t="n"/>
      <c r="C523" s="1842" t="n"/>
      <c r="D523" s="1842" t="n"/>
      <c r="E523" s="1842" t="n"/>
      <c r="F523" s="1842" t="n"/>
      <c r="G523" s="1842" t="n"/>
      <c r="H523" s="1842" t="n"/>
      <c r="I523" s="1842" t="n"/>
      <c r="J523" s="1842" t="n"/>
      <c r="K523" s="1842" t="n"/>
      <c r="L523" s="1842" t="n"/>
      <c r="M523" s="1842" t="n"/>
      <c r="N523" s="1842" t="n"/>
      <c r="O523" s="1842" t="n"/>
      <c r="P523" s="1842" t="n"/>
      <c r="Q523" s="1842" t="n"/>
      <c r="R523" s="1842" t="n"/>
      <c r="S523" s="1842" t="n"/>
      <c r="T523" s="1842" t="n"/>
      <c r="U523" s="1842" t="n"/>
      <c r="V523" s="1842" t="n"/>
      <c r="W523" s="1842" t="n"/>
      <c r="X523" s="1842" t="n"/>
      <c r="Y523" s="1842" t="n"/>
      <c r="Z523" s="1842" t="n"/>
      <c r="AA523" s="1842" t="n"/>
      <c r="AB523" s="1842" t="n"/>
      <c r="AC523" s="1842" t="n"/>
      <c r="AD523" s="1842" t="n"/>
      <c r="AE523" s="1842" t="n"/>
      <c r="AF523" s="1842" t="n"/>
    </row>
    <row r="524" ht="13.5" customHeight="1" s="1883">
      <c r="A524" s="1842" t="n"/>
      <c r="B524" s="1842" t="n"/>
      <c r="C524" s="1842" t="n"/>
      <c r="D524" s="1842" t="n"/>
      <c r="E524" s="1842" t="n"/>
      <c r="F524" s="1842" t="n"/>
      <c r="G524" s="1842" t="n"/>
      <c r="H524" s="1842" t="n"/>
      <c r="I524" s="1842" t="n"/>
      <c r="J524" s="1842" t="n"/>
      <c r="K524" s="1842" t="n"/>
      <c r="L524" s="1842" t="n"/>
      <c r="M524" s="1842" t="n"/>
      <c r="N524" s="1842" t="n"/>
      <c r="O524" s="1842" t="n"/>
      <c r="P524" s="1842" t="n"/>
      <c r="Q524" s="1842" t="n"/>
      <c r="R524" s="1842" t="n"/>
      <c r="S524" s="1842" t="n"/>
      <c r="T524" s="1842" t="n"/>
      <c r="U524" s="1842" t="n"/>
      <c r="V524" s="1842" t="n"/>
      <c r="W524" s="1842" t="n"/>
      <c r="X524" s="1842" t="n"/>
      <c r="Y524" s="1842" t="n"/>
      <c r="Z524" s="1842" t="n"/>
      <c r="AA524" s="1842" t="n"/>
      <c r="AB524" s="1842" t="n"/>
      <c r="AC524" s="1842" t="n"/>
      <c r="AD524" s="1842" t="n"/>
      <c r="AE524" s="1842" t="n"/>
      <c r="AF524" s="1842" t="n"/>
    </row>
    <row r="525" ht="13.5" customHeight="1" s="1883">
      <c r="A525" s="1842" t="n"/>
      <c r="B525" s="1842" t="n"/>
      <c r="C525" s="1842" t="n"/>
      <c r="D525" s="1842" t="n"/>
      <c r="E525" s="1842" t="n"/>
      <c r="F525" s="1842" t="n"/>
      <c r="G525" s="1842" t="n"/>
      <c r="H525" s="1842" t="n"/>
      <c r="I525" s="1842" t="n"/>
      <c r="J525" s="1842" t="n"/>
      <c r="K525" s="1842" t="n"/>
      <c r="L525" s="1842" t="n"/>
      <c r="M525" s="1842" t="n"/>
      <c r="N525" s="1842" t="n"/>
      <c r="O525" s="1842" t="n"/>
      <c r="P525" s="1842" t="n"/>
      <c r="Q525" s="1842" t="n"/>
      <c r="R525" s="1842" t="n"/>
      <c r="S525" s="1842" t="n"/>
      <c r="T525" s="1842" t="n"/>
      <c r="U525" s="1842" t="n"/>
      <c r="V525" s="1842" t="n"/>
      <c r="W525" s="1842" t="n"/>
      <c r="X525" s="1842" t="n"/>
      <c r="Y525" s="1842" t="n"/>
      <c r="Z525" s="1842" t="n"/>
      <c r="AA525" s="1842" t="n"/>
      <c r="AB525" s="1842" t="n"/>
      <c r="AC525" s="1842" t="n"/>
      <c r="AD525" s="1842" t="n"/>
      <c r="AE525" s="1842" t="n"/>
      <c r="AF525" s="1842" t="n"/>
    </row>
    <row r="526" ht="13.5" customHeight="1" s="1883">
      <c r="A526" s="1842" t="n"/>
      <c r="B526" s="1842" t="n"/>
      <c r="C526" s="1842" t="n"/>
      <c r="D526" s="1842" t="n"/>
      <c r="E526" s="1842" t="n"/>
      <c r="F526" s="1842" t="n"/>
      <c r="G526" s="1842" t="n"/>
      <c r="H526" s="1842" t="n"/>
      <c r="I526" s="1842" t="n"/>
      <c r="J526" s="1842" t="n"/>
      <c r="K526" s="1842" t="n"/>
      <c r="L526" s="1842" t="n"/>
      <c r="M526" s="1842" t="n"/>
      <c r="N526" s="1842" t="n"/>
      <c r="O526" s="1842" t="n"/>
      <c r="P526" s="1842" t="n"/>
      <c r="Q526" s="1842" t="n"/>
      <c r="R526" s="1842" t="n"/>
      <c r="S526" s="1842" t="n"/>
      <c r="T526" s="1842" t="n"/>
      <c r="U526" s="1842" t="n"/>
      <c r="V526" s="1842" t="n"/>
      <c r="W526" s="1842" t="n"/>
      <c r="X526" s="1842" t="n"/>
      <c r="Y526" s="1842" t="n"/>
      <c r="Z526" s="1842" t="n"/>
      <c r="AA526" s="1842" t="n"/>
      <c r="AB526" s="1842" t="n"/>
      <c r="AC526" s="1842" t="n"/>
      <c r="AD526" s="1842" t="n"/>
      <c r="AE526" s="1842" t="n"/>
      <c r="AF526" s="1842" t="n"/>
    </row>
    <row r="527" ht="13.5" customHeight="1" s="1883">
      <c r="A527" s="1842" t="n"/>
      <c r="B527" s="1842" t="n"/>
      <c r="C527" s="1842" t="n"/>
      <c r="D527" s="1842" t="n"/>
      <c r="E527" s="1842" t="n"/>
      <c r="F527" s="1842" t="n"/>
      <c r="G527" s="1842" t="n"/>
      <c r="H527" s="1842" t="n"/>
      <c r="I527" s="1842" t="n"/>
      <c r="J527" s="1842" t="n"/>
      <c r="K527" s="1842" t="n"/>
      <c r="L527" s="1842" t="n"/>
      <c r="M527" s="1842" t="n"/>
      <c r="N527" s="1842" t="n"/>
      <c r="O527" s="1842" t="n"/>
      <c r="P527" s="1842" t="n"/>
      <c r="Q527" s="1842" t="n"/>
      <c r="R527" s="1842" t="n"/>
      <c r="S527" s="1842" t="n"/>
      <c r="T527" s="1842" t="n"/>
      <c r="U527" s="1842" t="n"/>
      <c r="V527" s="1842" t="n"/>
      <c r="W527" s="1842" t="n"/>
      <c r="X527" s="1842" t="n"/>
      <c r="Y527" s="1842" t="n"/>
      <c r="Z527" s="1842" t="n"/>
      <c r="AA527" s="1842" t="n"/>
      <c r="AB527" s="1842" t="n"/>
      <c r="AC527" s="1842" t="n"/>
      <c r="AD527" s="1842" t="n"/>
      <c r="AE527" s="1842" t="n"/>
      <c r="AF527" s="1842" t="n"/>
    </row>
    <row r="528" ht="13.5" customHeight="1" s="1883">
      <c r="A528" s="1842" t="n"/>
      <c r="B528" s="1842" t="n"/>
      <c r="C528" s="1842" t="n"/>
      <c r="D528" s="1842" t="n"/>
      <c r="E528" s="1842" t="n"/>
      <c r="F528" s="1842" t="n"/>
      <c r="G528" s="1842" t="n"/>
      <c r="H528" s="1842" t="n"/>
      <c r="I528" s="1842" t="n"/>
      <c r="J528" s="1842" t="n"/>
      <c r="K528" s="1842" t="n"/>
      <c r="L528" s="1842" t="n"/>
      <c r="M528" s="1842" t="n"/>
      <c r="N528" s="1842" t="n"/>
      <c r="O528" s="1842" t="n"/>
      <c r="P528" s="1842" t="n"/>
      <c r="Q528" s="1842" t="n"/>
      <c r="R528" s="1842" t="n"/>
      <c r="S528" s="1842" t="n"/>
      <c r="T528" s="1842" t="n"/>
      <c r="U528" s="1842" t="n"/>
      <c r="V528" s="1842" t="n"/>
      <c r="W528" s="1842" t="n"/>
      <c r="X528" s="1842" t="n"/>
      <c r="Y528" s="1842" t="n"/>
      <c r="Z528" s="1842" t="n"/>
      <c r="AA528" s="1842" t="n"/>
      <c r="AB528" s="1842" t="n"/>
      <c r="AC528" s="1842" t="n"/>
      <c r="AD528" s="1842" t="n"/>
      <c r="AE528" s="1842" t="n"/>
      <c r="AF528" s="1842" t="n"/>
    </row>
    <row r="529" ht="13.5" customHeight="1" s="1883">
      <c r="A529" s="1842" t="n"/>
      <c r="B529" s="1842" t="n"/>
      <c r="C529" s="1842" t="n"/>
      <c r="D529" s="1842" t="n"/>
      <c r="E529" s="1842" t="n"/>
      <c r="F529" s="1842" t="n"/>
      <c r="G529" s="1842" t="n"/>
      <c r="H529" s="1842" t="n"/>
      <c r="I529" s="1842" t="n"/>
      <c r="J529" s="1842" t="n"/>
      <c r="K529" s="1842" t="n"/>
      <c r="L529" s="1842" t="n"/>
      <c r="M529" s="1842" t="n"/>
      <c r="N529" s="1842" t="n"/>
      <c r="O529" s="1842" t="n"/>
      <c r="P529" s="1842" t="n"/>
      <c r="Q529" s="1842" t="n"/>
      <c r="R529" s="1842" t="n"/>
      <c r="S529" s="1842" t="n"/>
      <c r="T529" s="1842" t="n"/>
      <c r="U529" s="1842" t="n"/>
      <c r="V529" s="1842" t="n"/>
      <c r="W529" s="1842" t="n"/>
      <c r="X529" s="1842" t="n"/>
      <c r="Y529" s="1842" t="n"/>
      <c r="Z529" s="1842" t="n"/>
      <c r="AA529" s="1842" t="n"/>
      <c r="AB529" s="1842" t="n"/>
      <c r="AC529" s="1842" t="n"/>
      <c r="AD529" s="1842" t="n"/>
      <c r="AE529" s="1842" t="n"/>
      <c r="AF529" s="1842" t="n"/>
    </row>
    <row r="530" ht="13.5" customHeight="1" s="1883">
      <c r="A530" s="1842" t="n"/>
      <c r="B530" s="1842" t="n"/>
      <c r="C530" s="1842" t="n"/>
      <c r="D530" s="1842" t="n"/>
      <c r="E530" s="1842" t="n"/>
      <c r="F530" s="1842" t="n"/>
      <c r="G530" s="1842" t="n"/>
      <c r="H530" s="1842" t="n"/>
      <c r="I530" s="1842" t="n"/>
      <c r="J530" s="1842" t="n"/>
      <c r="K530" s="1842" t="n"/>
      <c r="L530" s="1842" t="n"/>
      <c r="M530" s="1842" t="n"/>
      <c r="N530" s="1842" t="n"/>
      <c r="O530" s="1842" t="n"/>
      <c r="P530" s="1842" t="n"/>
      <c r="Q530" s="1842" t="n"/>
      <c r="R530" s="1842" t="n"/>
      <c r="S530" s="1842" t="n"/>
      <c r="T530" s="1842" t="n"/>
      <c r="U530" s="1842" t="n"/>
      <c r="V530" s="1842" t="n"/>
      <c r="W530" s="1842" t="n"/>
      <c r="X530" s="1842" t="n"/>
      <c r="Y530" s="1842" t="n"/>
      <c r="Z530" s="1842" t="n"/>
      <c r="AA530" s="1842" t="n"/>
      <c r="AB530" s="1842" t="n"/>
      <c r="AC530" s="1842" t="n"/>
      <c r="AD530" s="1842" t="n"/>
      <c r="AE530" s="1842" t="n"/>
      <c r="AF530" s="1842" t="n"/>
    </row>
    <row r="531" ht="13.5" customHeight="1" s="1883">
      <c r="A531" s="1842" t="n"/>
      <c r="B531" s="1842" t="n"/>
      <c r="C531" s="1842" t="n"/>
      <c r="D531" s="1842" t="n"/>
      <c r="E531" s="1842" t="n"/>
      <c r="F531" s="1842" t="n"/>
      <c r="G531" s="1842" t="n"/>
      <c r="H531" s="1842" t="n"/>
      <c r="I531" s="1842" t="n"/>
      <c r="J531" s="1842" t="n"/>
      <c r="K531" s="1842" t="n"/>
      <c r="L531" s="1842" t="n"/>
      <c r="M531" s="1842" t="n"/>
      <c r="N531" s="1842" t="n"/>
      <c r="O531" s="1842" t="n"/>
      <c r="P531" s="1842" t="n"/>
      <c r="Q531" s="1842" t="n"/>
      <c r="R531" s="1842" t="n"/>
      <c r="S531" s="1842" t="n"/>
      <c r="T531" s="1842" t="n"/>
      <c r="U531" s="1842" t="n"/>
      <c r="V531" s="1842" t="n"/>
      <c r="W531" s="1842" t="n"/>
      <c r="X531" s="1842" t="n"/>
      <c r="Y531" s="1842" t="n"/>
      <c r="Z531" s="1842" t="n"/>
      <c r="AA531" s="1842" t="n"/>
      <c r="AB531" s="1842" t="n"/>
      <c r="AC531" s="1842" t="n"/>
      <c r="AD531" s="1842" t="n"/>
      <c r="AE531" s="1842" t="n"/>
      <c r="AF531" s="1842" t="n"/>
    </row>
    <row r="532" ht="13.5" customHeight="1" s="1883">
      <c r="A532" s="1842" t="n"/>
      <c r="B532" s="1842" t="n"/>
      <c r="C532" s="1842" t="n"/>
      <c r="D532" s="1842" t="n"/>
      <c r="E532" s="1842" t="n"/>
      <c r="F532" s="1842" t="n"/>
      <c r="G532" s="1842" t="n"/>
      <c r="H532" s="1842" t="n"/>
      <c r="I532" s="1842" t="n"/>
      <c r="J532" s="1842" t="n"/>
      <c r="K532" s="1842" t="n"/>
      <c r="L532" s="1842" t="n"/>
      <c r="M532" s="1842" t="n"/>
      <c r="N532" s="1842" t="n"/>
      <c r="O532" s="1842" t="n"/>
      <c r="P532" s="1842" t="n"/>
      <c r="Q532" s="1842" t="n"/>
      <c r="R532" s="1842" t="n"/>
      <c r="S532" s="1842" t="n"/>
      <c r="T532" s="1842" t="n"/>
      <c r="U532" s="1842" t="n"/>
      <c r="V532" s="1842" t="n"/>
      <c r="W532" s="1842" t="n"/>
      <c r="X532" s="1842" t="n"/>
      <c r="Y532" s="1842" t="n"/>
      <c r="Z532" s="1842" t="n"/>
      <c r="AA532" s="1842" t="n"/>
      <c r="AB532" s="1842" t="n"/>
      <c r="AC532" s="1842" t="n"/>
      <c r="AD532" s="1842" t="n"/>
      <c r="AE532" s="1842" t="n"/>
      <c r="AF532" s="1842" t="n"/>
    </row>
    <row r="533" ht="13.5" customHeight="1" s="1883">
      <c r="A533" s="1842" t="n"/>
      <c r="B533" s="1842" t="n"/>
      <c r="C533" s="1842" t="n"/>
      <c r="D533" s="1842" t="n"/>
      <c r="E533" s="1842" t="n"/>
      <c r="F533" s="1842" t="n"/>
      <c r="G533" s="1842" t="n"/>
      <c r="H533" s="1842" t="n"/>
      <c r="I533" s="1842" t="n"/>
      <c r="J533" s="1842" t="n"/>
      <c r="K533" s="1842" t="n"/>
      <c r="L533" s="1842" t="n"/>
      <c r="M533" s="1842" t="n"/>
      <c r="N533" s="1842" t="n"/>
      <c r="O533" s="1842" t="n"/>
      <c r="P533" s="1842" t="n"/>
      <c r="Q533" s="1842" t="n"/>
      <c r="R533" s="1842" t="n"/>
      <c r="S533" s="1842" t="n"/>
      <c r="T533" s="1842" t="n"/>
      <c r="U533" s="1842" t="n"/>
      <c r="V533" s="1842" t="n"/>
      <c r="W533" s="1842" t="n"/>
      <c r="X533" s="1842" t="n"/>
      <c r="Y533" s="1842" t="n"/>
      <c r="Z533" s="1842" t="n"/>
      <c r="AA533" s="1842" t="n"/>
      <c r="AB533" s="1842" t="n"/>
      <c r="AC533" s="1842" t="n"/>
      <c r="AD533" s="1842" t="n"/>
      <c r="AE533" s="1842" t="n"/>
      <c r="AF533" s="1842" t="n"/>
    </row>
    <row r="534" ht="13.5" customHeight="1" s="1883">
      <c r="A534" s="1842" t="n"/>
      <c r="B534" s="1842" t="n"/>
      <c r="C534" s="1842" t="n"/>
      <c r="D534" s="1842" t="n"/>
      <c r="E534" s="1842" t="n"/>
      <c r="F534" s="1842" t="n"/>
      <c r="G534" s="1842" t="n"/>
      <c r="H534" s="1842" t="n"/>
      <c r="I534" s="1842" t="n"/>
      <c r="J534" s="1842" t="n"/>
      <c r="K534" s="1842" t="n"/>
      <c r="L534" s="1842" t="n"/>
      <c r="M534" s="1842" t="n"/>
      <c r="N534" s="1842" t="n"/>
      <c r="O534" s="1842" t="n"/>
      <c r="P534" s="1842" t="n"/>
      <c r="Q534" s="1842" t="n"/>
      <c r="R534" s="1842" t="n"/>
      <c r="S534" s="1842" t="n"/>
      <c r="T534" s="1842" t="n"/>
      <c r="U534" s="1842" t="n"/>
      <c r="V534" s="1842" t="n"/>
      <c r="W534" s="1842" t="n"/>
      <c r="X534" s="1842" t="n"/>
      <c r="Y534" s="1842" t="n"/>
      <c r="Z534" s="1842" t="n"/>
      <c r="AA534" s="1842" t="n"/>
      <c r="AB534" s="1842" t="n"/>
      <c r="AC534" s="1842" t="n"/>
      <c r="AD534" s="1842" t="n"/>
      <c r="AE534" s="1842" t="n"/>
      <c r="AF534" s="1842" t="n"/>
    </row>
    <row r="535" ht="13.5" customHeight="1" s="1883">
      <c r="A535" s="1842" t="n"/>
      <c r="B535" s="1842" t="n"/>
      <c r="C535" s="1842" t="n"/>
      <c r="D535" s="1842" t="n"/>
      <c r="E535" s="1842" t="n"/>
      <c r="F535" s="1842" t="n"/>
      <c r="G535" s="1842" t="n"/>
      <c r="H535" s="1842" t="n"/>
      <c r="I535" s="1842" t="n"/>
      <c r="J535" s="1842" t="n"/>
      <c r="K535" s="1842" t="n"/>
      <c r="L535" s="1842" t="n"/>
      <c r="M535" s="1842" t="n"/>
      <c r="N535" s="1842" t="n"/>
      <c r="O535" s="1842" t="n"/>
      <c r="P535" s="1842" t="n"/>
      <c r="Q535" s="1842" t="n"/>
      <c r="R535" s="1842" t="n"/>
      <c r="S535" s="1842" t="n"/>
      <c r="T535" s="1842" t="n"/>
      <c r="U535" s="1842" t="n"/>
      <c r="V535" s="1842" t="n"/>
      <c r="W535" s="1842" t="n"/>
      <c r="X535" s="1842" t="n"/>
      <c r="Y535" s="1842" t="n"/>
      <c r="Z535" s="1842" t="n"/>
      <c r="AA535" s="1842" t="n"/>
      <c r="AB535" s="1842" t="n"/>
      <c r="AC535" s="1842" t="n"/>
      <c r="AD535" s="1842" t="n"/>
      <c r="AE535" s="1842" t="n"/>
      <c r="AF535" s="1842" t="n"/>
    </row>
    <row r="536" ht="13.5" customHeight="1" s="1883">
      <c r="A536" s="1842" t="n"/>
      <c r="B536" s="1842" t="n"/>
      <c r="C536" s="1842" t="n"/>
      <c r="D536" s="1842" t="n"/>
      <c r="E536" s="1842" t="n"/>
      <c r="F536" s="1842" t="n"/>
      <c r="G536" s="1842" t="n"/>
      <c r="H536" s="1842" t="n"/>
      <c r="I536" s="1842" t="n"/>
      <c r="J536" s="1842" t="n"/>
      <c r="K536" s="1842" t="n"/>
      <c r="L536" s="1842" t="n"/>
      <c r="M536" s="1842" t="n"/>
      <c r="N536" s="1842" t="n"/>
      <c r="O536" s="1842" t="n"/>
      <c r="P536" s="1842" t="n"/>
      <c r="Q536" s="1842" t="n"/>
      <c r="R536" s="1842" t="n"/>
      <c r="S536" s="1842" t="n"/>
      <c r="T536" s="1842" t="n"/>
      <c r="U536" s="1842" t="n"/>
      <c r="V536" s="1842" t="n"/>
      <c r="W536" s="1842" t="n"/>
      <c r="X536" s="1842" t="n"/>
      <c r="Y536" s="1842" t="n"/>
      <c r="Z536" s="1842" t="n"/>
      <c r="AA536" s="1842" t="n"/>
      <c r="AB536" s="1842" t="n"/>
      <c r="AC536" s="1842" t="n"/>
      <c r="AD536" s="1842" t="n"/>
      <c r="AE536" s="1842" t="n"/>
      <c r="AF536" s="1842" t="n"/>
    </row>
    <row r="537" ht="13.5" customHeight="1" s="1883">
      <c r="A537" s="1842" t="n"/>
      <c r="B537" s="1842" t="n"/>
      <c r="C537" s="1842" t="n"/>
      <c r="D537" s="1842" t="n"/>
      <c r="E537" s="1842" t="n"/>
      <c r="F537" s="1842" t="n"/>
      <c r="G537" s="1842" t="n"/>
      <c r="H537" s="1842" t="n"/>
      <c r="I537" s="1842" t="n"/>
      <c r="J537" s="1842" t="n"/>
      <c r="K537" s="1842" t="n"/>
      <c r="L537" s="1842" t="n"/>
      <c r="M537" s="1842" t="n"/>
      <c r="N537" s="1842" t="n"/>
      <c r="O537" s="1842" t="n"/>
      <c r="P537" s="1842" t="n"/>
      <c r="Q537" s="1842" t="n"/>
      <c r="R537" s="1842" t="n"/>
      <c r="S537" s="1842" t="n"/>
      <c r="T537" s="1842" t="n"/>
      <c r="U537" s="1842" t="n"/>
      <c r="V537" s="1842" t="n"/>
      <c r="W537" s="1842" t="n"/>
      <c r="X537" s="1842" t="n"/>
      <c r="Y537" s="1842" t="n"/>
      <c r="Z537" s="1842" t="n"/>
      <c r="AA537" s="1842" t="n"/>
      <c r="AB537" s="1842" t="n"/>
      <c r="AC537" s="1842" t="n"/>
      <c r="AD537" s="1842" t="n"/>
      <c r="AE537" s="1842" t="n"/>
      <c r="AF537" s="1842" t="n"/>
    </row>
    <row r="538" ht="13.5" customHeight="1" s="1883">
      <c r="A538" s="1842" t="n"/>
      <c r="B538" s="1842" t="n"/>
      <c r="C538" s="1842" t="n"/>
      <c r="D538" s="1842" t="n"/>
      <c r="E538" s="1842" t="n"/>
      <c r="F538" s="1842" t="n"/>
      <c r="G538" s="1842" t="n"/>
      <c r="H538" s="1842" t="n"/>
      <c r="I538" s="1842" t="n"/>
      <c r="J538" s="1842" t="n"/>
      <c r="K538" s="1842" t="n"/>
      <c r="L538" s="1842" t="n"/>
      <c r="M538" s="1842" t="n"/>
      <c r="N538" s="1842" t="n"/>
      <c r="O538" s="1842" t="n"/>
      <c r="P538" s="1842" t="n"/>
      <c r="Q538" s="1842" t="n"/>
      <c r="R538" s="1842" t="n"/>
      <c r="S538" s="1842" t="n"/>
      <c r="T538" s="1842" t="n"/>
      <c r="U538" s="1842" t="n"/>
      <c r="V538" s="1842" t="n"/>
      <c r="W538" s="1842" t="n"/>
      <c r="X538" s="1842" t="n"/>
      <c r="Y538" s="1842" t="n"/>
      <c r="Z538" s="1842" t="n"/>
      <c r="AA538" s="1842" t="n"/>
      <c r="AB538" s="1842" t="n"/>
      <c r="AC538" s="1842" t="n"/>
      <c r="AD538" s="1842" t="n"/>
      <c r="AE538" s="1842" t="n"/>
      <c r="AF538" s="1842" t="n"/>
    </row>
    <row r="539" ht="13.5" customHeight="1" s="1883">
      <c r="A539" s="1842" t="n"/>
      <c r="B539" s="1842" t="n"/>
      <c r="C539" s="1842" t="n"/>
      <c r="D539" s="1842" t="n"/>
      <c r="E539" s="1842" t="n"/>
      <c r="F539" s="1842" t="n"/>
      <c r="G539" s="1842" t="n"/>
      <c r="H539" s="1842" t="n"/>
      <c r="I539" s="1842" t="n"/>
      <c r="J539" s="1842" t="n"/>
      <c r="K539" s="1842" t="n"/>
      <c r="L539" s="1842" t="n"/>
      <c r="M539" s="1842" t="n"/>
      <c r="N539" s="1842" t="n"/>
      <c r="O539" s="1842" t="n"/>
      <c r="P539" s="1842" t="n"/>
      <c r="Q539" s="1842" t="n"/>
      <c r="R539" s="1842" t="n"/>
      <c r="S539" s="1842" t="n"/>
      <c r="T539" s="1842" t="n"/>
      <c r="U539" s="1842" t="n"/>
      <c r="V539" s="1842" t="n"/>
      <c r="W539" s="1842" t="n"/>
      <c r="X539" s="1842" t="n"/>
      <c r="Y539" s="1842" t="n"/>
      <c r="Z539" s="1842" t="n"/>
      <c r="AA539" s="1842" t="n"/>
      <c r="AB539" s="1842" t="n"/>
      <c r="AC539" s="1842" t="n"/>
      <c r="AD539" s="1842" t="n"/>
      <c r="AE539" s="1842" t="n"/>
      <c r="AF539" s="1842" t="n"/>
    </row>
    <row r="540" ht="13.5" customHeight="1" s="1883">
      <c r="A540" s="1842" t="n"/>
      <c r="B540" s="1842" t="n"/>
      <c r="C540" s="1842" t="n"/>
      <c r="D540" s="1842" t="n"/>
      <c r="E540" s="1842" t="n"/>
      <c r="F540" s="1842" t="n"/>
      <c r="G540" s="1842" t="n"/>
      <c r="H540" s="1842" t="n"/>
      <c r="I540" s="1842" t="n"/>
      <c r="J540" s="1842" t="n"/>
      <c r="K540" s="1842" t="n"/>
      <c r="L540" s="1842" t="n"/>
      <c r="M540" s="1842" t="n"/>
      <c r="N540" s="1842" t="n"/>
      <c r="O540" s="1842" t="n"/>
      <c r="P540" s="1842" t="n"/>
      <c r="Q540" s="1842" t="n"/>
      <c r="R540" s="1842" t="n"/>
      <c r="S540" s="1842" t="n"/>
      <c r="T540" s="1842" t="n"/>
      <c r="U540" s="1842" t="n"/>
      <c r="V540" s="1842" t="n"/>
      <c r="W540" s="1842" t="n"/>
      <c r="X540" s="1842" t="n"/>
      <c r="Y540" s="1842" t="n"/>
      <c r="Z540" s="1842" t="n"/>
      <c r="AA540" s="1842" t="n"/>
      <c r="AB540" s="1842" t="n"/>
      <c r="AC540" s="1842" t="n"/>
      <c r="AD540" s="1842" t="n"/>
      <c r="AE540" s="1842" t="n"/>
      <c r="AF540" s="1842" t="n"/>
    </row>
    <row r="541" ht="13.5" customHeight="1" s="1883">
      <c r="A541" s="1842" t="n"/>
      <c r="B541" s="1842" t="n"/>
      <c r="C541" s="1842" t="n"/>
      <c r="D541" s="1842" t="n"/>
      <c r="E541" s="1842" t="n"/>
      <c r="F541" s="1842" t="n"/>
      <c r="G541" s="1842" t="n"/>
      <c r="H541" s="1842" t="n"/>
      <c r="I541" s="1842" t="n"/>
      <c r="J541" s="1842" t="n"/>
      <c r="K541" s="1842" t="n"/>
      <c r="L541" s="1842" t="n"/>
      <c r="M541" s="1842" t="n"/>
      <c r="N541" s="1842" t="n"/>
      <c r="O541" s="1842" t="n"/>
      <c r="P541" s="1842" t="n"/>
      <c r="Q541" s="1842" t="n"/>
      <c r="R541" s="1842" t="n"/>
      <c r="S541" s="1842" t="n"/>
      <c r="T541" s="1842" t="n"/>
      <c r="U541" s="1842" t="n"/>
      <c r="V541" s="1842" t="n"/>
      <c r="W541" s="1842" t="n"/>
      <c r="X541" s="1842" t="n"/>
      <c r="Y541" s="1842" t="n"/>
      <c r="Z541" s="1842" t="n"/>
      <c r="AA541" s="1842" t="n"/>
      <c r="AB541" s="1842" t="n"/>
      <c r="AC541" s="1842" t="n"/>
      <c r="AD541" s="1842" t="n"/>
      <c r="AE541" s="1842" t="n"/>
      <c r="AF541" s="1842" t="n"/>
    </row>
    <row r="542" ht="13.5" customHeight="1" s="1883">
      <c r="A542" s="1842" t="n"/>
      <c r="B542" s="1842" t="n"/>
      <c r="C542" s="1842" t="n"/>
      <c r="D542" s="1842" t="n"/>
      <c r="E542" s="1842" t="n"/>
      <c r="F542" s="1842" t="n"/>
      <c r="G542" s="1842" t="n"/>
      <c r="H542" s="1842" t="n"/>
      <c r="I542" s="1842" t="n"/>
      <c r="J542" s="1842" t="n"/>
      <c r="K542" s="1842" t="n"/>
      <c r="L542" s="1842" t="n"/>
      <c r="M542" s="1842" t="n"/>
      <c r="N542" s="1842" t="n"/>
      <c r="O542" s="1842" t="n"/>
      <c r="P542" s="1842" t="n"/>
      <c r="Q542" s="1842" t="n"/>
      <c r="R542" s="1842" t="n"/>
      <c r="S542" s="1842" t="n"/>
      <c r="T542" s="1842" t="n"/>
      <c r="U542" s="1842" t="n"/>
      <c r="V542" s="1842" t="n"/>
      <c r="W542" s="1842" t="n"/>
      <c r="X542" s="1842" t="n"/>
      <c r="Y542" s="1842" t="n"/>
      <c r="Z542" s="1842" t="n"/>
      <c r="AA542" s="1842" t="n"/>
      <c r="AB542" s="1842" t="n"/>
      <c r="AC542" s="1842" t="n"/>
      <c r="AD542" s="1842" t="n"/>
      <c r="AE542" s="1842" t="n"/>
      <c r="AF542" s="1842" t="n"/>
    </row>
    <row r="543" ht="13.5" customHeight="1" s="1883">
      <c r="A543" s="1842" t="n"/>
      <c r="B543" s="1842" t="n"/>
      <c r="C543" s="1842" t="n"/>
      <c r="D543" s="1842" t="n"/>
      <c r="E543" s="1842" t="n"/>
      <c r="F543" s="1842" t="n"/>
      <c r="G543" s="1842" t="n"/>
      <c r="H543" s="1842" t="n"/>
      <c r="I543" s="1842" t="n"/>
      <c r="J543" s="1842" t="n"/>
      <c r="K543" s="1842" t="n"/>
      <c r="L543" s="1842" t="n"/>
      <c r="M543" s="1842" t="n"/>
      <c r="N543" s="1842" t="n"/>
      <c r="O543" s="1842" t="n"/>
      <c r="P543" s="1842" t="n"/>
      <c r="Q543" s="1842" t="n"/>
      <c r="R543" s="1842" t="n"/>
      <c r="S543" s="1842" t="n"/>
      <c r="T543" s="1842" t="n"/>
      <c r="U543" s="1842" t="n"/>
      <c r="V543" s="1842" t="n"/>
      <c r="W543" s="1842" t="n"/>
      <c r="X543" s="1842" t="n"/>
      <c r="Y543" s="1842" t="n"/>
      <c r="Z543" s="1842" t="n"/>
      <c r="AA543" s="1842" t="n"/>
      <c r="AB543" s="1842" t="n"/>
      <c r="AC543" s="1842" t="n"/>
      <c r="AD543" s="1842" t="n"/>
      <c r="AE543" s="1842" t="n"/>
      <c r="AF543" s="1842" t="n"/>
    </row>
    <row r="544" ht="13.5" customHeight="1" s="1883">
      <c r="A544" s="1842" t="n"/>
      <c r="B544" s="1842" t="n"/>
      <c r="C544" s="1842" t="n"/>
      <c r="D544" s="1842" t="n"/>
      <c r="E544" s="1842" t="n"/>
      <c r="F544" s="1842" t="n"/>
      <c r="G544" s="1842" t="n"/>
      <c r="H544" s="1842" t="n"/>
      <c r="I544" s="1842" t="n"/>
      <c r="J544" s="1842" t="n"/>
      <c r="K544" s="1842" t="n"/>
      <c r="L544" s="1842" t="n"/>
      <c r="M544" s="1842" t="n"/>
      <c r="N544" s="1842" t="n"/>
      <c r="O544" s="1842" t="n"/>
      <c r="P544" s="1842" t="n"/>
      <c r="Q544" s="1842" t="n"/>
      <c r="R544" s="1842" t="n"/>
      <c r="S544" s="1842" t="n"/>
      <c r="T544" s="1842" t="n"/>
      <c r="U544" s="1842" t="n"/>
      <c r="V544" s="1842" t="n"/>
      <c r="W544" s="1842" t="n"/>
      <c r="X544" s="1842" t="n"/>
      <c r="Y544" s="1842" t="n"/>
      <c r="Z544" s="1842" t="n"/>
      <c r="AA544" s="1842" t="n"/>
      <c r="AB544" s="1842" t="n"/>
      <c r="AC544" s="1842" t="n"/>
      <c r="AD544" s="1842" t="n"/>
      <c r="AE544" s="1842" t="n"/>
      <c r="AF544" s="1842" t="n"/>
    </row>
    <row r="545" ht="13.5" customHeight="1" s="1883">
      <c r="A545" s="1842" t="n"/>
      <c r="B545" s="1842" t="n"/>
      <c r="C545" s="1842" t="n"/>
      <c r="D545" s="1842" t="n"/>
      <c r="E545" s="1842" t="n"/>
      <c r="F545" s="1842" t="n"/>
      <c r="G545" s="1842" t="n"/>
      <c r="H545" s="1842" t="n"/>
      <c r="I545" s="1842" t="n"/>
      <c r="J545" s="1842" t="n"/>
      <c r="K545" s="1842" t="n"/>
      <c r="L545" s="1842" t="n"/>
      <c r="M545" s="1842" t="n"/>
      <c r="N545" s="1842" t="n"/>
      <c r="O545" s="1842" t="n"/>
      <c r="P545" s="1842" t="n"/>
      <c r="Q545" s="1842" t="n"/>
      <c r="R545" s="1842" t="n"/>
      <c r="S545" s="1842" t="n"/>
      <c r="T545" s="1842" t="n"/>
      <c r="U545" s="1842" t="n"/>
      <c r="V545" s="1842" t="n"/>
      <c r="W545" s="1842" t="n"/>
      <c r="X545" s="1842" t="n"/>
      <c r="Y545" s="1842" t="n"/>
      <c r="Z545" s="1842" t="n"/>
      <c r="AA545" s="1842" t="n"/>
      <c r="AB545" s="1842" t="n"/>
      <c r="AC545" s="1842" t="n"/>
      <c r="AD545" s="1842" t="n"/>
      <c r="AE545" s="1842" t="n"/>
      <c r="AF545" s="1842" t="n"/>
    </row>
    <row r="546" ht="13.5" customHeight="1" s="1883">
      <c r="A546" s="1842" t="n"/>
      <c r="B546" s="1842" t="n"/>
      <c r="C546" s="1842" t="n"/>
      <c r="D546" s="1842" t="n"/>
      <c r="E546" s="1842" t="n"/>
      <c r="F546" s="1842" t="n"/>
      <c r="G546" s="1842" t="n"/>
      <c r="H546" s="1842" t="n"/>
      <c r="I546" s="1842" t="n"/>
      <c r="J546" s="1842" t="n"/>
      <c r="K546" s="1842" t="n"/>
      <c r="L546" s="1842" t="n"/>
      <c r="M546" s="1842" t="n"/>
      <c r="N546" s="1842" t="n"/>
      <c r="O546" s="1842" t="n"/>
      <c r="P546" s="1842" t="n"/>
      <c r="Q546" s="1842" t="n"/>
      <c r="R546" s="1842" t="n"/>
      <c r="S546" s="1842" t="n"/>
      <c r="T546" s="1842" t="n"/>
      <c r="U546" s="1842" t="n"/>
      <c r="V546" s="1842" t="n"/>
      <c r="W546" s="1842" t="n"/>
      <c r="X546" s="1842" t="n"/>
      <c r="Y546" s="1842" t="n"/>
      <c r="Z546" s="1842" t="n"/>
      <c r="AA546" s="1842" t="n"/>
      <c r="AB546" s="1842" t="n"/>
      <c r="AC546" s="1842" t="n"/>
      <c r="AD546" s="1842" t="n"/>
      <c r="AE546" s="1842" t="n"/>
      <c r="AF546" s="1842" t="n"/>
    </row>
    <row r="547" ht="13.5" customHeight="1" s="1883">
      <c r="A547" s="1842" t="n"/>
      <c r="B547" s="1842" t="n"/>
      <c r="C547" s="1842" t="n"/>
      <c r="D547" s="1842" t="n"/>
      <c r="E547" s="1842" t="n"/>
      <c r="F547" s="1842" t="n"/>
      <c r="G547" s="1842" t="n"/>
      <c r="H547" s="1842" t="n"/>
      <c r="I547" s="1842" t="n"/>
      <c r="J547" s="1842" t="n"/>
      <c r="K547" s="1842" t="n"/>
      <c r="L547" s="1842" t="n"/>
      <c r="M547" s="1842" t="n"/>
      <c r="N547" s="1842" t="n"/>
      <c r="O547" s="1842" t="n"/>
      <c r="P547" s="1842" t="n"/>
      <c r="Q547" s="1842" t="n"/>
      <c r="R547" s="1842" t="n"/>
      <c r="S547" s="1842" t="n"/>
      <c r="T547" s="1842" t="n"/>
      <c r="U547" s="1842" t="n"/>
      <c r="V547" s="1842" t="n"/>
      <c r="W547" s="1842" t="n"/>
      <c r="X547" s="1842" t="n"/>
      <c r="Y547" s="1842" t="n"/>
      <c r="Z547" s="1842" t="n"/>
      <c r="AA547" s="1842" t="n"/>
      <c r="AB547" s="1842" t="n"/>
      <c r="AC547" s="1842" t="n"/>
      <c r="AD547" s="1842" t="n"/>
      <c r="AE547" s="1842" t="n"/>
      <c r="AF547" s="1842" t="n"/>
    </row>
    <row r="548" ht="13.5" customHeight="1" s="1883">
      <c r="A548" s="1842" t="n"/>
      <c r="B548" s="1842" t="n"/>
      <c r="C548" s="1842" t="n"/>
      <c r="D548" s="1842" t="n"/>
      <c r="E548" s="1842" t="n"/>
      <c r="F548" s="1842" t="n"/>
      <c r="G548" s="1842" t="n"/>
      <c r="H548" s="1842" t="n"/>
      <c r="I548" s="1842" t="n"/>
      <c r="J548" s="1842" t="n"/>
      <c r="K548" s="1842" t="n"/>
      <c r="L548" s="1842" t="n"/>
      <c r="M548" s="1842" t="n"/>
      <c r="N548" s="1842" t="n"/>
      <c r="O548" s="1842" t="n"/>
      <c r="P548" s="1842" t="n"/>
      <c r="Q548" s="1842" t="n"/>
      <c r="R548" s="1842" t="n"/>
      <c r="S548" s="1842" t="n"/>
      <c r="T548" s="1842" t="n"/>
      <c r="U548" s="1842" t="n"/>
      <c r="V548" s="1842" t="n"/>
      <c r="W548" s="1842" t="n"/>
      <c r="X548" s="1842" t="n"/>
      <c r="Y548" s="1842" t="n"/>
      <c r="Z548" s="1842" t="n"/>
      <c r="AA548" s="1842" t="n"/>
      <c r="AB548" s="1842" t="n"/>
      <c r="AC548" s="1842" t="n"/>
      <c r="AD548" s="1842" t="n"/>
      <c r="AE548" s="1842" t="n"/>
      <c r="AF548" s="1842" t="n"/>
    </row>
    <row r="549" ht="13.5" customHeight="1" s="1883">
      <c r="A549" s="1842" t="n"/>
      <c r="B549" s="1842" t="n"/>
      <c r="C549" s="1842" t="n"/>
      <c r="D549" s="1842" t="n"/>
      <c r="E549" s="1842" t="n"/>
      <c r="F549" s="1842" t="n"/>
      <c r="G549" s="1842" t="n"/>
      <c r="H549" s="1842" t="n"/>
      <c r="I549" s="1842" t="n"/>
      <c r="J549" s="1842" t="n"/>
      <c r="K549" s="1842" t="n"/>
      <c r="L549" s="1842" t="n"/>
      <c r="M549" s="1842" t="n"/>
      <c r="N549" s="1842" t="n"/>
      <c r="O549" s="1842" t="n"/>
      <c r="P549" s="1842" t="n"/>
      <c r="Q549" s="1842" t="n"/>
      <c r="R549" s="1842" t="n"/>
      <c r="S549" s="1842" t="n"/>
      <c r="T549" s="1842" t="n"/>
      <c r="U549" s="1842" t="n"/>
      <c r="V549" s="1842" t="n"/>
      <c r="W549" s="1842" t="n"/>
      <c r="X549" s="1842" t="n"/>
      <c r="Y549" s="1842" t="n"/>
      <c r="Z549" s="1842" t="n"/>
      <c r="AA549" s="1842" t="n"/>
      <c r="AB549" s="1842" t="n"/>
      <c r="AC549" s="1842" t="n"/>
      <c r="AD549" s="1842" t="n"/>
      <c r="AE549" s="1842" t="n"/>
      <c r="AF549" s="1842" t="n"/>
    </row>
    <row r="550" ht="13.5" customHeight="1" s="1883">
      <c r="A550" s="1842" t="n"/>
      <c r="B550" s="1842" t="n"/>
      <c r="C550" s="1842" t="n"/>
      <c r="D550" s="1842" t="n"/>
      <c r="E550" s="1842" t="n"/>
      <c r="F550" s="1842" t="n"/>
      <c r="G550" s="1842" t="n"/>
      <c r="H550" s="1842" t="n"/>
      <c r="I550" s="1842" t="n"/>
      <c r="J550" s="1842" t="n"/>
      <c r="K550" s="1842" t="n"/>
      <c r="L550" s="1842" t="n"/>
      <c r="M550" s="1842" t="n"/>
      <c r="N550" s="1842" t="n"/>
      <c r="O550" s="1842" t="n"/>
      <c r="P550" s="1842" t="n"/>
      <c r="Q550" s="1842" t="n"/>
      <c r="R550" s="1842" t="n"/>
      <c r="S550" s="1842" t="n"/>
      <c r="T550" s="1842" t="n"/>
      <c r="U550" s="1842" t="n"/>
      <c r="V550" s="1842" t="n"/>
      <c r="W550" s="1842" t="n"/>
      <c r="X550" s="1842" t="n"/>
      <c r="Y550" s="1842" t="n"/>
      <c r="Z550" s="1842" t="n"/>
      <c r="AA550" s="1842" t="n"/>
      <c r="AB550" s="1842" t="n"/>
      <c r="AC550" s="1842" t="n"/>
      <c r="AD550" s="1842" t="n"/>
      <c r="AE550" s="1842" t="n"/>
      <c r="AF550" s="1842" t="n"/>
    </row>
    <row r="551" ht="13.5" customHeight="1" s="1883">
      <c r="A551" s="1842" t="n"/>
      <c r="B551" s="1842" t="n"/>
      <c r="C551" s="1842" t="n"/>
      <c r="D551" s="1842" t="n"/>
      <c r="E551" s="1842" t="n"/>
      <c r="F551" s="1842" t="n"/>
      <c r="G551" s="1842" t="n"/>
      <c r="H551" s="1842" t="n"/>
      <c r="I551" s="1842" t="n"/>
      <c r="J551" s="1842" t="n"/>
      <c r="K551" s="1842" t="n"/>
      <c r="L551" s="1842" t="n"/>
      <c r="M551" s="1842" t="n"/>
      <c r="N551" s="1842" t="n"/>
      <c r="O551" s="1842" t="n"/>
      <c r="P551" s="1842" t="n"/>
      <c r="Q551" s="1842" t="n"/>
      <c r="R551" s="1842" t="n"/>
      <c r="S551" s="1842" t="n"/>
      <c r="T551" s="1842" t="n"/>
      <c r="U551" s="1842" t="n"/>
      <c r="V551" s="1842" t="n"/>
      <c r="W551" s="1842" t="n"/>
      <c r="X551" s="1842" t="n"/>
      <c r="Y551" s="1842" t="n"/>
      <c r="Z551" s="1842" t="n"/>
      <c r="AA551" s="1842" t="n"/>
      <c r="AB551" s="1842" t="n"/>
      <c r="AC551" s="1842" t="n"/>
      <c r="AD551" s="1842" t="n"/>
      <c r="AE551" s="1842" t="n"/>
      <c r="AF551" s="1842" t="n"/>
    </row>
    <row r="552" ht="13.5" customHeight="1" s="1883">
      <c r="A552" s="1842" t="n"/>
      <c r="B552" s="1842" t="n"/>
      <c r="C552" s="1842" t="n"/>
      <c r="D552" s="1842" t="n"/>
      <c r="E552" s="1842" t="n"/>
      <c r="F552" s="1842" t="n"/>
      <c r="G552" s="1842" t="n"/>
      <c r="H552" s="1842" t="n"/>
      <c r="I552" s="1842" t="n"/>
      <c r="J552" s="1842" t="n"/>
      <c r="K552" s="1842" t="n"/>
      <c r="L552" s="1842" t="n"/>
      <c r="M552" s="1842" t="n"/>
      <c r="N552" s="1842" t="n"/>
      <c r="O552" s="1842" t="n"/>
      <c r="P552" s="1842" t="n"/>
      <c r="Q552" s="1842" t="n"/>
      <c r="R552" s="1842" t="n"/>
      <c r="S552" s="1842" t="n"/>
      <c r="T552" s="1842" t="n"/>
      <c r="U552" s="1842" t="n"/>
      <c r="V552" s="1842" t="n"/>
      <c r="W552" s="1842" t="n"/>
      <c r="X552" s="1842" t="n"/>
      <c r="Y552" s="1842" t="n"/>
      <c r="Z552" s="1842" t="n"/>
      <c r="AA552" s="1842" t="n"/>
      <c r="AB552" s="1842" t="n"/>
      <c r="AC552" s="1842" t="n"/>
      <c r="AD552" s="1842" t="n"/>
      <c r="AE552" s="1842" t="n"/>
      <c r="AF552" s="1842" t="n"/>
    </row>
    <row r="553" ht="13.5" customHeight="1" s="1883">
      <c r="A553" s="1842" t="n"/>
      <c r="B553" s="1842" t="n"/>
      <c r="C553" s="1842" t="n"/>
      <c r="D553" s="1842" t="n"/>
      <c r="E553" s="1842" t="n"/>
      <c r="F553" s="1842" t="n"/>
      <c r="G553" s="1842" t="n"/>
      <c r="H553" s="1842" t="n"/>
      <c r="I553" s="1842" t="n"/>
      <c r="J553" s="1842" t="n"/>
      <c r="K553" s="1842" t="n"/>
      <c r="L553" s="1842" t="n"/>
      <c r="M553" s="1842" t="n"/>
      <c r="N553" s="1842" t="n"/>
      <c r="O553" s="1842" t="n"/>
      <c r="P553" s="1842" t="n"/>
      <c r="Q553" s="1842" t="n"/>
      <c r="R553" s="1842" t="n"/>
      <c r="S553" s="1842" t="n"/>
      <c r="T553" s="1842" t="n"/>
      <c r="U553" s="1842" t="n"/>
      <c r="V553" s="1842" t="n"/>
      <c r="W553" s="1842" t="n"/>
      <c r="X553" s="1842" t="n"/>
      <c r="Y553" s="1842" t="n"/>
      <c r="Z553" s="1842" t="n"/>
      <c r="AA553" s="1842" t="n"/>
      <c r="AB553" s="1842" t="n"/>
      <c r="AC553" s="1842" t="n"/>
      <c r="AD553" s="1842" t="n"/>
      <c r="AE553" s="1842" t="n"/>
      <c r="AF553" s="1842" t="n"/>
    </row>
    <row r="554" ht="13.5" customHeight="1" s="1883">
      <c r="A554" s="1842" t="n"/>
      <c r="B554" s="1842" t="n"/>
      <c r="C554" s="1842" t="n"/>
      <c r="D554" s="1842" t="n"/>
      <c r="E554" s="1842" t="n"/>
      <c r="F554" s="1842" t="n"/>
      <c r="G554" s="1842" t="n"/>
      <c r="H554" s="1842" t="n"/>
      <c r="I554" s="1842" t="n"/>
      <c r="J554" s="1842" t="n"/>
      <c r="K554" s="1842" t="n"/>
      <c r="L554" s="1842" t="n"/>
      <c r="M554" s="1842" t="n"/>
      <c r="N554" s="1842" t="n"/>
      <c r="O554" s="1842" t="n"/>
      <c r="P554" s="1842" t="n"/>
      <c r="Q554" s="1842" t="n"/>
      <c r="R554" s="1842" t="n"/>
      <c r="S554" s="1842" t="n"/>
      <c r="T554" s="1842" t="n"/>
      <c r="U554" s="1842" t="n"/>
      <c r="V554" s="1842" t="n"/>
      <c r="W554" s="1842" t="n"/>
      <c r="X554" s="1842" t="n"/>
      <c r="Y554" s="1842" t="n"/>
      <c r="Z554" s="1842" t="n"/>
      <c r="AA554" s="1842" t="n"/>
      <c r="AB554" s="1842" t="n"/>
      <c r="AC554" s="1842" t="n"/>
      <c r="AD554" s="1842" t="n"/>
      <c r="AE554" s="1842" t="n"/>
      <c r="AF554" s="1842" t="n"/>
    </row>
    <row r="555" ht="13.5" customHeight="1" s="1883">
      <c r="A555" s="1842" t="n"/>
      <c r="B555" s="1842" t="n"/>
      <c r="C555" s="1842" t="n"/>
      <c r="D555" s="1842" t="n"/>
      <c r="E555" s="1842" t="n"/>
      <c r="F555" s="1842" t="n"/>
      <c r="G555" s="1842" t="n"/>
      <c r="H555" s="1842" t="n"/>
      <c r="I555" s="1842" t="n"/>
      <c r="J555" s="1842" t="n"/>
      <c r="K555" s="1842" t="n"/>
      <c r="L555" s="1842" t="n"/>
      <c r="M555" s="1842" t="n"/>
      <c r="N555" s="1842" t="n"/>
      <c r="O555" s="1842" t="n"/>
      <c r="P555" s="1842" t="n"/>
      <c r="Q555" s="1842" t="n"/>
      <c r="R555" s="1842" t="n"/>
      <c r="S555" s="1842" t="n"/>
      <c r="T555" s="1842" t="n"/>
      <c r="U555" s="1842" t="n"/>
      <c r="V555" s="1842" t="n"/>
      <c r="W555" s="1842" t="n"/>
      <c r="X555" s="1842" t="n"/>
      <c r="Y555" s="1842" t="n"/>
      <c r="Z555" s="1842" t="n"/>
      <c r="AA555" s="1842" t="n"/>
      <c r="AB555" s="1842" t="n"/>
      <c r="AC555" s="1842" t="n"/>
      <c r="AD555" s="1842" t="n"/>
      <c r="AE555" s="1842" t="n"/>
      <c r="AF555" s="1842" t="n"/>
    </row>
    <row r="556" ht="13.5" customHeight="1" s="1883">
      <c r="A556" s="1842" t="n"/>
      <c r="B556" s="1842" t="n"/>
      <c r="C556" s="1842" t="n"/>
      <c r="D556" s="1842" t="n"/>
      <c r="E556" s="1842" t="n"/>
      <c r="F556" s="1842" t="n"/>
      <c r="G556" s="1842" t="n"/>
      <c r="H556" s="1842" t="n"/>
      <c r="I556" s="1842" t="n"/>
      <c r="J556" s="1842" t="n"/>
      <c r="K556" s="1842" t="n"/>
      <c r="L556" s="1842" t="n"/>
      <c r="M556" s="1842" t="n"/>
      <c r="N556" s="1842" t="n"/>
      <c r="O556" s="1842" t="n"/>
      <c r="P556" s="1842" t="n"/>
      <c r="Q556" s="1842" t="n"/>
      <c r="R556" s="1842" t="n"/>
      <c r="S556" s="1842" t="n"/>
      <c r="T556" s="1842" t="n"/>
      <c r="U556" s="1842" t="n"/>
      <c r="V556" s="1842" t="n"/>
      <c r="W556" s="1842" t="n"/>
      <c r="X556" s="1842" t="n"/>
      <c r="Y556" s="1842" t="n"/>
      <c r="Z556" s="1842" t="n"/>
      <c r="AA556" s="1842" t="n"/>
      <c r="AB556" s="1842" t="n"/>
      <c r="AC556" s="1842" t="n"/>
      <c r="AD556" s="1842" t="n"/>
      <c r="AE556" s="1842" t="n"/>
      <c r="AF556" s="1842" t="n"/>
    </row>
    <row r="557" ht="13.5" customHeight="1" s="1883">
      <c r="A557" s="1842" t="n"/>
      <c r="B557" s="1842" t="n"/>
      <c r="C557" s="1842" t="n"/>
      <c r="D557" s="1842" t="n"/>
      <c r="E557" s="1842" t="n"/>
      <c r="F557" s="1842" t="n"/>
      <c r="G557" s="1842" t="n"/>
      <c r="H557" s="1842" t="n"/>
      <c r="I557" s="1842" t="n"/>
      <c r="J557" s="1842" t="n"/>
      <c r="K557" s="1842" t="n"/>
      <c r="L557" s="1842" t="n"/>
      <c r="M557" s="1842" t="n"/>
      <c r="N557" s="1842" t="n"/>
      <c r="O557" s="1842" t="n"/>
      <c r="P557" s="1842" t="n"/>
      <c r="Q557" s="1842" t="n"/>
      <c r="R557" s="1842" t="n"/>
      <c r="S557" s="1842" t="n"/>
      <c r="T557" s="1842" t="n"/>
      <c r="U557" s="1842" t="n"/>
      <c r="V557" s="1842" t="n"/>
      <c r="W557" s="1842" t="n"/>
      <c r="X557" s="1842" t="n"/>
      <c r="Y557" s="1842" t="n"/>
      <c r="Z557" s="1842" t="n"/>
      <c r="AA557" s="1842" t="n"/>
      <c r="AB557" s="1842" t="n"/>
      <c r="AC557" s="1842" t="n"/>
      <c r="AD557" s="1842" t="n"/>
      <c r="AE557" s="1842" t="n"/>
      <c r="AF557" s="1842" t="n"/>
    </row>
    <row r="558" ht="13.5" customHeight="1" s="1883">
      <c r="A558" s="1842" t="n"/>
      <c r="B558" s="1842" t="n"/>
      <c r="C558" s="1842" t="n"/>
      <c r="D558" s="1842" t="n"/>
      <c r="E558" s="1842" t="n"/>
      <c r="F558" s="1842" t="n"/>
      <c r="G558" s="1842" t="n"/>
      <c r="H558" s="1842" t="n"/>
      <c r="I558" s="1842" t="n"/>
      <c r="J558" s="1842" t="n"/>
      <c r="K558" s="1842" t="n"/>
      <c r="L558" s="1842" t="n"/>
      <c r="M558" s="1842" t="n"/>
      <c r="N558" s="1842" t="n"/>
      <c r="O558" s="1842" t="n"/>
      <c r="P558" s="1842" t="n"/>
      <c r="Q558" s="1842" t="n"/>
      <c r="R558" s="1842" t="n"/>
      <c r="S558" s="1842" t="n"/>
      <c r="T558" s="1842" t="n"/>
      <c r="U558" s="1842" t="n"/>
      <c r="V558" s="1842" t="n"/>
      <c r="W558" s="1842" t="n"/>
      <c r="X558" s="1842" t="n"/>
      <c r="Y558" s="1842" t="n"/>
      <c r="Z558" s="1842" t="n"/>
      <c r="AA558" s="1842" t="n"/>
      <c r="AB558" s="1842" t="n"/>
      <c r="AC558" s="1842" t="n"/>
      <c r="AD558" s="1842" t="n"/>
      <c r="AE558" s="1842" t="n"/>
      <c r="AF558" s="1842" t="n"/>
    </row>
    <row r="559" ht="13.5" customHeight="1" s="1883">
      <c r="A559" s="1842" t="n"/>
      <c r="B559" s="1842" t="n"/>
      <c r="C559" s="1842" t="n"/>
      <c r="D559" s="1842" t="n"/>
      <c r="E559" s="1842" t="n"/>
      <c r="F559" s="1842" t="n"/>
      <c r="G559" s="1842" t="n"/>
      <c r="H559" s="1842" t="n"/>
      <c r="I559" s="1842" t="n"/>
      <c r="J559" s="1842" t="n"/>
      <c r="K559" s="1842" t="n"/>
      <c r="L559" s="1842" t="n"/>
      <c r="M559" s="1842" t="n"/>
      <c r="N559" s="1842" t="n"/>
      <c r="O559" s="1842" t="n"/>
      <c r="P559" s="1842" t="n"/>
      <c r="Q559" s="1842" t="n"/>
      <c r="R559" s="1842" t="n"/>
      <c r="S559" s="1842" t="n"/>
      <c r="T559" s="1842" t="n"/>
      <c r="U559" s="1842" t="n"/>
      <c r="V559" s="1842" t="n"/>
      <c r="W559" s="1842" t="n"/>
      <c r="X559" s="1842" t="n"/>
      <c r="Y559" s="1842" t="n"/>
      <c r="Z559" s="1842" t="n"/>
      <c r="AA559" s="1842" t="n"/>
      <c r="AB559" s="1842" t="n"/>
      <c r="AC559" s="1842" t="n"/>
      <c r="AD559" s="1842" t="n"/>
      <c r="AE559" s="1842" t="n"/>
      <c r="AF559" s="1842" t="n"/>
    </row>
    <row r="560" ht="13.5" customHeight="1" s="1883">
      <c r="A560" s="1842" t="n"/>
      <c r="B560" s="1842" t="n"/>
      <c r="C560" s="1842" t="n"/>
      <c r="D560" s="1842" t="n"/>
      <c r="E560" s="1842" t="n"/>
      <c r="F560" s="1842" t="n"/>
      <c r="G560" s="1842" t="n"/>
      <c r="H560" s="1842" t="n"/>
      <c r="I560" s="1842" t="n"/>
      <c r="J560" s="1842" t="n"/>
      <c r="K560" s="1842" t="n"/>
      <c r="L560" s="1842" t="n"/>
      <c r="M560" s="1842" t="n"/>
      <c r="N560" s="1842" t="n"/>
      <c r="O560" s="1842" t="n"/>
      <c r="P560" s="1842" t="n"/>
      <c r="Q560" s="1842" t="n"/>
      <c r="R560" s="1842" t="n"/>
      <c r="S560" s="1842" t="n"/>
      <c r="T560" s="1842" t="n"/>
      <c r="U560" s="1842" t="n"/>
      <c r="V560" s="1842" t="n"/>
      <c r="W560" s="1842" t="n"/>
      <c r="X560" s="1842" t="n"/>
      <c r="Y560" s="1842" t="n"/>
      <c r="Z560" s="1842" t="n"/>
      <c r="AA560" s="1842" t="n"/>
      <c r="AB560" s="1842" t="n"/>
      <c r="AC560" s="1842" t="n"/>
      <c r="AD560" s="1842" t="n"/>
      <c r="AE560" s="1842" t="n"/>
      <c r="AF560" s="1842" t="n"/>
    </row>
    <row r="561" ht="13.5" customHeight="1" s="1883">
      <c r="A561" s="1842" t="n"/>
      <c r="B561" s="1842" t="n"/>
      <c r="C561" s="1842" t="n"/>
      <c r="D561" s="1842" t="n"/>
      <c r="E561" s="1842" t="n"/>
      <c r="F561" s="1842" t="n"/>
      <c r="G561" s="1842" t="n"/>
      <c r="H561" s="1842" t="n"/>
      <c r="I561" s="1842" t="n"/>
      <c r="J561" s="1842" t="n"/>
      <c r="K561" s="1842" t="n"/>
      <c r="L561" s="1842" t="n"/>
      <c r="M561" s="1842" t="n"/>
      <c r="N561" s="1842" t="n"/>
      <c r="O561" s="1842" t="n"/>
      <c r="P561" s="1842" t="n"/>
      <c r="Q561" s="1842" t="n"/>
      <c r="R561" s="1842" t="n"/>
      <c r="S561" s="1842" t="n"/>
      <c r="T561" s="1842" t="n"/>
      <c r="U561" s="1842" t="n"/>
      <c r="V561" s="1842" t="n"/>
      <c r="W561" s="1842" t="n"/>
      <c r="X561" s="1842" t="n"/>
      <c r="Y561" s="1842" t="n"/>
      <c r="Z561" s="1842" t="n"/>
      <c r="AA561" s="1842" t="n"/>
      <c r="AB561" s="1842" t="n"/>
      <c r="AC561" s="1842" t="n"/>
      <c r="AD561" s="1842" t="n"/>
      <c r="AE561" s="1842" t="n"/>
      <c r="AF561" s="1842" t="n"/>
    </row>
    <row r="562" ht="13.5" customHeight="1" s="1883">
      <c r="A562" s="1842" t="n"/>
      <c r="B562" s="1842" t="n"/>
      <c r="C562" s="1842" t="n"/>
      <c r="D562" s="1842" t="n"/>
      <c r="E562" s="1842" t="n"/>
      <c r="F562" s="1842" t="n"/>
      <c r="G562" s="1842" t="n"/>
      <c r="H562" s="1842" t="n"/>
      <c r="I562" s="1842" t="n"/>
      <c r="J562" s="1842" t="n"/>
      <c r="K562" s="1842" t="n"/>
      <c r="L562" s="1842" t="n"/>
      <c r="M562" s="1842" t="n"/>
      <c r="N562" s="1842" t="n"/>
      <c r="O562" s="1842" t="n"/>
      <c r="P562" s="1842" t="n"/>
      <c r="Q562" s="1842" t="n"/>
      <c r="R562" s="1842" t="n"/>
      <c r="S562" s="1842" t="n"/>
      <c r="T562" s="1842" t="n"/>
      <c r="U562" s="1842" t="n"/>
      <c r="V562" s="1842" t="n"/>
      <c r="W562" s="1842" t="n"/>
      <c r="X562" s="1842" t="n"/>
      <c r="Y562" s="1842" t="n"/>
      <c r="Z562" s="1842" t="n"/>
      <c r="AA562" s="1842" t="n"/>
      <c r="AB562" s="1842" t="n"/>
      <c r="AC562" s="1842" t="n"/>
      <c r="AD562" s="1842" t="n"/>
      <c r="AE562" s="1842" t="n"/>
      <c r="AF562" s="1842" t="n"/>
    </row>
    <row r="563" ht="13.5" customHeight="1" s="1883">
      <c r="A563" s="1842" t="n"/>
      <c r="B563" s="1842" t="n"/>
      <c r="C563" s="1842" t="n"/>
      <c r="D563" s="1842" t="n"/>
      <c r="E563" s="1842" t="n"/>
      <c r="F563" s="1842" t="n"/>
      <c r="G563" s="1842" t="n"/>
      <c r="H563" s="1842" t="n"/>
      <c r="I563" s="1842" t="n"/>
      <c r="J563" s="1842" t="n"/>
      <c r="K563" s="1842" t="n"/>
      <c r="L563" s="1842" t="n"/>
      <c r="M563" s="1842" t="n"/>
      <c r="N563" s="1842" t="n"/>
      <c r="O563" s="1842" t="n"/>
      <c r="P563" s="1842" t="n"/>
      <c r="Q563" s="1842" t="n"/>
      <c r="R563" s="1842" t="n"/>
      <c r="S563" s="1842" t="n"/>
      <c r="T563" s="1842" t="n"/>
      <c r="U563" s="1842" t="n"/>
      <c r="V563" s="1842" t="n"/>
      <c r="W563" s="1842" t="n"/>
      <c r="X563" s="1842" t="n"/>
      <c r="Y563" s="1842" t="n"/>
      <c r="Z563" s="1842" t="n"/>
      <c r="AA563" s="1842" t="n"/>
      <c r="AB563" s="1842" t="n"/>
      <c r="AC563" s="1842" t="n"/>
      <c r="AD563" s="1842" t="n"/>
      <c r="AE563" s="1842" t="n"/>
      <c r="AF563" s="1842" t="n"/>
    </row>
    <row r="564" ht="13.5" customHeight="1" s="1883">
      <c r="A564" s="1842" t="n"/>
      <c r="B564" s="1842" t="n"/>
      <c r="C564" s="1842" t="n"/>
      <c r="D564" s="1842" t="n"/>
      <c r="E564" s="1842" t="n"/>
      <c r="F564" s="1842" t="n"/>
      <c r="G564" s="1842" t="n"/>
      <c r="H564" s="1842" t="n"/>
      <c r="I564" s="1842" t="n"/>
      <c r="J564" s="1842" t="n"/>
      <c r="K564" s="1842" t="n"/>
      <c r="L564" s="1842" t="n"/>
      <c r="M564" s="1842" t="n"/>
      <c r="N564" s="1842" t="n"/>
      <c r="O564" s="1842" t="n"/>
      <c r="P564" s="1842" t="n"/>
      <c r="Q564" s="1842" t="n"/>
      <c r="R564" s="1842" t="n"/>
      <c r="S564" s="1842" t="n"/>
      <c r="T564" s="1842" t="n"/>
      <c r="U564" s="1842" t="n"/>
      <c r="V564" s="1842" t="n"/>
      <c r="W564" s="1842" t="n"/>
      <c r="X564" s="1842" t="n"/>
      <c r="Y564" s="1842" t="n"/>
      <c r="Z564" s="1842" t="n"/>
      <c r="AA564" s="1842" t="n"/>
      <c r="AB564" s="1842" t="n"/>
      <c r="AC564" s="1842" t="n"/>
      <c r="AD564" s="1842" t="n"/>
      <c r="AE564" s="1842" t="n"/>
      <c r="AF564" s="1842" t="n"/>
    </row>
    <row r="565" ht="13.5" customHeight="1" s="1883">
      <c r="A565" s="1842" t="n"/>
      <c r="B565" s="1842" t="n"/>
      <c r="C565" s="1842" t="n"/>
      <c r="D565" s="1842" t="n"/>
      <c r="E565" s="1842" t="n"/>
      <c r="F565" s="1842" t="n"/>
      <c r="G565" s="1842" t="n"/>
      <c r="H565" s="1842" t="n"/>
      <c r="I565" s="1842" t="n"/>
      <c r="J565" s="1842" t="n"/>
      <c r="K565" s="1842" t="n"/>
      <c r="L565" s="1842" t="n"/>
      <c r="M565" s="1842" t="n"/>
      <c r="N565" s="1842" t="n"/>
      <c r="O565" s="1842" t="n"/>
      <c r="P565" s="1842" t="n"/>
      <c r="Q565" s="1842" t="n"/>
      <c r="R565" s="1842" t="n"/>
      <c r="S565" s="1842" t="n"/>
      <c r="T565" s="1842" t="n"/>
      <c r="U565" s="1842" t="n"/>
      <c r="V565" s="1842" t="n"/>
      <c r="W565" s="1842" t="n"/>
      <c r="X565" s="1842" t="n"/>
      <c r="Y565" s="1842" t="n"/>
      <c r="Z565" s="1842" t="n"/>
      <c r="AA565" s="1842" t="n"/>
      <c r="AB565" s="1842" t="n"/>
      <c r="AC565" s="1842" t="n"/>
      <c r="AD565" s="1842" t="n"/>
      <c r="AE565" s="1842" t="n"/>
      <c r="AF565" s="1842" t="n"/>
    </row>
    <row r="566" ht="13.5" customHeight="1" s="1883">
      <c r="A566" s="1842" t="n"/>
      <c r="B566" s="1842" t="n"/>
      <c r="C566" s="1842" t="n"/>
      <c r="D566" s="1842" t="n"/>
      <c r="E566" s="1842" t="n"/>
      <c r="F566" s="1842" t="n"/>
      <c r="G566" s="1842" t="n"/>
      <c r="H566" s="1842" t="n"/>
      <c r="I566" s="1842" t="n"/>
      <c r="J566" s="1842" t="n"/>
      <c r="K566" s="1842" t="n"/>
      <c r="L566" s="1842" t="n"/>
      <c r="M566" s="1842" t="n"/>
      <c r="N566" s="1842" t="n"/>
      <c r="O566" s="1842" t="n"/>
      <c r="P566" s="1842" t="n"/>
      <c r="Q566" s="1842" t="n"/>
      <c r="R566" s="1842" t="n"/>
      <c r="S566" s="1842" t="n"/>
      <c r="T566" s="1842" t="n"/>
      <c r="U566" s="1842" t="n"/>
      <c r="V566" s="1842" t="n"/>
      <c r="W566" s="1842" t="n"/>
      <c r="X566" s="1842" t="n"/>
      <c r="Y566" s="1842" t="n"/>
      <c r="Z566" s="1842" t="n"/>
      <c r="AA566" s="1842" t="n"/>
      <c r="AB566" s="1842" t="n"/>
      <c r="AC566" s="1842" t="n"/>
      <c r="AD566" s="1842" t="n"/>
      <c r="AE566" s="1842" t="n"/>
      <c r="AF566" s="1842" t="n"/>
    </row>
    <row r="567" ht="13.5" customHeight="1" s="1883">
      <c r="A567" s="1842" t="n"/>
      <c r="B567" s="1842" t="n"/>
      <c r="C567" s="1842" t="n"/>
      <c r="D567" s="1842" t="n"/>
      <c r="E567" s="1842" t="n"/>
      <c r="F567" s="1842" t="n"/>
      <c r="G567" s="1842" t="n"/>
      <c r="H567" s="1842" t="n"/>
      <c r="I567" s="1842" t="n"/>
      <c r="J567" s="1842" t="n"/>
      <c r="K567" s="1842" t="n"/>
      <c r="L567" s="1842" t="n"/>
      <c r="M567" s="1842" t="n"/>
      <c r="N567" s="1842" t="n"/>
      <c r="O567" s="1842" t="n"/>
      <c r="P567" s="1842" t="n"/>
      <c r="Q567" s="1842" t="n"/>
      <c r="R567" s="1842" t="n"/>
      <c r="S567" s="1842" t="n"/>
      <c r="T567" s="1842" t="n"/>
      <c r="U567" s="1842" t="n"/>
      <c r="V567" s="1842" t="n"/>
      <c r="W567" s="1842" t="n"/>
      <c r="X567" s="1842" t="n"/>
      <c r="Y567" s="1842" t="n"/>
      <c r="Z567" s="1842" t="n"/>
      <c r="AA567" s="1842" t="n"/>
      <c r="AB567" s="1842" t="n"/>
      <c r="AC567" s="1842" t="n"/>
      <c r="AD567" s="1842" t="n"/>
      <c r="AE567" s="1842" t="n"/>
      <c r="AF567" s="1842" t="n"/>
    </row>
    <row r="568" ht="13.5" customHeight="1" s="1883">
      <c r="A568" s="1842" t="n"/>
      <c r="B568" s="1842" t="n"/>
      <c r="C568" s="1842" t="n"/>
      <c r="D568" s="1842" t="n"/>
      <c r="E568" s="1842" t="n"/>
      <c r="F568" s="1842" t="n"/>
      <c r="G568" s="1842" t="n"/>
      <c r="H568" s="1842" t="n"/>
      <c r="I568" s="1842" t="n"/>
      <c r="J568" s="1842" t="n"/>
      <c r="K568" s="1842" t="n"/>
      <c r="L568" s="1842" t="n"/>
      <c r="M568" s="1842" t="n"/>
      <c r="N568" s="1842" t="n"/>
      <c r="O568" s="1842" t="n"/>
      <c r="P568" s="1842" t="n"/>
      <c r="Q568" s="1842" t="n"/>
      <c r="R568" s="1842" t="n"/>
      <c r="S568" s="1842" t="n"/>
      <c r="T568" s="1842" t="n"/>
      <c r="U568" s="1842" t="n"/>
      <c r="V568" s="1842" t="n"/>
      <c r="W568" s="1842" t="n"/>
      <c r="X568" s="1842" t="n"/>
      <c r="Y568" s="1842" t="n"/>
      <c r="Z568" s="1842" t="n"/>
      <c r="AA568" s="1842" t="n"/>
      <c r="AB568" s="1842" t="n"/>
      <c r="AC568" s="1842" t="n"/>
      <c r="AD568" s="1842" t="n"/>
      <c r="AE568" s="1842" t="n"/>
      <c r="AF568" s="1842" t="n"/>
    </row>
    <row r="569" ht="13.5" customHeight="1" s="1883">
      <c r="A569" s="1842" t="n"/>
      <c r="B569" s="1842" t="n"/>
      <c r="C569" s="1842" t="n"/>
      <c r="D569" s="1842" t="n"/>
      <c r="E569" s="1842" t="n"/>
      <c r="F569" s="1842" t="n"/>
      <c r="G569" s="1842" t="n"/>
      <c r="H569" s="1842" t="n"/>
      <c r="I569" s="1842" t="n"/>
      <c r="J569" s="1842" t="n"/>
      <c r="K569" s="1842" t="n"/>
      <c r="L569" s="1842" t="n"/>
      <c r="M569" s="1842" t="n"/>
      <c r="N569" s="1842" t="n"/>
      <c r="O569" s="1842" t="n"/>
      <c r="P569" s="1842" t="n"/>
      <c r="Q569" s="1842" t="n"/>
      <c r="R569" s="1842" t="n"/>
      <c r="S569" s="1842" t="n"/>
      <c r="T569" s="1842" t="n"/>
      <c r="U569" s="1842" t="n"/>
      <c r="V569" s="1842" t="n"/>
      <c r="W569" s="1842" t="n"/>
      <c r="X569" s="1842" t="n"/>
      <c r="Y569" s="1842" t="n"/>
      <c r="Z569" s="1842" t="n"/>
      <c r="AA569" s="1842" t="n"/>
      <c r="AB569" s="1842" t="n"/>
      <c r="AC569" s="1842" t="n"/>
      <c r="AD569" s="1842" t="n"/>
      <c r="AE569" s="1842" t="n"/>
      <c r="AF569" s="1842" t="n"/>
    </row>
    <row r="570" ht="13.5" customHeight="1" s="1883">
      <c r="A570" s="1842" t="n"/>
      <c r="B570" s="1842" t="n"/>
      <c r="C570" s="1842" t="n"/>
      <c r="D570" s="1842" t="n"/>
      <c r="E570" s="1842" t="n"/>
      <c r="F570" s="1842" t="n"/>
      <c r="G570" s="1842" t="n"/>
      <c r="H570" s="1842" t="n"/>
      <c r="I570" s="1842" t="n"/>
      <c r="J570" s="1842" t="n"/>
      <c r="K570" s="1842" t="n"/>
      <c r="L570" s="1842" t="n"/>
      <c r="M570" s="1842" t="n"/>
      <c r="N570" s="1842" t="n"/>
      <c r="O570" s="1842" t="n"/>
      <c r="P570" s="1842" t="n"/>
      <c r="Q570" s="1842" t="n"/>
      <c r="R570" s="1842" t="n"/>
      <c r="S570" s="1842" t="n"/>
      <c r="T570" s="1842" t="n"/>
      <c r="U570" s="1842" t="n"/>
      <c r="V570" s="1842" t="n"/>
      <c r="W570" s="1842" t="n"/>
      <c r="X570" s="1842" t="n"/>
      <c r="Y570" s="1842" t="n"/>
      <c r="Z570" s="1842" t="n"/>
      <c r="AA570" s="1842" t="n"/>
      <c r="AB570" s="1842" t="n"/>
      <c r="AC570" s="1842" t="n"/>
      <c r="AD570" s="1842" t="n"/>
      <c r="AE570" s="1842" t="n"/>
      <c r="AF570" s="1842" t="n"/>
    </row>
    <row r="571" ht="13.5" customHeight="1" s="1883">
      <c r="A571" s="1842" t="n"/>
      <c r="B571" s="1842" t="n"/>
      <c r="C571" s="1842" t="n"/>
      <c r="D571" s="1842" t="n"/>
      <c r="E571" s="1842" t="n"/>
      <c r="F571" s="1842" t="n"/>
      <c r="G571" s="1842" t="n"/>
      <c r="H571" s="1842" t="n"/>
      <c r="I571" s="1842" t="n"/>
      <c r="J571" s="1842" t="n"/>
      <c r="K571" s="1842" t="n"/>
      <c r="L571" s="1842" t="n"/>
      <c r="M571" s="1842" t="n"/>
      <c r="N571" s="1842" t="n"/>
      <c r="O571" s="1842" t="n"/>
      <c r="P571" s="1842" t="n"/>
      <c r="Q571" s="1842" t="n"/>
      <c r="R571" s="1842" t="n"/>
      <c r="S571" s="1842" t="n"/>
      <c r="T571" s="1842" t="n"/>
      <c r="U571" s="1842" t="n"/>
      <c r="V571" s="1842" t="n"/>
      <c r="W571" s="1842" t="n"/>
      <c r="X571" s="1842" t="n"/>
      <c r="Y571" s="1842" t="n"/>
      <c r="Z571" s="1842" t="n"/>
      <c r="AA571" s="1842" t="n"/>
      <c r="AB571" s="1842" t="n"/>
      <c r="AC571" s="1842" t="n"/>
      <c r="AD571" s="1842" t="n"/>
      <c r="AE571" s="1842" t="n"/>
      <c r="AF571" s="1842" t="n"/>
    </row>
    <row r="572" ht="13.5" customHeight="1" s="1883">
      <c r="A572" s="1842" t="n"/>
      <c r="B572" s="1842" t="n"/>
      <c r="C572" s="1842" t="n"/>
      <c r="D572" s="1842" t="n"/>
      <c r="E572" s="1842" t="n"/>
      <c r="F572" s="1842" t="n"/>
      <c r="G572" s="1842" t="n"/>
      <c r="H572" s="1842" t="n"/>
      <c r="I572" s="1842" t="n"/>
      <c r="J572" s="1842" t="n"/>
      <c r="K572" s="1842" t="n"/>
      <c r="L572" s="1842" t="n"/>
      <c r="M572" s="1842" t="n"/>
      <c r="N572" s="1842" t="n"/>
      <c r="O572" s="1842" t="n"/>
      <c r="P572" s="1842" t="n"/>
      <c r="Q572" s="1842" t="n"/>
      <c r="R572" s="1842" t="n"/>
      <c r="S572" s="1842" t="n"/>
      <c r="T572" s="1842" t="n"/>
      <c r="U572" s="1842" t="n"/>
      <c r="V572" s="1842" t="n"/>
      <c r="W572" s="1842" t="n"/>
      <c r="X572" s="1842" t="n"/>
      <c r="Y572" s="1842" t="n"/>
      <c r="Z572" s="1842" t="n"/>
      <c r="AA572" s="1842" t="n"/>
      <c r="AB572" s="1842" t="n"/>
      <c r="AC572" s="1842" t="n"/>
      <c r="AD572" s="1842" t="n"/>
      <c r="AE572" s="1842" t="n"/>
      <c r="AF572" s="1842" t="n"/>
    </row>
    <row r="573" ht="13.5" customHeight="1" s="1883">
      <c r="A573" s="1842" t="n"/>
      <c r="B573" s="1842" t="n"/>
      <c r="C573" s="1842" t="n"/>
      <c r="D573" s="1842" t="n"/>
      <c r="E573" s="1842" t="n"/>
      <c r="F573" s="1842" t="n"/>
      <c r="G573" s="1842" t="n"/>
      <c r="H573" s="1842" t="n"/>
      <c r="I573" s="1842" t="n"/>
      <c r="J573" s="1842" t="n"/>
      <c r="K573" s="1842" t="n"/>
      <c r="L573" s="1842" t="n"/>
      <c r="M573" s="1842" t="n"/>
      <c r="N573" s="1842" t="n"/>
      <c r="O573" s="1842" t="n"/>
      <c r="P573" s="1842" t="n"/>
      <c r="Q573" s="1842" t="n"/>
      <c r="R573" s="1842" t="n"/>
      <c r="S573" s="1842" t="n"/>
      <c r="T573" s="1842" t="n"/>
      <c r="U573" s="1842" t="n"/>
      <c r="V573" s="1842" t="n"/>
      <c r="W573" s="1842" t="n"/>
      <c r="X573" s="1842" t="n"/>
      <c r="Y573" s="1842" t="n"/>
      <c r="Z573" s="1842" t="n"/>
      <c r="AA573" s="1842" t="n"/>
      <c r="AB573" s="1842" t="n"/>
      <c r="AC573" s="1842" t="n"/>
      <c r="AD573" s="1842" t="n"/>
      <c r="AE573" s="1842" t="n"/>
      <c r="AF573" s="1842" t="n"/>
    </row>
    <row r="574" ht="13.5" customHeight="1" s="1883">
      <c r="A574" s="1842" t="n"/>
      <c r="B574" s="1842" t="n"/>
      <c r="C574" s="1842" t="n"/>
      <c r="D574" s="1842" t="n"/>
      <c r="E574" s="1842" t="n"/>
      <c r="F574" s="1842" t="n"/>
      <c r="G574" s="1842" t="n"/>
      <c r="H574" s="1842" t="n"/>
      <c r="I574" s="1842" t="n"/>
      <c r="J574" s="1842" t="n"/>
      <c r="K574" s="1842" t="n"/>
      <c r="L574" s="1842" t="n"/>
      <c r="M574" s="1842" t="n"/>
      <c r="N574" s="1842" t="n"/>
      <c r="O574" s="1842" t="n"/>
      <c r="P574" s="1842" t="n"/>
      <c r="Q574" s="1842" t="n"/>
      <c r="R574" s="1842" t="n"/>
      <c r="S574" s="1842" t="n"/>
      <c r="T574" s="1842" t="n"/>
      <c r="U574" s="1842" t="n"/>
      <c r="V574" s="1842" t="n"/>
      <c r="W574" s="1842" t="n"/>
      <c r="X574" s="1842" t="n"/>
      <c r="Y574" s="1842" t="n"/>
      <c r="Z574" s="1842" t="n"/>
      <c r="AA574" s="1842" t="n"/>
      <c r="AB574" s="1842" t="n"/>
      <c r="AC574" s="1842" t="n"/>
      <c r="AD574" s="1842" t="n"/>
      <c r="AE574" s="1842" t="n"/>
      <c r="AF574" s="1842" t="n"/>
    </row>
    <row r="575" ht="13.5" customHeight="1" s="1883">
      <c r="A575" s="1842" t="n"/>
      <c r="B575" s="1842" t="n"/>
      <c r="C575" s="1842" t="n"/>
      <c r="D575" s="1842" t="n"/>
      <c r="E575" s="1842" t="n"/>
      <c r="F575" s="1842" t="n"/>
      <c r="G575" s="1842" t="n"/>
      <c r="H575" s="1842" t="n"/>
      <c r="I575" s="1842" t="n"/>
      <c r="J575" s="1842" t="n"/>
      <c r="K575" s="1842" t="n"/>
      <c r="L575" s="1842" t="n"/>
      <c r="M575" s="1842" t="n"/>
      <c r="N575" s="1842" t="n"/>
      <c r="O575" s="1842" t="n"/>
      <c r="P575" s="1842" t="n"/>
      <c r="Q575" s="1842" t="n"/>
      <c r="R575" s="1842" t="n"/>
      <c r="S575" s="1842" t="n"/>
      <c r="T575" s="1842" t="n"/>
      <c r="U575" s="1842" t="n"/>
      <c r="V575" s="1842" t="n"/>
      <c r="W575" s="1842" t="n"/>
      <c r="X575" s="1842" t="n"/>
      <c r="Y575" s="1842" t="n"/>
      <c r="Z575" s="1842" t="n"/>
      <c r="AA575" s="1842" t="n"/>
      <c r="AB575" s="1842" t="n"/>
      <c r="AC575" s="1842" t="n"/>
      <c r="AD575" s="1842" t="n"/>
      <c r="AE575" s="1842" t="n"/>
      <c r="AF575" s="1842" t="n"/>
    </row>
    <row r="576" ht="13.5" customHeight="1" s="1883">
      <c r="A576" s="1842" t="n"/>
      <c r="B576" s="1842" t="n"/>
      <c r="C576" s="1842" t="n"/>
      <c r="D576" s="1842" t="n"/>
      <c r="E576" s="1842" t="n"/>
      <c r="F576" s="1842" t="n"/>
      <c r="G576" s="1842" t="n"/>
      <c r="H576" s="1842" t="n"/>
      <c r="I576" s="1842" t="n"/>
      <c r="J576" s="1842" t="n"/>
      <c r="K576" s="1842" t="n"/>
      <c r="L576" s="1842" t="n"/>
      <c r="M576" s="1842" t="n"/>
      <c r="N576" s="1842" t="n"/>
      <c r="O576" s="1842" t="n"/>
      <c r="P576" s="1842" t="n"/>
      <c r="Q576" s="1842" t="n"/>
      <c r="R576" s="1842" t="n"/>
      <c r="S576" s="1842" t="n"/>
      <c r="T576" s="1842" t="n"/>
      <c r="U576" s="1842" t="n"/>
      <c r="V576" s="1842" t="n"/>
      <c r="W576" s="1842" t="n"/>
      <c r="X576" s="1842" t="n"/>
      <c r="Y576" s="1842" t="n"/>
      <c r="Z576" s="1842" t="n"/>
      <c r="AA576" s="1842" t="n"/>
      <c r="AB576" s="1842" t="n"/>
      <c r="AC576" s="1842" t="n"/>
      <c r="AD576" s="1842" t="n"/>
      <c r="AE576" s="1842" t="n"/>
      <c r="AF576" s="1842" t="n"/>
    </row>
    <row r="577" ht="13.5" customHeight="1" s="1883">
      <c r="A577" s="1842" t="n"/>
      <c r="B577" s="1842" t="n"/>
      <c r="C577" s="1842" t="n"/>
      <c r="D577" s="1842" t="n"/>
      <c r="E577" s="1842" t="n"/>
      <c r="F577" s="1842" t="n"/>
      <c r="G577" s="1842" t="n"/>
      <c r="H577" s="1842" t="n"/>
      <c r="I577" s="1842" t="n"/>
      <c r="J577" s="1842" t="n"/>
      <c r="K577" s="1842" t="n"/>
      <c r="L577" s="1842" t="n"/>
      <c r="M577" s="1842" t="n"/>
      <c r="N577" s="1842" t="n"/>
      <c r="O577" s="1842" t="n"/>
      <c r="P577" s="1842" t="n"/>
      <c r="Q577" s="1842" t="n"/>
      <c r="R577" s="1842" t="n"/>
      <c r="S577" s="1842" t="n"/>
      <c r="T577" s="1842" t="n"/>
      <c r="U577" s="1842" t="n"/>
      <c r="V577" s="1842" t="n"/>
      <c r="W577" s="1842" t="n"/>
      <c r="X577" s="1842" t="n"/>
      <c r="Y577" s="1842" t="n"/>
      <c r="Z577" s="1842" t="n"/>
      <c r="AA577" s="1842" t="n"/>
      <c r="AB577" s="1842" t="n"/>
      <c r="AC577" s="1842" t="n"/>
      <c r="AD577" s="1842" t="n"/>
      <c r="AE577" s="1842" t="n"/>
      <c r="AF577" s="1842" t="n"/>
    </row>
    <row r="578" ht="13.5" customHeight="1" s="1883">
      <c r="A578" s="1842" t="n"/>
      <c r="B578" s="1842" t="n"/>
      <c r="C578" s="1842" t="n"/>
      <c r="D578" s="1842" t="n"/>
      <c r="E578" s="1842" t="n"/>
      <c r="F578" s="1842" t="n"/>
      <c r="G578" s="1842" t="n"/>
      <c r="H578" s="1842" t="n"/>
      <c r="I578" s="1842" t="n"/>
      <c r="J578" s="1842" t="n"/>
      <c r="K578" s="1842" t="n"/>
      <c r="L578" s="1842" t="n"/>
      <c r="M578" s="1842" t="n"/>
      <c r="N578" s="1842" t="n"/>
      <c r="O578" s="1842" t="n"/>
      <c r="P578" s="1842" t="n"/>
      <c r="Q578" s="1842" t="n"/>
      <c r="R578" s="1842" t="n"/>
      <c r="S578" s="1842" t="n"/>
      <c r="T578" s="1842" t="n"/>
      <c r="U578" s="1842" t="n"/>
      <c r="V578" s="1842" t="n"/>
      <c r="W578" s="1842" t="n"/>
      <c r="X578" s="1842" t="n"/>
      <c r="Y578" s="1842" t="n"/>
      <c r="Z578" s="1842" t="n"/>
      <c r="AA578" s="1842" t="n"/>
      <c r="AB578" s="1842" t="n"/>
      <c r="AC578" s="1842" t="n"/>
      <c r="AD578" s="1842" t="n"/>
      <c r="AE578" s="1842" t="n"/>
      <c r="AF578" s="1842" t="n"/>
    </row>
    <row r="579" ht="13.5" customHeight="1" s="1883">
      <c r="A579" s="1842" t="n"/>
      <c r="B579" s="1842" t="n"/>
      <c r="C579" s="1842" t="n"/>
      <c r="D579" s="1842" t="n"/>
      <c r="E579" s="1842" t="n"/>
      <c r="F579" s="1842" t="n"/>
      <c r="G579" s="1842" t="n"/>
      <c r="H579" s="1842" t="n"/>
      <c r="I579" s="1842" t="n"/>
      <c r="J579" s="1842" t="n"/>
      <c r="K579" s="1842" t="n"/>
      <c r="L579" s="1842" t="n"/>
      <c r="M579" s="1842" t="n"/>
      <c r="N579" s="1842" t="n"/>
      <c r="O579" s="1842" t="n"/>
      <c r="P579" s="1842" t="n"/>
      <c r="Q579" s="1842" t="n"/>
      <c r="R579" s="1842" t="n"/>
      <c r="S579" s="1842" t="n"/>
      <c r="T579" s="1842" t="n"/>
      <c r="U579" s="1842" t="n"/>
      <c r="V579" s="1842" t="n"/>
      <c r="W579" s="1842" t="n"/>
      <c r="X579" s="1842" t="n"/>
      <c r="Y579" s="1842" t="n"/>
      <c r="Z579" s="1842" t="n"/>
      <c r="AA579" s="1842" t="n"/>
      <c r="AB579" s="1842" t="n"/>
      <c r="AC579" s="1842" t="n"/>
      <c r="AD579" s="1842" t="n"/>
      <c r="AE579" s="1842" t="n"/>
      <c r="AF579" s="1842" t="n"/>
    </row>
    <row r="580" ht="13.5" customHeight="1" s="1883">
      <c r="A580" s="1842" t="n"/>
      <c r="B580" s="1842" t="n"/>
      <c r="C580" s="1842" t="n"/>
      <c r="D580" s="1842" t="n"/>
      <c r="E580" s="1842" t="n"/>
      <c r="F580" s="1842" t="n"/>
      <c r="G580" s="1842" t="n"/>
      <c r="H580" s="1842" t="n"/>
      <c r="I580" s="1842" t="n"/>
      <c r="J580" s="1842" t="n"/>
      <c r="K580" s="1842" t="n"/>
      <c r="L580" s="1842" t="n"/>
      <c r="M580" s="1842" t="n"/>
      <c r="N580" s="1842" t="n"/>
      <c r="O580" s="1842" t="n"/>
      <c r="P580" s="1842" t="n"/>
      <c r="Q580" s="1842" t="n"/>
      <c r="R580" s="1842" t="n"/>
      <c r="S580" s="1842" t="n"/>
      <c r="T580" s="1842" t="n"/>
      <c r="U580" s="1842" t="n"/>
      <c r="V580" s="1842" t="n"/>
      <c r="W580" s="1842" t="n"/>
      <c r="X580" s="1842" t="n"/>
      <c r="Y580" s="1842" t="n"/>
      <c r="Z580" s="1842" t="n"/>
      <c r="AA580" s="1842" t="n"/>
      <c r="AB580" s="1842" t="n"/>
      <c r="AC580" s="1842" t="n"/>
      <c r="AD580" s="1842" t="n"/>
      <c r="AE580" s="1842" t="n"/>
      <c r="AF580" s="1842" t="n"/>
    </row>
    <row r="581" ht="13.5" customHeight="1" s="1883">
      <c r="A581" s="1842" t="n"/>
      <c r="B581" s="1842" t="n"/>
      <c r="C581" s="1842" t="n"/>
      <c r="D581" s="1842" t="n"/>
      <c r="E581" s="1842" t="n"/>
      <c r="F581" s="1842" t="n"/>
      <c r="G581" s="1842" t="n"/>
      <c r="H581" s="1842" t="n"/>
      <c r="I581" s="1842" t="n"/>
      <c r="J581" s="1842" t="n"/>
      <c r="K581" s="1842" t="n"/>
      <c r="L581" s="1842" t="n"/>
      <c r="M581" s="1842" t="n"/>
      <c r="N581" s="1842" t="n"/>
      <c r="O581" s="1842" t="n"/>
      <c r="P581" s="1842" t="n"/>
      <c r="Q581" s="1842" t="n"/>
      <c r="R581" s="1842" t="n"/>
      <c r="S581" s="1842" t="n"/>
      <c r="T581" s="1842" t="n"/>
      <c r="U581" s="1842" t="n"/>
      <c r="V581" s="1842" t="n"/>
      <c r="W581" s="1842" t="n"/>
      <c r="X581" s="1842" t="n"/>
      <c r="Y581" s="1842" t="n"/>
      <c r="Z581" s="1842" t="n"/>
      <c r="AA581" s="1842" t="n"/>
      <c r="AB581" s="1842" t="n"/>
      <c r="AC581" s="1842" t="n"/>
      <c r="AD581" s="1842" t="n"/>
      <c r="AE581" s="1842" t="n"/>
      <c r="AF581" s="1842" t="n"/>
    </row>
    <row r="582" ht="13.5" customHeight="1" s="1883">
      <c r="A582" s="1842" t="n"/>
      <c r="B582" s="1842" t="n"/>
      <c r="C582" s="1842" t="n"/>
      <c r="D582" s="1842" t="n"/>
      <c r="E582" s="1842" t="n"/>
      <c r="F582" s="1842" t="n"/>
      <c r="G582" s="1842" t="n"/>
      <c r="H582" s="1842" t="n"/>
      <c r="I582" s="1842" t="n"/>
      <c r="J582" s="1842" t="n"/>
      <c r="K582" s="1842" t="n"/>
      <c r="L582" s="1842" t="n"/>
      <c r="M582" s="1842" t="n"/>
      <c r="N582" s="1842" t="n"/>
      <c r="O582" s="1842" t="n"/>
      <c r="P582" s="1842" t="n"/>
      <c r="Q582" s="1842" t="n"/>
      <c r="R582" s="1842" t="n"/>
      <c r="S582" s="1842" t="n"/>
      <c r="T582" s="1842" t="n"/>
      <c r="U582" s="1842" t="n"/>
      <c r="V582" s="1842" t="n"/>
      <c r="W582" s="1842" t="n"/>
      <c r="X582" s="1842" t="n"/>
      <c r="Y582" s="1842" t="n"/>
      <c r="Z582" s="1842" t="n"/>
      <c r="AA582" s="1842" t="n"/>
      <c r="AB582" s="1842" t="n"/>
      <c r="AC582" s="1842" t="n"/>
      <c r="AD582" s="1842" t="n"/>
      <c r="AE582" s="1842" t="n"/>
      <c r="AF582" s="1842" t="n"/>
    </row>
    <row r="583" ht="13.5" customHeight="1" s="1883">
      <c r="A583" s="1842" t="n"/>
      <c r="B583" s="1842" t="n"/>
      <c r="C583" s="1842" t="n"/>
      <c r="D583" s="1842" t="n"/>
      <c r="E583" s="1842" t="n"/>
      <c r="F583" s="1842" t="n"/>
      <c r="G583" s="1842" t="n"/>
      <c r="H583" s="1842" t="n"/>
      <c r="I583" s="1842" t="n"/>
      <c r="J583" s="1842" t="n"/>
      <c r="K583" s="1842" t="n"/>
      <c r="L583" s="1842" t="n"/>
      <c r="M583" s="1842" t="n"/>
      <c r="N583" s="1842" t="n"/>
      <c r="O583" s="1842" t="n"/>
      <c r="P583" s="1842" t="n"/>
      <c r="Q583" s="1842" t="n"/>
      <c r="R583" s="1842" t="n"/>
      <c r="S583" s="1842" t="n"/>
      <c r="T583" s="1842" t="n"/>
      <c r="U583" s="1842" t="n"/>
      <c r="V583" s="1842" t="n"/>
      <c r="W583" s="1842" t="n"/>
      <c r="X583" s="1842" t="n"/>
      <c r="Y583" s="1842" t="n"/>
      <c r="Z583" s="1842" t="n"/>
      <c r="AA583" s="1842" t="n"/>
      <c r="AB583" s="1842" t="n"/>
      <c r="AC583" s="1842" t="n"/>
      <c r="AD583" s="1842" t="n"/>
      <c r="AE583" s="1842" t="n"/>
      <c r="AF583" s="1842" t="n"/>
    </row>
    <row r="584" ht="13.5" customHeight="1" s="1883">
      <c r="A584" s="1842" t="n"/>
      <c r="B584" s="1842" t="n"/>
      <c r="C584" s="1842" t="n"/>
      <c r="D584" s="1842" t="n"/>
      <c r="E584" s="1842" t="n"/>
      <c r="F584" s="1842" t="n"/>
      <c r="G584" s="1842" t="n"/>
      <c r="H584" s="1842" t="n"/>
      <c r="I584" s="1842" t="n"/>
      <c r="J584" s="1842" t="n"/>
      <c r="K584" s="1842" t="n"/>
      <c r="L584" s="1842" t="n"/>
      <c r="M584" s="1842" t="n"/>
      <c r="N584" s="1842" t="n"/>
      <c r="O584" s="1842" t="n"/>
      <c r="P584" s="1842" t="n"/>
      <c r="Q584" s="1842" t="n"/>
      <c r="R584" s="1842" t="n"/>
      <c r="S584" s="1842" t="n"/>
      <c r="T584" s="1842" t="n"/>
      <c r="U584" s="1842" t="n"/>
      <c r="V584" s="1842" t="n"/>
      <c r="W584" s="1842" t="n"/>
      <c r="X584" s="1842" t="n"/>
      <c r="Y584" s="1842" t="n"/>
      <c r="Z584" s="1842" t="n"/>
      <c r="AA584" s="1842" t="n"/>
      <c r="AB584" s="1842" t="n"/>
      <c r="AC584" s="1842" t="n"/>
      <c r="AD584" s="1842" t="n"/>
      <c r="AE584" s="1842" t="n"/>
      <c r="AF584" s="1842" t="n"/>
    </row>
    <row r="585" ht="13.5" customHeight="1" s="1883">
      <c r="A585" s="1842" t="n"/>
      <c r="B585" s="1842" t="n"/>
      <c r="C585" s="1842" t="n"/>
      <c r="D585" s="1842" t="n"/>
      <c r="E585" s="1842" t="n"/>
      <c r="F585" s="1842" t="n"/>
      <c r="G585" s="1842" t="n"/>
      <c r="H585" s="1842" t="n"/>
      <c r="I585" s="1842" t="n"/>
      <c r="J585" s="1842" t="n"/>
      <c r="K585" s="1842" t="n"/>
      <c r="L585" s="1842" t="n"/>
      <c r="M585" s="1842" t="n"/>
      <c r="N585" s="1842" t="n"/>
      <c r="O585" s="1842" t="n"/>
      <c r="P585" s="1842" t="n"/>
      <c r="Q585" s="1842" t="n"/>
      <c r="R585" s="1842" t="n"/>
      <c r="S585" s="1842" t="n"/>
      <c r="T585" s="1842" t="n"/>
      <c r="U585" s="1842" t="n"/>
      <c r="V585" s="1842" t="n"/>
      <c r="W585" s="1842" t="n"/>
      <c r="X585" s="1842" t="n"/>
      <c r="Y585" s="1842" t="n"/>
      <c r="Z585" s="1842" t="n"/>
      <c r="AA585" s="1842" t="n"/>
      <c r="AB585" s="1842" t="n"/>
      <c r="AC585" s="1842" t="n"/>
      <c r="AD585" s="1842" t="n"/>
      <c r="AE585" s="1842" t="n"/>
      <c r="AF585" s="1842" t="n"/>
    </row>
    <row r="586" ht="13.5" customHeight="1" s="1883">
      <c r="A586" s="1842" t="n"/>
      <c r="B586" s="1842" t="n"/>
      <c r="C586" s="1842" t="n"/>
      <c r="D586" s="1842" t="n"/>
      <c r="E586" s="1842" t="n"/>
      <c r="F586" s="1842" t="n"/>
      <c r="G586" s="1842" t="n"/>
      <c r="H586" s="1842" t="n"/>
      <c r="I586" s="1842" t="n"/>
      <c r="J586" s="1842" t="n"/>
      <c r="K586" s="1842" t="n"/>
      <c r="L586" s="1842" t="n"/>
      <c r="M586" s="1842" t="n"/>
      <c r="N586" s="1842" t="n"/>
      <c r="O586" s="1842" t="n"/>
      <c r="P586" s="1842" t="n"/>
      <c r="Q586" s="1842" t="n"/>
      <c r="R586" s="1842" t="n"/>
      <c r="S586" s="1842" t="n"/>
      <c r="T586" s="1842" t="n"/>
      <c r="U586" s="1842" t="n"/>
      <c r="V586" s="1842" t="n"/>
      <c r="W586" s="1842" t="n"/>
      <c r="X586" s="1842" t="n"/>
      <c r="Y586" s="1842" t="n"/>
      <c r="Z586" s="1842" t="n"/>
      <c r="AA586" s="1842" t="n"/>
      <c r="AB586" s="1842" t="n"/>
      <c r="AC586" s="1842" t="n"/>
      <c r="AD586" s="1842" t="n"/>
      <c r="AE586" s="1842" t="n"/>
      <c r="AF586" s="1842" t="n"/>
    </row>
    <row r="587" ht="13.5" customHeight="1" s="1883">
      <c r="A587" s="1842" t="n"/>
      <c r="B587" s="1842" t="n"/>
      <c r="C587" s="1842" t="n"/>
      <c r="D587" s="1842" t="n"/>
      <c r="E587" s="1842" t="n"/>
      <c r="F587" s="1842" t="n"/>
      <c r="G587" s="1842" t="n"/>
      <c r="H587" s="1842" t="n"/>
      <c r="I587" s="1842" t="n"/>
      <c r="J587" s="1842" t="n"/>
      <c r="K587" s="1842" t="n"/>
      <c r="L587" s="1842" t="n"/>
      <c r="M587" s="1842" t="n"/>
      <c r="N587" s="1842" t="n"/>
      <c r="O587" s="1842" t="n"/>
      <c r="P587" s="1842" t="n"/>
      <c r="Q587" s="1842" t="n"/>
      <c r="R587" s="1842" t="n"/>
      <c r="S587" s="1842" t="n"/>
      <c r="T587" s="1842" t="n"/>
      <c r="U587" s="1842" t="n"/>
      <c r="V587" s="1842" t="n"/>
      <c r="W587" s="1842" t="n"/>
      <c r="X587" s="1842" t="n"/>
      <c r="Y587" s="1842" t="n"/>
      <c r="Z587" s="1842" t="n"/>
      <c r="AA587" s="1842" t="n"/>
      <c r="AB587" s="1842" t="n"/>
      <c r="AC587" s="1842" t="n"/>
      <c r="AD587" s="1842" t="n"/>
      <c r="AE587" s="1842" t="n"/>
      <c r="AF587" s="1842" t="n"/>
    </row>
    <row r="588" ht="13.5" customHeight="1" s="1883">
      <c r="A588" s="1842" t="n"/>
      <c r="B588" s="1842" t="n"/>
      <c r="C588" s="1842" t="n"/>
      <c r="D588" s="1842" t="n"/>
      <c r="E588" s="1842" t="n"/>
      <c r="F588" s="1842" t="n"/>
      <c r="G588" s="1842" t="n"/>
      <c r="H588" s="1842" t="n"/>
      <c r="I588" s="1842" t="n"/>
      <c r="J588" s="1842" t="n"/>
      <c r="K588" s="1842" t="n"/>
      <c r="L588" s="1842" t="n"/>
      <c r="M588" s="1842" t="n"/>
      <c r="N588" s="1842" t="n"/>
      <c r="O588" s="1842" t="n"/>
      <c r="P588" s="1842" t="n"/>
      <c r="Q588" s="1842" t="n"/>
      <c r="R588" s="1842" t="n"/>
      <c r="S588" s="1842" t="n"/>
      <c r="T588" s="1842" t="n"/>
      <c r="U588" s="1842" t="n"/>
      <c r="V588" s="1842" t="n"/>
      <c r="W588" s="1842" t="n"/>
      <c r="X588" s="1842" t="n"/>
      <c r="Y588" s="1842" t="n"/>
      <c r="Z588" s="1842" t="n"/>
      <c r="AA588" s="1842" t="n"/>
      <c r="AB588" s="1842" t="n"/>
      <c r="AC588" s="1842" t="n"/>
      <c r="AD588" s="1842" t="n"/>
      <c r="AE588" s="1842" t="n"/>
      <c r="AF588" s="1842" t="n"/>
    </row>
    <row r="589" ht="13.5" customHeight="1" s="1883">
      <c r="A589" s="1842" t="n"/>
      <c r="B589" s="1842" t="n"/>
      <c r="C589" s="1842" t="n"/>
      <c r="D589" s="1842" t="n"/>
      <c r="E589" s="1842" t="n"/>
      <c r="F589" s="1842" t="n"/>
      <c r="G589" s="1842" t="n"/>
      <c r="H589" s="1842" t="n"/>
      <c r="I589" s="1842" t="n"/>
      <c r="J589" s="1842" t="n"/>
      <c r="K589" s="1842" t="n"/>
      <c r="L589" s="1842" t="n"/>
      <c r="M589" s="1842" t="n"/>
      <c r="N589" s="1842" t="n"/>
      <c r="O589" s="1842" t="n"/>
      <c r="P589" s="1842" t="n"/>
      <c r="Q589" s="1842" t="n"/>
      <c r="R589" s="1842" t="n"/>
      <c r="S589" s="1842" t="n"/>
      <c r="T589" s="1842" t="n"/>
      <c r="U589" s="1842" t="n"/>
      <c r="V589" s="1842" t="n"/>
      <c r="W589" s="1842" t="n"/>
      <c r="X589" s="1842" t="n"/>
      <c r="Y589" s="1842" t="n"/>
      <c r="Z589" s="1842" t="n"/>
      <c r="AA589" s="1842" t="n"/>
      <c r="AB589" s="1842" t="n"/>
      <c r="AC589" s="1842" t="n"/>
      <c r="AD589" s="1842" t="n"/>
      <c r="AE589" s="1842" t="n"/>
      <c r="AF589" s="1842" t="n"/>
    </row>
    <row r="590" ht="13.5" customHeight="1" s="1883">
      <c r="A590" s="1842" t="n"/>
      <c r="B590" s="1842" t="n"/>
      <c r="C590" s="1842" t="n"/>
      <c r="D590" s="1842" t="n"/>
      <c r="E590" s="1842" t="n"/>
      <c r="F590" s="1842" t="n"/>
      <c r="G590" s="1842" t="n"/>
      <c r="H590" s="1842" t="n"/>
      <c r="I590" s="1842" t="n"/>
      <c r="J590" s="1842" t="n"/>
      <c r="K590" s="1842" t="n"/>
      <c r="L590" s="1842" t="n"/>
      <c r="M590" s="1842" t="n"/>
      <c r="N590" s="1842" t="n"/>
      <c r="O590" s="1842" t="n"/>
      <c r="P590" s="1842" t="n"/>
      <c r="Q590" s="1842" t="n"/>
      <c r="R590" s="1842" t="n"/>
      <c r="S590" s="1842" t="n"/>
      <c r="T590" s="1842" t="n"/>
      <c r="U590" s="1842" t="n"/>
      <c r="V590" s="1842" t="n"/>
      <c r="W590" s="1842" t="n"/>
      <c r="X590" s="1842" t="n"/>
      <c r="Y590" s="1842" t="n"/>
      <c r="Z590" s="1842" t="n"/>
      <c r="AA590" s="1842" t="n"/>
      <c r="AB590" s="1842" t="n"/>
      <c r="AC590" s="1842" t="n"/>
      <c r="AD590" s="1842" t="n"/>
      <c r="AE590" s="1842" t="n"/>
      <c r="AF590" s="1842" t="n"/>
    </row>
    <row r="591" ht="13.5" customHeight="1" s="1883">
      <c r="A591" s="1842" t="n"/>
      <c r="B591" s="1842" t="n"/>
      <c r="C591" s="1842" t="n"/>
      <c r="D591" s="1842" t="n"/>
      <c r="E591" s="1842" t="n"/>
      <c r="F591" s="1842" t="n"/>
      <c r="G591" s="1842" t="n"/>
      <c r="H591" s="1842" t="n"/>
      <c r="I591" s="1842" t="n"/>
      <c r="J591" s="1842" t="n"/>
      <c r="K591" s="1842" t="n"/>
      <c r="L591" s="1842" t="n"/>
      <c r="M591" s="1842" t="n"/>
      <c r="N591" s="1842" t="n"/>
      <c r="O591" s="1842" t="n"/>
      <c r="P591" s="1842" t="n"/>
      <c r="Q591" s="1842" t="n"/>
      <c r="R591" s="1842" t="n"/>
      <c r="S591" s="1842" t="n"/>
      <c r="T591" s="1842" t="n"/>
      <c r="U591" s="1842" t="n"/>
      <c r="V591" s="1842" t="n"/>
      <c r="W591" s="1842" t="n"/>
      <c r="X591" s="1842" t="n"/>
      <c r="Y591" s="1842" t="n"/>
      <c r="Z591" s="1842" t="n"/>
      <c r="AA591" s="1842" t="n"/>
      <c r="AB591" s="1842" t="n"/>
      <c r="AC591" s="1842" t="n"/>
      <c r="AD591" s="1842" t="n"/>
      <c r="AE591" s="1842" t="n"/>
      <c r="AF591" s="1842" t="n"/>
    </row>
    <row r="592" ht="13.5" customHeight="1" s="1883">
      <c r="A592" s="1842" t="n"/>
      <c r="B592" s="1842" t="n"/>
      <c r="C592" s="1842" t="n"/>
      <c r="D592" s="1842" t="n"/>
      <c r="E592" s="1842" t="n"/>
      <c r="F592" s="1842" t="n"/>
      <c r="G592" s="1842" t="n"/>
      <c r="H592" s="1842" t="n"/>
      <c r="I592" s="1842" t="n"/>
      <c r="J592" s="1842" t="n"/>
      <c r="K592" s="1842" t="n"/>
      <c r="L592" s="1842" t="n"/>
      <c r="M592" s="1842" t="n"/>
      <c r="N592" s="1842" t="n"/>
      <c r="O592" s="1842" t="n"/>
      <c r="P592" s="1842" t="n"/>
      <c r="Q592" s="1842" t="n"/>
      <c r="R592" s="1842" t="n"/>
      <c r="S592" s="1842" t="n"/>
      <c r="T592" s="1842" t="n"/>
      <c r="U592" s="1842" t="n"/>
      <c r="V592" s="1842" t="n"/>
      <c r="W592" s="1842" t="n"/>
      <c r="X592" s="1842" t="n"/>
      <c r="Y592" s="1842" t="n"/>
      <c r="Z592" s="1842" t="n"/>
      <c r="AA592" s="1842" t="n"/>
      <c r="AB592" s="1842" t="n"/>
      <c r="AC592" s="1842" t="n"/>
      <c r="AD592" s="1842" t="n"/>
      <c r="AE592" s="1842" t="n"/>
      <c r="AF592" s="1842" t="n"/>
    </row>
    <row r="593" ht="13.5" customHeight="1" s="1883">
      <c r="A593" s="1842" t="n"/>
      <c r="B593" s="1842" t="n"/>
      <c r="C593" s="1842" t="n"/>
      <c r="D593" s="1842" t="n"/>
      <c r="E593" s="1842" t="n"/>
      <c r="F593" s="1842" t="n"/>
      <c r="G593" s="1842" t="n"/>
      <c r="H593" s="1842" t="n"/>
      <c r="I593" s="1842" t="n"/>
      <c r="J593" s="1842" t="n"/>
      <c r="K593" s="1842" t="n"/>
      <c r="L593" s="1842" t="n"/>
      <c r="M593" s="1842" t="n"/>
      <c r="N593" s="1842" t="n"/>
      <c r="O593" s="1842" t="n"/>
      <c r="P593" s="1842" t="n"/>
      <c r="Q593" s="1842" t="n"/>
      <c r="R593" s="1842" t="n"/>
      <c r="S593" s="1842" t="n"/>
      <c r="T593" s="1842" t="n"/>
      <c r="U593" s="1842" t="n"/>
      <c r="V593" s="1842" t="n"/>
      <c r="W593" s="1842" t="n"/>
      <c r="X593" s="1842" t="n"/>
      <c r="Y593" s="1842" t="n"/>
      <c r="Z593" s="1842" t="n"/>
      <c r="AA593" s="1842" t="n"/>
      <c r="AB593" s="1842" t="n"/>
      <c r="AC593" s="1842" t="n"/>
      <c r="AD593" s="1842" t="n"/>
      <c r="AE593" s="1842" t="n"/>
      <c r="AF593" s="1842" t="n"/>
    </row>
    <row r="594" ht="13.5" customHeight="1" s="1883">
      <c r="A594" s="1842" t="n"/>
      <c r="B594" s="1842" t="n"/>
      <c r="C594" s="1842" t="n"/>
      <c r="D594" s="1842" t="n"/>
      <c r="E594" s="1842" t="n"/>
      <c r="F594" s="1842" t="n"/>
      <c r="G594" s="1842" t="n"/>
      <c r="H594" s="1842" t="n"/>
      <c r="I594" s="1842" t="n"/>
      <c r="J594" s="1842" t="n"/>
      <c r="K594" s="1842" t="n"/>
      <c r="L594" s="1842" t="n"/>
      <c r="M594" s="1842" t="n"/>
      <c r="N594" s="1842" t="n"/>
      <c r="O594" s="1842" t="n"/>
      <c r="P594" s="1842" t="n"/>
      <c r="Q594" s="1842" t="n"/>
      <c r="R594" s="1842" t="n"/>
      <c r="S594" s="1842" t="n"/>
      <c r="T594" s="1842" t="n"/>
      <c r="U594" s="1842" t="n"/>
      <c r="V594" s="1842" t="n"/>
      <c r="W594" s="1842" t="n"/>
      <c r="X594" s="1842" t="n"/>
      <c r="Y594" s="1842" t="n"/>
      <c r="Z594" s="1842" t="n"/>
      <c r="AA594" s="1842" t="n"/>
      <c r="AB594" s="1842" t="n"/>
      <c r="AC594" s="1842" t="n"/>
      <c r="AD594" s="1842" t="n"/>
      <c r="AE594" s="1842" t="n"/>
      <c r="AF594" s="1842" t="n"/>
    </row>
    <row r="595" ht="13.5" customHeight="1" s="1883">
      <c r="A595" s="1842" t="n"/>
      <c r="B595" s="1842" t="n"/>
      <c r="C595" s="1842" t="n"/>
      <c r="D595" s="1842" t="n"/>
      <c r="E595" s="1842" t="n"/>
      <c r="F595" s="1842" t="n"/>
      <c r="G595" s="1842" t="n"/>
      <c r="H595" s="1842" t="n"/>
      <c r="I595" s="1842" t="n"/>
      <c r="J595" s="1842" t="n"/>
      <c r="K595" s="1842" t="n"/>
      <c r="L595" s="1842" t="n"/>
      <c r="M595" s="1842" t="n"/>
      <c r="N595" s="1842" t="n"/>
      <c r="O595" s="1842" t="n"/>
      <c r="P595" s="1842" t="n"/>
      <c r="Q595" s="1842" t="n"/>
      <c r="R595" s="1842" t="n"/>
      <c r="S595" s="1842" t="n"/>
      <c r="T595" s="1842" t="n"/>
      <c r="U595" s="1842" t="n"/>
      <c r="V595" s="1842" t="n"/>
      <c r="W595" s="1842" t="n"/>
      <c r="X595" s="1842" t="n"/>
      <c r="Y595" s="1842" t="n"/>
      <c r="Z595" s="1842" t="n"/>
      <c r="AA595" s="1842" t="n"/>
      <c r="AB595" s="1842" t="n"/>
      <c r="AC595" s="1842" t="n"/>
      <c r="AD595" s="1842" t="n"/>
      <c r="AE595" s="1842" t="n"/>
      <c r="AF595" s="1842" t="n"/>
    </row>
    <row r="596" ht="13.5" customHeight="1" s="1883">
      <c r="A596" s="1842" t="n"/>
      <c r="B596" s="1842" t="n"/>
      <c r="C596" s="1842" t="n"/>
      <c r="D596" s="1842" t="n"/>
      <c r="E596" s="1842" t="n"/>
      <c r="F596" s="1842" t="n"/>
      <c r="G596" s="1842" t="n"/>
      <c r="H596" s="1842" t="n"/>
      <c r="I596" s="1842" t="n"/>
      <c r="J596" s="1842" t="n"/>
      <c r="K596" s="1842" t="n"/>
      <c r="L596" s="1842" t="n"/>
      <c r="M596" s="1842" t="n"/>
      <c r="N596" s="1842" t="n"/>
      <c r="O596" s="1842" t="n"/>
      <c r="P596" s="1842" t="n"/>
      <c r="Q596" s="1842" t="n"/>
      <c r="R596" s="1842" t="n"/>
      <c r="S596" s="1842" t="n"/>
      <c r="T596" s="1842" t="n"/>
      <c r="U596" s="1842" t="n"/>
      <c r="V596" s="1842" t="n"/>
      <c r="W596" s="1842" t="n"/>
      <c r="X596" s="1842" t="n"/>
      <c r="Y596" s="1842" t="n"/>
      <c r="Z596" s="1842" t="n"/>
      <c r="AA596" s="1842" t="n"/>
      <c r="AB596" s="1842" t="n"/>
      <c r="AC596" s="1842" t="n"/>
      <c r="AD596" s="1842" t="n"/>
      <c r="AE596" s="1842" t="n"/>
      <c r="AF596" s="1842" t="n"/>
    </row>
    <row r="597" ht="13.5" customHeight="1" s="1883">
      <c r="A597" s="1842" t="n"/>
      <c r="B597" s="1842" t="n"/>
      <c r="C597" s="1842" t="n"/>
      <c r="D597" s="1842" t="n"/>
      <c r="E597" s="1842" t="n"/>
      <c r="F597" s="1842" t="n"/>
      <c r="G597" s="1842" t="n"/>
      <c r="H597" s="1842" t="n"/>
      <c r="I597" s="1842" t="n"/>
      <c r="J597" s="1842" t="n"/>
      <c r="K597" s="1842" t="n"/>
      <c r="L597" s="1842" t="n"/>
      <c r="M597" s="1842" t="n"/>
      <c r="N597" s="1842" t="n"/>
      <c r="O597" s="1842" t="n"/>
      <c r="P597" s="1842" t="n"/>
      <c r="Q597" s="1842" t="n"/>
      <c r="R597" s="1842" t="n"/>
      <c r="S597" s="1842" t="n"/>
      <c r="T597" s="1842" t="n"/>
      <c r="U597" s="1842" t="n"/>
      <c r="V597" s="1842" t="n"/>
      <c r="W597" s="1842" t="n"/>
      <c r="X597" s="1842" t="n"/>
      <c r="Y597" s="1842" t="n"/>
      <c r="Z597" s="1842" t="n"/>
      <c r="AA597" s="1842" t="n"/>
      <c r="AB597" s="1842" t="n"/>
      <c r="AC597" s="1842" t="n"/>
      <c r="AD597" s="1842" t="n"/>
      <c r="AE597" s="1842" t="n"/>
      <c r="AF597" s="1842" t="n"/>
    </row>
    <row r="598" ht="13.5" customHeight="1" s="1883">
      <c r="A598" s="1842" t="n"/>
      <c r="B598" s="1842" t="n"/>
      <c r="C598" s="1842" t="n"/>
      <c r="D598" s="1842" t="n"/>
      <c r="E598" s="1842" t="n"/>
      <c r="F598" s="1842" t="n"/>
      <c r="G598" s="1842" t="n"/>
      <c r="H598" s="1842" t="n"/>
      <c r="I598" s="1842" t="n"/>
      <c r="J598" s="1842" t="n"/>
      <c r="K598" s="1842" t="n"/>
      <c r="L598" s="1842" t="n"/>
      <c r="M598" s="1842" t="n"/>
      <c r="N598" s="1842" t="n"/>
      <c r="O598" s="1842" t="n"/>
      <c r="P598" s="1842" t="n"/>
      <c r="Q598" s="1842" t="n"/>
      <c r="R598" s="1842" t="n"/>
      <c r="S598" s="1842" t="n"/>
      <c r="T598" s="1842" t="n"/>
      <c r="U598" s="1842" t="n"/>
      <c r="V598" s="1842" t="n"/>
      <c r="W598" s="1842" t="n"/>
      <c r="X598" s="1842" t="n"/>
      <c r="Y598" s="1842" t="n"/>
      <c r="Z598" s="1842" t="n"/>
      <c r="AA598" s="1842" t="n"/>
      <c r="AB598" s="1842" t="n"/>
      <c r="AC598" s="1842" t="n"/>
      <c r="AD598" s="1842" t="n"/>
      <c r="AE598" s="1842" t="n"/>
      <c r="AF598" s="1842" t="n"/>
    </row>
    <row r="599" ht="13.5" customHeight="1" s="1883">
      <c r="A599" s="1842" t="n"/>
      <c r="B599" s="1842" t="n"/>
      <c r="C599" s="1842" t="n"/>
      <c r="D599" s="1842" t="n"/>
      <c r="E599" s="1842" t="n"/>
      <c r="F599" s="1842" t="n"/>
      <c r="G599" s="1842" t="n"/>
      <c r="H599" s="1842" t="n"/>
      <c r="I599" s="1842" t="n"/>
      <c r="J599" s="1842" t="n"/>
      <c r="K599" s="1842" t="n"/>
      <c r="L599" s="1842" t="n"/>
      <c r="M599" s="1842" t="n"/>
      <c r="N599" s="1842" t="n"/>
      <c r="O599" s="1842" t="n"/>
      <c r="P599" s="1842" t="n"/>
      <c r="Q599" s="1842" t="n"/>
      <c r="R599" s="1842" t="n"/>
      <c r="S599" s="1842" t="n"/>
      <c r="T599" s="1842" t="n"/>
      <c r="U599" s="1842" t="n"/>
      <c r="V599" s="1842" t="n"/>
      <c r="W599" s="1842" t="n"/>
      <c r="X599" s="1842" t="n"/>
      <c r="Y599" s="1842" t="n"/>
      <c r="Z599" s="1842" t="n"/>
      <c r="AA599" s="1842" t="n"/>
      <c r="AB599" s="1842" t="n"/>
      <c r="AC599" s="1842" t="n"/>
      <c r="AD599" s="1842" t="n"/>
      <c r="AE599" s="1842" t="n"/>
      <c r="AF599" s="1842" t="n"/>
    </row>
    <row r="600" ht="13.5" customHeight="1" s="1883">
      <c r="A600" s="1842" t="n"/>
      <c r="B600" s="1842" t="n"/>
      <c r="C600" s="1842" t="n"/>
      <c r="D600" s="1842" t="n"/>
      <c r="E600" s="1842" t="n"/>
      <c r="F600" s="1842" t="n"/>
      <c r="G600" s="1842" t="n"/>
      <c r="H600" s="1842" t="n"/>
      <c r="I600" s="1842" t="n"/>
      <c r="J600" s="1842" t="n"/>
      <c r="K600" s="1842" t="n"/>
      <c r="L600" s="1842" t="n"/>
      <c r="M600" s="1842" t="n"/>
      <c r="N600" s="1842" t="n"/>
      <c r="O600" s="1842" t="n"/>
      <c r="P600" s="1842" t="n"/>
      <c r="Q600" s="1842" t="n"/>
      <c r="R600" s="1842" t="n"/>
      <c r="S600" s="1842" t="n"/>
      <c r="T600" s="1842" t="n"/>
      <c r="U600" s="1842" t="n"/>
      <c r="V600" s="1842" t="n"/>
      <c r="W600" s="1842" t="n"/>
      <c r="X600" s="1842" t="n"/>
      <c r="Y600" s="1842" t="n"/>
      <c r="Z600" s="1842" t="n"/>
      <c r="AA600" s="1842" t="n"/>
      <c r="AB600" s="1842" t="n"/>
      <c r="AC600" s="1842" t="n"/>
      <c r="AD600" s="1842" t="n"/>
      <c r="AE600" s="1842" t="n"/>
      <c r="AF600" s="1842" t="n"/>
    </row>
    <row r="601" ht="13.5" customHeight="1" s="1883">
      <c r="A601" s="1842" t="n"/>
      <c r="B601" s="1842" t="n"/>
      <c r="C601" s="1842" t="n"/>
      <c r="D601" s="1842" t="n"/>
      <c r="E601" s="1842" t="n"/>
      <c r="F601" s="1842" t="n"/>
      <c r="G601" s="1842" t="n"/>
      <c r="H601" s="1842" t="n"/>
      <c r="I601" s="1842" t="n"/>
      <c r="J601" s="1842" t="n"/>
      <c r="K601" s="1842" t="n"/>
      <c r="L601" s="1842" t="n"/>
      <c r="M601" s="1842" t="n"/>
      <c r="N601" s="1842" t="n"/>
      <c r="O601" s="1842" t="n"/>
      <c r="P601" s="1842" t="n"/>
      <c r="Q601" s="1842" t="n"/>
      <c r="R601" s="1842" t="n"/>
      <c r="S601" s="1842" t="n"/>
      <c r="T601" s="1842" t="n"/>
      <c r="U601" s="1842" t="n"/>
      <c r="V601" s="1842" t="n"/>
      <c r="W601" s="1842" t="n"/>
      <c r="X601" s="1842" t="n"/>
      <c r="Y601" s="1842" t="n"/>
      <c r="Z601" s="1842" t="n"/>
      <c r="AA601" s="1842" t="n"/>
      <c r="AB601" s="1842" t="n"/>
      <c r="AC601" s="1842" t="n"/>
      <c r="AD601" s="1842" t="n"/>
      <c r="AE601" s="1842" t="n"/>
      <c r="AF601" s="1842" t="n"/>
    </row>
    <row r="602" ht="13.5" customHeight="1" s="1883">
      <c r="A602" s="1842" t="n"/>
      <c r="B602" s="1842" t="n"/>
      <c r="C602" s="1842" t="n"/>
      <c r="D602" s="1842" t="n"/>
      <c r="E602" s="1842" t="n"/>
      <c r="F602" s="1842" t="n"/>
      <c r="G602" s="1842" t="n"/>
      <c r="H602" s="1842" t="n"/>
      <c r="I602" s="1842" t="n"/>
      <c r="J602" s="1842" t="n"/>
      <c r="K602" s="1842" t="n"/>
      <c r="L602" s="1842" t="n"/>
      <c r="M602" s="1842" t="n"/>
      <c r="N602" s="1842" t="n"/>
      <c r="O602" s="1842" t="n"/>
      <c r="P602" s="1842" t="n"/>
      <c r="Q602" s="1842" t="n"/>
      <c r="R602" s="1842" t="n"/>
      <c r="S602" s="1842" t="n"/>
      <c r="T602" s="1842" t="n"/>
      <c r="U602" s="1842" t="n"/>
      <c r="V602" s="1842" t="n"/>
      <c r="W602" s="1842" t="n"/>
      <c r="X602" s="1842" t="n"/>
      <c r="Y602" s="1842" t="n"/>
      <c r="Z602" s="1842" t="n"/>
      <c r="AA602" s="1842" t="n"/>
      <c r="AB602" s="1842" t="n"/>
      <c r="AC602" s="1842" t="n"/>
      <c r="AD602" s="1842" t="n"/>
      <c r="AE602" s="1842" t="n"/>
      <c r="AF602" s="1842" t="n"/>
    </row>
    <row r="603" ht="13.5" customHeight="1" s="1883">
      <c r="A603" s="1842" t="n"/>
      <c r="B603" s="1842" t="n"/>
      <c r="C603" s="1842" t="n"/>
      <c r="D603" s="1842" t="n"/>
      <c r="E603" s="1842" t="n"/>
      <c r="F603" s="1842" t="n"/>
      <c r="G603" s="1842" t="n"/>
      <c r="H603" s="1842" t="n"/>
      <c r="I603" s="1842" t="n"/>
      <c r="J603" s="1842" t="n"/>
      <c r="K603" s="1842" t="n"/>
      <c r="L603" s="1842" t="n"/>
      <c r="M603" s="1842" t="n"/>
      <c r="N603" s="1842" t="n"/>
      <c r="O603" s="1842" t="n"/>
      <c r="P603" s="1842" t="n"/>
      <c r="Q603" s="1842" t="n"/>
      <c r="R603" s="1842" t="n"/>
      <c r="S603" s="1842" t="n"/>
      <c r="T603" s="1842" t="n"/>
      <c r="U603" s="1842" t="n"/>
      <c r="V603" s="1842" t="n"/>
      <c r="W603" s="1842" t="n"/>
      <c r="X603" s="1842" t="n"/>
      <c r="Y603" s="1842" t="n"/>
      <c r="Z603" s="1842" t="n"/>
      <c r="AA603" s="1842" t="n"/>
      <c r="AB603" s="1842" t="n"/>
      <c r="AC603" s="1842" t="n"/>
      <c r="AD603" s="1842" t="n"/>
      <c r="AE603" s="1842" t="n"/>
      <c r="AF603" s="1842" t="n"/>
    </row>
    <row r="604" ht="13.5" customHeight="1" s="1883">
      <c r="A604" s="1842" t="n"/>
      <c r="B604" s="1842" t="n"/>
      <c r="C604" s="1842" t="n"/>
      <c r="D604" s="1842" t="n"/>
      <c r="E604" s="1842" t="n"/>
      <c r="F604" s="1842" t="n"/>
      <c r="G604" s="1842" t="n"/>
      <c r="H604" s="1842" t="n"/>
      <c r="I604" s="1842" t="n"/>
      <c r="J604" s="1842" t="n"/>
      <c r="K604" s="1842" t="n"/>
      <c r="L604" s="1842" t="n"/>
      <c r="M604" s="1842" t="n"/>
      <c r="N604" s="1842" t="n"/>
      <c r="O604" s="1842" t="n"/>
      <c r="P604" s="1842" t="n"/>
      <c r="Q604" s="1842" t="n"/>
      <c r="R604" s="1842" t="n"/>
      <c r="S604" s="1842" t="n"/>
      <c r="T604" s="1842" t="n"/>
      <c r="U604" s="1842" t="n"/>
      <c r="V604" s="1842" t="n"/>
      <c r="W604" s="1842" t="n"/>
      <c r="X604" s="1842" t="n"/>
      <c r="Y604" s="1842" t="n"/>
      <c r="Z604" s="1842" t="n"/>
      <c r="AA604" s="1842" t="n"/>
      <c r="AB604" s="1842" t="n"/>
      <c r="AC604" s="1842" t="n"/>
      <c r="AD604" s="1842" t="n"/>
      <c r="AE604" s="1842" t="n"/>
      <c r="AF604" s="1842" t="n"/>
    </row>
    <row r="605" ht="13.5" customHeight="1" s="1883">
      <c r="A605" s="1842" t="n"/>
      <c r="B605" s="1842" t="n"/>
      <c r="C605" s="1842" t="n"/>
      <c r="D605" s="1842" t="n"/>
      <c r="E605" s="1842" t="n"/>
      <c r="F605" s="1842" t="n"/>
      <c r="G605" s="1842" t="n"/>
      <c r="H605" s="1842" t="n"/>
      <c r="I605" s="1842" t="n"/>
      <c r="J605" s="1842" t="n"/>
      <c r="K605" s="1842" t="n"/>
      <c r="L605" s="1842" t="n"/>
      <c r="M605" s="1842" t="n"/>
      <c r="N605" s="1842" t="n"/>
      <c r="O605" s="1842" t="n"/>
      <c r="P605" s="1842" t="n"/>
      <c r="Q605" s="1842" t="n"/>
      <c r="R605" s="1842" t="n"/>
      <c r="S605" s="1842" t="n"/>
      <c r="T605" s="1842" t="n"/>
      <c r="U605" s="1842" t="n"/>
      <c r="V605" s="1842" t="n"/>
      <c r="W605" s="1842" t="n"/>
      <c r="X605" s="1842" t="n"/>
      <c r="Y605" s="1842" t="n"/>
      <c r="Z605" s="1842" t="n"/>
      <c r="AA605" s="1842" t="n"/>
      <c r="AB605" s="1842" t="n"/>
      <c r="AC605" s="1842" t="n"/>
      <c r="AD605" s="1842" t="n"/>
      <c r="AE605" s="1842" t="n"/>
      <c r="AF605" s="1842" t="n"/>
    </row>
    <row r="606" ht="13.5" customHeight="1" s="1883">
      <c r="A606" s="1842" t="n"/>
      <c r="B606" s="1842" t="n"/>
      <c r="C606" s="1842" t="n"/>
      <c r="D606" s="1842" t="n"/>
      <c r="E606" s="1842" t="n"/>
      <c r="F606" s="1842" t="n"/>
      <c r="G606" s="1842" t="n"/>
      <c r="H606" s="1842" t="n"/>
      <c r="I606" s="1842" t="n"/>
      <c r="J606" s="1842" t="n"/>
      <c r="K606" s="1842" t="n"/>
      <c r="L606" s="1842" t="n"/>
      <c r="M606" s="1842" t="n"/>
      <c r="N606" s="1842" t="n"/>
      <c r="O606" s="1842" t="n"/>
      <c r="P606" s="1842" t="n"/>
      <c r="Q606" s="1842" t="n"/>
      <c r="R606" s="1842" t="n"/>
      <c r="S606" s="1842" t="n"/>
      <c r="T606" s="1842" t="n"/>
      <c r="U606" s="1842" t="n"/>
      <c r="V606" s="1842" t="n"/>
      <c r="W606" s="1842" t="n"/>
      <c r="X606" s="1842" t="n"/>
      <c r="Y606" s="1842" t="n"/>
      <c r="Z606" s="1842" t="n"/>
      <c r="AA606" s="1842" t="n"/>
      <c r="AB606" s="1842" t="n"/>
      <c r="AC606" s="1842" t="n"/>
      <c r="AD606" s="1842" t="n"/>
      <c r="AE606" s="1842" t="n"/>
      <c r="AF606" s="1842" t="n"/>
    </row>
    <row r="607" ht="13.5" customHeight="1" s="1883">
      <c r="A607" s="1842" t="n"/>
      <c r="B607" s="1842" t="n"/>
      <c r="C607" s="1842" t="n"/>
      <c r="D607" s="1842" t="n"/>
      <c r="E607" s="1842" t="n"/>
      <c r="F607" s="1842" t="n"/>
      <c r="G607" s="1842" t="n"/>
      <c r="H607" s="1842" t="n"/>
      <c r="I607" s="1842" t="n"/>
      <c r="J607" s="1842" t="n"/>
      <c r="K607" s="1842" t="n"/>
      <c r="L607" s="1842" t="n"/>
      <c r="M607" s="1842" t="n"/>
      <c r="N607" s="1842" t="n"/>
      <c r="O607" s="1842" t="n"/>
      <c r="P607" s="1842" t="n"/>
      <c r="Q607" s="1842" t="n"/>
      <c r="R607" s="1842" t="n"/>
      <c r="S607" s="1842" t="n"/>
      <c r="T607" s="1842" t="n"/>
      <c r="U607" s="1842" t="n"/>
      <c r="V607" s="1842" t="n"/>
      <c r="W607" s="1842" t="n"/>
      <c r="X607" s="1842" t="n"/>
      <c r="Y607" s="1842" t="n"/>
      <c r="Z607" s="1842" t="n"/>
      <c r="AA607" s="1842" t="n"/>
      <c r="AB607" s="1842" t="n"/>
      <c r="AC607" s="1842" t="n"/>
      <c r="AD607" s="1842" t="n"/>
      <c r="AE607" s="1842" t="n"/>
      <c r="AF607" s="1842" t="n"/>
    </row>
    <row r="608" ht="13.5" customHeight="1" s="1883">
      <c r="A608" s="1842" t="n"/>
      <c r="B608" s="1842" t="n"/>
      <c r="C608" s="1842" t="n"/>
      <c r="D608" s="1842" t="n"/>
      <c r="E608" s="1842" t="n"/>
      <c r="F608" s="1842" t="n"/>
      <c r="G608" s="1842" t="n"/>
      <c r="H608" s="1842" t="n"/>
      <c r="I608" s="1842" t="n"/>
      <c r="J608" s="1842" t="n"/>
      <c r="K608" s="1842" t="n"/>
      <c r="L608" s="1842" t="n"/>
      <c r="M608" s="1842" t="n"/>
      <c r="N608" s="1842" t="n"/>
      <c r="O608" s="1842" t="n"/>
      <c r="P608" s="1842" t="n"/>
      <c r="Q608" s="1842" t="n"/>
      <c r="R608" s="1842" t="n"/>
      <c r="S608" s="1842" t="n"/>
      <c r="T608" s="1842" t="n"/>
      <c r="U608" s="1842" t="n"/>
      <c r="V608" s="1842" t="n"/>
      <c r="W608" s="1842" t="n"/>
      <c r="X608" s="1842" t="n"/>
      <c r="Y608" s="1842" t="n"/>
      <c r="Z608" s="1842" t="n"/>
      <c r="AA608" s="1842" t="n"/>
      <c r="AB608" s="1842" t="n"/>
      <c r="AC608" s="1842" t="n"/>
      <c r="AD608" s="1842" t="n"/>
      <c r="AE608" s="1842" t="n"/>
      <c r="AF608" s="1842" t="n"/>
    </row>
    <row r="609" ht="13.5" customHeight="1" s="1883">
      <c r="A609" s="1842" t="n"/>
      <c r="B609" s="1842" t="n"/>
      <c r="C609" s="1842" t="n"/>
      <c r="D609" s="1842" t="n"/>
      <c r="E609" s="1842" t="n"/>
      <c r="F609" s="1842" t="n"/>
      <c r="G609" s="1842" t="n"/>
      <c r="H609" s="1842" t="n"/>
      <c r="I609" s="1842" t="n"/>
      <c r="J609" s="1842" t="n"/>
      <c r="K609" s="1842" t="n"/>
      <c r="L609" s="1842" t="n"/>
      <c r="M609" s="1842" t="n"/>
      <c r="N609" s="1842" t="n"/>
      <c r="O609" s="1842" t="n"/>
      <c r="P609" s="1842" t="n"/>
      <c r="Q609" s="1842" t="n"/>
      <c r="R609" s="1842" t="n"/>
      <c r="S609" s="1842" t="n"/>
      <c r="T609" s="1842" t="n"/>
      <c r="U609" s="1842" t="n"/>
      <c r="V609" s="1842" t="n"/>
      <c r="W609" s="1842" t="n"/>
      <c r="X609" s="1842" t="n"/>
      <c r="Y609" s="1842" t="n"/>
      <c r="Z609" s="1842" t="n"/>
      <c r="AA609" s="1842" t="n"/>
      <c r="AB609" s="1842" t="n"/>
      <c r="AC609" s="1842" t="n"/>
      <c r="AD609" s="1842" t="n"/>
      <c r="AE609" s="1842" t="n"/>
      <c r="AF609" s="1842" t="n"/>
    </row>
    <row r="610" ht="13.5" customHeight="1" s="1883">
      <c r="A610" s="1842" t="n"/>
      <c r="B610" s="1842" t="n"/>
      <c r="C610" s="1842" t="n"/>
      <c r="D610" s="1842" t="n"/>
      <c r="E610" s="1842" t="n"/>
      <c r="F610" s="1842" t="n"/>
      <c r="G610" s="1842" t="n"/>
      <c r="H610" s="1842" t="n"/>
      <c r="I610" s="1842" t="n"/>
      <c r="J610" s="1842" t="n"/>
      <c r="K610" s="1842" t="n"/>
      <c r="L610" s="1842" t="n"/>
      <c r="M610" s="1842" t="n"/>
      <c r="N610" s="1842" t="n"/>
      <c r="O610" s="1842" t="n"/>
      <c r="P610" s="1842" t="n"/>
      <c r="Q610" s="1842" t="n"/>
      <c r="R610" s="1842" t="n"/>
      <c r="S610" s="1842" t="n"/>
      <c r="T610" s="1842" t="n"/>
      <c r="U610" s="1842" t="n"/>
      <c r="V610" s="1842" t="n"/>
      <c r="W610" s="1842" t="n"/>
      <c r="X610" s="1842" t="n"/>
      <c r="Y610" s="1842" t="n"/>
      <c r="Z610" s="1842" t="n"/>
      <c r="AA610" s="1842" t="n"/>
      <c r="AB610" s="1842" t="n"/>
      <c r="AC610" s="1842" t="n"/>
      <c r="AD610" s="1842" t="n"/>
      <c r="AE610" s="1842" t="n"/>
      <c r="AF610" s="1842" t="n"/>
    </row>
    <row r="611" ht="13.5" customHeight="1" s="1883">
      <c r="A611" s="1842" t="n"/>
      <c r="B611" s="1842" t="n"/>
      <c r="C611" s="1842" t="n"/>
      <c r="D611" s="1842" t="n"/>
      <c r="E611" s="1842" t="n"/>
      <c r="F611" s="1842" t="n"/>
      <c r="G611" s="1842" t="n"/>
      <c r="H611" s="1842" t="n"/>
      <c r="I611" s="1842" t="n"/>
      <c r="J611" s="1842" t="n"/>
      <c r="K611" s="1842" t="n"/>
      <c r="L611" s="1842" t="n"/>
      <c r="M611" s="1842" t="n"/>
      <c r="N611" s="1842" t="n"/>
      <c r="O611" s="1842" t="n"/>
      <c r="P611" s="1842" t="n"/>
      <c r="Q611" s="1842" t="n"/>
      <c r="R611" s="1842" t="n"/>
      <c r="S611" s="1842" t="n"/>
      <c r="T611" s="1842" t="n"/>
      <c r="U611" s="1842" t="n"/>
      <c r="V611" s="1842" t="n"/>
      <c r="W611" s="1842" t="n"/>
      <c r="X611" s="1842" t="n"/>
      <c r="Y611" s="1842" t="n"/>
      <c r="Z611" s="1842" t="n"/>
      <c r="AA611" s="1842" t="n"/>
      <c r="AB611" s="1842" t="n"/>
      <c r="AC611" s="1842" t="n"/>
      <c r="AD611" s="1842" t="n"/>
      <c r="AE611" s="1842" t="n"/>
      <c r="AF611" s="1842" t="n"/>
    </row>
    <row r="612" ht="13.5" customHeight="1" s="1883">
      <c r="A612" s="1842" t="n"/>
      <c r="B612" s="1842" t="n"/>
      <c r="C612" s="1842" t="n"/>
      <c r="D612" s="1842" t="n"/>
      <c r="E612" s="1842" t="n"/>
      <c r="F612" s="1842" t="n"/>
      <c r="G612" s="1842" t="n"/>
      <c r="H612" s="1842" t="n"/>
      <c r="I612" s="1842" t="n"/>
      <c r="J612" s="1842" t="n"/>
      <c r="K612" s="1842" t="n"/>
      <c r="L612" s="1842" t="n"/>
      <c r="M612" s="1842" t="n"/>
      <c r="N612" s="1842" t="n"/>
      <c r="O612" s="1842" t="n"/>
      <c r="P612" s="1842" t="n"/>
      <c r="Q612" s="1842" t="n"/>
      <c r="R612" s="1842" t="n"/>
      <c r="S612" s="1842" t="n"/>
      <c r="T612" s="1842" t="n"/>
      <c r="U612" s="1842" t="n"/>
      <c r="V612" s="1842" t="n"/>
      <c r="W612" s="1842" t="n"/>
      <c r="X612" s="1842" t="n"/>
      <c r="Y612" s="1842" t="n"/>
      <c r="Z612" s="1842" t="n"/>
      <c r="AA612" s="1842" t="n"/>
      <c r="AB612" s="1842" t="n"/>
      <c r="AC612" s="1842" t="n"/>
      <c r="AD612" s="1842" t="n"/>
      <c r="AE612" s="1842" t="n"/>
      <c r="AF612" s="1842" t="n"/>
    </row>
    <row r="613" ht="13.5" customHeight="1" s="1883">
      <c r="A613" s="1842" t="n"/>
      <c r="B613" s="1842" t="n"/>
      <c r="C613" s="1842" t="n"/>
      <c r="D613" s="1842" t="n"/>
      <c r="E613" s="1842" t="n"/>
      <c r="F613" s="1842" t="n"/>
      <c r="G613" s="1842" t="n"/>
      <c r="H613" s="1842" t="n"/>
      <c r="I613" s="1842" t="n"/>
      <c r="J613" s="1842" t="n"/>
      <c r="K613" s="1842" t="n"/>
      <c r="L613" s="1842" t="n"/>
      <c r="M613" s="1842" t="n"/>
      <c r="N613" s="1842" t="n"/>
      <c r="O613" s="1842" t="n"/>
      <c r="P613" s="1842" t="n"/>
      <c r="Q613" s="1842" t="n"/>
      <c r="R613" s="1842" t="n"/>
      <c r="S613" s="1842" t="n"/>
      <c r="T613" s="1842" t="n"/>
      <c r="U613" s="1842" t="n"/>
      <c r="V613" s="1842" t="n"/>
      <c r="W613" s="1842" t="n"/>
      <c r="X613" s="1842" t="n"/>
      <c r="Y613" s="1842" t="n"/>
      <c r="Z613" s="1842" t="n"/>
      <c r="AA613" s="1842" t="n"/>
      <c r="AB613" s="1842" t="n"/>
      <c r="AC613" s="1842" t="n"/>
      <c r="AD613" s="1842" t="n"/>
      <c r="AE613" s="1842" t="n"/>
      <c r="AF613" s="1842" t="n"/>
    </row>
    <row r="614" ht="13.5" customHeight="1" s="1883">
      <c r="A614" s="1842" t="n"/>
      <c r="B614" s="1842" t="n"/>
      <c r="C614" s="1842" t="n"/>
      <c r="D614" s="1842" t="n"/>
      <c r="E614" s="1842" t="n"/>
      <c r="F614" s="1842" t="n"/>
      <c r="G614" s="1842" t="n"/>
      <c r="H614" s="1842" t="n"/>
      <c r="I614" s="1842" t="n"/>
      <c r="J614" s="1842" t="n"/>
      <c r="K614" s="1842" t="n"/>
      <c r="L614" s="1842" t="n"/>
      <c r="M614" s="1842" t="n"/>
      <c r="N614" s="1842" t="n"/>
      <c r="O614" s="1842" t="n"/>
      <c r="P614" s="1842" t="n"/>
      <c r="Q614" s="1842" t="n"/>
      <c r="R614" s="1842" t="n"/>
      <c r="S614" s="1842" t="n"/>
      <c r="T614" s="1842" t="n"/>
      <c r="U614" s="1842" t="n"/>
      <c r="V614" s="1842" t="n"/>
      <c r="W614" s="1842" t="n"/>
      <c r="X614" s="1842" t="n"/>
      <c r="Y614" s="1842" t="n"/>
      <c r="Z614" s="1842" t="n"/>
      <c r="AA614" s="1842" t="n"/>
      <c r="AB614" s="1842" t="n"/>
      <c r="AC614" s="1842" t="n"/>
      <c r="AD614" s="1842" t="n"/>
      <c r="AE614" s="1842" t="n"/>
      <c r="AF614" s="1842" t="n"/>
    </row>
    <row r="615" ht="13.5" customHeight="1" s="1883">
      <c r="A615" s="1842" t="n"/>
      <c r="B615" s="1842" t="n"/>
      <c r="C615" s="1842" t="n"/>
      <c r="D615" s="1842" t="n"/>
      <c r="E615" s="1842" t="n"/>
      <c r="F615" s="1842" t="n"/>
      <c r="G615" s="1842" t="n"/>
      <c r="H615" s="1842" t="n"/>
      <c r="I615" s="1842" t="n"/>
      <c r="J615" s="1842" t="n"/>
      <c r="K615" s="1842" t="n"/>
      <c r="L615" s="1842" t="n"/>
      <c r="M615" s="1842" t="n"/>
      <c r="N615" s="1842" t="n"/>
      <c r="O615" s="1842" t="n"/>
      <c r="P615" s="1842" t="n"/>
      <c r="Q615" s="1842" t="n"/>
      <c r="R615" s="1842" t="n"/>
      <c r="S615" s="1842" t="n"/>
      <c r="T615" s="1842" t="n"/>
      <c r="U615" s="1842" t="n"/>
      <c r="V615" s="1842" t="n"/>
      <c r="W615" s="1842" t="n"/>
      <c r="X615" s="1842" t="n"/>
      <c r="Y615" s="1842" t="n"/>
      <c r="Z615" s="1842" t="n"/>
      <c r="AA615" s="1842" t="n"/>
      <c r="AB615" s="1842" t="n"/>
      <c r="AC615" s="1842" t="n"/>
      <c r="AD615" s="1842" t="n"/>
      <c r="AE615" s="1842" t="n"/>
      <c r="AF615" s="1842" t="n"/>
    </row>
    <row r="616" ht="13.5" customHeight="1" s="1883">
      <c r="A616" s="1842" t="n"/>
      <c r="B616" s="1842" t="n"/>
      <c r="C616" s="1842" t="n"/>
      <c r="D616" s="1842" t="n"/>
      <c r="E616" s="1842" t="n"/>
      <c r="F616" s="1842" t="n"/>
      <c r="G616" s="1842" t="n"/>
      <c r="H616" s="1842" t="n"/>
      <c r="I616" s="1842" t="n"/>
      <c r="J616" s="1842" t="n"/>
      <c r="K616" s="1842" t="n"/>
      <c r="L616" s="1842" t="n"/>
      <c r="M616" s="1842" t="n"/>
      <c r="N616" s="1842" t="n"/>
      <c r="O616" s="1842" t="n"/>
      <c r="P616" s="1842" t="n"/>
      <c r="Q616" s="1842" t="n"/>
      <c r="R616" s="1842" t="n"/>
      <c r="S616" s="1842" t="n"/>
      <c r="T616" s="1842" t="n"/>
      <c r="U616" s="1842" t="n"/>
      <c r="V616" s="1842" t="n"/>
      <c r="W616" s="1842" t="n"/>
      <c r="X616" s="1842" t="n"/>
      <c r="Y616" s="1842" t="n"/>
      <c r="Z616" s="1842" t="n"/>
      <c r="AA616" s="1842" t="n"/>
      <c r="AB616" s="1842" t="n"/>
      <c r="AC616" s="1842" t="n"/>
      <c r="AD616" s="1842" t="n"/>
      <c r="AE616" s="1842" t="n"/>
      <c r="AF616" s="1842" t="n"/>
    </row>
    <row r="617" ht="13.5" customHeight="1" s="1883">
      <c r="A617" s="1842" t="n"/>
      <c r="B617" s="1842" t="n"/>
      <c r="C617" s="1842" t="n"/>
      <c r="D617" s="1842" t="n"/>
      <c r="E617" s="1842" t="n"/>
      <c r="F617" s="1842" t="n"/>
      <c r="G617" s="1842" t="n"/>
      <c r="H617" s="1842" t="n"/>
      <c r="I617" s="1842" t="n"/>
      <c r="J617" s="1842" t="n"/>
      <c r="K617" s="1842" t="n"/>
      <c r="L617" s="1842" t="n"/>
      <c r="M617" s="1842" t="n"/>
      <c r="N617" s="1842" t="n"/>
      <c r="O617" s="1842" t="n"/>
      <c r="P617" s="1842" t="n"/>
      <c r="Q617" s="1842" t="n"/>
      <c r="R617" s="1842" t="n"/>
      <c r="S617" s="1842" t="n"/>
      <c r="T617" s="1842" t="n"/>
      <c r="U617" s="1842" t="n"/>
      <c r="V617" s="1842" t="n"/>
      <c r="W617" s="1842" t="n"/>
      <c r="X617" s="1842" t="n"/>
      <c r="Y617" s="1842" t="n"/>
      <c r="Z617" s="1842" t="n"/>
      <c r="AA617" s="1842" t="n"/>
      <c r="AB617" s="1842" t="n"/>
      <c r="AC617" s="1842" t="n"/>
      <c r="AD617" s="1842" t="n"/>
      <c r="AE617" s="1842" t="n"/>
      <c r="AF617" s="1842" t="n"/>
    </row>
    <row r="618" ht="13.5" customHeight="1" s="1883">
      <c r="A618" s="1842" t="n"/>
      <c r="B618" s="1842" t="n"/>
      <c r="C618" s="1842" t="n"/>
      <c r="D618" s="1842" t="n"/>
      <c r="E618" s="1842" t="n"/>
      <c r="F618" s="1842" t="n"/>
      <c r="G618" s="1842" t="n"/>
      <c r="H618" s="1842" t="n"/>
      <c r="I618" s="1842" t="n"/>
      <c r="J618" s="1842" t="n"/>
      <c r="K618" s="1842" t="n"/>
      <c r="L618" s="1842" t="n"/>
      <c r="M618" s="1842" t="n"/>
      <c r="N618" s="1842" t="n"/>
      <c r="O618" s="1842" t="n"/>
      <c r="P618" s="1842" t="n"/>
      <c r="Q618" s="1842" t="n"/>
      <c r="R618" s="1842" t="n"/>
      <c r="S618" s="1842" t="n"/>
      <c r="T618" s="1842" t="n"/>
      <c r="U618" s="1842" t="n"/>
      <c r="V618" s="1842" t="n"/>
      <c r="W618" s="1842" t="n"/>
      <c r="X618" s="1842" t="n"/>
      <c r="Y618" s="1842" t="n"/>
      <c r="Z618" s="1842" t="n"/>
      <c r="AA618" s="1842" t="n"/>
      <c r="AB618" s="1842" t="n"/>
      <c r="AC618" s="1842" t="n"/>
      <c r="AD618" s="1842" t="n"/>
      <c r="AE618" s="1842" t="n"/>
      <c r="AF618" s="1842" t="n"/>
    </row>
    <row r="619" ht="13.5" customHeight="1" s="1883">
      <c r="A619" s="1842" t="n"/>
      <c r="B619" s="1842" t="n"/>
      <c r="C619" s="1842" t="n"/>
      <c r="D619" s="1842" t="n"/>
      <c r="E619" s="1842" t="n"/>
      <c r="F619" s="1842" t="n"/>
      <c r="G619" s="1842" t="n"/>
      <c r="H619" s="1842" t="n"/>
      <c r="I619" s="1842" t="n"/>
      <c r="J619" s="1842" t="n"/>
      <c r="K619" s="1842" t="n"/>
      <c r="L619" s="1842" t="n"/>
      <c r="M619" s="1842" t="n"/>
      <c r="N619" s="1842" t="n"/>
      <c r="O619" s="1842" t="n"/>
      <c r="P619" s="1842" t="n"/>
      <c r="Q619" s="1842" t="n"/>
      <c r="R619" s="1842" t="n"/>
      <c r="S619" s="1842" t="n"/>
      <c r="T619" s="1842" t="n"/>
      <c r="U619" s="1842" t="n"/>
      <c r="V619" s="1842" t="n"/>
      <c r="W619" s="1842" t="n"/>
      <c r="X619" s="1842" t="n"/>
      <c r="Y619" s="1842" t="n"/>
      <c r="Z619" s="1842" t="n"/>
      <c r="AA619" s="1842" t="n"/>
      <c r="AB619" s="1842" t="n"/>
      <c r="AC619" s="1842" t="n"/>
      <c r="AD619" s="1842" t="n"/>
      <c r="AE619" s="1842" t="n"/>
      <c r="AF619" s="1842" t="n"/>
    </row>
    <row r="620" ht="13.5" customHeight="1" s="1883">
      <c r="A620" s="1842" t="n"/>
      <c r="B620" s="1842" t="n"/>
      <c r="C620" s="1842" t="n"/>
      <c r="D620" s="1842" t="n"/>
      <c r="E620" s="1842" t="n"/>
      <c r="F620" s="1842" t="n"/>
      <c r="G620" s="1842" t="n"/>
      <c r="H620" s="1842" t="n"/>
      <c r="I620" s="1842" t="n"/>
      <c r="J620" s="1842" t="n"/>
      <c r="K620" s="1842" t="n"/>
      <c r="L620" s="1842" t="n"/>
      <c r="M620" s="1842" t="n"/>
      <c r="N620" s="1842" t="n"/>
      <c r="O620" s="1842" t="n"/>
      <c r="P620" s="1842" t="n"/>
      <c r="Q620" s="1842" t="n"/>
      <c r="R620" s="1842" t="n"/>
      <c r="S620" s="1842" t="n"/>
      <c r="T620" s="1842" t="n"/>
      <c r="U620" s="1842" t="n"/>
      <c r="V620" s="1842" t="n"/>
      <c r="W620" s="1842" t="n"/>
      <c r="X620" s="1842" t="n"/>
      <c r="Y620" s="1842" t="n"/>
      <c r="Z620" s="1842" t="n"/>
      <c r="AA620" s="1842" t="n"/>
      <c r="AB620" s="1842" t="n"/>
      <c r="AC620" s="1842" t="n"/>
      <c r="AD620" s="1842" t="n"/>
      <c r="AE620" s="1842" t="n"/>
      <c r="AF620" s="1842" t="n"/>
    </row>
    <row r="621" ht="13.5" customHeight="1" s="1883">
      <c r="A621" s="1842" t="n"/>
      <c r="B621" s="1842" t="n"/>
      <c r="C621" s="1842" t="n"/>
      <c r="D621" s="1842" t="n"/>
      <c r="E621" s="1842" t="n"/>
      <c r="F621" s="1842" t="n"/>
      <c r="G621" s="1842" t="n"/>
      <c r="H621" s="1842" t="n"/>
      <c r="I621" s="1842" t="n"/>
      <c r="J621" s="1842" t="n"/>
      <c r="K621" s="1842" t="n"/>
      <c r="L621" s="1842" t="n"/>
      <c r="M621" s="1842" t="n"/>
      <c r="N621" s="1842" t="n"/>
      <c r="O621" s="1842" t="n"/>
      <c r="P621" s="1842" t="n"/>
      <c r="Q621" s="1842" t="n"/>
      <c r="R621" s="1842" t="n"/>
      <c r="S621" s="1842" t="n"/>
      <c r="T621" s="1842" t="n"/>
      <c r="U621" s="1842" t="n"/>
      <c r="V621" s="1842" t="n"/>
      <c r="W621" s="1842" t="n"/>
      <c r="X621" s="1842" t="n"/>
      <c r="Y621" s="1842" t="n"/>
      <c r="Z621" s="1842" t="n"/>
      <c r="AA621" s="1842" t="n"/>
      <c r="AB621" s="1842" t="n"/>
      <c r="AC621" s="1842" t="n"/>
      <c r="AD621" s="1842" t="n"/>
      <c r="AE621" s="1842" t="n"/>
      <c r="AF621" s="1842" t="n"/>
    </row>
    <row r="622" ht="13.5" customHeight="1" s="1883">
      <c r="A622" s="1842" t="n"/>
      <c r="B622" s="1842" t="n"/>
      <c r="C622" s="1842" t="n"/>
      <c r="D622" s="1842" t="n"/>
      <c r="E622" s="1842" t="n"/>
      <c r="F622" s="1842" t="n"/>
      <c r="G622" s="1842" t="n"/>
      <c r="H622" s="1842" t="n"/>
      <c r="I622" s="1842" t="n"/>
      <c r="J622" s="1842" t="n"/>
      <c r="K622" s="1842" t="n"/>
      <c r="L622" s="1842" t="n"/>
      <c r="M622" s="1842" t="n"/>
      <c r="N622" s="1842" t="n"/>
      <c r="O622" s="1842" t="n"/>
      <c r="P622" s="1842" t="n"/>
      <c r="Q622" s="1842" t="n"/>
      <c r="R622" s="1842" t="n"/>
      <c r="S622" s="1842" t="n"/>
      <c r="T622" s="1842" t="n"/>
      <c r="U622" s="1842" t="n"/>
      <c r="V622" s="1842" t="n"/>
      <c r="W622" s="1842" t="n"/>
      <c r="X622" s="1842" t="n"/>
      <c r="Y622" s="1842" t="n"/>
      <c r="Z622" s="1842" t="n"/>
      <c r="AA622" s="1842" t="n"/>
      <c r="AB622" s="1842" t="n"/>
      <c r="AC622" s="1842" t="n"/>
      <c r="AD622" s="1842" t="n"/>
      <c r="AE622" s="1842" t="n"/>
      <c r="AF622" s="1842" t="n"/>
    </row>
    <row r="623" ht="13.5" customHeight="1" s="1883">
      <c r="A623" s="1842" t="n"/>
      <c r="B623" s="1842" t="n"/>
      <c r="C623" s="1842" t="n"/>
      <c r="D623" s="1842" t="n"/>
      <c r="E623" s="1842" t="n"/>
      <c r="F623" s="1842" t="n"/>
      <c r="G623" s="1842" t="n"/>
      <c r="H623" s="1842" t="n"/>
      <c r="I623" s="1842" t="n"/>
      <c r="J623" s="1842" t="n"/>
      <c r="K623" s="1842" t="n"/>
      <c r="L623" s="1842" t="n"/>
      <c r="M623" s="1842" t="n"/>
      <c r="N623" s="1842" t="n"/>
      <c r="O623" s="1842" t="n"/>
      <c r="P623" s="1842" t="n"/>
      <c r="Q623" s="1842" t="n"/>
      <c r="R623" s="1842" t="n"/>
      <c r="S623" s="1842" t="n"/>
      <c r="T623" s="1842" t="n"/>
      <c r="U623" s="1842" t="n"/>
      <c r="V623" s="1842" t="n"/>
      <c r="W623" s="1842" t="n"/>
      <c r="X623" s="1842" t="n"/>
      <c r="Y623" s="1842" t="n"/>
      <c r="Z623" s="1842" t="n"/>
      <c r="AA623" s="1842" t="n"/>
      <c r="AB623" s="1842" t="n"/>
      <c r="AC623" s="1842" t="n"/>
      <c r="AD623" s="1842" t="n"/>
      <c r="AE623" s="1842" t="n"/>
      <c r="AF623" s="1842" t="n"/>
    </row>
    <row r="624" ht="13.5" customHeight="1" s="1883">
      <c r="A624" s="1842" t="n"/>
      <c r="B624" s="1842" t="n"/>
      <c r="C624" s="1842" t="n"/>
      <c r="D624" s="1842" t="n"/>
      <c r="E624" s="1842" t="n"/>
      <c r="F624" s="1842" t="n"/>
      <c r="G624" s="1842" t="n"/>
      <c r="H624" s="1842" t="n"/>
      <c r="I624" s="1842" t="n"/>
      <c r="J624" s="1842" t="n"/>
      <c r="K624" s="1842" t="n"/>
      <c r="L624" s="1842" t="n"/>
      <c r="M624" s="1842" t="n"/>
      <c r="N624" s="1842" t="n"/>
      <c r="O624" s="1842" t="n"/>
      <c r="P624" s="1842" t="n"/>
      <c r="Q624" s="1842" t="n"/>
      <c r="R624" s="1842" t="n"/>
      <c r="S624" s="1842" t="n"/>
      <c r="T624" s="1842" t="n"/>
      <c r="U624" s="1842" t="n"/>
      <c r="V624" s="1842" t="n"/>
      <c r="W624" s="1842" t="n"/>
      <c r="X624" s="1842" t="n"/>
      <c r="Y624" s="1842" t="n"/>
      <c r="Z624" s="1842" t="n"/>
      <c r="AA624" s="1842" t="n"/>
      <c r="AB624" s="1842" t="n"/>
      <c r="AC624" s="1842" t="n"/>
      <c r="AD624" s="1842" t="n"/>
      <c r="AE624" s="1842" t="n"/>
      <c r="AF624" s="1842" t="n"/>
    </row>
    <row r="625" ht="13.5" customHeight="1" s="1883">
      <c r="A625" s="1842" t="n"/>
      <c r="B625" s="1842" t="n"/>
      <c r="C625" s="1842" t="n"/>
      <c r="D625" s="1842" t="n"/>
      <c r="E625" s="1842" t="n"/>
      <c r="F625" s="1842" t="n"/>
      <c r="G625" s="1842" t="n"/>
      <c r="H625" s="1842" t="n"/>
      <c r="I625" s="1842" t="n"/>
      <c r="J625" s="1842" t="n"/>
      <c r="K625" s="1842" t="n"/>
      <c r="L625" s="1842" t="n"/>
      <c r="M625" s="1842" t="n"/>
      <c r="N625" s="1842" t="n"/>
      <c r="O625" s="1842" t="n"/>
      <c r="P625" s="1842" t="n"/>
      <c r="Q625" s="1842" t="n"/>
      <c r="R625" s="1842" t="n"/>
      <c r="S625" s="1842" t="n"/>
      <c r="T625" s="1842" t="n"/>
      <c r="U625" s="1842" t="n"/>
      <c r="V625" s="1842" t="n"/>
      <c r="W625" s="1842" t="n"/>
      <c r="X625" s="1842" t="n"/>
      <c r="Y625" s="1842" t="n"/>
      <c r="Z625" s="1842" t="n"/>
      <c r="AA625" s="1842" t="n"/>
      <c r="AB625" s="1842" t="n"/>
      <c r="AC625" s="1842" t="n"/>
      <c r="AD625" s="1842" t="n"/>
      <c r="AE625" s="1842" t="n"/>
      <c r="AF625" s="1842" t="n"/>
    </row>
    <row r="626" ht="13.5" customHeight="1" s="1883">
      <c r="A626" s="1842" t="n"/>
      <c r="B626" s="1842" t="n"/>
      <c r="C626" s="1842" t="n"/>
      <c r="D626" s="1842" t="n"/>
      <c r="E626" s="1842" t="n"/>
      <c r="F626" s="1842" t="n"/>
      <c r="G626" s="1842" t="n"/>
      <c r="H626" s="1842" t="n"/>
      <c r="I626" s="1842" t="n"/>
      <c r="J626" s="1842" t="n"/>
      <c r="K626" s="1842" t="n"/>
      <c r="L626" s="1842" t="n"/>
      <c r="M626" s="1842" t="n"/>
      <c r="N626" s="1842" t="n"/>
      <c r="O626" s="1842" t="n"/>
      <c r="P626" s="1842" t="n"/>
      <c r="Q626" s="1842" t="n"/>
      <c r="R626" s="1842" t="n"/>
      <c r="S626" s="1842" t="n"/>
      <c r="T626" s="1842" t="n"/>
      <c r="U626" s="1842" t="n"/>
      <c r="V626" s="1842" t="n"/>
      <c r="W626" s="1842" t="n"/>
      <c r="X626" s="1842" t="n"/>
      <c r="Y626" s="1842" t="n"/>
      <c r="Z626" s="1842" t="n"/>
      <c r="AA626" s="1842" t="n"/>
      <c r="AB626" s="1842" t="n"/>
      <c r="AC626" s="1842" t="n"/>
      <c r="AD626" s="1842" t="n"/>
      <c r="AE626" s="1842" t="n"/>
      <c r="AF626" s="1842" t="n"/>
    </row>
    <row r="627" ht="13.5" customHeight="1" s="1883">
      <c r="A627" s="1842" t="n"/>
      <c r="B627" s="1842" t="n"/>
      <c r="C627" s="1842" t="n"/>
      <c r="D627" s="1842" t="n"/>
      <c r="E627" s="1842" t="n"/>
      <c r="F627" s="1842" t="n"/>
      <c r="G627" s="1842" t="n"/>
      <c r="H627" s="1842" t="n"/>
      <c r="I627" s="1842" t="n"/>
      <c r="J627" s="1842" t="n"/>
      <c r="K627" s="1842" t="n"/>
      <c r="L627" s="1842" t="n"/>
      <c r="M627" s="1842" t="n"/>
      <c r="N627" s="1842" t="n"/>
      <c r="O627" s="1842" t="n"/>
      <c r="P627" s="1842" t="n"/>
      <c r="Q627" s="1842" t="n"/>
      <c r="R627" s="1842" t="n"/>
      <c r="S627" s="1842" t="n"/>
      <c r="T627" s="1842" t="n"/>
      <c r="U627" s="1842" t="n"/>
      <c r="V627" s="1842" t="n"/>
      <c r="W627" s="1842" t="n"/>
      <c r="X627" s="1842" t="n"/>
      <c r="Y627" s="1842" t="n"/>
      <c r="Z627" s="1842" t="n"/>
      <c r="AA627" s="1842" t="n"/>
      <c r="AB627" s="1842" t="n"/>
      <c r="AC627" s="1842" t="n"/>
      <c r="AD627" s="1842" t="n"/>
      <c r="AE627" s="1842" t="n"/>
      <c r="AF627" s="1842" t="n"/>
    </row>
    <row r="628" ht="13.5" customHeight="1" s="1883">
      <c r="A628" s="1842" t="n"/>
      <c r="B628" s="1842" t="n"/>
      <c r="C628" s="1842" t="n"/>
      <c r="D628" s="1842" t="n"/>
      <c r="E628" s="1842" t="n"/>
      <c r="F628" s="1842" t="n"/>
      <c r="G628" s="1842" t="n"/>
      <c r="H628" s="1842" t="n"/>
      <c r="I628" s="1842" t="n"/>
      <c r="J628" s="1842" t="n"/>
      <c r="K628" s="1842" t="n"/>
      <c r="L628" s="1842" t="n"/>
      <c r="M628" s="1842" t="n"/>
      <c r="N628" s="1842" t="n"/>
      <c r="O628" s="1842" t="n"/>
      <c r="P628" s="1842" t="n"/>
      <c r="Q628" s="1842" t="n"/>
      <c r="R628" s="1842" t="n"/>
      <c r="S628" s="1842" t="n"/>
      <c r="T628" s="1842" t="n"/>
      <c r="U628" s="1842" t="n"/>
      <c r="V628" s="1842" t="n"/>
      <c r="W628" s="1842" t="n"/>
      <c r="X628" s="1842" t="n"/>
      <c r="Y628" s="1842" t="n"/>
      <c r="Z628" s="1842" t="n"/>
      <c r="AA628" s="1842" t="n"/>
      <c r="AB628" s="1842" t="n"/>
      <c r="AC628" s="1842" t="n"/>
      <c r="AD628" s="1842" t="n"/>
      <c r="AE628" s="1842" t="n"/>
      <c r="AF628" s="1842" t="n"/>
    </row>
    <row r="629" ht="13.5" customHeight="1" s="1883">
      <c r="A629" s="1842" t="n"/>
      <c r="B629" s="1842" t="n"/>
      <c r="C629" s="1842" t="n"/>
      <c r="D629" s="1842" t="n"/>
      <c r="E629" s="1842" t="n"/>
      <c r="F629" s="1842" t="n"/>
      <c r="G629" s="1842" t="n"/>
      <c r="H629" s="1842" t="n"/>
      <c r="I629" s="1842" t="n"/>
      <c r="J629" s="1842" t="n"/>
      <c r="K629" s="1842" t="n"/>
      <c r="L629" s="1842" t="n"/>
      <c r="M629" s="1842" t="n"/>
      <c r="N629" s="1842" t="n"/>
      <c r="O629" s="1842" t="n"/>
      <c r="P629" s="1842" t="n"/>
      <c r="Q629" s="1842" t="n"/>
      <c r="R629" s="1842" t="n"/>
      <c r="S629" s="1842" t="n"/>
      <c r="T629" s="1842" t="n"/>
      <c r="U629" s="1842" t="n"/>
      <c r="V629" s="1842" t="n"/>
      <c r="W629" s="1842" t="n"/>
      <c r="X629" s="1842" t="n"/>
      <c r="Y629" s="1842" t="n"/>
      <c r="Z629" s="1842" t="n"/>
      <c r="AA629" s="1842" t="n"/>
      <c r="AB629" s="1842" t="n"/>
      <c r="AC629" s="1842" t="n"/>
      <c r="AD629" s="1842" t="n"/>
      <c r="AE629" s="1842" t="n"/>
      <c r="AF629" s="1842" t="n"/>
    </row>
    <row r="630" ht="13.5" customHeight="1" s="1883">
      <c r="A630" s="1842" t="n"/>
      <c r="B630" s="1842" t="n"/>
      <c r="C630" s="1842" t="n"/>
      <c r="D630" s="1842" t="n"/>
      <c r="E630" s="1842" t="n"/>
      <c r="F630" s="1842" t="n"/>
      <c r="G630" s="1842" t="n"/>
      <c r="H630" s="1842" t="n"/>
      <c r="I630" s="1842" t="n"/>
      <c r="J630" s="1842" t="n"/>
      <c r="K630" s="1842" t="n"/>
      <c r="L630" s="1842" t="n"/>
      <c r="M630" s="1842" t="n"/>
      <c r="N630" s="1842" t="n"/>
      <c r="O630" s="1842" t="n"/>
      <c r="P630" s="1842" t="n"/>
      <c r="Q630" s="1842" t="n"/>
      <c r="R630" s="1842" t="n"/>
      <c r="S630" s="1842" t="n"/>
      <c r="T630" s="1842" t="n"/>
      <c r="U630" s="1842" t="n"/>
      <c r="V630" s="1842" t="n"/>
      <c r="W630" s="1842" t="n"/>
      <c r="X630" s="1842" t="n"/>
      <c r="Y630" s="1842" t="n"/>
      <c r="Z630" s="1842" t="n"/>
      <c r="AA630" s="1842" t="n"/>
      <c r="AB630" s="1842" t="n"/>
      <c r="AC630" s="1842" t="n"/>
      <c r="AD630" s="1842" t="n"/>
      <c r="AE630" s="1842" t="n"/>
      <c r="AF630" s="1842" t="n"/>
    </row>
    <row r="631" ht="13.5" customHeight="1" s="1883">
      <c r="A631" s="1842" t="n"/>
      <c r="B631" s="1842" t="n"/>
      <c r="C631" s="1842" t="n"/>
      <c r="D631" s="1842" t="n"/>
      <c r="E631" s="1842" t="n"/>
      <c r="F631" s="1842" t="n"/>
      <c r="G631" s="1842" t="n"/>
      <c r="H631" s="1842" t="n"/>
      <c r="I631" s="1842" t="n"/>
      <c r="J631" s="1842" t="n"/>
      <c r="K631" s="1842" t="n"/>
      <c r="L631" s="1842" t="n"/>
      <c r="M631" s="1842" t="n"/>
      <c r="N631" s="1842" t="n"/>
      <c r="O631" s="1842" t="n"/>
      <c r="P631" s="1842" t="n"/>
      <c r="Q631" s="1842" t="n"/>
      <c r="R631" s="1842" t="n"/>
      <c r="S631" s="1842" t="n"/>
      <c r="T631" s="1842" t="n"/>
      <c r="U631" s="1842" t="n"/>
      <c r="V631" s="1842" t="n"/>
      <c r="W631" s="1842" t="n"/>
      <c r="X631" s="1842" t="n"/>
      <c r="Y631" s="1842" t="n"/>
      <c r="Z631" s="1842" t="n"/>
      <c r="AA631" s="1842" t="n"/>
      <c r="AB631" s="1842" t="n"/>
      <c r="AC631" s="1842" t="n"/>
      <c r="AD631" s="1842" t="n"/>
      <c r="AE631" s="1842" t="n"/>
      <c r="AF631" s="1842" t="n"/>
    </row>
    <row r="632" ht="13.5" customHeight="1" s="1883">
      <c r="A632" s="1842" t="n"/>
      <c r="B632" s="1842" t="n"/>
      <c r="C632" s="1842" t="n"/>
      <c r="D632" s="1842" t="n"/>
      <c r="E632" s="1842" t="n"/>
      <c r="F632" s="1842" t="n"/>
      <c r="G632" s="1842" t="n"/>
      <c r="H632" s="1842" t="n"/>
      <c r="I632" s="1842" t="n"/>
      <c r="J632" s="1842" t="n"/>
      <c r="K632" s="1842" t="n"/>
      <c r="L632" s="1842" t="n"/>
      <c r="M632" s="1842" t="n"/>
      <c r="N632" s="1842" t="n"/>
      <c r="O632" s="1842" t="n"/>
      <c r="P632" s="1842" t="n"/>
      <c r="Q632" s="1842" t="n"/>
      <c r="R632" s="1842" t="n"/>
      <c r="S632" s="1842" t="n"/>
      <c r="T632" s="1842" t="n"/>
      <c r="U632" s="1842" t="n"/>
      <c r="V632" s="1842" t="n"/>
      <c r="W632" s="1842" t="n"/>
      <c r="X632" s="1842" t="n"/>
      <c r="Y632" s="1842" t="n"/>
      <c r="Z632" s="1842" t="n"/>
      <c r="AA632" s="1842" t="n"/>
      <c r="AB632" s="1842" t="n"/>
      <c r="AC632" s="1842" t="n"/>
      <c r="AD632" s="1842" t="n"/>
      <c r="AE632" s="1842" t="n"/>
      <c r="AF632" s="1842" t="n"/>
    </row>
    <row r="633" ht="13.5" customHeight="1" s="1883">
      <c r="A633" s="1842" t="n"/>
      <c r="B633" s="1842" t="n"/>
      <c r="C633" s="1842" t="n"/>
      <c r="D633" s="1842" t="n"/>
      <c r="E633" s="1842" t="n"/>
      <c r="F633" s="1842" t="n"/>
      <c r="G633" s="1842" t="n"/>
      <c r="H633" s="1842" t="n"/>
      <c r="I633" s="1842" t="n"/>
      <c r="J633" s="1842" t="n"/>
      <c r="K633" s="1842" t="n"/>
      <c r="L633" s="1842" t="n"/>
      <c r="M633" s="1842" t="n"/>
      <c r="N633" s="1842" t="n"/>
      <c r="O633" s="1842" t="n"/>
      <c r="P633" s="1842" t="n"/>
      <c r="Q633" s="1842" t="n"/>
      <c r="R633" s="1842" t="n"/>
      <c r="S633" s="1842" t="n"/>
      <c r="T633" s="1842" t="n"/>
      <c r="U633" s="1842" t="n"/>
      <c r="V633" s="1842" t="n"/>
      <c r="W633" s="1842" t="n"/>
      <c r="X633" s="1842" t="n"/>
      <c r="Y633" s="1842" t="n"/>
      <c r="Z633" s="1842" t="n"/>
      <c r="AA633" s="1842" t="n"/>
      <c r="AB633" s="1842" t="n"/>
      <c r="AC633" s="1842" t="n"/>
      <c r="AD633" s="1842" t="n"/>
      <c r="AE633" s="1842" t="n"/>
      <c r="AF633" s="1842" t="n"/>
    </row>
    <row r="634" ht="13.5" customHeight="1" s="1883">
      <c r="A634" s="1842" t="n"/>
      <c r="B634" s="1842" t="n"/>
      <c r="C634" s="1842" t="n"/>
      <c r="D634" s="1842" t="n"/>
      <c r="E634" s="1842" t="n"/>
      <c r="F634" s="1842" t="n"/>
      <c r="G634" s="1842" t="n"/>
      <c r="H634" s="1842" t="n"/>
      <c r="I634" s="1842" t="n"/>
      <c r="J634" s="1842" t="n"/>
      <c r="K634" s="1842" t="n"/>
      <c r="L634" s="1842" t="n"/>
      <c r="M634" s="1842" t="n"/>
      <c r="N634" s="1842" t="n"/>
      <c r="O634" s="1842" t="n"/>
      <c r="P634" s="1842" t="n"/>
      <c r="Q634" s="1842" t="n"/>
      <c r="R634" s="1842" t="n"/>
      <c r="S634" s="1842" t="n"/>
      <c r="T634" s="1842" t="n"/>
      <c r="U634" s="1842" t="n"/>
      <c r="V634" s="1842" t="n"/>
      <c r="W634" s="1842" t="n"/>
      <c r="X634" s="1842" t="n"/>
      <c r="Y634" s="1842" t="n"/>
      <c r="Z634" s="1842" t="n"/>
      <c r="AA634" s="1842" t="n"/>
      <c r="AB634" s="1842" t="n"/>
      <c r="AC634" s="1842" t="n"/>
      <c r="AD634" s="1842" t="n"/>
      <c r="AE634" s="1842" t="n"/>
      <c r="AF634" s="1842" t="n"/>
    </row>
    <row r="635" ht="13.5" customHeight="1" s="1883">
      <c r="A635" s="1842" t="n"/>
      <c r="B635" s="1842" t="n"/>
      <c r="C635" s="1842" t="n"/>
      <c r="D635" s="1842" t="n"/>
      <c r="E635" s="1842" t="n"/>
      <c r="F635" s="1842" t="n"/>
      <c r="G635" s="1842" t="n"/>
      <c r="H635" s="1842" t="n"/>
      <c r="I635" s="1842" t="n"/>
      <c r="J635" s="1842" t="n"/>
      <c r="K635" s="1842" t="n"/>
      <c r="L635" s="1842" t="n"/>
      <c r="M635" s="1842" t="n"/>
      <c r="N635" s="1842" t="n"/>
      <c r="O635" s="1842" t="n"/>
      <c r="P635" s="1842" t="n"/>
      <c r="Q635" s="1842" t="n"/>
      <c r="R635" s="1842" t="n"/>
      <c r="S635" s="1842" t="n"/>
      <c r="T635" s="1842" t="n"/>
      <c r="U635" s="1842" t="n"/>
      <c r="V635" s="1842" t="n"/>
      <c r="W635" s="1842" t="n"/>
      <c r="X635" s="1842" t="n"/>
      <c r="Y635" s="1842" t="n"/>
      <c r="Z635" s="1842" t="n"/>
      <c r="AA635" s="1842" t="n"/>
      <c r="AB635" s="1842" t="n"/>
      <c r="AC635" s="1842" t="n"/>
      <c r="AD635" s="1842" t="n"/>
      <c r="AE635" s="1842" t="n"/>
      <c r="AF635" s="1842" t="n"/>
    </row>
    <row r="636" ht="13.5" customHeight="1" s="1883">
      <c r="A636" s="1842" t="n"/>
      <c r="B636" s="1842" t="n"/>
      <c r="C636" s="1842" t="n"/>
      <c r="D636" s="1842" t="n"/>
      <c r="E636" s="1842" t="n"/>
      <c r="F636" s="1842" t="n"/>
      <c r="G636" s="1842" t="n"/>
      <c r="H636" s="1842" t="n"/>
      <c r="I636" s="1842" t="n"/>
      <c r="J636" s="1842" t="n"/>
      <c r="K636" s="1842" t="n"/>
      <c r="L636" s="1842" t="n"/>
      <c r="M636" s="1842" t="n"/>
      <c r="N636" s="1842" t="n"/>
      <c r="O636" s="1842" t="n"/>
      <c r="P636" s="1842" t="n"/>
      <c r="Q636" s="1842" t="n"/>
      <c r="R636" s="1842" t="n"/>
      <c r="S636" s="1842" t="n"/>
      <c r="T636" s="1842" t="n"/>
      <c r="U636" s="1842" t="n"/>
      <c r="V636" s="1842" t="n"/>
      <c r="W636" s="1842" t="n"/>
      <c r="X636" s="1842" t="n"/>
      <c r="Y636" s="1842" t="n"/>
      <c r="Z636" s="1842" t="n"/>
      <c r="AA636" s="1842" t="n"/>
      <c r="AB636" s="1842" t="n"/>
      <c r="AC636" s="1842" t="n"/>
      <c r="AD636" s="1842" t="n"/>
      <c r="AE636" s="1842" t="n"/>
      <c r="AF636" s="1842" t="n"/>
    </row>
    <row r="637" ht="13.5" customHeight="1" s="1883">
      <c r="A637" s="1842" t="n"/>
      <c r="B637" s="1842" t="n"/>
      <c r="C637" s="1842" t="n"/>
      <c r="D637" s="1842" t="n"/>
      <c r="E637" s="1842" t="n"/>
      <c r="F637" s="1842" t="n"/>
      <c r="G637" s="1842" t="n"/>
      <c r="H637" s="1842" t="n"/>
      <c r="I637" s="1842" t="n"/>
      <c r="J637" s="1842" t="n"/>
      <c r="K637" s="1842" t="n"/>
      <c r="L637" s="1842" t="n"/>
      <c r="M637" s="1842" t="n"/>
      <c r="N637" s="1842" t="n"/>
      <c r="O637" s="1842" t="n"/>
      <c r="P637" s="1842" t="n"/>
      <c r="Q637" s="1842" t="n"/>
      <c r="R637" s="1842" t="n"/>
      <c r="S637" s="1842" t="n"/>
      <c r="T637" s="1842" t="n"/>
      <c r="U637" s="1842" t="n"/>
      <c r="V637" s="1842" t="n"/>
      <c r="W637" s="1842" t="n"/>
      <c r="X637" s="1842" t="n"/>
      <c r="Y637" s="1842" t="n"/>
      <c r="Z637" s="1842" t="n"/>
      <c r="AA637" s="1842" t="n"/>
      <c r="AB637" s="1842" t="n"/>
      <c r="AC637" s="1842" t="n"/>
      <c r="AD637" s="1842" t="n"/>
      <c r="AE637" s="1842" t="n"/>
      <c r="AF637" s="1842" t="n"/>
    </row>
    <row r="638" ht="13.5" customHeight="1" s="1883">
      <c r="A638" s="1842" t="n"/>
      <c r="B638" s="1842" t="n"/>
      <c r="C638" s="1842" t="n"/>
      <c r="D638" s="1842" t="n"/>
      <c r="E638" s="1842" t="n"/>
      <c r="F638" s="1842" t="n"/>
      <c r="G638" s="1842" t="n"/>
      <c r="H638" s="1842" t="n"/>
      <c r="I638" s="1842" t="n"/>
      <c r="J638" s="1842" t="n"/>
      <c r="K638" s="1842" t="n"/>
      <c r="L638" s="1842" t="n"/>
      <c r="M638" s="1842" t="n"/>
      <c r="N638" s="1842" t="n"/>
      <c r="O638" s="1842" t="n"/>
      <c r="P638" s="1842" t="n"/>
      <c r="Q638" s="1842" t="n"/>
      <c r="R638" s="1842" t="n"/>
      <c r="S638" s="1842" t="n"/>
      <c r="T638" s="1842" t="n"/>
      <c r="U638" s="1842" t="n"/>
      <c r="V638" s="1842" t="n"/>
      <c r="W638" s="1842" t="n"/>
      <c r="X638" s="1842" t="n"/>
      <c r="Y638" s="1842" t="n"/>
      <c r="Z638" s="1842" t="n"/>
      <c r="AA638" s="1842" t="n"/>
      <c r="AB638" s="1842" t="n"/>
      <c r="AC638" s="1842" t="n"/>
      <c r="AD638" s="1842" t="n"/>
      <c r="AE638" s="1842" t="n"/>
      <c r="AF638" s="1842" t="n"/>
    </row>
    <row r="639" ht="13.5" customHeight="1" s="1883">
      <c r="A639" s="1842" t="n"/>
      <c r="B639" s="1842" t="n"/>
      <c r="C639" s="1842" t="n"/>
      <c r="D639" s="1842" t="n"/>
      <c r="E639" s="1842" t="n"/>
      <c r="F639" s="1842" t="n"/>
      <c r="G639" s="1842" t="n"/>
      <c r="H639" s="1842" t="n"/>
      <c r="I639" s="1842" t="n"/>
      <c r="J639" s="1842" t="n"/>
      <c r="K639" s="1842" t="n"/>
      <c r="L639" s="1842" t="n"/>
      <c r="M639" s="1842" t="n"/>
      <c r="N639" s="1842" t="n"/>
      <c r="O639" s="1842" t="n"/>
      <c r="P639" s="1842" t="n"/>
      <c r="Q639" s="1842" t="n"/>
      <c r="R639" s="1842" t="n"/>
      <c r="S639" s="1842" t="n"/>
      <c r="T639" s="1842" t="n"/>
      <c r="U639" s="1842" t="n"/>
      <c r="V639" s="1842" t="n"/>
      <c r="W639" s="1842" t="n"/>
      <c r="X639" s="1842" t="n"/>
      <c r="Y639" s="1842" t="n"/>
      <c r="Z639" s="1842" t="n"/>
      <c r="AA639" s="1842" t="n"/>
      <c r="AB639" s="1842" t="n"/>
      <c r="AC639" s="1842" t="n"/>
      <c r="AD639" s="1842" t="n"/>
      <c r="AE639" s="1842" t="n"/>
      <c r="AF639" s="1842" t="n"/>
    </row>
    <row r="640" ht="13.5" customHeight="1" s="1883">
      <c r="A640" s="1842" t="n"/>
      <c r="B640" s="1842" t="n"/>
      <c r="C640" s="1842" t="n"/>
      <c r="D640" s="1842" t="n"/>
      <c r="E640" s="1842" t="n"/>
      <c r="F640" s="1842" t="n"/>
      <c r="G640" s="1842" t="n"/>
      <c r="H640" s="1842" t="n"/>
      <c r="I640" s="1842" t="n"/>
      <c r="J640" s="1842" t="n"/>
      <c r="K640" s="1842" t="n"/>
      <c r="L640" s="1842" t="n"/>
      <c r="M640" s="1842" t="n"/>
      <c r="N640" s="1842" t="n"/>
      <c r="O640" s="1842" t="n"/>
      <c r="P640" s="1842" t="n"/>
      <c r="Q640" s="1842" t="n"/>
      <c r="R640" s="1842" t="n"/>
      <c r="S640" s="1842" t="n"/>
      <c r="T640" s="1842" t="n"/>
      <c r="U640" s="1842" t="n"/>
      <c r="V640" s="1842" t="n"/>
      <c r="W640" s="1842" t="n"/>
      <c r="X640" s="1842" t="n"/>
      <c r="Y640" s="1842" t="n"/>
      <c r="Z640" s="1842" t="n"/>
      <c r="AA640" s="1842" t="n"/>
      <c r="AB640" s="1842" t="n"/>
      <c r="AC640" s="1842" t="n"/>
      <c r="AD640" s="1842" t="n"/>
      <c r="AE640" s="1842" t="n"/>
      <c r="AF640" s="1842" t="n"/>
    </row>
    <row r="641" ht="13.5" customHeight="1" s="1883">
      <c r="A641" s="1842" t="n"/>
      <c r="B641" s="1842" t="n"/>
      <c r="C641" s="1842" t="n"/>
      <c r="D641" s="1842" t="n"/>
      <c r="E641" s="1842" t="n"/>
      <c r="F641" s="1842" t="n"/>
      <c r="G641" s="1842" t="n"/>
      <c r="H641" s="1842" t="n"/>
      <c r="I641" s="1842" t="n"/>
      <c r="J641" s="1842" t="n"/>
      <c r="K641" s="1842" t="n"/>
      <c r="L641" s="1842" t="n"/>
      <c r="M641" s="1842" t="n"/>
      <c r="N641" s="1842" t="n"/>
      <c r="O641" s="1842" t="n"/>
      <c r="P641" s="1842" t="n"/>
      <c r="Q641" s="1842" t="n"/>
      <c r="R641" s="1842" t="n"/>
      <c r="S641" s="1842" t="n"/>
      <c r="T641" s="1842" t="n"/>
      <c r="U641" s="1842" t="n"/>
      <c r="V641" s="1842" t="n"/>
      <c r="W641" s="1842" t="n"/>
      <c r="X641" s="1842" t="n"/>
      <c r="Y641" s="1842" t="n"/>
      <c r="Z641" s="1842" t="n"/>
      <c r="AA641" s="1842" t="n"/>
      <c r="AB641" s="1842" t="n"/>
      <c r="AC641" s="1842" t="n"/>
      <c r="AD641" s="1842" t="n"/>
      <c r="AE641" s="1842" t="n"/>
      <c r="AF641" s="1842" t="n"/>
    </row>
    <row r="642" ht="13.5" customHeight="1" s="1883">
      <c r="A642" s="1842" t="n"/>
      <c r="B642" s="1842" t="n"/>
      <c r="C642" s="1842" t="n"/>
      <c r="D642" s="1842" t="n"/>
      <c r="E642" s="1842" t="n"/>
      <c r="F642" s="1842" t="n"/>
      <c r="G642" s="1842" t="n"/>
      <c r="H642" s="1842" t="n"/>
      <c r="I642" s="1842" t="n"/>
      <c r="J642" s="1842" t="n"/>
      <c r="K642" s="1842" t="n"/>
      <c r="L642" s="1842" t="n"/>
      <c r="M642" s="1842" t="n"/>
      <c r="N642" s="1842" t="n"/>
      <c r="O642" s="1842" t="n"/>
      <c r="P642" s="1842" t="n"/>
      <c r="Q642" s="1842" t="n"/>
      <c r="R642" s="1842" t="n"/>
      <c r="S642" s="1842" t="n"/>
      <c r="T642" s="1842" t="n"/>
      <c r="U642" s="1842" t="n"/>
      <c r="V642" s="1842" t="n"/>
      <c r="W642" s="1842" t="n"/>
      <c r="X642" s="1842" t="n"/>
      <c r="Y642" s="1842" t="n"/>
      <c r="Z642" s="1842" t="n"/>
      <c r="AA642" s="1842" t="n"/>
      <c r="AB642" s="1842" t="n"/>
      <c r="AC642" s="1842" t="n"/>
      <c r="AD642" s="1842" t="n"/>
      <c r="AE642" s="1842" t="n"/>
      <c r="AF642" s="1842" t="n"/>
    </row>
    <row r="643" ht="13.5" customHeight="1" s="1883">
      <c r="A643" s="1842" t="n"/>
      <c r="B643" s="1842" t="n"/>
      <c r="C643" s="1842" t="n"/>
      <c r="D643" s="1842" t="n"/>
      <c r="E643" s="1842" t="n"/>
      <c r="F643" s="1842" t="n"/>
      <c r="G643" s="1842" t="n"/>
      <c r="H643" s="1842" t="n"/>
      <c r="I643" s="1842" t="n"/>
      <c r="J643" s="1842" t="n"/>
      <c r="K643" s="1842" t="n"/>
      <c r="L643" s="1842" t="n"/>
      <c r="M643" s="1842" t="n"/>
      <c r="N643" s="1842" t="n"/>
      <c r="O643" s="1842" t="n"/>
      <c r="P643" s="1842" t="n"/>
      <c r="Q643" s="1842" t="n"/>
      <c r="R643" s="1842" t="n"/>
      <c r="S643" s="1842" t="n"/>
      <c r="T643" s="1842" t="n"/>
      <c r="U643" s="1842" t="n"/>
      <c r="V643" s="1842" t="n"/>
      <c r="W643" s="1842" t="n"/>
      <c r="X643" s="1842" t="n"/>
      <c r="Y643" s="1842" t="n"/>
      <c r="Z643" s="1842" t="n"/>
      <c r="AA643" s="1842" t="n"/>
      <c r="AB643" s="1842" t="n"/>
      <c r="AC643" s="1842" t="n"/>
      <c r="AD643" s="1842" t="n"/>
      <c r="AE643" s="1842" t="n"/>
      <c r="AF643" s="1842" t="n"/>
    </row>
    <row r="644" ht="13.5" customHeight="1" s="1883">
      <c r="A644" s="1842" t="n"/>
      <c r="B644" s="1842" t="n"/>
      <c r="C644" s="1842" t="n"/>
      <c r="D644" s="1842" t="n"/>
      <c r="E644" s="1842" t="n"/>
      <c r="F644" s="1842" t="n"/>
      <c r="G644" s="1842" t="n"/>
      <c r="H644" s="1842" t="n"/>
      <c r="I644" s="1842" t="n"/>
      <c r="J644" s="1842" t="n"/>
      <c r="K644" s="1842" t="n"/>
      <c r="L644" s="1842" t="n"/>
      <c r="M644" s="1842" t="n"/>
      <c r="N644" s="1842" t="n"/>
      <c r="O644" s="1842" t="n"/>
      <c r="P644" s="1842" t="n"/>
      <c r="Q644" s="1842" t="n"/>
      <c r="R644" s="1842" t="n"/>
      <c r="S644" s="1842" t="n"/>
      <c r="T644" s="1842" t="n"/>
      <c r="U644" s="1842" t="n"/>
      <c r="V644" s="1842" t="n"/>
      <c r="W644" s="1842" t="n"/>
      <c r="X644" s="1842" t="n"/>
      <c r="Y644" s="1842" t="n"/>
      <c r="Z644" s="1842" t="n"/>
      <c r="AA644" s="1842" t="n"/>
      <c r="AB644" s="1842" t="n"/>
      <c r="AC644" s="1842" t="n"/>
      <c r="AD644" s="1842" t="n"/>
      <c r="AE644" s="1842" t="n"/>
      <c r="AF644" s="1842" t="n"/>
    </row>
    <row r="645" ht="13.5" customHeight="1" s="1883">
      <c r="A645" s="1842" t="n"/>
      <c r="B645" s="1842" t="n"/>
      <c r="C645" s="1842" t="n"/>
      <c r="D645" s="1842" t="n"/>
      <c r="E645" s="1842" t="n"/>
      <c r="F645" s="1842" t="n"/>
      <c r="G645" s="1842" t="n"/>
      <c r="H645" s="1842" t="n"/>
      <c r="I645" s="1842" t="n"/>
      <c r="J645" s="1842" t="n"/>
      <c r="K645" s="1842" t="n"/>
      <c r="L645" s="1842" t="n"/>
      <c r="M645" s="1842" t="n"/>
      <c r="N645" s="1842" t="n"/>
      <c r="O645" s="1842" t="n"/>
      <c r="P645" s="1842" t="n"/>
      <c r="Q645" s="1842" t="n"/>
      <c r="R645" s="1842" t="n"/>
      <c r="S645" s="1842" t="n"/>
      <c r="T645" s="1842" t="n"/>
      <c r="U645" s="1842" t="n"/>
      <c r="V645" s="1842" t="n"/>
      <c r="W645" s="1842" t="n"/>
      <c r="X645" s="1842" t="n"/>
      <c r="Y645" s="1842" t="n"/>
      <c r="Z645" s="1842" t="n"/>
      <c r="AA645" s="1842" t="n"/>
      <c r="AB645" s="1842" t="n"/>
      <c r="AC645" s="1842" t="n"/>
      <c r="AD645" s="1842" t="n"/>
      <c r="AE645" s="1842" t="n"/>
      <c r="AF645" s="1842" t="n"/>
    </row>
    <row r="646" ht="13.5" customHeight="1" s="1883">
      <c r="A646" s="1842" t="n"/>
      <c r="B646" s="1842" t="n"/>
      <c r="C646" s="1842" t="n"/>
      <c r="D646" s="1842" t="n"/>
      <c r="E646" s="1842" t="n"/>
      <c r="F646" s="1842" t="n"/>
      <c r="G646" s="1842" t="n"/>
      <c r="H646" s="1842" t="n"/>
      <c r="I646" s="1842" t="n"/>
      <c r="J646" s="1842" t="n"/>
      <c r="K646" s="1842" t="n"/>
      <c r="L646" s="1842" t="n"/>
      <c r="M646" s="1842" t="n"/>
      <c r="N646" s="1842" t="n"/>
      <c r="O646" s="1842" t="n"/>
      <c r="P646" s="1842" t="n"/>
      <c r="Q646" s="1842" t="n"/>
      <c r="R646" s="1842" t="n"/>
      <c r="S646" s="1842" t="n"/>
      <c r="T646" s="1842" t="n"/>
      <c r="U646" s="1842" t="n"/>
      <c r="V646" s="1842" t="n"/>
      <c r="W646" s="1842" t="n"/>
      <c r="X646" s="1842" t="n"/>
      <c r="Y646" s="1842" t="n"/>
      <c r="Z646" s="1842" t="n"/>
      <c r="AA646" s="1842" t="n"/>
      <c r="AB646" s="1842" t="n"/>
      <c r="AC646" s="1842" t="n"/>
      <c r="AD646" s="1842" t="n"/>
      <c r="AE646" s="1842" t="n"/>
      <c r="AF646" s="1842" t="n"/>
    </row>
    <row r="647" ht="13.5" customHeight="1" s="1883">
      <c r="A647" s="1842" t="n"/>
      <c r="B647" s="1842" t="n"/>
      <c r="C647" s="1842" t="n"/>
      <c r="D647" s="1842" t="n"/>
      <c r="E647" s="1842" t="n"/>
      <c r="F647" s="1842" t="n"/>
      <c r="G647" s="1842" t="n"/>
      <c r="H647" s="1842" t="n"/>
      <c r="I647" s="1842" t="n"/>
      <c r="J647" s="1842" t="n"/>
      <c r="K647" s="1842" t="n"/>
      <c r="L647" s="1842" t="n"/>
      <c r="M647" s="1842" t="n"/>
      <c r="N647" s="1842" t="n"/>
      <c r="O647" s="1842" t="n"/>
      <c r="P647" s="1842" t="n"/>
      <c r="Q647" s="1842" t="n"/>
      <c r="R647" s="1842" t="n"/>
      <c r="S647" s="1842" t="n"/>
      <c r="T647" s="1842" t="n"/>
      <c r="U647" s="1842" t="n"/>
      <c r="V647" s="1842" t="n"/>
      <c r="W647" s="1842" t="n"/>
      <c r="X647" s="1842" t="n"/>
      <c r="Y647" s="1842" t="n"/>
      <c r="Z647" s="1842" t="n"/>
      <c r="AA647" s="1842" t="n"/>
      <c r="AB647" s="1842" t="n"/>
      <c r="AC647" s="1842" t="n"/>
      <c r="AD647" s="1842" t="n"/>
      <c r="AE647" s="1842" t="n"/>
      <c r="AF647" s="1842" t="n"/>
    </row>
    <row r="648" ht="13.5" customHeight="1" s="1883">
      <c r="A648" s="1842" t="n"/>
      <c r="B648" s="1842" t="n"/>
      <c r="C648" s="1842" t="n"/>
      <c r="D648" s="1842" t="n"/>
      <c r="E648" s="1842" t="n"/>
      <c r="F648" s="1842" t="n"/>
      <c r="G648" s="1842" t="n"/>
      <c r="H648" s="1842" t="n"/>
      <c r="I648" s="1842" t="n"/>
      <c r="J648" s="1842" t="n"/>
      <c r="K648" s="1842" t="n"/>
      <c r="L648" s="1842" t="n"/>
      <c r="M648" s="1842" t="n"/>
      <c r="N648" s="1842" t="n"/>
      <c r="O648" s="1842" t="n"/>
      <c r="P648" s="1842" t="n"/>
      <c r="Q648" s="1842" t="n"/>
      <c r="R648" s="1842" t="n"/>
      <c r="S648" s="1842" t="n"/>
      <c r="T648" s="1842" t="n"/>
      <c r="U648" s="1842" t="n"/>
      <c r="V648" s="1842" t="n"/>
      <c r="W648" s="1842" t="n"/>
      <c r="X648" s="1842" t="n"/>
      <c r="Y648" s="1842" t="n"/>
      <c r="Z648" s="1842" t="n"/>
      <c r="AA648" s="1842" t="n"/>
      <c r="AB648" s="1842" t="n"/>
      <c r="AC648" s="1842" t="n"/>
      <c r="AD648" s="1842" t="n"/>
      <c r="AE648" s="1842" t="n"/>
      <c r="AF648" s="1842" t="n"/>
    </row>
    <row r="649" ht="13.5" customHeight="1" s="1883">
      <c r="A649" s="1842" t="n"/>
      <c r="B649" s="1842" t="n"/>
      <c r="C649" s="1842" t="n"/>
      <c r="D649" s="1842" t="n"/>
      <c r="E649" s="1842" t="n"/>
      <c r="F649" s="1842" t="n"/>
      <c r="G649" s="1842" t="n"/>
      <c r="H649" s="1842" t="n"/>
      <c r="I649" s="1842" t="n"/>
      <c r="J649" s="1842" t="n"/>
      <c r="K649" s="1842" t="n"/>
      <c r="L649" s="1842" t="n"/>
      <c r="M649" s="1842" t="n"/>
      <c r="N649" s="1842" t="n"/>
      <c r="O649" s="1842" t="n"/>
      <c r="P649" s="1842" t="n"/>
      <c r="Q649" s="1842" t="n"/>
      <c r="R649" s="1842" t="n"/>
      <c r="S649" s="1842" t="n"/>
      <c r="T649" s="1842" t="n"/>
      <c r="U649" s="1842" t="n"/>
      <c r="V649" s="1842" t="n"/>
      <c r="W649" s="1842" t="n"/>
      <c r="X649" s="1842" t="n"/>
      <c r="Y649" s="1842" t="n"/>
      <c r="Z649" s="1842" t="n"/>
      <c r="AA649" s="1842" t="n"/>
      <c r="AB649" s="1842" t="n"/>
      <c r="AC649" s="1842" t="n"/>
      <c r="AD649" s="1842" t="n"/>
      <c r="AE649" s="1842" t="n"/>
      <c r="AF649" s="1842" t="n"/>
    </row>
    <row r="650" ht="13.5" customHeight="1" s="1883">
      <c r="A650" s="1842" t="n"/>
      <c r="B650" s="1842" t="n"/>
      <c r="C650" s="1842" t="n"/>
      <c r="D650" s="1842" t="n"/>
      <c r="E650" s="1842" t="n"/>
      <c r="F650" s="1842" t="n"/>
      <c r="G650" s="1842" t="n"/>
      <c r="H650" s="1842" t="n"/>
      <c r="I650" s="1842" t="n"/>
      <c r="J650" s="1842" t="n"/>
      <c r="K650" s="1842" t="n"/>
      <c r="L650" s="1842" t="n"/>
      <c r="M650" s="1842" t="n"/>
      <c r="N650" s="1842" t="n"/>
      <c r="O650" s="1842" t="n"/>
      <c r="P650" s="1842" t="n"/>
      <c r="Q650" s="1842" t="n"/>
      <c r="R650" s="1842" t="n"/>
      <c r="S650" s="1842" t="n"/>
      <c r="T650" s="1842" t="n"/>
      <c r="U650" s="1842" t="n"/>
      <c r="V650" s="1842" t="n"/>
      <c r="W650" s="1842" t="n"/>
      <c r="X650" s="1842" t="n"/>
      <c r="Y650" s="1842" t="n"/>
      <c r="Z650" s="1842" t="n"/>
      <c r="AA650" s="1842" t="n"/>
      <c r="AB650" s="1842" t="n"/>
      <c r="AC650" s="1842" t="n"/>
      <c r="AD650" s="1842" t="n"/>
      <c r="AE650" s="1842" t="n"/>
      <c r="AF650" s="1842" t="n"/>
    </row>
    <row r="651" ht="13.5" customHeight="1" s="1883">
      <c r="A651" s="1842" t="n"/>
      <c r="B651" s="1842" t="n"/>
      <c r="C651" s="1842" t="n"/>
      <c r="D651" s="1842" t="n"/>
      <c r="E651" s="1842" t="n"/>
      <c r="F651" s="1842" t="n"/>
      <c r="G651" s="1842" t="n"/>
      <c r="H651" s="1842" t="n"/>
      <c r="I651" s="1842" t="n"/>
      <c r="J651" s="1842" t="n"/>
      <c r="K651" s="1842" t="n"/>
      <c r="L651" s="1842" t="n"/>
      <c r="M651" s="1842" t="n"/>
      <c r="N651" s="1842" t="n"/>
      <c r="O651" s="1842" t="n"/>
      <c r="P651" s="1842" t="n"/>
      <c r="Q651" s="1842" t="n"/>
      <c r="R651" s="1842" t="n"/>
      <c r="S651" s="1842" t="n"/>
      <c r="T651" s="1842" t="n"/>
      <c r="U651" s="1842" t="n"/>
      <c r="V651" s="1842" t="n"/>
      <c r="W651" s="1842" t="n"/>
      <c r="X651" s="1842" t="n"/>
      <c r="Y651" s="1842" t="n"/>
      <c r="Z651" s="1842" t="n"/>
      <c r="AA651" s="1842" t="n"/>
      <c r="AB651" s="1842" t="n"/>
      <c r="AC651" s="1842" t="n"/>
      <c r="AD651" s="1842" t="n"/>
      <c r="AE651" s="1842" t="n"/>
      <c r="AF651" s="1842" t="n"/>
    </row>
    <row r="652" ht="13.5" customHeight="1" s="1883">
      <c r="A652" s="1842" t="n"/>
      <c r="B652" s="1842" t="n"/>
      <c r="C652" s="1842" t="n"/>
      <c r="D652" s="1842" t="n"/>
      <c r="E652" s="1842" t="n"/>
      <c r="F652" s="1842" t="n"/>
      <c r="G652" s="1842" t="n"/>
      <c r="H652" s="1842" t="n"/>
      <c r="I652" s="1842" t="n"/>
      <c r="J652" s="1842" t="n"/>
      <c r="K652" s="1842" t="n"/>
      <c r="L652" s="1842" t="n"/>
      <c r="M652" s="1842" t="n"/>
      <c r="N652" s="1842" t="n"/>
      <c r="O652" s="1842" t="n"/>
      <c r="P652" s="1842" t="n"/>
      <c r="Q652" s="1842" t="n"/>
      <c r="R652" s="1842" t="n"/>
      <c r="S652" s="1842" t="n"/>
      <c r="T652" s="1842" t="n"/>
      <c r="U652" s="1842" t="n"/>
      <c r="V652" s="1842" t="n"/>
      <c r="W652" s="1842" t="n"/>
      <c r="X652" s="1842" t="n"/>
      <c r="Y652" s="1842" t="n"/>
      <c r="Z652" s="1842" t="n"/>
      <c r="AA652" s="1842" t="n"/>
      <c r="AB652" s="1842" t="n"/>
      <c r="AC652" s="1842" t="n"/>
      <c r="AD652" s="1842" t="n"/>
      <c r="AE652" s="1842" t="n"/>
      <c r="AF652" s="1842" t="n"/>
    </row>
    <row r="653" ht="13.5" customHeight="1" s="1883">
      <c r="A653" s="1842" t="n"/>
      <c r="B653" s="1842" t="n"/>
      <c r="C653" s="1842" t="n"/>
      <c r="D653" s="1842" t="n"/>
      <c r="E653" s="1842" t="n"/>
      <c r="F653" s="1842" t="n"/>
      <c r="G653" s="1842" t="n"/>
      <c r="H653" s="1842" t="n"/>
      <c r="I653" s="1842" t="n"/>
      <c r="J653" s="1842" t="n"/>
      <c r="K653" s="1842" t="n"/>
      <c r="L653" s="1842" t="n"/>
      <c r="M653" s="1842" t="n"/>
      <c r="N653" s="1842" t="n"/>
      <c r="O653" s="1842" t="n"/>
      <c r="P653" s="1842" t="n"/>
      <c r="Q653" s="1842" t="n"/>
      <c r="R653" s="1842" t="n"/>
      <c r="S653" s="1842" t="n"/>
      <c r="T653" s="1842" t="n"/>
      <c r="U653" s="1842" t="n"/>
      <c r="V653" s="1842" t="n"/>
      <c r="W653" s="1842" t="n"/>
      <c r="X653" s="1842" t="n"/>
      <c r="Y653" s="1842" t="n"/>
      <c r="Z653" s="1842" t="n"/>
      <c r="AA653" s="1842" t="n"/>
      <c r="AB653" s="1842" t="n"/>
      <c r="AC653" s="1842" t="n"/>
      <c r="AD653" s="1842" t="n"/>
      <c r="AE653" s="1842" t="n"/>
      <c r="AF653" s="1842" t="n"/>
    </row>
    <row r="654" ht="13.5" customHeight="1" s="1883">
      <c r="A654" s="1842" t="n"/>
      <c r="B654" s="1842" t="n"/>
      <c r="C654" s="1842" t="n"/>
      <c r="D654" s="1842" t="n"/>
      <c r="E654" s="1842" t="n"/>
      <c r="F654" s="1842" t="n"/>
      <c r="G654" s="1842" t="n"/>
      <c r="H654" s="1842" t="n"/>
      <c r="I654" s="1842" t="n"/>
      <c r="J654" s="1842" t="n"/>
      <c r="K654" s="1842" t="n"/>
      <c r="L654" s="1842" t="n"/>
      <c r="M654" s="1842" t="n"/>
      <c r="N654" s="1842" t="n"/>
      <c r="O654" s="1842" t="n"/>
      <c r="P654" s="1842" t="n"/>
      <c r="Q654" s="1842" t="n"/>
      <c r="R654" s="1842" t="n"/>
      <c r="S654" s="1842" t="n"/>
      <c r="T654" s="1842" t="n"/>
      <c r="U654" s="1842" t="n"/>
      <c r="V654" s="1842" t="n"/>
      <c r="W654" s="1842" t="n"/>
      <c r="X654" s="1842" t="n"/>
      <c r="Y654" s="1842" t="n"/>
      <c r="Z654" s="1842" t="n"/>
      <c r="AA654" s="1842" t="n"/>
      <c r="AB654" s="1842" t="n"/>
      <c r="AC654" s="1842" t="n"/>
      <c r="AD654" s="1842" t="n"/>
      <c r="AE654" s="1842" t="n"/>
      <c r="AF654" s="1842" t="n"/>
    </row>
    <row r="655" ht="13.5" customHeight="1" s="1883">
      <c r="A655" s="1842" t="n"/>
      <c r="B655" s="1842" t="n"/>
      <c r="C655" s="1842" t="n"/>
      <c r="D655" s="1842" t="n"/>
      <c r="E655" s="1842" t="n"/>
      <c r="F655" s="1842" t="n"/>
      <c r="G655" s="1842" t="n"/>
      <c r="H655" s="1842" t="n"/>
      <c r="I655" s="1842" t="n"/>
      <c r="J655" s="1842" t="n"/>
      <c r="K655" s="1842" t="n"/>
      <c r="L655" s="1842" t="n"/>
      <c r="M655" s="1842" t="n"/>
      <c r="N655" s="1842" t="n"/>
      <c r="O655" s="1842" t="n"/>
      <c r="P655" s="1842" t="n"/>
      <c r="Q655" s="1842" t="n"/>
      <c r="R655" s="1842" t="n"/>
      <c r="S655" s="1842" t="n"/>
      <c r="T655" s="1842" t="n"/>
      <c r="U655" s="1842" t="n"/>
      <c r="V655" s="1842" t="n"/>
      <c r="W655" s="1842" t="n"/>
      <c r="X655" s="1842" t="n"/>
      <c r="Y655" s="1842" t="n"/>
      <c r="Z655" s="1842" t="n"/>
      <c r="AA655" s="1842" t="n"/>
      <c r="AB655" s="1842" t="n"/>
      <c r="AC655" s="1842" t="n"/>
      <c r="AD655" s="1842" t="n"/>
      <c r="AE655" s="1842" t="n"/>
      <c r="AF655" s="1842" t="n"/>
    </row>
    <row r="656" ht="13.5" customHeight="1" s="1883">
      <c r="A656" s="1842" t="n"/>
      <c r="B656" s="1842" t="n"/>
      <c r="C656" s="1842" t="n"/>
      <c r="D656" s="1842" t="n"/>
      <c r="E656" s="1842" t="n"/>
      <c r="F656" s="1842" t="n"/>
      <c r="G656" s="1842" t="n"/>
      <c r="H656" s="1842" t="n"/>
      <c r="I656" s="1842" t="n"/>
      <c r="J656" s="1842" t="n"/>
      <c r="K656" s="1842" t="n"/>
      <c r="L656" s="1842" t="n"/>
      <c r="M656" s="1842" t="n"/>
      <c r="N656" s="1842" t="n"/>
      <c r="O656" s="1842" t="n"/>
      <c r="P656" s="1842" t="n"/>
      <c r="Q656" s="1842" t="n"/>
      <c r="R656" s="1842" t="n"/>
      <c r="S656" s="1842" t="n"/>
      <c r="T656" s="1842" t="n"/>
      <c r="U656" s="1842" t="n"/>
      <c r="V656" s="1842" t="n"/>
      <c r="W656" s="1842" t="n"/>
      <c r="X656" s="1842" t="n"/>
      <c r="Y656" s="1842" t="n"/>
      <c r="Z656" s="1842" t="n"/>
      <c r="AA656" s="1842" t="n"/>
      <c r="AB656" s="1842" t="n"/>
      <c r="AC656" s="1842" t="n"/>
      <c r="AD656" s="1842" t="n"/>
      <c r="AE656" s="1842" t="n"/>
      <c r="AF656" s="1842" t="n"/>
    </row>
    <row r="657" ht="13.5" customHeight="1" s="1883">
      <c r="A657" s="1842" t="n"/>
      <c r="B657" s="1842" t="n"/>
      <c r="C657" s="1842" t="n"/>
      <c r="D657" s="1842" t="n"/>
      <c r="E657" s="1842" t="n"/>
      <c r="F657" s="1842" t="n"/>
      <c r="G657" s="1842" t="n"/>
      <c r="H657" s="1842" t="n"/>
      <c r="I657" s="1842" t="n"/>
      <c r="J657" s="1842" t="n"/>
      <c r="K657" s="1842" t="n"/>
      <c r="L657" s="1842" t="n"/>
      <c r="M657" s="1842" t="n"/>
      <c r="N657" s="1842" t="n"/>
      <c r="O657" s="1842" t="n"/>
      <c r="P657" s="1842" t="n"/>
      <c r="Q657" s="1842" t="n"/>
      <c r="R657" s="1842" t="n"/>
      <c r="S657" s="1842" t="n"/>
      <c r="T657" s="1842" t="n"/>
      <c r="U657" s="1842" t="n"/>
      <c r="V657" s="1842" t="n"/>
      <c r="W657" s="1842" t="n"/>
      <c r="X657" s="1842" t="n"/>
      <c r="Y657" s="1842" t="n"/>
      <c r="Z657" s="1842" t="n"/>
      <c r="AA657" s="1842" t="n"/>
      <c r="AB657" s="1842" t="n"/>
      <c r="AC657" s="1842" t="n"/>
      <c r="AD657" s="1842" t="n"/>
      <c r="AE657" s="1842" t="n"/>
      <c r="AF657" s="1842" t="n"/>
    </row>
    <row r="658" ht="13.5" customHeight="1" s="1883">
      <c r="A658" s="1842" t="n"/>
      <c r="B658" s="1842" t="n"/>
      <c r="C658" s="1842" t="n"/>
      <c r="D658" s="1842" t="n"/>
      <c r="E658" s="1842" t="n"/>
      <c r="F658" s="1842" t="n"/>
      <c r="G658" s="1842" t="n"/>
      <c r="H658" s="1842" t="n"/>
      <c r="I658" s="1842" t="n"/>
      <c r="J658" s="1842" t="n"/>
      <c r="K658" s="1842" t="n"/>
      <c r="L658" s="1842" t="n"/>
      <c r="M658" s="1842" t="n"/>
      <c r="N658" s="1842" t="n"/>
      <c r="O658" s="1842" t="n"/>
      <c r="P658" s="1842" t="n"/>
      <c r="Q658" s="1842" t="n"/>
      <c r="R658" s="1842" t="n"/>
      <c r="S658" s="1842" t="n"/>
      <c r="T658" s="1842" t="n"/>
      <c r="U658" s="1842" t="n"/>
      <c r="V658" s="1842" t="n"/>
      <c r="W658" s="1842" t="n"/>
      <c r="X658" s="1842" t="n"/>
      <c r="Y658" s="1842" t="n"/>
      <c r="Z658" s="1842" t="n"/>
      <c r="AA658" s="1842" t="n"/>
      <c r="AB658" s="1842" t="n"/>
      <c r="AC658" s="1842" t="n"/>
      <c r="AD658" s="1842" t="n"/>
      <c r="AE658" s="1842" t="n"/>
      <c r="AF658" s="1842" t="n"/>
    </row>
    <row r="659" ht="13.5" customHeight="1" s="1883">
      <c r="A659" s="1842" t="n"/>
      <c r="B659" s="1842" t="n"/>
      <c r="C659" s="1842" t="n"/>
      <c r="D659" s="1842" t="n"/>
      <c r="E659" s="1842" t="n"/>
      <c r="F659" s="1842" t="n"/>
      <c r="G659" s="1842" t="n"/>
      <c r="H659" s="1842" t="n"/>
      <c r="I659" s="1842" t="n"/>
      <c r="J659" s="1842" t="n"/>
      <c r="K659" s="1842" t="n"/>
      <c r="L659" s="1842" t="n"/>
      <c r="M659" s="1842" t="n"/>
      <c r="N659" s="1842" t="n"/>
      <c r="O659" s="1842" t="n"/>
      <c r="P659" s="1842" t="n"/>
      <c r="Q659" s="1842" t="n"/>
      <c r="R659" s="1842" t="n"/>
      <c r="S659" s="1842" t="n"/>
      <c r="T659" s="1842" t="n"/>
      <c r="U659" s="1842" t="n"/>
      <c r="V659" s="1842" t="n"/>
      <c r="W659" s="1842" t="n"/>
      <c r="X659" s="1842" t="n"/>
      <c r="Y659" s="1842" t="n"/>
      <c r="Z659" s="1842" t="n"/>
      <c r="AA659" s="1842" t="n"/>
      <c r="AB659" s="1842" t="n"/>
      <c r="AC659" s="1842" t="n"/>
      <c r="AD659" s="1842" t="n"/>
      <c r="AE659" s="1842" t="n"/>
      <c r="AF659" s="1842" t="n"/>
    </row>
    <row r="660" ht="13.5" customHeight="1" s="1883">
      <c r="A660" s="1842" t="n"/>
      <c r="B660" s="1842" t="n"/>
      <c r="C660" s="1842" t="n"/>
      <c r="D660" s="1842" t="n"/>
      <c r="E660" s="1842" t="n"/>
      <c r="F660" s="1842" t="n"/>
      <c r="G660" s="1842" t="n"/>
      <c r="H660" s="1842" t="n"/>
      <c r="I660" s="1842" t="n"/>
      <c r="J660" s="1842" t="n"/>
      <c r="K660" s="1842" t="n"/>
      <c r="L660" s="1842" t="n"/>
      <c r="M660" s="1842" t="n"/>
      <c r="N660" s="1842" t="n"/>
      <c r="O660" s="1842" t="n"/>
      <c r="P660" s="1842" t="n"/>
      <c r="Q660" s="1842" t="n"/>
      <c r="R660" s="1842" t="n"/>
      <c r="S660" s="1842" t="n"/>
      <c r="T660" s="1842" t="n"/>
      <c r="U660" s="1842" t="n"/>
      <c r="V660" s="1842" t="n"/>
      <c r="W660" s="1842" t="n"/>
      <c r="X660" s="1842" t="n"/>
      <c r="Y660" s="1842" t="n"/>
      <c r="Z660" s="1842" t="n"/>
      <c r="AA660" s="1842" t="n"/>
      <c r="AB660" s="1842" t="n"/>
      <c r="AC660" s="1842" t="n"/>
      <c r="AD660" s="1842" t="n"/>
      <c r="AE660" s="1842" t="n"/>
      <c r="AF660" s="1842" t="n"/>
    </row>
    <row r="661" ht="13.5" customHeight="1" s="1883">
      <c r="A661" s="1842" t="n"/>
      <c r="B661" s="1842" t="n"/>
      <c r="C661" s="1842" t="n"/>
      <c r="D661" s="1842" t="n"/>
      <c r="E661" s="1842" t="n"/>
      <c r="F661" s="1842" t="n"/>
      <c r="G661" s="1842" t="n"/>
      <c r="H661" s="1842" t="n"/>
      <c r="I661" s="1842" t="n"/>
      <c r="J661" s="1842" t="n"/>
      <c r="K661" s="1842" t="n"/>
      <c r="L661" s="1842" t="n"/>
      <c r="M661" s="1842" t="n"/>
      <c r="N661" s="1842" t="n"/>
      <c r="O661" s="1842" t="n"/>
      <c r="P661" s="1842" t="n"/>
      <c r="Q661" s="1842" t="n"/>
      <c r="R661" s="1842" t="n"/>
      <c r="S661" s="1842" t="n"/>
      <c r="T661" s="1842" t="n"/>
      <c r="U661" s="1842" t="n"/>
      <c r="V661" s="1842" t="n"/>
      <c r="W661" s="1842" t="n"/>
      <c r="X661" s="1842" t="n"/>
      <c r="Y661" s="1842" t="n"/>
      <c r="Z661" s="1842" t="n"/>
      <c r="AA661" s="1842" t="n"/>
      <c r="AB661" s="1842" t="n"/>
      <c r="AC661" s="1842" t="n"/>
      <c r="AD661" s="1842" t="n"/>
      <c r="AE661" s="1842" t="n"/>
      <c r="AF661" s="1842" t="n"/>
    </row>
    <row r="662" ht="13.5" customHeight="1" s="1883">
      <c r="A662" s="1842" t="n"/>
      <c r="B662" s="1842" t="n"/>
      <c r="C662" s="1842" t="n"/>
      <c r="D662" s="1842" t="n"/>
      <c r="E662" s="1842" t="n"/>
      <c r="F662" s="1842" t="n"/>
      <c r="G662" s="1842" t="n"/>
      <c r="H662" s="1842" t="n"/>
      <c r="I662" s="1842" t="n"/>
      <c r="J662" s="1842" t="n"/>
      <c r="K662" s="1842" t="n"/>
      <c r="L662" s="1842" t="n"/>
      <c r="M662" s="1842" t="n"/>
      <c r="N662" s="1842" t="n"/>
      <c r="O662" s="1842" t="n"/>
      <c r="P662" s="1842" t="n"/>
      <c r="Q662" s="1842" t="n"/>
      <c r="R662" s="1842" t="n"/>
      <c r="S662" s="1842" t="n"/>
      <c r="T662" s="1842" t="n"/>
      <c r="U662" s="1842" t="n"/>
      <c r="V662" s="1842" t="n"/>
      <c r="W662" s="1842" t="n"/>
      <c r="X662" s="1842" t="n"/>
      <c r="Y662" s="1842" t="n"/>
      <c r="Z662" s="1842" t="n"/>
      <c r="AA662" s="1842" t="n"/>
      <c r="AB662" s="1842" t="n"/>
      <c r="AC662" s="1842" t="n"/>
      <c r="AD662" s="1842" t="n"/>
      <c r="AE662" s="1842" t="n"/>
      <c r="AF662" s="1842" t="n"/>
    </row>
    <row r="663" ht="13.5" customHeight="1" s="1883">
      <c r="A663" s="1842" t="n"/>
      <c r="B663" s="1842" t="n"/>
      <c r="C663" s="1842" t="n"/>
      <c r="D663" s="1842" t="n"/>
      <c r="E663" s="1842" t="n"/>
      <c r="F663" s="1842" t="n"/>
      <c r="G663" s="1842" t="n"/>
      <c r="H663" s="1842" t="n"/>
      <c r="I663" s="1842" t="n"/>
      <c r="J663" s="1842" t="n"/>
      <c r="K663" s="1842" t="n"/>
      <c r="L663" s="1842" t="n"/>
      <c r="M663" s="1842" t="n"/>
      <c r="N663" s="1842" t="n"/>
      <c r="O663" s="1842" t="n"/>
      <c r="P663" s="1842" t="n"/>
      <c r="Q663" s="1842" t="n"/>
      <c r="R663" s="1842" t="n"/>
      <c r="S663" s="1842" t="n"/>
      <c r="T663" s="1842" t="n"/>
      <c r="U663" s="1842" t="n"/>
      <c r="V663" s="1842" t="n"/>
      <c r="W663" s="1842" t="n"/>
      <c r="X663" s="1842" t="n"/>
      <c r="Y663" s="1842" t="n"/>
      <c r="Z663" s="1842" t="n"/>
      <c r="AA663" s="1842" t="n"/>
      <c r="AB663" s="1842" t="n"/>
      <c r="AC663" s="1842" t="n"/>
      <c r="AD663" s="1842" t="n"/>
      <c r="AE663" s="1842" t="n"/>
      <c r="AF663" s="1842" t="n"/>
    </row>
    <row r="664" ht="13.5" customHeight="1" s="1883">
      <c r="A664" s="1842" t="n"/>
      <c r="B664" s="1842" t="n"/>
      <c r="C664" s="1842" t="n"/>
      <c r="D664" s="1842" t="n"/>
      <c r="E664" s="1842" t="n"/>
      <c r="F664" s="1842" t="n"/>
      <c r="G664" s="1842" t="n"/>
      <c r="H664" s="1842" t="n"/>
      <c r="I664" s="1842" t="n"/>
      <c r="J664" s="1842" t="n"/>
      <c r="K664" s="1842" t="n"/>
      <c r="L664" s="1842" t="n"/>
      <c r="M664" s="1842" t="n"/>
      <c r="N664" s="1842" t="n"/>
      <c r="O664" s="1842" t="n"/>
      <c r="P664" s="1842" t="n"/>
      <c r="Q664" s="1842" t="n"/>
      <c r="R664" s="1842" t="n"/>
      <c r="S664" s="1842" t="n"/>
      <c r="T664" s="1842" t="n"/>
      <c r="U664" s="1842" t="n"/>
      <c r="V664" s="1842" t="n"/>
      <c r="W664" s="1842" t="n"/>
      <c r="X664" s="1842" t="n"/>
      <c r="Y664" s="1842" t="n"/>
      <c r="Z664" s="1842" t="n"/>
      <c r="AA664" s="1842" t="n"/>
      <c r="AB664" s="1842" t="n"/>
      <c r="AC664" s="1842" t="n"/>
      <c r="AD664" s="1842" t="n"/>
      <c r="AE664" s="1842" t="n"/>
      <c r="AF664" s="1842" t="n"/>
    </row>
    <row r="665" ht="13.5" customHeight="1" s="1883">
      <c r="A665" s="1842" t="n"/>
      <c r="B665" s="1842" t="n"/>
      <c r="C665" s="1842" t="n"/>
      <c r="D665" s="1842" t="n"/>
      <c r="E665" s="1842" t="n"/>
      <c r="F665" s="1842" t="n"/>
      <c r="G665" s="1842" t="n"/>
      <c r="H665" s="1842" t="n"/>
      <c r="I665" s="1842" t="n"/>
      <c r="J665" s="1842" t="n"/>
      <c r="K665" s="1842" t="n"/>
      <c r="L665" s="1842" t="n"/>
      <c r="M665" s="1842" t="n"/>
      <c r="N665" s="1842" t="n"/>
      <c r="O665" s="1842" t="n"/>
      <c r="P665" s="1842" t="n"/>
      <c r="Q665" s="1842" t="n"/>
      <c r="R665" s="1842" t="n"/>
      <c r="S665" s="1842" t="n"/>
      <c r="T665" s="1842" t="n"/>
      <c r="U665" s="1842" t="n"/>
      <c r="V665" s="1842" t="n"/>
      <c r="W665" s="1842" t="n"/>
      <c r="X665" s="1842" t="n"/>
      <c r="Y665" s="1842" t="n"/>
      <c r="Z665" s="1842" t="n"/>
      <c r="AA665" s="1842" t="n"/>
      <c r="AB665" s="1842" t="n"/>
      <c r="AC665" s="1842" t="n"/>
      <c r="AD665" s="1842" t="n"/>
      <c r="AE665" s="1842" t="n"/>
      <c r="AF665" s="1842" t="n"/>
    </row>
    <row r="666" ht="13.5" customHeight="1" s="1883">
      <c r="A666" s="1842" t="n"/>
      <c r="B666" s="1842" t="n"/>
      <c r="C666" s="1842" t="n"/>
      <c r="D666" s="1842" t="n"/>
      <c r="E666" s="1842" t="n"/>
      <c r="F666" s="1842" t="n"/>
      <c r="G666" s="1842" t="n"/>
      <c r="H666" s="1842" t="n"/>
      <c r="I666" s="1842" t="n"/>
      <c r="J666" s="1842" t="n"/>
      <c r="K666" s="1842" t="n"/>
      <c r="L666" s="1842" t="n"/>
      <c r="M666" s="1842" t="n"/>
      <c r="N666" s="1842" t="n"/>
      <c r="O666" s="1842" t="n"/>
      <c r="P666" s="1842" t="n"/>
      <c r="Q666" s="1842" t="n"/>
      <c r="R666" s="1842" t="n"/>
      <c r="S666" s="1842" t="n"/>
      <c r="T666" s="1842" t="n"/>
      <c r="U666" s="1842" t="n"/>
      <c r="V666" s="1842" t="n"/>
      <c r="W666" s="1842" t="n"/>
      <c r="X666" s="1842" t="n"/>
      <c r="Y666" s="1842" t="n"/>
      <c r="Z666" s="1842" t="n"/>
      <c r="AA666" s="1842" t="n"/>
      <c r="AB666" s="1842" t="n"/>
      <c r="AC666" s="1842" t="n"/>
      <c r="AD666" s="1842" t="n"/>
      <c r="AE666" s="1842" t="n"/>
      <c r="AF666" s="1842" t="n"/>
    </row>
    <row r="667" ht="13.5" customHeight="1" s="1883">
      <c r="A667" s="1842" t="n"/>
      <c r="B667" s="1842" t="n"/>
      <c r="C667" s="1842" t="n"/>
      <c r="D667" s="1842" t="n"/>
      <c r="E667" s="1842" t="n"/>
      <c r="F667" s="1842" t="n"/>
      <c r="G667" s="1842" t="n"/>
      <c r="H667" s="1842" t="n"/>
      <c r="I667" s="1842" t="n"/>
      <c r="J667" s="1842" t="n"/>
      <c r="K667" s="1842" t="n"/>
      <c r="L667" s="1842" t="n"/>
      <c r="M667" s="1842" t="n"/>
      <c r="N667" s="1842" t="n"/>
      <c r="O667" s="1842" t="n"/>
      <c r="P667" s="1842" t="n"/>
      <c r="Q667" s="1842" t="n"/>
      <c r="R667" s="1842" t="n"/>
      <c r="S667" s="1842" t="n"/>
      <c r="T667" s="1842" t="n"/>
      <c r="U667" s="1842" t="n"/>
      <c r="V667" s="1842" t="n"/>
      <c r="W667" s="1842" t="n"/>
      <c r="X667" s="1842" t="n"/>
      <c r="Y667" s="1842" t="n"/>
      <c r="Z667" s="1842" t="n"/>
      <c r="AA667" s="1842" t="n"/>
      <c r="AB667" s="1842" t="n"/>
      <c r="AC667" s="1842" t="n"/>
      <c r="AD667" s="1842" t="n"/>
      <c r="AE667" s="1842" t="n"/>
      <c r="AF667" s="1842" t="n"/>
    </row>
    <row r="668" ht="13.5" customHeight="1" s="1883">
      <c r="A668" s="1842" t="n"/>
      <c r="B668" s="1842" t="n"/>
      <c r="C668" s="1842" t="n"/>
      <c r="D668" s="1842" t="n"/>
      <c r="E668" s="1842" t="n"/>
      <c r="F668" s="1842" t="n"/>
      <c r="G668" s="1842" t="n"/>
      <c r="H668" s="1842" t="n"/>
      <c r="I668" s="1842" t="n"/>
      <c r="J668" s="1842" t="n"/>
      <c r="K668" s="1842" t="n"/>
      <c r="L668" s="1842" t="n"/>
      <c r="M668" s="1842" t="n"/>
      <c r="N668" s="1842" t="n"/>
      <c r="O668" s="1842" t="n"/>
      <c r="P668" s="1842" t="n"/>
      <c r="Q668" s="1842" t="n"/>
      <c r="R668" s="1842" t="n"/>
      <c r="S668" s="1842" t="n"/>
      <c r="T668" s="1842" t="n"/>
      <c r="U668" s="1842" t="n"/>
      <c r="V668" s="1842" t="n"/>
      <c r="W668" s="1842" t="n"/>
      <c r="X668" s="1842" t="n"/>
      <c r="Y668" s="1842" t="n"/>
      <c r="Z668" s="1842" t="n"/>
      <c r="AA668" s="1842" t="n"/>
      <c r="AB668" s="1842" t="n"/>
      <c r="AC668" s="1842" t="n"/>
      <c r="AD668" s="1842" t="n"/>
      <c r="AE668" s="1842" t="n"/>
      <c r="AF668" s="1842" t="n"/>
    </row>
    <row r="669" ht="13.5" customHeight="1" s="1883">
      <c r="A669" s="1842" t="n"/>
      <c r="B669" s="1842" t="n"/>
      <c r="C669" s="1842" t="n"/>
      <c r="D669" s="1842" t="n"/>
      <c r="E669" s="1842" t="n"/>
      <c r="F669" s="1842" t="n"/>
      <c r="G669" s="1842" t="n"/>
      <c r="H669" s="1842" t="n"/>
      <c r="I669" s="1842" t="n"/>
      <c r="J669" s="1842" t="n"/>
      <c r="K669" s="1842" t="n"/>
      <c r="L669" s="1842" t="n"/>
      <c r="M669" s="1842" t="n"/>
      <c r="N669" s="1842" t="n"/>
      <c r="O669" s="1842" t="n"/>
      <c r="P669" s="1842" t="n"/>
      <c r="Q669" s="1842" t="n"/>
      <c r="R669" s="1842" t="n"/>
      <c r="S669" s="1842" t="n"/>
      <c r="T669" s="1842" t="n"/>
      <c r="U669" s="1842" t="n"/>
      <c r="V669" s="1842" t="n"/>
      <c r="W669" s="1842" t="n"/>
      <c r="X669" s="1842" t="n"/>
      <c r="Y669" s="1842" t="n"/>
      <c r="Z669" s="1842" t="n"/>
      <c r="AA669" s="1842" t="n"/>
      <c r="AB669" s="1842" t="n"/>
      <c r="AC669" s="1842" t="n"/>
      <c r="AD669" s="1842" t="n"/>
      <c r="AE669" s="1842" t="n"/>
      <c r="AF669" s="1842" t="n"/>
    </row>
    <row r="670" ht="13.5" customHeight="1" s="1883">
      <c r="A670" s="1842" t="n"/>
      <c r="B670" s="1842" t="n"/>
      <c r="C670" s="1842" t="n"/>
      <c r="D670" s="1842" t="n"/>
      <c r="E670" s="1842" t="n"/>
      <c r="F670" s="1842" t="n"/>
      <c r="G670" s="1842" t="n"/>
      <c r="H670" s="1842" t="n"/>
      <c r="I670" s="1842" t="n"/>
      <c r="J670" s="1842" t="n"/>
      <c r="K670" s="1842" t="n"/>
      <c r="L670" s="1842" t="n"/>
      <c r="M670" s="1842" t="n"/>
      <c r="N670" s="1842" t="n"/>
      <c r="O670" s="1842" t="n"/>
      <c r="P670" s="1842" t="n"/>
      <c r="Q670" s="1842" t="n"/>
      <c r="R670" s="1842" t="n"/>
      <c r="S670" s="1842" t="n"/>
      <c r="T670" s="1842" t="n"/>
      <c r="U670" s="1842" t="n"/>
      <c r="V670" s="1842" t="n"/>
      <c r="W670" s="1842" t="n"/>
      <c r="X670" s="1842" t="n"/>
      <c r="Y670" s="1842" t="n"/>
      <c r="Z670" s="1842" t="n"/>
      <c r="AA670" s="1842" t="n"/>
      <c r="AB670" s="1842" t="n"/>
      <c r="AC670" s="1842" t="n"/>
      <c r="AD670" s="1842" t="n"/>
      <c r="AE670" s="1842" t="n"/>
      <c r="AF670" s="1842" t="n"/>
    </row>
    <row r="671" ht="13.5" customHeight="1" s="1883">
      <c r="A671" s="1842" t="n"/>
      <c r="B671" s="1842" t="n"/>
      <c r="C671" s="1842" t="n"/>
      <c r="D671" s="1842" t="n"/>
      <c r="E671" s="1842" t="n"/>
      <c r="F671" s="1842" t="n"/>
      <c r="G671" s="1842" t="n"/>
      <c r="H671" s="1842" t="n"/>
      <c r="I671" s="1842" t="n"/>
      <c r="J671" s="1842" t="n"/>
      <c r="K671" s="1842" t="n"/>
      <c r="L671" s="1842" t="n"/>
      <c r="M671" s="1842" t="n"/>
      <c r="N671" s="1842" t="n"/>
      <c r="O671" s="1842" t="n"/>
      <c r="P671" s="1842" t="n"/>
      <c r="Q671" s="1842" t="n"/>
      <c r="R671" s="1842" t="n"/>
      <c r="S671" s="1842" t="n"/>
      <c r="T671" s="1842" t="n"/>
      <c r="U671" s="1842" t="n"/>
      <c r="V671" s="1842" t="n"/>
      <c r="W671" s="1842" t="n"/>
      <c r="X671" s="1842" t="n"/>
      <c r="Y671" s="1842" t="n"/>
      <c r="Z671" s="1842" t="n"/>
      <c r="AA671" s="1842" t="n"/>
      <c r="AB671" s="1842" t="n"/>
      <c r="AC671" s="1842" t="n"/>
      <c r="AD671" s="1842" t="n"/>
      <c r="AE671" s="1842" t="n"/>
      <c r="AF671" s="1842" t="n"/>
    </row>
    <row r="672" ht="13.5" customHeight="1" s="1883">
      <c r="A672" s="1842" t="n"/>
      <c r="B672" s="1842" t="n"/>
      <c r="C672" s="1842" t="n"/>
      <c r="D672" s="1842" t="n"/>
      <c r="E672" s="1842" t="n"/>
      <c r="F672" s="1842" t="n"/>
      <c r="G672" s="1842" t="n"/>
      <c r="H672" s="1842" t="n"/>
      <c r="I672" s="1842" t="n"/>
      <c r="J672" s="1842" t="n"/>
      <c r="K672" s="1842" t="n"/>
      <c r="L672" s="1842" t="n"/>
      <c r="M672" s="1842" t="n"/>
      <c r="N672" s="1842" t="n"/>
      <c r="O672" s="1842" t="n"/>
      <c r="P672" s="1842" t="n"/>
      <c r="Q672" s="1842" t="n"/>
      <c r="R672" s="1842" t="n"/>
      <c r="S672" s="1842" t="n"/>
      <c r="T672" s="1842" t="n"/>
      <c r="U672" s="1842" t="n"/>
      <c r="V672" s="1842" t="n"/>
      <c r="W672" s="1842" t="n"/>
      <c r="X672" s="1842" t="n"/>
      <c r="Y672" s="1842" t="n"/>
      <c r="Z672" s="1842" t="n"/>
      <c r="AA672" s="1842" t="n"/>
      <c r="AB672" s="1842" t="n"/>
      <c r="AC672" s="1842" t="n"/>
      <c r="AD672" s="1842" t="n"/>
      <c r="AE672" s="1842" t="n"/>
      <c r="AF672" s="1842" t="n"/>
    </row>
    <row r="673" ht="13.5" customHeight="1" s="1883">
      <c r="A673" s="1842" t="n"/>
      <c r="B673" s="1842" t="n"/>
      <c r="C673" s="1842" t="n"/>
      <c r="D673" s="1842" t="n"/>
      <c r="E673" s="1842" t="n"/>
      <c r="F673" s="1842" t="n"/>
      <c r="G673" s="1842" t="n"/>
      <c r="H673" s="1842" t="n"/>
      <c r="I673" s="1842" t="n"/>
      <c r="J673" s="1842" t="n"/>
      <c r="K673" s="1842" t="n"/>
      <c r="L673" s="1842" t="n"/>
      <c r="M673" s="1842" t="n"/>
      <c r="N673" s="1842" t="n"/>
      <c r="O673" s="1842" t="n"/>
      <c r="P673" s="1842" t="n"/>
      <c r="Q673" s="1842" t="n"/>
      <c r="R673" s="1842" t="n"/>
      <c r="S673" s="1842" t="n"/>
      <c r="T673" s="1842" t="n"/>
      <c r="U673" s="1842" t="n"/>
      <c r="V673" s="1842" t="n"/>
      <c r="W673" s="1842" t="n"/>
      <c r="X673" s="1842" t="n"/>
      <c r="Y673" s="1842" t="n"/>
      <c r="Z673" s="1842" t="n"/>
      <c r="AA673" s="1842" t="n"/>
      <c r="AB673" s="1842" t="n"/>
      <c r="AC673" s="1842" t="n"/>
      <c r="AD673" s="1842" t="n"/>
      <c r="AE673" s="1842" t="n"/>
      <c r="AF673" s="1842" t="n"/>
    </row>
    <row r="674" ht="13.5" customHeight="1" s="1883">
      <c r="A674" s="1842" t="n"/>
      <c r="B674" s="1842" t="n"/>
      <c r="C674" s="1842" t="n"/>
      <c r="D674" s="1842" t="n"/>
      <c r="E674" s="1842" t="n"/>
      <c r="F674" s="1842" t="n"/>
      <c r="G674" s="1842" t="n"/>
      <c r="H674" s="1842" t="n"/>
      <c r="I674" s="1842" t="n"/>
      <c r="J674" s="1842" t="n"/>
      <c r="K674" s="1842" t="n"/>
      <c r="L674" s="1842" t="n"/>
      <c r="M674" s="1842" t="n"/>
      <c r="N674" s="1842" t="n"/>
      <c r="O674" s="1842" t="n"/>
      <c r="P674" s="1842" t="n"/>
      <c r="Q674" s="1842" t="n"/>
      <c r="R674" s="1842" t="n"/>
      <c r="S674" s="1842" t="n"/>
      <c r="T674" s="1842" t="n"/>
      <c r="U674" s="1842" t="n"/>
      <c r="V674" s="1842" t="n"/>
      <c r="W674" s="1842" t="n"/>
      <c r="X674" s="1842" t="n"/>
      <c r="Y674" s="1842" t="n"/>
      <c r="Z674" s="1842" t="n"/>
      <c r="AA674" s="1842" t="n"/>
      <c r="AB674" s="1842" t="n"/>
      <c r="AC674" s="1842" t="n"/>
      <c r="AD674" s="1842" t="n"/>
      <c r="AE674" s="1842" t="n"/>
      <c r="AF674" s="1842" t="n"/>
    </row>
    <row r="675" ht="13.5" customHeight="1" s="1883">
      <c r="A675" s="1842" t="n"/>
      <c r="B675" s="1842" t="n"/>
      <c r="C675" s="1842" t="n"/>
      <c r="D675" s="1842" t="n"/>
      <c r="E675" s="1842" t="n"/>
      <c r="F675" s="1842" t="n"/>
      <c r="G675" s="1842" t="n"/>
      <c r="H675" s="1842" t="n"/>
      <c r="I675" s="1842" t="n"/>
      <c r="J675" s="1842" t="n"/>
      <c r="K675" s="1842" t="n"/>
      <c r="L675" s="1842" t="n"/>
      <c r="M675" s="1842" t="n"/>
      <c r="N675" s="1842" t="n"/>
      <c r="O675" s="1842" t="n"/>
      <c r="P675" s="1842" t="n"/>
      <c r="Q675" s="1842" t="n"/>
      <c r="R675" s="1842" t="n"/>
      <c r="S675" s="1842" t="n"/>
      <c r="T675" s="1842" t="n"/>
      <c r="U675" s="1842" t="n"/>
      <c r="V675" s="1842" t="n"/>
      <c r="W675" s="1842" t="n"/>
      <c r="X675" s="1842" t="n"/>
      <c r="Y675" s="1842" t="n"/>
      <c r="Z675" s="1842" t="n"/>
      <c r="AA675" s="1842" t="n"/>
      <c r="AB675" s="1842" t="n"/>
      <c r="AC675" s="1842" t="n"/>
      <c r="AD675" s="1842" t="n"/>
      <c r="AE675" s="1842" t="n"/>
      <c r="AF675" s="1842" t="n"/>
    </row>
    <row r="676" ht="13.5" customHeight="1" s="1883">
      <c r="A676" s="1842" t="n"/>
      <c r="B676" s="1842" t="n"/>
      <c r="C676" s="1842" t="n"/>
      <c r="D676" s="1842" t="n"/>
      <c r="E676" s="1842" t="n"/>
      <c r="F676" s="1842" t="n"/>
      <c r="G676" s="1842" t="n"/>
      <c r="H676" s="1842" t="n"/>
      <c r="I676" s="1842" t="n"/>
      <c r="J676" s="1842" t="n"/>
      <c r="K676" s="1842" t="n"/>
      <c r="L676" s="1842" t="n"/>
      <c r="M676" s="1842" t="n"/>
      <c r="N676" s="1842" t="n"/>
      <c r="O676" s="1842" t="n"/>
      <c r="P676" s="1842" t="n"/>
      <c r="Q676" s="1842" t="n"/>
      <c r="R676" s="1842" t="n"/>
      <c r="S676" s="1842" t="n"/>
      <c r="T676" s="1842" t="n"/>
      <c r="U676" s="1842" t="n"/>
      <c r="V676" s="1842" t="n"/>
      <c r="W676" s="1842" t="n"/>
      <c r="X676" s="1842" t="n"/>
      <c r="Y676" s="1842" t="n"/>
      <c r="Z676" s="1842" t="n"/>
      <c r="AA676" s="1842" t="n"/>
      <c r="AB676" s="1842" t="n"/>
      <c r="AC676" s="1842" t="n"/>
      <c r="AD676" s="1842" t="n"/>
      <c r="AE676" s="1842" t="n"/>
      <c r="AF676" s="1842" t="n"/>
    </row>
    <row r="677" ht="13.5" customHeight="1" s="1883">
      <c r="A677" s="1842" t="n"/>
      <c r="B677" s="1842" t="n"/>
      <c r="C677" s="1842" t="n"/>
      <c r="D677" s="1842" t="n"/>
      <c r="E677" s="1842" t="n"/>
      <c r="F677" s="1842" t="n"/>
      <c r="G677" s="1842" t="n"/>
      <c r="H677" s="1842" t="n"/>
      <c r="I677" s="1842" t="n"/>
      <c r="J677" s="1842" t="n"/>
      <c r="K677" s="1842" t="n"/>
      <c r="L677" s="1842" t="n"/>
      <c r="M677" s="1842" t="n"/>
      <c r="N677" s="1842" t="n"/>
      <c r="O677" s="1842" t="n"/>
      <c r="P677" s="1842" t="n"/>
      <c r="Q677" s="1842" t="n"/>
      <c r="R677" s="1842" t="n"/>
      <c r="S677" s="1842" t="n"/>
      <c r="T677" s="1842" t="n"/>
      <c r="U677" s="1842" t="n"/>
      <c r="V677" s="1842" t="n"/>
      <c r="W677" s="1842" t="n"/>
      <c r="X677" s="1842" t="n"/>
      <c r="Y677" s="1842" t="n"/>
      <c r="Z677" s="1842" t="n"/>
      <c r="AA677" s="1842" t="n"/>
      <c r="AB677" s="1842" t="n"/>
      <c r="AC677" s="1842" t="n"/>
      <c r="AD677" s="1842" t="n"/>
      <c r="AE677" s="1842" t="n"/>
      <c r="AF677" s="1842" t="n"/>
    </row>
    <row r="678" ht="13.5" customHeight="1" s="1883">
      <c r="A678" s="1842" t="n"/>
      <c r="B678" s="1842" t="n"/>
      <c r="C678" s="1842" t="n"/>
      <c r="D678" s="1842" t="n"/>
      <c r="E678" s="1842" t="n"/>
      <c r="F678" s="1842" t="n"/>
      <c r="G678" s="1842" t="n"/>
      <c r="H678" s="1842" t="n"/>
      <c r="I678" s="1842" t="n"/>
      <c r="J678" s="1842" t="n"/>
      <c r="K678" s="1842" t="n"/>
      <c r="L678" s="1842" t="n"/>
      <c r="M678" s="1842" t="n"/>
      <c r="N678" s="1842" t="n"/>
      <c r="O678" s="1842" t="n"/>
      <c r="P678" s="1842" t="n"/>
      <c r="Q678" s="1842" t="n"/>
      <c r="R678" s="1842" t="n"/>
      <c r="S678" s="1842" t="n"/>
      <c r="T678" s="1842" t="n"/>
      <c r="U678" s="1842" t="n"/>
      <c r="V678" s="1842" t="n"/>
      <c r="W678" s="1842" t="n"/>
      <c r="X678" s="1842" t="n"/>
      <c r="Y678" s="1842" t="n"/>
      <c r="Z678" s="1842" t="n"/>
      <c r="AA678" s="1842" t="n"/>
      <c r="AB678" s="1842" t="n"/>
      <c r="AC678" s="1842" t="n"/>
      <c r="AD678" s="1842" t="n"/>
      <c r="AE678" s="1842" t="n"/>
      <c r="AF678" s="1842" t="n"/>
    </row>
    <row r="679" ht="13.5" customHeight="1" s="1883">
      <c r="A679" s="1842" t="n"/>
      <c r="B679" s="1842" t="n"/>
      <c r="C679" s="1842" t="n"/>
      <c r="D679" s="1842" t="n"/>
      <c r="E679" s="1842" t="n"/>
      <c r="F679" s="1842" t="n"/>
      <c r="G679" s="1842" t="n"/>
      <c r="H679" s="1842" t="n"/>
      <c r="I679" s="1842" t="n"/>
      <c r="J679" s="1842" t="n"/>
      <c r="K679" s="1842" t="n"/>
      <c r="L679" s="1842" t="n"/>
      <c r="M679" s="1842" t="n"/>
      <c r="N679" s="1842" t="n"/>
      <c r="O679" s="1842" t="n"/>
      <c r="P679" s="1842" t="n"/>
      <c r="Q679" s="1842" t="n"/>
      <c r="R679" s="1842" t="n"/>
      <c r="S679" s="1842" t="n"/>
      <c r="T679" s="1842" t="n"/>
      <c r="U679" s="1842" t="n"/>
      <c r="V679" s="1842" t="n"/>
      <c r="W679" s="1842" t="n"/>
      <c r="X679" s="1842" t="n"/>
      <c r="Y679" s="1842" t="n"/>
      <c r="Z679" s="1842" t="n"/>
      <c r="AA679" s="1842" t="n"/>
      <c r="AB679" s="1842" t="n"/>
      <c r="AC679" s="1842" t="n"/>
      <c r="AD679" s="1842" t="n"/>
      <c r="AE679" s="1842" t="n"/>
      <c r="AF679" s="1842" t="n"/>
    </row>
    <row r="680" ht="13.5" customHeight="1" s="1883">
      <c r="A680" s="1842" t="n"/>
      <c r="B680" s="1842" t="n"/>
      <c r="C680" s="1842" t="n"/>
      <c r="D680" s="1842" t="n"/>
      <c r="E680" s="1842" t="n"/>
      <c r="F680" s="1842" t="n"/>
      <c r="G680" s="1842" t="n"/>
      <c r="H680" s="1842" t="n"/>
      <c r="I680" s="1842" t="n"/>
      <c r="J680" s="1842" t="n"/>
      <c r="K680" s="1842" t="n"/>
      <c r="L680" s="1842" t="n"/>
      <c r="M680" s="1842" t="n"/>
      <c r="N680" s="1842" t="n"/>
      <c r="O680" s="1842" t="n"/>
      <c r="P680" s="1842" t="n"/>
      <c r="Q680" s="1842" t="n"/>
      <c r="R680" s="1842" t="n"/>
      <c r="S680" s="1842" t="n"/>
      <c r="T680" s="1842" t="n"/>
      <c r="U680" s="1842" t="n"/>
      <c r="V680" s="1842" t="n"/>
      <c r="W680" s="1842" t="n"/>
      <c r="X680" s="1842" t="n"/>
      <c r="Y680" s="1842" t="n"/>
      <c r="Z680" s="1842" t="n"/>
      <c r="AA680" s="1842" t="n"/>
      <c r="AB680" s="1842" t="n"/>
      <c r="AC680" s="1842" t="n"/>
      <c r="AD680" s="1842" t="n"/>
      <c r="AE680" s="1842" t="n"/>
      <c r="AF680" s="1842" t="n"/>
    </row>
    <row r="681" ht="13.5" customHeight="1" s="1883">
      <c r="A681" s="1842" t="n"/>
      <c r="B681" s="1842" t="n"/>
      <c r="C681" s="1842" t="n"/>
      <c r="D681" s="1842" t="n"/>
      <c r="E681" s="1842" t="n"/>
      <c r="F681" s="1842" t="n"/>
      <c r="G681" s="1842" t="n"/>
      <c r="H681" s="1842" t="n"/>
      <c r="I681" s="1842" t="n"/>
      <c r="J681" s="1842" t="n"/>
      <c r="K681" s="1842" t="n"/>
      <c r="L681" s="1842" t="n"/>
      <c r="M681" s="1842" t="n"/>
      <c r="N681" s="1842" t="n"/>
      <c r="O681" s="1842" t="n"/>
      <c r="P681" s="1842" t="n"/>
      <c r="Q681" s="1842" t="n"/>
      <c r="R681" s="1842" t="n"/>
      <c r="S681" s="1842" t="n"/>
      <c r="T681" s="1842" t="n"/>
      <c r="U681" s="1842" t="n"/>
      <c r="V681" s="1842" t="n"/>
      <c r="W681" s="1842" t="n"/>
      <c r="X681" s="1842" t="n"/>
      <c r="Y681" s="1842" t="n"/>
      <c r="Z681" s="1842" t="n"/>
      <c r="AA681" s="1842" t="n"/>
      <c r="AB681" s="1842" t="n"/>
      <c r="AC681" s="1842" t="n"/>
      <c r="AD681" s="1842" t="n"/>
      <c r="AE681" s="1842" t="n"/>
      <c r="AF681" s="1842" t="n"/>
    </row>
    <row r="682" ht="13.5" customHeight="1" s="1883">
      <c r="A682" s="1842" t="n"/>
      <c r="B682" s="1842" t="n"/>
      <c r="C682" s="1842" t="n"/>
      <c r="D682" s="1842" t="n"/>
      <c r="E682" s="1842" t="n"/>
      <c r="F682" s="1842" t="n"/>
      <c r="G682" s="1842" t="n"/>
      <c r="H682" s="1842" t="n"/>
      <c r="I682" s="1842" t="n"/>
      <c r="J682" s="1842" t="n"/>
      <c r="K682" s="1842" t="n"/>
      <c r="L682" s="1842" t="n"/>
      <c r="M682" s="1842" t="n"/>
      <c r="N682" s="1842" t="n"/>
      <c r="O682" s="1842" t="n"/>
      <c r="P682" s="1842" t="n"/>
      <c r="Q682" s="1842" t="n"/>
      <c r="R682" s="1842" t="n"/>
      <c r="S682" s="1842" t="n"/>
      <c r="T682" s="1842" t="n"/>
      <c r="U682" s="1842" t="n"/>
      <c r="V682" s="1842" t="n"/>
      <c r="W682" s="1842" t="n"/>
      <c r="X682" s="1842" t="n"/>
      <c r="Y682" s="1842" t="n"/>
      <c r="Z682" s="1842" t="n"/>
      <c r="AA682" s="1842" t="n"/>
      <c r="AB682" s="1842" t="n"/>
      <c r="AC682" s="1842" t="n"/>
      <c r="AD682" s="1842" t="n"/>
      <c r="AE682" s="1842" t="n"/>
      <c r="AF682" s="1842" t="n"/>
    </row>
    <row r="683" ht="13.5" customHeight="1" s="1883">
      <c r="A683" s="1842" t="n"/>
      <c r="B683" s="1842" t="n"/>
      <c r="C683" s="1842" t="n"/>
      <c r="D683" s="1842" t="n"/>
      <c r="E683" s="1842" t="n"/>
      <c r="F683" s="1842" t="n"/>
      <c r="G683" s="1842" t="n"/>
      <c r="H683" s="1842" t="n"/>
      <c r="I683" s="1842" t="n"/>
      <c r="J683" s="1842" t="n"/>
      <c r="K683" s="1842" t="n"/>
      <c r="L683" s="1842" t="n"/>
      <c r="M683" s="1842" t="n"/>
      <c r="N683" s="1842" t="n"/>
      <c r="O683" s="1842" t="n"/>
      <c r="P683" s="1842" t="n"/>
      <c r="Q683" s="1842" t="n"/>
      <c r="R683" s="1842" t="n"/>
      <c r="S683" s="1842" t="n"/>
      <c r="T683" s="1842" t="n"/>
      <c r="U683" s="1842" t="n"/>
      <c r="V683" s="1842" t="n"/>
      <c r="W683" s="1842" t="n"/>
      <c r="X683" s="1842" t="n"/>
      <c r="Y683" s="1842" t="n"/>
      <c r="Z683" s="1842" t="n"/>
      <c r="AA683" s="1842" t="n"/>
      <c r="AB683" s="1842" t="n"/>
      <c r="AC683" s="1842" t="n"/>
      <c r="AD683" s="1842" t="n"/>
      <c r="AE683" s="1842" t="n"/>
      <c r="AF683" s="1842" t="n"/>
    </row>
    <row r="684" ht="13.5" customHeight="1" s="1883">
      <c r="A684" s="1842" t="n"/>
      <c r="B684" s="1842" t="n"/>
      <c r="C684" s="1842" t="n"/>
      <c r="D684" s="1842" t="n"/>
      <c r="E684" s="1842" t="n"/>
      <c r="F684" s="1842" t="n"/>
      <c r="G684" s="1842" t="n"/>
      <c r="H684" s="1842" t="n"/>
      <c r="I684" s="1842" t="n"/>
      <c r="J684" s="1842" t="n"/>
      <c r="K684" s="1842" t="n"/>
      <c r="L684" s="1842" t="n"/>
      <c r="M684" s="1842" t="n"/>
      <c r="N684" s="1842" t="n"/>
      <c r="O684" s="1842" t="n"/>
      <c r="P684" s="1842" t="n"/>
      <c r="Q684" s="1842" t="n"/>
      <c r="R684" s="1842" t="n"/>
      <c r="S684" s="1842" t="n"/>
      <c r="T684" s="1842" t="n"/>
      <c r="U684" s="1842" t="n"/>
      <c r="V684" s="1842" t="n"/>
      <c r="W684" s="1842" t="n"/>
      <c r="X684" s="1842" t="n"/>
      <c r="Y684" s="1842" t="n"/>
      <c r="Z684" s="1842" t="n"/>
      <c r="AA684" s="1842" t="n"/>
      <c r="AB684" s="1842" t="n"/>
      <c r="AC684" s="1842" t="n"/>
      <c r="AD684" s="1842" t="n"/>
      <c r="AE684" s="1842" t="n"/>
      <c r="AF684" s="1842" t="n"/>
    </row>
    <row r="685" ht="13.5" customHeight="1" s="1883">
      <c r="A685" s="1842" t="n"/>
      <c r="B685" s="1842" t="n"/>
      <c r="C685" s="1842" t="n"/>
      <c r="D685" s="1842" t="n"/>
      <c r="E685" s="1842" t="n"/>
      <c r="F685" s="1842" t="n"/>
      <c r="G685" s="1842" t="n"/>
      <c r="H685" s="1842" t="n"/>
      <c r="I685" s="1842" t="n"/>
      <c r="J685" s="1842" t="n"/>
      <c r="K685" s="1842" t="n"/>
      <c r="L685" s="1842" t="n"/>
      <c r="M685" s="1842" t="n"/>
      <c r="N685" s="1842" t="n"/>
      <c r="O685" s="1842" t="n"/>
      <c r="P685" s="1842" t="n"/>
      <c r="Q685" s="1842" t="n"/>
      <c r="R685" s="1842" t="n"/>
      <c r="S685" s="1842" t="n"/>
      <c r="T685" s="1842" t="n"/>
      <c r="U685" s="1842" t="n"/>
      <c r="V685" s="1842" t="n"/>
      <c r="W685" s="1842" t="n"/>
      <c r="X685" s="1842" t="n"/>
      <c r="Y685" s="1842" t="n"/>
      <c r="Z685" s="1842" t="n"/>
      <c r="AA685" s="1842" t="n"/>
      <c r="AB685" s="1842" t="n"/>
      <c r="AC685" s="1842" t="n"/>
      <c r="AD685" s="1842" t="n"/>
      <c r="AE685" s="1842" t="n"/>
      <c r="AF685" s="1842" t="n"/>
    </row>
    <row r="686" ht="13.5" customHeight="1" s="1883">
      <c r="A686" s="1842" t="n"/>
      <c r="B686" s="1842" t="n"/>
      <c r="C686" s="1842" t="n"/>
      <c r="D686" s="1842" t="n"/>
      <c r="E686" s="1842" t="n"/>
      <c r="F686" s="1842" t="n"/>
      <c r="G686" s="1842" t="n"/>
      <c r="H686" s="1842" t="n"/>
      <c r="I686" s="1842" t="n"/>
      <c r="J686" s="1842" t="n"/>
      <c r="K686" s="1842" t="n"/>
      <c r="L686" s="1842" t="n"/>
      <c r="M686" s="1842" t="n"/>
      <c r="N686" s="1842" t="n"/>
      <c r="O686" s="1842" t="n"/>
      <c r="P686" s="1842" t="n"/>
      <c r="Q686" s="1842" t="n"/>
      <c r="R686" s="1842" t="n"/>
      <c r="S686" s="1842" t="n"/>
      <c r="T686" s="1842" t="n"/>
      <c r="U686" s="1842" t="n"/>
      <c r="V686" s="1842" t="n"/>
      <c r="W686" s="1842" t="n"/>
      <c r="X686" s="1842" t="n"/>
      <c r="Y686" s="1842" t="n"/>
      <c r="Z686" s="1842" t="n"/>
      <c r="AA686" s="1842" t="n"/>
      <c r="AB686" s="1842" t="n"/>
      <c r="AC686" s="1842" t="n"/>
      <c r="AD686" s="1842" t="n"/>
      <c r="AE686" s="1842" t="n"/>
      <c r="AF686" s="1842" t="n"/>
    </row>
    <row r="687" ht="13.5" customHeight="1" s="1883">
      <c r="A687" s="1842" t="n"/>
      <c r="B687" s="1842" t="n"/>
      <c r="C687" s="1842" t="n"/>
      <c r="D687" s="1842" t="n"/>
      <c r="E687" s="1842" t="n"/>
      <c r="F687" s="1842" t="n"/>
      <c r="G687" s="1842" t="n"/>
      <c r="H687" s="1842" t="n"/>
      <c r="I687" s="1842" t="n"/>
      <c r="J687" s="1842" t="n"/>
      <c r="K687" s="1842" t="n"/>
      <c r="L687" s="1842" t="n"/>
      <c r="M687" s="1842" t="n"/>
      <c r="N687" s="1842" t="n"/>
      <c r="O687" s="1842" t="n"/>
      <c r="P687" s="1842" t="n"/>
      <c r="Q687" s="1842" t="n"/>
      <c r="R687" s="1842" t="n"/>
      <c r="S687" s="1842" t="n"/>
      <c r="T687" s="1842" t="n"/>
      <c r="U687" s="1842" t="n"/>
      <c r="V687" s="1842" t="n"/>
      <c r="W687" s="1842" t="n"/>
      <c r="X687" s="1842" t="n"/>
      <c r="Y687" s="1842" t="n"/>
      <c r="Z687" s="1842" t="n"/>
      <c r="AA687" s="1842" t="n"/>
      <c r="AB687" s="1842" t="n"/>
      <c r="AC687" s="1842" t="n"/>
      <c r="AD687" s="1842" t="n"/>
      <c r="AE687" s="1842" t="n"/>
      <c r="AF687" s="1842" t="n"/>
    </row>
    <row r="688" ht="13.5" customHeight="1" s="1883">
      <c r="A688" s="1842" t="n"/>
      <c r="B688" s="1842" t="n"/>
      <c r="C688" s="1842" t="n"/>
      <c r="D688" s="1842" t="n"/>
      <c r="E688" s="1842" t="n"/>
      <c r="F688" s="1842" t="n"/>
      <c r="G688" s="1842" t="n"/>
      <c r="H688" s="1842" t="n"/>
      <c r="I688" s="1842" t="n"/>
      <c r="J688" s="1842" t="n"/>
      <c r="K688" s="1842" t="n"/>
      <c r="L688" s="1842" t="n"/>
      <c r="M688" s="1842" t="n"/>
      <c r="N688" s="1842" t="n"/>
      <c r="O688" s="1842" t="n"/>
      <c r="P688" s="1842" t="n"/>
      <c r="Q688" s="1842" t="n"/>
      <c r="R688" s="1842" t="n"/>
      <c r="S688" s="1842" t="n"/>
      <c r="T688" s="1842" t="n"/>
      <c r="U688" s="1842" t="n"/>
      <c r="V688" s="1842" t="n"/>
      <c r="W688" s="1842" t="n"/>
      <c r="X688" s="1842" t="n"/>
      <c r="Y688" s="1842" t="n"/>
      <c r="Z688" s="1842" t="n"/>
      <c r="AA688" s="1842" t="n"/>
      <c r="AB688" s="1842" t="n"/>
      <c r="AC688" s="1842" t="n"/>
      <c r="AD688" s="1842" t="n"/>
      <c r="AE688" s="1842" t="n"/>
      <c r="AF688" s="1842" t="n"/>
    </row>
    <row r="689" ht="13.5" customHeight="1" s="1883">
      <c r="A689" s="1842" t="n"/>
      <c r="B689" s="1842" t="n"/>
      <c r="C689" s="1842" t="n"/>
      <c r="D689" s="1842" t="n"/>
      <c r="E689" s="1842" t="n"/>
      <c r="F689" s="1842" t="n"/>
      <c r="G689" s="1842" t="n"/>
      <c r="H689" s="1842" t="n"/>
      <c r="I689" s="1842" t="n"/>
      <c r="J689" s="1842" t="n"/>
      <c r="K689" s="1842" t="n"/>
      <c r="L689" s="1842" t="n"/>
      <c r="M689" s="1842" t="n"/>
      <c r="N689" s="1842" t="n"/>
      <c r="O689" s="1842" t="n"/>
      <c r="P689" s="1842" t="n"/>
      <c r="Q689" s="1842" t="n"/>
      <c r="R689" s="1842" t="n"/>
      <c r="S689" s="1842" t="n"/>
      <c r="T689" s="1842" t="n"/>
      <c r="U689" s="1842" t="n"/>
      <c r="V689" s="1842" t="n"/>
      <c r="W689" s="1842" t="n"/>
      <c r="X689" s="1842" t="n"/>
      <c r="Y689" s="1842" t="n"/>
      <c r="Z689" s="1842" t="n"/>
      <c r="AA689" s="1842" t="n"/>
      <c r="AB689" s="1842" t="n"/>
      <c r="AC689" s="1842" t="n"/>
      <c r="AD689" s="1842" t="n"/>
      <c r="AE689" s="1842" t="n"/>
      <c r="AF689" s="1842" t="n"/>
    </row>
    <row r="690" ht="13.5" customHeight="1" s="1883">
      <c r="A690" s="1842" t="n"/>
      <c r="B690" s="1842" t="n"/>
      <c r="C690" s="1842" t="n"/>
      <c r="D690" s="1842" t="n"/>
      <c r="E690" s="1842" t="n"/>
      <c r="F690" s="1842" t="n"/>
      <c r="G690" s="1842" t="n"/>
      <c r="H690" s="1842" t="n"/>
      <c r="I690" s="1842" t="n"/>
      <c r="J690" s="1842" t="n"/>
      <c r="K690" s="1842" t="n"/>
      <c r="L690" s="1842" t="n"/>
      <c r="M690" s="1842" t="n"/>
      <c r="N690" s="1842" t="n"/>
      <c r="O690" s="1842" t="n"/>
      <c r="P690" s="1842" t="n"/>
      <c r="Q690" s="1842" t="n"/>
      <c r="R690" s="1842" t="n"/>
      <c r="S690" s="1842" t="n"/>
      <c r="T690" s="1842" t="n"/>
      <c r="U690" s="1842" t="n"/>
      <c r="V690" s="1842" t="n"/>
      <c r="W690" s="1842" t="n"/>
      <c r="X690" s="1842" t="n"/>
      <c r="Y690" s="1842" t="n"/>
      <c r="Z690" s="1842" t="n"/>
      <c r="AA690" s="1842" t="n"/>
      <c r="AB690" s="1842" t="n"/>
      <c r="AC690" s="1842" t="n"/>
      <c r="AD690" s="1842" t="n"/>
      <c r="AE690" s="1842" t="n"/>
      <c r="AF690" s="1842" t="n"/>
    </row>
    <row r="691" ht="13.5" customHeight="1" s="1883">
      <c r="A691" s="1842" t="n"/>
      <c r="B691" s="1842" t="n"/>
      <c r="C691" s="1842" t="n"/>
      <c r="D691" s="1842" t="n"/>
      <c r="E691" s="1842" t="n"/>
      <c r="F691" s="1842" t="n"/>
      <c r="G691" s="1842" t="n"/>
      <c r="H691" s="1842" t="n"/>
      <c r="I691" s="1842" t="n"/>
      <c r="J691" s="1842" t="n"/>
      <c r="K691" s="1842" t="n"/>
      <c r="L691" s="1842" t="n"/>
      <c r="M691" s="1842" t="n"/>
      <c r="N691" s="1842" t="n"/>
      <c r="O691" s="1842" t="n"/>
      <c r="P691" s="1842" t="n"/>
      <c r="Q691" s="1842" t="n"/>
      <c r="R691" s="1842" t="n"/>
      <c r="S691" s="1842" t="n"/>
      <c r="T691" s="1842" t="n"/>
      <c r="U691" s="1842" t="n"/>
      <c r="V691" s="1842" t="n"/>
      <c r="W691" s="1842" t="n"/>
      <c r="X691" s="1842" t="n"/>
      <c r="Y691" s="1842" t="n"/>
      <c r="Z691" s="1842" t="n"/>
      <c r="AA691" s="1842" t="n"/>
      <c r="AB691" s="1842" t="n"/>
      <c r="AC691" s="1842" t="n"/>
      <c r="AD691" s="1842" t="n"/>
      <c r="AE691" s="1842" t="n"/>
      <c r="AF691" s="1842" t="n"/>
    </row>
    <row r="692" ht="13.5" customHeight="1" s="1883">
      <c r="A692" s="1842" t="n"/>
      <c r="B692" s="1842" t="n"/>
      <c r="C692" s="1842" t="n"/>
      <c r="D692" s="1842" t="n"/>
      <c r="E692" s="1842" t="n"/>
      <c r="F692" s="1842" t="n"/>
      <c r="G692" s="1842" t="n"/>
      <c r="H692" s="1842" t="n"/>
      <c r="I692" s="1842" t="n"/>
      <c r="J692" s="1842" t="n"/>
      <c r="K692" s="1842" t="n"/>
      <c r="L692" s="1842" t="n"/>
      <c r="M692" s="1842" t="n"/>
      <c r="N692" s="1842" t="n"/>
      <c r="O692" s="1842" t="n"/>
      <c r="P692" s="1842" t="n"/>
      <c r="Q692" s="1842" t="n"/>
      <c r="R692" s="1842" t="n"/>
      <c r="S692" s="1842" t="n"/>
      <c r="T692" s="1842" t="n"/>
      <c r="U692" s="1842" t="n"/>
      <c r="V692" s="1842" t="n"/>
      <c r="W692" s="1842" t="n"/>
      <c r="X692" s="1842" t="n"/>
      <c r="Y692" s="1842" t="n"/>
      <c r="Z692" s="1842" t="n"/>
      <c r="AA692" s="1842" t="n"/>
      <c r="AB692" s="1842" t="n"/>
      <c r="AC692" s="1842" t="n"/>
      <c r="AD692" s="1842" t="n"/>
      <c r="AE692" s="1842" t="n"/>
      <c r="AF692" s="1842" t="n"/>
    </row>
    <row r="693" ht="13.5" customHeight="1" s="1883">
      <c r="A693" s="1842" t="n"/>
      <c r="B693" s="1842" t="n"/>
      <c r="C693" s="1842" t="n"/>
      <c r="D693" s="1842" t="n"/>
      <c r="E693" s="1842" t="n"/>
      <c r="F693" s="1842" t="n"/>
      <c r="G693" s="1842" t="n"/>
      <c r="H693" s="1842" t="n"/>
      <c r="I693" s="1842" t="n"/>
      <c r="J693" s="1842" t="n"/>
      <c r="K693" s="1842" t="n"/>
      <c r="L693" s="1842" t="n"/>
      <c r="M693" s="1842" t="n"/>
      <c r="N693" s="1842" t="n"/>
      <c r="O693" s="1842" t="n"/>
      <c r="P693" s="1842" t="n"/>
      <c r="Q693" s="1842" t="n"/>
      <c r="R693" s="1842" t="n"/>
      <c r="S693" s="1842" t="n"/>
      <c r="T693" s="1842" t="n"/>
      <c r="U693" s="1842" t="n"/>
      <c r="V693" s="1842" t="n"/>
      <c r="W693" s="1842" t="n"/>
      <c r="X693" s="1842" t="n"/>
      <c r="Y693" s="1842" t="n"/>
      <c r="Z693" s="1842" t="n"/>
      <c r="AA693" s="1842" t="n"/>
      <c r="AB693" s="1842" t="n"/>
      <c r="AC693" s="1842" t="n"/>
      <c r="AD693" s="1842" t="n"/>
      <c r="AE693" s="1842" t="n"/>
      <c r="AF693" s="1842" t="n"/>
    </row>
    <row r="694" ht="13.5" customHeight="1" s="1883">
      <c r="A694" s="1842" t="n"/>
      <c r="B694" s="1842" t="n"/>
      <c r="C694" s="1842" t="n"/>
      <c r="D694" s="1842" t="n"/>
      <c r="E694" s="1842" t="n"/>
      <c r="F694" s="1842" t="n"/>
      <c r="G694" s="1842" t="n"/>
      <c r="H694" s="1842" t="n"/>
      <c r="I694" s="1842" t="n"/>
      <c r="J694" s="1842" t="n"/>
      <c r="K694" s="1842" t="n"/>
      <c r="L694" s="1842" t="n"/>
      <c r="M694" s="1842" t="n"/>
      <c r="N694" s="1842" t="n"/>
      <c r="O694" s="1842" t="n"/>
      <c r="P694" s="1842" t="n"/>
      <c r="Q694" s="1842" t="n"/>
      <c r="R694" s="1842" t="n"/>
      <c r="S694" s="1842" t="n"/>
      <c r="T694" s="1842" t="n"/>
      <c r="U694" s="1842" t="n"/>
      <c r="V694" s="1842" t="n"/>
      <c r="W694" s="1842" t="n"/>
      <c r="X694" s="1842" t="n"/>
      <c r="Y694" s="1842" t="n"/>
      <c r="Z694" s="1842" t="n"/>
      <c r="AA694" s="1842" t="n"/>
      <c r="AB694" s="1842" t="n"/>
      <c r="AC694" s="1842" t="n"/>
      <c r="AD694" s="1842" t="n"/>
      <c r="AE694" s="1842" t="n"/>
      <c r="AF694" s="1842" t="n"/>
    </row>
    <row r="695" ht="13.5" customHeight="1" s="1883">
      <c r="A695" s="1842" t="n"/>
      <c r="B695" s="1842" t="n"/>
      <c r="C695" s="1842" t="n"/>
      <c r="D695" s="1842" t="n"/>
      <c r="E695" s="1842" t="n"/>
      <c r="F695" s="1842" t="n"/>
      <c r="G695" s="1842" t="n"/>
      <c r="H695" s="1842" t="n"/>
      <c r="I695" s="1842" t="n"/>
      <c r="J695" s="1842" t="n"/>
      <c r="K695" s="1842" t="n"/>
      <c r="L695" s="1842" t="n"/>
      <c r="M695" s="1842" t="n"/>
      <c r="N695" s="1842" t="n"/>
      <c r="O695" s="1842" t="n"/>
      <c r="P695" s="1842" t="n"/>
      <c r="Q695" s="1842" t="n"/>
      <c r="R695" s="1842" t="n"/>
      <c r="S695" s="1842" t="n"/>
      <c r="T695" s="1842" t="n"/>
      <c r="U695" s="1842" t="n"/>
      <c r="V695" s="1842" t="n"/>
      <c r="W695" s="1842" t="n"/>
      <c r="X695" s="1842" t="n"/>
      <c r="Y695" s="1842" t="n"/>
      <c r="Z695" s="1842" t="n"/>
      <c r="AA695" s="1842" t="n"/>
      <c r="AB695" s="1842" t="n"/>
      <c r="AC695" s="1842" t="n"/>
      <c r="AD695" s="1842" t="n"/>
      <c r="AE695" s="1842" t="n"/>
      <c r="AF695" s="1842" t="n"/>
    </row>
    <row r="696" ht="13.5" customHeight="1" s="1883">
      <c r="A696" s="1842" t="n"/>
      <c r="B696" s="1842" t="n"/>
      <c r="C696" s="1842" t="n"/>
      <c r="D696" s="1842" t="n"/>
      <c r="E696" s="1842" t="n"/>
      <c r="F696" s="1842" t="n"/>
      <c r="G696" s="1842" t="n"/>
      <c r="H696" s="1842" t="n"/>
      <c r="I696" s="1842" t="n"/>
      <c r="J696" s="1842" t="n"/>
      <c r="K696" s="1842" t="n"/>
      <c r="L696" s="1842" t="n"/>
      <c r="M696" s="1842" t="n"/>
      <c r="N696" s="1842" t="n"/>
      <c r="O696" s="1842" t="n"/>
      <c r="P696" s="1842" t="n"/>
      <c r="Q696" s="1842" t="n"/>
      <c r="R696" s="1842" t="n"/>
      <c r="S696" s="1842" t="n"/>
      <c r="T696" s="1842" t="n"/>
      <c r="U696" s="1842" t="n"/>
      <c r="V696" s="1842" t="n"/>
      <c r="W696" s="1842" t="n"/>
      <c r="X696" s="1842" t="n"/>
      <c r="Y696" s="1842" t="n"/>
      <c r="Z696" s="1842" t="n"/>
      <c r="AA696" s="1842" t="n"/>
      <c r="AB696" s="1842" t="n"/>
      <c r="AC696" s="1842" t="n"/>
      <c r="AD696" s="1842" t="n"/>
      <c r="AE696" s="1842" t="n"/>
      <c r="AF696" s="1842" t="n"/>
    </row>
    <row r="697" ht="13.5" customHeight="1" s="1883">
      <c r="A697" s="1842" t="n"/>
      <c r="B697" s="1842" t="n"/>
      <c r="C697" s="1842" t="n"/>
      <c r="D697" s="1842" t="n"/>
      <c r="E697" s="1842" t="n"/>
      <c r="F697" s="1842" t="n"/>
      <c r="G697" s="1842" t="n"/>
      <c r="H697" s="1842" t="n"/>
      <c r="I697" s="1842" t="n"/>
      <c r="J697" s="1842" t="n"/>
      <c r="K697" s="1842" t="n"/>
      <c r="L697" s="1842" t="n"/>
      <c r="M697" s="1842" t="n"/>
      <c r="N697" s="1842" t="n"/>
      <c r="O697" s="1842" t="n"/>
      <c r="P697" s="1842" t="n"/>
      <c r="Q697" s="1842" t="n"/>
      <c r="R697" s="1842" t="n"/>
      <c r="S697" s="1842" t="n"/>
      <c r="T697" s="1842" t="n"/>
      <c r="U697" s="1842" t="n"/>
      <c r="V697" s="1842" t="n"/>
      <c r="W697" s="1842" t="n"/>
      <c r="X697" s="1842" t="n"/>
      <c r="Y697" s="1842" t="n"/>
      <c r="Z697" s="1842" t="n"/>
      <c r="AA697" s="1842" t="n"/>
      <c r="AB697" s="1842" t="n"/>
      <c r="AC697" s="1842" t="n"/>
      <c r="AD697" s="1842" t="n"/>
      <c r="AE697" s="1842" t="n"/>
      <c r="AF697" s="1842" t="n"/>
    </row>
    <row r="698" ht="13.5" customHeight="1" s="1883">
      <c r="A698" s="1842" t="n"/>
      <c r="B698" s="1842" t="n"/>
      <c r="C698" s="1842" t="n"/>
      <c r="D698" s="1842" t="n"/>
      <c r="E698" s="1842" t="n"/>
      <c r="F698" s="1842" t="n"/>
      <c r="G698" s="1842" t="n"/>
      <c r="H698" s="1842" t="n"/>
      <c r="I698" s="1842" t="n"/>
      <c r="J698" s="1842" t="n"/>
      <c r="K698" s="1842" t="n"/>
      <c r="L698" s="1842" t="n"/>
      <c r="M698" s="1842" t="n"/>
      <c r="N698" s="1842" t="n"/>
      <c r="O698" s="1842" t="n"/>
      <c r="P698" s="1842" t="n"/>
      <c r="Q698" s="1842" t="n"/>
      <c r="R698" s="1842" t="n"/>
      <c r="S698" s="1842" t="n"/>
      <c r="T698" s="1842" t="n"/>
      <c r="U698" s="1842" t="n"/>
      <c r="V698" s="1842" t="n"/>
      <c r="W698" s="1842" t="n"/>
      <c r="X698" s="1842" t="n"/>
      <c r="Y698" s="1842" t="n"/>
      <c r="Z698" s="1842" t="n"/>
      <c r="AA698" s="1842" t="n"/>
      <c r="AB698" s="1842" t="n"/>
      <c r="AC698" s="1842" t="n"/>
      <c r="AD698" s="1842" t="n"/>
      <c r="AE698" s="1842" t="n"/>
      <c r="AF698" s="1842" t="n"/>
    </row>
    <row r="699" ht="13.5" customHeight="1" s="1883">
      <c r="A699" s="1842" t="n"/>
      <c r="B699" s="1842" t="n"/>
      <c r="C699" s="1842" t="n"/>
      <c r="D699" s="1842" t="n"/>
      <c r="E699" s="1842" t="n"/>
      <c r="F699" s="1842" t="n"/>
      <c r="G699" s="1842" t="n"/>
      <c r="H699" s="1842" t="n"/>
      <c r="I699" s="1842" t="n"/>
      <c r="J699" s="1842" t="n"/>
      <c r="K699" s="1842" t="n"/>
      <c r="L699" s="1842" t="n"/>
      <c r="M699" s="1842" t="n"/>
      <c r="N699" s="1842" t="n"/>
      <c r="O699" s="1842" t="n"/>
      <c r="P699" s="1842" t="n"/>
      <c r="Q699" s="1842" t="n"/>
      <c r="R699" s="1842" t="n"/>
      <c r="S699" s="1842" t="n"/>
      <c r="T699" s="1842" t="n"/>
      <c r="U699" s="1842" t="n"/>
      <c r="V699" s="1842" t="n"/>
      <c r="W699" s="1842" t="n"/>
      <c r="X699" s="1842" t="n"/>
      <c r="Y699" s="1842" t="n"/>
      <c r="Z699" s="1842" t="n"/>
      <c r="AA699" s="1842" t="n"/>
      <c r="AB699" s="1842" t="n"/>
      <c r="AC699" s="1842" t="n"/>
      <c r="AD699" s="1842" t="n"/>
      <c r="AE699" s="1842" t="n"/>
      <c r="AF699" s="1842" t="n"/>
    </row>
    <row r="700" ht="13.5" customHeight="1" s="1883">
      <c r="A700" s="1842" t="n"/>
      <c r="B700" s="1842" t="n"/>
      <c r="C700" s="1842" t="n"/>
      <c r="D700" s="1842" t="n"/>
      <c r="E700" s="1842" t="n"/>
      <c r="F700" s="1842" t="n"/>
      <c r="G700" s="1842" t="n"/>
      <c r="H700" s="1842" t="n"/>
      <c r="I700" s="1842" t="n"/>
      <c r="J700" s="1842" t="n"/>
      <c r="K700" s="1842" t="n"/>
      <c r="L700" s="1842" t="n"/>
      <c r="M700" s="1842" t="n"/>
      <c r="N700" s="1842" t="n"/>
      <c r="O700" s="1842" t="n"/>
      <c r="P700" s="1842" t="n"/>
      <c r="Q700" s="1842" t="n"/>
      <c r="R700" s="1842" t="n"/>
      <c r="S700" s="1842" t="n"/>
      <c r="T700" s="1842" t="n"/>
      <c r="U700" s="1842" t="n"/>
      <c r="V700" s="1842" t="n"/>
      <c r="W700" s="1842" t="n"/>
      <c r="X700" s="1842" t="n"/>
      <c r="Y700" s="1842" t="n"/>
      <c r="Z700" s="1842" t="n"/>
      <c r="AA700" s="1842" t="n"/>
      <c r="AB700" s="1842" t="n"/>
      <c r="AC700" s="1842" t="n"/>
      <c r="AD700" s="1842" t="n"/>
      <c r="AE700" s="1842" t="n"/>
      <c r="AF700" s="1842" t="n"/>
    </row>
    <row r="701" ht="13.5" customHeight="1" s="1883">
      <c r="A701" s="1842" t="n"/>
      <c r="B701" s="1842" t="n"/>
      <c r="C701" s="1842" t="n"/>
      <c r="D701" s="1842" t="n"/>
      <c r="E701" s="1842" t="n"/>
      <c r="F701" s="1842" t="n"/>
      <c r="G701" s="1842" t="n"/>
      <c r="H701" s="1842" t="n"/>
      <c r="I701" s="1842" t="n"/>
      <c r="J701" s="1842" t="n"/>
      <c r="K701" s="1842" t="n"/>
      <c r="L701" s="1842" t="n"/>
      <c r="M701" s="1842" t="n"/>
      <c r="N701" s="1842" t="n"/>
      <c r="O701" s="1842" t="n"/>
      <c r="P701" s="1842" t="n"/>
      <c r="Q701" s="1842" t="n"/>
      <c r="R701" s="1842" t="n"/>
      <c r="S701" s="1842" t="n"/>
      <c r="T701" s="1842" t="n"/>
      <c r="U701" s="1842" t="n"/>
      <c r="V701" s="1842" t="n"/>
      <c r="W701" s="1842" t="n"/>
      <c r="X701" s="1842" t="n"/>
      <c r="Y701" s="1842" t="n"/>
      <c r="Z701" s="1842" t="n"/>
      <c r="AA701" s="1842" t="n"/>
      <c r="AB701" s="1842" t="n"/>
      <c r="AC701" s="1842" t="n"/>
      <c r="AD701" s="1842" t="n"/>
      <c r="AE701" s="1842" t="n"/>
      <c r="AF701" s="1842" t="n"/>
    </row>
    <row r="702" ht="13.5" customHeight="1" s="1883">
      <c r="A702" s="1842" t="n"/>
      <c r="B702" s="1842" t="n"/>
      <c r="C702" s="1842" t="n"/>
      <c r="D702" s="1842" t="n"/>
      <c r="E702" s="1842" t="n"/>
      <c r="F702" s="1842" t="n"/>
      <c r="G702" s="1842" t="n"/>
      <c r="H702" s="1842" t="n"/>
      <c r="I702" s="1842" t="n"/>
      <c r="J702" s="1842" t="n"/>
      <c r="K702" s="1842" t="n"/>
      <c r="L702" s="1842" t="n"/>
      <c r="M702" s="1842" t="n"/>
      <c r="N702" s="1842" t="n"/>
      <c r="O702" s="1842" t="n"/>
      <c r="P702" s="1842" t="n"/>
      <c r="Q702" s="1842" t="n"/>
      <c r="R702" s="1842" t="n"/>
      <c r="S702" s="1842" t="n"/>
      <c r="T702" s="1842" t="n"/>
      <c r="U702" s="1842" t="n"/>
      <c r="V702" s="1842" t="n"/>
      <c r="W702" s="1842" t="n"/>
      <c r="X702" s="1842" t="n"/>
      <c r="Y702" s="1842" t="n"/>
      <c r="Z702" s="1842" t="n"/>
      <c r="AA702" s="1842" t="n"/>
      <c r="AB702" s="1842" t="n"/>
      <c r="AC702" s="1842" t="n"/>
      <c r="AD702" s="1842" t="n"/>
      <c r="AE702" s="1842" t="n"/>
      <c r="AF702" s="1842" t="n"/>
    </row>
    <row r="703" ht="13.5" customHeight="1" s="1883">
      <c r="A703" s="1842" t="n"/>
      <c r="B703" s="1842" t="n"/>
      <c r="C703" s="1842" t="n"/>
      <c r="D703" s="1842" t="n"/>
      <c r="E703" s="1842" t="n"/>
      <c r="F703" s="1842" t="n"/>
      <c r="G703" s="1842" t="n"/>
      <c r="H703" s="1842" t="n"/>
      <c r="I703" s="1842" t="n"/>
      <c r="J703" s="1842" t="n"/>
      <c r="K703" s="1842" t="n"/>
      <c r="L703" s="1842" t="n"/>
      <c r="M703" s="1842" t="n"/>
      <c r="N703" s="1842" t="n"/>
      <c r="O703" s="1842" t="n"/>
      <c r="P703" s="1842" t="n"/>
      <c r="Q703" s="1842" t="n"/>
      <c r="R703" s="1842" t="n"/>
      <c r="S703" s="1842" t="n"/>
      <c r="T703" s="1842" t="n"/>
      <c r="U703" s="1842" t="n"/>
      <c r="V703" s="1842" t="n"/>
      <c r="W703" s="1842" t="n"/>
      <c r="X703" s="1842" t="n"/>
      <c r="Y703" s="1842" t="n"/>
      <c r="Z703" s="1842" t="n"/>
      <c r="AA703" s="1842" t="n"/>
      <c r="AB703" s="1842" t="n"/>
      <c r="AC703" s="1842" t="n"/>
      <c r="AD703" s="1842" t="n"/>
      <c r="AE703" s="1842" t="n"/>
      <c r="AF703" s="1842" t="n"/>
    </row>
    <row r="704" ht="13.5" customHeight="1" s="1883">
      <c r="A704" s="1842" t="n"/>
      <c r="B704" s="1842" t="n"/>
      <c r="C704" s="1842" t="n"/>
      <c r="D704" s="1842" t="n"/>
      <c r="E704" s="1842" t="n"/>
      <c r="F704" s="1842" t="n"/>
      <c r="G704" s="1842" t="n"/>
      <c r="H704" s="1842" t="n"/>
      <c r="I704" s="1842" t="n"/>
      <c r="J704" s="1842" t="n"/>
      <c r="K704" s="1842" t="n"/>
      <c r="L704" s="1842" t="n"/>
      <c r="M704" s="1842" t="n"/>
      <c r="N704" s="1842" t="n"/>
      <c r="O704" s="1842" t="n"/>
      <c r="P704" s="1842" t="n"/>
      <c r="Q704" s="1842" t="n"/>
      <c r="R704" s="1842" t="n"/>
      <c r="S704" s="1842" t="n"/>
      <c r="T704" s="1842" t="n"/>
      <c r="U704" s="1842" t="n"/>
      <c r="V704" s="1842" t="n"/>
      <c r="W704" s="1842" t="n"/>
      <c r="X704" s="1842" t="n"/>
      <c r="Y704" s="1842" t="n"/>
      <c r="Z704" s="1842" t="n"/>
      <c r="AA704" s="1842" t="n"/>
      <c r="AB704" s="1842" t="n"/>
      <c r="AC704" s="1842" t="n"/>
      <c r="AD704" s="1842" t="n"/>
      <c r="AE704" s="1842" t="n"/>
      <c r="AF704" s="1842" t="n"/>
    </row>
    <row r="705" ht="13.5" customHeight="1" s="1883">
      <c r="A705" s="1842" t="n"/>
      <c r="B705" s="1842" t="n"/>
      <c r="C705" s="1842" t="n"/>
      <c r="D705" s="1842" t="n"/>
      <c r="E705" s="1842" t="n"/>
      <c r="F705" s="1842" t="n"/>
      <c r="G705" s="1842" t="n"/>
      <c r="H705" s="1842" t="n"/>
      <c r="I705" s="1842" t="n"/>
      <c r="J705" s="1842" t="n"/>
      <c r="K705" s="1842" t="n"/>
      <c r="L705" s="1842" t="n"/>
      <c r="M705" s="1842" t="n"/>
      <c r="N705" s="1842" t="n"/>
      <c r="O705" s="1842" t="n"/>
      <c r="P705" s="1842" t="n"/>
      <c r="Q705" s="1842" t="n"/>
      <c r="R705" s="1842" t="n"/>
      <c r="S705" s="1842" t="n"/>
      <c r="T705" s="1842" t="n"/>
      <c r="U705" s="1842" t="n"/>
      <c r="V705" s="1842" t="n"/>
      <c r="W705" s="1842" t="n"/>
      <c r="X705" s="1842" t="n"/>
      <c r="Y705" s="1842" t="n"/>
      <c r="Z705" s="1842" t="n"/>
      <c r="AA705" s="1842" t="n"/>
      <c r="AB705" s="1842" t="n"/>
      <c r="AC705" s="1842" t="n"/>
      <c r="AD705" s="1842" t="n"/>
      <c r="AE705" s="1842" t="n"/>
      <c r="AF705" s="1842" t="n"/>
    </row>
    <row r="706" ht="13.5" customHeight="1" s="1883">
      <c r="A706" s="1842" t="n"/>
      <c r="B706" s="1842" t="n"/>
      <c r="C706" s="1842" t="n"/>
      <c r="D706" s="1842" t="n"/>
      <c r="E706" s="1842" t="n"/>
      <c r="F706" s="1842" t="n"/>
      <c r="G706" s="1842" t="n"/>
      <c r="H706" s="1842" t="n"/>
      <c r="I706" s="1842" t="n"/>
      <c r="J706" s="1842" t="n"/>
      <c r="K706" s="1842" t="n"/>
      <c r="L706" s="1842" t="n"/>
      <c r="M706" s="1842" t="n"/>
      <c r="N706" s="1842" t="n"/>
      <c r="O706" s="1842" t="n"/>
      <c r="P706" s="1842" t="n"/>
      <c r="Q706" s="1842" t="n"/>
      <c r="R706" s="1842" t="n"/>
      <c r="S706" s="1842" t="n"/>
      <c r="T706" s="1842" t="n"/>
      <c r="U706" s="1842" t="n"/>
      <c r="V706" s="1842" t="n"/>
      <c r="W706" s="1842" t="n"/>
      <c r="X706" s="1842" t="n"/>
      <c r="Y706" s="1842" t="n"/>
      <c r="Z706" s="1842" t="n"/>
      <c r="AA706" s="1842" t="n"/>
      <c r="AB706" s="1842" t="n"/>
      <c r="AC706" s="1842" t="n"/>
      <c r="AD706" s="1842" t="n"/>
      <c r="AE706" s="1842" t="n"/>
      <c r="AF706" s="1842" t="n"/>
    </row>
    <row r="707" ht="13.5" customHeight="1" s="1883">
      <c r="A707" s="1842" t="n"/>
      <c r="B707" s="1842" t="n"/>
      <c r="C707" s="1842" t="n"/>
      <c r="D707" s="1842" t="n"/>
      <c r="E707" s="1842" t="n"/>
      <c r="F707" s="1842" t="n"/>
      <c r="G707" s="1842" t="n"/>
      <c r="H707" s="1842" t="n"/>
      <c r="I707" s="1842" t="n"/>
      <c r="J707" s="1842" t="n"/>
      <c r="K707" s="1842" t="n"/>
      <c r="L707" s="1842" t="n"/>
      <c r="M707" s="1842" t="n"/>
      <c r="N707" s="1842" t="n"/>
      <c r="O707" s="1842" t="n"/>
      <c r="P707" s="1842" t="n"/>
      <c r="Q707" s="1842" t="n"/>
      <c r="R707" s="1842" t="n"/>
      <c r="S707" s="1842" t="n"/>
      <c r="T707" s="1842" t="n"/>
      <c r="U707" s="1842" t="n"/>
      <c r="V707" s="1842" t="n"/>
      <c r="W707" s="1842" t="n"/>
      <c r="X707" s="1842" t="n"/>
      <c r="Y707" s="1842" t="n"/>
      <c r="Z707" s="1842" t="n"/>
      <c r="AA707" s="1842" t="n"/>
      <c r="AB707" s="1842" t="n"/>
      <c r="AC707" s="1842" t="n"/>
      <c r="AD707" s="1842" t="n"/>
      <c r="AE707" s="1842" t="n"/>
      <c r="AF707" s="1842" t="n"/>
    </row>
    <row r="708" ht="13.5" customHeight="1" s="1883">
      <c r="A708" s="1842" t="n"/>
      <c r="B708" s="1842" t="n"/>
      <c r="C708" s="1842" t="n"/>
      <c r="D708" s="1842" t="n"/>
      <c r="E708" s="1842" t="n"/>
      <c r="F708" s="1842" t="n"/>
      <c r="G708" s="1842" t="n"/>
      <c r="H708" s="1842" t="n"/>
      <c r="I708" s="1842" t="n"/>
      <c r="J708" s="1842" t="n"/>
      <c r="K708" s="1842" t="n"/>
      <c r="L708" s="1842" t="n"/>
      <c r="M708" s="1842" t="n"/>
      <c r="N708" s="1842" t="n"/>
      <c r="O708" s="1842" t="n"/>
      <c r="P708" s="1842" t="n"/>
      <c r="Q708" s="1842" t="n"/>
      <c r="R708" s="1842" t="n"/>
      <c r="S708" s="1842" t="n"/>
      <c r="T708" s="1842" t="n"/>
      <c r="U708" s="1842" t="n"/>
      <c r="V708" s="1842" t="n"/>
      <c r="W708" s="1842" t="n"/>
      <c r="X708" s="1842" t="n"/>
      <c r="Y708" s="1842" t="n"/>
      <c r="Z708" s="1842" t="n"/>
      <c r="AA708" s="1842" t="n"/>
      <c r="AB708" s="1842" t="n"/>
      <c r="AC708" s="1842" t="n"/>
      <c r="AD708" s="1842" t="n"/>
      <c r="AE708" s="1842" t="n"/>
      <c r="AF708" s="1842" t="n"/>
    </row>
    <row r="709" ht="13.5" customHeight="1" s="1883">
      <c r="A709" s="1842" t="n"/>
      <c r="B709" s="1842" t="n"/>
      <c r="C709" s="1842" t="n"/>
      <c r="D709" s="1842" t="n"/>
      <c r="E709" s="1842" t="n"/>
      <c r="F709" s="1842" t="n"/>
      <c r="G709" s="1842" t="n"/>
      <c r="H709" s="1842" t="n"/>
      <c r="I709" s="1842" t="n"/>
      <c r="J709" s="1842" t="n"/>
      <c r="K709" s="1842" t="n"/>
      <c r="L709" s="1842" t="n"/>
      <c r="M709" s="1842" t="n"/>
      <c r="N709" s="1842" t="n"/>
      <c r="O709" s="1842" t="n"/>
      <c r="P709" s="1842" t="n"/>
      <c r="Q709" s="1842" t="n"/>
      <c r="R709" s="1842" t="n"/>
      <c r="S709" s="1842" t="n"/>
      <c r="T709" s="1842" t="n"/>
      <c r="U709" s="1842" t="n"/>
      <c r="V709" s="1842" t="n"/>
      <c r="W709" s="1842" t="n"/>
      <c r="X709" s="1842" t="n"/>
      <c r="Y709" s="1842" t="n"/>
      <c r="Z709" s="1842" t="n"/>
      <c r="AA709" s="1842" t="n"/>
      <c r="AB709" s="1842" t="n"/>
      <c r="AC709" s="1842" t="n"/>
      <c r="AD709" s="1842" t="n"/>
      <c r="AE709" s="1842" t="n"/>
      <c r="AF709" s="1842" t="n"/>
    </row>
    <row r="710" ht="13.5" customHeight="1" s="1883">
      <c r="A710" s="1842" t="n"/>
      <c r="B710" s="1842" t="n"/>
      <c r="C710" s="1842" t="n"/>
      <c r="D710" s="1842" t="n"/>
      <c r="E710" s="1842" t="n"/>
      <c r="F710" s="1842" t="n"/>
      <c r="G710" s="1842" t="n"/>
      <c r="H710" s="1842" t="n"/>
      <c r="I710" s="1842" t="n"/>
      <c r="J710" s="1842" t="n"/>
      <c r="K710" s="1842" t="n"/>
      <c r="L710" s="1842" t="n"/>
      <c r="M710" s="1842" t="n"/>
      <c r="N710" s="1842" t="n"/>
      <c r="O710" s="1842" t="n"/>
      <c r="P710" s="1842" t="n"/>
      <c r="Q710" s="1842" t="n"/>
      <c r="R710" s="1842" t="n"/>
      <c r="S710" s="1842" t="n"/>
      <c r="T710" s="1842" t="n"/>
      <c r="U710" s="1842" t="n"/>
      <c r="V710" s="1842" t="n"/>
      <c r="W710" s="1842" t="n"/>
      <c r="X710" s="1842" t="n"/>
      <c r="Y710" s="1842" t="n"/>
      <c r="Z710" s="1842" t="n"/>
      <c r="AA710" s="1842" t="n"/>
      <c r="AB710" s="1842" t="n"/>
      <c r="AC710" s="1842" t="n"/>
      <c r="AD710" s="1842" t="n"/>
      <c r="AE710" s="1842" t="n"/>
      <c r="AF710" s="1842" t="n"/>
    </row>
    <row r="711" ht="13.5" customHeight="1" s="1883">
      <c r="A711" s="1842" t="n"/>
      <c r="B711" s="1842" t="n"/>
      <c r="C711" s="1842" t="n"/>
      <c r="D711" s="1842" t="n"/>
      <c r="E711" s="1842" t="n"/>
      <c r="F711" s="1842" t="n"/>
      <c r="G711" s="1842" t="n"/>
      <c r="H711" s="1842" t="n"/>
      <c r="I711" s="1842" t="n"/>
      <c r="J711" s="1842" t="n"/>
      <c r="K711" s="1842" t="n"/>
      <c r="L711" s="1842" t="n"/>
      <c r="M711" s="1842" t="n"/>
      <c r="N711" s="1842" t="n"/>
      <c r="O711" s="1842" t="n"/>
      <c r="P711" s="1842" t="n"/>
      <c r="Q711" s="1842" t="n"/>
      <c r="R711" s="1842" t="n"/>
      <c r="S711" s="1842" t="n"/>
      <c r="T711" s="1842" t="n"/>
      <c r="U711" s="1842" t="n"/>
      <c r="V711" s="1842" t="n"/>
      <c r="W711" s="1842" t="n"/>
      <c r="X711" s="1842" t="n"/>
      <c r="Y711" s="1842" t="n"/>
      <c r="Z711" s="1842" t="n"/>
      <c r="AA711" s="1842" t="n"/>
      <c r="AB711" s="1842" t="n"/>
      <c r="AC711" s="1842" t="n"/>
      <c r="AD711" s="1842" t="n"/>
      <c r="AE711" s="1842" t="n"/>
      <c r="AF711" s="1842" t="n"/>
    </row>
    <row r="712" ht="13.5" customHeight="1" s="1883">
      <c r="A712" s="1842" t="n"/>
      <c r="B712" s="1842" t="n"/>
      <c r="C712" s="1842" t="n"/>
      <c r="D712" s="1842" t="n"/>
      <c r="E712" s="1842" t="n"/>
      <c r="F712" s="1842" t="n"/>
      <c r="G712" s="1842" t="n"/>
      <c r="H712" s="1842" t="n"/>
      <c r="I712" s="1842" t="n"/>
      <c r="J712" s="1842" t="n"/>
      <c r="K712" s="1842" t="n"/>
      <c r="L712" s="1842" t="n"/>
      <c r="M712" s="1842" t="n"/>
      <c r="N712" s="1842" t="n"/>
      <c r="O712" s="1842" t="n"/>
      <c r="P712" s="1842" t="n"/>
      <c r="Q712" s="1842" t="n"/>
      <c r="R712" s="1842" t="n"/>
      <c r="S712" s="1842" t="n"/>
      <c r="T712" s="1842" t="n"/>
      <c r="U712" s="1842" t="n"/>
      <c r="V712" s="1842" t="n"/>
      <c r="W712" s="1842" t="n"/>
      <c r="X712" s="1842" t="n"/>
      <c r="Y712" s="1842" t="n"/>
      <c r="Z712" s="1842" t="n"/>
      <c r="AA712" s="1842" t="n"/>
      <c r="AB712" s="1842" t="n"/>
      <c r="AC712" s="1842" t="n"/>
      <c r="AD712" s="1842" t="n"/>
      <c r="AE712" s="1842" t="n"/>
      <c r="AF712" s="1842" t="n"/>
    </row>
    <row r="713" ht="13.5" customHeight="1" s="1883">
      <c r="A713" s="1842" t="n"/>
      <c r="B713" s="1842" t="n"/>
      <c r="C713" s="1842" t="n"/>
      <c r="D713" s="1842" t="n"/>
      <c r="E713" s="1842" t="n"/>
      <c r="F713" s="1842" t="n"/>
      <c r="G713" s="1842" t="n"/>
      <c r="H713" s="1842" t="n"/>
      <c r="I713" s="1842" t="n"/>
      <c r="J713" s="1842" t="n"/>
      <c r="K713" s="1842" t="n"/>
      <c r="L713" s="1842" t="n"/>
      <c r="M713" s="1842" t="n"/>
      <c r="N713" s="1842" t="n"/>
      <c r="O713" s="1842" t="n"/>
      <c r="P713" s="1842" t="n"/>
      <c r="Q713" s="1842" t="n"/>
      <c r="R713" s="1842" t="n"/>
      <c r="S713" s="1842" t="n"/>
      <c r="T713" s="1842" t="n"/>
      <c r="U713" s="1842" t="n"/>
      <c r="V713" s="1842" t="n"/>
      <c r="W713" s="1842" t="n"/>
      <c r="X713" s="1842" t="n"/>
      <c r="Y713" s="1842" t="n"/>
      <c r="Z713" s="1842" t="n"/>
      <c r="AA713" s="1842" t="n"/>
      <c r="AB713" s="1842" t="n"/>
      <c r="AC713" s="1842" t="n"/>
      <c r="AD713" s="1842" t="n"/>
      <c r="AE713" s="1842" t="n"/>
      <c r="AF713" s="1842" t="n"/>
    </row>
    <row r="714" ht="13.5" customHeight="1" s="1883">
      <c r="A714" s="1842" t="n"/>
      <c r="B714" s="1842" t="n"/>
      <c r="C714" s="1842" t="n"/>
      <c r="D714" s="1842" t="n"/>
      <c r="E714" s="1842" t="n"/>
      <c r="F714" s="1842" t="n"/>
      <c r="G714" s="1842" t="n"/>
      <c r="H714" s="1842" t="n"/>
      <c r="I714" s="1842" t="n"/>
      <c r="J714" s="1842" t="n"/>
      <c r="K714" s="1842" t="n"/>
      <c r="L714" s="1842" t="n"/>
      <c r="M714" s="1842" t="n"/>
      <c r="N714" s="1842" t="n"/>
      <c r="O714" s="1842" t="n"/>
      <c r="P714" s="1842" t="n"/>
      <c r="Q714" s="1842" t="n"/>
      <c r="R714" s="1842" t="n"/>
      <c r="S714" s="1842" t="n"/>
      <c r="T714" s="1842" t="n"/>
      <c r="U714" s="1842" t="n"/>
      <c r="V714" s="1842" t="n"/>
      <c r="W714" s="1842" t="n"/>
      <c r="X714" s="1842" t="n"/>
      <c r="Y714" s="1842" t="n"/>
      <c r="Z714" s="1842" t="n"/>
      <c r="AA714" s="1842" t="n"/>
      <c r="AB714" s="1842" t="n"/>
      <c r="AC714" s="1842" t="n"/>
      <c r="AD714" s="1842" t="n"/>
      <c r="AE714" s="1842" t="n"/>
      <c r="AF714" s="1842" t="n"/>
    </row>
    <row r="715" ht="13.5" customHeight="1" s="1883">
      <c r="A715" s="1842" t="n"/>
      <c r="B715" s="1842" t="n"/>
      <c r="C715" s="1842" t="n"/>
      <c r="D715" s="1842" t="n"/>
      <c r="E715" s="1842" t="n"/>
      <c r="F715" s="1842" t="n"/>
      <c r="G715" s="1842" t="n"/>
      <c r="H715" s="1842" t="n"/>
      <c r="I715" s="1842" t="n"/>
      <c r="J715" s="1842" t="n"/>
      <c r="K715" s="1842" t="n"/>
      <c r="L715" s="1842" t="n"/>
      <c r="M715" s="1842" t="n"/>
      <c r="N715" s="1842" t="n"/>
      <c r="O715" s="1842" t="n"/>
      <c r="P715" s="1842" t="n"/>
      <c r="Q715" s="1842" t="n"/>
      <c r="R715" s="1842" t="n"/>
      <c r="S715" s="1842" t="n"/>
      <c r="T715" s="1842" t="n"/>
      <c r="U715" s="1842" t="n"/>
      <c r="V715" s="1842" t="n"/>
      <c r="W715" s="1842" t="n"/>
      <c r="X715" s="1842" t="n"/>
      <c r="Y715" s="1842" t="n"/>
      <c r="Z715" s="1842" t="n"/>
      <c r="AA715" s="1842" t="n"/>
      <c r="AB715" s="1842" t="n"/>
      <c r="AC715" s="1842" t="n"/>
      <c r="AD715" s="1842" t="n"/>
      <c r="AE715" s="1842" t="n"/>
      <c r="AF715" s="1842" t="n"/>
    </row>
    <row r="716" ht="13.5" customHeight="1" s="1883">
      <c r="A716" s="1842" t="n"/>
      <c r="B716" s="1842" t="n"/>
      <c r="C716" s="1842" t="n"/>
      <c r="D716" s="1842" t="n"/>
      <c r="E716" s="1842" t="n"/>
      <c r="F716" s="1842" t="n"/>
      <c r="G716" s="1842" t="n"/>
      <c r="H716" s="1842" t="n"/>
      <c r="I716" s="1842" t="n"/>
      <c r="J716" s="1842" t="n"/>
      <c r="K716" s="1842" t="n"/>
      <c r="L716" s="1842" t="n"/>
      <c r="M716" s="1842" t="n"/>
      <c r="N716" s="1842" t="n"/>
      <c r="O716" s="1842" t="n"/>
      <c r="P716" s="1842" t="n"/>
      <c r="Q716" s="1842" t="n"/>
      <c r="R716" s="1842" t="n"/>
      <c r="S716" s="1842" t="n"/>
      <c r="T716" s="1842" t="n"/>
      <c r="U716" s="1842" t="n"/>
      <c r="V716" s="1842" t="n"/>
      <c r="W716" s="1842" t="n"/>
      <c r="X716" s="1842" t="n"/>
      <c r="Y716" s="1842" t="n"/>
      <c r="Z716" s="1842" t="n"/>
      <c r="AA716" s="1842" t="n"/>
      <c r="AB716" s="1842" t="n"/>
      <c r="AC716" s="1842" t="n"/>
      <c r="AD716" s="1842" t="n"/>
      <c r="AE716" s="1842" t="n"/>
      <c r="AF716" s="1842" t="n"/>
    </row>
    <row r="717" ht="13.5" customHeight="1" s="1883">
      <c r="A717" s="1842" t="n"/>
      <c r="B717" s="1842" t="n"/>
      <c r="C717" s="1842" t="n"/>
      <c r="D717" s="1842" t="n"/>
      <c r="E717" s="1842" t="n"/>
      <c r="F717" s="1842" t="n"/>
      <c r="G717" s="1842" t="n"/>
      <c r="H717" s="1842" t="n"/>
      <c r="I717" s="1842" t="n"/>
      <c r="J717" s="1842" t="n"/>
      <c r="K717" s="1842" t="n"/>
      <c r="L717" s="1842" t="n"/>
      <c r="M717" s="1842" t="n"/>
      <c r="N717" s="1842" t="n"/>
      <c r="O717" s="1842" t="n"/>
      <c r="P717" s="1842" t="n"/>
      <c r="Q717" s="1842" t="n"/>
      <c r="R717" s="1842" t="n"/>
      <c r="S717" s="1842" t="n"/>
      <c r="T717" s="1842" t="n"/>
      <c r="U717" s="1842" t="n"/>
      <c r="V717" s="1842" t="n"/>
      <c r="W717" s="1842" t="n"/>
      <c r="X717" s="1842" t="n"/>
      <c r="Y717" s="1842" t="n"/>
      <c r="Z717" s="1842" t="n"/>
      <c r="AA717" s="1842" t="n"/>
      <c r="AB717" s="1842" t="n"/>
      <c r="AC717" s="1842" t="n"/>
      <c r="AD717" s="1842" t="n"/>
      <c r="AE717" s="1842" t="n"/>
      <c r="AF717" s="1842" t="n"/>
    </row>
    <row r="718" ht="13.5" customHeight="1" s="1883">
      <c r="A718" s="1842" t="n"/>
      <c r="B718" s="1842" t="n"/>
      <c r="C718" s="1842" t="n"/>
      <c r="D718" s="1842" t="n"/>
      <c r="E718" s="1842" t="n"/>
      <c r="F718" s="1842" t="n"/>
      <c r="G718" s="1842" t="n"/>
      <c r="H718" s="1842" t="n"/>
      <c r="I718" s="1842" t="n"/>
      <c r="J718" s="1842" t="n"/>
      <c r="K718" s="1842" t="n"/>
      <c r="L718" s="1842" t="n"/>
      <c r="M718" s="1842" t="n"/>
      <c r="N718" s="1842" t="n"/>
      <c r="O718" s="1842" t="n"/>
      <c r="P718" s="1842" t="n"/>
      <c r="Q718" s="1842" t="n"/>
      <c r="R718" s="1842" t="n"/>
      <c r="S718" s="1842" t="n"/>
      <c r="T718" s="1842" t="n"/>
      <c r="U718" s="1842" t="n"/>
      <c r="V718" s="1842" t="n"/>
      <c r="W718" s="1842" t="n"/>
      <c r="X718" s="1842" t="n"/>
      <c r="Y718" s="1842" t="n"/>
      <c r="Z718" s="1842" t="n"/>
      <c r="AA718" s="1842" t="n"/>
      <c r="AB718" s="1842" t="n"/>
      <c r="AC718" s="1842" t="n"/>
      <c r="AD718" s="1842" t="n"/>
      <c r="AE718" s="1842" t="n"/>
      <c r="AF718" s="1842" t="n"/>
    </row>
    <row r="719" ht="13.5" customHeight="1" s="1883">
      <c r="A719" s="1842" t="n"/>
      <c r="B719" s="1842" t="n"/>
      <c r="C719" s="1842" t="n"/>
      <c r="D719" s="1842" t="n"/>
      <c r="E719" s="1842" t="n"/>
      <c r="F719" s="1842" t="n"/>
      <c r="G719" s="1842" t="n"/>
      <c r="H719" s="1842" t="n"/>
      <c r="I719" s="1842" t="n"/>
      <c r="J719" s="1842" t="n"/>
      <c r="K719" s="1842" t="n"/>
      <c r="L719" s="1842" t="n"/>
      <c r="M719" s="1842" t="n"/>
      <c r="N719" s="1842" t="n"/>
      <c r="O719" s="1842" t="n"/>
      <c r="P719" s="1842" t="n"/>
      <c r="Q719" s="1842" t="n"/>
      <c r="R719" s="1842" t="n"/>
      <c r="S719" s="1842" t="n"/>
      <c r="T719" s="1842" t="n"/>
      <c r="U719" s="1842" t="n"/>
      <c r="V719" s="1842" t="n"/>
      <c r="W719" s="1842" t="n"/>
      <c r="X719" s="1842" t="n"/>
      <c r="Y719" s="1842" t="n"/>
      <c r="Z719" s="1842" t="n"/>
      <c r="AA719" s="1842" t="n"/>
      <c r="AB719" s="1842" t="n"/>
      <c r="AC719" s="1842" t="n"/>
      <c r="AD719" s="1842" t="n"/>
      <c r="AE719" s="1842" t="n"/>
      <c r="AF719" s="1842" t="n"/>
    </row>
    <row r="720" ht="13.5" customHeight="1" s="1883">
      <c r="A720" s="1842" t="n"/>
      <c r="B720" s="1842" t="n"/>
      <c r="C720" s="1842" t="n"/>
      <c r="D720" s="1842" t="n"/>
      <c r="E720" s="1842" t="n"/>
      <c r="F720" s="1842" t="n"/>
      <c r="G720" s="1842" t="n"/>
      <c r="H720" s="1842" t="n"/>
      <c r="I720" s="1842" t="n"/>
      <c r="J720" s="1842" t="n"/>
      <c r="K720" s="1842" t="n"/>
      <c r="L720" s="1842" t="n"/>
      <c r="M720" s="1842" t="n"/>
      <c r="N720" s="1842" t="n"/>
      <c r="O720" s="1842" t="n"/>
      <c r="P720" s="1842" t="n"/>
      <c r="Q720" s="1842" t="n"/>
      <c r="R720" s="1842" t="n"/>
      <c r="S720" s="1842" t="n"/>
      <c r="T720" s="1842" t="n"/>
      <c r="U720" s="1842" t="n"/>
      <c r="V720" s="1842" t="n"/>
      <c r="W720" s="1842" t="n"/>
      <c r="X720" s="1842" t="n"/>
      <c r="Y720" s="1842" t="n"/>
      <c r="Z720" s="1842" t="n"/>
      <c r="AA720" s="1842" t="n"/>
      <c r="AB720" s="1842" t="n"/>
      <c r="AC720" s="1842" t="n"/>
      <c r="AD720" s="1842" t="n"/>
      <c r="AE720" s="1842" t="n"/>
      <c r="AF720" s="1842" t="n"/>
    </row>
    <row r="721" ht="13.5" customHeight="1" s="1883">
      <c r="A721" s="1842" t="n"/>
      <c r="B721" s="1842" t="n"/>
      <c r="C721" s="1842" t="n"/>
      <c r="D721" s="1842" t="n"/>
      <c r="E721" s="1842" t="n"/>
      <c r="F721" s="1842" t="n"/>
      <c r="G721" s="1842" t="n"/>
      <c r="H721" s="1842" t="n"/>
      <c r="I721" s="1842" t="n"/>
      <c r="J721" s="1842" t="n"/>
      <c r="K721" s="1842" t="n"/>
      <c r="L721" s="1842" t="n"/>
      <c r="M721" s="1842" t="n"/>
      <c r="N721" s="1842" t="n"/>
      <c r="O721" s="1842" t="n"/>
      <c r="P721" s="1842" t="n"/>
      <c r="Q721" s="1842" t="n"/>
      <c r="R721" s="1842" t="n"/>
      <c r="S721" s="1842" t="n"/>
      <c r="T721" s="1842" t="n"/>
      <c r="U721" s="1842" t="n"/>
      <c r="V721" s="1842" t="n"/>
      <c r="W721" s="1842" t="n"/>
      <c r="X721" s="1842" t="n"/>
      <c r="Y721" s="1842" t="n"/>
      <c r="Z721" s="1842" t="n"/>
      <c r="AA721" s="1842" t="n"/>
      <c r="AB721" s="1842" t="n"/>
      <c r="AC721" s="1842" t="n"/>
      <c r="AD721" s="1842" t="n"/>
      <c r="AE721" s="1842" t="n"/>
      <c r="AF721" s="1842" t="n"/>
    </row>
    <row r="722" ht="13.5" customHeight="1" s="1883">
      <c r="A722" s="1842" t="n"/>
      <c r="B722" s="1842" t="n"/>
      <c r="C722" s="1842" t="n"/>
      <c r="D722" s="1842" t="n"/>
      <c r="E722" s="1842" t="n"/>
      <c r="F722" s="1842" t="n"/>
      <c r="G722" s="1842" t="n"/>
      <c r="H722" s="1842" t="n"/>
      <c r="I722" s="1842" t="n"/>
      <c r="J722" s="1842" t="n"/>
      <c r="K722" s="1842" t="n"/>
      <c r="L722" s="1842" t="n"/>
      <c r="M722" s="1842" t="n"/>
      <c r="N722" s="1842" t="n"/>
      <c r="O722" s="1842" t="n"/>
      <c r="P722" s="1842" t="n"/>
      <c r="Q722" s="1842" t="n"/>
      <c r="R722" s="1842" t="n"/>
      <c r="S722" s="1842" t="n"/>
      <c r="T722" s="1842" t="n"/>
      <c r="U722" s="1842" t="n"/>
      <c r="V722" s="1842" t="n"/>
      <c r="W722" s="1842" t="n"/>
      <c r="X722" s="1842" t="n"/>
      <c r="Y722" s="1842" t="n"/>
      <c r="Z722" s="1842" t="n"/>
      <c r="AA722" s="1842" t="n"/>
      <c r="AB722" s="1842" t="n"/>
      <c r="AC722" s="1842" t="n"/>
      <c r="AD722" s="1842" t="n"/>
      <c r="AE722" s="1842" t="n"/>
      <c r="AF722" s="1842" t="n"/>
    </row>
    <row r="723" ht="13.5" customHeight="1" s="1883">
      <c r="A723" s="1842" t="n"/>
      <c r="B723" s="1842" t="n"/>
      <c r="C723" s="1842" t="n"/>
      <c r="D723" s="1842" t="n"/>
      <c r="E723" s="1842" t="n"/>
      <c r="F723" s="1842" t="n"/>
      <c r="G723" s="1842" t="n"/>
      <c r="H723" s="1842" t="n"/>
      <c r="I723" s="1842" t="n"/>
      <c r="J723" s="1842" t="n"/>
      <c r="K723" s="1842" t="n"/>
      <c r="L723" s="1842" t="n"/>
      <c r="M723" s="1842" t="n"/>
      <c r="N723" s="1842" t="n"/>
      <c r="O723" s="1842" t="n"/>
      <c r="P723" s="1842" t="n"/>
      <c r="Q723" s="1842" t="n"/>
      <c r="R723" s="1842" t="n"/>
      <c r="S723" s="1842" t="n"/>
      <c r="T723" s="1842" t="n"/>
      <c r="U723" s="1842" t="n"/>
      <c r="V723" s="1842" t="n"/>
      <c r="W723" s="1842" t="n"/>
      <c r="X723" s="1842" t="n"/>
      <c r="Y723" s="1842" t="n"/>
      <c r="Z723" s="1842" t="n"/>
      <c r="AA723" s="1842" t="n"/>
      <c r="AB723" s="1842" t="n"/>
      <c r="AC723" s="1842" t="n"/>
      <c r="AD723" s="1842" t="n"/>
      <c r="AE723" s="1842" t="n"/>
      <c r="AF723" s="1842" t="n"/>
    </row>
    <row r="724" ht="13.5" customHeight="1" s="1883">
      <c r="A724" s="1842" t="n"/>
      <c r="B724" s="1842" t="n"/>
      <c r="C724" s="1842" t="n"/>
      <c r="D724" s="1842" t="n"/>
      <c r="E724" s="1842" t="n"/>
      <c r="F724" s="1842" t="n"/>
      <c r="G724" s="1842" t="n"/>
      <c r="H724" s="1842" t="n"/>
      <c r="I724" s="1842" t="n"/>
      <c r="J724" s="1842" t="n"/>
      <c r="K724" s="1842" t="n"/>
      <c r="L724" s="1842" t="n"/>
      <c r="M724" s="1842" t="n"/>
      <c r="N724" s="1842" t="n"/>
      <c r="O724" s="1842" t="n"/>
      <c r="P724" s="1842" t="n"/>
      <c r="Q724" s="1842" t="n"/>
      <c r="R724" s="1842" t="n"/>
      <c r="S724" s="1842" t="n"/>
      <c r="T724" s="1842" t="n"/>
      <c r="U724" s="1842" t="n"/>
      <c r="V724" s="1842" t="n"/>
      <c r="W724" s="1842" t="n"/>
      <c r="X724" s="1842" t="n"/>
      <c r="Y724" s="1842" t="n"/>
      <c r="Z724" s="1842" t="n"/>
      <c r="AA724" s="1842" t="n"/>
      <c r="AB724" s="1842" t="n"/>
      <c r="AC724" s="1842" t="n"/>
      <c r="AD724" s="1842" t="n"/>
      <c r="AE724" s="1842" t="n"/>
      <c r="AF724" s="1842" t="n"/>
    </row>
    <row r="725" ht="13.5" customHeight="1" s="1883">
      <c r="A725" s="1842" t="n"/>
      <c r="B725" s="1842" t="n"/>
      <c r="C725" s="1842" t="n"/>
      <c r="D725" s="1842" t="n"/>
      <c r="E725" s="1842" t="n"/>
      <c r="F725" s="1842" t="n"/>
      <c r="G725" s="1842" t="n"/>
      <c r="H725" s="1842" t="n"/>
      <c r="I725" s="1842" t="n"/>
      <c r="J725" s="1842" t="n"/>
      <c r="K725" s="1842" t="n"/>
      <c r="L725" s="1842" t="n"/>
      <c r="M725" s="1842" t="n"/>
      <c r="N725" s="1842" t="n"/>
      <c r="O725" s="1842" t="n"/>
      <c r="P725" s="1842" t="n"/>
      <c r="Q725" s="1842" t="n"/>
      <c r="R725" s="1842" t="n"/>
      <c r="S725" s="1842" t="n"/>
      <c r="T725" s="1842" t="n"/>
      <c r="U725" s="1842" t="n"/>
      <c r="V725" s="1842" t="n"/>
      <c r="W725" s="1842" t="n"/>
      <c r="X725" s="1842" t="n"/>
      <c r="Y725" s="1842" t="n"/>
      <c r="Z725" s="1842" t="n"/>
      <c r="AA725" s="1842" t="n"/>
      <c r="AB725" s="1842" t="n"/>
      <c r="AC725" s="1842" t="n"/>
      <c r="AD725" s="1842" t="n"/>
      <c r="AE725" s="1842" t="n"/>
      <c r="AF725" s="1842" t="n"/>
    </row>
    <row r="726" ht="13.5" customHeight="1" s="1883">
      <c r="A726" s="1842" t="n"/>
      <c r="B726" s="1842" t="n"/>
      <c r="C726" s="1842" t="n"/>
      <c r="D726" s="1842" t="n"/>
      <c r="E726" s="1842" t="n"/>
      <c r="F726" s="1842" t="n"/>
      <c r="G726" s="1842" t="n"/>
      <c r="H726" s="1842" t="n"/>
      <c r="I726" s="1842" t="n"/>
      <c r="J726" s="1842" t="n"/>
      <c r="K726" s="1842" t="n"/>
      <c r="L726" s="1842" t="n"/>
      <c r="M726" s="1842" t="n"/>
      <c r="N726" s="1842" t="n"/>
      <c r="O726" s="1842" t="n"/>
      <c r="P726" s="1842" t="n"/>
      <c r="Q726" s="1842" t="n"/>
      <c r="R726" s="1842" t="n"/>
      <c r="S726" s="1842" t="n"/>
      <c r="T726" s="1842" t="n"/>
      <c r="U726" s="1842" t="n"/>
      <c r="V726" s="1842" t="n"/>
      <c r="W726" s="1842" t="n"/>
      <c r="X726" s="1842" t="n"/>
      <c r="Y726" s="1842" t="n"/>
      <c r="Z726" s="1842" t="n"/>
      <c r="AA726" s="1842" t="n"/>
      <c r="AB726" s="1842" t="n"/>
      <c r="AC726" s="1842" t="n"/>
      <c r="AD726" s="1842" t="n"/>
      <c r="AE726" s="1842" t="n"/>
      <c r="AF726" s="1842" t="n"/>
    </row>
    <row r="727" ht="13.5" customHeight="1" s="1883">
      <c r="A727" s="1842" t="n"/>
      <c r="B727" s="1842" t="n"/>
      <c r="C727" s="1842" t="n"/>
      <c r="D727" s="1842" t="n"/>
      <c r="E727" s="1842" t="n"/>
      <c r="F727" s="1842" t="n"/>
      <c r="G727" s="1842" t="n"/>
      <c r="H727" s="1842" t="n"/>
      <c r="I727" s="1842" t="n"/>
      <c r="J727" s="1842" t="n"/>
      <c r="K727" s="1842" t="n"/>
      <c r="L727" s="1842" t="n"/>
      <c r="M727" s="1842" t="n"/>
      <c r="N727" s="1842" t="n"/>
      <c r="O727" s="1842" t="n"/>
      <c r="P727" s="1842" t="n"/>
      <c r="Q727" s="1842" t="n"/>
      <c r="R727" s="1842" t="n"/>
      <c r="S727" s="1842" t="n"/>
      <c r="T727" s="1842" t="n"/>
      <c r="U727" s="1842" t="n"/>
      <c r="V727" s="1842" t="n"/>
      <c r="W727" s="1842" t="n"/>
      <c r="X727" s="1842" t="n"/>
      <c r="Y727" s="1842" t="n"/>
      <c r="Z727" s="1842" t="n"/>
      <c r="AA727" s="1842" t="n"/>
      <c r="AB727" s="1842" t="n"/>
      <c r="AC727" s="1842" t="n"/>
      <c r="AD727" s="1842" t="n"/>
      <c r="AE727" s="1842" t="n"/>
      <c r="AF727" s="1842" t="n"/>
    </row>
    <row r="728" ht="13.5" customHeight="1" s="1883">
      <c r="A728" s="1842" t="n"/>
      <c r="B728" s="1842" t="n"/>
      <c r="C728" s="1842" t="n"/>
      <c r="D728" s="1842" t="n"/>
      <c r="E728" s="1842" t="n"/>
      <c r="F728" s="1842" t="n"/>
      <c r="G728" s="1842" t="n"/>
      <c r="H728" s="1842" t="n"/>
      <c r="I728" s="1842" t="n"/>
      <c r="J728" s="1842" t="n"/>
      <c r="K728" s="1842" t="n"/>
      <c r="L728" s="1842" t="n"/>
      <c r="M728" s="1842" t="n"/>
      <c r="N728" s="1842" t="n"/>
      <c r="O728" s="1842" t="n"/>
      <c r="P728" s="1842" t="n"/>
      <c r="Q728" s="1842" t="n"/>
      <c r="R728" s="1842" t="n"/>
      <c r="S728" s="1842" t="n"/>
      <c r="T728" s="1842" t="n"/>
      <c r="U728" s="1842" t="n"/>
      <c r="V728" s="1842" t="n"/>
      <c r="W728" s="1842" t="n"/>
      <c r="X728" s="1842" t="n"/>
      <c r="Y728" s="1842" t="n"/>
      <c r="Z728" s="1842" t="n"/>
      <c r="AA728" s="1842" t="n"/>
      <c r="AB728" s="1842" t="n"/>
      <c r="AC728" s="1842" t="n"/>
      <c r="AD728" s="1842" t="n"/>
      <c r="AE728" s="1842" t="n"/>
      <c r="AF728" s="1842" t="n"/>
    </row>
    <row r="729" ht="13.5" customHeight="1" s="1883">
      <c r="A729" s="1842" t="n"/>
      <c r="B729" s="1842" t="n"/>
      <c r="C729" s="1842" t="n"/>
      <c r="D729" s="1842" t="n"/>
      <c r="E729" s="1842" t="n"/>
      <c r="F729" s="1842" t="n"/>
      <c r="G729" s="1842" t="n"/>
      <c r="H729" s="1842" t="n"/>
      <c r="I729" s="1842" t="n"/>
      <c r="J729" s="1842" t="n"/>
      <c r="K729" s="1842" t="n"/>
      <c r="L729" s="1842" t="n"/>
      <c r="M729" s="1842" t="n"/>
      <c r="N729" s="1842" t="n"/>
      <c r="O729" s="1842" t="n"/>
      <c r="P729" s="1842" t="n"/>
      <c r="Q729" s="1842" t="n"/>
      <c r="R729" s="1842" t="n"/>
      <c r="S729" s="1842" t="n"/>
      <c r="T729" s="1842" t="n"/>
      <c r="U729" s="1842" t="n"/>
      <c r="V729" s="1842" t="n"/>
      <c r="W729" s="1842" t="n"/>
      <c r="X729" s="1842" t="n"/>
      <c r="Y729" s="1842" t="n"/>
      <c r="Z729" s="1842" t="n"/>
      <c r="AA729" s="1842" t="n"/>
      <c r="AB729" s="1842" t="n"/>
      <c r="AC729" s="1842" t="n"/>
      <c r="AD729" s="1842" t="n"/>
      <c r="AE729" s="1842" t="n"/>
      <c r="AF729" s="1842" t="n"/>
    </row>
    <row r="730" ht="13.5" customHeight="1" s="1883">
      <c r="A730" s="1842" t="n"/>
      <c r="B730" s="1842" t="n"/>
      <c r="C730" s="1842" t="n"/>
      <c r="D730" s="1842" t="n"/>
      <c r="E730" s="1842" t="n"/>
      <c r="F730" s="1842" t="n"/>
      <c r="G730" s="1842" t="n"/>
      <c r="H730" s="1842" t="n"/>
      <c r="I730" s="1842" t="n"/>
      <c r="J730" s="1842" t="n"/>
      <c r="K730" s="1842" t="n"/>
      <c r="L730" s="1842" t="n"/>
      <c r="M730" s="1842" t="n"/>
      <c r="N730" s="1842" t="n"/>
      <c r="O730" s="1842" t="n"/>
      <c r="P730" s="1842" t="n"/>
      <c r="Q730" s="1842" t="n"/>
      <c r="R730" s="1842" t="n"/>
      <c r="S730" s="1842" t="n"/>
      <c r="T730" s="1842" t="n"/>
      <c r="U730" s="1842" t="n"/>
      <c r="V730" s="1842" t="n"/>
      <c r="W730" s="1842" t="n"/>
      <c r="X730" s="1842" t="n"/>
      <c r="Y730" s="1842" t="n"/>
      <c r="Z730" s="1842" t="n"/>
      <c r="AA730" s="1842" t="n"/>
      <c r="AB730" s="1842" t="n"/>
      <c r="AC730" s="1842" t="n"/>
      <c r="AD730" s="1842" t="n"/>
      <c r="AE730" s="1842" t="n"/>
      <c r="AF730" s="1842" t="n"/>
    </row>
    <row r="731" ht="13.5" customHeight="1" s="1883">
      <c r="A731" s="1842" t="n"/>
      <c r="B731" s="1842" t="n"/>
      <c r="C731" s="1842" t="n"/>
      <c r="D731" s="1842" t="n"/>
      <c r="E731" s="1842" t="n"/>
      <c r="F731" s="1842" t="n"/>
      <c r="G731" s="1842" t="n"/>
      <c r="H731" s="1842" t="n"/>
      <c r="I731" s="1842" t="n"/>
      <c r="J731" s="1842" t="n"/>
      <c r="K731" s="1842" t="n"/>
      <c r="L731" s="1842" t="n"/>
      <c r="M731" s="1842" t="n"/>
      <c r="N731" s="1842" t="n"/>
      <c r="O731" s="1842" t="n"/>
      <c r="P731" s="1842" t="n"/>
      <c r="Q731" s="1842" t="n"/>
      <c r="R731" s="1842" t="n"/>
      <c r="S731" s="1842" t="n"/>
      <c r="T731" s="1842" t="n"/>
      <c r="U731" s="1842" t="n"/>
      <c r="V731" s="1842" t="n"/>
      <c r="W731" s="1842" t="n"/>
      <c r="X731" s="1842" t="n"/>
      <c r="Y731" s="1842" t="n"/>
      <c r="Z731" s="1842" t="n"/>
      <c r="AA731" s="1842" t="n"/>
      <c r="AB731" s="1842" t="n"/>
      <c r="AC731" s="1842" t="n"/>
      <c r="AD731" s="1842" t="n"/>
      <c r="AE731" s="1842" t="n"/>
      <c r="AF731" s="1842" t="n"/>
    </row>
    <row r="732" ht="13.5" customHeight="1" s="1883">
      <c r="A732" s="1842" t="n"/>
      <c r="B732" s="1842" t="n"/>
      <c r="C732" s="1842" t="n"/>
      <c r="D732" s="1842" t="n"/>
      <c r="E732" s="1842" t="n"/>
      <c r="F732" s="1842" t="n"/>
      <c r="G732" s="1842" t="n"/>
      <c r="H732" s="1842" t="n"/>
      <c r="I732" s="1842" t="n"/>
      <c r="J732" s="1842" t="n"/>
      <c r="K732" s="1842" t="n"/>
      <c r="L732" s="1842" t="n"/>
      <c r="M732" s="1842" t="n"/>
      <c r="N732" s="1842" t="n"/>
      <c r="O732" s="1842" t="n"/>
      <c r="P732" s="1842" t="n"/>
      <c r="Q732" s="1842" t="n"/>
      <c r="R732" s="1842" t="n"/>
      <c r="S732" s="1842" t="n"/>
      <c r="T732" s="1842" t="n"/>
      <c r="U732" s="1842" t="n"/>
      <c r="V732" s="1842" t="n"/>
      <c r="W732" s="1842" t="n"/>
      <c r="X732" s="1842" t="n"/>
      <c r="Y732" s="1842" t="n"/>
      <c r="Z732" s="1842" t="n"/>
      <c r="AA732" s="1842" t="n"/>
      <c r="AB732" s="1842" t="n"/>
      <c r="AC732" s="1842" t="n"/>
      <c r="AD732" s="1842" t="n"/>
      <c r="AE732" s="1842" t="n"/>
      <c r="AF732" s="1842" t="n"/>
    </row>
    <row r="733" ht="13.5" customHeight="1" s="1883">
      <c r="A733" s="1842" t="n"/>
      <c r="B733" s="1842" t="n"/>
      <c r="C733" s="1842" t="n"/>
      <c r="D733" s="1842" t="n"/>
      <c r="E733" s="1842" t="n"/>
      <c r="F733" s="1842" t="n"/>
      <c r="G733" s="1842" t="n"/>
      <c r="H733" s="1842" t="n"/>
      <c r="I733" s="1842" t="n"/>
      <c r="J733" s="1842" t="n"/>
      <c r="K733" s="1842" t="n"/>
      <c r="L733" s="1842" t="n"/>
      <c r="M733" s="1842" t="n"/>
      <c r="N733" s="1842" t="n"/>
      <c r="O733" s="1842" t="n"/>
      <c r="P733" s="1842" t="n"/>
      <c r="Q733" s="1842" t="n"/>
      <c r="R733" s="1842" t="n"/>
      <c r="S733" s="1842" t="n"/>
      <c r="T733" s="1842" t="n"/>
      <c r="U733" s="1842" t="n"/>
      <c r="V733" s="1842" t="n"/>
      <c r="W733" s="1842" t="n"/>
      <c r="X733" s="1842" t="n"/>
      <c r="Y733" s="1842" t="n"/>
      <c r="Z733" s="1842" t="n"/>
      <c r="AA733" s="1842" t="n"/>
      <c r="AB733" s="1842" t="n"/>
      <c r="AC733" s="1842" t="n"/>
      <c r="AD733" s="1842" t="n"/>
      <c r="AE733" s="1842" t="n"/>
      <c r="AF733" s="1842" t="n"/>
    </row>
    <row r="734" ht="13.5" customHeight="1" s="1883">
      <c r="A734" s="1842" t="n"/>
      <c r="B734" s="1842" t="n"/>
      <c r="C734" s="1842" t="n"/>
      <c r="D734" s="1842" t="n"/>
      <c r="E734" s="1842" t="n"/>
      <c r="F734" s="1842" t="n"/>
      <c r="G734" s="1842" t="n"/>
      <c r="H734" s="1842" t="n"/>
      <c r="I734" s="1842" t="n"/>
      <c r="J734" s="1842" t="n"/>
      <c r="K734" s="1842" t="n"/>
      <c r="L734" s="1842" t="n"/>
      <c r="M734" s="1842" t="n"/>
      <c r="N734" s="1842" t="n"/>
      <c r="O734" s="1842" t="n"/>
      <c r="P734" s="1842" t="n"/>
      <c r="Q734" s="1842" t="n"/>
      <c r="R734" s="1842" t="n"/>
      <c r="S734" s="1842" t="n"/>
      <c r="T734" s="1842" t="n"/>
      <c r="U734" s="1842" t="n"/>
      <c r="V734" s="1842" t="n"/>
      <c r="W734" s="1842" t="n"/>
      <c r="X734" s="1842" t="n"/>
      <c r="Y734" s="1842" t="n"/>
      <c r="Z734" s="1842" t="n"/>
      <c r="AA734" s="1842" t="n"/>
      <c r="AB734" s="1842" t="n"/>
      <c r="AC734" s="1842" t="n"/>
      <c r="AD734" s="1842" t="n"/>
      <c r="AE734" s="1842" t="n"/>
      <c r="AF734" s="1842" t="n"/>
    </row>
    <row r="735" ht="13.5" customHeight="1" s="1883">
      <c r="A735" s="1842" t="n"/>
      <c r="B735" s="1842" t="n"/>
      <c r="C735" s="1842" t="n"/>
      <c r="D735" s="1842" t="n"/>
      <c r="E735" s="1842" t="n"/>
      <c r="F735" s="1842" t="n"/>
      <c r="G735" s="1842" t="n"/>
      <c r="H735" s="1842" t="n"/>
      <c r="I735" s="1842" t="n"/>
      <c r="J735" s="1842" t="n"/>
      <c r="K735" s="1842" t="n"/>
      <c r="L735" s="1842" t="n"/>
      <c r="M735" s="1842" t="n"/>
      <c r="N735" s="1842" t="n"/>
      <c r="O735" s="1842" t="n"/>
      <c r="P735" s="1842" t="n"/>
      <c r="Q735" s="1842" t="n"/>
      <c r="R735" s="1842" t="n"/>
      <c r="S735" s="1842" t="n"/>
      <c r="T735" s="1842" t="n"/>
      <c r="U735" s="1842" t="n"/>
      <c r="V735" s="1842" t="n"/>
      <c r="W735" s="1842" t="n"/>
      <c r="X735" s="1842" t="n"/>
      <c r="Y735" s="1842" t="n"/>
      <c r="Z735" s="1842" t="n"/>
      <c r="AA735" s="1842" t="n"/>
      <c r="AB735" s="1842" t="n"/>
      <c r="AC735" s="1842" t="n"/>
      <c r="AD735" s="1842" t="n"/>
      <c r="AE735" s="1842" t="n"/>
      <c r="AF735" s="1842" t="n"/>
    </row>
    <row r="736" ht="13.5" customHeight="1" s="1883">
      <c r="A736" s="1842" t="n"/>
      <c r="B736" s="1842" t="n"/>
      <c r="C736" s="1842" t="n"/>
      <c r="D736" s="1842" t="n"/>
      <c r="E736" s="1842" t="n"/>
      <c r="F736" s="1842" t="n"/>
      <c r="G736" s="1842" t="n"/>
      <c r="H736" s="1842" t="n"/>
      <c r="I736" s="1842" t="n"/>
      <c r="J736" s="1842" t="n"/>
      <c r="K736" s="1842" t="n"/>
      <c r="L736" s="1842" t="n"/>
      <c r="M736" s="1842" t="n"/>
      <c r="N736" s="1842" t="n"/>
      <c r="O736" s="1842" t="n"/>
      <c r="P736" s="1842" t="n"/>
      <c r="Q736" s="1842" t="n"/>
      <c r="R736" s="1842" t="n"/>
      <c r="S736" s="1842" t="n"/>
      <c r="T736" s="1842" t="n"/>
      <c r="U736" s="1842" t="n"/>
      <c r="V736" s="1842" t="n"/>
      <c r="W736" s="1842" t="n"/>
      <c r="X736" s="1842" t="n"/>
      <c r="Y736" s="1842" t="n"/>
      <c r="Z736" s="1842" t="n"/>
      <c r="AA736" s="1842" t="n"/>
      <c r="AB736" s="1842" t="n"/>
      <c r="AC736" s="1842" t="n"/>
      <c r="AD736" s="1842" t="n"/>
      <c r="AE736" s="1842" t="n"/>
      <c r="AF736" s="1842" t="n"/>
    </row>
    <row r="737" ht="13.5" customHeight="1" s="1883">
      <c r="A737" s="1842" t="n"/>
      <c r="B737" s="1842" t="n"/>
      <c r="C737" s="1842" t="n"/>
      <c r="D737" s="1842" t="n"/>
      <c r="E737" s="1842" t="n"/>
      <c r="F737" s="1842" t="n"/>
      <c r="G737" s="1842" t="n"/>
      <c r="H737" s="1842" t="n"/>
      <c r="I737" s="1842" t="n"/>
      <c r="J737" s="1842" t="n"/>
      <c r="K737" s="1842" t="n"/>
      <c r="L737" s="1842" t="n"/>
      <c r="M737" s="1842" t="n"/>
      <c r="N737" s="1842" t="n"/>
      <c r="O737" s="1842" t="n"/>
      <c r="P737" s="1842" t="n"/>
      <c r="Q737" s="1842" t="n"/>
      <c r="R737" s="1842" t="n"/>
      <c r="S737" s="1842" t="n"/>
      <c r="T737" s="1842" t="n"/>
      <c r="U737" s="1842" t="n"/>
      <c r="V737" s="1842" t="n"/>
      <c r="W737" s="1842" t="n"/>
      <c r="X737" s="1842" t="n"/>
      <c r="Y737" s="1842" t="n"/>
      <c r="Z737" s="1842" t="n"/>
      <c r="AA737" s="1842" t="n"/>
      <c r="AB737" s="1842" t="n"/>
      <c r="AC737" s="1842" t="n"/>
      <c r="AD737" s="1842" t="n"/>
      <c r="AE737" s="1842" t="n"/>
      <c r="AF737" s="1842" t="n"/>
    </row>
    <row r="738" ht="13.5" customHeight="1" s="1883">
      <c r="A738" s="1842" t="n"/>
      <c r="B738" s="1842" t="n"/>
      <c r="C738" s="1842" t="n"/>
      <c r="D738" s="1842" t="n"/>
      <c r="E738" s="1842" t="n"/>
      <c r="F738" s="1842" t="n"/>
      <c r="G738" s="1842" t="n"/>
      <c r="H738" s="1842" t="n"/>
      <c r="I738" s="1842" t="n"/>
      <c r="J738" s="1842" t="n"/>
      <c r="K738" s="1842" t="n"/>
      <c r="L738" s="1842" t="n"/>
      <c r="M738" s="1842" t="n"/>
      <c r="N738" s="1842" t="n"/>
      <c r="O738" s="1842" t="n"/>
      <c r="P738" s="1842" t="n"/>
      <c r="Q738" s="1842" t="n"/>
      <c r="R738" s="1842" t="n"/>
      <c r="S738" s="1842" t="n"/>
      <c r="T738" s="1842" t="n"/>
      <c r="U738" s="1842" t="n"/>
      <c r="V738" s="1842" t="n"/>
      <c r="W738" s="1842" t="n"/>
      <c r="X738" s="1842" t="n"/>
      <c r="Y738" s="1842" t="n"/>
      <c r="Z738" s="1842" t="n"/>
      <c r="AA738" s="1842" t="n"/>
      <c r="AB738" s="1842" t="n"/>
      <c r="AC738" s="1842" t="n"/>
      <c r="AD738" s="1842" t="n"/>
      <c r="AE738" s="1842" t="n"/>
      <c r="AF738" s="1842" t="n"/>
    </row>
    <row r="739" ht="13.5" customHeight="1" s="1883">
      <c r="A739" s="1842" t="n"/>
      <c r="B739" s="1842" t="n"/>
      <c r="C739" s="1842" t="n"/>
      <c r="D739" s="1842" t="n"/>
      <c r="E739" s="1842" t="n"/>
      <c r="F739" s="1842" t="n"/>
      <c r="G739" s="1842" t="n"/>
      <c r="H739" s="1842" t="n"/>
      <c r="I739" s="1842" t="n"/>
      <c r="J739" s="1842" t="n"/>
      <c r="K739" s="1842" t="n"/>
      <c r="L739" s="1842" t="n"/>
      <c r="M739" s="1842" t="n"/>
      <c r="N739" s="1842" t="n"/>
      <c r="O739" s="1842" t="n"/>
      <c r="P739" s="1842" t="n"/>
      <c r="Q739" s="1842" t="n"/>
      <c r="R739" s="1842" t="n"/>
      <c r="S739" s="1842" t="n"/>
      <c r="T739" s="1842" t="n"/>
      <c r="U739" s="1842" t="n"/>
      <c r="V739" s="1842" t="n"/>
      <c r="W739" s="1842" t="n"/>
      <c r="X739" s="1842" t="n"/>
      <c r="Y739" s="1842" t="n"/>
      <c r="Z739" s="1842" t="n"/>
      <c r="AA739" s="1842" t="n"/>
      <c r="AB739" s="1842" t="n"/>
      <c r="AC739" s="1842" t="n"/>
      <c r="AD739" s="1842" t="n"/>
      <c r="AE739" s="1842" t="n"/>
      <c r="AF739" s="1842" t="n"/>
    </row>
    <row r="740" ht="13.5" customHeight="1" s="1883">
      <c r="A740" s="1842" t="n"/>
      <c r="B740" s="1842" t="n"/>
      <c r="C740" s="1842" t="n"/>
      <c r="D740" s="1842" t="n"/>
      <c r="E740" s="1842" t="n"/>
      <c r="F740" s="1842" t="n"/>
      <c r="G740" s="1842" t="n"/>
      <c r="H740" s="1842" t="n"/>
      <c r="I740" s="1842" t="n"/>
      <c r="J740" s="1842" t="n"/>
      <c r="K740" s="1842" t="n"/>
      <c r="L740" s="1842" t="n"/>
      <c r="M740" s="1842" t="n"/>
      <c r="N740" s="1842" t="n"/>
      <c r="O740" s="1842" t="n"/>
      <c r="P740" s="1842" t="n"/>
      <c r="Q740" s="1842" t="n"/>
      <c r="R740" s="1842" t="n"/>
      <c r="S740" s="1842" t="n"/>
      <c r="T740" s="1842" t="n"/>
      <c r="U740" s="1842" t="n"/>
      <c r="V740" s="1842" t="n"/>
      <c r="W740" s="1842" t="n"/>
      <c r="X740" s="1842" t="n"/>
      <c r="Y740" s="1842" t="n"/>
      <c r="Z740" s="1842" t="n"/>
      <c r="AA740" s="1842" t="n"/>
      <c r="AB740" s="1842" t="n"/>
      <c r="AC740" s="1842" t="n"/>
      <c r="AD740" s="1842" t="n"/>
      <c r="AE740" s="1842" t="n"/>
      <c r="AF740" s="1842" t="n"/>
    </row>
    <row r="741" ht="13.5" customHeight="1" s="1883">
      <c r="A741" s="1842" t="n"/>
      <c r="B741" s="1842" t="n"/>
      <c r="C741" s="1842" t="n"/>
      <c r="D741" s="1842" t="n"/>
      <c r="E741" s="1842" t="n"/>
      <c r="F741" s="1842" t="n"/>
      <c r="G741" s="1842" t="n"/>
      <c r="H741" s="1842" t="n"/>
      <c r="I741" s="1842" t="n"/>
      <c r="J741" s="1842" t="n"/>
      <c r="K741" s="1842" t="n"/>
      <c r="L741" s="1842" t="n"/>
      <c r="M741" s="1842" t="n"/>
      <c r="N741" s="1842" t="n"/>
      <c r="O741" s="1842" t="n"/>
      <c r="P741" s="1842" t="n"/>
      <c r="Q741" s="1842" t="n"/>
      <c r="R741" s="1842" t="n"/>
      <c r="S741" s="1842" t="n"/>
      <c r="T741" s="1842" t="n"/>
      <c r="U741" s="1842" t="n"/>
      <c r="V741" s="1842" t="n"/>
      <c r="W741" s="1842" t="n"/>
      <c r="X741" s="1842" t="n"/>
      <c r="Y741" s="1842" t="n"/>
      <c r="Z741" s="1842" t="n"/>
      <c r="AA741" s="1842" t="n"/>
      <c r="AB741" s="1842" t="n"/>
      <c r="AC741" s="1842" t="n"/>
      <c r="AD741" s="1842" t="n"/>
      <c r="AE741" s="1842" t="n"/>
      <c r="AF741" s="1842" t="n"/>
    </row>
    <row r="742" ht="13.5" customHeight="1" s="1883">
      <c r="A742" s="1842" t="n"/>
      <c r="B742" s="1842" t="n"/>
      <c r="C742" s="1842" t="n"/>
      <c r="D742" s="1842" t="n"/>
      <c r="E742" s="1842" t="n"/>
      <c r="F742" s="1842" t="n"/>
      <c r="G742" s="1842" t="n"/>
      <c r="H742" s="1842" t="n"/>
      <c r="I742" s="1842" t="n"/>
      <c r="J742" s="1842" t="n"/>
      <c r="K742" s="1842" t="n"/>
      <c r="L742" s="1842" t="n"/>
      <c r="M742" s="1842" t="n"/>
      <c r="N742" s="1842" t="n"/>
      <c r="O742" s="1842" t="n"/>
      <c r="P742" s="1842" t="n"/>
      <c r="Q742" s="1842" t="n"/>
      <c r="R742" s="1842" t="n"/>
      <c r="S742" s="1842" t="n"/>
      <c r="T742" s="1842" t="n"/>
      <c r="U742" s="1842" t="n"/>
      <c r="V742" s="1842" t="n"/>
      <c r="W742" s="1842" t="n"/>
      <c r="X742" s="1842" t="n"/>
      <c r="Y742" s="1842" t="n"/>
      <c r="Z742" s="1842" t="n"/>
      <c r="AA742" s="1842" t="n"/>
      <c r="AB742" s="1842" t="n"/>
      <c r="AC742" s="1842" t="n"/>
      <c r="AD742" s="1842" t="n"/>
      <c r="AE742" s="1842" t="n"/>
      <c r="AF742" s="1842" t="n"/>
    </row>
    <row r="743" ht="13.5" customHeight="1" s="1883">
      <c r="A743" s="1842" t="n"/>
      <c r="B743" s="1842" t="n"/>
      <c r="C743" s="1842" t="n"/>
      <c r="D743" s="1842" t="n"/>
      <c r="E743" s="1842" t="n"/>
      <c r="F743" s="1842" t="n"/>
      <c r="G743" s="1842" t="n"/>
      <c r="H743" s="1842" t="n"/>
      <c r="I743" s="1842" t="n"/>
      <c r="J743" s="1842" t="n"/>
      <c r="K743" s="1842" t="n"/>
      <c r="L743" s="1842" t="n"/>
      <c r="M743" s="1842" t="n"/>
      <c r="N743" s="1842" t="n"/>
      <c r="O743" s="1842" t="n"/>
      <c r="P743" s="1842" t="n"/>
      <c r="Q743" s="1842" t="n"/>
      <c r="R743" s="1842" t="n"/>
      <c r="S743" s="1842" t="n"/>
      <c r="T743" s="1842" t="n"/>
      <c r="U743" s="1842" t="n"/>
      <c r="V743" s="1842" t="n"/>
      <c r="W743" s="1842" t="n"/>
      <c r="X743" s="1842" t="n"/>
      <c r="Y743" s="1842" t="n"/>
      <c r="Z743" s="1842" t="n"/>
      <c r="AA743" s="1842" t="n"/>
      <c r="AB743" s="1842" t="n"/>
      <c r="AC743" s="1842" t="n"/>
      <c r="AD743" s="1842" t="n"/>
      <c r="AE743" s="1842" t="n"/>
      <c r="AF743" s="1842" t="n"/>
    </row>
    <row r="744" ht="13.5" customHeight="1" s="1883">
      <c r="A744" s="1842" t="n"/>
      <c r="B744" s="1842" t="n"/>
      <c r="C744" s="1842" t="n"/>
      <c r="D744" s="1842" t="n"/>
      <c r="E744" s="1842" t="n"/>
      <c r="F744" s="1842" t="n"/>
      <c r="G744" s="1842" t="n"/>
      <c r="H744" s="1842" t="n"/>
      <c r="I744" s="1842" t="n"/>
      <c r="J744" s="1842" t="n"/>
      <c r="K744" s="1842" t="n"/>
      <c r="L744" s="1842" t="n"/>
      <c r="M744" s="1842" t="n"/>
      <c r="N744" s="1842" t="n"/>
      <c r="O744" s="1842" t="n"/>
      <c r="P744" s="1842" t="n"/>
      <c r="Q744" s="1842" t="n"/>
      <c r="R744" s="1842" t="n"/>
      <c r="S744" s="1842" t="n"/>
      <c r="T744" s="1842" t="n"/>
      <c r="U744" s="1842" t="n"/>
      <c r="V744" s="1842" t="n"/>
      <c r="W744" s="1842" t="n"/>
      <c r="X744" s="1842" t="n"/>
      <c r="Y744" s="1842" t="n"/>
      <c r="Z744" s="1842" t="n"/>
      <c r="AA744" s="1842" t="n"/>
      <c r="AB744" s="1842" t="n"/>
      <c r="AC744" s="1842" t="n"/>
      <c r="AD744" s="1842" t="n"/>
      <c r="AE744" s="1842" t="n"/>
      <c r="AF744" s="1842" t="n"/>
    </row>
    <row r="745" ht="13.5" customHeight="1" s="1883">
      <c r="A745" s="1842" t="n"/>
      <c r="B745" s="1842" t="n"/>
      <c r="C745" s="1842" t="n"/>
      <c r="D745" s="1842" t="n"/>
      <c r="E745" s="1842" t="n"/>
      <c r="F745" s="1842" t="n"/>
      <c r="G745" s="1842" t="n"/>
      <c r="H745" s="1842" t="n"/>
      <c r="I745" s="1842" t="n"/>
      <c r="J745" s="1842" t="n"/>
      <c r="K745" s="1842" t="n"/>
      <c r="L745" s="1842" t="n"/>
      <c r="M745" s="1842" t="n"/>
      <c r="N745" s="1842" t="n"/>
      <c r="O745" s="1842" t="n"/>
      <c r="P745" s="1842" t="n"/>
      <c r="Q745" s="1842" t="n"/>
      <c r="R745" s="1842" t="n"/>
      <c r="S745" s="1842" t="n"/>
      <c r="T745" s="1842" t="n"/>
      <c r="U745" s="1842" t="n"/>
      <c r="V745" s="1842" t="n"/>
      <c r="W745" s="1842" t="n"/>
      <c r="X745" s="1842" t="n"/>
      <c r="Y745" s="1842" t="n"/>
      <c r="Z745" s="1842" t="n"/>
      <c r="AA745" s="1842" t="n"/>
      <c r="AB745" s="1842" t="n"/>
      <c r="AC745" s="1842" t="n"/>
      <c r="AD745" s="1842" t="n"/>
      <c r="AE745" s="1842" t="n"/>
      <c r="AF745" s="1842" t="n"/>
    </row>
    <row r="746" ht="13.5" customHeight="1" s="1883">
      <c r="A746" s="1842" t="n"/>
      <c r="B746" s="1842" t="n"/>
      <c r="C746" s="1842" t="n"/>
      <c r="D746" s="1842" t="n"/>
      <c r="E746" s="1842" t="n"/>
      <c r="F746" s="1842" t="n"/>
      <c r="G746" s="1842" t="n"/>
      <c r="H746" s="1842" t="n"/>
      <c r="I746" s="1842" t="n"/>
      <c r="J746" s="1842" t="n"/>
      <c r="K746" s="1842" t="n"/>
      <c r="L746" s="1842" t="n"/>
      <c r="M746" s="1842" t="n"/>
      <c r="N746" s="1842" t="n"/>
      <c r="O746" s="1842" t="n"/>
      <c r="P746" s="1842" t="n"/>
      <c r="Q746" s="1842" t="n"/>
      <c r="R746" s="1842" t="n"/>
      <c r="S746" s="1842" t="n"/>
      <c r="T746" s="1842" t="n"/>
      <c r="U746" s="1842" t="n"/>
      <c r="V746" s="1842" t="n"/>
      <c r="W746" s="1842" t="n"/>
      <c r="X746" s="1842" t="n"/>
      <c r="Y746" s="1842" t="n"/>
      <c r="Z746" s="1842" t="n"/>
      <c r="AA746" s="1842" t="n"/>
      <c r="AB746" s="1842" t="n"/>
      <c r="AC746" s="1842" t="n"/>
      <c r="AD746" s="1842" t="n"/>
      <c r="AE746" s="1842" t="n"/>
      <c r="AF746" s="1842" t="n"/>
    </row>
    <row r="747" ht="13.5" customHeight="1" s="1883">
      <c r="A747" s="1842" t="n"/>
      <c r="B747" s="1842" t="n"/>
      <c r="C747" s="1842" t="n"/>
      <c r="D747" s="1842" t="n"/>
      <c r="E747" s="1842" t="n"/>
      <c r="F747" s="1842" t="n"/>
      <c r="G747" s="1842" t="n"/>
      <c r="H747" s="1842" t="n"/>
      <c r="I747" s="1842" t="n"/>
      <c r="J747" s="1842" t="n"/>
      <c r="K747" s="1842" t="n"/>
      <c r="L747" s="1842" t="n"/>
      <c r="M747" s="1842" t="n"/>
      <c r="N747" s="1842" t="n"/>
      <c r="O747" s="1842" t="n"/>
      <c r="P747" s="1842" t="n"/>
      <c r="Q747" s="1842" t="n"/>
      <c r="R747" s="1842" t="n"/>
      <c r="S747" s="1842" t="n"/>
      <c r="T747" s="1842" t="n"/>
      <c r="U747" s="1842" t="n"/>
      <c r="V747" s="1842" t="n"/>
      <c r="W747" s="1842" t="n"/>
      <c r="X747" s="1842" t="n"/>
      <c r="Y747" s="1842" t="n"/>
      <c r="Z747" s="1842" t="n"/>
      <c r="AA747" s="1842" t="n"/>
      <c r="AB747" s="1842" t="n"/>
      <c r="AC747" s="1842" t="n"/>
      <c r="AD747" s="1842" t="n"/>
      <c r="AE747" s="1842" t="n"/>
      <c r="AF747" s="1842" t="n"/>
    </row>
    <row r="748" ht="13.5" customHeight="1" s="1883">
      <c r="A748" s="1842" t="n"/>
      <c r="B748" s="1842" t="n"/>
      <c r="C748" s="1842" t="n"/>
      <c r="D748" s="1842" t="n"/>
      <c r="E748" s="1842" t="n"/>
      <c r="F748" s="1842" t="n"/>
      <c r="G748" s="1842" t="n"/>
      <c r="H748" s="1842" t="n"/>
      <c r="I748" s="1842" t="n"/>
      <c r="J748" s="1842" t="n"/>
      <c r="K748" s="1842" t="n"/>
      <c r="L748" s="1842" t="n"/>
      <c r="M748" s="1842" t="n"/>
      <c r="N748" s="1842" t="n"/>
      <c r="O748" s="1842" t="n"/>
      <c r="P748" s="1842" t="n"/>
      <c r="Q748" s="1842" t="n"/>
      <c r="R748" s="1842" t="n"/>
      <c r="S748" s="1842" t="n"/>
      <c r="T748" s="1842" t="n"/>
      <c r="U748" s="1842" t="n"/>
      <c r="V748" s="1842" t="n"/>
      <c r="W748" s="1842" t="n"/>
      <c r="X748" s="1842" t="n"/>
      <c r="Y748" s="1842" t="n"/>
      <c r="Z748" s="1842" t="n"/>
      <c r="AA748" s="1842" t="n"/>
      <c r="AB748" s="1842" t="n"/>
      <c r="AC748" s="1842" t="n"/>
      <c r="AD748" s="1842" t="n"/>
      <c r="AE748" s="1842" t="n"/>
      <c r="AF748" s="1842" t="n"/>
    </row>
    <row r="749" ht="13.5" customHeight="1" s="1883">
      <c r="A749" s="1842" t="n"/>
      <c r="B749" s="1842" t="n"/>
      <c r="C749" s="1842" t="n"/>
      <c r="D749" s="1842" t="n"/>
      <c r="E749" s="1842" t="n"/>
      <c r="F749" s="1842" t="n"/>
      <c r="G749" s="1842" t="n"/>
      <c r="H749" s="1842" t="n"/>
      <c r="I749" s="1842" t="n"/>
      <c r="J749" s="1842" t="n"/>
      <c r="K749" s="1842" t="n"/>
      <c r="L749" s="1842" t="n"/>
      <c r="M749" s="1842" t="n"/>
      <c r="N749" s="1842" t="n"/>
      <c r="O749" s="1842" t="n"/>
      <c r="P749" s="1842" t="n"/>
      <c r="Q749" s="1842" t="n"/>
      <c r="R749" s="1842" t="n"/>
      <c r="S749" s="1842" t="n"/>
      <c r="T749" s="1842" t="n"/>
      <c r="U749" s="1842" t="n"/>
      <c r="V749" s="1842" t="n"/>
      <c r="W749" s="1842" t="n"/>
      <c r="X749" s="1842" t="n"/>
      <c r="Y749" s="1842" t="n"/>
      <c r="Z749" s="1842" t="n"/>
      <c r="AA749" s="1842" t="n"/>
      <c r="AB749" s="1842" t="n"/>
      <c r="AC749" s="1842" t="n"/>
      <c r="AD749" s="1842" t="n"/>
      <c r="AE749" s="1842" t="n"/>
      <c r="AF749" s="1842" t="n"/>
    </row>
    <row r="750" ht="13.5" customHeight="1" s="1883">
      <c r="A750" s="1842" t="n"/>
      <c r="B750" s="1842" t="n"/>
      <c r="C750" s="1842" t="n"/>
      <c r="D750" s="1842" t="n"/>
      <c r="E750" s="1842" t="n"/>
      <c r="F750" s="1842" t="n"/>
      <c r="G750" s="1842" t="n"/>
      <c r="H750" s="1842" t="n"/>
      <c r="I750" s="1842" t="n"/>
      <c r="J750" s="1842" t="n"/>
      <c r="K750" s="1842" t="n"/>
      <c r="L750" s="1842" t="n"/>
      <c r="M750" s="1842" t="n"/>
      <c r="N750" s="1842" t="n"/>
      <c r="O750" s="1842" t="n"/>
      <c r="P750" s="1842" t="n"/>
      <c r="Q750" s="1842" t="n"/>
      <c r="R750" s="1842" t="n"/>
      <c r="S750" s="1842" t="n"/>
      <c r="T750" s="1842" t="n"/>
      <c r="U750" s="1842" t="n"/>
      <c r="V750" s="1842" t="n"/>
      <c r="W750" s="1842" t="n"/>
      <c r="X750" s="1842" t="n"/>
      <c r="Y750" s="1842" t="n"/>
      <c r="Z750" s="1842" t="n"/>
      <c r="AA750" s="1842" t="n"/>
      <c r="AB750" s="1842" t="n"/>
      <c r="AC750" s="1842" t="n"/>
      <c r="AD750" s="1842" t="n"/>
      <c r="AE750" s="1842" t="n"/>
      <c r="AF750" s="1842" t="n"/>
    </row>
    <row r="751" ht="13.5" customHeight="1" s="1883">
      <c r="A751" s="1842" t="n"/>
      <c r="B751" s="1842" t="n"/>
      <c r="C751" s="1842" t="n"/>
      <c r="D751" s="1842" t="n"/>
      <c r="E751" s="1842" t="n"/>
      <c r="F751" s="1842" t="n"/>
      <c r="G751" s="1842" t="n"/>
      <c r="H751" s="1842" t="n"/>
      <c r="I751" s="1842" t="n"/>
      <c r="J751" s="1842" t="n"/>
      <c r="K751" s="1842" t="n"/>
      <c r="L751" s="1842" t="n"/>
      <c r="M751" s="1842" t="n"/>
      <c r="N751" s="1842" t="n"/>
      <c r="O751" s="1842" t="n"/>
      <c r="P751" s="1842" t="n"/>
      <c r="Q751" s="1842" t="n"/>
      <c r="R751" s="1842" t="n"/>
      <c r="S751" s="1842" t="n"/>
      <c r="T751" s="1842" t="n"/>
      <c r="U751" s="1842" t="n"/>
      <c r="V751" s="1842" t="n"/>
      <c r="W751" s="1842" t="n"/>
      <c r="X751" s="1842" t="n"/>
      <c r="Y751" s="1842" t="n"/>
      <c r="Z751" s="1842" t="n"/>
      <c r="AA751" s="1842" t="n"/>
      <c r="AB751" s="1842" t="n"/>
      <c r="AC751" s="1842" t="n"/>
      <c r="AD751" s="1842" t="n"/>
      <c r="AE751" s="1842" t="n"/>
      <c r="AF751" s="1842" t="n"/>
    </row>
    <row r="752" ht="13.5" customHeight="1" s="1883">
      <c r="A752" s="1842" t="n"/>
      <c r="B752" s="1842" t="n"/>
      <c r="C752" s="1842" t="n"/>
      <c r="D752" s="1842" t="n"/>
      <c r="E752" s="1842" t="n"/>
      <c r="F752" s="1842" t="n"/>
      <c r="G752" s="1842" t="n"/>
      <c r="H752" s="1842" t="n"/>
      <c r="I752" s="1842" t="n"/>
      <c r="J752" s="1842" t="n"/>
      <c r="K752" s="1842" t="n"/>
      <c r="L752" s="1842" t="n"/>
      <c r="M752" s="1842" t="n"/>
      <c r="N752" s="1842" t="n"/>
      <c r="O752" s="1842" t="n"/>
      <c r="P752" s="1842" t="n"/>
      <c r="Q752" s="1842" t="n"/>
      <c r="R752" s="1842" t="n"/>
      <c r="S752" s="1842" t="n"/>
      <c r="T752" s="1842" t="n"/>
      <c r="U752" s="1842" t="n"/>
      <c r="V752" s="1842" t="n"/>
      <c r="W752" s="1842" t="n"/>
      <c r="X752" s="1842" t="n"/>
      <c r="Y752" s="1842" t="n"/>
      <c r="Z752" s="1842" t="n"/>
      <c r="AA752" s="1842" t="n"/>
      <c r="AB752" s="1842" t="n"/>
      <c r="AC752" s="1842" t="n"/>
      <c r="AD752" s="1842" t="n"/>
      <c r="AE752" s="1842" t="n"/>
      <c r="AF752" s="1842" t="n"/>
    </row>
    <row r="753" ht="13.5" customHeight="1" s="1883">
      <c r="A753" s="1842" t="n"/>
      <c r="B753" s="1842" t="n"/>
      <c r="C753" s="1842" t="n"/>
      <c r="D753" s="1842" t="n"/>
      <c r="E753" s="1842" t="n"/>
      <c r="F753" s="1842" t="n"/>
      <c r="G753" s="1842" t="n"/>
      <c r="H753" s="1842" t="n"/>
      <c r="I753" s="1842" t="n"/>
      <c r="J753" s="1842" t="n"/>
      <c r="K753" s="1842" t="n"/>
      <c r="L753" s="1842" t="n"/>
      <c r="M753" s="1842" t="n"/>
      <c r="N753" s="1842" t="n"/>
      <c r="O753" s="1842" t="n"/>
      <c r="P753" s="1842" t="n"/>
      <c r="Q753" s="1842" t="n"/>
      <c r="R753" s="1842" t="n"/>
      <c r="S753" s="1842" t="n"/>
      <c r="T753" s="1842" t="n"/>
      <c r="U753" s="1842" t="n"/>
      <c r="V753" s="1842" t="n"/>
      <c r="W753" s="1842" t="n"/>
      <c r="X753" s="1842" t="n"/>
      <c r="Y753" s="1842" t="n"/>
      <c r="Z753" s="1842" t="n"/>
      <c r="AA753" s="1842" t="n"/>
      <c r="AB753" s="1842" t="n"/>
      <c r="AC753" s="1842" t="n"/>
      <c r="AD753" s="1842" t="n"/>
      <c r="AE753" s="1842" t="n"/>
      <c r="AF753" s="1842" t="n"/>
    </row>
    <row r="754" ht="13.5" customHeight="1" s="1883">
      <c r="A754" s="1842" t="n"/>
      <c r="B754" s="1842" t="n"/>
      <c r="C754" s="1842" t="n"/>
      <c r="D754" s="1842" t="n"/>
      <c r="E754" s="1842" t="n"/>
      <c r="F754" s="1842" t="n"/>
      <c r="G754" s="1842" t="n"/>
      <c r="H754" s="1842" t="n"/>
      <c r="I754" s="1842" t="n"/>
      <c r="J754" s="1842" t="n"/>
      <c r="K754" s="1842" t="n"/>
      <c r="L754" s="1842" t="n"/>
      <c r="M754" s="1842" t="n"/>
      <c r="N754" s="1842" t="n"/>
      <c r="O754" s="1842" t="n"/>
      <c r="P754" s="1842" t="n"/>
      <c r="Q754" s="1842" t="n"/>
      <c r="R754" s="1842" t="n"/>
      <c r="S754" s="1842" t="n"/>
      <c r="T754" s="1842" t="n"/>
      <c r="U754" s="1842" t="n"/>
      <c r="V754" s="1842" t="n"/>
      <c r="W754" s="1842" t="n"/>
      <c r="X754" s="1842" t="n"/>
      <c r="Y754" s="1842" t="n"/>
      <c r="Z754" s="1842" t="n"/>
      <c r="AA754" s="1842" t="n"/>
      <c r="AB754" s="1842" t="n"/>
      <c r="AC754" s="1842" t="n"/>
      <c r="AD754" s="1842" t="n"/>
      <c r="AE754" s="1842" t="n"/>
      <c r="AF754" s="1842" t="n"/>
    </row>
    <row r="755" ht="13.5" customHeight="1" s="1883">
      <c r="A755" s="1842" t="n"/>
      <c r="B755" s="1842" t="n"/>
      <c r="C755" s="1842" t="n"/>
      <c r="D755" s="1842" t="n"/>
      <c r="E755" s="1842" t="n"/>
      <c r="F755" s="1842" t="n"/>
      <c r="G755" s="1842" t="n"/>
      <c r="H755" s="1842" t="n"/>
      <c r="I755" s="1842" t="n"/>
      <c r="J755" s="1842" t="n"/>
      <c r="K755" s="1842" t="n"/>
      <c r="L755" s="1842" t="n"/>
      <c r="M755" s="1842" t="n"/>
      <c r="N755" s="1842" t="n"/>
      <c r="O755" s="1842" t="n"/>
      <c r="P755" s="1842" t="n"/>
      <c r="Q755" s="1842" t="n"/>
      <c r="R755" s="1842" t="n"/>
      <c r="S755" s="1842" t="n"/>
      <c r="T755" s="1842" t="n"/>
      <c r="U755" s="1842" t="n"/>
      <c r="V755" s="1842" t="n"/>
      <c r="W755" s="1842" t="n"/>
      <c r="X755" s="1842" t="n"/>
      <c r="Y755" s="1842" t="n"/>
      <c r="Z755" s="1842" t="n"/>
      <c r="AA755" s="1842" t="n"/>
      <c r="AB755" s="1842" t="n"/>
      <c r="AC755" s="1842" t="n"/>
      <c r="AD755" s="1842" t="n"/>
      <c r="AE755" s="1842" t="n"/>
      <c r="AF755" s="1842" t="n"/>
    </row>
    <row r="756" ht="13.5" customHeight="1" s="1883">
      <c r="A756" s="1842" t="n"/>
      <c r="B756" s="1842" t="n"/>
      <c r="C756" s="1842" t="n"/>
      <c r="D756" s="1842" t="n"/>
      <c r="E756" s="1842" t="n"/>
      <c r="F756" s="1842" t="n"/>
      <c r="G756" s="1842" t="n"/>
      <c r="H756" s="1842" t="n"/>
      <c r="I756" s="1842" t="n"/>
      <c r="J756" s="1842" t="n"/>
      <c r="K756" s="1842" t="n"/>
      <c r="L756" s="1842" t="n"/>
      <c r="M756" s="1842" t="n"/>
      <c r="N756" s="1842" t="n"/>
      <c r="O756" s="1842" t="n"/>
      <c r="P756" s="1842" t="n"/>
      <c r="Q756" s="1842" t="n"/>
      <c r="R756" s="1842" t="n"/>
      <c r="S756" s="1842" t="n"/>
      <c r="T756" s="1842" t="n"/>
      <c r="U756" s="1842" t="n"/>
      <c r="V756" s="1842" t="n"/>
      <c r="W756" s="1842" t="n"/>
      <c r="X756" s="1842" t="n"/>
      <c r="Y756" s="1842" t="n"/>
      <c r="Z756" s="1842" t="n"/>
      <c r="AA756" s="1842" t="n"/>
      <c r="AB756" s="1842" t="n"/>
      <c r="AC756" s="1842" t="n"/>
      <c r="AD756" s="1842" t="n"/>
      <c r="AE756" s="1842" t="n"/>
      <c r="AF756" s="1842" t="n"/>
    </row>
    <row r="757" ht="13.5" customHeight="1" s="1883">
      <c r="A757" s="1842" t="n"/>
      <c r="B757" s="1842" t="n"/>
      <c r="C757" s="1842" t="n"/>
      <c r="D757" s="1842" t="n"/>
      <c r="E757" s="1842" t="n"/>
      <c r="F757" s="1842" t="n"/>
      <c r="G757" s="1842" t="n"/>
      <c r="H757" s="1842" t="n"/>
      <c r="I757" s="1842" t="n"/>
      <c r="J757" s="1842" t="n"/>
      <c r="K757" s="1842" t="n"/>
      <c r="L757" s="1842" t="n"/>
      <c r="M757" s="1842" t="n"/>
      <c r="N757" s="1842" t="n"/>
      <c r="O757" s="1842" t="n"/>
      <c r="P757" s="1842" t="n"/>
      <c r="Q757" s="1842" t="n"/>
      <c r="R757" s="1842" t="n"/>
      <c r="S757" s="1842" t="n"/>
      <c r="T757" s="1842" t="n"/>
      <c r="U757" s="1842" t="n"/>
      <c r="V757" s="1842" t="n"/>
      <c r="W757" s="1842" t="n"/>
      <c r="X757" s="1842" t="n"/>
      <c r="Y757" s="1842" t="n"/>
      <c r="Z757" s="1842" t="n"/>
      <c r="AA757" s="1842" t="n"/>
      <c r="AB757" s="1842" t="n"/>
      <c r="AC757" s="1842" t="n"/>
      <c r="AD757" s="1842" t="n"/>
      <c r="AE757" s="1842" t="n"/>
      <c r="AF757" s="1842" t="n"/>
    </row>
    <row r="758" ht="13.5" customHeight="1" s="1883">
      <c r="A758" s="1842" t="n"/>
      <c r="B758" s="1842" t="n"/>
      <c r="C758" s="1842" t="n"/>
      <c r="D758" s="1842" t="n"/>
      <c r="E758" s="1842" t="n"/>
      <c r="F758" s="1842" t="n"/>
      <c r="G758" s="1842" t="n"/>
      <c r="H758" s="1842" t="n"/>
      <c r="I758" s="1842" t="n"/>
      <c r="J758" s="1842" t="n"/>
      <c r="K758" s="1842" t="n"/>
      <c r="L758" s="1842" t="n"/>
      <c r="M758" s="1842" t="n"/>
      <c r="N758" s="1842" t="n"/>
      <c r="O758" s="1842" t="n"/>
      <c r="P758" s="1842" t="n"/>
      <c r="Q758" s="1842" t="n"/>
      <c r="R758" s="1842" t="n"/>
      <c r="S758" s="1842" t="n"/>
      <c r="T758" s="1842" t="n"/>
      <c r="U758" s="1842" t="n"/>
      <c r="V758" s="1842" t="n"/>
      <c r="W758" s="1842" t="n"/>
      <c r="X758" s="1842" t="n"/>
      <c r="Y758" s="1842" t="n"/>
      <c r="Z758" s="1842" t="n"/>
      <c r="AA758" s="1842" t="n"/>
      <c r="AB758" s="1842" t="n"/>
      <c r="AC758" s="1842" t="n"/>
      <c r="AD758" s="1842" t="n"/>
      <c r="AE758" s="1842" t="n"/>
      <c r="AF758" s="1842" t="n"/>
    </row>
    <row r="759" ht="13.5" customHeight="1" s="1883">
      <c r="A759" s="1842" t="n"/>
      <c r="B759" s="1842" t="n"/>
      <c r="C759" s="1842" t="n"/>
      <c r="D759" s="1842" t="n"/>
      <c r="E759" s="1842" t="n"/>
      <c r="F759" s="1842" t="n"/>
      <c r="G759" s="1842" t="n"/>
      <c r="H759" s="1842" t="n"/>
      <c r="I759" s="1842" t="n"/>
      <c r="J759" s="1842" t="n"/>
      <c r="K759" s="1842" t="n"/>
      <c r="L759" s="1842" t="n"/>
      <c r="M759" s="1842" t="n"/>
      <c r="N759" s="1842" t="n"/>
      <c r="O759" s="1842" t="n"/>
      <c r="P759" s="1842" t="n"/>
      <c r="Q759" s="1842" t="n"/>
      <c r="R759" s="1842" t="n"/>
      <c r="S759" s="1842" t="n"/>
      <c r="T759" s="1842" t="n"/>
      <c r="U759" s="1842" t="n"/>
      <c r="V759" s="1842" t="n"/>
      <c r="W759" s="1842" t="n"/>
      <c r="X759" s="1842" t="n"/>
      <c r="Y759" s="1842" t="n"/>
      <c r="Z759" s="1842" t="n"/>
      <c r="AA759" s="1842" t="n"/>
      <c r="AB759" s="1842" t="n"/>
      <c r="AC759" s="1842" t="n"/>
      <c r="AD759" s="1842" t="n"/>
      <c r="AE759" s="1842" t="n"/>
      <c r="AF759" s="1842" t="n"/>
    </row>
    <row r="760" ht="13.5" customHeight="1" s="1883">
      <c r="A760" s="1842" t="n"/>
      <c r="B760" s="1842" t="n"/>
      <c r="C760" s="1842" t="n"/>
      <c r="D760" s="1842" t="n"/>
      <c r="E760" s="1842" t="n"/>
      <c r="F760" s="1842" t="n"/>
      <c r="G760" s="1842" t="n"/>
      <c r="H760" s="1842" t="n"/>
      <c r="I760" s="1842" t="n"/>
      <c r="J760" s="1842" t="n"/>
      <c r="K760" s="1842" t="n"/>
      <c r="L760" s="1842" t="n"/>
      <c r="M760" s="1842" t="n"/>
      <c r="N760" s="1842" t="n"/>
      <c r="O760" s="1842" t="n"/>
      <c r="P760" s="1842" t="n"/>
      <c r="Q760" s="1842" t="n"/>
      <c r="R760" s="1842" t="n"/>
      <c r="S760" s="1842" t="n"/>
      <c r="T760" s="1842" t="n"/>
      <c r="U760" s="1842" t="n"/>
      <c r="V760" s="1842" t="n"/>
      <c r="W760" s="1842" t="n"/>
      <c r="X760" s="1842" t="n"/>
      <c r="Y760" s="1842" t="n"/>
      <c r="Z760" s="1842" t="n"/>
      <c r="AA760" s="1842" t="n"/>
      <c r="AB760" s="1842" t="n"/>
      <c r="AC760" s="1842" t="n"/>
      <c r="AD760" s="1842" t="n"/>
      <c r="AE760" s="1842" t="n"/>
      <c r="AF760" s="1842" t="n"/>
    </row>
    <row r="761" ht="13.5" customHeight="1" s="1883">
      <c r="A761" s="1842" t="n"/>
      <c r="B761" s="1842" t="n"/>
      <c r="C761" s="1842" t="n"/>
      <c r="D761" s="1842" t="n"/>
      <c r="E761" s="1842" t="n"/>
      <c r="F761" s="1842" t="n"/>
      <c r="G761" s="1842" t="n"/>
      <c r="H761" s="1842" t="n"/>
      <c r="I761" s="1842" t="n"/>
      <c r="J761" s="1842" t="n"/>
      <c r="K761" s="1842" t="n"/>
      <c r="L761" s="1842" t="n"/>
      <c r="M761" s="1842" t="n"/>
      <c r="N761" s="1842" t="n"/>
      <c r="O761" s="1842" t="n"/>
      <c r="P761" s="1842" t="n"/>
      <c r="Q761" s="1842" t="n"/>
      <c r="R761" s="1842" t="n"/>
      <c r="S761" s="1842" t="n"/>
      <c r="T761" s="1842" t="n"/>
      <c r="U761" s="1842" t="n"/>
      <c r="V761" s="1842" t="n"/>
      <c r="W761" s="1842" t="n"/>
      <c r="X761" s="1842" t="n"/>
      <c r="Y761" s="1842" t="n"/>
      <c r="Z761" s="1842" t="n"/>
      <c r="AA761" s="1842" t="n"/>
      <c r="AB761" s="1842" t="n"/>
      <c r="AC761" s="1842" t="n"/>
      <c r="AD761" s="1842" t="n"/>
      <c r="AE761" s="1842" t="n"/>
      <c r="AF761" s="1842" t="n"/>
    </row>
    <row r="762" ht="13.5" customHeight="1" s="1883">
      <c r="A762" s="1842" t="n"/>
      <c r="B762" s="1842" t="n"/>
      <c r="C762" s="1842" t="n"/>
      <c r="D762" s="1842" t="n"/>
      <c r="E762" s="1842" t="n"/>
      <c r="F762" s="1842" t="n"/>
      <c r="G762" s="1842" t="n"/>
      <c r="H762" s="1842" t="n"/>
      <c r="I762" s="1842" t="n"/>
      <c r="J762" s="1842" t="n"/>
      <c r="K762" s="1842" t="n"/>
      <c r="L762" s="1842" t="n"/>
      <c r="M762" s="1842" t="n"/>
      <c r="N762" s="1842" t="n"/>
      <c r="O762" s="1842" t="n"/>
      <c r="P762" s="1842" t="n"/>
      <c r="Q762" s="1842" t="n"/>
      <c r="R762" s="1842" t="n"/>
      <c r="S762" s="1842" t="n"/>
      <c r="T762" s="1842" t="n"/>
      <c r="U762" s="1842" t="n"/>
      <c r="V762" s="1842" t="n"/>
      <c r="W762" s="1842" t="n"/>
      <c r="X762" s="1842" t="n"/>
      <c r="Y762" s="1842" t="n"/>
      <c r="Z762" s="1842" t="n"/>
      <c r="AA762" s="1842" t="n"/>
      <c r="AB762" s="1842" t="n"/>
      <c r="AC762" s="1842" t="n"/>
      <c r="AD762" s="1842" t="n"/>
      <c r="AE762" s="1842" t="n"/>
      <c r="AF762" s="1842" t="n"/>
    </row>
    <row r="763" ht="13.5" customHeight="1" s="1883">
      <c r="A763" s="1842" t="n"/>
      <c r="B763" s="1842" t="n"/>
      <c r="C763" s="1842" t="n"/>
      <c r="D763" s="1842" t="n"/>
      <c r="E763" s="1842" t="n"/>
      <c r="F763" s="1842" t="n"/>
      <c r="G763" s="1842" t="n"/>
      <c r="H763" s="1842" t="n"/>
      <c r="I763" s="1842" t="n"/>
      <c r="J763" s="1842" t="n"/>
      <c r="K763" s="1842" t="n"/>
      <c r="L763" s="1842" t="n"/>
      <c r="M763" s="1842" t="n"/>
      <c r="N763" s="1842" t="n"/>
      <c r="O763" s="1842" t="n"/>
      <c r="P763" s="1842" t="n"/>
      <c r="Q763" s="1842" t="n"/>
      <c r="R763" s="1842" t="n"/>
      <c r="S763" s="1842" t="n"/>
      <c r="T763" s="1842" t="n"/>
      <c r="U763" s="1842" t="n"/>
      <c r="V763" s="1842" t="n"/>
      <c r="W763" s="1842" t="n"/>
      <c r="X763" s="1842" t="n"/>
      <c r="Y763" s="1842" t="n"/>
      <c r="Z763" s="1842" t="n"/>
      <c r="AA763" s="1842" t="n"/>
      <c r="AB763" s="1842" t="n"/>
      <c r="AC763" s="1842" t="n"/>
      <c r="AD763" s="1842" t="n"/>
      <c r="AE763" s="1842" t="n"/>
      <c r="AF763" s="1842" t="n"/>
    </row>
    <row r="764" ht="13.5" customHeight="1" s="1883">
      <c r="A764" s="1842" t="n"/>
      <c r="B764" s="1842" t="n"/>
      <c r="C764" s="1842" t="n"/>
      <c r="D764" s="1842" t="n"/>
      <c r="E764" s="1842" t="n"/>
      <c r="F764" s="1842" t="n"/>
      <c r="G764" s="1842" t="n"/>
      <c r="H764" s="1842" t="n"/>
      <c r="I764" s="1842" t="n"/>
      <c r="J764" s="1842" t="n"/>
      <c r="K764" s="1842" t="n"/>
      <c r="L764" s="1842" t="n"/>
      <c r="M764" s="1842" t="n"/>
      <c r="N764" s="1842" t="n"/>
      <c r="O764" s="1842" t="n"/>
      <c r="P764" s="1842" t="n"/>
      <c r="Q764" s="1842" t="n"/>
      <c r="R764" s="1842" t="n"/>
      <c r="S764" s="1842" t="n"/>
      <c r="T764" s="1842" t="n"/>
      <c r="U764" s="1842" t="n"/>
      <c r="V764" s="1842" t="n"/>
      <c r="W764" s="1842" t="n"/>
      <c r="X764" s="1842" t="n"/>
      <c r="Y764" s="1842" t="n"/>
      <c r="Z764" s="1842" t="n"/>
      <c r="AA764" s="1842" t="n"/>
      <c r="AB764" s="1842" t="n"/>
      <c r="AC764" s="1842" t="n"/>
      <c r="AD764" s="1842" t="n"/>
      <c r="AE764" s="1842" t="n"/>
      <c r="AF764" s="1842" t="n"/>
    </row>
    <row r="765" ht="13.5" customHeight="1" s="1883">
      <c r="A765" s="1842" t="n"/>
      <c r="B765" s="1842" t="n"/>
      <c r="C765" s="1842" t="n"/>
      <c r="D765" s="1842" t="n"/>
      <c r="E765" s="1842" t="n"/>
      <c r="F765" s="1842" t="n"/>
      <c r="G765" s="1842" t="n"/>
      <c r="H765" s="1842" t="n"/>
      <c r="I765" s="1842" t="n"/>
      <c r="J765" s="1842" t="n"/>
      <c r="K765" s="1842" t="n"/>
      <c r="L765" s="1842" t="n"/>
      <c r="M765" s="1842" t="n"/>
      <c r="N765" s="1842" t="n"/>
      <c r="O765" s="1842" t="n"/>
      <c r="P765" s="1842" t="n"/>
      <c r="Q765" s="1842" t="n"/>
      <c r="R765" s="1842" t="n"/>
      <c r="S765" s="1842" t="n"/>
      <c r="T765" s="1842" t="n"/>
      <c r="U765" s="1842" t="n"/>
      <c r="V765" s="1842" t="n"/>
      <c r="W765" s="1842" t="n"/>
      <c r="X765" s="1842" t="n"/>
      <c r="Y765" s="1842" t="n"/>
      <c r="Z765" s="1842" t="n"/>
      <c r="AA765" s="1842" t="n"/>
      <c r="AB765" s="1842" t="n"/>
      <c r="AC765" s="1842" t="n"/>
      <c r="AD765" s="1842" t="n"/>
      <c r="AE765" s="1842" t="n"/>
      <c r="AF765" s="1842" t="n"/>
    </row>
    <row r="766" ht="13.5" customHeight="1" s="1883">
      <c r="A766" s="1842" t="n"/>
      <c r="B766" s="1842" t="n"/>
      <c r="C766" s="1842" t="n"/>
      <c r="D766" s="1842" t="n"/>
      <c r="E766" s="1842" t="n"/>
      <c r="F766" s="1842" t="n"/>
      <c r="G766" s="1842" t="n"/>
      <c r="H766" s="1842" t="n"/>
      <c r="I766" s="1842" t="n"/>
      <c r="J766" s="1842" t="n"/>
      <c r="K766" s="1842" t="n"/>
      <c r="L766" s="1842" t="n"/>
      <c r="M766" s="1842" t="n"/>
      <c r="N766" s="1842" t="n"/>
      <c r="O766" s="1842" t="n"/>
      <c r="P766" s="1842" t="n"/>
      <c r="Q766" s="1842" t="n"/>
      <c r="R766" s="1842" t="n"/>
      <c r="S766" s="1842" t="n"/>
      <c r="T766" s="1842" t="n"/>
      <c r="U766" s="1842" t="n"/>
      <c r="V766" s="1842" t="n"/>
      <c r="W766" s="1842" t="n"/>
      <c r="X766" s="1842" t="n"/>
      <c r="Y766" s="1842" t="n"/>
      <c r="Z766" s="1842" t="n"/>
      <c r="AA766" s="1842" t="n"/>
      <c r="AB766" s="1842" t="n"/>
      <c r="AC766" s="1842" t="n"/>
      <c r="AD766" s="1842" t="n"/>
      <c r="AE766" s="1842" t="n"/>
      <c r="AF766" s="1842" t="n"/>
    </row>
    <row r="767" ht="13.5" customHeight="1" s="1883">
      <c r="A767" s="1842" t="n"/>
      <c r="B767" s="1842" t="n"/>
      <c r="C767" s="1842" t="n"/>
      <c r="D767" s="1842" t="n"/>
      <c r="E767" s="1842" t="n"/>
      <c r="F767" s="1842" t="n"/>
      <c r="G767" s="1842" t="n"/>
      <c r="H767" s="1842" t="n"/>
      <c r="I767" s="1842" t="n"/>
      <c r="J767" s="1842" t="n"/>
      <c r="K767" s="1842" t="n"/>
      <c r="L767" s="1842" t="n"/>
      <c r="M767" s="1842" t="n"/>
      <c r="N767" s="1842" t="n"/>
      <c r="O767" s="1842" t="n"/>
      <c r="P767" s="1842" t="n"/>
      <c r="Q767" s="1842" t="n"/>
      <c r="R767" s="1842" t="n"/>
      <c r="S767" s="1842" t="n"/>
      <c r="T767" s="1842" t="n"/>
      <c r="U767" s="1842" t="n"/>
      <c r="V767" s="1842" t="n"/>
      <c r="W767" s="1842" t="n"/>
      <c r="X767" s="1842" t="n"/>
      <c r="Y767" s="1842" t="n"/>
      <c r="Z767" s="1842" t="n"/>
      <c r="AA767" s="1842" t="n"/>
      <c r="AB767" s="1842" t="n"/>
      <c r="AC767" s="1842" t="n"/>
      <c r="AD767" s="1842" t="n"/>
      <c r="AE767" s="1842" t="n"/>
      <c r="AF767" s="1842" t="n"/>
    </row>
    <row r="768" ht="13.5" customHeight="1" s="1883">
      <c r="A768" s="1842" t="n"/>
      <c r="B768" s="1842" t="n"/>
      <c r="C768" s="1842" t="n"/>
      <c r="D768" s="1842" t="n"/>
      <c r="E768" s="1842" t="n"/>
      <c r="F768" s="1842" t="n"/>
      <c r="G768" s="1842" t="n"/>
      <c r="H768" s="1842" t="n"/>
      <c r="I768" s="1842" t="n"/>
      <c r="J768" s="1842" t="n"/>
      <c r="K768" s="1842" t="n"/>
      <c r="L768" s="1842" t="n"/>
      <c r="M768" s="1842" t="n"/>
      <c r="N768" s="1842" t="n"/>
      <c r="O768" s="1842" t="n"/>
      <c r="P768" s="1842" t="n"/>
      <c r="Q768" s="1842" t="n"/>
      <c r="R768" s="1842" t="n"/>
      <c r="S768" s="1842" t="n"/>
      <c r="T768" s="1842" t="n"/>
      <c r="U768" s="1842" t="n"/>
      <c r="V768" s="1842" t="n"/>
      <c r="W768" s="1842" t="n"/>
      <c r="X768" s="1842" t="n"/>
      <c r="Y768" s="1842" t="n"/>
      <c r="Z768" s="1842" t="n"/>
      <c r="AA768" s="1842" t="n"/>
      <c r="AB768" s="1842" t="n"/>
      <c r="AC768" s="1842" t="n"/>
      <c r="AD768" s="1842" t="n"/>
      <c r="AE768" s="1842" t="n"/>
      <c r="AF768" s="1842" t="n"/>
    </row>
    <row r="769" ht="13.5" customHeight="1" s="1883">
      <c r="A769" s="1842" t="n"/>
      <c r="B769" s="1842" t="n"/>
      <c r="C769" s="1842" t="n"/>
      <c r="D769" s="1842" t="n"/>
      <c r="E769" s="1842" t="n"/>
      <c r="F769" s="1842" t="n"/>
      <c r="G769" s="1842" t="n"/>
      <c r="H769" s="1842" t="n"/>
      <c r="I769" s="1842" t="n"/>
      <c r="J769" s="1842" t="n"/>
      <c r="K769" s="1842" t="n"/>
      <c r="L769" s="1842" t="n"/>
      <c r="M769" s="1842" t="n"/>
      <c r="N769" s="1842" t="n"/>
      <c r="O769" s="1842" t="n"/>
      <c r="P769" s="1842" t="n"/>
      <c r="Q769" s="1842" t="n"/>
      <c r="R769" s="1842" t="n"/>
      <c r="S769" s="1842" t="n"/>
      <c r="T769" s="1842" t="n"/>
      <c r="U769" s="1842" t="n"/>
      <c r="V769" s="1842" t="n"/>
      <c r="W769" s="1842" t="n"/>
      <c r="X769" s="1842" t="n"/>
      <c r="Y769" s="1842" t="n"/>
      <c r="Z769" s="1842" t="n"/>
      <c r="AA769" s="1842" t="n"/>
      <c r="AB769" s="1842" t="n"/>
      <c r="AC769" s="1842" t="n"/>
      <c r="AD769" s="1842" t="n"/>
      <c r="AE769" s="1842" t="n"/>
      <c r="AF769" s="1842" t="n"/>
    </row>
    <row r="770" ht="13.5" customHeight="1" s="1883">
      <c r="A770" s="1842" t="n"/>
      <c r="B770" s="1842" t="n"/>
      <c r="C770" s="1842" t="n"/>
      <c r="D770" s="1842" t="n"/>
      <c r="E770" s="1842" t="n"/>
      <c r="F770" s="1842" t="n"/>
      <c r="G770" s="1842" t="n"/>
      <c r="H770" s="1842" t="n"/>
      <c r="I770" s="1842" t="n"/>
      <c r="J770" s="1842" t="n"/>
      <c r="K770" s="1842" t="n"/>
      <c r="L770" s="1842" t="n"/>
      <c r="M770" s="1842" t="n"/>
      <c r="N770" s="1842" t="n"/>
      <c r="O770" s="1842" t="n"/>
      <c r="P770" s="1842" t="n"/>
      <c r="Q770" s="1842" t="n"/>
      <c r="R770" s="1842" t="n"/>
      <c r="S770" s="1842" t="n"/>
      <c r="T770" s="1842" t="n"/>
      <c r="U770" s="1842" t="n"/>
      <c r="V770" s="1842" t="n"/>
      <c r="W770" s="1842" t="n"/>
      <c r="X770" s="1842" t="n"/>
      <c r="Y770" s="1842" t="n"/>
      <c r="Z770" s="1842" t="n"/>
      <c r="AA770" s="1842" t="n"/>
      <c r="AB770" s="1842" t="n"/>
      <c r="AC770" s="1842" t="n"/>
      <c r="AD770" s="1842" t="n"/>
      <c r="AE770" s="1842" t="n"/>
      <c r="AF770" s="1842" t="n"/>
    </row>
    <row r="771" ht="13.5" customHeight="1" s="1883">
      <c r="A771" s="1842" t="n"/>
      <c r="B771" s="1842" t="n"/>
      <c r="C771" s="1842" t="n"/>
      <c r="D771" s="1842" t="n"/>
      <c r="E771" s="1842" t="n"/>
      <c r="F771" s="1842" t="n"/>
      <c r="G771" s="1842" t="n"/>
      <c r="H771" s="1842" t="n"/>
      <c r="I771" s="1842" t="n"/>
      <c r="J771" s="1842" t="n"/>
      <c r="K771" s="1842" t="n"/>
      <c r="L771" s="1842" t="n"/>
      <c r="M771" s="1842" t="n"/>
      <c r="N771" s="1842" t="n"/>
      <c r="O771" s="1842" t="n"/>
      <c r="P771" s="1842" t="n"/>
      <c r="Q771" s="1842" t="n"/>
      <c r="R771" s="1842" t="n"/>
      <c r="S771" s="1842" t="n"/>
      <c r="T771" s="1842" t="n"/>
      <c r="U771" s="1842" t="n"/>
      <c r="V771" s="1842" t="n"/>
      <c r="W771" s="1842" t="n"/>
      <c r="X771" s="1842" t="n"/>
      <c r="Y771" s="1842" t="n"/>
      <c r="Z771" s="1842" t="n"/>
      <c r="AA771" s="1842" t="n"/>
      <c r="AB771" s="1842" t="n"/>
      <c r="AC771" s="1842" t="n"/>
      <c r="AD771" s="1842" t="n"/>
      <c r="AE771" s="1842" t="n"/>
      <c r="AF771" s="1842" t="n"/>
    </row>
    <row r="772" ht="13.5" customHeight="1" s="1883">
      <c r="A772" s="1842" t="n"/>
      <c r="B772" s="1842" t="n"/>
      <c r="C772" s="1842" t="n"/>
      <c r="D772" s="1842" t="n"/>
      <c r="E772" s="1842" t="n"/>
      <c r="F772" s="1842" t="n"/>
      <c r="G772" s="1842" t="n"/>
      <c r="H772" s="1842" t="n"/>
      <c r="I772" s="1842" t="n"/>
      <c r="J772" s="1842" t="n"/>
      <c r="K772" s="1842" t="n"/>
      <c r="L772" s="1842" t="n"/>
      <c r="M772" s="1842" t="n"/>
      <c r="N772" s="1842" t="n"/>
      <c r="O772" s="1842" t="n"/>
      <c r="P772" s="1842" t="n"/>
      <c r="Q772" s="1842" t="n"/>
      <c r="R772" s="1842" t="n"/>
      <c r="S772" s="1842" t="n"/>
      <c r="T772" s="1842" t="n"/>
      <c r="U772" s="1842" t="n"/>
      <c r="V772" s="1842" t="n"/>
      <c r="W772" s="1842" t="n"/>
      <c r="X772" s="1842" t="n"/>
      <c r="Y772" s="1842" t="n"/>
      <c r="Z772" s="1842" t="n"/>
      <c r="AA772" s="1842" t="n"/>
      <c r="AB772" s="1842" t="n"/>
      <c r="AC772" s="1842" t="n"/>
      <c r="AD772" s="1842" t="n"/>
      <c r="AE772" s="1842" t="n"/>
      <c r="AF772" s="1842" t="n"/>
    </row>
    <row r="773" ht="13.5" customHeight="1" s="1883">
      <c r="A773" s="1842" t="n"/>
      <c r="B773" s="1842" t="n"/>
      <c r="C773" s="1842" t="n"/>
      <c r="D773" s="1842" t="n"/>
      <c r="E773" s="1842" t="n"/>
      <c r="F773" s="1842" t="n"/>
      <c r="G773" s="1842" t="n"/>
      <c r="H773" s="1842" t="n"/>
      <c r="I773" s="1842" t="n"/>
      <c r="J773" s="1842" t="n"/>
      <c r="K773" s="1842" t="n"/>
      <c r="L773" s="1842" t="n"/>
      <c r="M773" s="1842" t="n"/>
      <c r="N773" s="1842" t="n"/>
      <c r="O773" s="1842" t="n"/>
      <c r="P773" s="1842" t="n"/>
      <c r="Q773" s="1842" t="n"/>
      <c r="R773" s="1842" t="n"/>
      <c r="S773" s="1842" t="n"/>
      <c r="T773" s="1842" t="n"/>
      <c r="U773" s="1842" t="n"/>
      <c r="V773" s="1842" t="n"/>
      <c r="W773" s="1842" t="n"/>
      <c r="X773" s="1842" t="n"/>
      <c r="Y773" s="1842" t="n"/>
      <c r="Z773" s="1842" t="n"/>
      <c r="AA773" s="1842" t="n"/>
      <c r="AB773" s="1842" t="n"/>
      <c r="AC773" s="1842" t="n"/>
      <c r="AD773" s="1842" t="n"/>
      <c r="AE773" s="1842" t="n"/>
      <c r="AF773" s="1842" t="n"/>
    </row>
    <row r="774" ht="13.5" customHeight="1" s="1883">
      <c r="A774" s="1842" t="n"/>
      <c r="B774" s="1842" t="n"/>
      <c r="C774" s="1842" t="n"/>
      <c r="D774" s="1842" t="n"/>
      <c r="E774" s="1842" t="n"/>
      <c r="F774" s="1842" t="n"/>
      <c r="G774" s="1842" t="n"/>
      <c r="H774" s="1842" t="n"/>
      <c r="I774" s="1842" t="n"/>
      <c r="J774" s="1842" t="n"/>
      <c r="K774" s="1842" t="n"/>
      <c r="L774" s="1842" t="n"/>
      <c r="M774" s="1842" t="n"/>
      <c r="N774" s="1842" t="n"/>
      <c r="O774" s="1842" t="n"/>
      <c r="P774" s="1842" t="n"/>
      <c r="Q774" s="1842" t="n"/>
      <c r="R774" s="1842" t="n"/>
      <c r="S774" s="1842" t="n"/>
      <c r="T774" s="1842" t="n"/>
      <c r="U774" s="1842" t="n"/>
      <c r="V774" s="1842" t="n"/>
      <c r="W774" s="1842" t="n"/>
      <c r="X774" s="1842" t="n"/>
      <c r="Y774" s="1842" t="n"/>
      <c r="Z774" s="1842" t="n"/>
      <c r="AA774" s="1842" t="n"/>
      <c r="AB774" s="1842" t="n"/>
      <c r="AC774" s="1842" t="n"/>
      <c r="AD774" s="1842" t="n"/>
      <c r="AE774" s="1842" t="n"/>
      <c r="AF774" s="1842" t="n"/>
    </row>
    <row r="775" ht="13.5" customHeight="1" s="1883">
      <c r="A775" s="1842" t="n"/>
      <c r="B775" s="1842" t="n"/>
      <c r="C775" s="1842" t="n"/>
      <c r="D775" s="1842" t="n"/>
      <c r="E775" s="1842" t="n"/>
      <c r="F775" s="1842" t="n"/>
      <c r="G775" s="1842" t="n"/>
      <c r="H775" s="1842" t="n"/>
      <c r="I775" s="1842" t="n"/>
      <c r="J775" s="1842" t="n"/>
      <c r="K775" s="1842" t="n"/>
      <c r="L775" s="1842" t="n"/>
      <c r="M775" s="1842" t="n"/>
      <c r="N775" s="1842" t="n"/>
      <c r="O775" s="1842" t="n"/>
      <c r="P775" s="1842" t="n"/>
      <c r="Q775" s="1842" t="n"/>
      <c r="R775" s="1842" t="n"/>
      <c r="S775" s="1842" t="n"/>
      <c r="T775" s="1842" t="n"/>
      <c r="U775" s="1842" t="n"/>
      <c r="V775" s="1842" t="n"/>
      <c r="W775" s="1842" t="n"/>
      <c r="X775" s="1842" t="n"/>
      <c r="Y775" s="1842" t="n"/>
      <c r="Z775" s="1842" t="n"/>
      <c r="AA775" s="1842" t="n"/>
      <c r="AB775" s="1842" t="n"/>
      <c r="AC775" s="1842" t="n"/>
      <c r="AD775" s="1842" t="n"/>
      <c r="AE775" s="1842" t="n"/>
      <c r="AF775" s="1842" t="n"/>
    </row>
    <row r="776" ht="13.5" customHeight="1" s="1883">
      <c r="A776" s="1842" t="n"/>
      <c r="B776" s="1842" t="n"/>
      <c r="C776" s="1842" t="n"/>
      <c r="D776" s="1842" t="n"/>
      <c r="E776" s="1842" t="n"/>
      <c r="F776" s="1842" t="n"/>
      <c r="G776" s="1842" t="n"/>
      <c r="H776" s="1842" t="n"/>
      <c r="I776" s="1842" t="n"/>
      <c r="J776" s="1842" t="n"/>
      <c r="K776" s="1842" t="n"/>
      <c r="L776" s="1842" t="n"/>
      <c r="M776" s="1842" t="n"/>
      <c r="N776" s="1842" t="n"/>
      <c r="O776" s="1842" t="n"/>
      <c r="P776" s="1842" t="n"/>
      <c r="Q776" s="1842" t="n"/>
      <c r="R776" s="1842" t="n"/>
      <c r="S776" s="1842" t="n"/>
      <c r="T776" s="1842" t="n"/>
      <c r="U776" s="1842" t="n"/>
      <c r="V776" s="1842" t="n"/>
      <c r="W776" s="1842" t="n"/>
      <c r="X776" s="1842" t="n"/>
      <c r="Y776" s="1842" t="n"/>
      <c r="Z776" s="1842" t="n"/>
      <c r="AA776" s="1842" t="n"/>
      <c r="AB776" s="1842" t="n"/>
      <c r="AC776" s="1842" t="n"/>
      <c r="AD776" s="1842" t="n"/>
      <c r="AE776" s="1842" t="n"/>
      <c r="AF776" s="1842" t="n"/>
    </row>
    <row r="777" ht="13.5" customHeight="1" s="1883">
      <c r="A777" s="1842" t="n"/>
      <c r="B777" s="1842" t="n"/>
      <c r="C777" s="1842" t="n"/>
      <c r="D777" s="1842" t="n"/>
      <c r="E777" s="1842" t="n"/>
      <c r="F777" s="1842" t="n"/>
      <c r="G777" s="1842" t="n"/>
      <c r="H777" s="1842" t="n"/>
      <c r="I777" s="1842" t="n"/>
      <c r="J777" s="1842" t="n"/>
      <c r="K777" s="1842" t="n"/>
      <c r="L777" s="1842" t="n"/>
      <c r="M777" s="1842" t="n"/>
      <c r="N777" s="1842" t="n"/>
      <c r="O777" s="1842" t="n"/>
      <c r="P777" s="1842" t="n"/>
      <c r="Q777" s="1842" t="n"/>
      <c r="R777" s="1842" t="n"/>
      <c r="S777" s="1842" t="n"/>
      <c r="T777" s="1842" t="n"/>
      <c r="U777" s="1842" t="n"/>
      <c r="V777" s="1842" t="n"/>
      <c r="W777" s="1842" t="n"/>
      <c r="X777" s="1842" t="n"/>
      <c r="Y777" s="1842" t="n"/>
      <c r="Z777" s="1842" t="n"/>
      <c r="AA777" s="1842" t="n"/>
      <c r="AB777" s="1842" t="n"/>
      <c r="AC777" s="1842" t="n"/>
      <c r="AD777" s="1842" t="n"/>
      <c r="AE777" s="1842" t="n"/>
      <c r="AF777" s="1842" t="n"/>
    </row>
    <row r="778" ht="13.5" customHeight="1" s="1883">
      <c r="A778" s="1842" t="n"/>
      <c r="B778" s="1842" t="n"/>
      <c r="C778" s="1842" t="n"/>
      <c r="D778" s="1842" t="n"/>
      <c r="E778" s="1842" t="n"/>
      <c r="F778" s="1842" t="n"/>
      <c r="G778" s="1842" t="n"/>
      <c r="H778" s="1842" t="n"/>
      <c r="I778" s="1842" t="n"/>
      <c r="J778" s="1842" t="n"/>
      <c r="K778" s="1842" t="n"/>
      <c r="L778" s="1842" t="n"/>
      <c r="M778" s="1842" t="n"/>
      <c r="N778" s="1842" t="n"/>
      <c r="O778" s="1842" t="n"/>
      <c r="P778" s="1842" t="n"/>
      <c r="Q778" s="1842" t="n"/>
      <c r="R778" s="1842" t="n"/>
      <c r="S778" s="1842" t="n"/>
      <c r="T778" s="1842" t="n"/>
      <c r="U778" s="1842" t="n"/>
      <c r="V778" s="1842" t="n"/>
      <c r="W778" s="1842" t="n"/>
      <c r="X778" s="1842" t="n"/>
      <c r="Y778" s="1842" t="n"/>
      <c r="Z778" s="1842" t="n"/>
      <c r="AA778" s="1842" t="n"/>
      <c r="AB778" s="1842" t="n"/>
      <c r="AC778" s="1842" t="n"/>
      <c r="AD778" s="1842" t="n"/>
      <c r="AE778" s="1842" t="n"/>
      <c r="AF778" s="1842" t="n"/>
    </row>
    <row r="779" ht="13.5" customHeight="1" s="1883">
      <c r="A779" s="1842" t="n"/>
      <c r="B779" s="1842" t="n"/>
      <c r="C779" s="1842" t="n"/>
      <c r="D779" s="1842" t="n"/>
      <c r="E779" s="1842" t="n"/>
      <c r="F779" s="1842" t="n"/>
      <c r="G779" s="1842" t="n"/>
      <c r="H779" s="1842" t="n"/>
      <c r="I779" s="1842" t="n"/>
      <c r="J779" s="1842" t="n"/>
      <c r="K779" s="1842" t="n"/>
      <c r="L779" s="1842" t="n"/>
      <c r="M779" s="1842" t="n"/>
      <c r="N779" s="1842" t="n"/>
      <c r="O779" s="1842" t="n"/>
      <c r="P779" s="1842" t="n"/>
      <c r="Q779" s="1842" t="n"/>
      <c r="R779" s="1842" t="n"/>
      <c r="S779" s="1842" t="n"/>
      <c r="T779" s="1842" t="n"/>
      <c r="U779" s="1842" t="n"/>
      <c r="V779" s="1842" t="n"/>
      <c r="W779" s="1842" t="n"/>
      <c r="X779" s="1842" t="n"/>
      <c r="Y779" s="1842" t="n"/>
      <c r="Z779" s="1842" t="n"/>
      <c r="AA779" s="1842" t="n"/>
      <c r="AB779" s="1842" t="n"/>
      <c r="AC779" s="1842" t="n"/>
      <c r="AD779" s="1842" t="n"/>
      <c r="AE779" s="1842" t="n"/>
      <c r="AF779" s="1842" t="n"/>
    </row>
    <row r="780" ht="13.5" customHeight="1" s="1883">
      <c r="A780" s="1842" t="n"/>
      <c r="B780" s="1842" t="n"/>
      <c r="C780" s="1842" t="n"/>
      <c r="D780" s="1842" t="n"/>
      <c r="E780" s="1842" t="n"/>
      <c r="F780" s="1842" t="n"/>
      <c r="G780" s="1842" t="n"/>
      <c r="H780" s="1842" t="n"/>
      <c r="I780" s="1842" t="n"/>
      <c r="J780" s="1842" t="n"/>
      <c r="K780" s="1842" t="n"/>
      <c r="L780" s="1842" t="n"/>
      <c r="M780" s="1842" t="n"/>
      <c r="N780" s="1842" t="n"/>
      <c r="O780" s="1842" t="n"/>
      <c r="P780" s="1842" t="n"/>
      <c r="Q780" s="1842" t="n"/>
      <c r="R780" s="1842" t="n"/>
      <c r="S780" s="1842" t="n"/>
      <c r="T780" s="1842" t="n"/>
      <c r="U780" s="1842" t="n"/>
      <c r="V780" s="1842" t="n"/>
      <c r="W780" s="1842" t="n"/>
      <c r="X780" s="1842" t="n"/>
      <c r="Y780" s="1842" t="n"/>
      <c r="Z780" s="1842" t="n"/>
      <c r="AA780" s="1842" t="n"/>
      <c r="AB780" s="1842" t="n"/>
      <c r="AC780" s="1842" t="n"/>
      <c r="AD780" s="1842" t="n"/>
      <c r="AE780" s="1842" t="n"/>
      <c r="AF780" s="1842" t="n"/>
    </row>
    <row r="781" ht="13.5" customHeight="1" s="1883">
      <c r="A781" s="1842" t="n"/>
      <c r="B781" s="1842" t="n"/>
      <c r="C781" s="1842" t="n"/>
      <c r="D781" s="1842" t="n"/>
      <c r="E781" s="1842" t="n"/>
      <c r="F781" s="1842" t="n"/>
      <c r="G781" s="1842" t="n"/>
      <c r="H781" s="1842" t="n"/>
      <c r="I781" s="1842" t="n"/>
      <c r="J781" s="1842" t="n"/>
      <c r="K781" s="1842" t="n"/>
      <c r="L781" s="1842" t="n"/>
      <c r="M781" s="1842" t="n"/>
      <c r="N781" s="1842" t="n"/>
      <c r="O781" s="1842" t="n"/>
      <c r="P781" s="1842" t="n"/>
      <c r="Q781" s="1842" t="n"/>
      <c r="R781" s="1842" t="n"/>
      <c r="S781" s="1842" t="n"/>
      <c r="T781" s="1842" t="n"/>
      <c r="U781" s="1842" t="n"/>
      <c r="V781" s="1842" t="n"/>
      <c r="W781" s="1842" t="n"/>
      <c r="X781" s="1842" t="n"/>
      <c r="Y781" s="1842" t="n"/>
      <c r="Z781" s="1842" t="n"/>
      <c r="AA781" s="1842" t="n"/>
      <c r="AB781" s="1842" t="n"/>
      <c r="AC781" s="1842" t="n"/>
      <c r="AD781" s="1842" t="n"/>
      <c r="AE781" s="1842" t="n"/>
      <c r="AF781" s="1842" t="n"/>
    </row>
    <row r="782" ht="13.5" customHeight="1" s="1883">
      <c r="A782" s="1842" t="n"/>
      <c r="B782" s="1842" t="n"/>
      <c r="C782" s="1842" t="n"/>
      <c r="D782" s="1842" t="n"/>
      <c r="E782" s="1842" t="n"/>
      <c r="F782" s="1842" t="n"/>
      <c r="G782" s="1842" t="n"/>
      <c r="H782" s="1842" t="n"/>
      <c r="I782" s="1842" t="n"/>
      <c r="J782" s="1842" t="n"/>
      <c r="K782" s="1842" t="n"/>
      <c r="L782" s="1842" t="n"/>
      <c r="M782" s="1842" t="n"/>
      <c r="N782" s="1842" t="n"/>
      <c r="O782" s="1842" t="n"/>
      <c r="P782" s="1842" t="n"/>
      <c r="Q782" s="1842" t="n"/>
      <c r="R782" s="1842" t="n"/>
      <c r="S782" s="1842" t="n"/>
      <c r="T782" s="1842" t="n"/>
      <c r="U782" s="1842" t="n"/>
      <c r="V782" s="1842" t="n"/>
      <c r="W782" s="1842" t="n"/>
      <c r="X782" s="1842" t="n"/>
      <c r="Y782" s="1842" t="n"/>
      <c r="Z782" s="1842" t="n"/>
      <c r="AA782" s="1842" t="n"/>
      <c r="AB782" s="1842" t="n"/>
      <c r="AC782" s="1842" t="n"/>
      <c r="AD782" s="1842" t="n"/>
      <c r="AE782" s="1842" t="n"/>
      <c r="AF782" s="1842" t="n"/>
    </row>
    <row r="783" ht="13.5" customHeight="1" s="1883">
      <c r="A783" s="1842" t="n"/>
      <c r="B783" s="1842" t="n"/>
      <c r="C783" s="1842" t="n"/>
      <c r="D783" s="1842" t="n"/>
      <c r="E783" s="1842" t="n"/>
      <c r="F783" s="1842" t="n"/>
      <c r="G783" s="1842" t="n"/>
      <c r="H783" s="1842" t="n"/>
      <c r="I783" s="1842" t="n"/>
      <c r="J783" s="1842" t="n"/>
      <c r="K783" s="1842" t="n"/>
      <c r="L783" s="1842" t="n"/>
      <c r="M783" s="1842" t="n"/>
      <c r="N783" s="1842" t="n"/>
      <c r="O783" s="1842" t="n"/>
      <c r="P783" s="1842" t="n"/>
      <c r="Q783" s="1842" t="n"/>
      <c r="R783" s="1842" t="n"/>
      <c r="S783" s="1842" t="n"/>
      <c r="T783" s="1842" t="n"/>
      <c r="U783" s="1842" t="n"/>
      <c r="V783" s="1842" t="n"/>
      <c r="W783" s="1842" t="n"/>
      <c r="X783" s="1842" t="n"/>
      <c r="Y783" s="1842" t="n"/>
      <c r="Z783" s="1842" t="n"/>
      <c r="AA783" s="1842" t="n"/>
      <c r="AB783" s="1842" t="n"/>
      <c r="AC783" s="1842" t="n"/>
      <c r="AD783" s="1842" t="n"/>
      <c r="AE783" s="1842" t="n"/>
      <c r="AF783" s="1842" t="n"/>
    </row>
    <row r="784" ht="13.5" customHeight="1" s="1883">
      <c r="A784" s="1842" t="n"/>
      <c r="B784" s="1842" t="n"/>
      <c r="C784" s="1842" t="n"/>
      <c r="D784" s="1842" t="n"/>
      <c r="E784" s="1842" t="n"/>
      <c r="F784" s="1842" t="n"/>
      <c r="G784" s="1842" t="n"/>
      <c r="H784" s="1842" t="n"/>
      <c r="I784" s="1842" t="n"/>
      <c r="J784" s="1842" t="n"/>
      <c r="K784" s="1842" t="n"/>
      <c r="L784" s="1842" t="n"/>
      <c r="M784" s="1842" t="n"/>
      <c r="N784" s="1842" t="n"/>
      <c r="O784" s="1842" t="n"/>
      <c r="P784" s="1842" t="n"/>
      <c r="Q784" s="1842" t="n"/>
      <c r="R784" s="1842" t="n"/>
      <c r="S784" s="1842" t="n"/>
      <c r="T784" s="1842" t="n"/>
      <c r="U784" s="1842" t="n"/>
      <c r="V784" s="1842" t="n"/>
      <c r="W784" s="1842" t="n"/>
      <c r="X784" s="1842" t="n"/>
      <c r="Y784" s="1842" t="n"/>
      <c r="Z784" s="1842" t="n"/>
      <c r="AA784" s="1842" t="n"/>
      <c r="AB784" s="1842" t="n"/>
      <c r="AC784" s="1842" t="n"/>
      <c r="AD784" s="1842" t="n"/>
      <c r="AE784" s="1842" t="n"/>
      <c r="AF784" s="1842" t="n"/>
    </row>
    <row r="785" ht="13.5" customHeight="1" s="1883">
      <c r="A785" s="1842" t="n"/>
      <c r="B785" s="1842" t="n"/>
      <c r="C785" s="1842" t="n"/>
      <c r="D785" s="1842" t="n"/>
      <c r="E785" s="1842" t="n"/>
      <c r="F785" s="1842" t="n"/>
      <c r="G785" s="1842" t="n"/>
      <c r="H785" s="1842" t="n"/>
      <c r="I785" s="1842" t="n"/>
      <c r="J785" s="1842" t="n"/>
      <c r="K785" s="1842" t="n"/>
      <c r="L785" s="1842" t="n"/>
      <c r="M785" s="1842" t="n"/>
      <c r="N785" s="1842" t="n"/>
      <c r="O785" s="1842" t="n"/>
      <c r="P785" s="1842" t="n"/>
      <c r="Q785" s="1842" t="n"/>
      <c r="R785" s="1842" t="n"/>
      <c r="S785" s="1842" t="n"/>
      <c r="T785" s="1842" t="n"/>
      <c r="U785" s="1842" t="n"/>
      <c r="V785" s="1842" t="n"/>
      <c r="W785" s="1842" t="n"/>
      <c r="X785" s="1842" t="n"/>
      <c r="Y785" s="1842" t="n"/>
      <c r="Z785" s="1842" t="n"/>
      <c r="AA785" s="1842" t="n"/>
      <c r="AB785" s="1842" t="n"/>
      <c r="AC785" s="1842" t="n"/>
      <c r="AD785" s="1842" t="n"/>
      <c r="AE785" s="1842" t="n"/>
      <c r="AF785" s="1842" t="n"/>
    </row>
    <row r="786" ht="13.5" customHeight="1" s="1883">
      <c r="A786" s="1842" t="n"/>
      <c r="B786" s="1842" t="n"/>
      <c r="C786" s="1842" t="n"/>
      <c r="D786" s="1842" t="n"/>
      <c r="E786" s="1842" t="n"/>
      <c r="F786" s="1842" t="n"/>
      <c r="G786" s="1842" t="n"/>
      <c r="H786" s="1842" t="n"/>
      <c r="I786" s="1842" t="n"/>
      <c r="J786" s="1842" t="n"/>
      <c r="K786" s="1842" t="n"/>
      <c r="L786" s="1842" t="n"/>
      <c r="M786" s="1842" t="n"/>
      <c r="N786" s="1842" t="n"/>
      <c r="O786" s="1842" t="n"/>
      <c r="P786" s="1842" t="n"/>
      <c r="Q786" s="1842" t="n"/>
      <c r="R786" s="1842" t="n"/>
      <c r="S786" s="1842" t="n"/>
      <c r="T786" s="1842" t="n"/>
      <c r="U786" s="1842" t="n"/>
      <c r="V786" s="1842" t="n"/>
      <c r="W786" s="1842" t="n"/>
      <c r="X786" s="1842" t="n"/>
      <c r="Y786" s="1842" t="n"/>
      <c r="Z786" s="1842" t="n"/>
      <c r="AA786" s="1842" t="n"/>
      <c r="AB786" s="1842" t="n"/>
      <c r="AC786" s="1842" t="n"/>
      <c r="AD786" s="1842" t="n"/>
      <c r="AE786" s="1842" t="n"/>
      <c r="AF786" s="1842" t="n"/>
    </row>
    <row r="787" ht="13.5" customHeight="1" s="1883">
      <c r="A787" s="1842" t="n"/>
      <c r="B787" s="1842" t="n"/>
      <c r="C787" s="1842" t="n"/>
      <c r="D787" s="1842" t="n"/>
      <c r="E787" s="1842" t="n"/>
      <c r="F787" s="1842" t="n"/>
      <c r="G787" s="1842" t="n"/>
      <c r="H787" s="1842" t="n"/>
      <c r="I787" s="1842" t="n"/>
      <c r="J787" s="1842" t="n"/>
      <c r="K787" s="1842" t="n"/>
      <c r="L787" s="1842" t="n"/>
      <c r="M787" s="1842" t="n"/>
      <c r="N787" s="1842" t="n"/>
      <c r="O787" s="1842" t="n"/>
      <c r="P787" s="1842" t="n"/>
      <c r="Q787" s="1842" t="n"/>
      <c r="R787" s="1842" t="n"/>
      <c r="S787" s="1842" t="n"/>
      <c r="T787" s="1842" t="n"/>
      <c r="U787" s="1842" t="n"/>
      <c r="V787" s="1842" t="n"/>
      <c r="W787" s="1842" t="n"/>
      <c r="X787" s="1842" t="n"/>
      <c r="Y787" s="1842" t="n"/>
      <c r="Z787" s="1842" t="n"/>
      <c r="AA787" s="1842" t="n"/>
      <c r="AB787" s="1842" t="n"/>
      <c r="AC787" s="1842" t="n"/>
      <c r="AD787" s="1842" t="n"/>
      <c r="AE787" s="1842" t="n"/>
      <c r="AF787" s="1842" t="n"/>
    </row>
    <row r="788" ht="13.5" customHeight="1" s="1883">
      <c r="A788" s="1842" t="n"/>
      <c r="B788" s="1842" t="n"/>
      <c r="C788" s="1842" t="n"/>
      <c r="D788" s="1842" t="n"/>
      <c r="E788" s="1842" t="n"/>
      <c r="F788" s="1842" t="n"/>
      <c r="G788" s="1842" t="n"/>
      <c r="H788" s="1842" t="n"/>
      <c r="I788" s="1842" t="n"/>
      <c r="J788" s="1842" t="n"/>
      <c r="K788" s="1842" t="n"/>
      <c r="L788" s="1842" t="n"/>
      <c r="M788" s="1842" t="n"/>
      <c r="N788" s="1842" t="n"/>
      <c r="O788" s="1842" t="n"/>
      <c r="P788" s="1842" t="n"/>
      <c r="Q788" s="1842" t="n"/>
      <c r="R788" s="1842" t="n"/>
      <c r="S788" s="1842" t="n"/>
      <c r="T788" s="1842" t="n"/>
      <c r="U788" s="1842" t="n"/>
      <c r="V788" s="1842" t="n"/>
      <c r="W788" s="1842" t="n"/>
      <c r="X788" s="1842" t="n"/>
      <c r="Y788" s="1842" t="n"/>
      <c r="Z788" s="1842" t="n"/>
      <c r="AA788" s="1842" t="n"/>
      <c r="AB788" s="1842" t="n"/>
      <c r="AC788" s="1842" t="n"/>
      <c r="AD788" s="1842" t="n"/>
      <c r="AE788" s="1842" t="n"/>
      <c r="AF788" s="1842" t="n"/>
    </row>
    <row r="789" ht="13.5" customHeight="1" s="1883">
      <c r="A789" s="1842" t="n"/>
      <c r="B789" s="1842" t="n"/>
      <c r="C789" s="1842" t="n"/>
      <c r="D789" s="1842" t="n"/>
      <c r="E789" s="1842" t="n"/>
      <c r="F789" s="1842" t="n"/>
      <c r="G789" s="1842" t="n"/>
      <c r="H789" s="1842" t="n"/>
      <c r="I789" s="1842" t="n"/>
      <c r="J789" s="1842" t="n"/>
      <c r="K789" s="1842" t="n"/>
      <c r="L789" s="1842" t="n"/>
      <c r="M789" s="1842" t="n"/>
      <c r="N789" s="1842" t="n"/>
      <c r="O789" s="1842" t="n"/>
      <c r="P789" s="1842" t="n"/>
      <c r="Q789" s="1842" t="n"/>
      <c r="R789" s="1842" t="n"/>
      <c r="S789" s="1842" t="n"/>
      <c r="T789" s="1842" t="n"/>
      <c r="U789" s="1842" t="n"/>
      <c r="V789" s="1842" t="n"/>
      <c r="W789" s="1842" t="n"/>
      <c r="X789" s="1842" t="n"/>
      <c r="Y789" s="1842" t="n"/>
      <c r="Z789" s="1842" t="n"/>
      <c r="AA789" s="1842" t="n"/>
      <c r="AB789" s="1842" t="n"/>
      <c r="AC789" s="1842" t="n"/>
      <c r="AD789" s="1842" t="n"/>
      <c r="AE789" s="1842" t="n"/>
      <c r="AF789" s="1842" t="n"/>
    </row>
    <row r="790" ht="13.5" customHeight="1" s="1883">
      <c r="A790" s="1842" t="n"/>
      <c r="B790" s="1842" t="n"/>
      <c r="C790" s="1842" t="n"/>
      <c r="D790" s="1842" t="n"/>
      <c r="E790" s="1842" t="n"/>
      <c r="F790" s="1842" t="n"/>
      <c r="G790" s="1842" t="n"/>
      <c r="H790" s="1842" t="n"/>
      <c r="I790" s="1842" t="n"/>
      <c r="J790" s="1842" t="n"/>
      <c r="K790" s="1842" t="n"/>
      <c r="L790" s="1842" t="n"/>
      <c r="M790" s="1842" t="n"/>
      <c r="N790" s="1842" t="n"/>
      <c r="O790" s="1842" t="n"/>
      <c r="P790" s="1842" t="n"/>
      <c r="Q790" s="1842" t="n"/>
      <c r="R790" s="1842" t="n"/>
      <c r="S790" s="1842" t="n"/>
      <c r="T790" s="1842" t="n"/>
      <c r="U790" s="1842" t="n"/>
      <c r="V790" s="1842" t="n"/>
      <c r="W790" s="1842" t="n"/>
      <c r="X790" s="1842" t="n"/>
      <c r="Y790" s="1842" t="n"/>
      <c r="Z790" s="1842" t="n"/>
      <c r="AA790" s="1842" t="n"/>
      <c r="AB790" s="1842" t="n"/>
      <c r="AC790" s="1842" t="n"/>
      <c r="AD790" s="1842" t="n"/>
      <c r="AE790" s="1842" t="n"/>
      <c r="AF790" s="1842" t="n"/>
    </row>
    <row r="791" ht="13.5" customHeight="1" s="1883">
      <c r="A791" s="1842" t="n"/>
      <c r="B791" s="1842" t="n"/>
      <c r="C791" s="1842" t="n"/>
      <c r="D791" s="1842" t="n"/>
      <c r="E791" s="1842" t="n"/>
      <c r="F791" s="1842" t="n"/>
      <c r="G791" s="1842" t="n"/>
      <c r="H791" s="1842" t="n"/>
      <c r="I791" s="1842" t="n"/>
      <c r="J791" s="1842" t="n"/>
      <c r="K791" s="1842" t="n"/>
      <c r="L791" s="1842" t="n"/>
      <c r="M791" s="1842" t="n"/>
      <c r="N791" s="1842" t="n"/>
      <c r="O791" s="1842" t="n"/>
      <c r="P791" s="1842" t="n"/>
      <c r="Q791" s="1842" t="n"/>
      <c r="R791" s="1842" t="n"/>
      <c r="S791" s="1842" t="n"/>
      <c r="T791" s="1842" t="n"/>
      <c r="U791" s="1842" t="n"/>
      <c r="V791" s="1842" t="n"/>
      <c r="W791" s="1842" t="n"/>
      <c r="X791" s="1842" t="n"/>
      <c r="Y791" s="1842" t="n"/>
      <c r="Z791" s="1842" t="n"/>
      <c r="AA791" s="1842" t="n"/>
      <c r="AB791" s="1842" t="n"/>
      <c r="AC791" s="1842" t="n"/>
      <c r="AD791" s="1842" t="n"/>
      <c r="AE791" s="1842" t="n"/>
      <c r="AF791" s="1842" t="n"/>
    </row>
    <row r="792" ht="13.5" customHeight="1" s="1883">
      <c r="A792" s="1842" t="n"/>
      <c r="B792" s="1842" t="n"/>
      <c r="C792" s="1842" t="n"/>
      <c r="D792" s="1842" t="n"/>
      <c r="E792" s="1842" t="n"/>
      <c r="F792" s="1842" t="n"/>
      <c r="G792" s="1842" t="n"/>
      <c r="H792" s="1842" t="n"/>
      <c r="I792" s="1842" t="n"/>
      <c r="J792" s="1842" t="n"/>
      <c r="K792" s="1842" t="n"/>
      <c r="L792" s="1842" t="n"/>
      <c r="M792" s="1842" t="n"/>
      <c r="N792" s="1842" t="n"/>
      <c r="O792" s="1842" t="n"/>
      <c r="P792" s="1842" t="n"/>
      <c r="Q792" s="1842" t="n"/>
      <c r="R792" s="1842" t="n"/>
      <c r="S792" s="1842" t="n"/>
      <c r="T792" s="1842" t="n"/>
      <c r="U792" s="1842" t="n"/>
      <c r="V792" s="1842" t="n"/>
      <c r="W792" s="1842" t="n"/>
      <c r="X792" s="1842" t="n"/>
      <c r="Y792" s="1842" t="n"/>
      <c r="Z792" s="1842" t="n"/>
      <c r="AA792" s="1842" t="n"/>
      <c r="AB792" s="1842" t="n"/>
      <c r="AC792" s="1842" t="n"/>
      <c r="AD792" s="1842" t="n"/>
      <c r="AE792" s="1842" t="n"/>
      <c r="AF792" s="1842" t="n"/>
    </row>
    <row r="793" ht="13.5" customHeight="1" s="1883">
      <c r="A793" s="1842" t="n"/>
      <c r="B793" s="1842" t="n"/>
      <c r="C793" s="1842" t="n"/>
      <c r="D793" s="1842" t="n"/>
      <c r="E793" s="1842" t="n"/>
      <c r="F793" s="1842" t="n"/>
      <c r="G793" s="1842" t="n"/>
      <c r="H793" s="1842" t="n"/>
      <c r="I793" s="1842" t="n"/>
      <c r="J793" s="1842" t="n"/>
      <c r="K793" s="1842" t="n"/>
      <c r="L793" s="1842" t="n"/>
      <c r="M793" s="1842" t="n"/>
      <c r="N793" s="1842" t="n"/>
      <c r="O793" s="1842" t="n"/>
      <c r="P793" s="1842" t="n"/>
      <c r="Q793" s="1842" t="n"/>
      <c r="R793" s="1842" t="n"/>
      <c r="S793" s="1842" t="n"/>
      <c r="T793" s="1842" t="n"/>
      <c r="U793" s="1842" t="n"/>
      <c r="V793" s="1842" t="n"/>
      <c r="W793" s="1842" t="n"/>
      <c r="X793" s="1842" t="n"/>
      <c r="Y793" s="1842" t="n"/>
      <c r="Z793" s="1842" t="n"/>
      <c r="AA793" s="1842" t="n"/>
      <c r="AB793" s="1842" t="n"/>
      <c r="AC793" s="1842" t="n"/>
      <c r="AD793" s="1842" t="n"/>
      <c r="AE793" s="1842" t="n"/>
      <c r="AF793" s="1842" t="n"/>
    </row>
    <row r="794" ht="13.5" customHeight="1" s="1883">
      <c r="A794" s="1842" t="n"/>
      <c r="B794" s="1842" t="n"/>
      <c r="C794" s="1842" t="n"/>
      <c r="D794" s="1842" t="n"/>
      <c r="E794" s="1842" t="n"/>
      <c r="F794" s="1842" t="n"/>
      <c r="G794" s="1842" t="n"/>
      <c r="H794" s="1842" t="n"/>
      <c r="I794" s="1842" t="n"/>
      <c r="J794" s="1842" t="n"/>
      <c r="K794" s="1842" t="n"/>
      <c r="L794" s="1842" t="n"/>
      <c r="M794" s="1842" t="n"/>
      <c r="N794" s="1842" t="n"/>
      <c r="O794" s="1842" t="n"/>
      <c r="P794" s="1842" t="n"/>
      <c r="Q794" s="1842" t="n"/>
      <c r="R794" s="1842" t="n"/>
      <c r="S794" s="1842" t="n"/>
      <c r="T794" s="1842" t="n"/>
      <c r="U794" s="1842" t="n"/>
      <c r="V794" s="1842" t="n"/>
      <c r="W794" s="1842" t="n"/>
      <c r="X794" s="1842" t="n"/>
      <c r="Y794" s="1842" t="n"/>
      <c r="Z794" s="1842" t="n"/>
      <c r="AA794" s="1842" t="n"/>
      <c r="AB794" s="1842" t="n"/>
      <c r="AC794" s="1842" t="n"/>
      <c r="AD794" s="1842" t="n"/>
      <c r="AE794" s="1842" t="n"/>
      <c r="AF794" s="1842" t="n"/>
    </row>
    <row r="795" ht="13.5" customHeight="1" s="1883">
      <c r="A795" s="1842" t="n"/>
      <c r="B795" s="1842" t="n"/>
      <c r="C795" s="1842" t="n"/>
      <c r="D795" s="1842" t="n"/>
      <c r="E795" s="1842" t="n"/>
      <c r="F795" s="1842" t="n"/>
      <c r="G795" s="1842" t="n"/>
      <c r="H795" s="1842" t="n"/>
      <c r="I795" s="1842" t="n"/>
      <c r="J795" s="1842" t="n"/>
      <c r="K795" s="1842" t="n"/>
      <c r="L795" s="1842" t="n"/>
      <c r="M795" s="1842" t="n"/>
      <c r="N795" s="1842" t="n"/>
      <c r="O795" s="1842" t="n"/>
      <c r="P795" s="1842" t="n"/>
      <c r="Q795" s="1842" t="n"/>
      <c r="R795" s="1842" t="n"/>
      <c r="S795" s="1842" t="n"/>
      <c r="T795" s="1842" t="n"/>
      <c r="U795" s="1842" t="n"/>
      <c r="V795" s="1842" t="n"/>
      <c r="W795" s="1842" t="n"/>
      <c r="X795" s="1842" t="n"/>
      <c r="Y795" s="1842" t="n"/>
      <c r="Z795" s="1842" t="n"/>
      <c r="AA795" s="1842" t="n"/>
      <c r="AB795" s="1842" t="n"/>
      <c r="AC795" s="1842" t="n"/>
      <c r="AD795" s="1842" t="n"/>
      <c r="AE795" s="1842" t="n"/>
      <c r="AF795" s="1842" t="n"/>
    </row>
    <row r="796" ht="13.5" customHeight="1" s="1883">
      <c r="A796" s="1842" t="n"/>
      <c r="B796" s="1842" t="n"/>
      <c r="C796" s="1842" t="n"/>
      <c r="D796" s="1842" t="n"/>
      <c r="E796" s="1842" t="n"/>
      <c r="F796" s="1842" t="n"/>
      <c r="G796" s="1842" t="n"/>
      <c r="H796" s="1842" t="n"/>
      <c r="I796" s="1842" t="n"/>
      <c r="J796" s="1842" t="n"/>
      <c r="K796" s="1842" t="n"/>
      <c r="L796" s="1842" t="n"/>
      <c r="M796" s="1842" t="n"/>
      <c r="N796" s="1842" t="n"/>
      <c r="O796" s="1842" t="n"/>
      <c r="P796" s="1842" t="n"/>
      <c r="Q796" s="1842" t="n"/>
      <c r="R796" s="1842" t="n"/>
      <c r="S796" s="1842" t="n"/>
      <c r="T796" s="1842" t="n"/>
      <c r="U796" s="1842" t="n"/>
      <c r="V796" s="1842" t="n"/>
      <c r="W796" s="1842" t="n"/>
      <c r="X796" s="1842" t="n"/>
      <c r="Y796" s="1842" t="n"/>
      <c r="Z796" s="1842" t="n"/>
      <c r="AA796" s="1842" t="n"/>
      <c r="AB796" s="1842" t="n"/>
      <c r="AC796" s="1842" t="n"/>
      <c r="AD796" s="1842" t="n"/>
      <c r="AE796" s="1842" t="n"/>
      <c r="AF796" s="1842" t="n"/>
    </row>
    <row r="797" ht="13.5" customHeight="1" s="1883">
      <c r="A797" s="1842" t="n"/>
      <c r="B797" s="1842" t="n"/>
      <c r="C797" s="1842" t="n"/>
      <c r="D797" s="1842" t="n"/>
      <c r="E797" s="1842" t="n"/>
      <c r="F797" s="1842" t="n"/>
      <c r="G797" s="1842" t="n"/>
      <c r="H797" s="1842" t="n"/>
      <c r="I797" s="1842" t="n"/>
      <c r="J797" s="1842" t="n"/>
      <c r="K797" s="1842" t="n"/>
      <c r="L797" s="1842" t="n"/>
      <c r="M797" s="1842" t="n"/>
      <c r="N797" s="1842" t="n"/>
      <c r="O797" s="1842" t="n"/>
      <c r="P797" s="1842" t="n"/>
      <c r="Q797" s="1842" t="n"/>
      <c r="R797" s="1842" t="n"/>
      <c r="S797" s="1842" t="n"/>
      <c r="T797" s="1842" t="n"/>
      <c r="U797" s="1842" t="n"/>
      <c r="V797" s="1842" t="n"/>
      <c r="W797" s="1842" t="n"/>
      <c r="X797" s="1842" t="n"/>
      <c r="Y797" s="1842" t="n"/>
      <c r="Z797" s="1842" t="n"/>
      <c r="AA797" s="1842" t="n"/>
      <c r="AB797" s="1842" t="n"/>
      <c r="AC797" s="1842" t="n"/>
      <c r="AD797" s="1842" t="n"/>
      <c r="AE797" s="1842" t="n"/>
      <c r="AF797" s="1842" t="n"/>
    </row>
    <row r="798" ht="13.5" customHeight="1" s="1883">
      <c r="A798" s="1842" t="n"/>
      <c r="B798" s="1842" t="n"/>
      <c r="C798" s="1842" t="n"/>
      <c r="D798" s="1842" t="n"/>
      <c r="E798" s="1842" t="n"/>
      <c r="F798" s="1842" t="n"/>
      <c r="G798" s="1842" t="n"/>
      <c r="H798" s="1842" t="n"/>
      <c r="I798" s="1842" t="n"/>
      <c r="J798" s="1842" t="n"/>
      <c r="K798" s="1842" t="n"/>
      <c r="L798" s="1842" t="n"/>
      <c r="M798" s="1842" t="n"/>
      <c r="N798" s="1842" t="n"/>
      <c r="O798" s="1842" t="n"/>
      <c r="P798" s="1842" t="n"/>
      <c r="Q798" s="1842" t="n"/>
      <c r="R798" s="1842" t="n"/>
      <c r="S798" s="1842" t="n"/>
      <c r="T798" s="1842" t="n"/>
      <c r="U798" s="1842" t="n"/>
      <c r="V798" s="1842" t="n"/>
      <c r="W798" s="1842" t="n"/>
      <c r="X798" s="1842" t="n"/>
      <c r="Y798" s="1842" t="n"/>
      <c r="Z798" s="1842" t="n"/>
      <c r="AA798" s="1842" t="n"/>
      <c r="AB798" s="1842" t="n"/>
      <c r="AC798" s="1842" t="n"/>
      <c r="AD798" s="1842" t="n"/>
      <c r="AE798" s="1842" t="n"/>
      <c r="AF798" s="1842" t="n"/>
    </row>
    <row r="799" ht="13.5" customHeight="1" s="1883">
      <c r="A799" s="1842" t="n"/>
      <c r="B799" s="1842" t="n"/>
      <c r="C799" s="1842" t="n"/>
      <c r="D799" s="1842" t="n"/>
      <c r="E799" s="1842" t="n"/>
      <c r="F799" s="1842" t="n"/>
      <c r="G799" s="1842" t="n"/>
      <c r="H799" s="1842" t="n"/>
      <c r="I799" s="1842" t="n"/>
      <c r="J799" s="1842" t="n"/>
      <c r="K799" s="1842" t="n"/>
      <c r="L799" s="1842" t="n"/>
      <c r="M799" s="1842" t="n"/>
      <c r="N799" s="1842" t="n"/>
      <c r="O799" s="1842" t="n"/>
      <c r="P799" s="1842" t="n"/>
      <c r="Q799" s="1842" t="n"/>
      <c r="R799" s="1842" t="n"/>
      <c r="S799" s="1842" t="n"/>
      <c r="T799" s="1842" t="n"/>
      <c r="U799" s="1842" t="n"/>
      <c r="V799" s="1842" t="n"/>
      <c r="W799" s="1842" t="n"/>
      <c r="X799" s="1842" t="n"/>
      <c r="Y799" s="1842" t="n"/>
      <c r="Z799" s="1842" t="n"/>
      <c r="AA799" s="1842" t="n"/>
      <c r="AB799" s="1842" t="n"/>
      <c r="AC799" s="1842" t="n"/>
      <c r="AD799" s="1842" t="n"/>
      <c r="AE799" s="1842" t="n"/>
      <c r="AF799" s="1842" t="n"/>
    </row>
    <row r="800" ht="13.5" customHeight="1" s="1883">
      <c r="A800" s="1842" t="n"/>
      <c r="B800" s="1842" t="n"/>
      <c r="C800" s="1842" t="n"/>
      <c r="D800" s="1842" t="n"/>
      <c r="E800" s="1842" t="n"/>
      <c r="F800" s="1842" t="n"/>
      <c r="G800" s="1842" t="n"/>
      <c r="H800" s="1842" t="n"/>
      <c r="I800" s="1842" t="n"/>
      <c r="J800" s="1842" t="n"/>
      <c r="K800" s="1842" t="n"/>
      <c r="L800" s="1842" t="n"/>
      <c r="M800" s="1842" t="n"/>
      <c r="N800" s="1842" t="n"/>
      <c r="O800" s="1842" t="n"/>
      <c r="P800" s="1842" t="n"/>
      <c r="Q800" s="1842" t="n"/>
      <c r="R800" s="1842" t="n"/>
      <c r="S800" s="1842" t="n"/>
      <c r="T800" s="1842" t="n"/>
      <c r="U800" s="1842" t="n"/>
      <c r="V800" s="1842" t="n"/>
      <c r="W800" s="1842" t="n"/>
      <c r="X800" s="1842" t="n"/>
      <c r="Y800" s="1842" t="n"/>
      <c r="Z800" s="1842" t="n"/>
      <c r="AA800" s="1842" t="n"/>
      <c r="AB800" s="1842" t="n"/>
      <c r="AC800" s="1842" t="n"/>
      <c r="AD800" s="1842" t="n"/>
      <c r="AE800" s="1842" t="n"/>
      <c r="AF800" s="1842" t="n"/>
    </row>
    <row r="801" ht="13.5" customHeight="1" s="1883">
      <c r="A801" s="1842" t="n"/>
      <c r="B801" s="1842" t="n"/>
      <c r="C801" s="1842" t="n"/>
      <c r="D801" s="1842" t="n"/>
      <c r="E801" s="1842" t="n"/>
      <c r="F801" s="1842" t="n"/>
      <c r="G801" s="1842" t="n"/>
      <c r="H801" s="1842" t="n"/>
      <c r="I801" s="1842" t="n"/>
      <c r="J801" s="1842" t="n"/>
      <c r="K801" s="1842" t="n"/>
      <c r="L801" s="1842" t="n"/>
      <c r="M801" s="1842" t="n"/>
      <c r="N801" s="1842" t="n"/>
      <c r="O801" s="1842" t="n"/>
      <c r="P801" s="1842" t="n"/>
      <c r="Q801" s="1842" t="n"/>
      <c r="R801" s="1842" t="n"/>
      <c r="S801" s="1842" t="n"/>
      <c r="T801" s="1842" t="n"/>
      <c r="U801" s="1842" t="n"/>
      <c r="V801" s="1842" t="n"/>
      <c r="W801" s="1842" t="n"/>
      <c r="X801" s="1842" t="n"/>
      <c r="Y801" s="1842" t="n"/>
      <c r="Z801" s="1842" t="n"/>
      <c r="AA801" s="1842" t="n"/>
      <c r="AB801" s="1842" t="n"/>
      <c r="AC801" s="1842" t="n"/>
      <c r="AD801" s="1842" t="n"/>
      <c r="AE801" s="1842" t="n"/>
      <c r="AF801" s="1842" t="n"/>
    </row>
    <row r="802" ht="13.5" customHeight="1" s="1883">
      <c r="A802" s="1842" t="n"/>
      <c r="B802" s="1842" t="n"/>
      <c r="C802" s="1842" t="n"/>
      <c r="D802" s="1842" t="n"/>
      <c r="E802" s="1842" t="n"/>
      <c r="F802" s="1842" t="n"/>
      <c r="G802" s="1842" t="n"/>
      <c r="H802" s="1842" t="n"/>
      <c r="I802" s="1842" t="n"/>
      <c r="J802" s="1842" t="n"/>
      <c r="K802" s="1842" t="n"/>
      <c r="L802" s="1842" t="n"/>
      <c r="M802" s="1842" t="n"/>
      <c r="N802" s="1842" t="n"/>
      <c r="O802" s="1842" t="n"/>
      <c r="P802" s="1842" t="n"/>
      <c r="Q802" s="1842" t="n"/>
      <c r="R802" s="1842" t="n"/>
      <c r="S802" s="1842" t="n"/>
      <c r="T802" s="1842" t="n"/>
      <c r="U802" s="1842" t="n"/>
      <c r="V802" s="1842" t="n"/>
      <c r="W802" s="1842" t="n"/>
      <c r="X802" s="1842" t="n"/>
      <c r="Y802" s="1842" t="n"/>
      <c r="Z802" s="1842" t="n"/>
      <c r="AA802" s="1842" t="n"/>
      <c r="AB802" s="1842" t="n"/>
      <c r="AC802" s="1842" t="n"/>
      <c r="AD802" s="1842" t="n"/>
      <c r="AE802" s="1842" t="n"/>
      <c r="AF802" s="1842" t="n"/>
    </row>
    <row r="803" ht="13.5" customHeight="1" s="1883">
      <c r="A803" s="1842" t="n"/>
      <c r="B803" s="1842" t="n"/>
      <c r="C803" s="1842" t="n"/>
      <c r="D803" s="1842" t="n"/>
      <c r="E803" s="1842" t="n"/>
      <c r="F803" s="1842" t="n"/>
      <c r="G803" s="1842" t="n"/>
      <c r="H803" s="1842" t="n"/>
      <c r="I803" s="1842" t="n"/>
      <c r="J803" s="1842" t="n"/>
      <c r="K803" s="1842" t="n"/>
      <c r="L803" s="1842" t="n"/>
      <c r="M803" s="1842" t="n"/>
      <c r="N803" s="1842" t="n"/>
      <c r="O803" s="1842" t="n"/>
      <c r="P803" s="1842" t="n"/>
      <c r="Q803" s="1842" t="n"/>
      <c r="R803" s="1842" t="n"/>
      <c r="S803" s="1842" t="n"/>
      <c r="T803" s="1842" t="n"/>
      <c r="U803" s="1842" t="n"/>
      <c r="V803" s="1842" t="n"/>
      <c r="W803" s="1842" t="n"/>
      <c r="X803" s="1842" t="n"/>
      <c r="Y803" s="1842" t="n"/>
      <c r="Z803" s="1842" t="n"/>
      <c r="AA803" s="1842" t="n"/>
      <c r="AB803" s="1842" t="n"/>
      <c r="AC803" s="1842" t="n"/>
      <c r="AD803" s="1842" t="n"/>
      <c r="AE803" s="1842" t="n"/>
      <c r="AF803" s="1842" t="n"/>
    </row>
    <row r="804" ht="13.5" customHeight="1" s="1883">
      <c r="A804" s="1842" t="n"/>
      <c r="B804" s="1842" t="n"/>
      <c r="C804" s="1842" t="n"/>
      <c r="D804" s="1842" t="n"/>
      <c r="E804" s="1842" t="n"/>
      <c r="F804" s="1842" t="n"/>
      <c r="G804" s="1842" t="n"/>
      <c r="H804" s="1842" t="n"/>
      <c r="I804" s="1842" t="n"/>
      <c r="J804" s="1842" t="n"/>
      <c r="K804" s="1842" t="n"/>
      <c r="L804" s="1842" t="n"/>
      <c r="M804" s="1842" t="n"/>
      <c r="N804" s="1842" t="n"/>
      <c r="O804" s="1842" t="n"/>
      <c r="P804" s="1842" t="n"/>
      <c r="Q804" s="1842" t="n"/>
      <c r="R804" s="1842" t="n"/>
      <c r="S804" s="1842" t="n"/>
      <c r="T804" s="1842" t="n"/>
      <c r="U804" s="1842" t="n"/>
      <c r="V804" s="1842" t="n"/>
      <c r="W804" s="1842" t="n"/>
      <c r="X804" s="1842" t="n"/>
      <c r="Y804" s="1842" t="n"/>
      <c r="Z804" s="1842" t="n"/>
      <c r="AA804" s="1842" t="n"/>
      <c r="AB804" s="1842" t="n"/>
      <c r="AC804" s="1842" t="n"/>
      <c r="AD804" s="1842" t="n"/>
      <c r="AE804" s="1842" t="n"/>
      <c r="AF804" s="1842" t="n"/>
    </row>
    <row r="805" ht="13.5" customHeight="1" s="1883">
      <c r="A805" s="1842" t="n"/>
      <c r="B805" s="1842" t="n"/>
      <c r="C805" s="1842" t="n"/>
      <c r="D805" s="1842" t="n"/>
      <c r="E805" s="1842" t="n"/>
      <c r="F805" s="1842" t="n"/>
      <c r="G805" s="1842" t="n"/>
      <c r="H805" s="1842" t="n"/>
      <c r="I805" s="1842" t="n"/>
      <c r="J805" s="1842" t="n"/>
      <c r="K805" s="1842" t="n"/>
      <c r="L805" s="1842" t="n"/>
      <c r="M805" s="1842" t="n"/>
      <c r="N805" s="1842" t="n"/>
      <c r="O805" s="1842" t="n"/>
      <c r="P805" s="1842" t="n"/>
      <c r="Q805" s="1842" t="n"/>
      <c r="R805" s="1842" t="n"/>
      <c r="S805" s="1842" t="n"/>
      <c r="T805" s="1842" t="n"/>
      <c r="U805" s="1842" t="n"/>
      <c r="V805" s="1842" t="n"/>
      <c r="W805" s="1842" t="n"/>
      <c r="X805" s="1842" t="n"/>
      <c r="Y805" s="1842" t="n"/>
      <c r="Z805" s="1842" t="n"/>
      <c r="AA805" s="1842" t="n"/>
      <c r="AB805" s="1842" t="n"/>
      <c r="AC805" s="1842" t="n"/>
      <c r="AD805" s="1842" t="n"/>
      <c r="AE805" s="1842" t="n"/>
      <c r="AF805" s="1842" t="n"/>
    </row>
    <row r="806" ht="13.5" customHeight="1" s="1883">
      <c r="A806" s="1842" t="n"/>
      <c r="B806" s="1842" t="n"/>
      <c r="C806" s="1842" t="n"/>
      <c r="D806" s="1842" t="n"/>
      <c r="E806" s="1842" t="n"/>
      <c r="F806" s="1842" t="n"/>
      <c r="G806" s="1842" t="n"/>
      <c r="H806" s="1842" t="n"/>
      <c r="I806" s="1842" t="n"/>
      <c r="J806" s="1842" t="n"/>
      <c r="K806" s="1842" t="n"/>
      <c r="L806" s="1842" t="n"/>
      <c r="M806" s="1842" t="n"/>
      <c r="N806" s="1842" t="n"/>
      <c r="O806" s="1842" t="n"/>
      <c r="P806" s="1842" t="n"/>
      <c r="Q806" s="1842" t="n"/>
      <c r="R806" s="1842" t="n"/>
      <c r="S806" s="1842" t="n"/>
      <c r="T806" s="1842" t="n"/>
      <c r="U806" s="1842" t="n"/>
      <c r="V806" s="1842" t="n"/>
      <c r="W806" s="1842" t="n"/>
      <c r="X806" s="1842" t="n"/>
      <c r="Y806" s="1842" t="n"/>
      <c r="Z806" s="1842" t="n"/>
      <c r="AA806" s="1842" t="n"/>
      <c r="AB806" s="1842" t="n"/>
      <c r="AC806" s="1842" t="n"/>
      <c r="AD806" s="1842" t="n"/>
      <c r="AE806" s="1842" t="n"/>
      <c r="AF806" s="1842" t="n"/>
    </row>
    <row r="807" ht="13.5" customHeight="1" s="1883">
      <c r="A807" s="1842" t="n"/>
      <c r="B807" s="1842" t="n"/>
      <c r="C807" s="1842" t="n"/>
      <c r="D807" s="1842" t="n"/>
      <c r="E807" s="1842" t="n"/>
      <c r="F807" s="1842" t="n"/>
      <c r="G807" s="1842" t="n"/>
      <c r="H807" s="1842" t="n"/>
      <c r="I807" s="1842" t="n"/>
      <c r="J807" s="1842" t="n"/>
      <c r="K807" s="1842" t="n"/>
      <c r="L807" s="1842" t="n"/>
      <c r="M807" s="1842" t="n"/>
      <c r="N807" s="1842" t="n"/>
      <c r="O807" s="1842" t="n"/>
      <c r="P807" s="1842" t="n"/>
      <c r="Q807" s="1842" t="n"/>
      <c r="R807" s="1842" t="n"/>
      <c r="S807" s="1842" t="n"/>
      <c r="T807" s="1842" t="n"/>
      <c r="U807" s="1842" t="n"/>
      <c r="V807" s="1842" t="n"/>
      <c r="W807" s="1842" t="n"/>
      <c r="X807" s="1842" t="n"/>
      <c r="Y807" s="1842" t="n"/>
      <c r="Z807" s="1842" t="n"/>
      <c r="AA807" s="1842" t="n"/>
      <c r="AB807" s="1842" t="n"/>
      <c r="AC807" s="1842" t="n"/>
      <c r="AD807" s="1842" t="n"/>
      <c r="AE807" s="1842" t="n"/>
      <c r="AF807" s="1842" t="n"/>
    </row>
    <row r="808" ht="13.5" customHeight="1" s="1883">
      <c r="A808" s="1842" t="n"/>
      <c r="B808" s="1842" t="n"/>
      <c r="C808" s="1842" t="n"/>
      <c r="D808" s="1842" t="n"/>
      <c r="E808" s="1842" t="n"/>
      <c r="F808" s="1842" t="n"/>
      <c r="G808" s="1842" t="n"/>
      <c r="H808" s="1842" t="n"/>
      <c r="I808" s="1842" t="n"/>
      <c r="J808" s="1842" t="n"/>
      <c r="K808" s="1842" t="n"/>
      <c r="L808" s="1842" t="n"/>
      <c r="M808" s="1842" t="n"/>
      <c r="N808" s="1842" t="n"/>
      <c r="O808" s="1842" t="n"/>
      <c r="P808" s="1842" t="n"/>
      <c r="Q808" s="1842" t="n"/>
      <c r="R808" s="1842" t="n"/>
      <c r="S808" s="1842" t="n"/>
      <c r="T808" s="1842" t="n"/>
      <c r="U808" s="1842" t="n"/>
      <c r="V808" s="1842" t="n"/>
      <c r="W808" s="1842" t="n"/>
      <c r="X808" s="1842" t="n"/>
      <c r="Y808" s="1842" t="n"/>
      <c r="Z808" s="1842" t="n"/>
      <c r="AA808" s="1842" t="n"/>
      <c r="AB808" s="1842" t="n"/>
      <c r="AC808" s="1842" t="n"/>
      <c r="AD808" s="1842" t="n"/>
      <c r="AE808" s="1842" t="n"/>
      <c r="AF808" s="1842" t="n"/>
    </row>
    <row r="809" ht="13.5" customHeight="1" s="1883">
      <c r="A809" s="1842" t="n"/>
      <c r="B809" s="1842" t="n"/>
      <c r="C809" s="1842" t="n"/>
      <c r="D809" s="1842" t="n"/>
      <c r="E809" s="1842" t="n"/>
      <c r="F809" s="1842" t="n"/>
      <c r="G809" s="1842" t="n"/>
      <c r="H809" s="1842" t="n"/>
      <c r="I809" s="1842" t="n"/>
      <c r="J809" s="1842" t="n"/>
      <c r="K809" s="1842" t="n"/>
      <c r="L809" s="1842" t="n"/>
      <c r="M809" s="1842" t="n"/>
      <c r="N809" s="1842" t="n"/>
      <c r="O809" s="1842" t="n"/>
      <c r="P809" s="1842" t="n"/>
      <c r="Q809" s="1842" t="n"/>
      <c r="R809" s="1842" t="n"/>
      <c r="S809" s="1842" t="n"/>
      <c r="T809" s="1842" t="n"/>
      <c r="U809" s="1842" t="n"/>
      <c r="V809" s="1842" t="n"/>
      <c r="W809" s="1842" t="n"/>
      <c r="X809" s="1842" t="n"/>
      <c r="Y809" s="1842" t="n"/>
      <c r="Z809" s="1842" t="n"/>
      <c r="AA809" s="1842" t="n"/>
      <c r="AB809" s="1842" t="n"/>
      <c r="AC809" s="1842" t="n"/>
      <c r="AD809" s="1842" t="n"/>
      <c r="AE809" s="1842" t="n"/>
      <c r="AF809" s="1842" t="n"/>
    </row>
    <row r="810" ht="13.5" customHeight="1" s="1883">
      <c r="A810" s="1842" t="n"/>
      <c r="B810" s="1842" t="n"/>
      <c r="C810" s="1842" t="n"/>
      <c r="D810" s="1842" t="n"/>
      <c r="E810" s="1842" t="n"/>
      <c r="F810" s="1842" t="n"/>
      <c r="G810" s="1842" t="n"/>
      <c r="H810" s="1842" t="n"/>
      <c r="I810" s="1842" t="n"/>
      <c r="J810" s="1842" t="n"/>
      <c r="K810" s="1842" t="n"/>
      <c r="L810" s="1842" t="n"/>
      <c r="M810" s="1842" t="n"/>
      <c r="N810" s="1842" t="n"/>
      <c r="O810" s="1842" t="n"/>
      <c r="P810" s="1842" t="n"/>
      <c r="Q810" s="1842" t="n"/>
      <c r="R810" s="1842" t="n"/>
      <c r="S810" s="1842" t="n"/>
      <c r="T810" s="1842" t="n"/>
      <c r="U810" s="1842" t="n"/>
      <c r="V810" s="1842" t="n"/>
      <c r="W810" s="1842" t="n"/>
      <c r="X810" s="1842" t="n"/>
      <c r="Y810" s="1842" t="n"/>
      <c r="Z810" s="1842" t="n"/>
      <c r="AA810" s="1842" t="n"/>
      <c r="AB810" s="1842" t="n"/>
      <c r="AC810" s="1842" t="n"/>
      <c r="AD810" s="1842" t="n"/>
      <c r="AE810" s="1842" t="n"/>
      <c r="AF810" s="1842" t="n"/>
    </row>
    <row r="811" ht="13.5" customHeight="1" s="1883">
      <c r="A811" s="1842" t="n"/>
      <c r="B811" s="1842" t="n"/>
      <c r="C811" s="1842" t="n"/>
      <c r="D811" s="1842" t="n"/>
      <c r="E811" s="1842" t="n"/>
      <c r="F811" s="1842" t="n"/>
      <c r="G811" s="1842" t="n"/>
      <c r="H811" s="1842" t="n"/>
      <c r="I811" s="1842" t="n"/>
      <c r="J811" s="1842" t="n"/>
      <c r="K811" s="1842" t="n"/>
      <c r="L811" s="1842" t="n"/>
      <c r="M811" s="1842" t="n"/>
      <c r="N811" s="1842" t="n"/>
      <c r="O811" s="1842" t="n"/>
      <c r="P811" s="1842" t="n"/>
      <c r="Q811" s="1842" t="n"/>
      <c r="R811" s="1842" t="n"/>
      <c r="S811" s="1842" t="n"/>
      <c r="T811" s="1842" t="n"/>
      <c r="U811" s="1842" t="n"/>
      <c r="V811" s="1842" t="n"/>
      <c r="W811" s="1842" t="n"/>
      <c r="X811" s="1842" t="n"/>
      <c r="Y811" s="1842" t="n"/>
      <c r="Z811" s="1842" t="n"/>
      <c r="AA811" s="1842" t="n"/>
      <c r="AB811" s="1842" t="n"/>
      <c r="AC811" s="1842" t="n"/>
      <c r="AD811" s="1842" t="n"/>
      <c r="AE811" s="1842" t="n"/>
      <c r="AF811" s="1842" t="n"/>
    </row>
    <row r="812" ht="13.5" customHeight="1" s="1883">
      <c r="A812" s="1842" t="n"/>
      <c r="B812" s="1842" t="n"/>
      <c r="C812" s="1842" t="n"/>
      <c r="D812" s="1842" t="n"/>
      <c r="E812" s="1842" t="n"/>
      <c r="F812" s="1842" t="n"/>
      <c r="G812" s="1842" t="n"/>
      <c r="H812" s="1842" t="n"/>
      <c r="I812" s="1842" t="n"/>
      <c r="J812" s="1842" t="n"/>
      <c r="K812" s="1842" t="n"/>
      <c r="L812" s="1842" t="n"/>
      <c r="M812" s="1842" t="n"/>
      <c r="N812" s="1842" t="n"/>
      <c r="O812" s="1842" t="n"/>
      <c r="P812" s="1842" t="n"/>
      <c r="Q812" s="1842" t="n"/>
      <c r="R812" s="1842" t="n"/>
      <c r="S812" s="1842" t="n"/>
      <c r="T812" s="1842" t="n"/>
      <c r="U812" s="1842" t="n"/>
      <c r="V812" s="1842" t="n"/>
      <c r="W812" s="1842" t="n"/>
      <c r="X812" s="1842" t="n"/>
      <c r="Y812" s="1842" t="n"/>
      <c r="Z812" s="1842" t="n"/>
      <c r="AA812" s="1842" t="n"/>
      <c r="AB812" s="1842" t="n"/>
      <c r="AC812" s="1842" t="n"/>
      <c r="AD812" s="1842" t="n"/>
      <c r="AE812" s="1842" t="n"/>
      <c r="AF812" s="1842" t="n"/>
    </row>
    <row r="813" ht="13.5" customHeight="1" s="1883">
      <c r="A813" s="1842" t="n"/>
      <c r="B813" s="1842" t="n"/>
      <c r="C813" s="1842" t="n"/>
      <c r="D813" s="1842" t="n"/>
      <c r="E813" s="1842" t="n"/>
      <c r="F813" s="1842" t="n"/>
      <c r="G813" s="1842" t="n"/>
      <c r="H813" s="1842" t="n"/>
      <c r="I813" s="1842" t="n"/>
      <c r="J813" s="1842" t="n"/>
      <c r="K813" s="1842" t="n"/>
      <c r="L813" s="1842" t="n"/>
      <c r="M813" s="1842" t="n"/>
      <c r="N813" s="1842" t="n"/>
      <c r="O813" s="1842" t="n"/>
      <c r="P813" s="1842" t="n"/>
      <c r="Q813" s="1842" t="n"/>
      <c r="R813" s="1842" t="n"/>
      <c r="S813" s="1842" t="n"/>
      <c r="T813" s="1842" t="n"/>
      <c r="U813" s="1842" t="n"/>
      <c r="V813" s="1842" t="n"/>
      <c r="W813" s="1842" t="n"/>
      <c r="X813" s="1842" t="n"/>
      <c r="Y813" s="1842" t="n"/>
      <c r="Z813" s="1842" t="n"/>
      <c r="AA813" s="1842" t="n"/>
      <c r="AB813" s="1842" t="n"/>
      <c r="AC813" s="1842" t="n"/>
      <c r="AD813" s="1842" t="n"/>
      <c r="AE813" s="1842" t="n"/>
      <c r="AF813" s="1842" t="n"/>
    </row>
    <row r="814" ht="13.5" customHeight="1" s="1883">
      <c r="A814" s="1842" t="n"/>
      <c r="B814" s="1842" t="n"/>
      <c r="C814" s="1842" t="n"/>
      <c r="D814" s="1842" t="n"/>
      <c r="E814" s="1842" t="n"/>
      <c r="F814" s="1842" t="n"/>
      <c r="G814" s="1842" t="n"/>
      <c r="H814" s="1842" t="n"/>
      <c r="I814" s="1842" t="n"/>
      <c r="J814" s="1842" t="n"/>
      <c r="K814" s="1842" t="n"/>
      <c r="L814" s="1842" t="n"/>
      <c r="M814" s="1842" t="n"/>
      <c r="N814" s="1842" t="n"/>
      <c r="O814" s="1842" t="n"/>
      <c r="P814" s="1842" t="n"/>
      <c r="Q814" s="1842" t="n"/>
      <c r="R814" s="1842" t="n"/>
      <c r="S814" s="1842" t="n"/>
      <c r="T814" s="1842" t="n"/>
      <c r="U814" s="1842" t="n"/>
      <c r="V814" s="1842" t="n"/>
      <c r="W814" s="1842" t="n"/>
      <c r="X814" s="1842" t="n"/>
      <c r="Y814" s="1842" t="n"/>
      <c r="Z814" s="1842" t="n"/>
      <c r="AA814" s="1842" t="n"/>
      <c r="AB814" s="1842" t="n"/>
      <c r="AC814" s="1842" t="n"/>
      <c r="AD814" s="1842" t="n"/>
      <c r="AE814" s="1842" t="n"/>
      <c r="AF814" s="1842" t="n"/>
    </row>
    <row r="815" ht="13.5" customHeight="1" s="1883">
      <c r="A815" s="1842" t="n"/>
      <c r="B815" s="1842" t="n"/>
      <c r="C815" s="1842" t="n"/>
      <c r="D815" s="1842" t="n"/>
      <c r="E815" s="1842" t="n"/>
      <c r="F815" s="1842" t="n"/>
      <c r="G815" s="1842" t="n"/>
      <c r="H815" s="1842" t="n"/>
      <c r="I815" s="1842" t="n"/>
      <c r="J815" s="1842" t="n"/>
      <c r="K815" s="1842" t="n"/>
      <c r="L815" s="1842" t="n"/>
      <c r="M815" s="1842" t="n"/>
      <c r="N815" s="1842" t="n"/>
      <c r="O815" s="1842" t="n"/>
      <c r="P815" s="1842" t="n"/>
      <c r="Q815" s="1842" t="n"/>
      <c r="R815" s="1842" t="n"/>
      <c r="S815" s="1842" t="n"/>
      <c r="T815" s="1842" t="n"/>
      <c r="U815" s="1842" t="n"/>
      <c r="V815" s="1842" t="n"/>
      <c r="W815" s="1842" t="n"/>
      <c r="X815" s="1842" t="n"/>
      <c r="Y815" s="1842" t="n"/>
      <c r="Z815" s="1842" t="n"/>
      <c r="AA815" s="1842" t="n"/>
      <c r="AB815" s="1842" t="n"/>
      <c r="AC815" s="1842" t="n"/>
      <c r="AD815" s="1842" t="n"/>
      <c r="AE815" s="1842" t="n"/>
      <c r="AF815" s="1842" t="n"/>
    </row>
    <row r="816" ht="13.5" customHeight="1" s="1883">
      <c r="A816" s="1842" t="n"/>
      <c r="B816" s="1842" t="n"/>
      <c r="C816" s="1842" t="n"/>
      <c r="D816" s="1842" t="n"/>
      <c r="E816" s="1842" t="n"/>
      <c r="F816" s="1842" t="n"/>
      <c r="G816" s="1842" t="n"/>
      <c r="H816" s="1842" t="n"/>
      <c r="I816" s="1842" t="n"/>
      <c r="J816" s="1842" t="n"/>
      <c r="K816" s="1842" t="n"/>
      <c r="L816" s="1842" t="n"/>
      <c r="M816" s="1842" t="n"/>
      <c r="N816" s="1842" t="n"/>
      <c r="O816" s="1842" t="n"/>
      <c r="P816" s="1842" t="n"/>
      <c r="Q816" s="1842" t="n"/>
      <c r="R816" s="1842" t="n"/>
      <c r="S816" s="1842" t="n"/>
      <c r="T816" s="1842" t="n"/>
      <c r="U816" s="1842" t="n"/>
      <c r="V816" s="1842" t="n"/>
      <c r="W816" s="1842" t="n"/>
      <c r="X816" s="1842" t="n"/>
      <c r="Y816" s="1842" t="n"/>
      <c r="Z816" s="1842" t="n"/>
      <c r="AA816" s="1842" t="n"/>
      <c r="AB816" s="1842" t="n"/>
      <c r="AC816" s="1842" t="n"/>
      <c r="AD816" s="1842" t="n"/>
      <c r="AE816" s="1842" t="n"/>
      <c r="AF816" s="1842" t="n"/>
    </row>
    <row r="817" ht="13.5" customHeight="1" s="1883">
      <c r="A817" s="1842" t="n"/>
      <c r="B817" s="1842" t="n"/>
      <c r="C817" s="1842" t="n"/>
      <c r="D817" s="1842" t="n"/>
      <c r="E817" s="1842" t="n"/>
      <c r="F817" s="1842" t="n"/>
      <c r="G817" s="1842" t="n"/>
      <c r="H817" s="1842" t="n"/>
      <c r="I817" s="1842" t="n"/>
      <c r="J817" s="1842" t="n"/>
      <c r="K817" s="1842" t="n"/>
      <c r="L817" s="1842" t="n"/>
      <c r="M817" s="1842" t="n"/>
      <c r="N817" s="1842" t="n"/>
      <c r="O817" s="1842" t="n"/>
      <c r="P817" s="1842" t="n"/>
      <c r="Q817" s="1842" t="n"/>
      <c r="R817" s="1842" t="n"/>
      <c r="S817" s="1842" t="n"/>
      <c r="T817" s="1842" t="n"/>
      <c r="U817" s="1842" t="n"/>
      <c r="V817" s="1842" t="n"/>
      <c r="W817" s="1842" t="n"/>
      <c r="X817" s="1842" t="n"/>
      <c r="Y817" s="1842" t="n"/>
      <c r="Z817" s="1842" t="n"/>
      <c r="AA817" s="1842" t="n"/>
      <c r="AB817" s="1842" t="n"/>
      <c r="AC817" s="1842" t="n"/>
      <c r="AD817" s="1842" t="n"/>
      <c r="AE817" s="1842" t="n"/>
      <c r="AF817" s="1842" t="n"/>
    </row>
    <row r="818" ht="13.5" customHeight="1" s="1883">
      <c r="A818" s="1842" t="n"/>
      <c r="B818" s="1842" t="n"/>
      <c r="C818" s="1842" t="n"/>
      <c r="D818" s="1842" t="n"/>
      <c r="E818" s="1842" t="n"/>
      <c r="F818" s="1842" t="n"/>
      <c r="G818" s="1842" t="n"/>
      <c r="H818" s="1842" t="n"/>
      <c r="I818" s="1842" t="n"/>
      <c r="J818" s="1842" t="n"/>
      <c r="K818" s="1842" t="n"/>
      <c r="L818" s="1842" t="n"/>
      <c r="M818" s="1842" t="n"/>
      <c r="N818" s="1842" t="n"/>
      <c r="O818" s="1842" t="n"/>
      <c r="P818" s="1842" t="n"/>
      <c r="Q818" s="1842" t="n"/>
      <c r="R818" s="1842" t="n"/>
      <c r="S818" s="1842" t="n"/>
      <c r="T818" s="1842" t="n"/>
      <c r="U818" s="1842" t="n"/>
      <c r="V818" s="1842" t="n"/>
      <c r="W818" s="1842" t="n"/>
      <c r="X818" s="1842" t="n"/>
      <c r="Y818" s="1842" t="n"/>
      <c r="Z818" s="1842" t="n"/>
      <c r="AA818" s="1842" t="n"/>
      <c r="AB818" s="1842" t="n"/>
      <c r="AC818" s="1842" t="n"/>
      <c r="AD818" s="1842" t="n"/>
      <c r="AE818" s="1842" t="n"/>
      <c r="AF818" s="1842" t="n"/>
    </row>
    <row r="819" ht="13.5" customHeight="1" s="1883">
      <c r="A819" s="1842" t="n"/>
      <c r="B819" s="1842" t="n"/>
      <c r="C819" s="1842" t="n"/>
      <c r="D819" s="1842" t="n"/>
      <c r="E819" s="1842" t="n"/>
      <c r="F819" s="1842" t="n"/>
      <c r="G819" s="1842" t="n"/>
      <c r="H819" s="1842" t="n"/>
      <c r="I819" s="1842" t="n"/>
      <c r="J819" s="1842" t="n"/>
      <c r="K819" s="1842" t="n"/>
      <c r="L819" s="1842" t="n"/>
      <c r="M819" s="1842" t="n"/>
      <c r="N819" s="1842" t="n"/>
      <c r="O819" s="1842" t="n"/>
      <c r="P819" s="1842" t="n"/>
      <c r="Q819" s="1842" t="n"/>
      <c r="R819" s="1842" t="n"/>
      <c r="S819" s="1842" t="n"/>
      <c r="T819" s="1842" t="n"/>
      <c r="U819" s="1842" t="n"/>
      <c r="V819" s="1842" t="n"/>
      <c r="W819" s="1842" t="n"/>
      <c r="X819" s="1842" t="n"/>
      <c r="Y819" s="1842" t="n"/>
      <c r="Z819" s="1842" t="n"/>
      <c r="AA819" s="1842" t="n"/>
      <c r="AB819" s="1842" t="n"/>
      <c r="AC819" s="1842" t="n"/>
      <c r="AD819" s="1842" t="n"/>
      <c r="AE819" s="1842" t="n"/>
      <c r="AF819" s="1842" t="n"/>
    </row>
    <row r="820" ht="13.5" customHeight="1" s="1883">
      <c r="A820" s="1842" t="n"/>
      <c r="B820" s="1842" t="n"/>
      <c r="C820" s="1842" t="n"/>
      <c r="D820" s="1842" t="n"/>
      <c r="E820" s="1842" t="n"/>
      <c r="F820" s="1842" t="n"/>
      <c r="G820" s="1842" t="n"/>
      <c r="H820" s="1842" t="n"/>
      <c r="I820" s="1842" t="n"/>
      <c r="J820" s="1842" t="n"/>
      <c r="K820" s="1842" t="n"/>
      <c r="L820" s="1842" t="n"/>
      <c r="M820" s="1842" t="n"/>
      <c r="N820" s="1842" t="n"/>
      <c r="O820" s="1842" t="n"/>
      <c r="P820" s="1842" t="n"/>
      <c r="Q820" s="1842" t="n"/>
      <c r="R820" s="1842" t="n"/>
      <c r="S820" s="1842" t="n"/>
      <c r="T820" s="1842" t="n"/>
      <c r="U820" s="1842" t="n"/>
      <c r="V820" s="1842" t="n"/>
      <c r="W820" s="1842" t="n"/>
      <c r="X820" s="1842" t="n"/>
      <c r="Y820" s="1842" t="n"/>
      <c r="Z820" s="1842" t="n"/>
      <c r="AA820" s="1842" t="n"/>
      <c r="AB820" s="1842" t="n"/>
      <c r="AC820" s="1842" t="n"/>
      <c r="AD820" s="1842" t="n"/>
      <c r="AE820" s="1842" t="n"/>
      <c r="AF820" s="1842" t="n"/>
    </row>
    <row r="821" ht="13.5" customHeight="1" s="1883">
      <c r="A821" s="1842" t="n"/>
      <c r="B821" s="1842" t="n"/>
      <c r="C821" s="1842" t="n"/>
      <c r="D821" s="1842" t="n"/>
      <c r="E821" s="1842" t="n"/>
      <c r="F821" s="1842" t="n"/>
      <c r="G821" s="1842" t="n"/>
      <c r="H821" s="1842" t="n"/>
      <c r="I821" s="1842" t="n"/>
      <c r="J821" s="1842" t="n"/>
      <c r="K821" s="1842" t="n"/>
      <c r="L821" s="1842" t="n"/>
      <c r="M821" s="1842" t="n"/>
      <c r="N821" s="1842" t="n"/>
      <c r="O821" s="1842" t="n"/>
      <c r="P821" s="1842" t="n"/>
      <c r="Q821" s="1842" t="n"/>
      <c r="R821" s="1842" t="n"/>
      <c r="S821" s="1842" t="n"/>
      <c r="T821" s="1842" t="n"/>
      <c r="U821" s="1842" t="n"/>
      <c r="V821" s="1842" t="n"/>
      <c r="W821" s="1842" t="n"/>
      <c r="X821" s="1842" t="n"/>
      <c r="Y821" s="1842" t="n"/>
      <c r="Z821" s="1842" t="n"/>
      <c r="AA821" s="1842" t="n"/>
      <c r="AB821" s="1842" t="n"/>
      <c r="AC821" s="1842" t="n"/>
      <c r="AD821" s="1842" t="n"/>
      <c r="AE821" s="1842" t="n"/>
      <c r="AF821" s="1842" t="n"/>
    </row>
    <row r="822" ht="13.5" customHeight="1" s="1883">
      <c r="A822" s="1842" t="n"/>
      <c r="B822" s="1842" t="n"/>
      <c r="C822" s="1842" t="n"/>
      <c r="D822" s="1842" t="n"/>
      <c r="E822" s="1842" t="n"/>
      <c r="F822" s="1842" t="n"/>
      <c r="G822" s="1842" t="n"/>
      <c r="H822" s="1842" t="n"/>
      <c r="I822" s="1842" t="n"/>
      <c r="J822" s="1842" t="n"/>
      <c r="K822" s="1842" t="n"/>
      <c r="L822" s="1842" t="n"/>
      <c r="M822" s="1842" t="n"/>
      <c r="N822" s="1842" t="n"/>
      <c r="O822" s="1842" t="n"/>
      <c r="P822" s="1842" t="n"/>
      <c r="Q822" s="1842" t="n"/>
      <c r="R822" s="1842" t="n"/>
      <c r="S822" s="1842" t="n"/>
      <c r="T822" s="1842" t="n"/>
      <c r="U822" s="1842" t="n"/>
      <c r="V822" s="1842" t="n"/>
      <c r="W822" s="1842" t="n"/>
      <c r="X822" s="1842" t="n"/>
      <c r="Y822" s="1842" t="n"/>
      <c r="Z822" s="1842" t="n"/>
      <c r="AA822" s="1842" t="n"/>
      <c r="AB822" s="1842" t="n"/>
      <c r="AC822" s="1842" t="n"/>
      <c r="AD822" s="1842" t="n"/>
      <c r="AE822" s="1842" t="n"/>
      <c r="AF822" s="1842" t="n"/>
    </row>
    <row r="823" ht="13.5" customHeight="1" s="1883">
      <c r="A823" s="1842" t="n"/>
      <c r="B823" s="1842" t="n"/>
      <c r="C823" s="1842" t="n"/>
      <c r="D823" s="1842" t="n"/>
      <c r="E823" s="1842" t="n"/>
      <c r="F823" s="1842" t="n"/>
      <c r="G823" s="1842" t="n"/>
      <c r="H823" s="1842" t="n"/>
      <c r="I823" s="1842" t="n"/>
      <c r="J823" s="1842" t="n"/>
      <c r="K823" s="1842" t="n"/>
      <c r="L823" s="1842" t="n"/>
      <c r="M823" s="1842" t="n"/>
      <c r="N823" s="1842" t="n"/>
      <c r="O823" s="1842" t="n"/>
      <c r="P823" s="1842" t="n"/>
      <c r="Q823" s="1842" t="n"/>
      <c r="R823" s="1842" t="n"/>
      <c r="S823" s="1842" t="n"/>
      <c r="T823" s="1842" t="n"/>
      <c r="U823" s="1842" t="n"/>
      <c r="V823" s="1842" t="n"/>
      <c r="W823" s="1842" t="n"/>
      <c r="X823" s="1842" t="n"/>
      <c r="Y823" s="1842" t="n"/>
      <c r="Z823" s="1842" t="n"/>
      <c r="AA823" s="1842" t="n"/>
      <c r="AB823" s="1842" t="n"/>
      <c r="AC823" s="1842" t="n"/>
      <c r="AD823" s="1842" t="n"/>
      <c r="AE823" s="1842" t="n"/>
      <c r="AF823" s="1842" t="n"/>
    </row>
    <row r="824" ht="13.5" customHeight="1" s="1883">
      <c r="A824" s="1842" t="n"/>
      <c r="B824" s="1842" t="n"/>
      <c r="C824" s="1842" t="n"/>
      <c r="D824" s="1842" t="n"/>
      <c r="E824" s="1842" t="n"/>
      <c r="F824" s="1842" t="n"/>
      <c r="G824" s="1842" t="n"/>
      <c r="H824" s="1842" t="n"/>
      <c r="I824" s="1842" t="n"/>
      <c r="J824" s="1842" t="n"/>
      <c r="K824" s="1842" t="n"/>
      <c r="L824" s="1842" t="n"/>
      <c r="M824" s="1842" t="n"/>
      <c r="N824" s="1842" t="n"/>
      <c r="O824" s="1842" t="n"/>
      <c r="P824" s="1842" t="n"/>
      <c r="Q824" s="1842" t="n"/>
      <c r="R824" s="1842" t="n"/>
      <c r="S824" s="1842" t="n"/>
      <c r="T824" s="1842" t="n"/>
      <c r="U824" s="1842" t="n"/>
      <c r="V824" s="1842" t="n"/>
      <c r="W824" s="1842" t="n"/>
      <c r="X824" s="1842" t="n"/>
      <c r="Y824" s="1842" t="n"/>
      <c r="Z824" s="1842" t="n"/>
      <c r="AA824" s="1842" t="n"/>
      <c r="AB824" s="1842" t="n"/>
      <c r="AC824" s="1842" t="n"/>
      <c r="AD824" s="1842" t="n"/>
      <c r="AE824" s="1842" t="n"/>
      <c r="AF824" s="1842" t="n"/>
    </row>
    <row r="825" ht="13.5" customHeight="1" s="1883">
      <c r="A825" s="1842" t="n"/>
      <c r="B825" s="1842" t="n"/>
      <c r="C825" s="1842" t="n"/>
      <c r="D825" s="1842" t="n"/>
      <c r="E825" s="1842" t="n"/>
      <c r="F825" s="1842" t="n"/>
      <c r="G825" s="1842" t="n"/>
      <c r="H825" s="1842" t="n"/>
      <c r="I825" s="1842" t="n"/>
      <c r="J825" s="1842" t="n"/>
      <c r="K825" s="1842" t="n"/>
      <c r="L825" s="1842" t="n"/>
      <c r="M825" s="1842" t="n"/>
      <c r="N825" s="1842" t="n"/>
      <c r="O825" s="1842" t="n"/>
      <c r="P825" s="1842" t="n"/>
      <c r="Q825" s="1842" t="n"/>
      <c r="R825" s="1842" t="n"/>
      <c r="S825" s="1842" t="n"/>
      <c r="T825" s="1842" t="n"/>
      <c r="U825" s="1842" t="n"/>
      <c r="V825" s="1842" t="n"/>
      <c r="W825" s="1842" t="n"/>
      <c r="X825" s="1842" t="n"/>
      <c r="Y825" s="1842" t="n"/>
      <c r="Z825" s="1842" t="n"/>
      <c r="AA825" s="1842" t="n"/>
      <c r="AB825" s="1842" t="n"/>
      <c r="AC825" s="1842" t="n"/>
      <c r="AD825" s="1842" t="n"/>
      <c r="AE825" s="1842" t="n"/>
      <c r="AF825" s="1842" t="n"/>
    </row>
    <row r="826" ht="13.5" customHeight="1" s="1883">
      <c r="A826" s="1842" t="n"/>
      <c r="B826" s="1842" t="n"/>
      <c r="C826" s="1842" t="n"/>
      <c r="D826" s="1842" t="n"/>
      <c r="E826" s="1842" t="n"/>
      <c r="F826" s="1842" t="n"/>
      <c r="G826" s="1842" t="n"/>
      <c r="H826" s="1842" t="n"/>
      <c r="I826" s="1842" t="n"/>
      <c r="J826" s="1842" t="n"/>
      <c r="K826" s="1842" t="n"/>
      <c r="L826" s="1842" t="n"/>
      <c r="M826" s="1842" t="n"/>
      <c r="N826" s="1842" t="n"/>
      <c r="O826" s="1842" t="n"/>
      <c r="P826" s="1842" t="n"/>
      <c r="Q826" s="1842" t="n"/>
      <c r="R826" s="1842" t="n"/>
      <c r="S826" s="1842" t="n"/>
      <c r="T826" s="1842" t="n"/>
      <c r="U826" s="1842" t="n"/>
      <c r="V826" s="1842" t="n"/>
      <c r="W826" s="1842" t="n"/>
      <c r="X826" s="1842" t="n"/>
      <c r="Y826" s="1842" t="n"/>
      <c r="Z826" s="1842" t="n"/>
      <c r="AA826" s="1842" t="n"/>
      <c r="AB826" s="1842" t="n"/>
      <c r="AC826" s="1842" t="n"/>
      <c r="AD826" s="1842" t="n"/>
      <c r="AE826" s="1842" t="n"/>
      <c r="AF826" s="1842" t="n"/>
    </row>
    <row r="827" ht="13.5" customHeight="1" s="1883">
      <c r="A827" s="1842" t="n"/>
      <c r="B827" s="1842" t="n"/>
      <c r="C827" s="1842" t="n"/>
      <c r="D827" s="1842" t="n"/>
      <c r="E827" s="1842" t="n"/>
      <c r="F827" s="1842" t="n"/>
      <c r="G827" s="1842" t="n"/>
      <c r="H827" s="1842" t="n"/>
      <c r="I827" s="1842" t="n"/>
      <c r="J827" s="1842" t="n"/>
      <c r="K827" s="1842" t="n"/>
      <c r="L827" s="1842" t="n"/>
      <c r="M827" s="1842" t="n"/>
      <c r="N827" s="1842" t="n"/>
      <c r="O827" s="1842" t="n"/>
      <c r="P827" s="1842" t="n"/>
      <c r="Q827" s="1842" t="n"/>
      <c r="R827" s="1842" t="n"/>
      <c r="S827" s="1842" t="n"/>
      <c r="T827" s="1842" t="n"/>
      <c r="U827" s="1842" t="n"/>
      <c r="V827" s="1842" t="n"/>
      <c r="W827" s="1842" t="n"/>
      <c r="X827" s="1842" t="n"/>
      <c r="Y827" s="1842" t="n"/>
      <c r="Z827" s="1842" t="n"/>
      <c r="AA827" s="1842" t="n"/>
      <c r="AB827" s="1842" t="n"/>
      <c r="AC827" s="1842" t="n"/>
      <c r="AD827" s="1842" t="n"/>
      <c r="AE827" s="1842" t="n"/>
      <c r="AF827" s="1842" t="n"/>
    </row>
    <row r="828" ht="13.5" customHeight="1" s="1883">
      <c r="A828" s="1842" t="n"/>
      <c r="B828" s="1842" t="n"/>
      <c r="C828" s="1842" t="n"/>
      <c r="D828" s="1842" t="n"/>
      <c r="E828" s="1842" t="n"/>
      <c r="F828" s="1842" t="n"/>
      <c r="G828" s="1842" t="n"/>
      <c r="H828" s="1842" t="n"/>
      <c r="I828" s="1842" t="n"/>
      <c r="J828" s="1842" t="n"/>
      <c r="K828" s="1842" t="n"/>
      <c r="L828" s="1842" t="n"/>
      <c r="M828" s="1842" t="n"/>
      <c r="N828" s="1842" t="n"/>
      <c r="O828" s="1842" t="n"/>
      <c r="P828" s="1842" t="n"/>
      <c r="Q828" s="1842" t="n"/>
      <c r="R828" s="1842" t="n"/>
      <c r="S828" s="1842" t="n"/>
      <c r="T828" s="1842" t="n"/>
      <c r="U828" s="1842" t="n"/>
      <c r="V828" s="1842" t="n"/>
      <c r="W828" s="1842" t="n"/>
      <c r="X828" s="1842" t="n"/>
      <c r="Y828" s="1842" t="n"/>
      <c r="Z828" s="1842" t="n"/>
      <c r="AA828" s="1842" t="n"/>
      <c r="AB828" s="1842" t="n"/>
      <c r="AC828" s="1842" t="n"/>
      <c r="AD828" s="1842" t="n"/>
      <c r="AE828" s="1842" t="n"/>
      <c r="AF828" s="1842" t="n"/>
    </row>
    <row r="829" ht="13.5" customHeight="1" s="1883">
      <c r="A829" s="1842" t="n"/>
      <c r="B829" s="1842" t="n"/>
      <c r="C829" s="1842" t="n"/>
      <c r="D829" s="1842" t="n"/>
      <c r="E829" s="1842" t="n"/>
      <c r="F829" s="1842" t="n"/>
      <c r="G829" s="1842" t="n"/>
      <c r="H829" s="1842" t="n"/>
      <c r="I829" s="1842" t="n"/>
      <c r="J829" s="1842" t="n"/>
      <c r="K829" s="1842" t="n"/>
      <c r="L829" s="1842" t="n"/>
      <c r="M829" s="1842" t="n"/>
      <c r="N829" s="1842" t="n"/>
      <c r="O829" s="1842" t="n"/>
      <c r="P829" s="1842" t="n"/>
      <c r="Q829" s="1842" t="n"/>
      <c r="R829" s="1842" t="n"/>
      <c r="S829" s="1842" t="n"/>
      <c r="T829" s="1842" t="n"/>
      <c r="U829" s="1842" t="n"/>
      <c r="V829" s="1842" t="n"/>
      <c r="W829" s="1842" t="n"/>
      <c r="X829" s="1842" t="n"/>
      <c r="Y829" s="1842" t="n"/>
      <c r="Z829" s="1842" t="n"/>
      <c r="AA829" s="1842" t="n"/>
      <c r="AB829" s="1842" t="n"/>
      <c r="AC829" s="1842" t="n"/>
      <c r="AD829" s="1842" t="n"/>
      <c r="AE829" s="1842" t="n"/>
      <c r="AF829" s="1842" t="n"/>
    </row>
    <row r="830" ht="13.5" customHeight="1" s="1883">
      <c r="A830" s="1842" t="n"/>
      <c r="B830" s="1842" t="n"/>
      <c r="C830" s="1842" t="n"/>
      <c r="D830" s="1842" t="n"/>
      <c r="E830" s="1842" t="n"/>
      <c r="F830" s="1842" t="n"/>
      <c r="G830" s="1842" t="n"/>
      <c r="H830" s="1842" t="n"/>
      <c r="I830" s="1842" t="n"/>
      <c r="J830" s="1842" t="n"/>
      <c r="K830" s="1842" t="n"/>
      <c r="L830" s="1842" t="n"/>
      <c r="M830" s="1842" t="n"/>
      <c r="N830" s="1842" t="n"/>
      <c r="O830" s="1842" t="n"/>
      <c r="P830" s="1842" t="n"/>
      <c r="Q830" s="1842" t="n"/>
      <c r="R830" s="1842" t="n"/>
      <c r="S830" s="1842" t="n"/>
      <c r="T830" s="1842" t="n"/>
      <c r="U830" s="1842" t="n"/>
      <c r="V830" s="1842" t="n"/>
      <c r="W830" s="1842" t="n"/>
      <c r="X830" s="1842" t="n"/>
      <c r="Y830" s="1842" t="n"/>
      <c r="Z830" s="1842" t="n"/>
      <c r="AA830" s="1842" t="n"/>
      <c r="AB830" s="1842" t="n"/>
      <c r="AC830" s="1842" t="n"/>
      <c r="AD830" s="1842" t="n"/>
      <c r="AE830" s="1842" t="n"/>
      <c r="AF830" s="1842" t="n"/>
    </row>
    <row r="831" ht="13.5" customHeight="1" s="1883">
      <c r="A831" s="1842" t="n"/>
      <c r="B831" s="1842" t="n"/>
      <c r="C831" s="1842" t="n"/>
      <c r="D831" s="1842" t="n"/>
      <c r="E831" s="1842" t="n"/>
      <c r="F831" s="1842" t="n"/>
      <c r="G831" s="1842" t="n"/>
      <c r="H831" s="1842" t="n"/>
      <c r="I831" s="1842" t="n"/>
      <c r="J831" s="1842" t="n"/>
      <c r="K831" s="1842" t="n"/>
      <c r="L831" s="1842" t="n"/>
      <c r="M831" s="1842" t="n"/>
      <c r="N831" s="1842" t="n"/>
      <c r="O831" s="1842" t="n"/>
      <c r="P831" s="1842" t="n"/>
      <c r="Q831" s="1842" t="n"/>
      <c r="R831" s="1842" t="n"/>
      <c r="S831" s="1842" t="n"/>
      <c r="T831" s="1842" t="n"/>
      <c r="U831" s="1842" t="n"/>
      <c r="V831" s="1842" t="n"/>
      <c r="W831" s="1842" t="n"/>
      <c r="X831" s="1842" t="n"/>
      <c r="Y831" s="1842" t="n"/>
      <c r="Z831" s="1842" t="n"/>
      <c r="AA831" s="1842" t="n"/>
      <c r="AB831" s="1842" t="n"/>
      <c r="AC831" s="1842" t="n"/>
      <c r="AD831" s="1842" t="n"/>
      <c r="AE831" s="1842" t="n"/>
      <c r="AF831" s="1842" t="n"/>
    </row>
    <row r="832" ht="13.5" customHeight="1" s="1883">
      <c r="A832" s="1842" t="n"/>
      <c r="B832" s="1842" t="n"/>
      <c r="C832" s="1842" t="n"/>
      <c r="D832" s="1842" t="n"/>
      <c r="E832" s="1842" t="n"/>
      <c r="F832" s="1842" t="n"/>
      <c r="G832" s="1842" t="n"/>
      <c r="H832" s="1842" t="n"/>
      <c r="I832" s="1842" t="n"/>
      <c r="J832" s="1842" t="n"/>
      <c r="K832" s="1842" t="n"/>
      <c r="L832" s="1842" t="n"/>
      <c r="M832" s="1842" t="n"/>
      <c r="N832" s="1842" t="n"/>
      <c r="O832" s="1842" t="n"/>
      <c r="P832" s="1842" t="n"/>
      <c r="Q832" s="1842" t="n"/>
      <c r="R832" s="1842" t="n"/>
      <c r="S832" s="1842" t="n"/>
      <c r="T832" s="1842" t="n"/>
      <c r="U832" s="1842" t="n"/>
      <c r="V832" s="1842" t="n"/>
      <c r="W832" s="1842" t="n"/>
      <c r="X832" s="1842" t="n"/>
      <c r="Y832" s="1842" t="n"/>
      <c r="Z832" s="1842" t="n"/>
      <c r="AA832" s="1842" t="n"/>
      <c r="AB832" s="1842" t="n"/>
      <c r="AC832" s="1842" t="n"/>
      <c r="AD832" s="1842" t="n"/>
      <c r="AE832" s="1842" t="n"/>
      <c r="AF832" s="1842" t="n"/>
    </row>
    <row r="833" ht="13.5" customHeight="1" s="1883">
      <c r="A833" s="1842" t="n"/>
      <c r="B833" s="1842" t="n"/>
      <c r="C833" s="1842" t="n"/>
      <c r="D833" s="1842" t="n"/>
      <c r="E833" s="1842" t="n"/>
      <c r="F833" s="1842" t="n"/>
      <c r="G833" s="1842" t="n"/>
      <c r="H833" s="1842" t="n"/>
      <c r="I833" s="1842" t="n"/>
      <c r="J833" s="1842" t="n"/>
      <c r="K833" s="1842" t="n"/>
      <c r="L833" s="1842" t="n"/>
      <c r="M833" s="1842" t="n"/>
      <c r="N833" s="1842" t="n"/>
      <c r="O833" s="1842" t="n"/>
      <c r="P833" s="1842" t="n"/>
      <c r="Q833" s="1842" t="n"/>
      <c r="R833" s="1842" t="n"/>
      <c r="S833" s="1842" t="n"/>
      <c r="T833" s="1842" t="n"/>
      <c r="U833" s="1842" t="n"/>
      <c r="V833" s="1842" t="n"/>
      <c r="W833" s="1842" t="n"/>
      <c r="X833" s="1842" t="n"/>
      <c r="Y833" s="1842" t="n"/>
      <c r="Z833" s="1842" t="n"/>
      <c r="AA833" s="1842" t="n"/>
      <c r="AB833" s="1842" t="n"/>
      <c r="AC833" s="1842" t="n"/>
      <c r="AD833" s="1842" t="n"/>
      <c r="AE833" s="1842" t="n"/>
      <c r="AF833" s="1842" t="n"/>
    </row>
    <row r="834" ht="13.5" customHeight="1" s="1883">
      <c r="A834" s="1842" t="n"/>
      <c r="B834" s="1842" t="n"/>
      <c r="C834" s="1842" t="n"/>
      <c r="D834" s="1842" t="n"/>
      <c r="E834" s="1842" t="n"/>
      <c r="F834" s="1842" t="n"/>
      <c r="G834" s="1842" t="n"/>
      <c r="H834" s="1842" t="n"/>
      <c r="I834" s="1842" t="n"/>
      <c r="J834" s="1842" t="n"/>
      <c r="K834" s="1842" t="n"/>
      <c r="L834" s="1842" t="n"/>
      <c r="M834" s="1842" t="n"/>
      <c r="N834" s="1842" t="n"/>
      <c r="O834" s="1842" t="n"/>
      <c r="P834" s="1842" t="n"/>
      <c r="Q834" s="1842" t="n"/>
      <c r="R834" s="1842" t="n"/>
      <c r="S834" s="1842" t="n"/>
      <c r="T834" s="1842" t="n"/>
      <c r="U834" s="1842" t="n"/>
      <c r="V834" s="1842" t="n"/>
      <c r="W834" s="1842" t="n"/>
      <c r="X834" s="1842" t="n"/>
      <c r="Y834" s="1842" t="n"/>
      <c r="Z834" s="1842" t="n"/>
      <c r="AA834" s="1842" t="n"/>
      <c r="AB834" s="1842" t="n"/>
      <c r="AC834" s="1842" t="n"/>
      <c r="AD834" s="1842" t="n"/>
      <c r="AE834" s="1842" t="n"/>
      <c r="AF834" s="1842" t="n"/>
    </row>
    <row r="835" ht="13.5" customHeight="1" s="1883">
      <c r="A835" s="1842" t="n"/>
      <c r="B835" s="1842" t="n"/>
      <c r="C835" s="1842" t="n"/>
      <c r="D835" s="1842" t="n"/>
      <c r="E835" s="1842" t="n"/>
      <c r="F835" s="1842" t="n"/>
      <c r="G835" s="1842" t="n"/>
      <c r="H835" s="1842" t="n"/>
      <c r="I835" s="1842" t="n"/>
      <c r="J835" s="1842" t="n"/>
      <c r="K835" s="1842" t="n"/>
      <c r="L835" s="1842" t="n"/>
      <c r="M835" s="1842" t="n"/>
      <c r="N835" s="1842" t="n"/>
      <c r="O835" s="1842" t="n"/>
      <c r="P835" s="1842" t="n"/>
      <c r="Q835" s="1842" t="n"/>
      <c r="R835" s="1842" t="n"/>
      <c r="S835" s="1842" t="n"/>
      <c r="T835" s="1842" t="n"/>
      <c r="U835" s="1842" t="n"/>
      <c r="V835" s="1842" t="n"/>
      <c r="W835" s="1842" t="n"/>
      <c r="X835" s="1842" t="n"/>
      <c r="Y835" s="1842" t="n"/>
      <c r="Z835" s="1842" t="n"/>
      <c r="AA835" s="1842" t="n"/>
      <c r="AB835" s="1842" t="n"/>
      <c r="AC835" s="1842" t="n"/>
      <c r="AD835" s="1842" t="n"/>
      <c r="AE835" s="1842" t="n"/>
      <c r="AF835" s="1842" t="n"/>
    </row>
    <row r="836" ht="13.5" customHeight="1" s="1883">
      <c r="A836" s="1842" t="n"/>
      <c r="B836" s="1842" t="n"/>
      <c r="C836" s="1842" t="n"/>
      <c r="D836" s="1842" t="n"/>
      <c r="E836" s="1842" t="n"/>
      <c r="F836" s="1842" t="n"/>
      <c r="G836" s="1842" t="n"/>
      <c r="H836" s="1842" t="n"/>
      <c r="I836" s="1842" t="n"/>
      <c r="J836" s="1842" t="n"/>
      <c r="K836" s="1842" t="n"/>
      <c r="L836" s="1842" t="n"/>
      <c r="M836" s="1842" t="n"/>
      <c r="N836" s="1842" t="n"/>
      <c r="O836" s="1842" t="n"/>
      <c r="P836" s="1842" t="n"/>
      <c r="Q836" s="1842" t="n"/>
      <c r="R836" s="1842" t="n"/>
      <c r="S836" s="1842" t="n"/>
      <c r="T836" s="1842" t="n"/>
      <c r="U836" s="1842" t="n"/>
      <c r="V836" s="1842" t="n"/>
      <c r="W836" s="1842" t="n"/>
      <c r="X836" s="1842" t="n"/>
      <c r="Y836" s="1842" t="n"/>
      <c r="Z836" s="1842" t="n"/>
      <c r="AA836" s="1842" t="n"/>
      <c r="AB836" s="1842" t="n"/>
      <c r="AC836" s="1842" t="n"/>
      <c r="AD836" s="1842" t="n"/>
      <c r="AE836" s="1842" t="n"/>
      <c r="AF836" s="1842" t="n"/>
    </row>
    <row r="837" ht="13.5" customHeight="1" s="1883">
      <c r="A837" s="1842" t="n"/>
      <c r="B837" s="1842" t="n"/>
      <c r="C837" s="1842" t="n"/>
      <c r="D837" s="1842" t="n"/>
      <c r="E837" s="1842" t="n"/>
      <c r="F837" s="1842" t="n"/>
      <c r="G837" s="1842" t="n"/>
      <c r="H837" s="1842" t="n"/>
      <c r="I837" s="1842" t="n"/>
      <c r="J837" s="1842" t="n"/>
      <c r="K837" s="1842" t="n"/>
      <c r="L837" s="1842" t="n"/>
      <c r="M837" s="1842" t="n"/>
      <c r="N837" s="1842" t="n"/>
      <c r="O837" s="1842" t="n"/>
      <c r="P837" s="1842" t="n"/>
      <c r="Q837" s="1842" t="n"/>
      <c r="R837" s="1842" t="n"/>
      <c r="S837" s="1842" t="n"/>
      <c r="T837" s="1842" t="n"/>
      <c r="U837" s="1842" t="n"/>
      <c r="V837" s="1842" t="n"/>
      <c r="W837" s="1842" t="n"/>
      <c r="X837" s="1842" t="n"/>
      <c r="Y837" s="1842" t="n"/>
      <c r="Z837" s="1842" t="n"/>
      <c r="AA837" s="1842" t="n"/>
      <c r="AB837" s="1842" t="n"/>
      <c r="AC837" s="1842" t="n"/>
      <c r="AD837" s="1842" t="n"/>
      <c r="AE837" s="1842" t="n"/>
      <c r="AF837" s="1842" t="n"/>
    </row>
    <row r="838" ht="13.5" customHeight="1" s="1883">
      <c r="A838" s="1842" t="n"/>
      <c r="B838" s="1842" t="n"/>
      <c r="C838" s="1842" t="n"/>
      <c r="D838" s="1842" t="n"/>
      <c r="E838" s="1842" t="n"/>
      <c r="F838" s="1842" t="n"/>
      <c r="G838" s="1842" t="n"/>
      <c r="H838" s="1842" t="n"/>
      <c r="I838" s="1842" t="n"/>
      <c r="J838" s="1842" t="n"/>
      <c r="K838" s="1842" t="n"/>
      <c r="L838" s="1842" t="n"/>
      <c r="M838" s="1842" t="n"/>
      <c r="N838" s="1842" t="n"/>
      <c r="O838" s="1842" t="n"/>
      <c r="P838" s="1842" t="n"/>
      <c r="Q838" s="1842" t="n"/>
      <c r="R838" s="1842" t="n"/>
      <c r="S838" s="1842" t="n"/>
      <c r="T838" s="1842" t="n"/>
      <c r="U838" s="1842" t="n"/>
      <c r="V838" s="1842" t="n"/>
      <c r="W838" s="1842" t="n"/>
      <c r="X838" s="1842" t="n"/>
      <c r="Y838" s="1842" t="n"/>
      <c r="Z838" s="1842" t="n"/>
      <c r="AA838" s="1842" t="n"/>
      <c r="AB838" s="1842" t="n"/>
      <c r="AC838" s="1842" t="n"/>
      <c r="AD838" s="1842" t="n"/>
      <c r="AE838" s="1842" t="n"/>
      <c r="AF838" s="1842" t="n"/>
    </row>
    <row r="839" ht="13.5" customHeight="1" s="1883">
      <c r="A839" s="1842" t="n"/>
      <c r="B839" s="1842" t="n"/>
      <c r="C839" s="1842" t="n"/>
      <c r="D839" s="1842" t="n"/>
      <c r="E839" s="1842" t="n"/>
      <c r="F839" s="1842" t="n"/>
      <c r="G839" s="1842" t="n"/>
      <c r="H839" s="1842" t="n"/>
      <c r="I839" s="1842" t="n"/>
      <c r="J839" s="1842" t="n"/>
      <c r="K839" s="1842" t="n"/>
      <c r="L839" s="1842" t="n"/>
      <c r="M839" s="1842" t="n"/>
      <c r="N839" s="1842" t="n"/>
      <c r="O839" s="1842" t="n"/>
      <c r="P839" s="1842" t="n"/>
      <c r="Q839" s="1842" t="n"/>
      <c r="R839" s="1842" t="n"/>
      <c r="S839" s="1842" t="n"/>
      <c r="T839" s="1842" t="n"/>
      <c r="U839" s="1842" t="n"/>
      <c r="V839" s="1842" t="n"/>
      <c r="W839" s="1842" t="n"/>
      <c r="X839" s="1842" t="n"/>
      <c r="Y839" s="1842" t="n"/>
      <c r="Z839" s="1842" t="n"/>
      <c r="AA839" s="1842" t="n"/>
      <c r="AB839" s="1842" t="n"/>
      <c r="AC839" s="1842" t="n"/>
      <c r="AD839" s="1842" t="n"/>
      <c r="AE839" s="1842" t="n"/>
      <c r="AF839" s="1842" t="n"/>
    </row>
    <row r="840" ht="13.5" customHeight="1" s="1883">
      <c r="A840" s="1842" t="n"/>
      <c r="B840" s="1842" t="n"/>
      <c r="C840" s="1842" t="n"/>
      <c r="D840" s="1842" t="n"/>
      <c r="E840" s="1842" t="n"/>
      <c r="F840" s="1842" t="n"/>
      <c r="G840" s="1842" t="n"/>
      <c r="H840" s="1842" t="n"/>
      <c r="I840" s="1842" t="n"/>
      <c r="J840" s="1842" t="n"/>
      <c r="K840" s="1842" t="n"/>
      <c r="L840" s="1842" t="n"/>
      <c r="M840" s="1842" t="n"/>
      <c r="N840" s="1842" t="n"/>
      <c r="O840" s="1842" t="n"/>
      <c r="P840" s="1842" t="n"/>
      <c r="Q840" s="1842" t="n"/>
      <c r="R840" s="1842" t="n"/>
      <c r="S840" s="1842" t="n"/>
      <c r="T840" s="1842" t="n"/>
      <c r="U840" s="1842" t="n"/>
      <c r="V840" s="1842" t="n"/>
      <c r="W840" s="1842" t="n"/>
      <c r="X840" s="1842" t="n"/>
      <c r="Y840" s="1842" t="n"/>
      <c r="Z840" s="1842" t="n"/>
      <c r="AA840" s="1842" t="n"/>
      <c r="AB840" s="1842" t="n"/>
      <c r="AC840" s="1842" t="n"/>
      <c r="AD840" s="1842" t="n"/>
      <c r="AE840" s="1842" t="n"/>
      <c r="AF840" s="1842" t="n"/>
    </row>
    <row r="841" ht="13.5" customHeight="1" s="1883">
      <c r="A841" s="1842" t="n"/>
      <c r="B841" s="1842" t="n"/>
      <c r="C841" s="1842" t="n"/>
      <c r="D841" s="1842" t="n"/>
      <c r="E841" s="1842" t="n"/>
      <c r="F841" s="1842" t="n"/>
      <c r="G841" s="1842" t="n"/>
      <c r="H841" s="1842" t="n"/>
      <c r="I841" s="1842" t="n"/>
      <c r="J841" s="1842" t="n"/>
      <c r="K841" s="1842" t="n"/>
      <c r="L841" s="1842" t="n"/>
      <c r="M841" s="1842" t="n"/>
      <c r="N841" s="1842" t="n"/>
      <c r="O841" s="1842" t="n"/>
      <c r="P841" s="1842" t="n"/>
      <c r="Q841" s="1842" t="n"/>
      <c r="R841" s="1842" t="n"/>
      <c r="S841" s="1842" t="n"/>
      <c r="T841" s="1842" t="n"/>
      <c r="U841" s="1842" t="n"/>
      <c r="V841" s="1842" t="n"/>
      <c r="W841" s="1842" t="n"/>
      <c r="X841" s="1842" t="n"/>
      <c r="Y841" s="1842" t="n"/>
      <c r="Z841" s="1842" t="n"/>
      <c r="AA841" s="1842" t="n"/>
      <c r="AB841" s="1842" t="n"/>
      <c r="AC841" s="1842" t="n"/>
      <c r="AD841" s="1842" t="n"/>
      <c r="AE841" s="1842" t="n"/>
      <c r="AF841" s="1842" t="n"/>
    </row>
    <row r="842" ht="13.5" customHeight="1" s="1883">
      <c r="A842" s="1842" t="n"/>
      <c r="B842" s="1842" t="n"/>
      <c r="C842" s="1842" t="n"/>
      <c r="D842" s="1842" t="n"/>
      <c r="E842" s="1842" t="n"/>
      <c r="F842" s="1842" t="n"/>
      <c r="G842" s="1842" t="n"/>
      <c r="H842" s="1842" t="n"/>
      <c r="I842" s="1842" t="n"/>
      <c r="J842" s="1842" t="n"/>
      <c r="K842" s="1842" t="n"/>
      <c r="L842" s="1842" t="n"/>
      <c r="M842" s="1842" t="n"/>
      <c r="N842" s="1842" t="n"/>
      <c r="O842" s="1842" t="n"/>
      <c r="P842" s="1842" t="n"/>
      <c r="Q842" s="1842" t="n"/>
      <c r="R842" s="1842" t="n"/>
      <c r="S842" s="1842" t="n"/>
      <c r="T842" s="1842" t="n"/>
      <c r="U842" s="1842" t="n"/>
      <c r="V842" s="1842" t="n"/>
      <c r="W842" s="1842" t="n"/>
      <c r="X842" s="1842" t="n"/>
      <c r="Y842" s="1842" t="n"/>
      <c r="Z842" s="1842" t="n"/>
      <c r="AA842" s="1842" t="n"/>
      <c r="AB842" s="1842" t="n"/>
      <c r="AC842" s="1842" t="n"/>
      <c r="AD842" s="1842" t="n"/>
      <c r="AE842" s="1842" t="n"/>
      <c r="AF842" s="1842" t="n"/>
    </row>
    <row r="843" ht="13.5" customHeight="1" s="1883">
      <c r="A843" s="1842" t="n"/>
      <c r="B843" s="1842" t="n"/>
      <c r="C843" s="1842" t="n"/>
      <c r="D843" s="1842" t="n"/>
      <c r="E843" s="1842" t="n"/>
      <c r="F843" s="1842" t="n"/>
      <c r="G843" s="1842" t="n"/>
      <c r="H843" s="1842" t="n"/>
      <c r="I843" s="1842" t="n"/>
      <c r="J843" s="1842" t="n"/>
      <c r="K843" s="1842" t="n"/>
      <c r="L843" s="1842" t="n"/>
      <c r="M843" s="1842" t="n"/>
      <c r="N843" s="1842" t="n"/>
      <c r="O843" s="1842" t="n"/>
      <c r="P843" s="1842" t="n"/>
      <c r="Q843" s="1842" t="n"/>
      <c r="R843" s="1842" t="n"/>
      <c r="S843" s="1842" t="n"/>
      <c r="T843" s="1842" t="n"/>
      <c r="U843" s="1842" t="n"/>
      <c r="V843" s="1842" t="n"/>
      <c r="W843" s="1842" t="n"/>
      <c r="X843" s="1842" t="n"/>
      <c r="Y843" s="1842" t="n"/>
      <c r="Z843" s="1842" t="n"/>
      <c r="AA843" s="1842" t="n"/>
      <c r="AB843" s="1842" t="n"/>
      <c r="AC843" s="1842" t="n"/>
      <c r="AD843" s="1842" t="n"/>
      <c r="AE843" s="1842" t="n"/>
      <c r="AF843" s="1842" t="n"/>
    </row>
    <row r="844" ht="13.5" customHeight="1" s="1883">
      <c r="A844" s="1842" t="n"/>
      <c r="B844" s="1842" t="n"/>
      <c r="C844" s="1842" t="n"/>
      <c r="D844" s="1842" t="n"/>
      <c r="E844" s="1842" t="n"/>
      <c r="F844" s="1842" t="n"/>
      <c r="G844" s="1842" t="n"/>
      <c r="H844" s="1842" t="n"/>
      <c r="I844" s="1842" t="n"/>
      <c r="J844" s="1842" t="n"/>
      <c r="K844" s="1842" t="n"/>
      <c r="L844" s="1842" t="n"/>
      <c r="M844" s="1842" t="n"/>
      <c r="N844" s="1842" t="n"/>
      <c r="O844" s="1842" t="n"/>
      <c r="P844" s="1842" t="n"/>
      <c r="Q844" s="1842" t="n"/>
      <c r="R844" s="1842" t="n"/>
      <c r="S844" s="1842" t="n"/>
      <c r="T844" s="1842" t="n"/>
      <c r="U844" s="1842" t="n"/>
      <c r="V844" s="1842" t="n"/>
      <c r="W844" s="1842" t="n"/>
      <c r="X844" s="1842" t="n"/>
      <c r="Y844" s="1842" t="n"/>
      <c r="Z844" s="1842" t="n"/>
      <c r="AA844" s="1842" t="n"/>
      <c r="AB844" s="1842" t="n"/>
      <c r="AC844" s="1842" t="n"/>
      <c r="AD844" s="1842" t="n"/>
      <c r="AE844" s="1842" t="n"/>
      <c r="AF844" s="1842" t="n"/>
    </row>
    <row r="845" ht="13.5" customHeight="1" s="1883">
      <c r="A845" s="1842" t="n"/>
      <c r="B845" s="1842" t="n"/>
      <c r="C845" s="1842" t="n"/>
      <c r="D845" s="1842" t="n"/>
      <c r="E845" s="1842" t="n"/>
      <c r="F845" s="1842" t="n"/>
      <c r="G845" s="1842" t="n"/>
      <c r="H845" s="1842" t="n"/>
      <c r="I845" s="1842" t="n"/>
      <c r="J845" s="1842" t="n"/>
      <c r="K845" s="1842" t="n"/>
      <c r="L845" s="1842" t="n"/>
      <c r="M845" s="1842" t="n"/>
      <c r="N845" s="1842" t="n"/>
      <c r="O845" s="1842" t="n"/>
      <c r="P845" s="1842" t="n"/>
      <c r="Q845" s="1842" t="n"/>
      <c r="R845" s="1842" t="n"/>
      <c r="S845" s="1842" t="n"/>
      <c r="T845" s="1842" t="n"/>
      <c r="U845" s="1842" t="n"/>
      <c r="V845" s="1842" t="n"/>
      <c r="W845" s="1842" t="n"/>
      <c r="X845" s="1842" t="n"/>
      <c r="Y845" s="1842" t="n"/>
      <c r="Z845" s="1842" t="n"/>
      <c r="AA845" s="1842" t="n"/>
      <c r="AB845" s="1842" t="n"/>
      <c r="AC845" s="1842" t="n"/>
      <c r="AD845" s="1842" t="n"/>
      <c r="AE845" s="1842" t="n"/>
      <c r="AF845" s="1842" t="n"/>
    </row>
    <row r="846" ht="13.5" customHeight="1" s="1883">
      <c r="A846" s="1842" t="n"/>
      <c r="B846" s="1842" t="n"/>
      <c r="C846" s="1842" t="n"/>
      <c r="D846" s="1842" t="n"/>
      <c r="E846" s="1842" t="n"/>
      <c r="F846" s="1842" t="n"/>
      <c r="G846" s="1842" t="n"/>
      <c r="H846" s="1842" t="n"/>
      <c r="I846" s="1842" t="n"/>
      <c r="J846" s="1842" t="n"/>
      <c r="K846" s="1842" t="n"/>
      <c r="L846" s="1842" t="n"/>
      <c r="M846" s="1842" t="n"/>
      <c r="N846" s="1842" t="n"/>
      <c r="O846" s="1842" t="n"/>
      <c r="P846" s="1842" t="n"/>
      <c r="Q846" s="1842" t="n"/>
      <c r="R846" s="1842" t="n"/>
      <c r="S846" s="1842" t="n"/>
      <c r="T846" s="1842" t="n"/>
      <c r="U846" s="1842" t="n"/>
      <c r="V846" s="1842" t="n"/>
      <c r="W846" s="1842" t="n"/>
      <c r="X846" s="1842" t="n"/>
      <c r="Y846" s="1842" t="n"/>
      <c r="Z846" s="1842" t="n"/>
      <c r="AA846" s="1842" t="n"/>
      <c r="AB846" s="1842" t="n"/>
      <c r="AC846" s="1842" t="n"/>
      <c r="AD846" s="1842" t="n"/>
      <c r="AE846" s="1842" t="n"/>
      <c r="AF846" s="1842" t="n"/>
    </row>
    <row r="847" ht="13.5" customHeight="1" s="1883">
      <c r="A847" s="1842" t="n"/>
      <c r="B847" s="1842" t="n"/>
      <c r="C847" s="1842" t="n"/>
      <c r="D847" s="1842" t="n"/>
      <c r="E847" s="1842" t="n"/>
      <c r="F847" s="1842" t="n"/>
      <c r="G847" s="1842" t="n"/>
      <c r="H847" s="1842" t="n"/>
      <c r="I847" s="1842" t="n"/>
      <c r="J847" s="1842" t="n"/>
      <c r="K847" s="1842" t="n"/>
      <c r="L847" s="1842" t="n"/>
      <c r="M847" s="1842" t="n"/>
      <c r="N847" s="1842" t="n"/>
      <c r="O847" s="1842" t="n"/>
      <c r="P847" s="1842" t="n"/>
      <c r="Q847" s="1842" t="n"/>
      <c r="R847" s="1842" t="n"/>
      <c r="S847" s="1842" t="n"/>
      <c r="T847" s="1842" t="n"/>
      <c r="U847" s="1842" t="n"/>
      <c r="V847" s="1842" t="n"/>
      <c r="W847" s="1842" t="n"/>
      <c r="X847" s="1842" t="n"/>
      <c r="Y847" s="1842" t="n"/>
      <c r="Z847" s="1842" t="n"/>
      <c r="AA847" s="1842" t="n"/>
      <c r="AB847" s="1842" t="n"/>
      <c r="AC847" s="1842" t="n"/>
      <c r="AD847" s="1842" t="n"/>
      <c r="AE847" s="1842" t="n"/>
      <c r="AF847" s="1842" t="n"/>
    </row>
    <row r="848" ht="13.5" customHeight="1" s="1883">
      <c r="A848" s="1842" t="n"/>
      <c r="B848" s="1842" t="n"/>
      <c r="C848" s="1842" t="n"/>
      <c r="D848" s="1842" t="n"/>
      <c r="E848" s="1842" t="n"/>
      <c r="F848" s="1842" t="n"/>
      <c r="G848" s="1842" t="n"/>
      <c r="H848" s="1842" t="n"/>
      <c r="I848" s="1842" t="n"/>
      <c r="J848" s="1842" t="n"/>
      <c r="K848" s="1842" t="n"/>
      <c r="L848" s="1842" t="n"/>
      <c r="M848" s="1842" t="n"/>
      <c r="N848" s="1842" t="n"/>
      <c r="O848" s="1842" t="n"/>
      <c r="P848" s="1842" t="n"/>
      <c r="Q848" s="1842" t="n"/>
      <c r="R848" s="1842" t="n"/>
      <c r="S848" s="1842" t="n"/>
      <c r="T848" s="1842" t="n"/>
      <c r="U848" s="1842" t="n"/>
      <c r="V848" s="1842" t="n"/>
      <c r="W848" s="1842" t="n"/>
      <c r="X848" s="1842" t="n"/>
      <c r="Y848" s="1842" t="n"/>
      <c r="Z848" s="1842" t="n"/>
      <c r="AA848" s="1842" t="n"/>
      <c r="AB848" s="1842" t="n"/>
      <c r="AC848" s="1842" t="n"/>
      <c r="AD848" s="1842" t="n"/>
      <c r="AE848" s="1842" t="n"/>
      <c r="AF848" s="1842" t="n"/>
    </row>
    <row r="849" ht="13.5" customHeight="1" s="1883">
      <c r="A849" s="1842" t="n"/>
      <c r="B849" s="1842" t="n"/>
      <c r="C849" s="1842" t="n"/>
      <c r="D849" s="1842" t="n"/>
      <c r="E849" s="1842" t="n"/>
      <c r="F849" s="1842" t="n"/>
      <c r="G849" s="1842" t="n"/>
      <c r="H849" s="1842" t="n"/>
      <c r="I849" s="1842" t="n"/>
      <c r="J849" s="1842" t="n"/>
      <c r="K849" s="1842" t="n"/>
      <c r="L849" s="1842" t="n"/>
      <c r="M849" s="1842" t="n"/>
      <c r="N849" s="1842" t="n"/>
      <c r="O849" s="1842" t="n"/>
      <c r="P849" s="1842" t="n"/>
      <c r="Q849" s="1842" t="n"/>
      <c r="R849" s="1842" t="n"/>
      <c r="S849" s="1842" t="n"/>
      <c r="T849" s="1842" t="n"/>
      <c r="U849" s="1842" t="n"/>
      <c r="V849" s="1842" t="n"/>
      <c r="W849" s="1842" t="n"/>
      <c r="X849" s="1842" t="n"/>
      <c r="Y849" s="1842" t="n"/>
      <c r="Z849" s="1842" t="n"/>
      <c r="AA849" s="1842" t="n"/>
      <c r="AB849" s="1842" t="n"/>
      <c r="AC849" s="1842" t="n"/>
      <c r="AD849" s="1842" t="n"/>
      <c r="AE849" s="1842" t="n"/>
      <c r="AF849" s="1842" t="n"/>
    </row>
    <row r="850" ht="13.5" customHeight="1" s="1883">
      <c r="A850" s="1842" t="n"/>
      <c r="B850" s="1842" t="n"/>
      <c r="C850" s="1842" t="n"/>
      <c r="D850" s="1842" t="n"/>
      <c r="E850" s="1842" t="n"/>
      <c r="F850" s="1842" t="n"/>
      <c r="G850" s="1842" t="n"/>
      <c r="H850" s="1842" t="n"/>
      <c r="I850" s="1842" t="n"/>
      <c r="J850" s="1842" t="n"/>
      <c r="K850" s="1842" t="n"/>
      <c r="L850" s="1842" t="n"/>
      <c r="M850" s="1842" t="n"/>
      <c r="N850" s="1842" t="n"/>
      <c r="O850" s="1842" t="n"/>
      <c r="P850" s="1842" t="n"/>
      <c r="Q850" s="1842" t="n"/>
      <c r="R850" s="1842" t="n"/>
      <c r="S850" s="1842" t="n"/>
      <c r="T850" s="1842" t="n"/>
      <c r="U850" s="1842" t="n"/>
      <c r="V850" s="1842" t="n"/>
      <c r="W850" s="1842" t="n"/>
      <c r="X850" s="1842" t="n"/>
      <c r="Y850" s="1842" t="n"/>
      <c r="Z850" s="1842" t="n"/>
      <c r="AA850" s="1842" t="n"/>
      <c r="AB850" s="1842" t="n"/>
      <c r="AC850" s="1842" t="n"/>
      <c r="AD850" s="1842" t="n"/>
      <c r="AE850" s="1842" t="n"/>
      <c r="AF850" s="1842" t="n"/>
    </row>
    <row r="851" ht="13.5" customHeight="1" s="1883">
      <c r="A851" s="1842" t="n"/>
      <c r="B851" s="1842" t="n"/>
      <c r="C851" s="1842" t="n"/>
      <c r="D851" s="1842" t="n"/>
      <c r="E851" s="1842" t="n"/>
      <c r="F851" s="1842" t="n"/>
      <c r="G851" s="1842" t="n"/>
      <c r="H851" s="1842" t="n"/>
      <c r="I851" s="1842" t="n"/>
      <c r="J851" s="1842" t="n"/>
      <c r="K851" s="1842" t="n"/>
      <c r="L851" s="1842" t="n"/>
      <c r="M851" s="1842" t="n"/>
      <c r="N851" s="1842" t="n"/>
      <c r="O851" s="1842" t="n"/>
      <c r="P851" s="1842" t="n"/>
      <c r="Q851" s="1842" t="n"/>
      <c r="R851" s="1842" t="n"/>
      <c r="S851" s="1842" t="n"/>
      <c r="T851" s="1842" t="n"/>
      <c r="U851" s="1842" t="n"/>
      <c r="V851" s="1842" t="n"/>
      <c r="W851" s="1842" t="n"/>
      <c r="X851" s="1842" t="n"/>
      <c r="Y851" s="1842" t="n"/>
      <c r="Z851" s="1842" t="n"/>
      <c r="AA851" s="1842" t="n"/>
      <c r="AB851" s="1842" t="n"/>
      <c r="AC851" s="1842" t="n"/>
      <c r="AD851" s="1842" t="n"/>
      <c r="AE851" s="1842" t="n"/>
      <c r="AF851" s="1842" t="n"/>
    </row>
    <row r="852" ht="13.5" customHeight="1" s="1883">
      <c r="A852" s="1842" t="n"/>
      <c r="B852" s="1842" t="n"/>
      <c r="C852" s="1842" t="n"/>
      <c r="D852" s="1842" t="n"/>
      <c r="E852" s="1842" t="n"/>
      <c r="F852" s="1842" t="n"/>
      <c r="G852" s="1842" t="n"/>
      <c r="H852" s="1842" t="n"/>
      <c r="I852" s="1842" t="n"/>
      <c r="J852" s="1842" t="n"/>
      <c r="K852" s="1842" t="n"/>
      <c r="L852" s="1842" t="n"/>
      <c r="M852" s="1842" t="n"/>
      <c r="N852" s="1842" t="n"/>
      <c r="O852" s="1842" t="n"/>
      <c r="P852" s="1842" t="n"/>
      <c r="Q852" s="1842" t="n"/>
      <c r="R852" s="1842" t="n"/>
      <c r="S852" s="1842" t="n"/>
      <c r="T852" s="1842" t="n"/>
      <c r="U852" s="1842" t="n"/>
      <c r="V852" s="1842" t="n"/>
      <c r="W852" s="1842" t="n"/>
      <c r="X852" s="1842" t="n"/>
      <c r="Y852" s="1842" t="n"/>
      <c r="Z852" s="1842" t="n"/>
      <c r="AA852" s="1842" t="n"/>
      <c r="AB852" s="1842" t="n"/>
      <c r="AC852" s="1842" t="n"/>
      <c r="AD852" s="1842" t="n"/>
      <c r="AE852" s="1842" t="n"/>
      <c r="AF852" s="1842" t="n"/>
    </row>
    <row r="853" ht="13.5" customHeight="1" s="1883">
      <c r="A853" s="1842" t="n"/>
      <c r="B853" s="1842" t="n"/>
      <c r="C853" s="1842" t="n"/>
      <c r="D853" s="1842" t="n"/>
      <c r="E853" s="1842" t="n"/>
      <c r="F853" s="1842" t="n"/>
      <c r="G853" s="1842" t="n"/>
      <c r="H853" s="1842" t="n"/>
      <c r="I853" s="1842" t="n"/>
      <c r="J853" s="1842" t="n"/>
      <c r="K853" s="1842" t="n"/>
      <c r="L853" s="1842" t="n"/>
      <c r="M853" s="1842" t="n"/>
      <c r="N853" s="1842" t="n"/>
      <c r="O853" s="1842" t="n"/>
      <c r="P853" s="1842" t="n"/>
      <c r="Q853" s="1842" t="n"/>
      <c r="R853" s="1842" t="n"/>
      <c r="S853" s="1842" t="n"/>
      <c r="T853" s="1842" t="n"/>
      <c r="U853" s="1842" t="n"/>
      <c r="V853" s="1842" t="n"/>
      <c r="W853" s="1842" t="n"/>
      <c r="X853" s="1842" t="n"/>
      <c r="Y853" s="1842" t="n"/>
      <c r="Z853" s="1842" t="n"/>
      <c r="AA853" s="1842" t="n"/>
      <c r="AB853" s="1842" t="n"/>
      <c r="AC853" s="1842" t="n"/>
      <c r="AD853" s="1842" t="n"/>
      <c r="AE853" s="1842" t="n"/>
      <c r="AF853" s="1842" t="n"/>
    </row>
    <row r="854" ht="13.5" customHeight="1" s="1883">
      <c r="A854" s="1842" t="n"/>
      <c r="B854" s="1842" t="n"/>
      <c r="C854" s="1842" t="n"/>
      <c r="D854" s="1842" t="n"/>
      <c r="E854" s="1842" t="n"/>
      <c r="F854" s="1842" t="n"/>
      <c r="G854" s="1842" t="n"/>
      <c r="H854" s="1842" t="n"/>
      <c r="I854" s="1842" t="n"/>
      <c r="J854" s="1842" t="n"/>
      <c r="K854" s="1842" t="n"/>
      <c r="L854" s="1842" t="n"/>
      <c r="M854" s="1842" t="n"/>
      <c r="N854" s="1842" t="n"/>
      <c r="O854" s="1842" t="n"/>
      <c r="P854" s="1842" t="n"/>
      <c r="Q854" s="1842" t="n"/>
      <c r="R854" s="1842" t="n"/>
      <c r="S854" s="1842" t="n"/>
      <c r="T854" s="1842" t="n"/>
      <c r="U854" s="1842" t="n"/>
      <c r="V854" s="1842" t="n"/>
      <c r="W854" s="1842" t="n"/>
      <c r="X854" s="1842" t="n"/>
      <c r="Y854" s="1842" t="n"/>
      <c r="Z854" s="1842" t="n"/>
      <c r="AA854" s="1842" t="n"/>
      <c r="AB854" s="1842" t="n"/>
      <c r="AC854" s="1842" t="n"/>
      <c r="AD854" s="1842" t="n"/>
      <c r="AE854" s="1842" t="n"/>
      <c r="AF854" s="1842" t="n"/>
    </row>
    <row r="855" ht="13.5" customHeight="1" s="1883">
      <c r="A855" s="1842" t="n"/>
      <c r="B855" s="1842" t="n"/>
      <c r="C855" s="1842" t="n"/>
      <c r="D855" s="1842" t="n"/>
      <c r="E855" s="1842" t="n"/>
      <c r="F855" s="1842" t="n"/>
      <c r="G855" s="1842" t="n"/>
      <c r="H855" s="1842" t="n"/>
      <c r="I855" s="1842" t="n"/>
      <c r="J855" s="1842" t="n"/>
      <c r="K855" s="1842" t="n"/>
      <c r="L855" s="1842" t="n"/>
      <c r="M855" s="1842" t="n"/>
      <c r="N855" s="1842" t="n"/>
      <c r="O855" s="1842" t="n"/>
      <c r="P855" s="1842" t="n"/>
      <c r="Q855" s="1842" t="n"/>
      <c r="R855" s="1842" t="n"/>
      <c r="S855" s="1842" t="n"/>
      <c r="T855" s="1842" t="n"/>
      <c r="U855" s="1842" t="n"/>
      <c r="V855" s="1842" t="n"/>
      <c r="W855" s="1842" t="n"/>
      <c r="X855" s="1842" t="n"/>
      <c r="Y855" s="1842" t="n"/>
      <c r="Z855" s="1842" t="n"/>
      <c r="AA855" s="1842" t="n"/>
      <c r="AB855" s="1842" t="n"/>
      <c r="AC855" s="1842" t="n"/>
      <c r="AD855" s="1842" t="n"/>
      <c r="AE855" s="1842" t="n"/>
      <c r="AF855" s="1842" t="n"/>
    </row>
    <row r="856" ht="13.5" customHeight="1" s="1883">
      <c r="A856" s="1842" t="n"/>
      <c r="B856" s="1842" t="n"/>
      <c r="C856" s="1842" t="n"/>
      <c r="D856" s="1842" t="n"/>
      <c r="E856" s="1842" t="n"/>
      <c r="F856" s="1842" t="n"/>
      <c r="G856" s="1842" t="n"/>
      <c r="H856" s="1842" t="n"/>
      <c r="I856" s="1842" t="n"/>
      <c r="J856" s="1842" t="n"/>
      <c r="K856" s="1842" t="n"/>
      <c r="L856" s="1842" t="n"/>
      <c r="M856" s="1842" t="n"/>
      <c r="N856" s="1842" t="n"/>
      <c r="O856" s="1842" t="n"/>
      <c r="P856" s="1842" t="n"/>
      <c r="Q856" s="1842" t="n"/>
      <c r="R856" s="1842" t="n"/>
      <c r="S856" s="1842" t="n"/>
      <c r="T856" s="1842" t="n"/>
      <c r="U856" s="1842" t="n"/>
      <c r="V856" s="1842" t="n"/>
      <c r="W856" s="1842" t="n"/>
      <c r="X856" s="1842" t="n"/>
      <c r="Y856" s="1842" t="n"/>
      <c r="Z856" s="1842" t="n"/>
      <c r="AA856" s="1842" t="n"/>
      <c r="AB856" s="1842" t="n"/>
      <c r="AC856" s="1842" t="n"/>
      <c r="AD856" s="1842" t="n"/>
      <c r="AE856" s="1842" t="n"/>
      <c r="AF856" s="1842" t="n"/>
    </row>
    <row r="857" ht="13.5" customHeight="1" s="1883">
      <c r="A857" s="1842" t="n"/>
      <c r="B857" s="1842" t="n"/>
      <c r="C857" s="1842" t="n"/>
      <c r="D857" s="1842" t="n"/>
      <c r="E857" s="1842" t="n"/>
      <c r="F857" s="1842" t="n"/>
      <c r="G857" s="1842" t="n"/>
      <c r="H857" s="1842" t="n"/>
      <c r="I857" s="1842" t="n"/>
      <c r="J857" s="1842" t="n"/>
      <c r="K857" s="1842" t="n"/>
      <c r="L857" s="1842" t="n"/>
      <c r="M857" s="1842" t="n"/>
      <c r="N857" s="1842" t="n"/>
      <c r="O857" s="1842" t="n"/>
      <c r="P857" s="1842" t="n"/>
      <c r="Q857" s="1842" t="n"/>
      <c r="R857" s="1842" t="n"/>
      <c r="S857" s="1842" t="n"/>
      <c r="T857" s="1842" t="n"/>
      <c r="U857" s="1842" t="n"/>
      <c r="V857" s="1842" t="n"/>
      <c r="W857" s="1842" t="n"/>
      <c r="X857" s="1842" t="n"/>
      <c r="Y857" s="1842" t="n"/>
      <c r="Z857" s="1842" t="n"/>
      <c r="AA857" s="1842" t="n"/>
      <c r="AB857" s="1842" t="n"/>
      <c r="AC857" s="1842" t="n"/>
      <c r="AD857" s="1842" t="n"/>
      <c r="AE857" s="1842" t="n"/>
      <c r="AF857" s="1842" t="n"/>
    </row>
    <row r="858" ht="13.5" customHeight="1" s="1883">
      <c r="A858" s="1842" t="n"/>
      <c r="B858" s="1842" t="n"/>
      <c r="C858" s="1842" t="n"/>
      <c r="D858" s="1842" t="n"/>
      <c r="E858" s="1842" t="n"/>
      <c r="F858" s="1842" t="n"/>
      <c r="G858" s="1842" t="n"/>
      <c r="H858" s="1842" t="n"/>
      <c r="I858" s="1842" t="n"/>
      <c r="J858" s="1842" t="n"/>
      <c r="K858" s="1842" t="n"/>
      <c r="L858" s="1842" t="n"/>
      <c r="M858" s="1842" t="n"/>
      <c r="N858" s="1842" t="n"/>
      <c r="O858" s="1842" t="n"/>
      <c r="P858" s="1842" t="n"/>
      <c r="Q858" s="1842" t="n"/>
      <c r="R858" s="1842" t="n"/>
      <c r="S858" s="1842" t="n"/>
      <c r="T858" s="1842" t="n"/>
      <c r="U858" s="1842" t="n"/>
      <c r="V858" s="1842" t="n"/>
      <c r="W858" s="1842" t="n"/>
      <c r="X858" s="1842" t="n"/>
      <c r="Y858" s="1842" t="n"/>
      <c r="Z858" s="1842" t="n"/>
      <c r="AA858" s="1842" t="n"/>
      <c r="AB858" s="1842" t="n"/>
      <c r="AC858" s="1842" t="n"/>
      <c r="AD858" s="1842" t="n"/>
      <c r="AE858" s="1842" t="n"/>
      <c r="AF858" s="1842" t="n"/>
    </row>
    <row r="859" ht="13.5" customHeight="1" s="1883">
      <c r="A859" s="1842" t="n"/>
      <c r="B859" s="1842" t="n"/>
      <c r="C859" s="1842" t="n"/>
      <c r="D859" s="1842" t="n"/>
      <c r="E859" s="1842" t="n"/>
      <c r="F859" s="1842" t="n"/>
      <c r="G859" s="1842" t="n"/>
      <c r="H859" s="1842" t="n"/>
      <c r="I859" s="1842" t="n"/>
      <c r="J859" s="1842" t="n"/>
      <c r="K859" s="1842" t="n"/>
      <c r="L859" s="1842" t="n"/>
      <c r="M859" s="1842" t="n"/>
      <c r="N859" s="1842" t="n"/>
      <c r="O859" s="1842" t="n"/>
      <c r="P859" s="1842" t="n"/>
      <c r="Q859" s="1842" t="n"/>
      <c r="R859" s="1842" t="n"/>
      <c r="S859" s="1842" t="n"/>
      <c r="T859" s="1842" t="n"/>
      <c r="U859" s="1842" t="n"/>
      <c r="V859" s="1842" t="n"/>
      <c r="W859" s="1842" t="n"/>
      <c r="X859" s="1842" t="n"/>
      <c r="Y859" s="1842" t="n"/>
      <c r="Z859" s="1842" t="n"/>
      <c r="AA859" s="1842" t="n"/>
      <c r="AB859" s="1842" t="n"/>
      <c r="AC859" s="1842" t="n"/>
      <c r="AD859" s="1842" t="n"/>
      <c r="AE859" s="1842" t="n"/>
      <c r="AF859" s="1842" t="n"/>
    </row>
    <row r="860" ht="13.5" customHeight="1" s="1883">
      <c r="A860" s="1842" t="n"/>
      <c r="B860" s="1842" t="n"/>
      <c r="C860" s="1842" t="n"/>
      <c r="D860" s="1842" t="n"/>
      <c r="E860" s="1842" t="n"/>
      <c r="F860" s="1842" t="n"/>
      <c r="G860" s="1842" t="n"/>
      <c r="H860" s="1842" t="n"/>
      <c r="I860" s="1842" t="n"/>
      <c r="J860" s="1842" t="n"/>
      <c r="K860" s="1842" t="n"/>
      <c r="L860" s="1842" t="n"/>
      <c r="M860" s="1842" t="n"/>
      <c r="N860" s="1842" t="n"/>
      <c r="O860" s="1842" t="n"/>
      <c r="P860" s="1842" t="n"/>
      <c r="Q860" s="1842" t="n"/>
      <c r="R860" s="1842" t="n"/>
      <c r="S860" s="1842" t="n"/>
      <c r="T860" s="1842" t="n"/>
      <c r="U860" s="1842" t="n"/>
      <c r="V860" s="1842" t="n"/>
      <c r="W860" s="1842" t="n"/>
      <c r="X860" s="1842" t="n"/>
      <c r="Y860" s="1842" t="n"/>
      <c r="Z860" s="1842" t="n"/>
      <c r="AA860" s="1842" t="n"/>
      <c r="AB860" s="1842" t="n"/>
      <c r="AC860" s="1842" t="n"/>
      <c r="AD860" s="1842" t="n"/>
      <c r="AE860" s="1842" t="n"/>
      <c r="AF860" s="1842" t="n"/>
    </row>
    <row r="861" ht="13.5" customHeight="1" s="1883">
      <c r="A861" s="1842" t="n"/>
      <c r="B861" s="1842" t="n"/>
      <c r="C861" s="1842" t="n"/>
      <c r="D861" s="1842" t="n"/>
      <c r="E861" s="1842" t="n"/>
      <c r="F861" s="1842" t="n"/>
      <c r="G861" s="1842" t="n"/>
      <c r="H861" s="1842" t="n"/>
      <c r="I861" s="1842" t="n"/>
      <c r="J861" s="1842" t="n"/>
      <c r="K861" s="1842" t="n"/>
      <c r="L861" s="1842" t="n"/>
      <c r="M861" s="1842" t="n"/>
      <c r="N861" s="1842" t="n"/>
      <c r="O861" s="1842" t="n"/>
      <c r="P861" s="1842" t="n"/>
      <c r="Q861" s="1842" t="n"/>
      <c r="R861" s="1842" t="n"/>
      <c r="S861" s="1842" t="n"/>
      <c r="T861" s="1842" t="n"/>
      <c r="U861" s="1842" t="n"/>
      <c r="V861" s="1842" t="n"/>
      <c r="W861" s="1842" t="n"/>
      <c r="X861" s="1842" t="n"/>
      <c r="Y861" s="1842" t="n"/>
      <c r="Z861" s="1842" t="n"/>
      <c r="AA861" s="1842" t="n"/>
      <c r="AB861" s="1842" t="n"/>
      <c r="AC861" s="1842" t="n"/>
      <c r="AD861" s="1842" t="n"/>
      <c r="AE861" s="1842" t="n"/>
      <c r="AF861" s="1842" t="n"/>
    </row>
    <row r="862" ht="13.5" customHeight="1" s="1883">
      <c r="A862" s="1842" t="n"/>
      <c r="B862" s="1842" t="n"/>
      <c r="C862" s="1842" t="n"/>
      <c r="D862" s="1842" t="n"/>
      <c r="E862" s="1842" t="n"/>
      <c r="F862" s="1842" t="n"/>
      <c r="G862" s="1842" t="n"/>
      <c r="H862" s="1842" t="n"/>
      <c r="I862" s="1842" t="n"/>
      <c r="J862" s="1842" t="n"/>
      <c r="K862" s="1842" t="n"/>
      <c r="L862" s="1842" t="n"/>
      <c r="M862" s="1842" t="n"/>
      <c r="N862" s="1842" t="n"/>
      <c r="O862" s="1842" t="n"/>
      <c r="P862" s="1842" t="n"/>
      <c r="Q862" s="1842" t="n"/>
      <c r="R862" s="1842" t="n"/>
      <c r="S862" s="1842" t="n"/>
      <c r="T862" s="1842" t="n"/>
      <c r="U862" s="1842" t="n"/>
      <c r="V862" s="1842" t="n"/>
      <c r="W862" s="1842" t="n"/>
      <c r="X862" s="1842" t="n"/>
      <c r="Y862" s="1842" t="n"/>
      <c r="Z862" s="1842" t="n"/>
      <c r="AA862" s="1842" t="n"/>
      <c r="AB862" s="1842" t="n"/>
      <c r="AC862" s="1842" t="n"/>
      <c r="AD862" s="1842" t="n"/>
      <c r="AE862" s="1842" t="n"/>
      <c r="AF862" s="1842" t="n"/>
    </row>
    <row r="863" ht="13.5" customHeight="1" s="1883">
      <c r="A863" s="1842" t="n"/>
      <c r="B863" s="1842" t="n"/>
      <c r="C863" s="1842" t="n"/>
      <c r="D863" s="1842" t="n"/>
      <c r="E863" s="1842" t="n"/>
      <c r="F863" s="1842" t="n"/>
      <c r="G863" s="1842" t="n"/>
      <c r="H863" s="1842" t="n"/>
      <c r="I863" s="1842" t="n"/>
      <c r="J863" s="1842" t="n"/>
      <c r="K863" s="1842" t="n"/>
      <c r="L863" s="1842" t="n"/>
      <c r="M863" s="1842" t="n"/>
      <c r="N863" s="1842" t="n"/>
      <c r="O863" s="1842" t="n"/>
      <c r="P863" s="1842" t="n"/>
      <c r="Q863" s="1842" t="n"/>
      <c r="R863" s="1842" t="n"/>
      <c r="S863" s="1842" t="n"/>
      <c r="T863" s="1842" t="n"/>
      <c r="U863" s="1842" t="n"/>
      <c r="V863" s="1842" t="n"/>
      <c r="W863" s="1842" t="n"/>
      <c r="X863" s="1842" t="n"/>
      <c r="Y863" s="1842" t="n"/>
      <c r="Z863" s="1842" t="n"/>
      <c r="AA863" s="1842" t="n"/>
      <c r="AB863" s="1842" t="n"/>
      <c r="AC863" s="1842" t="n"/>
      <c r="AD863" s="1842" t="n"/>
      <c r="AE863" s="1842" t="n"/>
      <c r="AF863" s="1842" t="n"/>
    </row>
    <row r="864" ht="13.5" customHeight="1" s="1883">
      <c r="A864" s="1842" t="n"/>
      <c r="B864" s="1842" t="n"/>
      <c r="C864" s="1842" t="n"/>
      <c r="D864" s="1842" t="n"/>
      <c r="E864" s="1842" t="n"/>
      <c r="F864" s="1842" t="n"/>
      <c r="G864" s="1842" t="n"/>
      <c r="H864" s="1842" t="n"/>
      <c r="I864" s="1842" t="n"/>
      <c r="J864" s="1842" t="n"/>
      <c r="K864" s="1842" t="n"/>
      <c r="L864" s="1842" t="n"/>
      <c r="M864" s="1842" t="n"/>
      <c r="N864" s="1842" t="n"/>
      <c r="O864" s="1842" t="n"/>
      <c r="P864" s="1842" t="n"/>
      <c r="Q864" s="1842" t="n"/>
      <c r="R864" s="1842" t="n"/>
      <c r="S864" s="1842" t="n"/>
      <c r="T864" s="1842" t="n"/>
      <c r="U864" s="1842" t="n"/>
      <c r="V864" s="1842" t="n"/>
      <c r="W864" s="1842" t="n"/>
      <c r="X864" s="1842" t="n"/>
      <c r="Y864" s="1842" t="n"/>
      <c r="Z864" s="1842" t="n"/>
      <c r="AA864" s="1842" t="n"/>
      <c r="AB864" s="1842" t="n"/>
      <c r="AC864" s="1842" t="n"/>
      <c r="AD864" s="1842" t="n"/>
      <c r="AE864" s="1842" t="n"/>
      <c r="AF864" s="1842" t="n"/>
    </row>
    <row r="865" ht="13.5" customHeight="1" s="1883">
      <c r="A865" s="1842" t="n"/>
      <c r="B865" s="1842" t="n"/>
      <c r="C865" s="1842" t="n"/>
      <c r="D865" s="1842" t="n"/>
      <c r="E865" s="1842" t="n"/>
      <c r="F865" s="1842" t="n"/>
      <c r="G865" s="1842" t="n"/>
      <c r="H865" s="1842" t="n"/>
      <c r="I865" s="1842" t="n"/>
      <c r="J865" s="1842" t="n"/>
      <c r="K865" s="1842" t="n"/>
      <c r="L865" s="1842" t="n"/>
      <c r="M865" s="1842" t="n"/>
      <c r="N865" s="1842" t="n"/>
      <c r="O865" s="1842" t="n"/>
      <c r="P865" s="1842" t="n"/>
      <c r="Q865" s="1842" t="n"/>
      <c r="R865" s="1842" t="n"/>
      <c r="S865" s="1842" t="n"/>
      <c r="T865" s="1842" t="n"/>
      <c r="U865" s="1842" t="n"/>
      <c r="V865" s="1842" t="n"/>
      <c r="W865" s="1842" t="n"/>
      <c r="X865" s="1842" t="n"/>
      <c r="Y865" s="1842" t="n"/>
      <c r="Z865" s="1842" t="n"/>
      <c r="AA865" s="1842" t="n"/>
      <c r="AB865" s="1842" t="n"/>
      <c r="AC865" s="1842" t="n"/>
      <c r="AD865" s="1842" t="n"/>
      <c r="AE865" s="1842" t="n"/>
      <c r="AF865" s="1842" t="n"/>
    </row>
    <row r="866" ht="13.5" customHeight="1" s="1883">
      <c r="A866" s="1842" t="n"/>
      <c r="B866" s="1842" t="n"/>
      <c r="C866" s="1842" t="n"/>
      <c r="D866" s="1842" t="n"/>
      <c r="E866" s="1842" t="n"/>
      <c r="F866" s="1842" t="n"/>
      <c r="G866" s="1842" t="n"/>
      <c r="H866" s="1842" t="n"/>
      <c r="I866" s="1842" t="n"/>
      <c r="J866" s="1842" t="n"/>
      <c r="K866" s="1842" t="n"/>
      <c r="L866" s="1842" t="n"/>
      <c r="M866" s="1842" t="n"/>
      <c r="N866" s="1842" t="n"/>
      <c r="O866" s="1842" t="n"/>
      <c r="P866" s="1842" t="n"/>
      <c r="Q866" s="1842" t="n"/>
      <c r="R866" s="1842" t="n"/>
      <c r="S866" s="1842" t="n"/>
      <c r="T866" s="1842" t="n"/>
      <c r="U866" s="1842" t="n"/>
      <c r="V866" s="1842" t="n"/>
      <c r="W866" s="1842" t="n"/>
      <c r="X866" s="1842" t="n"/>
      <c r="Y866" s="1842" t="n"/>
      <c r="Z866" s="1842" t="n"/>
      <c r="AA866" s="1842" t="n"/>
      <c r="AB866" s="1842" t="n"/>
      <c r="AC866" s="1842" t="n"/>
      <c r="AD866" s="1842" t="n"/>
      <c r="AE866" s="1842" t="n"/>
      <c r="AF866" s="1842" t="n"/>
    </row>
    <row r="867" ht="13.5" customHeight="1" s="1883">
      <c r="A867" s="1842" t="n"/>
      <c r="B867" s="1842" t="n"/>
      <c r="C867" s="1842" t="n"/>
      <c r="D867" s="1842" t="n"/>
      <c r="E867" s="1842" t="n"/>
      <c r="F867" s="1842" t="n"/>
      <c r="G867" s="1842" t="n"/>
      <c r="H867" s="1842" t="n"/>
      <c r="I867" s="1842" t="n"/>
      <c r="J867" s="1842" t="n"/>
      <c r="K867" s="1842" t="n"/>
      <c r="L867" s="1842" t="n"/>
      <c r="M867" s="1842" t="n"/>
      <c r="N867" s="1842" t="n"/>
      <c r="O867" s="1842" t="n"/>
      <c r="P867" s="1842" t="n"/>
      <c r="Q867" s="1842" t="n"/>
      <c r="R867" s="1842" t="n"/>
      <c r="S867" s="1842" t="n"/>
      <c r="T867" s="1842" t="n"/>
      <c r="U867" s="1842" t="n"/>
      <c r="V867" s="1842" t="n"/>
      <c r="W867" s="1842" t="n"/>
      <c r="X867" s="1842" t="n"/>
      <c r="Y867" s="1842" t="n"/>
      <c r="Z867" s="1842" t="n"/>
      <c r="AA867" s="1842" t="n"/>
      <c r="AB867" s="1842" t="n"/>
      <c r="AC867" s="1842" t="n"/>
      <c r="AD867" s="1842" t="n"/>
      <c r="AE867" s="1842" t="n"/>
      <c r="AF867" s="1842" t="n"/>
    </row>
    <row r="868" ht="13.5" customHeight="1" s="1883">
      <c r="A868" s="1842" t="n"/>
      <c r="B868" s="1842" t="n"/>
      <c r="C868" s="1842" t="n"/>
      <c r="D868" s="1842" t="n"/>
      <c r="E868" s="1842" t="n"/>
      <c r="F868" s="1842" t="n"/>
      <c r="G868" s="1842" t="n"/>
      <c r="H868" s="1842" t="n"/>
      <c r="I868" s="1842" t="n"/>
      <c r="J868" s="1842" t="n"/>
      <c r="K868" s="1842" t="n"/>
      <c r="L868" s="1842" t="n"/>
      <c r="M868" s="1842" t="n"/>
      <c r="N868" s="1842" t="n"/>
      <c r="O868" s="1842" t="n"/>
      <c r="P868" s="1842" t="n"/>
      <c r="Q868" s="1842" t="n"/>
      <c r="R868" s="1842" t="n"/>
      <c r="S868" s="1842" t="n"/>
      <c r="T868" s="1842" t="n"/>
      <c r="U868" s="1842" t="n"/>
      <c r="V868" s="1842" t="n"/>
      <c r="W868" s="1842" t="n"/>
      <c r="X868" s="1842" t="n"/>
      <c r="Y868" s="1842" t="n"/>
      <c r="Z868" s="1842" t="n"/>
      <c r="AA868" s="1842" t="n"/>
      <c r="AB868" s="1842" t="n"/>
      <c r="AC868" s="1842" t="n"/>
      <c r="AD868" s="1842" t="n"/>
      <c r="AE868" s="1842" t="n"/>
      <c r="AF868" s="1842" t="n"/>
    </row>
    <row r="869" ht="13.5" customHeight="1" s="1883">
      <c r="A869" s="1842" t="n"/>
      <c r="B869" s="1842" t="n"/>
      <c r="C869" s="1842" t="n"/>
      <c r="D869" s="1842" t="n"/>
      <c r="E869" s="1842" t="n"/>
      <c r="F869" s="1842" t="n"/>
      <c r="G869" s="1842" t="n"/>
      <c r="H869" s="1842" t="n"/>
      <c r="I869" s="1842" t="n"/>
      <c r="J869" s="1842" t="n"/>
      <c r="K869" s="1842" t="n"/>
      <c r="L869" s="1842" t="n"/>
      <c r="M869" s="1842" t="n"/>
      <c r="N869" s="1842" t="n"/>
      <c r="O869" s="1842" t="n"/>
      <c r="P869" s="1842" t="n"/>
      <c r="Q869" s="1842" t="n"/>
      <c r="R869" s="1842" t="n"/>
      <c r="S869" s="1842" t="n"/>
      <c r="T869" s="1842" t="n"/>
      <c r="U869" s="1842" t="n"/>
      <c r="V869" s="1842" t="n"/>
      <c r="W869" s="1842" t="n"/>
      <c r="X869" s="1842" t="n"/>
      <c r="Y869" s="1842" t="n"/>
      <c r="Z869" s="1842" t="n"/>
      <c r="AA869" s="1842" t="n"/>
      <c r="AB869" s="1842" t="n"/>
      <c r="AC869" s="1842" t="n"/>
      <c r="AD869" s="1842" t="n"/>
      <c r="AE869" s="1842" t="n"/>
      <c r="AF869" s="1842" t="n"/>
    </row>
    <row r="870" ht="13.5" customHeight="1" s="1883">
      <c r="A870" s="1842" t="n"/>
      <c r="B870" s="1842" t="n"/>
      <c r="C870" s="1842" t="n"/>
      <c r="D870" s="1842" t="n"/>
      <c r="E870" s="1842" t="n"/>
      <c r="F870" s="1842" t="n"/>
      <c r="G870" s="1842" t="n"/>
      <c r="H870" s="1842" t="n"/>
      <c r="I870" s="1842" t="n"/>
      <c r="J870" s="1842" t="n"/>
      <c r="K870" s="1842" t="n"/>
      <c r="L870" s="1842" t="n"/>
      <c r="M870" s="1842" t="n"/>
      <c r="N870" s="1842" t="n"/>
      <c r="O870" s="1842" t="n"/>
      <c r="P870" s="1842" t="n"/>
      <c r="Q870" s="1842" t="n"/>
      <c r="R870" s="1842" t="n"/>
      <c r="S870" s="1842" t="n"/>
      <c r="T870" s="1842" t="n"/>
      <c r="U870" s="1842" t="n"/>
      <c r="V870" s="1842" t="n"/>
      <c r="W870" s="1842" t="n"/>
      <c r="X870" s="1842" t="n"/>
      <c r="Y870" s="1842" t="n"/>
      <c r="Z870" s="1842" t="n"/>
      <c r="AA870" s="1842" t="n"/>
      <c r="AB870" s="1842" t="n"/>
      <c r="AC870" s="1842" t="n"/>
      <c r="AD870" s="1842" t="n"/>
      <c r="AE870" s="1842" t="n"/>
      <c r="AF870" s="1842" t="n"/>
    </row>
    <row r="871" ht="13.5" customHeight="1" s="1883">
      <c r="A871" s="1842" t="n"/>
      <c r="B871" s="1842" t="n"/>
      <c r="C871" s="1842" t="n"/>
      <c r="D871" s="1842" t="n"/>
      <c r="E871" s="1842" t="n"/>
      <c r="F871" s="1842" t="n"/>
      <c r="G871" s="1842" t="n"/>
      <c r="H871" s="1842" t="n"/>
      <c r="I871" s="1842" t="n"/>
      <c r="J871" s="1842" t="n"/>
      <c r="K871" s="1842" t="n"/>
      <c r="L871" s="1842" t="n"/>
      <c r="M871" s="1842" t="n"/>
      <c r="N871" s="1842" t="n"/>
      <c r="O871" s="1842" t="n"/>
      <c r="P871" s="1842" t="n"/>
      <c r="Q871" s="1842" t="n"/>
      <c r="R871" s="1842" t="n"/>
      <c r="S871" s="1842" t="n"/>
      <c r="T871" s="1842" t="n"/>
      <c r="U871" s="1842" t="n"/>
      <c r="V871" s="1842" t="n"/>
      <c r="W871" s="1842" t="n"/>
      <c r="X871" s="1842" t="n"/>
      <c r="Y871" s="1842" t="n"/>
      <c r="Z871" s="1842" t="n"/>
      <c r="AA871" s="1842" t="n"/>
      <c r="AB871" s="1842" t="n"/>
      <c r="AC871" s="1842" t="n"/>
      <c r="AD871" s="1842" t="n"/>
      <c r="AE871" s="1842" t="n"/>
      <c r="AF871" s="1842" t="n"/>
    </row>
    <row r="872" ht="13.5" customHeight="1" s="1883">
      <c r="A872" s="1842" t="n"/>
      <c r="B872" s="1842" t="n"/>
      <c r="C872" s="1842" t="n"/>
      <c r="D872" s="1842" t="n"/>
      <c r="E872" s="1842" t="n"/>
      <c r="F872" s="1842" t="n"/>
      <c r="G872" s="1842" t="n"/>
      <c r="H872" s="1842" t="n"/>
      <c r="I872" s="1842" t="n"/>
      <c r="J872" s="1842" t="n"/>
      <c r="K872" s="1842" t="n"/>
      <c r="L872" s="1842" t="n"/>
      <c r="M872" s="1842" t="n"/>
      <c r="N872" s="1842" t="n"/>
      <c r="O872" s="1842" t="n"/>
      <c r="P872" s="1842" t="n"/>
      <c r="Q872" s="1842" t="n"/>
      <c r="R872" s="1842" t="n"/>
      <c r="S872" s="1842" t="n"/>
      <c r="T872" s="1842" t="n"/>
      <c r="U872" s="1842" t="n"/>
      <c r="V872" s="1842" t="n"/>
      <c r="W872" s="1842" t="n"/>
      <c r="X872" s="1842" t="n"/>
      <c r="Y872" s="1842" t="n"/>
      <c r="Z872" s="1842" t="n"/>
      <c r="AA872" s="1842" t="n"/>
      <c r="AB872" s="1842" t="n"/>
      <c r="AC872" s="1842" t="n"/>
      <c r="AD872" s="1842" t="n"/>
      <c r="AE872" s="1842" t="n"/>
      <c r="AF872" s="1842" t="n"/>
    </row>
    <row r="873" ht="13.5" customHeight="1" s="1883">
      <c r="A873" s="1842" t="n"/>
      <c r="B873" s="1842" t="n"/>
      <c r="C873" s="1842" t="n"/>
      <c r="D873" s="1842" t="n"/>
      <c r="E873" s="1842" t="n"/>
      <c r="F873" s="1842" t="n"/>
      <c r="G873" s="1842" t="n"/>
      <c r="H873" s="1842" t="n"/>
      <c r="I873" s="1842" t="n"/>
      <c r="J873" s="1842" t="n"/>
      <c r="K873" s="1842" t="n"/>
      <c r="L873" s="1842" t="n"/>
      <c r="M873" s="1842" t="n"/>
      <c r="N873" s="1842" t="n"/>
      <c r="O873" s="1842" t="n"/>
      <c r="P873" s="1842" t="n"/>
      <c r="Q873" s="1842" t="n"/>
      <c r="R873" s="1842" t="n"/>
      <c r="S873" s="1842" t="n"/>
      <c r="T873" s="1842" t="n"/>
      <c r="U873" s="1842" t="n"/>
      <c r="V873" s="1842" t="n"/>
      <c r="W873" s="1842" t="n"/>
      <c r="X873" s="1842" t="n"/>
      <c r="Y873" s="1842" t="n"/>
      <c r="Z873" s="1842" t="n"/>
      <c r="AA873" s="1842" t="n"/>
      <c r="AB873" s="1842" t="n"/>
      <c r="AC873" s="1842" t="n"/>
      <c r="AD873" s="1842" t="n"/>
      <c r="AE873" s="1842" t="n"/>
      <c r="AF873" s="1842" t="n"/>
    </row>
    <row r="874" ht="13.5" customHeight="1" s="1883">
      <c r="A874" s="1842" t="n"/>
      <c r="B874" s="1842" t="n"/>
      <c r="C874" s="1842" t="n"/>
      <c r="D874" s="1842" t="n"/>
      <c r="E874" s="1842" t="n"/>
      <c r="F874" s="1842" t="n"/>
      <c r="G874" s="1842" t="n"/>
      <c r="H874" s="1842" t="n"/>
      <c r="I874" s="1842" t="n"/>
      <c r="J874" s="1842" t="n"/>
      <c r="K874" s="1842" t="n"/>
      <c r="L874" s="1842" t="n"/>
      <c r="M874" s="1842" t="n"/>
      <c r="N874" s="1842" t="n"/>
      <c r="O874" s="1842" t="n"/>
      <c r="P874" s="1842" t="n"/>
      <c r="Q874" s="1842" t="n"/>
      <c r="R874" s="1842" t="n"/>
      <c r="S874" s="1842" t="n"/>
      <c r="T874" s="1842" t="n"/>
      <c r="U874" s="1842" t="n"/>
      <c r="V874" s="1842" t="n"/>
      <c r="W874" s="1842" t="n"/>
      <c r="X874" s="1842" t="n"/>
      <c r="Y874" s="1842" t="n"/>
      <c r="Z874" s="1842" t="n"/>
      <c r="AA874" s="1842" t="n"/>
      <c r="AB874" s="1842" t="n"/>
      <c r="AC874" s="1842" t="n"/>
      <c r="AD874" s="1842" t="n"/>
      <c r="AE874" s="1842" t="n"/>
      <c r="AF874" s="1842" t="n"/>
    </row>
    <row r="875" ht="13.5" customHeight="1" s="1883">
      <c r="A875" s="1842" t="n"/>
      <c r="B875" s="1842" t="n"/>
      <c r="C875" s="1842" t="n"/>
      <c r="D875" s="1842" t="n"/>
      <c r="E875" s="1842" t="n"/>
      <c r="F875" s="1842" t="n"/>
      <c r="G875" s="1842" t="n"/>
      <c r="H875" s="1842" t="n"/>
      <c r="I875" s="1842" t="n"/>
      <c r="J875" s="1842" t="n"/>
      <c r="K875" s="1842" t="n"/>
      <c r="L875" s="1842" t="n"/>
      <c r="M875" s="1842" t="n"/>
      <c r="N875" s="1842" t="n"/>
      <c r="O875" s="1842" t="n"/>
      <c r="P875" s="1842" t="n"/>
      <c r="Q875" s="1842" t="n"/>
      <c r="R875" s="1842" t="n"/>
      <c r="S875" s="1842" t="n"/>
      <c r="T875" s="1842" t="n"/>
      <c r="U875" s="1842" t="n"/>
      <c r="V875" s="1842" t="n"/>
      <c r="W875" s="1842" t="n"/>
      <c r="X875" s="1842" t="n"/>
      <c r="Y875" s="1842" t="n"/>
      <c r="Z875" s="1842" t="n"/>
      <c r="AA875" s="1842" t="n"/>
      <c r="AB875" s="1842" t="n"/>
      <c r="AC875" s="1842" t="n"/>
      <c r="AD875" s="1842" t="n"/>
      <c r="AE875" s="1842" t="n"/>
      <c r="AF875" s="1842" t="n"/>
    </row>
    <row r="876" ht="13.5" customHeight="1" s="1883">
      <c r="A876" s="1842" t="n"/>
      <c r="B876" s="1842" t="n"/>
      <c r="C876" s="1842" t="n"/>
      <c r="D876" s="1842" t="n"/>
      <c r="E876" s="1842" t="n"/>
      <c r="F876" s="1842" t="n"/>
      <c r="G876" s="1842" t="n"/>
      <c r="H876" s="1842" t="n"/>
      <c r="I876" s="1842" t="n"/>
      <c r="J876" s="1842" t="n"/>
      <c r="K876" s="1842" t="n"/>
      <c r="L876" s="1842" t="n"/>
      <c r="M876" s="1842" t="n"/>
      <c r="N876" s="1842" t="n"/>
      <c r="O876" s="1842" t="n"/>
      <c r="P876" s="1842" t="n"/>
      <c r="Q876" s="1842" t="n"/>
      <c r="R876" s="1842" t="n"/>
      <c r="S876" s="1842" t="n"/>
      <c r="T876" s="1842" t="n"/>
      <c r="U876" s="1842" t="n"/>
      <c r="V876" s="1842" t="n"/>
      <c r="W876" s="1842" t="n"/>
      <c r="X876" s="1842" t="n"/>
      <c r="Y876" s="1842" t="n"/>
      <c r="Z876" s="1842" t="n"/>
      <c r="AA876" s="1842" t="n"/>
      <c r="AB876" s="1842" t="n"/>
      <c r="AC876" s="1842" t="n"/>
      <c r="AD876" s="1842" t="n"/>
      <c r="AE876" s="1842" t="n"/>
      <c r="AF876" s="1842" t="n"/>
    </row>
    <row r="877" ht="13.5" customHeight="1" s="1883">
      <c r="A877" s="1842" t="n"/>
      <c r="B877" s="1842" t="n"/>
      <c r="C877" s="1842" t="n"/>
      <c r="D877" s="1842" t="n"/>
      <c r="E877" s="1842" t="n"/>
      <c r="F877" s="1842" t="n"/>
      <c r="G877" s="1842" t="n"/>
      <c r="H877" s="1842" t="n"/>
      <c r="I877" s="1842" t="n"/>
      <c r="J877" s="1842" t="n"/>
      <c r="K877" s="1842" t="n"/>
      <c r="L877" s="1842" t="n"/>
      <c r="M877" s="1842" t="n"/>
      <c r="N877" s="1842" t="n"/>
      <c r="O877" s="1842" t="n"/>
      <c r="P877" s="1842" t="n"/>
      <c r="Q877" s="1842" t="n"/>
      <c r="R877" s="1842" t="n"/>
      <c r="S877" s="1842" t="n"/>
      <c r="T877" s="1842" t="n"/>
      <c r="U877" s="1842" t="n"/>
      <c r="V877" s="1842" t="n"/>
      <c r="W877" s="1842" t="n"/>
      <c r="X877" s="1842" t="n"/>
      <c r="Y877" s="1842" t="n"/>
      <c r="Z877" s="1842" t="n"/>
      <c r="AA877" s="1842" t="n"/>
      <c r="AB877" s="1842" t="n"/>
      <c r="AC877" s="1842" t="n"/>
      <c r="AD877" s="1842" t="n"/>
      <c r="AE877" s="1842" t="n"/>
      <c r="AF877" s="1842" t="n"/>
    </row>
    <row r="878" ht="13.5" customHeight="1" s="1883">
      <c r="A878" s="1842" t="n"/>
      <c r="B878" s="1842" t="n"/>
      <c r="C878" s="1842" t="n"/>
      <c r="D878" s="1842" t="n"/>
      <c r="E878" s="1842" t="n"/>
      <c r="F878" s="1842" t="n"/>
      <c r="G878" s="1842" t="n"/>
      <c r="H878" s="1842" t="n"/>
      <c r="I878" s="1842" t="n"/>
      <c r="J878" s="1842" t="n"/>
      <c r="K878" s="1842" t="n"/>
      <c r="L878" s="1842" t="n"/>
      <c r="M878" s="1842" t="n"/>
      <c r="N878" s="1842" t="n"/>
      <c r="O878" s="1842" t="n"/>
      <c r="P878" s="1842" t="n"/>
      <c r="Q878" s="1842" t="n"/>
      <c r="R878" s="1842" t="n"/>
      <c r="S878" s="1842" t="n"/>
      <c r="T878" s="1842" t="n"/>
      <c r="U878" s="1842" t="n"/>
      <c r="V878" s="1842" t="n"/>
      <c r="W878" s="1842" t="n"/>
      <c r="X878" s="1842" t="n"/>
      <c r="Y878" s="1842" t="n"/>
      <c r="Z878" s="1842" t="n"/>
      <c r="AA878" s="1842" t="n"/>
      <c r="AB878" s="1842" t="n"/>
      <c r="AC878" s="1842" t="n"/>
      <c r="AD878" s="1842" t="n"/>
      <c r="AE878" s="1842" t="n"/>
      <c r="AF878" s="1842" t="n"/>
    </row>
    <row r="879" ht="13.5" customHeight="1" s="1883">
      <c r="A879" s="1842" t="n"/>
      <c r="B879" s="1842" t="n"/>
      <c r="C879" s="1842" t="n"/>
      <c r="D879" s="1842" t="n"/>
      <c r="E879" s="1842" t="n"/>
      <c r="F879" s="1842" t="n"/>
      <c r="G879" s="1842" t="n"/>
      <c r="H879" s="1842" t="n"/>
      <c r="I879" s="1842" t="n"/>
      <c r="J879" s="1842" t="n"/>
      <c r="K879" s="1842" t="n"/>
      <c r="L879" s="1842" t="n"/>
      <c r="M879" s="1842" t="n"/>
      <c r="N879" s="1842" t="n"/>
      <c r="O879" s="1842" t="n"/>
      <c r="P879" s="1842" t="n"/>
      <c r="Q879" s="1842" t="n"/>
      <c r="R879" s="1842" t="n"/>
      <c r="S879" s="1842" t="n"/>
      <c r="T879" s="1842" t="n"/>
      <c r="U879" s="1842" t="n"/>
      <c r="V879" s="1842" t="n"/>
      <c r="W879" s="1842" t="n"/>
      <c r="X879" s="1842" t="n"/>
      <c r="Y879" s="1842" t="n"/>
      <c r="Z879" s="1842" t="n"/>
      <c r="AA879" s="1842" t="n"/>
      <c r="AB879" s="1842" t="n"/>
      <c r="AC879" s="1842" t="n"/>
      <c r="AD879" s="1842" t="n"/>
      <c r="AE879" s="1842" t="n"/>
      <c r="AF879" s="1842" t="n"/>
    </row>
    <row r="880" ht="13.5" customHeight="1" s="1883">
      <c r="A880" s="1842" t="n"/>
      <c r="B880" s="1842" t="n"/>
      <c r="C880" s="1842" t="n"/>
      <c r="D880" s="1842" t="n"/>
      <c r="E880" s="1842" t="n"/>
      <c r="F880" s="1842" t="n"/>
      <c r="G880" s="1842" t="n"/>
      <c r="H880" s="1842" t="n"/>
      <c r="I880" s="1842" t="n"/>
      <c r="J880" s="1842" t="n"/>
      <c r="K880" s="1842" t="n"/>
      <c r="L880" s="1842" t="n"/>
      <c r="M880" s="1842" t="n"/>
      <c r="N880" s="1842" t="n"/>
      <c r="O880" s="1842" t="n"/>
      <c r="P880" s="1842" t="n"/>
      <c r="Q880" s="1842" t="n"/>
      <c r="R880" s="1842" t="n"/>
      <c r="S880" s="1842" t="n"/>
      <c r="T880" s="1842" t="n"/>
      <c r="U880" s="1842" t="n"/>
      <c r="V880" s="1842" t="n"/>
      <c r="W880" s="1842" t="n"/>
      <c r="X880" s="1842" t="n"/>
      <c r="Y880" s="1842" t="n"/>
      <c r="Z880" s="1842" t="n"/>
      <c r="AA880" s="1842" t="n"/>
      <c r="AB880" s="1842" t="n"/>
      <c r="AC880" s="1842" t="n"/>
      <c r="AD880" s="1842" t="n"/>
      <c r="AE880" s="1842" t="n"/>
      <c r="AF880" s="1842" t="n"/>
    </row>
    <row r="881" ht="13.5" customHeight="1" s="1883">
      <c r="A881" s="1842" t="n"/>
      <c r="B881" s="1842" t="n"/>
      <c r="C881" s="1842" t="n"/>
      <c r="D881" s="1842" t="n"/>
      <c r="E881" s="1842" t="n"/>
      <c r="F881" s="1842" t="n"/>
      <c r="G881" s="1842" t="n"/>
      <c r="H881" s="1842" t="n"/>
      <c r="I881" s="1842" t="n"/>
      <c r="J881" s="1842" t="n"/>
      <c r="K881" s="1842" t="n"/>
      <c r="L881" s="1842" t="n"/>
      <c r="M881" s="1842" t="n"/>
      <c r="N881" s="1842" t="n"/>
      <c r="O881" s="1842" t="n"/>
      <c r="P881" s="1842" t="n"/>
      <c r="Q881" s="1842" t="n"/>
      <c r="R881" s="1842" t="n"/>
      <c r="S881" s="1842" t="n"/>
      <c r="T881" s="1842" t="n"/>
      <c r="U881" s="1842" t="n"/>
      <c r="V881" s="1842" t="n"/>
      <c r="W881" s="1842" t="n"/>
      <c r="X881" s="1842" t="n"/>
      <c r="Y881" s="1842" t="n"/>
      <c r="Z881" s="1842" t="n"/>
      <c r="AA881" s="1842" t="n"/>
      <c r="AB881" s="1842" t="n"/>
      <c r="AC881" s="1842" t="n"/>
      <c r="AD881" s="1842" t="n"/>
      <c r="AE881" s="1842" t="n"/>
      <c r="AF881" s="1842" t="n"/>
    </row>
    <row r="882" ht="13.5" customHeight="1" s="1883">
      <c r="A882" s="1842" t="n"/>
      <c r="B882" s="1842" t="n"/>
      <c r="C882" s="1842" t="n"/>
      <c r="D882" s="1842" t="n"/>
      <c r="E882" s="1842" t="n"/>
      <c r="F882" s="1842" t="n"/>
      <c r="G882" s="1842" t="n"/>
      <c r="H882" s="1842" t="n"/>
      <c r="I882" s="1842" t="n"/>
      <c r="J882" s="1842" t="n"/>
      <c r="K882" s="1842" t="n"/>
      <c r="L882" s="1842" t="n"/>
      <c r="M882" s="1842" t="n"/>
      <c r="N882" s="1842" t="n"/>
      <c r="O882" s="1842" t="n"/>
      <c r="P882" s="1842" t="n"/>
      <c r="Q882" s="1842" t="n"/>
      <c r="R882" s="1842" t="n"/>
      <c r="S882" s="1842" t="n"/>
      <c r="T882" s="1842" t="n"/>
      <c r="U882" s="1842" t="n"/>
      <c r="V882" s="1842" t="n"/>
      <c r="W882" s="1842" t="n"/>
      <c r="X882" s="1842" t="n"/>
      <c r="Y882" s="1842" t="n"/>
      <c r="Z882" s="1842" t="n"/>
      <c r="AA882" s="1842" t="n"/>
      <c r="AB882" s="1842" t="n"/>
      <c r="AC882" s="1842" t="n"/>
      <c r="AD882" s="1842" t="n"/>
      <c r="AE882" s="1842" t="n"/>
      <c r="AF882" s="1842" t="n"/>
    </row>
    <row r="883" ht="13.5" customHeight="1" s="1883">
      <c r="A883" s="1842" t="n"/>
      <c r="B883" s="1842" t="n"/>
      <c r="C883" s="1842" t="n"/>
      <c r="D883" s="1842" t="n"/>
      <c r="E883" s="1842" t="n"/>
      <c r="F883" s="1842" t="n"/>
      <c r="G883" s="1842" t="n"/>
      <c r="H883" s="1842" t="n"/>
      <c r="I883" s="1842" t="n"/>
      <c r="J883" s="1842" t="n"/>
      <c r="K883" s="1842" t="n"/>
      <c r="L883" s="1842" t="n"/>
      <c r="M883" s="1842" t="n"/>
      <c r="N883" s="1842" t="n"/>
      <c r="O883" s="1842" t="n"/>
      <c r="P883" s="1842" t="n"/>
      <c r="Q883" s="1842" t="n"/>
      <c r="R883" s="1842" t="n"/>
      <c r="S883" s="1842" t="n"/>
      <c r="T883" s="1842" t="n"/>
      <c r="U883" s="1842" t="n"/>
      <c r="V883" s="1842" t="n"/>
      <c r="W883" s="1842" t="n"/>
      <c r="X883" s="1842" t="n"/>
      <c r="Y883" s="1842" t="n"/>
      <c r="Z883" s="1842" t="n"/>
      <c r="AA883" s="1842" t="n"/>
      <c r="AB883" s="1842" t="n"/>
      <c r="AC883" s="1842" t="n"/>
      <c r="AD883" s="1842" t="n"/>
      <c r="AE883" s="1842" t="n"/>
      <c r="AF883" s="1842" t="n"/>
    </row>
    <row r="884" ht="13.5" customHeight="1" s="1883">
      <c r="A884" s="1842" t="n"/>
      <c r="B884" s="1842" t="n"/>
      <c r="C884" s="1842" t="n"/>
      <c r="D884" s="1842" t="n"/>
      <c r="E884" s="1842" t="n"/>
      <c r="F884" s="1842" t="n"/>
      <c r="G884" s="1842" t="n"/>
      <c r="H884" s="1842" t="n"/>
      <c r="I884" s="1842" t="n"/>
      <c r="J884" s="1842" t="n"/>
      <c r="K884" s="1842" t="n"/>
      <c r="L884" s="1842" t="n"/>
      <c r="M884" s="1842" t="n"/>
      <c r="N884" s="1842" t="n"/>
      <c r="O884" s="1842" t="n"/>
      <c r="P884" s="1842" t="n"/>
      <c r="Q884" s="1842" t="n"/>
      <c r="R884" s="1842" t="n"/>
      <c r="S884" s="1842" t="n"/>
      <c r="T884" s="1842" t="n"/>
      <c r="U884" s="1842" t="n"/>
      <c r="V884" s="1842" t="n"/>
      <c r="W884" s="1842" t="n"/>
      <c r="X884" s="1842" t="n"/>
      <c r="Y884" s="1842" t="n"/>
      <c r="Z884" s="1842" t="n"/>
      <c r="AA884" s="1842" t="n"/>
      <c r="AB884" s="1842" t="n"/>
      <c r="AC884" s="1842" t="n"/>
      <c r="AD884" s="1842" t="n"/>
      <c r="AE884" s="1842" t="n"/>
      <c r="AF884" s="1842" t="n"/>
    </row>
    <row r="885" ht="13.5" customHeight="1" s="1883">
      <c r="A885" s="1842" t="n"/>
      <c r="B885" s="1842" t="n"/>
      <c r="C885" s="1842" t="n"/>
      <c r="D885" s="1842" t="n"/>
      <c r="E885" s="1842" t="n"/>
      <c r="F885" s="1842" t="n"/>
      <c r="G885" s="1842" t="n"/>
      <c r="H885" s="1842" t="n"/>
      <c r="I885" s="1842" t="n"/>
      <c r="J885" s="1842" t="n"/>
      <c r="K885" s="1842" t="n"/>
      <c r="L885" s="1842" t="n"/>
      <c r="M885" s="1842" t="n"/>
      <c r="N885" s="1842" t="n"/>
      <c r="O885" s="1842" t="n"/>
      <c r="P885" s="1842" t="n"/>
      <c r="Q885" s="1842" t="n"/>
      <c r="R885" s="1842" t="n"/>
      <c r="S885" s="1842" t="n"/>
      <c r="T885" s="1842" t="n"/>
      <c r="U885" s="1842" t="n"/>
      <c r="V885" s="1842" t="n"/>
      <c r="W885" s="1842" t="n"/>
      <c r="X885" s="1842" t="n"/>
      <c r="Y885" s="1842" t="n"/>
      <c r="Z885" s="1842" t="n"/>
      <c r="AA885" s="1842" t="n"/>
      <c r="AB885" s="1842" t="n"/>
      <c r="AC885" s="1842" t="n"/>
      <c r="AD885" s="1842" t="n"/>
      <c r="AE885" s="1842" t="n"/>
      <c r="AF885" s="1842" t="n"/>
    </row>
    <row r="886" ht="13.5" customHeight="1" s="1883">
      <c r="A886" s="1842" t="n"/>
      <c r="B886" s="1842" t="n"/>
      <c r="C886" s="1842" t="n"/>
      <c r="D886" s="1842" t="n"/>
      <c r="E886" s="1842" t="n"/>
      <c r="F886" s="1842" t="n"/>
      <c r="G886" s="1842" t="n"/>
      <c r="H886" s="1842" t="n"/>
      <c r="I886" s="1842" t="n"/>
      <c r="J886" s="1842" t="n"/>
      <c r="K886" s="1842" t="n"/>
      <c r="L886" s="1842" t="n"/>
      <c r="M886" s="1842" t="n"/>
      <c r="N886" s="1842" t="n"/>
      <c r="O886" s="1842" t="n"/>
      <c r="P886" s="1842" t="n"/>
      <c r="Q886" s="1842" t="n"/>
      <c r="R886" s="1842" t="n"/>
      <c r="S886" s="1842" t="n"/>
      <c r="T886" s="1842" t="n"/>
      <c r="U886" s="1842" t="n"/>
      <c r="V886" s="1842" t="n"/>
      <c r="W886" s="1842" t="n"/>
      <c r="X886" s="1842" t="n"/>
      <c r="Y886" s="1842" t="n"/>
      <c r="Z886" s="1842" t="n"/>
      <c r="AA886" s="1842" t="n"/>
      <c r="AB886" s="1842" t="n"/>
      <c r="AC886" s="1842" t="n"/>
      <c r="AD886" s="1842" t="n"/>
      <c r="AE886" s="1842" t="n"/>
      <c r="AF886" s="1842" t="n"/>
    </row>
    <row r="887" ht="13.5" customHeight="1" s="1883">
      <c r="A887" s="1842" t="n"/>
      <c r="B887" s="1842" t="n"/>
      <c r="C887" s="1842" t="n"/>
      <c r="D887" s="1842" t="n"/>
      <c r="E887" s="1842" t="n"/>
      <c r="F887" s="1842" t="n"/>
      <c r="G887" s="1842" t="n"/>
      <c r="H887" s="1842" t="n"/>
      <c r="I887" s="1842" t="n"/>
      <c r="J887" s="1842" t="n"/>
      <c r="K887" s="1842" t="n"/>
      <c r="L887" s="1842" t="n"/>
      <c r="M887" s="1842" t="n"/>
      <c r="N887" s="1842" t="n"/>
      <c r="O887" s="1842" t="n"/>
      <c r="P887" s="1842" t="n"/>
      <c r="Q887" s="1842" t="n"/>
      <c r="R887" s="1842" t="n"/>
      <c r="S887" s="1842" t="n"/>
      <c r="T887" s="1842" t="n"/>
      <c r="U887" s="1842" t="n"/>
      <c r="V887" s="1842" t="n"/>
      <c r="W887" s="1842" t="n"/>
      <c r="X887" s="1842" t="n"/>
      <c r="Y887" s="1842" t="n"/>
      <c r="Z887" s="1842" t="n"/>
      <c r="AA887" s="1842" t="n"/>
      <c r="AB887" s="1842" t="n"/>
      <c r="AC887" s="1842" t="n"/>
      <c r="AD887" s="1842" t="n"/>
      <c r="AE887" s="1842" t="n"/>
      <c r="AF887" s="1842" t="n"/>
    </row>
    <row r="888" ht="13.5" customHeight="1" s="1883">
      <c r="A888" s="1842" t="n"/>
      <c r="B888" s="1842" t="n"/>
      <c r="C888" s="1842" t="n"/>
      <c r="D888" s="1842" t="n"/>
      <c r="E888" s="1842" t="n"/>
      <c r="F888" s="1842" t="n"/>
      <c r="G888" s="1842" t="n"/>
      <c r="H888" s="1842" t="n"/>
      <c r="I888" s="1842" t="n"/>
      <c r="J888" s="1842" t="n"/>
      <c r="K888" s="1842" t="n"/>
      <c r="L888" s="1842" t="n"/>
      <c r="M888" s="1842" t="n"/>
      <c r="N888" s="1842" t="n"/>
      <c r="O888" s="1842" t="n"/>
      <c r="P888" s="1842" t="n"/>
      <c r="Q888" s="1842" t="n"/>
      <c r="R888" s="1842" t="n"/>
      <c r="S888" s="1842" t="n"/>
      <c r="T888" s="1842" t="n"/>
      <c r="U888" s="1842" t="n"/>
      <c r="V888" s="1842" t="n"/>
      <c r="W888" s="1842" t="n"/>
      <c r="X888" s="1842" t="n"/>
      <c r="Y888" s="1842" t="n"/>
      <c r="Z888" s="1842" t="n"/>
      <c r="AA888" s="1842" t="n"/>
      <c r="AB888" s="1842" t="n"/>
      <c r="AC888" s="1842" t="n"/>
      <c r="AD888" s="1842" t="n"/>
      <c r="AE888" s="1842" t="n"/>
      <c r="AF888" s="1842" t="n"/>
    </row>
    <row r="889" ht="13.5" customHeight="1" s="1883">
      <c r="A889" s="1842" t="n"/>
      <c r="B889" s="1842" t="n"/>
      <c r="C889" s="1842" t="n"/>
      <c r="D889" s="1842" t="n"/>
      <c r="E889" s="1842" t="n"/>
      <c r="F889" s="1842" t="n"/>
      <c r="G889" s="1842" t="n"/>
      <c r="H889" s="1842" t="n"/>
      <c r="I889" s="1842" t="n"/>
      <c r="J889" s="1842" t="n"/>
      <c r="K889" s="1842" t="n"/>
      <c r="L889" s="1842" t="n"/>
      <c r="M889" s="1842" t="n"/>
      <c r="N889" s="1842" t="n"/>
      <c r="O889" s="1842" t="n"/>
      <c r="P889" s="1842" t="n"/>
      <c r="Q889" s="1842" t="n"/>
      <c r="R889" s="1842" t="n"/>
      <c r="S889" s="1842" t="n"/>
      <c r="T889" s="1842" t="n"/>
      <c r="U889" s="1842" t="n"/>
      <c r="V889" s="1842" t="n"/>
      <c r="W889" s="1842" t="n"/>
      <c r="X889" s="1842" t="n"/>
      <c r="Y889" s="1842" t="n"/>
      <c r="Z889" s="1842" t="n"/>
      <c r="AA889" s="1842" t="n"/>
      <c r="AB889" s="1842" t="n"/>
      <c r="AC889" s="1842" t="n"/>
      <c r="AD889" s="1842" t="n"/>
      <c r="AE889" s="1842" t="n"/>
      <c r="AF889" s="1842" t="n"/>
    </row>
    <row r="890" ht="13.5" customHeight="1" s="1883">
      <c r="A890" s="1842" t="n"/>
      <c r="B890" s="1842" t="n"/>
      <c r="C890" s="1842" t="n"/>
      <c r="D890" s="1842" t="n"/>
      <c r="E890" s="1842" t="n"/>
      <c r="F890" s="1842" t="n"/>
      <c r="G890" s="1842" t="n"/>
      <c r="H890" s="1842" t="n"/>
      <c r="I890" s="1842" t="n"/>
      <c r="J890" s="1842" t="n"/>
      <c r="K890" s="1842" t="n"/>
      <c r="L890" s="1842" t="n"/>
      <c r="M890" s="1842" t="n"/>
      <c r="N890" s="1842" t="n"/>
      <c r="O890" s="1842" t="n"/>
      <c r="P890" s="1842" t="n"/>
      <c r="Q890" s="1842" t="n"/>
      <c r="R890" s="1842" t="n"/>
      <c r="S890" s="1842" t="n"/>
      <c r="T890" s="1842" t="n"/>
      <c r="U890" s="1842" t="n"/>
      <c r="V890" s="1842" t="n"/>
      <c r="W890" s="1842" t="n"/>
      <c r="X890" s="1842" t="n"/>
      <c r="Y890" s="1842" t="n"/>
      <c r="Z890" s="1842" t="n"/>
      <c r="AA890" s="1842" t="n"/>
      <c r="AB890" s="1842" t="n"/>
      <c r="AC890" s="1842" t="n"/>
      <c r="AD890" s="1842" t="n"/>
      <c r="AE890" s="1842" t="n"/>
      <c r="AF890" s="1842" t="n"/>
    </row>
    <row r="891" ht="13.5" customHeight="1" s="1883">
      <c r="A891" s="1842" t="n"/>
      <c r="B891" s="1842" t="n"/>
      <c r="C891" s="1842" t="n"/>
      <c r="D891" s="1842" t="n"/>
      <c r="E891" s="1842" t="n"/>
      <c r="F891" s="1842" t="n"/>
      <c r="G891" s="1842" t="n"/>
      <c r="H891" s="1842" t="n"/>
      <c r="I891" s="1842" t="n"/>
      <c r="J891" s="1842" t="n"/>
      <c r="K891" s="1842" t="n"/>
      <c r="L891" s="1842" t="n"/>
      <c r="M891" s="1842" t="n"/>
      <c r="N891" s="1842" t="n"/>
      <c r="O891" s="1842" t="n"/>
      <c r="P891" s="1842" t="n"/>
      <c r="Q891" s="1842" t="n"/>
      <c r="R891" s="1842" t="n"/>
      <c r="S891" s="1842" t="n"/>
      <c r="T891" s="1842" t="n"/>
      <c r="U891" s="1842" t="n"/>
      <c r="V891" s="1842" t="n"/>
      <c r="W891" s="1842" t="n"/>
      <c r="X891" s="1842" t="n"/>
      <c r="Y891" s="1842" t="n"/>
      <c r="Z891" s="1842" t="n"/>
      <c r="AA891" s="1842" t="n"/>
      <c r="AB891" s="1842" t="n"/>
      <c r="AC891" s="1842" t="n"/>
      <c r="AD891" s="1842" t="n"/>
      <c r="AE891" s="1842" t="n"/>
      <c r="AF891" s="1842" t="n"/>
    </row>
    <row r="892" ht="13.5" customHeight="1" s="1883">
      <c r="A892" s="1842" t="n"/>
      <c r="B892" s="1842" t="n"/>
      <c r="C892" s="1842" t="n"/>
      <c r="D892" s="1842" t="n"/>
      <c r="E892" s="1842" t="n"/>
      <c r="F892" s="1842" t="n"/>
      <c r="G892" s="1842" t="n"/>
      <c r="H892" s="1842" t="n"/>
      <c r="I892" s="1842" t="n"/>
      <c r="J892" s="1842" t="n"/>
      <c r="K892" s="1842" t="n"/>
      <c r="L892" s="1842" t="n"/>
      <c r="M892" s="1842" t="n"/>
      <c r="N892" s="1842" t="n"/>
      <c r="O892" s="1842" t="n"/>
      <c r="P892" s="1842" t="n"/>
      <c r="Q892" s="1842" t="n"/>
      <c r="R892" s="1842" t="n"/>
      <c r="S892" s="1842" t="n"/>
      <c r="T892" s="1842" t="n"/>
      <c r="U892" s="1842" t="n"/>
      <c r="V892" s="1842" t="n"/>
      <c r="W892" s="1842" t="n"/>
      <c r="X892" s="1842" t="n"/>
      <c r="Y892" s="1842" t="n"/>
      <c r="Z892" s="1842" t="n"/>
      <c r="AA892" s="1842" t="n"/>
      <c r="AB892" s="1842" t="n"/>
      <c r="AC892" s="1842" t="n"/>
      <c r="AD892" s="1842" t="n"/>
      <c r="AE892" s="1842" t="n"/>
      <c r="AF892" s="1842" t="n"/>
    </row>
    <row r="893" ht="13.5" customHeight="1" s="1883">
      <c r="A893" s="1842" t="n"/>
      <c r="B893" s="1842" t="n"/>
      <c r="C893" s="1842" t="n"/>
      <c r="D893" s="1842" t="n"/>
      <c r="E893" s="1842" t="n"/>
      <c r="F893" s="1842" t="n"/>
      <c r="G893" s="1842" t="n"/>
      <c r="H893" s="1842" t="n"/>
      <c r="I893" s="1842" t="n"/>
      <c r="J893" s="1842" t="n"/>
      <c r="K893" s="1842" t="n"/>
      <c r="L893" s="1842" t="n"/>
      <c r="M893" s="1842" t="n"/>
      <c r="N893" s="1842" t="n"/>
      <c r="O893" s="1842" t="n"/>
      <c r="P893" s="1842" t="n"/>
      <c r="Q893" s="1842" t="n"/>
      <c r="R893" s="1842" t="n"/>
      <c r="S893" s="1842" t="n"/>
      <c r="T893" s="1842" t="n"/>
      <c r="U893" s="1842" t="n"/>
      <c r="V893" s="1842" t="n"/>
      <c r="W893" s="1842" t="n"/>
      <c r="X893" s="1842" t="n"/>
      <c r="Y893" s="1842" t="n"/>
      <c r="Z893" s="1842" t="n"/>
      <c r="AA893" s="1842" t="n"/>
      <c r="AB893" s="1842" t="n"/>
      <c r="AC893" s="1842" t="n"/>
      <c r="AD893" s="1842" t="n"/>
      <c r="AE893" s="1842" t="n"/>
      <c r="AF893" s="1842" t="n"/>
    </row>
    <row r="894" ht="13.5" customHeight="1" s="1883">
      <c r="A894" s="1842" t="n"/>
      <c r="B894" s="1842" t="n"/>
      <c r="C894" s="1842" t="n"/>
      <c r="D894" s="1842" t="n"/>
      <c r="E894" s="1842" t="n"/>
      <c r="F894" s="1842" t="n"/>
      <c r="G894" s="1842" t="n"/>
      <c r="H894" s="1842" t="n"/>
      <c r="I894" s="1842" t="n"/>
      <c r="J894" s="1842" t="n"/>
      <c r="K894" s="1842" t="n"/>
      <c r="L894" s="1842" t="n"/>
      <c r="M894" s="1842" t="n"/>
      <c r="N894" s="1842" t="n"/>
      <c r="O894" s="1842" t="n"/>
      <c r="P894" s="1842" t="n"/>
      <c r="Q894" s="1842" t="n"/>
      <c r="R894" s="1842" t="n"/>
      <c r="S894" s="1842" t="n"/>
      <c r="T894" s="1842" t="n"/>
      <c r="U894" s="1842" t="n"/>
      <c r="V894" s="1842" t="n"/>
      <c r="W894" s="1842" t="n"/>
      <c r="X894" s="1842" t="n"/>
      <c r="Y894" s="1842" t="n"/>
      <c r="Z894" s="1842" t="n"/>
      <c r="AA894" s="1842" t="n"/>
      <c r="AB894" s="1842" t="n"/>
      <c r="AC894" s="1842" t="n"/>
      <c r="AD894" s="1842" t="n"/>
      <c r="AE894" s="1842" t="n"/>
      <c r="AF894" s="1842" t="n"/>
    </row>
    <row r="895" ht="13.5" customHeight="1" s="1883">
      <c r="A895" s="1842" t="n"/>
      <c r="B895" s="1842" t="n"/>
      <c r="C895" s="1842" t="n"/>
      <c r="D895" s="1842" t="n"/>
      <c r="E895" s="1842" t="n"/>
      <c r="F895" s="1842" t="n"/>
      <c r="G895" s="1842" t="n"/>
      <c r="H895" s="1842" t="n"/>
      <c r="I895" s="1842" t="n"/>
      <c r="J895" s="1842" t="n"/>
      <c r="K895" s="1842" t="n"/>
      <c r="L895" s="1842" t="n"/>
      <c r="M895" s="1842" t="n"/>
      <c r="N895" s="1842" t="n"/>
      <c r="O895" s="1842" t="n"/>
      <c r="P895" s="1842" t="n"/>
      <c r="Q895" s="1842" t="n"/>
      <c r="R895" s="1842" t="n"/>
      <c r="S895" s="1842" t="n"/>
      <c r="T895" s="1842" t="n"/>
      <c r="U895" s="1842" t="n"/>
      <c r="V895" s="1842" t="n"/>
      <c r="W895" s="1842" t="n"/>
      <c r="X895" s="1842" t="n"/>
      <c r="Y895" s="1842" t="n"/>
      <c r="Z895" s="1842" t="n"/>
      <c r="AA895" s="1842" t="n"/>
      <c r="AB895" s="1842" t="n"/>
      <c r="AC895" s="1842" t="n"/>
      <c r="AD895" s="1842" t="n"/>
      <c r="AE895" s="1842" t="n"/>
      <c r="AF895" s="1842" t="n"/>
    </row>
    <row r="896" ht="13.5" customHeight="1" s="1883">
      <c r="A896" s="1842" t="n"/>
      <c r="B896" s="1842" t="n"/>
      <c r="C896" s="1842" t="n"/>
      <c r="D896" s="1842" t="n"/>
      <c r="E896" s="1842" t="n"/>
      <c r="F896" s="1842" t="n"/>
      <c r="G896" s="1842" t="n"/>
      <c r="H896" s="1842" t="n"/>
      <c r="I896" s="1842" t="n"/>
      <c r="J896" s="1842" t="n"/>
      <c r="K896" s="1842" t="n"/>
      <c r="L896" s="1842" t="n"/>
      <c r="M896" s="1842" t="n"/>
      <c r="N896" s="1842" t="n"/>
      <c r="O896" s="1842" t="n"/>
      <c r="P896" s="1842" t="n"/>
      <c r="Q896" s="1842" t="n"/>
      <c r="R896" s="1842" t="n"/>
      <c r="S896" s="1842" t="n"/>
      <c r="T896" s="1842" t="n"/>
      <c r="U896" s="1842" t="n"/>
      <c r="V896" s="1842" t="n"/>
      <c r="W896" s="1842" t="n"/>
      <c r="X896" s="1842" t="n"/>
      <c r="Y896" s="1842" t="n"/>
      <c r="Z896" s="1842" t="n"/>
      <c r="AA896" s="1842" t="n"/>
      <c r="AB896" s="1842" t="n"/>
      <c r="AC896" s="1842" t="n"/>
      <c r="AD896" s="1842" t="n"/>
      <c r="AE896" s="1842" t="n"/>
      <c r="AF896" s="1842" t="n"/>
    </row>
    <row r="897" ht="13.5" customHeight="1" s="1883">
      <c r="A897" s="1842" t="n"/>
      <c r="B897" s="1842" t="n"/>
      <c r="C897" s="1842" t="n"/>
      <c r="D897" s="1842" t="n"/>
      <c r="E897" s="1842" t="n"/>
      <c r="F897" s="1842" t="n"/>
      <c r="G897" s="1842" t="n"/>
      <c r="H897" s="1842" t="n"/>
      <c r="I897" s="1842" t="n"/>
      <c r="J897" s="1842" t="n"/>
      <c r="K897" s="1842" t="n"/>
      <c r="L897" s="1842" t="n"/>
      <c r="M897" s="1842" t="n"/>
      <c r="N897" s="1842" t="n"/>
      <c r="O897" s="1842" t="n"/>
      <c r="P897" s="1842" t="n"/>
      <c r="Q897" s="1842" t="n"/>
      <c r="R897" s="1842" t="n"/>
      <c r="S897" s="1842" t="n"/>
      <c r="T897" s="1842" t="n"/>
      <c r="U897" s="1842" t="n"/>
      <c r="V897" s="1842" t="n"/>
      <c r="W897" s="1842" t="n"/>
      <c r="X897" s="1842" t="n"/>
      <c r="Y897" s="1842" t="n"/>
      <c r="Z897" s="1842" t="n"/>
      <c r="AA897" s="1842" t="n"/>
      <c r="AB897" s="1842" t="n"/>
      <c r="AC897" s="1842" t="n"/>
      <c r="AD897" s="1842" t="n"/>
      <c r="AE897" s="1842" t="n"/>
      <c r="AF897" s="1842" t="n"/>
    </row>
    <row r="898" ht="13.5" customHeight="1" s="1883">
      <c r="A898" s="1842" t="n"/>
      <c r="B898" s="1842" t="n"/>
      <c r="C898" s="1842" t="n"/>
      <c r="D898" s="1842" t="n"/>
      <c r="E898" s="1842" t="n"/>
      <c r="F898" s="1842" t="n"/>
      <c r="G898" s="1842" t="n"/>
      <c r="H898" s="1842" t="n"/>
      <c r="I898" s="1842" t="n"/>
      <c r="J898" s="1842" t="n"/>
      <c r="K898" s="1842" t="n"/>
      <c r="L898" s="1842" t="n"/>
      <c r="M898" s="1842" t="n"/>
      <c r="N898" s="1842" t="n"/>
      <c r="O898" s="1842" t="n"/>
      <c r="P898" s="1842" t="n"/>
      <c r="Q898" s="1842" t="n"/>
      <c r="R898" s="1842" t="n"/>
      <c r="S898" s="1842" t="n"/>
      <c r="T898" s="1842" t="n"/>
      <c r="U898" s="1842" t="n"/>
      <c r="V898" s="1842" t="n"/>
      <c r="W898" s="1842" t="n"/>
      <c r="X898" s="1842" t="n"/>
      <c r="Y898" s="1842" t="n"/>
      <c r="Z898" s="1842" t="n"/>
      <c r="AA898" s="1842" t="n"/>
      <c r="AB898" s="1842" t="n"/>
      <c r="AC898" s="1842" t="n"/>
      <c r="AD898" s="1842" t="n"/>
      <c r="AE898" s="1842" t="n"/>
      <c r="AF898" s="1842" t="n"/>
    </row>
    <row r="899" ht="13.5" customHeight="1" s="1883">
      <c r="A899" s="1842" t="n"/>
      <c r="B899" s="1842" t="n"/>
      <c r="C899" s="1842" t="n"/>
      <c r="D899" s="1842" t="n"/>
      <c r="E899" s="1842" t="n"/>
      <c r="F899" s="1842" t="n"/>
      <c r="G899" s="1842" t="n"/>
      <c r="H899" s="1842" t="n"/>
      <c r="I899" s="1842" t="n"/>
      <c r="J899" s="1842" t="n"/>
      <c r="K899" s="1842" t="n"/>
      <c r="L899" s="1842" t="n"/>
      <c r="M899" s="1842" t="n"/>
      <c r="N899" s="1842" t="n"/>
      <c r="O899" s="1842" t="n"/>
      <c r="P899" s="1842" t="n"/>
      <c r="Q899" s="1842" t="n"/>
      <c r="R899" s="1842" t="n"/>
      <c r="S899" s="1842" t="n"/>
      <c r="T899" s="1842" t="n"/>
      <c r="U899" s="1842" t="n"/>
      <c r="V899" s="1842" t="n"/>
      <c r="W899" s="1842" t="n"/>
      <c r="X899" s="1842" t="n"/>
      <c r="Y899" s="1842" t="n"/>
      <c r="Z899" s="1842" t="n"/>
      <c r="AA899" s="1842" t="n"/>
      <c r="AB899" s="1842" t="n"/>
      <c r="AC899" s="1842" t="n"/>
      <c r="AD899" s="1842" t="n"/>
      <c r="AE899" s="1842" t="n"/>
      <c r="AF899" s="1842" t="n"/>
    </row>
    <row r="900" ht="13.5" customHeight="1" s="1883">
      <c r="A900" s="1842" t="n"/>
      <c r="B900" s="1842" t="n"/>
      <c r="C900" s="1842" t="n"/>
      <c r="D900" s="1842" t="n"/>
      <c r="E900" s="1842" t="n"/>
      <c r="F900" s="1842" t="n"/>
      <c r="G900" s="1842" t="n"/>
      <c r="H900" s="1842" t="n"/>
      <c r="I900" s="1842" t="n"/>
      <c r="J900" s="1842" t="n"/>
      <c r="K900" s="1842" t="n"/>
      <c r="L900" s="1842" t="n"/>
      <c r="M900" s="1842" t="n"/>
      <c r="N900" s="1842" t="n"/>
      <c r="O900" s="1842" t="n"/>
      <c r="P900" s="1842" t="n"/>
      <c r="Q900" s="1842" t="n"/>
      <c r="R900" s="1842" t="n"/>
      <c r="S900" s="1842" t="n"/>
      <c r="T900" s="1842" t="n"/>
      <c r="U900" s="1842" t="n"/>
      <c r="V900" s="1842" t="n"/>
      <c r="W900" s="1842" t="n"/>
      <c r="X900" s="1842" t="n"/>
      <c r="Y900" s="1842" t="n"/>
      <c r="Z900" s="1842" t="n"/>
      <c r="AA900" s="1842" t="n"/>
      <c r="AB900" s="1842" t="n"/>
      <c r="AC900" s="1842" t="n"/>
      <c r="AD900" s="1842" t="n"/>
      <c r="AE900" s="1842" t="n"/>
      <c r="AF900" s="1842" t="n"/>
    </row>
    <row r="901" ht="13.5" customHeight="1" s="1883">
      <c r="A901" s="1842" t="n"/>
      <c r="B901" s="1842" t="n"/>
      <c r="C901" s="1842" t="n"/>
      <c r="D901" s="1842" t="n"/>
      <c r="E901" s="1842" t="n"/>
      <c r="F901" s="1842" t="n"/>
      <c r="G901" s="1842" t="n"/>
      <c r="H901" s="1842" t="n"/>
      <c r="I901" s="1842" t="n"/>
      <c r="J901" s="1842" t="n"/>
      <c r="K901" s="1842" t="n"/>
      <c r="L901" s="1842" t="n"/>
      <c r="M901" s="1842" t="n"/>
      <c r="N901" s="1842" t="n"/>
      <c r="O901" s="1842" t="n"/>
      <c r="P901" s="1842" t="n"/>
      <c r="Q901" s="1842" t="n"/>
      <c r="R901" s="1842" t="n"/>
      <c r="S901" s="1842" t="n"/>
      <c r="T901" s="1842" t="n"/>
      <c r="U901" s="1842" t="n"/>
      <c r="V901" s="1842" t="n"/>
      <c r="W901" s="1842" t="n"/>
      <c r="X901" s="1842" t="n"/>
      <c r="Y901" s="1842" t="n"/>
      <c r="Z901" s="1842" t="n"/>
      <c r="AA901" s="1842" t="n"/>
      <c r="AB901" s="1842" t="n"/>
      <c r="AC901" s="1842" t="n"/>
      <c r="AD901" s="1842" t="n"/>
      <c r="AE901" s="1842" t="n"/>
      <c r="AF901" s="1842" t="n"/>
    </row>
    <row r="902" ht="13.5" customHeight="1" s="1883">
      <c r="A902" s="1842" t="n"/>
      <c r="B902" s="1842" t="n"/>
      <c r="C902" s="1842" t="n"/>
      <c r="D902" s="1842" t="n"/>
      <c r="E902" s="1842" t="n"/>
      <c r="F902" s="1842" t="n"/>
      <c r="G902" s="1842" t="n"/>
      <c r="H902" s="1842" t="n"/>
      <c r="I902" s="1842" t="n"/>
      <c r="J902" s="1842" t="n"/>
      <c r="K902" s="1842" t="n"/>
      <c r="L902" s="1842" t="n"/>
      <c r="M902" s="1842" t="n"/>
      <c r="N902" s="1842" t="n"/>
      <c r="O902" s="1842" t="n"/>
      <c r="P902" s="1842" t="n"/>
      <c r="Q902" s="1842" t="n"/>
      <c r="R902" s="1842" t="n"/>
      <c r="S902" s="1842" t="n"/>
      <c r="T902" s="1842" t="n"/>
      <c r="U902" s="1842" t="n"/>
      <c r="V902" s="1842" t="n"/>
      <c r="W902" s="1842" t="n"/>
      <c r="X902" s="1842" t="n"/>
      <c r="Y902" s="1842" t="n"/>
      <c r="Z902" s="1842" t="n"/>
      <c r="AA902" s="1842" t="n"/>
      <c r="AB902" s="1842" t="n"/>
      <c r="AC902" s="1842" t="n"/>
      <c r="AD902" s="1842" t="n"/>
      <c r="AE902" s="1842" t="n"/>
      <c r="AF902" s="1842" t="n"/>
    </row>
    <row r="903" ht="13.5" customHeight="1" s="1883">
      <c r="A903" s="1842" t="n"/>
      <c r="B903" s="1842" t="n"/>
      <c r="C903" s="1842" t="n"/>
      <c r="D903" s="1842" t="n"/>
      <c r="E903" s="1842" t="n"/>
      <c r="F903" s="1842" t="n"/>
      <c r="G903" s="1842" t="n"/>
      <c r="H903" s="1842" t="n"/>
      <c r="I903" s="1842" t="n"/>
      <c r="J903" s="1842" t="n"/>
      <c r="K903" s="1842" t="n"/>
      <c r="L903" s="1842" t="n"/>
      <c r="M903" s="1842" t="n"/>
      <c r="N903" s="1842" t="n"/>
      <c r="O903" s="1842" t="n"/>
      <c r="P903" s="1842" t="n"/>
      <c r="Q903" s="1842" t="n"/>
      <c r="R903" s="1842" t="n"/>
      <c r="S903" s="1842" t="n"/>
      <c r="T903" s="1842" t="n"/>
      <c r="U903" s="1842" t="n"/>
      <c r="V903" s="1842" t="n"/>
      <c r="W903" s="1842" t="n"/>
      <c r="X903" s="1842" t="n"/>
      <c r="Y903" s="1842" t="n"/>
      <c r="Z903" s="1842" t="n"/>
      <c r="AA903" s="1842" t="n"/>
      <c r="AB903" s="1842" t="n"/>
      <c r="AC903" s="1842" t="n"/>
      <c r="AD903" s="1842" t="n"/>
      <c r="AE903" s="1842" t="n"/>
      <c r="AF903" s="1842" t="n"/>
    </row>
    <row r="904" ht="13.5" customHeight="1" s="1883">
      <c r="A904" s="1842" t="n"/>
      <c r="B904" s="1842" t="n"/>
      <c r="C904" s="1842" t="n"/>
      <c r="D904" s="1842" t="n"/>
      <c r="E904" s="1842" t="n"/>
      <c r="F904" s="1842" t="n"/>
      <c r="G904" s="1842" t="n"/>
      <c r="H904" s="1842" t="n"/>
      <c r="I904" s="1842" t="n"/>
      <c r="J904" s="1842" t="n"/>
      <c r="K904" s="1842" t="n"/>
      <c r="L904" s="1842" t="n"/>
      <c r="M904" s="1842" t="n"/>
      <c r="N904" s="1842" t="n"/>
      <c r="O904" s="1842" t="n"/>
      <c r="P904" s="1842" t="n"/>
      <c r="Q904" s="1842" t="n"/>
      <c r="R904" s="1842" t="n"/>
      <c r="S904" s="1842" t="n"/>
      <c r="T904" s="1842" t="n"/>
      <c r="U904" s="1842" t="n"/>
      <c r="V904" s="1842" t="n"/>
      <c r="W904" s="1842" t="n"/>
      <c r="X904" s="1842" t="n"/>
      <c r="Y904" s="1842" t="n"/>
      <c r="Z904" s="1842" t="n"/>
      <c r="AA904" s="1842" t="n"/>
      <c r="AB904" s="1842" t="n"/>
      <c r="AC904" s="1842" t="n"/>
      <c r="AD904" s="1842" t="n"/>
      <c r="AE904" s="1842" t="n"/>
      <c r="AF904" s="1842" t="n"/>
    </row>
    <row r="905" ht="13.5" customHeight="1" s="1883">
      <c r="A905" s="1842" t="n"/>
      <c r="B905" s="1842" t="n"/>
      <c r="C905" s="1842" t="n"/>
      <c r="D905" s="1842" t="n"/>
      <c r="E905" s="1842" t="n"/>
      <c r="F905" s="1842" t="n"/>
      <c r="G905" s="1842" t="n"/>
      <c r="H905" s="1842" t="n"/>
      <c r="I905" s="1842" t="n"/>
      <c r="J905" s="1842" t="n"/>
      <c r="K905" s="1842" t="n"/>
      <c r="L905" s="1842" t="n"/>
      <c r="M905" s="1842" t="n"/>
      <c r="N905" s="1842" t="n"/>
      <c r="O905" s="1842" t="n"/>
      <c r="P905" s="1842" t="n"/>
      <c r="Q905" s="1842" t="n"/>
      <c r="R905" s="1842" t="n"/>
      <c r="S905" s="1842" t="n"/>
      <c r="T905" s="1842" t="n"/>
      <c r="U905" s="1842" t="n"/>
      <c r="V905" s="1842" t="n"/>
      <c r="W905" s="1842" t="n"/>
      <c r="X905" s="1842" t="n"/>
      <c r="Y905" s="1842" t="n"/>
      <c r="Z905" s="1842" t="n"/>
      <c r="AA905" s="1842" t="n"/>
      <c r="AB905" s="1842" t="n"/>
      <c r="AC905" s="1842" t="n"/>
      <c r="AD905" s="1842" t="n"/>
      <c r="AE905" s="1842" t="n"/>
      <c r="AF905" s="1842" t="n"/>
    </row>
    <row r="906" ht="13.5" customHeight="1" s="1883">
      <c r="A906" s="1842" t="n"/>
      <c r="B906" s="1842" t="n"/>
      <c r="C906" s="1842" t="n"/>
      <c r="D906" s="1842" t="n"/>
      <c r="E906" s="1842" t="n"/>
      <c r="F906" s="1842" t="n"/>
      <c r="G906" s="1842" t="n"/>
      <c r="H906" s="1842" t="n"/>
      <c r="I906" s="1842" t="n"/>
      <c r="J906" s="1842" t="n"/>
      <c r="K906" s="1842" t="n"/>
      <c r="L906" s="1842" t="n"/>
      <c r="M906" s="1842" t="n"/>
      <c r="N906" s="1842" t="n"/>
      <c r="O906" s="1842" t="n"/>
      <c r="P906" s="1842" t="n"/>
      <c r="Q906" s="1842" t="n"/>
      <c r="R906" s="1842" t="n"/>
      <c r="S906" s="1842" t="n"/>
      <c r="T906" s="1842" t="n"/>
      <c r="U906" s="1842" t="n"/>
      <c r="V906" s="1842" t="n"/>
      <c r="W906" s="1842" t="n"/>
      <c r="X906" s="1842" t="n"/>
      <c r="Y906" s="1842" t="n"/>
      <c r="Z906" s="1842" t="n"/>
      <c r="AA906" s="1842" t="n"/>
      <c r="AB906" s="1842" t="n"/>
      <c r="AC906" s="1842" t="n"/>
      <c r="AD906" s="1842" t="n"/>
      <c r="AE906" s="1842" t="n"/>
      <c r="AF906" s="1842" t="n"/>
    </row>
    <row r="907" ht="13.5" customHeight="1" s="1883">
      <c r="A907" s="1842" t="n"/>
      <c r="B907" s="1842" t="n"/>
      <c r="C907" s="1842" t="n"/>
      <c r="D907" s="1842" t="n"/>
      <c r="E907" s="1842" t="n"/>
      <c r="F907" s="1842" t="n"/>
      <c r="G907" s="1842" t="n"/>
      <c r="H907" s="1842" t="n"/>
      <c r="I907" s="1842" t="n"/>
      <c r="J907" s="1842" t="n"/>
      <c r="K907" s="1842" t="n"/>
      <c r="L907" s="1842" t="n"/>
      <c r="M907" s="1842" t="n"/>
      <c r="N907" s="1842" t="n"/>
      <c r="O907" s="1842" t="n"/>
      <c r="P907" s="1842" t="n"/>
      <c r="Q907" s="1842" t="n"/>
      <c r="R907" s="1842" t="n"/>
      <c r="S907" s="1842" t="n"/>
      <c r="T907" s="1842" t="n"/>
      <c r="U907" s="1842" t="n"/>
      <c r="V907" s="1842" t="n"/>
      <c r="W907" s="1842" t="n"/>
      <c r="X907" s="1842" t="n"/>
      <c r="Y907" s="1842" t="n"/>
      <c r="Z907" s="1842" t="n"/>
      <c r="AA907" s="1842" t="n"/>
      <c r="AB907" s="1842" t="n"/>
      <c r="AC907" s="1842" t="n"/>
      <c r="AD907" s="1842" t="n"/>
      <c r="AE907" s="1842" t="n"/>
      <c r="AF907" s="1842" t="n"/>
    </row>
    <row r="908" ht="13.5" customHeight="1" s="1883">
      <c r="A908" s="1842" t="n"/>
      <c r="B908" s="1842" t="n"/>
      <c r="C908" s="1842" t="n"/>
      <c r="D908" s="1842" t="n"/>
      <c r="E908" s="1842" t="n"/>
      <c r="F908" s="1842" t="n"/>
      <c r="G908" s="1842" t="n"/>
      <c r="H908" s="1842" t="n"/>
      <c r="I908" s="1842" t="n"/>
      <c r="J908" s="1842" t="n"/>
      <c r="K908" s="1842" t="n"/>
      <c r="L908" s="1842" t="n"/>
      <c r="M908" s="1842" t="n"/>
      <c r="N908" s="1842" t="n"/>
      <c r="O908" s="1842" t="n"/>
      <c r="P908" s="1842" t="n"/>
      <c r="Q908" s="1842" t="n"/>
      <c r="R908" s="1842" t="n"/>
      <c r="S908" s="1842" t="n"/>
      <c r="T908" s="1842" t="n"/>
      <c r="U908" s="1842" t="n"/>
      <c r="V908" s="1842" t="n"/>
      <c r="W908" s="1842" t="n"/>
      <c r="X908" s="1842" t="n"/>
      <c r="Y908" s="1842" t="n"/>
      <c r="Z908" s="1842" t="n"/>
      <c r="AA908" s="1842" t="n"/>
      <c r="AB908" s="1842" t="n"/>
      <c r="AC908" s="1842" t="n"/>
      <c r="AD908" s="1842" t="n"/>
      <c r="AE908" s="1842" t="n"/>
      <c r="AF908" s="1842" t="n"/>
    </row>
    <row r="909" ht="13.5" customHeight="1" s="1883">
      <c r="A909" s="1842" t="n"/>
      <c r="B909" s="1842" t="n"/>
      <c r="C909" s="1842" t="n"/>
      <c r="D909" s="1842" t="n"/>
      <c r="E909" s="1842" t="n"/>
      <c r="F909" s="1842" t="n"/>
      <c r="G909" s="1842" t="n"/>
      <c r="H909" s="1842" t="n"/>
      <c r="I909" s="1842" t="n"/>
      <c r="J909" s="1842" t="n"/>
      <c r="K909" s="1842" t="n"/>
      <c r="L909" s="1842" t="n"/>
      <c r="M909" s="1842" t="n"/>
      <c r="N909" s="1842" t="n"/>
      <c r="O909" s="1842" t="n"/>
      <c r="P909" s="1842" t="n"/>
      <c r="Q909" s="1842" t="n"/>
      <c r="R909" s="1842" t="n"/>
      <c r="S909" s="1842" t="n"/>
      <c r="T909" s="1842" t="n"/>
      <c r="U909" s="1842" t="n"/>
      <c r="V909" s="1842" t="n"/>
      <c r="W909" s="1842" t="n"/>
      <c r="X909" s="1842" t="n"/>
      <c r="Y909" s="1842" t="n"/>
      <c r="Z909" s="1842" t="n"/>
      <c r="AA909" s="1842" t="n"/>
      <c r="AB909" s="1842" t="n"/>
      <c r="AC909" s="1842" t="n"/>
      <c r="AD909" s="1842" t="n"/>
      <c r="AE909" s="1842" t="n"/>
      <c r="AF909" s="1842" t="n"/>
    </row>
    <row r="910" ht="13.5" customHeight="1" s="1883">
      <c r="A910" s="1842" t="n"/>
      <c r="B910" s="1842" t="n"/>
      <c r="C910" s="1842" t="n"/>
      <c r="D910" s="1842" t="n"/>
      <c r="E910" s="1842" t="n"/>
      <c r="F910" s="1842" t="n"/>
      <c r="G910" s="1842" t="n"/>
      <c r="H910" s="1842" t="n"/>
      <c r="I910" s="1842" t="n"/>
      <c r="J910" s="1842" t="n"/>
      <c r="K910" s="1842" t="n"/>
      <c r="L910" s="1842" t="n"/>
      <c r="M910" s="1842" t="n"/>
      <c r="N910" s="1842" t="n"/>
      <c r="O910" s="1842" t="n"/>
      <c r="P910" s="1842" t="n"/>
      <c r="Q910" s="1842" t="n"/>
      <c r="R910" s="1842" t="n"/>
      <c r="S910" s="1842" t="n"/>
      <c r="T910" s="1842" t="n"/>
      <c r="U910" s="1842" t="n"/>
      <c r="V910" s="1842" t="n"/>
      <c r="W910" s="1842" t="n"/>
      <c r="X910" s="1842" t="n"/>
      <c r="Y910" s="1842" t="n"/>
      <c r="Z910" s="1842" t="n"/>
      <c r="AA910" s="1842" t="n"/>
      <c r="AB910" s="1842" t="n"/>
      <c r="AC910" s="1842" t="n"/>
      <c r="AD910" s="1842" t="n"/>
      <c r="AE910" s="1842" t="n"/>
      <c r="AF910" s="1842" t="n"/>
    </row>
    <row r="911" ht="13.5" customHeight="1" s="1883">
      <c r="A911" s="1842" t="n"/>
      <c r="B911" s="1842" t="n"/>
      <c r="C911" s="1842" t="n"/>
      <c r="D911" s="1842" t="n"/>
      <c r="E911" s="1842" t="n"/>
      <c r="F911" s="1842" t="n"/>
      <c r="G911" s="1842" t="n"/>
      <c r="H911" s="1842" t="n"/>
      <c r="I911" s="1842" t="n"/>
      <c r="J911" s="1842" t="n"/>
      <c r="K911" s="1842" t="n"/>
      <c r="L911" s="1842" t="n"/>
      <c r="M911" s="1842" t="n"/>
      <c r="N911" s="1842" t="n"/>
      <c r="O911" s="1842" t="n"/>
      <c r="P911" s="1842" t="n"/>
      <c r="Q911" s="1842" t="n"/>
      <c r="R911" s="1842" t="n"/>
      <c r="S911" s="1842" t="n"/>
      <c r="T911" s="1842" t="n"/>
      <c r="U911" s="1842" t="n"/>
      <c r="V911" s="1842" t="n"/>
      <c r="W911" s="1842" t="n"/>
      <c r="X911" s="1842" t="n"/>
      <c r="Y911" s="1842" t="n"/>
      <c r="Z911" s="1842" t="n"/>
      <c r="AA911" s="1842" t="n"/>
      <c r="AB911" s="1842" t="n"/>
      <c r="AC911" s="1842" t="n"/>
      <c r="AD911" s="1842" t="n"/>
      <c r="AE911" s="1842" t="n"/>
      <c r="AF911" s="1842" t="n"/>
    </row>
    <row r="912" ht="13.5" customHeight="1" s="1883">
      <c r="A912" s="1842" t="n"/>
      <c r="B912" s="1842" t="n"/>
      <c r="C912" s="1842" t="n"/>
      <c r="D912" s="1842" t="n"/>
      <c r="E912" s="1842" t="n"/>
      <c r="F912" s="1842" t="n"/>
      <c r="G912" s="1842" t="n"/>
      <c r="H912" s="1842" t="n"/>
      <c r="I912" s="1842" t="n"/>
      <c r="J912" s="1842" t="n"/>
      <c r="K912" s="1842" t="n"/>
      <c r="L912" s="1842" t="n"/>
      <c r="M912" s="1842" t="n"/>
      <c r="N912" s="1842" t="n"/>
      <c r="O912" s="1842" t="n"/>
      <c r="P912" s="1842" t="n"/>
      <c r="Q912" s="1842" t="n"/>
      <c r="R912" s="1842" t="n"/>
      <c r="S912" s="1842" t="n"/>
      <c r="T912" s="1842" t="n"/>
      <c r="U912" s="1842" t="n"/>
      <c r="V912" s="1842" t="n"/>
      <c r="W912" s="1842" t="n"/>
      <c r="X912" s="1842" t="n"/>
      <c r="Y912" s="1842" t="n"/>
      <c r="Z912" s="1842" t="n"/>
      <c r="AA912" s="1842" t="n"/>
      <c r="AB912" s="1842" t="n"/>
      <c r="AC912" s="1842" t="n"/>
      <c r="AD912" s="1842" t="n"/>
      <c r="AE912" s="1842" t="n"/>
      <c r="AF912" s="1842" t="n"/>
    </row>
    <row r="913" ht="13.5" customHeight="1" s="1883">
      <c r="A913" s="1842" t="n"/>
      <c r="B913" s="1842" t="n"/>
      <c r="C913" s="1842" t="n"/>
      <c r="D913" s="1842" t="n"/>
      <c r="E913" s="1842" t="n"/>
      <c r="F913" s="1842" t="n"/>
      <c r="G913" s="1842" t="n"/>
      <c r="H913" s="1842" t="n"/>
      <c r="I913" s="1842" t="n"/>
      <c r="J913" s="1842" t="n"/>
      <c r="K913" s="1842" t="n"/>
      <c r="L913" s="1842" t="n"/>
      <c r="M913" s="1842" t="n"/>
      <c r="N913" s="1842" t="n"/>
      <c r="O913" s="1842" t="n"/>
      <c r="P913" s="1842" t="n"/>
      <c r="Q913" s="1842" t="n"/>
      <c r="R913" s="1842" t="n"/>
      <c r="S913" s="1842" t="n"/>
      <c r="T913" s="1842" t="n"/>
      <c r="U913" s="1842" t="n"/>
      <c r="V913" s="1842" t="n"/>
      <c r="W913" s="1842" t="n"/>
      <c r="X913" s="1842" t="n"/>
      <c r="Y913" s="1842" t="n"/>
      <c r="Z913" s="1842" t="n"/>
      <c r="AA913" s="1842" t="n"/>
      <c r="AB913" s="1842" t="n"/>
      <c r="AC913" s="1842" t="n"/>
      <c r="AD913" s="1842" t="n"/>
      <c r="AE913" s="1842" t="n"/>
      <c r="AF913" s="1842" t="n"/>
    </row>
    <row r="914" ht="13.5" customHeight="1" s="1883">
      <c r="A914" s="1842" t="n"/>
      <c r="B914" s="1842" t="n"/>
      <c r="C914" s="1842" t="n"/>
      <c r="D914" s="1842" t="n"/>
      <c r="E914" s="1842" t="n"/>
      <c r="F914" s="1842" t="n"/>
      <c r="G914" s="1842" t="n"/>
      <c r="H914" s="1842" t="n"/>
      <c r="I914" s="1842" t="n"/>
      <c r="J914" s="1842" t="n"/>
      <c r="K914" s="1842" t="n"/>
      <c r="L914" s="1842" t="n"/>
      <c r="M914" s="1842" t="n"/>
      <c r="N914" s="1842" t="n"/>
      <c r="O914" s="1842" t="n"/>
      <c r="P914" s="1842" t="n"/>
      <c r="Q914" s="1842" t="n"/>
      <c r="R914" s="1842" t="n"/>
      <c r="S914" s="1842" t="n"/>
      <c r="T914" s="1842" t="n"/>
      <c r="U914" s="1842" t="n"/>
      <c r="V914" s="1842" t="n"/>
      <c r="W914" s="1842" t="n"/>
      <c r="X914" s="1842" t="n"/>
      <c r="Y914" s="1842" t="n"/>
      <c r="Z914" s="1842" t="n"/>
      <c r="AA914" s="1842" t="n"/>
      <c r="AB914" s="1842" t="n"/>
      <c r="AC914" s="1842" t="n"/>
      <c r="AD914" s="1842" t="n"/>
      <c r="AE914" s="1842" t="n"/>
      <c r="AF914" s="1842" t="n"/>
    </row>
    <row r="915" ht="13.5" customHeight="1" s="1883">
      <c r="A915" s="1842" t="n"/>
      <c r="B915" s="1842" t="n"/>
      <c r="C915" s="1842" t="n"/>
      <c r="D915" s="1842" t="n"/>
      <c r="E915" s="1842" t="n"/>
      <c r="F915" s="1842" t="n"/>
      <c r="G915" s="1842" t="n"/>
      <c r="H915" s="1842" t="n"/>
      <c r="I915" s="1842" t="n"/>
      <c r="J915" s="1842" t="n"/>
      <c r="K915" s="1842" t="n"/>
      <c r="L915" s="1842" t="n"/>
      <c r="M915" s="1842" t="n"/>
      <c r="N915" s="1842" t="n"/>
      <c r="O915" s="1842" t="n"/>
      <c r="P915" s="1842" t="n"/>
      <c r="Q915" s="1842" t="n"/>
      <c r="R915" s="1842" t="n"/>
      <c r="S915" s="1842" t="n"/>
      <c r="T915" s="1842" t="n"/>
      <c r="U915" s="1842" t="n"/>
      <c r="V915" s="1842" t="n"/>
      <c r="W915" s="1842" t="n"/>
      <c r="X915" s="1842" t="n"/>
      <c r="Y915" s="1842" t="n"/>
      <c r="Z915" s="1842" t="n"/>
      <c r="AA915" s="1842" t="n"/>
      <c r="AB915" s="1842" t="n"/>
      <c r="AC915" s="1842" t="n"/>
      <c r="AD915" s="1842" t="n"/>
      <c r="AE915" s="1842" t="n"/>
      <c r="AF915" s="1842" t="n"/>
    </row>
    <row r="916" ht="13.5" customHeight="1" s="1883">
      <c r="A916" s="1842" t="n"/>
      <c r="B916" s="1842" t="n"/>
      <c r="C916" s="1842" t="n"/>
      <c r="D916" s="1842" t="n"/>
      <c r="E916" s="1842" t="n"/>
      <c r="F916" s="1842" t="n"/>
      <c r="G916" s="1842" t="n"/>
      <c r="H916" s="1842" t="n"/>
      <c r="I916" s="1842" t="n"/>
      <c r="J916" s="1842" t="n"/>
      <c r="K916" s="1842" t="n"/>
      <c r="L916" s="1842" t="n"/>
      <c r="M916" s="1842" t="n"/>
      <c r="N916" s="1842" t="n"/>
      <c r="O916" s="1842" t="n"/>
      <c r="P916" s="1842" t="n"/>
      <c r="Q916" s="1842" t="n"/>
      <c r="R916" s="1842" t="n"/>
      <c r="S916" s="1842" t="n"/>
      <c r="T916" s="1842" t="n"/>
      <c r="U916" s="1842" t="n"/>
      <c r="V916" s="1842" t="n"/>
      <c r="W916" s="1842" t="n"/>
      <c r="X916" s="1842" t="n"/>
      <c r="Y916" s="1842" t="n"/>
      <c r="Z916" s="1842" t="n"/>
      <c r="AA916" s="1842" t="n"/>
      <c r="AB916" s="1842" t="n"/>
      <c r="AC916" s="1842" t="n"/>
      <c r="AD916" s="1842" t="n"/>
      <c r="AE916" s="1842" t="n"/>
      <c r="AF916" s="1842" t="n"/>
    </row>
    <row r="917" ht="13.5" customHeight="1" s="1883">
      <c r="A917" s="1842" t="n"/>
      <c r="B917" s="1842" t="n"/>
      <c r="C917" s="1842" t="n"/>
      <c r="D917" s="1842" t="n"/>
      <c r="E917" s="1842" t="n"/>
      <c r="F917" s="1842" t="n"/>
      <c r="G917" s="1842" t="n"/>
      <c r="H917" s="1842" t="n"/>
      <c r="I917" s="1842" t="n"/>
      <c r="J917" s="1842" t="n"/>
      <c r="K917" s="1842" t="n"/>
      <c r="L917" s="1842" t="n"/>
      <c r="M917" s="1842" t="n"/>
      <c r="N917" s="1842" t="n"/>
      <c r="O917" s="1842" t="n"/>
      <c r="P917" s="1842" t="n"/>
      <c r="Q917" s="1842" t="n"/>
      <c r="R917" s="1842" t="n"/>
      <c r="S917" s="1842" t="n"/>
      <c r="T917" s="1842" t="n"/>
      <c r="U917" s="1842" t="n"/>
      <c r="V917" s="1842" t="n"/>
      <c r="W917" s="1842" t="n"/>
      <c r="X917" s="1842" t="n"/>
      <c r="Y917" s="1842" t="n"/>
      <c r="Z917" s="1842" t="n"/>
      <c r="AA917" s="1842" t="n"/>
      <c r="AB917" s="1842" t="n"/>
      <c r="AC917" s="1842" t="n"/>
      <c r="AD917" s="1842" t="n"/>
      <c r="AE917" s="1842" t="n"/>
      <c r="AF917" s="1842" t="n"/>
    </row>
    <row r="918" ht="13.5" customHeight="1" s="1883">
      <c r="A918" s="1842" t="n"/>
      <c r="B918" s="1842" t="n"/>
      <c r="C918" s="1842" t="n"/>
      <c r="D918" s="1842" t="n"/>
      <c r="E918" s="1842" t="n"/>
      <c r="F918" s="1842" t="n"/>
      <c r="G918" s="1842" t="n"/>
      <c r="H918" s="1842" t="n"/>
      <c r="I918" s="1842" t="n"/>
      <c r="J918" s="1842" t="n"/>
      <c r="K918" s="1842" t="n"/>
      <c r="L918" s="1842" t="n"/>
      <c r="M918" s="1842" t="n"/>
      <c r="N918" s="1842" t="n"/>
      <c r="O918" s="1842" t="n"/>
      <c r="P918" s="1842" t="n"/>
      <c r="Q918" s="1842" t="n"/>
      <c r="R918" s="1842" t="n"/>
      <c r="S918" s="1842" t="n"/>
      <c r="T918" s="1842" t="n"/>
      <c r="U918" s="1842" t="n"/>
      <c r="V918" s="1842" t="n"/>
      <c r="W918" s="1842" t="n"/>
      <c r="X918" s="1842" t="n"/>
      <c r="Y918" s="1842" t="n"/>
      <c r="Z918" s="1842" t="n"/>
      <c r="AA918" s="1842" t="n"/>
      <c r="AB918" s="1842" t="n"/>
      <c r="AC918" s="1842" t="n"/>
      <c r="AD918" s="1842" t="n"/>
      <c r="AE918" s="1842" t="n"/>
      <c r="AF918" s="1842" t="n"/>
    </row>
    <row r="919" ht="13.5" customHeight="1" s="1883">
      <c r="A919" s="1842" t="n"/>
      <c r="B919" s="1842" t="n"/>
      <c r="C919" s="1842" t="n"/>
      <c r="D919" s="1842" t="n"/>
      <c r="E919" s="1842" t="n"/>
      <c r="F919" s="1842" t="n"/>
      <c r="G919" s="1842" t="n"/>
      <c r="H919" s="1842" t="n"/>
      <c r="I919" s="1842" t="n"/>
      <c r="J919" s="1842" t="n"/>
      <c r="K919" s="1842" t="n"/>
      <c r="L919" s="1842" t="n"/>
      <c r="M919" s="1842" t="n"/>
      <c r="N919" s="1842" t="n"/>
      <c r="O919" s="1842" t="n"/>
      <c r="P919" s="1842" t="n"/>
      <c r="Q919" s="1842" t="n"/>
      <c r="R919" s="1842" t="n"/>
      <c r="S919" s="1842" t="n"/>
      <c r="T919" s="1842" t="n"/>
      <c r="U919" s="1842" t="n"/>
      <c r="V919" s="1842" t="n"/>
      <c r="W919" s="1842" t="n"/>
      <c r="X919" s="1842" t="n"/>
      <c r="Y919" s="1842" t="n"/>
      <c r="Z919" s="1842" t="n"/>
      <c r="AA919" s="1842" t="n"/>
      <c r="AB919" s="1842" t="n"/>
      <c r="AC919" s="1842" t="n"/>
      <c r="AD919" s="1842" t="n"/>
      <c r="AE919" s="1842" t="n"/>
      <c r="AF919" s="1842" t="n"/>
    </row>
    <row r="920" ht="13.5" customHeight="1" s="1883">
      <c r="A920" s="1842" t="n"/>
      <c r="B920" s="1842" t="n"/>
      <c r="C920" s="1842" t="n"/>
      <c r="D920" s="1842" t="n"/>
      <c r="E920" s="1842" t="n"/>
      <c r="F920" s="1842" t="n"/>
      <c r="G920" s="1842" t="n"/>
      <c r="H920" s="1842" t="n"/>
      <c r="I920" s="1842" t="n"/>
      <c r="J920" s="1842" t="n"/>
      <c r="K920" s="1842" t="n"/>
      <c r="L920" s="1842" t="n"/>
      <c r="M920" s="1842" t="n"/>
      <c r="N920" s="1842" t="n"/>
      <c r="O920" s="1842" t="n"/>
      <c r="P920" s="1842" t="n"/>
      <c r="Q920" s="1842" t="n"/>
      <c r="R920" s="1842" t="n"/>
      <c r="S920" s="1842" t="n"/>
      <c r="T920" s="1842" t="n"/>
      <c r="U920" s="1842" t="n"/>
      <c r="V920" s="1842" t="n"/>
      <c r="W920" s="1842" t="n"/>
      <c r="X920" s="1842" t="n"/>
      <c r="Y920" s="1842" t="n"/>
      <c r="Z920" s="1842" t="n"/>
      <c r="AA920" s="1842" t="n"/>
      <c r="AB920" s="1842" t="n"/>
      <c r="AC920" s="1842" t="n"/>
      <c r="AD920" s="1842" t="n"/>
      <c r="AE920" s="1842" t="n"/>
      <c r="AF920" s="1842" t="n"/>
    </row>
    <row r="921" ht="13.5" customHeight="1" s="1883">
      <c r="A921" s="1842" t="n"/>
      <c r="B921" s="1842" t="n"/>
      <c r="C921" s="1842" t="n"/>
      <c r="D921" s="1842" t="n"/>
      <c r="E921" s="1842" t="n"/>
      <c r="F921" s="1842" t="n"/>
      <c r="G921" s="1842" t="n"/>
      <c r="H921" s="1842" t="n"/>
      <c r="I921" s="1842" t="n"/>
      <c r="J921" s="1842" t="n"/>
      <c r="K921" s="1842" t="n"/>
      <c r="L921" s="1842" t="n"/>
      <c r="M921" s="1842" t="n"/>
      <c r="N921" s="1842" t="n"/>
      <c r="O921" s="1842" t="n"/>
      <c r="P921" s="1842" t="n"/>
      <c r="Q921" s="1842" t="n"/>
      <c r="R921" s="1842" t="n"/>
      <c r="S921" s="1842" t="n"/>
      <c r="T921" s="1842" t="n"/>
      <c r="U921" s="1842" t="n"/>
      <c r="V921" s="1842" t="n"/>
      <c r="W921" s="1842" t="n"/>
      <c r="X921" s="1842" t="n"/>
      <c r="Y921" s="1842" t="n"/>
      <c r="Z921" s="1842" t="n"/>
      <c r="AA921" s="1842" t="n"/>
      <c r="AB921" s="1842" t="n"/>
      <c r="AC921" s="1842" t="n"/>
      <c r="AD921" s="1842" t="n"/>
      <c r="AE921" s="1842" t="n"/>
      <c r="AF921" s="1842" t="n"/>
    </row>
    <row r="922" ht="13.5" customHeight="1" s="1883">
      <c r="A922" s="1842" t="n"/>
      <c r="B922" s="1842" t="n"/>
      <c r="C922" s="1842" t="n"/>
      <c r="D922" s="1842" t="n"/>
      <c r="E922" s="1842" t="n"/>
      <c r="F922" s="1842" t="n"/>
      <c r="G922" s="1842" t="n"/>
      <c r="H922" s="1842" t="n"/>
      <c r="I922" s="1842" t="n"/>
      <c r="J922" s="1842" t="n"/>
      <c r="K922" s="1842" t="n"/>
      <c r="L922" s="1842" t="n"/>
      <c r="M922" s="1842" t="n"/>
      <c r="N922" s="1842" t="n"/>
      <c r="O922" s="1842" t="n"/>
      <c r="P922" s="1842" t="n"/>
      <c r="Q922" s="1842" t="n"/>
      <c r="R922" s="1842" t="n"/>
      <c r="S922" s="1842" t="n"/>
      <c r="T922" s="1842" t="n"/>
      <c r="U922" s="1842" t="n"/>
      <c r="V922" s="1842" t="n"/>
      <c r="W922" s="1842" t="n"/>
      <c r="X922" s="1842" t="n"/>
      <c r="Y922" s="1842" t="n"/>
      <c r="Z922" s="1842" t="n"/>
      <c r="AA922" s="1842" t="n"/>
      <c r="AB922" s="1842" t="n"/>
      <c r="AC922" s="1842" t="n"/>
      <c r="AD922" s="1842" t="n"/>
      <c r="AE922" s="1842" t="n"/>
      <c r="AF922" s="1842" t="n"/>
    </row>
    <row r="923" ht="13.5" customHeight="1" s="1883">
      <c r="A923" s="1842" t="n"/>
      <c r="B923" s="1842" t="n"/>
      <c r="C923" s="1842" t="n"/>
      <c r="D923" s="1842" t="n"/>
      <c r="E923" s="1842" t="n"/>
      <c r="F923" s="1842" t="n"/>
      <c r="G923" s="1842" t="n"/>
      <c r="H923" s="1842" t="n"/>
      <c r="I923" s="1842" t="n"/>
      <c r="J923" s="1842" t="n"/>
      <c r="K923" s="1842" t="n"/>
      <c r="L923" s="1842" t="n"/>
      <c r="M923" s="1842" t="n"/>
      <c r="N923" s="1842" t="n"/>
      <c r="O923" s="1842" t="n"/>
      <c r="P923" s="1842" t="n"/>
      <c r="Q923" s="1842" t="n"/>
      <c r="R923" s="1842" t="n"/>
      <c r="S923" s="1842" t="n"/>
      <c r="T923" s="1842" t="n"/>
      <c r="U923" s="1842" t="n"/>
      <c r="V923" s="1842" t="n"/>
      <c r="W923" s="1842" t="n"/>
      <c r="X923" s="1842" t="n"/>
      <c r="Y923" s="1842" t="n"/>
      <c r="Z923" s="1842" t="n"/>
      <c r="AA923" s="1842" t="n"/>
      <c r="AB923" s="1842" t="n"/>
      <c r="AC923" s="1842" t="n"/>
      <c r="AD923" s="1842" t="n"/>
      <c r="AE923" s="1842" t="n"/>
      <c r="AF923" s="1842" t="n"/>
    </row>
    <row r="924" ht="13.5" customHeight="1" s="1883">
      <c r="A924" s="1842" t="n"/>
      <c r="B924" s="1842" t="n"/>
      <c r="C924" s="1842" t="n"/>
      <c r="D924" s="1842" t="n"/>
      <c r="E924" s="1842" t="n"/>
      <c r="F924" s="1842" t="n"/>
      <c r="G924" s="1842" t="n"/>
      <c r="H924" s="1842" t="n"/>
      <c r="I924" s="1842" t="n"/>
      <c r="J924" s="1842" t="n"/>
      <c r="K924" s="1842" t="n"/>
      <c r="L924" s="1842" t="n"/>
      <c r="M924" s="1842" t="n"/>
      <c r="N924" s="1842" t="n"/>
      <c r="O924" s="1842" t="n"/>
      <c r="P924" s="1842" t="n"/>
      <c r="Q924" s="1842" t="n"/>
      <c r="R924" s="1842" t="n"/>
      <c r="S924" s="1842" t="n"/>
      <c r="T924" s="1842" t="n"/>
      <c r="U924" s="1842" t="n"/>
      <c r="V924" s="1842" t="n"/>
      <c r="W924" s="1842" t="n"/>
      <c r="X924" s="1842" t="n"/>
      <c r="Y924" s="1842" t="n"/>
      <c r="Z924" s="1842" t="n"/>
      <c r="AA924" s="1842" t="n"/>
      <c r="AB924" s="1842" t="n"/>
      <c r="AC924" s="1842" t="n"/>
      <c r="AD924" s="1842" t="n"/>
      <c r="AE924" s="1842" t="n"/>
      <c r="AF924" s="1842" t="n"/>
    </row>
    <row r="925" ht="13.5" customHeight="1" s="1883">
      <c r="A925" s="1842" t="n"/>
      <c r="B925" s="1842" t="n"/>
      <c r="C925" s="1842" t="n"/>
      <c r="D925" s="1842" t="n"/>
      <c r="E925" s="1842" t="n"/>
      <c r="F925" s="1842" t="n"/>
      <c r="G925" s="1842" t="n"/>
      <c r="H925" s="1842" t="n"/>
      <c r="I925" s="1842" t="n"/>
      <c r="J925" s="1842" t="n"/>
      <c r="K925" s="1842" t="n"/>
      <c r="L925" s="1842" t="n"/>
      <c r="M925" s="1842" t="n"/>
      <c r="N925" s="1842" t="n"/>
      <c r="O925" s="1842" t="n"/>
      <c r="P925" s="1842" t="n"/>
      <c r="Q925" s="1842" t="n"/>
      <c r="R925" s="1842" t="n"/>
      <c r="S925" s="1842" t="n"/>
      <c r="T925" s="1842" t="n"/>
      <c r="U925" s="1842" t="n"/>
      <c r="V925" s="1842" t="n"/>
      <c r="W925" s="1842" t="n"/>
      <c r="X925" s="1842" t="n"/>
      <c r="Y925" s="1842" t="n"/>
      <c r="Z925" s="1842" t="n"/>
      <c r="AA925" s="1842" t="n"/>
      <c r="AB925" s="1842" t="n"/>
      <c r="AC925" s="1842" t="n"/>
      <c r="AD925" s="1842" t="n"/>
      <c r="AE925" s="1842" t="n"/>
      <c r="AF925" s="1842" t="n"/>
    </row>
    <row r="926" ht="13.5" customHeight="1" s="1883">
      <c r="A926" s="1842" t="n"/>
      <c r="B926" s="1842" t="n"/>
      <c r="C926" s="1842" t="n"/>
      <c r="D926" s="1842" t="n"/>
      <c r="E926" s="1842" t="n"/>
      <c r="F926" s="1842" t="n"/>
      <c r="G926" s="1842" t="n"/>
      <c r="H926" s="1842" t="n"/>
      <c r="I926" s="1842" t="n"/>
      <c r="J926" s="1842" t="n"/>
      <c r="K926" s="1842" t="n"/>
      <c r="L926" s="1842" t="n"/>
      <c r="M926" s="1842" t="n"/>
      <c r="N926" s="1842" t="n"/>
      <c r="O926" s="1842" t="n"/>
      <c r="P926" s="1842" t="n"/>
      <c r="Q926" s="1842" t="n"/>
      <c r="R926" s="1842" t="n"/>
      <c r="S926" s="1842" t="n"/>
      <c r="T926" s="1842" t="n"/>
      <c r="U926" s="1842" t="n"/>
      <c r="V926" s="1842" t="n"/>
      <c r="W926" s="1842" t="n"/>
      <c r="X926" s="1842" t="n"/>
      <c r="Y926" s="1842" t="n"/>
      <c r="Z926" s="1842" t="n"/>
      <c r="AA926" s="1842" t="n"/>
      <c r="AB926" s="1842" t="n"/>
      <c r="AC926" s="1842" t="n"/>
      <c r="AD926" s="1842" t="n"/>
      <c r="AE926" s="1842" t="n"/>
      <c r="AF926" s="1842" t="n"/>
    </row>
    <row r="927" ht="13.5" customHeight="1" s="1883">
      <c r="A927" s="1842" t="n"/>
      <c r="B927" s="1842" t="n"/>
      <c r="C927" s="1842" t="n"/>
      <c r="D927" s="1842" t="n"/>
      <c r="E927" s="1842" t="n"/>
      <c r="F927" s="1842" t="n"/>
      <c r="G927" s="1842" t="n"/>
      <c r="H927" s="1842" t="n"/>
      <c r="I927" s="1842" t="n"/>
      <c r="J927" s="1842" t="n"/>
      <c r="K927" s="1842" t="n"/>
      <c r="L927" s="1842" t="n"/>
      <c r="M927" s="1842" t="n"/>
      <c r="N927" s="1842" t="n"/>
      <c r="O927" s="1842" t="n"/>
      <c r="P927" s="1842" t="n"/>
      <c r="Q927" s="1842" t="n"/>
      <c r="R927" s="1842" t="n"/>
      <c r="S927" s="1842" t="n"/>
      <c r="T927" s="1842" t="n"/>
      <c r="U927" s="1842" t="n"/>
      <c r="V927" s="1842" t="n"/>
      <c r="W927" s="1842" t="n"/>
      <c r="X927" s="1842" t="n"/>
      <c r="Y927" s="1842" t="n"/>
      <c r="Z927" s="1842" t="n"/>
      <c r="AA927" s="1842" t="n"/>
      <c r="AB927" s="1842" t="n"/>
      <c r="AC927" s="1842" t="n"/>
      <c r="AD927" s="1842" t="n"/>
      <c r="AE927" s="1842" t="n"/>
      <c r="AF927" s="1842" t="n"/>
    </row>
    <row r="928" ht="13.5" customHeight="1" s="1883">
      <c r="A928" s="1842" t="n"/>
      <c r="B928" s="1842" t="n"/>
      <c r="C928" s="1842" t="n"/>
      <c r="D928" s="1842" t="n"/>
      <c r="E928" s="1842" t="n"/>
      <c r="F928" s="1842" t="n"/>
      <c r="G928" s="1842" t="n"/>
      <c r="H928" s="1842" t="n"/>
      <c r="I928" s="1842" t="n"/>
      <c r="J928" s="1842" t="n"/>
      <c r="K928" s="1842" t="n"/>
      <c r="L928" s="1842" t="n"/>
      <c r="M928" s="1842" t="n"/>
      <c r="N928" s="1842" t="n"/>
      <c r="O928" s="1842" t="n"/>
      <c r="P928" s="1842" t="n"/>
      <c r="Q928" s="1842" t="n"/>
      <c r="R928" s="1842" t="n"/>
      <c r="S928" s="1842" t="n"/>
      <c r="T928" s="1842" t="n"/>
      <c r="U928" s="1842" t="n"/>
      <c r="V928" s="1842" t="n"/>
      <c r="W928" s="1842" t="n"/>
      <c r="X928" s="1842" t="n"/>
      <c r="Y928" s="1842" t="n"/>
      <c r="Z928" s="1842" t="n"/>
      <c r="AA928" s="1842" t="n"/>
      <c r="AB928" s="1842" t="n"/>
      <c r="AC928" s="1842" t="n"/>
      <c r="AD928" s="1842" t="n"/>
      <c r="AE928" s="1842" t="n"/>
      <c r="AF928" s="1842" t="n"/>
    </row>
    <row r="929" ht="13.5" customHeight="1" s="1883">
      <c r="A929" s="1842" t="n"/>
      <c r="B929" s="1842" t="n"/>
      <c r="C929" s="1842" t="n"/>
      <c r="D929" s="1842" t="n"/>
      <c r="E929" s="1842" t="n"/>
      <c r="F929" s="1842" t="n"/>
      <c r="G929" s="1842" t="n"/>
      <c r="H929" s="1842" t="n"/>
      <c r="I929" s="1842" t="n"/>
      <c r="J929" s="1842" t="n"/>
      <c r="K929" s="1842" t="n"/>
      <c r="L929" s="1842" t="n"/>
      <c r="M929" s="1842" t="n"/>
      <c r="N929" s="1842" t="n"/>
      <c r="O929" s="1842" t="n"/>
      <c r="P929" s="1842" t="n"/>
      <c r="Q929" s="1842" t="n"/>
      <c r="R929" s="1842" t="n"/>
      <c r="S929" s="1842" t="n"/>
      <c r="T929" s="1842" t="n"/>
      <c r="U929" s="1842" t="n"/>
      <c r="V929" s="1842" t="n"/>
      <c r="W929" s="1842" t="n"/>
      <c r="X929" s="1842" t="n"/>
      <c r="Y929" s="1842" t="n"/>
      <c r="Z929" s="1842" t="n"/>
      <c r="AA929" s="1842" t="n"/>
      <c r="AB929" s="1842" t="n"/>
      <c r="AC929" s="1842" t="n"/>
      <c r="AD929" s="1842" t="n"/>
      <c r="AE929" s="1842" t="n"/>
      <c r="AF929" s="1842" t="n"/>
    </row>
    <row r="930" ht="13.5" customHeight="1" s="1883">
      <c r="A930" s="1842" t="n"/>
      <c r="B930" s="1842" t="n"/>
      <c r="C930" s="1842" t="n"/>
      <c r="D930" s="1842" t="n"/>
      <c r="E930" s="1842" t="n"/>
      <c r="F930" s="1842" t="n"/>
      <c r="G930" s="1842" t="n"/>
      <c r="H930" s="1842" t="n"/>
      <c r="I930" s="1842" t="n"/>
      <c r="J930" s="1842" t="n"/>
      <c r="K930" s="1842" t="n"/>
      <c r="L930" s="1842" t="n"/>
      <c r="M930" s="1842" t="n"/>
      <c r="N930" s="1842" t="n"/>
      <c r="O930" s="1842" t="n"/>
      <c r="P930" s="1842" t="n"/>
      <c r="Q930" s="1842" t="n"/>
      <c r="R930" s="1842" t="n"/>
      <c r="S930" s="1842" t="n"/>
      <c r="T930" s="1842" t="n"/>
      <c r="U930" s="1842" t="n"/>
      <c r="V930" s="1842" t="n"/>
      <c r="W930" s="1842" t="n"/>
      <c r="X930" s="1842" t="n"/>
      <c r="Y930" s="1842" t="n"/>
      <c r="Z930" s="1842" t="n"/>
      <c r="AA930" s="1842" t="n"/>
      <c r="AB930" s="1842" t="n"/>
      <c r="AC930" s="1842" t="n"/>
      <c r="AD930" s="1842" t="n"/>
      <c r="AE930" s="1842" t="n"/>
      <c r="AF930" s="1842" t="n"/>
    </row>
    <row r="931" ht="13.5" customHeight="1" s="1883">
      <c r="A931" s="1842" t="n"/>
      <c r="B931" s="1842" t="n"/>
      <c r="C931" s="1842" t="n"/>
      <c r="D931" s="1842" t="n"/>
      <c r="E931" s="1842" t="n"/>
      <c r="F931" s="1842" t="n"/>
      <c r="G931" s="1842" t="n"/>
      <c r="H931" s="1842" t="n"/>
      <c r="I931" s="1842" t="n"/>
      <c r="J931" s="1842" t="n"/>
      <c r="K931" s="1842" t="n"/>
      <c r="L931" s="1842" t="n"/>
      <c r="M931" s="1842" t="n"/>
      <c r="N931" s="1842" t="n"/>
      <c r="O931" s="1842" t="n"/>
      <c r="P931" s="1842" t="n"/>
      <c r="Q931" s="1842" t="n"/>
      <c r="R931" s="1842" t="n"/>
      <c r="S931" s="1842" t="n"/>
      <c r="T931" s="1842" t="n"/>
      <c r="U931" s="1842" t="n"/>
      <c r="V931" s="1842" t="n"/>
      <c r="W931" s="1842" t="n"/>
      <c r="X931" s="1842" t="n"/>
      <c r="Y931" s="1842" t="n"/>
      <c r="Z931" s="1842" t="n"/>
      <c r="AA931" s="1842" t="n"/>
      <c r="AB931" s="1842" t="n"/>
      <c r="AC931" s="1842" t="n"/>
      <c r="AD931" s="1842" t="n"/>
      <c r="AE931" s="1842" t="n"/>
      <c r="AF931" s="1842" t="n"/>
    </row>
    <row r="932" ht="13.5" customHeight="1" s="1883">
      <c r="A932" s="1842" t="n"/>
      <c r="B932" s="1842" t="n"/>
      <c r="C932" s="1842" t="n"/>
      <c r="D932" s="1842" t="n"/>
      <c r="E932" s="1842" t="n"/>
      <c r="F932" s="1842" t="n"/>
      <c r="G932" s="1842" t="n"/>
      <c r="H932" s="1842" t="n"/>
      <c r="I932" s="1842" t="n"/>
      <c r="J932" s="1842" t="n"/>
      <c r="K932" s="1842" t="n"/>
      <c r="L932" s="1842" t="n"/>
      <c r="M932" s="1842" t="n"/>
      <c r="N932" s="1842" t="n"/>
      <c r="O932" s="1842" t="n"/>
      <c r="P932" s="1842" t="n"/>
      <c r="Q932" s="1842" t="n"/>
      <c r="R932" s="1842" t="n"/>
      <c r="S932" s="1842" t="n"/>
      <c r="T932" s="1842" t="n"/>
      <c r="U932" s="1842" t="n"/>
      <c r="V932" s="1842" t="n"/>
      <c r="W932" s="1842" t="n"/>
      <c r="X932" s="1842" t="n"/>
      <c r="Y932" s="1842" t="n"/>
      <c r="Z932" s="1842" t="n"/>
      <c r="AA932" s="1842" t="n"/>
      <c r="AB932" s="1842" t="n"/>
      <c r="AC932" s="1842" t="n"/>
      <c r="AD932" s="1842" t="n"/>
      <c r="AE932" s="1842" t="n"/>
      <c r="AF932" s="1842" t="n"/>
    </row>
    <row r="933" ht="13.5" customHeight="1" s="1883">
      <c r="A933" s="1842" t="n"/>
      <c r="B933" s="1842" t="n"/>
      <c r="C933" s="1842" t="n"/>
      <c r="D933" s="1842" t="n"/>
      <c r="E933" s="1842" t="n"/>
      <c r="F933" s="1842" t="n"/>
      <c r="G933" s="1842" t="n"/>
      <c r="H933" s="1842" t="n"/>
      <c r="I933" s="1842" t="n"/>
      <c r="J933" s="1842" t="n"/>
      <c r="K933" s="1842" t="n"/>
      <c r="L933" s="1842" t="n"/>
      <c r="M933" s="1842" t="n"/>
      <c r="N933" s="1842" t="n"/>
      <c r="O933" s="1842" t="n"/>
      <c r="P933" s="1842" t="n"/>
      <c r="Q933" s="1842" t="n"/>
      <c r="R933" s="1842" t="n"/>
      <c r="S933" s="1842" t="n"/>
      <c r="T933" s="1842" t="n"/>
      <c r="U933" s="1842" t="n"/>
      <c r="V933" s="1842" t="n"/>
      <c r="W933" s="1842" t="n"/>
      <c r="X933" s="1842" t="n"/>
      <c r="Y933" s="1842" t="n"/>
      <c r="Z933" s="1842" t="n"/>
      <c r="AA933" s="1842" t="n"/>
      <c r="AB933" s="1842" t="n"/>
      <c r="AC933" s="1842" t="n"/>
      <c r="AD933" s="1842" t="n"/>
      <c r="AE933" s="1842" t="n"/>
      <c r="AF933" s="1842" t="n"/>
    </row>
    <row r="934" ht="13.5" customHeight="1" s="1883">
      <c r="A934" s="1842" t="n"/>
      <c r="B934" s="1842" t="n"/>
      <c r="C934" s="1842" t="n"/>
      <c r="D934" s="1842" t="n"/>
      <c r="E934" s="1842" t="n"/>
      <c r="F934" s="1842" t="n"/>
      <c r="G934" s="1842" t="n"/>
      <c r="H934" s="1842" t="n"/>
      <c r="I934" s="1842" t="n"/>
      <c r="J934" s="1842" t="n"/>
      <c r="K934" s="1842" t="n"/>
      <c r="L934" s="1842" t="n"/>
      <c r="M934" s="1842" t="n"/>
      <c r="N934" s="1842" t="n"/>
      <c r="O934" s="1842" t="n"/>
      <c r="P934" s="1842" t="n"/>
      <c r="Q934" s="1842" t="n"/>
      <c r="R934" s="1842" t="n"/>
      <c r="S934" s="1842" t="n"/>
      <c r="T934" s="1842" t="n"/>
      <c r="U934" s="1842" t="n"/>
      <c r="V934" s="1842" t="n"/>
      <c r="W934" s="1842" t="n"/>
      <c r="X934" s="1842" t="n"/>
      <c r="Y934" s="1842" t="n"/>
      <c r="Z934" s="1842" t="n"/>
      <c r="AA934" s="1842" t="n"/>
      <c r="AB934" s="1842" t="n"/>
      <c r="AC934" s="1842" t="n"/>
      <c r="AD934" s="1842" t="n"/>
      <c r="AE934" s="1842" t="n"/>
      <c r="AF934" s="1842" t="n"/>
    </row>
    <row r="935" ht="13.5" customHeight="1" s="1883">
      <c r="A935" s="1842" t="n"/>
      <c r="B935" s="1842" t="n"/>
      <c r="C935" s="1842" t="n"/>
      <c r="D935" s="1842" t="n"/>
      <c r="E935" s="1842" t="n"/>
      <c r="F935" s="1842" t="n"/>
      <c r="G935" s="1842" t="n"/>
      <c r="H935" s="1842" t="n"/>
      <c r="I935" s="1842" t="n"/>
      <c r="J935" s="1842" t="n"/>
      <c r="K935" s="1842" t="n"/>
      <c r="L935" s="1842" t="n"/>
      <c r="M935" s="1842" t="n"/>
      <c r="N935" s="1842" t="n"/>
      <c r="O935" s="1842" t="n"/>
      <c r="P935" s="1842" t="n"/>
      <c r="Q935" s="1842" t="n"/>
      <c r="R935" s="1842" t="n"/>
      <c r="S935" s="1842" t="n"/>
      <c r="T935" s="1842" t="n"/>
      <c r="U935" s="1842" t="n"/>
      <c r="V935" s="1842" t="n"/>
      <c r="W935" s="1842" t="n"/>
      <c r="X935" s="1842" t="n"/>
      <c r="Y935" s="1842" t="n"/>
      <c r="Z935" s="1842" t="n"/>
      <c r="AA935" s="1842" t="n"/>
      <c r="AB935" s="1842" t="n"/>
      <c r="AC935" s="1842" t="n"/>
      <c r="AD935" s="1842" t="n"/>
      <c r="AE935" s="1842" t="n"/>
      <c r="AF935" s="1842" t="n"/>
    </row>
    <row r="936" ht="13.5" customHeight="1" s="1883">
      <c r="A936" s="1842" t="n"/>
      <c r="B936" s="1842" t="n"/>
      <c r="C936" s="1842" t="n"/>
      <c r="D936" s="1842" t="n"/>
      <c r="E936" s="1842" t="n"/>
      <c r="F936" s="1842" t="n"/>
      <c r="G936" s="1842" t="n"/>
      <c r="H936" s="1842" t="n"/>
      <c r="I936" s="1842" t="n"/>
      <c r="J936" s="1842" t="n"/>
      <c r="K936" s="1842" t="n"/>
      <c r="L936" s="1842" t="n"/>
      <c r="M936" s="1842" t="n"/>
      <c r="N936" s="1842" t="n"/>
      <c r="O936" s="1842" t="n"/>
      <c r="P936" s="1842" t="n"/>
      <c r="Q936" s="1842" t="n"/>
      <c r="R936" s="1842" t="n"/>
      <c r="S936" s="1842" t="n"/>
      <c r="T936" s="1842" t="n"/>
      <c r="U936" s="1842" t="n"/>
      <c r="V936" s="1842" t="n"/>
      <c r="W936" s="1842" t="n"/>
      <c r="X936" s="1842" t="n"/>
      <c r="Y936" s="1842" t="n"/>
      <c r="Z936" s="1842" t="n"/>
      <c r="AA936" s="1842" t="n"/>
      <c r="AB936" s="1842" t="n"/>
      <c r="AC936" s="1842" t="n"/>
      <c r="AD936" s="1842" t="n"/>
      <c r="AE936" s="1842" t="n"/>
      <c r="AF936" s="1842" t="n"/>
    </row>
    <row r="937" ht="13.5" customHeight="1" s="1883">
      <c r="A937" s="1842" t="n"/>
      <c r="B937" s="1842" t="n"/>
      <c r="C937" s="1842" t="n"/>
      <c r="D937" s="1842" t="n"/>
      <c r="E937" s="1842" t="n"/>
      <c r="F937" s="1842" t="n"/>
      <c r="G937" s="1842" t="n"/>
      <c r="H937" s="1842" t="n"/>
      <c r="I937" s="1842" t="n"/>
      <c r="J937" s="1842" t="n"/>
      <c r="K937" s="1842" t="n"/>
      <c r="L937" s="1842" t="n"/>
      <c r="M937" s="1842" t="n"/>
      <c r="N937" s="1842" t="n"/>
      <c r="O937" s="1842" t="n"/>
      <c r="P937" s="1842" t="n"/>
      <c r="Q937" s="1842" t="n"/>
      <c r="R937" s="1842" t="n"/>
      <c r="S937" s="1842" t="n"/>
      <c r="T937" s="1842" t="n"/>
      <c r="U937" s="1842" t="n"/>
      <c r="V937" s="1842" t="n"/>
      <c r="W937" s="1842" t="n"/>
      <c r="X937" s="1842" t="n"/>
      <c r="Y937" s="1842" t="n"/>
      <c r="Z937" s="1842" t="n"/>
      <c r="AA937" s="1842" t="n"/>
      <c r="AB937" s="1842" t="n"/>
      <c r="AC937" s="1842" t="n"/>
      <c r="AD937" s="1842" t="n"/>
      <c r="AE937" s="1842" t="n"/>
      <c r="AF937" s="1842" t="n"/>
    </row>
    <row r="938" ht="13.5" customHeight="1" s="1883">
      <c r="A938" s="1842" t="n"/>
      <c r="B938" s="1842" t="n"/>
      <c r="C938" s="1842" t="n"/>
      <c r="D938" s="1842" t="n"/>
      <c r="E938" s="1842" t="n"/>
      <c r="F938" s="1842" t="n"/>
      <c r="G938" s="1842" t="n"/>
      <c r="H938" s="1842" t="n"/>
      <c r="I938" s="1842" t="n"/>
      <c r="J938" s="1842" t="n"/>
      <c r="K938" s="1842" t="n"/>
      <c r="L938" s="1842" t="n"/>
      <c r="M938" s="1842" t="n"/>
      <c r="N938" s="1842" t="n"/>
      <c r="O938" s="1842" t="n"/>
      <c r="P938" s="1842" t="n"/>
      <c r="Q938" s="1842" t="n"/>
      <c r="R938" s="1842" t="n"/>
      <c r="S938" s="1842" t="n"/>
      <c r="T938" s="1842" t="n"/>
      <c r="U938" s="1842" t="n"/>
      <c r="V938" s="1842" t="n"/>
      <c r="W938" s="1842" t="n"/>
      <c r="X938" s="1842" t="n"/>
      <c r="Y938" s="1842" t="n"/>
      <c r="Z938" s="1842" t="n"/>
      <c r="AA938" s="1842" t="n"/>
      <c r="AB938" s="1842" t="n"/>
      <c r="AC938" s="1842" t="n"/>
      <c r="AD938" s="1842" t="n"/>
      <c r="AE938" s="1842" t="n"/>
      <c r="AF938" s="1842" t="n"/>
    </row>
    <row r="939" ht="13.5" customHeight="1" s="1883">
      <c r="A939" s="1842" t="n"/>
      <c r="B939" s="1842" t="n"/>
      <c r="C939" s="1842" t="n"/>
      <c r="D939" s="1842" t="n"/>
      <c r="E939" s="1842" t="n"/>
      <c r="F939" s="1842" t="n"/>
      <c r="G939" s="1842" t="n"/>
      <c r="H939" s="1842" t="n"/>
      <c r="I939" s="1842" t="n"/>
      <c r="J939" s="1842" t="n"/>
      <c r="K939" s="1842" t="n"/>
      <c r="L939" s="1842" t="n"/>
      <c r="M939" s="1842" t="n"/>
      <c r="N939" s="1842" t="n"/>
      <c r="O939" s="1842" t="n"/>
      <c r="P939" s="1842" t="n"/>
      <c r="Q939" s="1842" t="n"/>
      <c r="R939" s="1842" t="n"/>
      <c r="S939" s="1842" t="n"/>
      <c r="T939" s="1842" t="n"/>
      <c r="U939" s="1842" t="n"/>
      <c r="V939" s="1842" t="n"/>
      <c r="W939" s="1842" t="n"/>
      <c r="X939" s="1842" t="n"/>
      <c r="Y939" s="1842" t="n"/>
      <c r="Z939" s="1842" t="n"/>
      <c r="AA939" s="1842" t="n"/>
      <c r="AB939" s="1842" t="n"/>
      <c r="AC939" s="1842" t="n"/>
      <c r="AD939" s="1842" t="n"/>
      <c r="AE939" s="1842" t="n"/>
      <c r="AF939" s="1842" t="n"/>
    </row>
    <row r="940" ht="13.5" customHeight="1" s="1883">
      <c r="A940" s="1842" t="n"/>
      <c r="B940" s="1842" t="n"/>
      <c r="C940" s="1842" t="n"/>
      <c r="D940" s="1842" t="n"/>
      <c r="E940" s="1842" t="n"/>
      <c r="F940" s="1842" t="n"/>
      <c r="G940" s="1842" t="n"/>
      <c r="H940" s="1842" t="n"/>
      <c r="I940" s="1842" t="n"/>
      <c r="J940" s="1842" t="n"/>
      <c r="K940" s="1842" t="n"/>
      <c r="L940" s="1842" t="n"/>
      <c r="M940" s="1842" t="n"/>
      <c r="N940" s="1842" t="n"/>
      <c r="O940" s="1842" t="n"/>
      <c r="P940" s="1842" t="n"/>
      <c r="Q940" s="1842" t="n"/>
      <c r="R940" s="1842" t="n"/>
      <c r="S940" s="1842" t="n"/>
      <c r="T940" s="1842" t="n"/>
      <c r="U940" s="1842" t="n"/>
      <c r="V940" s="1842" t="n"/>
      <c r="W940" s="1842" t="n"/>
      <c r="X940" s="1842" t="n"/>
      <c r="Y940" s="1842" t="n"/>
      <c r="Z940" s="1842" t="n"/>
      <c r="AA940" s="1842" t="n"/>
      <c r="AB940" s="1842" t="n"/>
      <c r="AC940" s="1842" t="n"/>
      <c r="AD940" s="1842" t="n"/>
      <c r="AE940" s="1842" t="n"/>
      <c r="AF940" s="1842" t="n"/>
    </row>
    <row r="941" ht="13.5" customHeight="1" s="1883">
      <c r="A941" s="1842" t="n"/>
      <c r="B941" s="1842" t="n"/>
      <c r="C941" s="1842" t="n"/>
      <c r="D941" s="1842" t="n"/>
      <c r="E941" s="1842" t="n"/>
      <c r="F941" s="1842" t="n"/>
      <c r="G941" s="1842" t="n"/>
      <c r="H941" s="1842" t="n"/>
      <c r="I941" s="1842" t="n"/>
      <c r="J941" s="1842" t="n"/>
      <c r="K941" s="1842" t="n"/>
      <c r="L941" s="1842" t="n"/>
      <c r="M941" s="1842" t="n"/>
      <c r="N941" s="1842" t="n"/>
      <c r="O941" s="1842" t="n"/>
      <c r="P941" s="1842" t="n"/>
      <c r="Q941" s="1842" t="n"/>
      <c r="R941" s="1842" t="n"/>
      <c r="S941" s="1842" t="n"/>
      <c r="T941" s="1842" t="n"/>
      <c r="U941" s="1842" t="n"/>
      <c r="V941" s="1842" t="n"/>
      <c r="W941" s="1842" t="n"/>
      <c r="X941" s="1842" t="n"/>
      <c r="Y941" s="1842" t="n"/>
      <c r="Z941" s="1842" t="n"/>
      <c r="AA941" s="1842" t="n"/>
      <c r="AB941" s="1842" t="n"/>
      <c r="AC941" s="1842" t="n"/>
      <c r="AD941" s="1842" t="n"/>
      <c r="AE941" s="1842" t="n"/>
      <c r="AF941" s="1842" t="n"/>
    </row>
    <row r="942" ht="13.5" customHeight="1" s="1883">
      <c r="A942" s="1842" t="n"/>
      <c r="B942" s="1842" t="n"/>
      <c r="C942" s="1842" t="n"/>
      <c r="D942" s="1842" t="n"/>
      <c r="E942" s="1842" t="n"/>
      <c r="F942" s="1842" t="n"/>
      <c r="G942" s="1842" t="n"/>
      <c r="H942" s="1842" t="n"/>
      <c r="I942" s="1842" t="n"/>
      <c r="J942" s="1842" t="n"/>
      <c r="K942" s="1842" t="n"/>
      <c r="L942" s="1842" t="n"/>
      <c r="M942" s="1842" t="n"/>
      <c r="N942" s="1842" t="n"/>
      <c r="O942" s="1842" t="n"/>
      <c r="P942" s="1842" t="n"/>
      <c r="Q942" s="1842" t="n"/>
      <c r="R942" s="1842" t="n"/>
      <c r="S942" s="1842" t="n"/>
      <c r="T942" s="1842" t="n"/>
      <c r="U942" s="1842" t="n"/>
      <c r="V942" s="1842" t="n"/>
      <c r="W942" s="1842" t="n"/>
      <c r="X942" s="1842" t="n"/>
      <c r="Y942" s="1842" t="n"/>
      <c r="Z942" s="1842" t="n"/>
      <c r="AA942" s="1842" t="n"/>
      <c r="AB942" s="1842" t="n"/>
      <c r="AC942" s="1842" t="n"/>
      <c r="AD942" s="1842" t="n"/>
      <c r="AE942" s="1842" t="n"/>
      <c r="AF942" s="1842" t="n"/>
    </row>
    <row r="943" ht="13.5" customHeight="1" s="1883">
      <c r="A943" s="1842" t="n"/>
      <c r="B943" s="1842" t="n"/>
      <c r="C943" s="1842" t="n"/>
      <c r="D943" s="1842" t="n"/>
      <c r="E943" s="1842" t="n"/>
      <c r="F943" s="1842" t="n"/>
      <c r="G943" s="1842" t="n"/>
      <c r="H943" s="1842" t="n"/>
      <c r="I943" s="1842" t="n"/>
      <c r="J943" s="1842" t="n"/>
      <c r="K943" s="1842" t="n"/>
      <c r="L943" s="1842" t="n"/>
      <c r="M943" s="1842" t="n"/>
      <c r="N943" s="1842" t="n"/>
      <c r="O943" s="1842" t="n"/>
      <c r="P943" s="1842" t="n"/>
      <c r="Q943" s="1842" t="n"/>
      <c r="R943" s="1842" t="n"/>
      <c r="S943" s="1842" t="n"/>
      <c r="T943" s="1842" t="n"/>
      <c r="U943" s="1842" t="n"/>
      <c r="V943" s="1842" t="n"/>
      <c r="W943" s="1842" t="n"/>
      <c r="X943" s="1842" t="n"/>
      <c r="Y943" s="1842" t="n"/>
      <c r="Z943" s="1842" t="n"/>
      <c r="AA943" s="1842" t="n"/>
      <c r="AB943" s="1842" t="n"/>
      <c r="AC943" s="1842" t="n"/>
      <c r="AD943" s="1842" t="n"/>
      <c r="AE943" s="1842" t="n"/>
      <c r="AF943" s="1842" t="n"/>
    </row>
    <row r="944" ht="13.5" customHeight="1" s="1883">
      <c r="A944" s="1842" t="n"/>
      <c r="B944" s="1842" t="n"/>
      <c r="C944" s="1842" t="n"/>
      <c r="D944" s="1842" t="n"/>
      <c r="E944" s="1842" t="n"/>
      <c r="F944" s="1842" t="n"/>
      <c r="G944" s="1842" t="n"/>
      <c r="H944" s="1842" t="n"/>
      <c r="I944" s="1842" t="n"/>
      <c r="J944" s="1842" t="n"/>
      <c r="K944" s="1842" t="n"/>
      <c r="L944" s="1842" t="n"/>
      <c r="M944" s="1842" t="n"/>
      <c r="N944" s="1842" t="n"/>
      <c r="O944" s="1842" t="n"/>
      <c r="P944" s="1842" t="n"/>
      <c r="Q944" s="1842" t="n"/>
      <c r="R944" s="1842" t="n"/>
      <c r="S944" s="1842" t="n"/>
      <c r="T944" s="1842" t="n"/>
      <c r="U944" s="1842" t="n"/>
      <c r="V944" s="1842" t="n"/>
      <c r="W944" s="1842" t="n"/>
      <c r="X944" s="1842" t="n"/>
      <c r="Y944" s="1842" t="n"/>
      <c r="Z944" s="1842" t="n"/>
      <c r="AA944" s="1842" t="n"/>
      <c r="AB944" s="1842" t="n"/>
      <c r="AC944" s="1842" t="n"/>
      <c r="AD944" s="1842" t="n"/>
      <c r="AE944" s="1842" t="n"/>
      <c r="AF944" s="1842" t="n"/>
    </row>
    <row r="945" ht="13.5" customHeight="1" s="1883">
      <c r="A945" s="1842" t="n"/>
      <c r="B945" s="1842" t="n"/>
      <c r="C945" s="1842" t="n"/>
      <c r="D945" s="1842" t="n"/>
      <c r="E945" s="1842" t="n"/>
      <c r="F945" s="1842" t="n"/>
      <c r="G945" s="1842" t="n"/>
      <c r="H945" s="1842" t="n"/>
      <c r="I945" s="1842" t="n"/>
      <c r="J945" s="1842" t="n"/>
      <c r="K945" s="1842" t="n"/>
      <c r="L945" s="1842" t="n"/>
      <c r="M945" s="1842" t="n"/>
      <c r="N945" s="1842" t="n"/>
      <c r="O945" s="1842" t="n"/>
      <c r="P945" s="1842" t="n"/>
      <c r="Q945" s="1842" t="n"/>
      <c r="R945" s="1842" t="n"/>
      <c r="S945" s="1842" t="n"/>
      <c r="T945" s="1842" t="n"/>
      <c r="U945" s="1842" t="n"/>
      <c r="V945" s="1842" t="n"/>
      <c r="W945" s="1842" t="n"/>
      <c r="X945" s="1842" t="n"/>
      <c r="Y945" s="1842" t="n"/>
      <c r="Z945" s="1842" t="n"/>
      <c r="AA945" s="1842" t="n"/>
      <c r="AB945" s="1842" t="n"/>
      <c r="AC945" s="1842" t="n"/>
      <c r="AD945" s="1842" t="n"/>
      <c r="AE945" s="1842" t="n"/>
      <c r="AF945" s="1842" t="n"/>
    </row>
    <row r="946" ht="13.5" customHeight="1" s="1883">
      <c r="A946" s="1842" t="n"/>
      <c r="B946" s="1842" t="n"/>
      <c r="C946" s="1842" t="n"/>
      <c r="D946" s="1842" t="n"/>
      <c r="E946" s="1842" t="n"/>
      <c r="F946" s="1842" t="n"/>
      <c r="G946" s="1842" t="n"/>
      <c r="H946" s="1842" t="n"/>
      <c r="I946" s="1842" t="n"/>
      <c r="J946" s="1842" t="n"/>
      <c r="K946" s="1842" t="n"/>
      <c r="L946" s="1842" t="n"/>
      <c r="M946" s="1842" t="n"/>
      <c r="N946" s="1842" t="n"/>
      <c r="O946" s="1842" t="n"/>
      <c r="P946" s="1842" t="n"/>
      <c r="Q946" s="1842" t="n"/>
      <c r="R946" s="1842" t="n"/>
      <c r="S946" s="1842" t="n"/>
      <c r="T946" s="1842" t="n"/>
      <c r="U946" s="1842" t="n"/>
      <c r="V946" s="1842" t="n"/>
      <c r="W946" s="1842" t="n"/>
      <c r="X946" s="1842" t="n"/>
      <c r="Y946" s="1842" t="n"/>
      <c r="Z946" s="1842" t="n"/>
      <c r="AA946" s="1842" t="n"/>
      <c r="AB946" s="1842" t="n"/>
      <c r="AC946" s="1842" t="n"/>
      <c r="AD946" s="1842" t="n"/>
      <c r="AE946" s="1842" t="n"/>
      <c r="AF946" s="1842" t="n"/>
    </row>
    <row r="947" ht="13.5" customHeight="1" s="1883">
      <c r="A947" s="1842" t="n"/>
      <c r="B947" s="1842" t="n"/>
      <c r="C947" s="1842" t="n"/>
      <c r="D947" s="1842" t="n"/>
      <c r="E947" s="1842" t="n"/>
      <c r="F947" s="1842" t="n"/>
      <c r="G947" s="1842" t="n"/>
      <c r="H947" s="1842" t="n"/>
      <c r="I947" s="1842" t="n"/>
      <c r="J947" s="1842" t="n"/>
      <c r="K947" s="1842" t="n"/>
      <c r="L947" s="1842" t="n"/>
      <c r="M947" s="1842" t="n"/>
      <c r="N947" s="1842" t="n"/>
      <c r="O947" s="1842" t="n"/>
      <c r="P947" s="1842" t="n"/>
      <c r="Q947" s="1842" t="n"/>
      <c r="R947" s="1842" t="n"/>
      <c r="S947" s="1842" t="n"/>
      <c r="T947" s="1842" t="n"/>
      <c r="U947" s="1842" t="n"/>
      <c r="V947" s="1842" t="n"/>
      <c r="W947" s="1842" t="n"/>
      <c r="X947" s="1842" t="n"/>
      <c r="Y947" s="1842" t="n"/>
      <c r="Z947" s="1842" t="n"/>
      <c r="AA947" s="1842" t="n"/>
      <c r="AB947" s="1842" t="n"/>
      <c r="AC947" s="1842" t="n"/>
      <c r="AD947" s="1842" t="n"/>
      <c r="AE947" s="1842" t="n"/>
      <c r="AF947" s="1842" t="n"/>
    </row>
    <row r="948" ht="13.5" customHeight="1" s="1883">
      <c r="A948" s="1842" t="n"/>
      <c r="B948" s="1842" t="n"/>
      <c r="C948" s="1842" t="n"/>
      <c r="D948" s="1842" t="n"/>
      <c r="E948" s="1842" t="n"/>
      <c r="F948" s="1842" t="n"/>
      <c r="G948" s="1842" t="n"/>
      <c r="H948" s="1842" t="n"/>
      <c r="I948" s="1842" t="n"/>
      <c r="J948" s="1842" t="n"/>
      <c r="K948" s="1842" t="n"/>
      <c r="L948" s="1842" t="n"/>
      <c r="M948" s="1842" t="n"/>
      <c r="N948" s="1842" t="n"/>
      <c r="O948" s="1842" t="n"/>
      <c r="P948" s="1842" t="n"/>
      <c r="Q948" s="1842" t="n"/>
      <c r="R948" s="1842" t="n"/>
      <c r="S948" s="1842" t="n"/>
      <c r="T948" s="1842" t="n"/>
      <c r="U948" s="1842" t="n"/>
      <c r="V948" s="1842" t="n"/>
      <c r="W948" s="1842" t="n"/>
      <c r="X948" s="1842" t="n"/>
      <c r="Y948" s="1842" t="n"/>
      <c r="Z948" s="1842" t="n"/>
      <c r="AA948" s="1842" t="n"/>
      <c r="AB948" s="1842" t="n"/>
      <c r="AC948" s="1842" t="n"/>
      <c r="AD948" s="1842" t="n"/>
      <c r="AE948" s="1842" t="n"/>
      <c r="AF948" s="1842" t="n"/>
    </row>
    <row r="949" ht="13.5" customHeight="1" s="1883">
      <c r="A949" s="1842" t="n"/>
      <c r="B949" s="1842" t="n"/>
      <c r="C949" s="1842" t="n"/>
      <c r="D949" s="1842" t="n"/>
      <c r="E949" s="1842" t="n"/>
      <c r="F949" s="1842" t="n"/>
      <c r="G949" s="1842" t="n"/>
      <c r="H949" s="1842" t="n"/>
      <c r="I949" s="1842" t="n"/>
      <c r="J949" s="1842" t="n"/>
      <c r="K949" s="1842" t="n"/>
      <c r="L949" s="1842" t="n"/>
      <c r="M949" s="1842" t="n"/>
      <c r="N949" s="1842" t="n"/>
      <c r="O949" s="1842" t="n"/>
      <c r="P949" s="1842" t="n"/>
      <c r="Q949" s="1842" t="n"/>
      <c r="R949" s="1842" t="n"/>
      <c r="S949" s="1842" t="n"/>
      <c r="T949" s="1842" t="n"/>
      <c r="U949" s="1842" t="n"/>
      <c r="V949" s="1842" t="n"/>
      <c r="W949" s="1842" t="n"/>
      <c r="X949" s="1842" t="n"/>
      <c r="Y949" s="1842" t="n"/>
      <c r="Z949" s="1842" t="n"/>
      <c r="AA949" s="1842" t="n"/>
      <c r="AB949" s="1842" t="n"/>
      <c r="AC949" s="1842" t="n"/>
      <c r="AD949" s="1842" t="n"/>
      <c r="AE949" s="1842" t="n"/>
      <c r="AF949" s="1842" t="n"/>
    </row>
    <row r="950" ht="13.5" customHeight="1" s="1883">
      <c r="A950" s="1842" t="n"/>
      <c r="B950" s="1842" t="n"/>
      <c r="C950" s="1842" t="n"/>
      <c r="D950" s="1842" t="n"/>
      <c r="E950" s="1842" t="n"/>
      <c r="F950" s="1842" t="n"/>
      <c r="G950" s="1842" t="n"/>
      <c r="H950" s="1842" t="n"/>
      <c r="I950" s="1842" t="n"/>
      <c r="J950" s="1842" t="n"/>
      <c r="K950" s="1842" t="n"/>
      <c r="L950" s="1842" t="n"/>
      <c r="M950" s="1842" t="n"/>
      <c r="N950" s="1842" t="n"/>
      <c r="O950" s="1842" t="n"/>
      <c r="P950" s="1842" t="n"/>
      <c r="Q950" s="1842" t="n"/>
      <c r="R950" s="1842" t="n"/>
      <c r="S950" s="1842" t="n"/>
      <c r="T950" s="1842" t="n"/>
      <c r="U950" s="1842" t="n"/>
      <c r="V950" s="1842" t="n"/>
      <c r="W950" s="1842" t="n"/>
      <c r="X950" s="1842" t="n"/>
      <c r="Y950" s="1842" t="n"/>
      <c r="Z950" s="1842" t="n"/>
      <c r="AA950" s="1842" t="n"/>
      <c r="AB950" s="1842" t="n"/>
      <c r="AC950" s="1842" t="n"/>
      <c r="AD950" s="1842" t="n"/>
      <c r="AE950" s="1842" t="n"/>
      <c r="AF950" s="1842" t="n"/>
    </row>
    <row r="951" ht="13.5" customHeight="1" s="1883">
      <c r="A951" s="1842" t="n"/>
      <c r="B951" s="1842" t="n"/>
      <c r="C951" s="1842" t="n"/>
      <c r="D951" s="1842" t="n"/>
      <c r="E951" s="1842" t="n"/>
      <c r="F951" s="1842" t="n"/>
      <c r="G951" s="1842" t="n"/>
      <c r="H951" s="1842" t="n"/>
      <c r="I951" s="1842" t="n"/>
      <c r="J951" s="1842" t="n"/>
      <c r="K951" s="1842" t="n"/>
      <c r="L951" s="1842" t="n"/>
      <c r="M951" s="1842" t="n"/>
      <c r="N951" s="1842" t="n"/>
      <c r="O951" s="1842" t="n"/>
      <c r="P951" s="1842" t="n"/>
      <c r="Q951" s="1842" t="n"/>
      <c r="R951" s="1842" t="n"/>
      <c r="S951" s="1842" t="n"/>
      <c r="T951" s="1842" t="n"/>
      <c r="U951" s="1842" t="n"/>
      <c r="V951" s="1842" t="n"/>
      <c r="W951" s="1842" t="n"/>
      <c r="X951" s="1842" t="n"/>
      <c r="Y951" s="1842" t="n"/>
      <c r="Z951" s="1842" t="n"/>
      <c r="AA951" s="1842" t="n"/>
      <c r="AB951" s="1842" t="n"/>
      <c r="AC951" s="1842" t="n"/>
      <c r="AD951" s="1842" t="n"/>
      <c r="AE951" s="1842" t="n"/>
      <c r="AF951" s="1842" t="n"/>
    </row>
    <row r="952" ht="13.5" customHeight="1" s="1883">
      <c r="A952" s="1842" t="n"/>
      <c r="B952" s="1842" t="n"/>
      <c r="C952" s="1842" t="n"/>
      <c r="D952" s="1842" t="n"/>
      <c r="E952" s="1842" t="n"/>
      <c r="F952" s="1842" t="n"/>
      <c r="G952" s="1842" t="n"/>
      <c r="H952" s="1842" t="n"/>
      <c r="I952" s="1842" t="n"/>
      <c r="J952" s="1842" t="n"/>
      <c r="K952" s="1842" t="n"/>
      <c r="L952" s="1842" t="n"/>
      <c r="M952" s="1842" t="n"/>
      <c r="N952" s="1842" t="n"/>
      <c r="O952" s="1842" t="n"/>
      <c r="P952" s="1842" t="n"/>
      <c r="Q952" s="1842" t="n"/>
      <c r="R952" s="1842" t="n"/>
      <c r="S952" s="1842" t="n"/>
      <c r="T952" s="1842" t="n"/>
      <c r="U952" s="1842" t="n"/>
      <c r="V952" s="1842" t="n"/>
      <c r="W952" s="1842" t="n"/>
      <c r="X952" s="1842" t="n"/>
      <c r="Y952" s="1842" t="n"/>
      <c r="Z952" s="1842" t="n"/>
      <c r="AA952" s="1842" t="n"/>
      <c r="AB952" s="1842" t="n"/>
      <c r="AC952" s="1842" t="n"/>
      <c r="AD952" s="1842" t="n"/>
      <c r="AE952" s="1842" t="n"/>
      <c r="AF952" s="1842" t="n"/>
    </row>
    <row r="953" ht="13.5" customHeight="1" s="1883">
      <c r="A953" s="1842" t="n"/>
      <c r="B953" s="1842" t="n"/>
      <c r="C953" s="1842" t="n"/>
      <c r="D953" s="1842" t="n"/>
      <c r="E953" s="1842" t="n"/>
      <c r="F953" s="1842" t="n"/>
      <c r="G953" s="1842" t="n"/>
      <c r="H953" s="1842" t="n"/>
      <c r="I953" s="1842" t="n"/>
      <c r="J953" s="1842" t="n"/>
      <c r="K953" s="1842" t="n"/>
      <c r="L953" s="1842" t="n"/>
      <c r="M953" s="1842" t="n"/>
      <c r="N953" s="1842" t="n"/>
      <c r="O953" s="1842" t="n"/>
      <c r="P953" s="1842" t="n"/>
      <c r="Q953" s="1842" t="n"/>
      <c r="R953" s="1842" t="n"/>
      <c r="S953" s="1842" t="n"/>
      <c r="T953" s="1842" t="n"/>
      <c r="U953" s="1842" t="n"/>
      <c r="V953" s="1842" t="n"/>
      <c r="W953" s="1842" t="n"/>
      <c r="X953" s="1842" t="n"/>
      <c r="Y953" s="1842" t="n"/>
      <c r="Z953" s="1842" t="n"/>
      <c r="AA953" s="1842" t="n"/>
      <c r="AB953" s="1842" t="n"/>
      <c r="AC953" s="1842" t="n"/>
      <c r="AD953" s="1842" t="n"/>
      <c r="AE953" s="1842" t="n"/>
      <c r="AF953" s="1842" t="n"/>
    </row>
    <row r="954" ht="13.5" customHeight="1" s="1883">
      <c r="A954" s="1842" t="n"/>
      <c r="B954" s="1842" t="n"/>
      <c r="C954" s="1842" t="n"/>
      <c r="D954" s="1842" t="n"/>
      <c r="E954" s="1842" t="n"/>
      <c r="F954" s="1842" t="n"/>
      <c r="G954" s="1842" t="n"/>
      <c r="H954" s="1842" t="n"/>
      <c r="I954" s="1842" t="n"/>
      <c r="J954" s="1842" t="n"/>
      <c r="K954" s="1842" t="n"/>
      <c r="L954" s="1842" t="n"/>
      <c r="M954" s="1842" t="n"/>
      <c r="N954" s="1842" t="n"/>
      <c r="O954" s="1842" t="n"/>
      <c r="P954" s="1842" t="n"/>
      <c r="Q954" s="1842" t="n"/>
      <c r="R954" s="1842" t="n"/>
      <c r="S954" s="1842" t="n"/>
      <c r="T954" s="1842" t="n"/>
      <c r="U954" s="1842" t="n"/>
      <c r="V954" s="1842" t="n"/>
      <c r="W954" s="1842" t="n"/>
      <c r="X954" s="1842" t="n"/>
      <c r="Y954" s="1842" t="n"/>
      <c r="Z954" s="1842" t="n"/>
      <c r="AA954" s="1842" t="n"/>
      <c r="AB954" s="1842" t="n"/>
      <c r="AC954" s="1842" t="n"/>
      <c r="AD954" s="1842" t="n"/>
      <c r="AE954" s="1842" t="n"/>
      <c r="AF954" s="1842" t="n"/>
    </row>
    <row r="955" ht="13.5" customHeight="1" s="1883">
      <c r="A955" s="1842" t="n"/>
      <c r="B955" s="1842" t="n"/>
      <c r="C955" s="1842" t="n"/>
      <c r="D955" s="1842" t="n"/>
      <c r="E955" s="1842" t="n"/>
      <c r="F955" s="1842" t="n"/>
      <c r="G955" s="1842" t="n"/>
      <c r="H955" s="1842" t="n"/>
      <c r="I955" s="1842" t="n"/>
      <c r="J955" s="1842" t="n"/>
      <c r="K955" s="1842" t="n"/>
      <c r="L955" s="1842" t="n"/>
      <c r="M955" s="1842" t="n"/>
      <c r="N955" s="1842" t="n"/>
      <c r="O955" s="1842" t="n"/>
      <c r="P955" s="1842" t="n"/>
      <c r="Q955" s="1842" t="n"/>
      <c r="R955" s="1842" t="n"/>
      <c r="S955" s="1842" t="n"/>
      <c r="T955" s="1842" t="n"/>
      <c r="U955" s="1842" t="n"/>
      <c r="V955" s="1842" t="n"/>
      <c r="W955" s="1842" t="n"/>
      <c r="X955" s="1842" t="n"/>
      <c r="Y955" s="1842" t="n"/>
      <c r="Z955" s="1842" t="n"/>
      <c r="AA955" s="1842" t="n"/>
      <c r="AB955" s="1842" t="n"/>
      <c r="AC955" s="1842" t="n"/>
      <c r="AD955" s="1842" t="n"/>
      <c r="AE955" s="1842" t="n"/>
      <c r="AF955" s="1842" t="n"/>
    </row>
    <row r="956" ht="13.5" customHeight="1" s="1883">
      <c r="A956" s="1842" t="n"/>
      <c r="B956" s="1842" t="n"/>
      <c r="C956" s="1842" t="n"/>
      <c r="D956" s="1842" t="n"/>
      <c r="E956" s="1842" t="n"/>
      <c r="F956" s="1842" t="n"/>
      <c r="G956" s="1842" t="n"/>
      <c r="H956" s="1842" t="n"/>
      <c r="I956" s="1842" t="n"/>
      <c r="J956" s="1842" t="n"/>
      <c r="K956" s="1842" t="n"/>
      <c r="L956" s="1842" t="n"/>
      <c r="M956" s="1842" t="n"/>
      <c r="N956" s="1842" t="n"/>
      <c r="O956" s="1842" t="n"/>
      <c r="P956" s="1842" t="n"/>
      <c r="Q956" s="1842" t="n"/>
      <c r="R956" s="1842" t="n"/>
      <c r="S956" s="1842" t="n"/>
      <c r="T956" s="1842" t="n"/>
      <c r="U956" s="1842" t="n"/>
      <c r="V956" s="1842" t="n"/>
      <c r="W956" s="1842" t="n"/>
      <c r="X956" s="1842" t="n"/>
      <c r="Y956" s="1842" t="n"/>
      <c r="Z956" s="1842" t="n"/>
      <c r="AA956" s="1842" t="n"/>
      <c r="AB956" s="1842" t="n"/>
      <c r="AC956" s="1842" t="n"/>
      <c r="AD956" s="1842" t="n"/>
      <c r="AE956" s="1842" t="n"/>
      <c r="AF956" s="1842" t="n"/>
    </row>
    <row r="957" ht="13.5" customHeight="1" s="1883">
      <c r="A957" s="1842" t="n"/>
      <c r="B957" s="1842" t="n"/>
      <c r="C957" s="1842" t="n"/>
      <c r="D957" s="1842" t="n"/>
      <c r="E957" s="1842" t="n"/>
      <c r="F957" s="1842" t="n"/>
      <c r="G957" s="1842" t="n"/>
      <c r="H957" s="1842" t="n"/>
      <c r="I957" s="1842" t="n"/>
      <c r="J957" s="1842" t="n"/>
      <c r="K957" s="1842" t="n"/>
      <c r="L957" s="1842" t="n"/>
      <c r="M957" s="1842" t="n"/>
      <c r="N957" s="1842" t="n"/>
      <c r="O957" s="1842" t="n"/>
      <c r="P957" s="1842" t="n"/>
      <c r="Q957" s="1842" t="n"/>
      <c r="R957" s="1842" t="n"/>
      <c r="S957" s="1842" t="n"/>
      <c r="T957" s="1842" t="n"/>
      <c r="U957" s="1842" t="n"/>
      <c r="V957" s="1842" t="n"/>
      <c r="W957" s="1842" t="n"/>
      <c r="X957" s="1842" t="n"/>
      <c r="Y957" s="1842" t="n"/>
      <c r="Z957" s="1842" t="n"/>
      <c r="AA957" s="1842" t="n"/>
      <c r="AB957" s="1842" t="n"/>
      <c r="AC957" s="1842" t="n"/>
      <c r="AD957" s="1842" t="n"/>
      <c r="AE957" s="1842" t="n"/>
      <c r="AF957" s="1842" t="n"/>
    </row>
    <row r="958" ht="13.5" customHeight="1" s="1883">
      <c r="A958" s="1842" t="n"/>
      <c r="B958" s="1842" t="n"/>
      <c r="C958" s="1842" t="n"/>
      <c r="D958" s="1842" t="n"/>
      <c r="E958" s="1842" t="n"/>
      <c r="F958" s="1842" t="n"/>
      <c r="G958" s="1842" t="n"/>
      <c r="H958" s="1842" t="n"/>
      <c r="I958" s="1842" t="n"/>
      <c r="J958" s="1842" t="n"/>
      <c r="K958" s="1842" t="n"/>
      <c r="L958" s="1842" t="n"/>
      <c r="M958" s="1842" t="n"/>
      <c r="N958" s="1842" t="n"/>
      <c r="O958" s="1842" t="n"/>
      <c r="P958" s="1842" t="n"/>
      <c r="Q958" s="1842" t="n"/>
      <c r="R958" s="1842" t="n"/>
      <c r="S958" s="1842" t="n"/>
      <c r="T958" s="1842" t="n"/>
      <c r="U958" s="1842" t="n"/>
      <c r="V958" s="1842" t="n"/>
      <c r="W958" s="1842" t="n"/>
      <c r="X958" s="1842" t="n"/>
      <c r="Y958" s="1842" t="n"/>
      <c r="Z958" s="1842" t="n"/>
      <c r="AA958" s="1842" t="n"/>
      <c r="AB958" s="1842" t="n"/>
      <c r="AC958" s="1842" t="n"/>
      <c r="AD958" s="1842" t="n"/>
      <c r="AE958" s="1842" t="n"/>
      <c r="AF958" s="1842" t="n"/>
    </row>
    <row r="959" ht="13.5" customHeight="1" s="1883">
      <c r="A959" s="1842" t="n"/>
      <c r="B959" s="1842" t="n"/>
      <c r="C959" s="1842" t="n"/>
      <c r="D959" s="1842" t="n"/>
      <c r="E959" s="1842" t="n"/>
      <c r="F959" s="1842" t="n"/>
      <c r="G959" s="1842" t="n"/>
      <c r="H959" s="1842" t="n"/>
      <c r="I959" s="1842" t="n"/>
      <c r="J959" s="1842" t="n"/>
      <c r="K959" s="1842" t="n"/>
      <c r="L959" s="1842" t="n"/>
      <c r="M959" s="1842" t="n"/>
      <c r="N959" s="1842" t="n"/>
      <c r="O959" s="1842" t="n"/>
      <c r="P959" s="1842" t="n"/>
      <c r="Q959" s="1842" t="n"/>
      <c r="R959" s="1842" t="n"/>
      <c r="S959" s="1842" t="n"/>
      <c r="T959" s="1842" t="n"/>
      <c r="U959" s="1842" t="n"/>
      <c r="V959" s="1842" t="n"/>
      <c r="W959" s="1842" t="n"/>
      <c r="X959" s="1842" t="n"/>
      <c r="Y959" s="1842" t="n"/>
      <c r="Z959" s="1842" t="n"/>
      <c r="AA959" s="1842" t="n"/>
      <c r="AB959" s="1842" t="n"/>
      <c r="AC959" s="1842" t="n"/>
      <c r="AD959" s="1842" t="n"/>
      <c r="AE959" s="1842" t="n"/>
      <c r="AF959" s="1842" t="n"/>
    </row>
    <row r="960" ht="13.5" customHeight="1" s="1883">
      <c r="A960" s="1842" t="n"/>
      <c r="B960" s="1842" t="n"/>
      <c r="C960" s="1842" t="n"/>
      <c r="D960" s="1842" t="n"/>
      <c r="E960" s="1842" t="n"/>
      <c r="F960" s="1842" t="n"/>
      <c r="G960" s="1842" t="n"/>
      <c r="H960" s="1842" t="n"/>
      <c r="I960" s="1842" t="n"/>
      <c r="J960" s="1842" t="n"/>
      <c r="K960" s="1842" t="n"/>
      <c r="L960" s="1842" t="n"/>
      <c r="M960" s="1842" t="n"/>
      <c r="N960" s="1842" t="n"/>
      <c r="O960" s="1842" t="n"/>
      <c r="P960" s="1842" t="n"/>
      <c r="Q960" s="1842" t="n"/>
      <c r="R960" s="1842" t="n"/>
      <c r="S960" s="1842" t="n"/>
      <c r="T960" s="1842" t="n"/>
      <c r="U960" s="1842" t="n"/>
      <c r="V960" s="1842" t="n"/>
      <c r="W960" s="1842" t="n"/>
      <c r="X960" s="1842" t="n"/>
      <c r="Y960" s="1842" t="n"/>
      <c r="Z960" s="1842" t="n"/>
      <c r="AA960" s="1842" t="n"/>
      <c r="AB960" s="1842" t="n"/>
      <c r="AC960" s="1842" t="n"/>
      <c r="AD960" s="1842" t="n"/>
      <c r="AE960" s="1842" t="n"/>
      <c r="AF960" s="1842" t="n"/>
    </row>
    <row r="961" ht="13.5" customHeight="1" s="1883">
      <c r="A961" s="1842" t="n"/>
      <c r="B961" s="1842" t="n"/>
      <c r="C961" s="1842" t="n"/>
      <c r="D961" s="1842" t="n"/>
      <c r="E961" s="1842" t="n"/>
      <c r="F961" s="1842" t="n"/>
      <c r="G961" s="1842" t="n"/>
      <c r="H961" s="1842" t="n"/>
      <c r="I961" s="1842" t="n"/>
      <c r="J961" s="1842" t="n"/>
      <c r="K961" s="1842" t="n"/>
      <c r="L961" s="1842" t="n"/>
      <c r="M961" s="1842" t="n"/>
      <c r="N961" s="1842" t="n"/>
      <c r="O961" s="1842" t="n"/>
      <c r="P961" s="1842" t="n"/>
      <c r="Q961" s="1842" t="n"/>
      <c r="R961" s="1842" t="n"/>
      <c r="S961" s="1842" t="n"/>
      <c r="T961" s="1842" t="n"/>
      <c r="U961" s="1842" t="n"/>
      <c r="V961" s="1842" t="n"/>
      <c r="W961" s="1842" t="n"/>
      <c r="X961" s="1842" t="n"/>
      <c r="Y961" s="1842" t="n"/>
      <c r="Z961" s="1842" t="n"/>
      <c r="AA961" s="1842" t="n"/>
      <c r="AB961" s="1842" t="n"/>
      <c r="AC961" s="1842" t="n"/>
      <c r="AD961" s="1842" t="n"/>
      <c r="AE961" s="1842" t="n"/>
      <c r="AF961" s="1842" t="n"/>
    </row>
    <row r="962" ht="13.5" customHeight="1" s="1883">
      <c r="A962" s="1842" t="n"/>
      <c r="B962" s="1842" t="n"/>
      <c r="C962" s="1842" t="n"/>
      <c r="D962" s="1842" t="n"/>
      <c r="E962" s="1842" t="n"/>
      <c r="F962" s="1842" t="n"/>
      <c r="G962" s="1842" t="n"/>
      <c r="H962" s="1842" t="n"/>
      <c r="I962" s="1842" t="n"/>
      <c r="J962" s="1842" t="n"/>
      <c r="K962" s="1842" t="n"/>
      <c r="L962" s="1842" t="n"/>
      <c r="M962" s="1842" t="n"/>
      <c r="N962" s="1842" t="n"/>
      <c r="O962" s="1842" t="n"/>
      <c r="P962" s="1842" t="n"/>
      <c r="Q962" s="1842" t="n"/>
      <c r="R962" s="1842" t="n"/>
      <c r="S962" s="1842" t="n"/>
      <c r="T962" s="1842" t="n"/>
      <c r="U962" s="1842" t="n"/>
      <c r="V962" s="1842" t="n"/>
      <c r="W962" s="1842" t="n"/>
      <c r="X962" s="1842" t="n"/>
      <c r="Y962" s="1842" t="n"/>
      <c r="Z962" s="1842" t="n"/>
      <c r="AA962" s="1842" t="n"/>
      <c r="AB962" s="1842" t="n"/>
      <c r="AC962" s="1842" t="n"/>
      <c r="AD962" s="1842" t="n"/>
      <c r="AE962" s="1842" t="n"/>
      <c r="AF962" s="1842" t="n"/>
    </row>
    <row r="963" ht="13.5" customHeight="1" s="1883">
      <c r="A963" s="1842" t="n"/>
      <c r="B963" s="1842" t="n"/>
      <c r="C963" s="1842" t="n"/>
      <c r="D963" s="1842" t="n"/>
      <c r="E963" s="1842" t="n"/>
      <c r="F963" s="1842" t="n"/>
      <c r="G963" s="1842" t="n"/>
      <c r="H963" s="1842" t="n"/>
      <c r="I963" s="1842" t="n"/>
      <c r="J963" s="1842" t="n"/>
      <c r="K963" s="1842" t="n"/>
      <c r="L963" s="1842" t="n"/>
      <c r="M963" s="1842" t="n"/>
      <c r="N963" s="1842" t="n"/>
      <c r="O963" s="1842" t="n"/>
      <c r="P963" s="1842" t="n"/>
      <c r="Q963" s="1842" t="n"/>
      <c r="R963" s="1842" t="n"/>
      <c r="S963" s="1842" t="n"/>
      <c r="T963" s="1842" t="n"/>
      <c r="U963" s="1842" t="n"/>
      <c r="V963" s="1842" t="n"/>
      <c r="W963" s="1842" t="n"/>
      <c r="X963" s="1842" t="n"/>
      <c r="Y963" s="1842" t="n"/>
      <c r="Z963" s="1842" t="n"/>
      <c r="AA963" s="1842" t="n"/>
      <c r="AB963" s="1842" t="n"/>
      <c r="AC963" s="1842" t="n"/>
      <c r="AD963" s="1842" t="n"/>
      <c r="AE963" s="1842" t="n"/>
      <c r="AF963" s="1842" t="n"/>
    </row>
    <row r="964" ht="13.5" customHeight="1" s="1883">
      <c r="A964" s="1842" t="n"/>
      <c r="B964" s="1842" t="n"/>
      <c r="C964" s="1842" t="n"/>
      <c r="D964" s="1842" t="n"/>
      <c r="E964" s="1842" t="n"/>
      <c r="F964" s="1842" t="n"/>
      <c r="G964" s="1842" t="n"/>
      <c r="H964" s="1842" t="n"/>
      <c r="I964" s="1842" t="n"/>
      <c r="J964" s="1842" t="n"/>
      <c r="K964" s="1842" t="n"/>
      <c r="L964" s="1842" t="n"/>
      <c r="M964" s="1842" t="n"/>
      <c r="N964" s="1842" t="n"/>
      <c r="O964" s="1842" t="n"/>
      <c r="P964" s="1842" t="n"/>
      <c r="Q964" s="1842" t="n"/>
      <c r="R964" s="1842" t="n"/>
      <c r="S964" s="1842" t="n"/>
      <c r="T964" s="1842" t="n"/>
      <c r="U964" s="1842" t="n"/>
      <c r="V964" s="1842" t="n"/>
      <c r="W964" s="1842" t="n"/>
      <c r="X964" s="1842" t="n"/>
      <c r="Y964" s="1842" t="n"/>
      <c r="Z964" s="1842" t="n"/>
      <c r="AA964" s="1842" t="n"/>
      <c r="AB964" s="1842" t="n"/>
      <c r="AC964" s="1842" t="n"/>
      <c r="AD964" s="1842" t="n"/>
      <c r="AE964" s="1842" t="n"/>
      <c r="AF964" s="1842" t="n"/>
    </row>
    <row r="965" ht="13.5" customHeight="1" s="1883">
      <c r="A965" s="1842" t="n"/>
      <c r="B965" s="1842" t="n"/>
      <c r="C965" s="1842" t="n"/>
      <c r="D965" s="1842" t="n"/>
      <c r="E965" s="1842" t="n"/>
      <c r="F965" s="1842" t="n"/>
      <c r="G965" s="1842" t="n"/>
      <c r="H965" s="1842" t="n"/>
      <c r="I965" s="1842" t="n"/>
      <c r="J965" s="1842" t="n"/>
      <c r="K965" s="1842" t="n"/>
      <c r="L965" s="1842" t="n"/>
      <c r="M965" s="1842" t="n"/>
      <c r="N965" s="1842" t="n"/>
      <c r="O965" s="1842" t="n"/>
      <c r="P965" s="1842" t="n"/>
      <c r="Q965" s="1842" t="n"/>
      <c r="R965" s="1842" t="n"/>
      <c r="S965" s="1842" t="n"/>
      <c r="T965" s="1842" t="n"/>
      <c r="U965" s="1842" t="n"/>
      <c r="V965" s="1842" t="n"/>
      <c r="W965" s="1842" t="n"/>
      <c r="X965" s="1842" t="n"/>
      <c r="Y965" s="1842" t="n"/>
      <c r="Z965" s="1842" t="n"/>
      <c r="AA965" s="1842" t="n"/>
      <c r="AB965" s="1842" t="n"/>
      <c r="AC965" s="1842" t="n"/>
      <c r="AD965" s="1842" t="n"/>
      <c r="AE965" s="1842" t="n"/>
      <c r="AF965" s="1842" t="n"/>
    </row>
    <row r="966" ht="13.5" customHeight="1" s="1883">
      <c r="A966" s="1842" t="n"/>
      <c r="B966" s="1842" t="n"/>
      <c r="C966" s="1842" t="n"/>
      <c r="D966" s="1842" t="n"/>
      <c r="E966" s="1842" t="n"/>
      <c r="F966" s="1842" t="n"/>
      <c r="G966" s="1842" t="n"/>
      <c r="H966" s="1842" t="n"/>
      <c r="I966" s="1842" t="n"/>
      <c r="J966" s="1842" t="n"/>
      <c r="K966" s="1842" t="n"/>
      <c r="L966" s="1842" t="n"/>
      <c r="M966" s="1842" t="n"/>
      <c r="N966" s="1842" t="n"/>
      <c r="O966" s="1842" t="n"/>
      <c r="P966" s="1842" t="n"/>
      <c r="Q966" s="1842" t="n"/>
      <c r="R966" s="1842" t="n"/>
      <c r="S966" s="1842" t="n"/>
      <c r="T966" s="1842" t="n"/>
      <c r="U966" s="1842" t="n"/>
      <c r="V966" s="1842" t="n"/>
      <c r="W966" s="1842" t="n"/>
      <c r="X966" s="1842" t="n"/>
      <c r="Y966" s="1842" t="n"/>
      <c r="Z966" s="1842" t="n"/>
      <c r="AA966" s="1842" t="n"/>
      <c r="AB966" s="1842" t="n"/>
      <c r="AC966" s="1842" t="n"/>
      <c r="AD966" s="1842" t="n"/>
      <c r="AE966" s="1842" t="n"/>
      <c r="AF966" s="1842" t="n"/>
    </row>
    <row r="967" ht="13.5" customHeight="1" s="1883">
      <c r="A967" s="1842" t="n"/>
      <c r="B967" s="1842" t="n"/>
      <c r="C967" s="1842" t="n"/>
      <c r="D967" s="1842" t="n"/>
      <c r="E967" s="1842" t="n"/>
      <c r="F967" s="1842" t="n"/>
      <c r="G967" s="1842" t="n"/>
      <c r="H967" s="1842" t="n"/>
      <c r="I967" s="1842" t="n"/>
      <c r="J967" s="1842" t="n"/>
      <c r="K967" s="1842" t="n"/>
      <c r="L967" s="1842" t="n"/>
      <c r="M967" s="1842" t="n"/>
      <c r="N967" s="1842" t="n"/>
      <c r="O967" s="1842" t="n"/>
      <c r="P967" s="1842" t="n"/>
      <c r="Q967" s="1842" t="n"/>
      <c r="R967" s="1842" t="n"/>
      <c r="S967" s="1842" t="n"/>
      <c r="T967" s="1842" t="n"/>
      <c r="U967" s="1842" t="n"/>
      <c r="V967" s="1842" t="n"/>
      <c r="W967" s="1842" t="n"/>
      <c r="X967" s="1842" t="n"/>
      <c r="Y967" s="1842" t="n"/>
      <c r="Z967" s="1842" t="n"/>
      <c r="AA967" s="1842" t="n"/>
      <c r="AB967" s="1842" t="n"/>
      <c r="AC967" s="1842" t="n"/>
      <c r="AD967" s="1842" t="n"/>
      <c r="AE967" s="1842" t="n"/>
      <c r="AF967" s="1842" t="n"/>
    </row>
    <row r="968" ht="13.5" customHeight="1" s="1883">
      <c r="A968" s="1842" t="n"/>
      <c r="B968" s="1842" t="n"/>
      <c r="C968" s="1842" t="n"/>
      <c r="D968" s="1842" t="n"/>
      <c r="E968" s="1842" t="n"/>
      <c r="F968" s="1842" t="n"/>
      <c r="G968" s="1842" t="n"/>
      <c r="H968" s="1842" t="n"/>
      <c r="I968" s="1842" t="n"/>
      <c r="J968" s="1842" t="n"/>
      <c r="K968" s="1842" t="n"/>
      <c r="L968" s="1842" t="n"/>
      <c r="M968" s="1842" t="n"/>
      <c r="N968" s="1842" t="n"/>
      <c r="O968" s="1842" t="n"/>
      <c r="P968" s="1842" t="n"/>
      <c r="Q968" s="1842" t="n"/>
      <c r="R968" s="1842" t="n"/>
      <c r="S968" s="1842" t="n"/>
      <c r="T968" s="1842" t="n"/>
      <c r="U968" s="1842" t="n"/>
      <c r="V968" s="1842" t="n"/>
      <c r="W968" s="1842" t="n"/>
      <c r="X968" s="1842" t="n"/>
      <c r="Y968" s="1842" t="n"/>
      <c r="Z968" s="1842" t="n"/>
      <c r="AA968" s="1842" t="n"/>
      <c r="AB968" s="1842" t="n"/>
      <c r="AC968" s="1842" t="n"/>
      <c r="AD968" s="1842" t="n"/>
      <c r="AE968" s="1842" t="n"/>
      <c r="AF968" s="1842" t="n"/>
    </row>
    <row r="969" ht="13.5" customHeight="1" s="1883">
      <c r="A969" s="1842" t="n"/>
      <c r="B969" s="1842" t="n"/>
      <c r="C969" s="1842" t="n"/>
      <c r="D969" s="1842" t="n"/>
      <c r="E969" s="1842" t="n"/>
      <c r="F969" s="1842" t="n"/>
      <c r="G969" s="1842" t="n"/>
      <c r="H969" s="1842" t="n"/>
      <c r="I969" s="1842" t="n"/>
      <c r="J969" s="1842" t="n"/>
      <c r="K969" s="1842" t="n"/>
      <c r="L969" s="1842" t="n"/>
      <c r="M969" s="1842" t="n"/>
      <c r="N969" s="1842" t="n"/>
      <c r="O969" s="1842" t="n"/>
      <c r="P969" s="1842" t="n"/>
      <c r="Q969" s="1842" t="n"/>
      <c r="R969" s="1842" t="n"/>
      <c r="S969" s="1842" t="n"/>
      <c r="T969" s="1842" t="n"/>
      <c r="U969" s="1842" t="n"/>
      <c r="V969" s="1842" t="n"/>
      <c r="W969" s="1842" t="n"/>
      <c r="X969" s="1842" t="n"/>
      <c r="Y969" s="1842" t="n"/>
      <c r="Z969" s="1842" t="n"/>
      <c r="AA969" s="1842" t="n"/>
      <c r="AB969" s="1842" t="n"/>
      <c r="AC969" s="1842" t="n"/>
      <c r="AD969" s="1842" t="n"/>
      <c r="AE969" s="1842" t="n"/>
      <c r="AF969" s="1842" t="n"/>
    </row>
    <row r="970" ht="13.5" customHeight="1" s="1883">
      <c r="A970" s="1842" t="n"/>
      <c r="B970" s="1842" t="n"/>
      <c r="C970" s="1842" t="n"/>
      <c r="D970" s="1842" t="n"/>
      <c r="E970" s="1842" t="n"/>
      <c r="F970" s="1842" t="n"/>
      <c r="G970" s="1842" t="n"/>
      <c r="H970" s="1842" t="n"/>
      <c r="I970" s="1842" t="n"/>
      <c r="J970" s="1842" t="n"/>
      <c r="K970" s="1842" t="n"/>
      <c r="L970" s="1842" t="n"/>
      <c r="M970" s="1842" t="n"/>
      <c r="N970" s="1842" t="n"/>
      <c r="O970" s="1842" t="n"/>
      <c r="P970" s="1842" t="n"/>
      <c r="Q970" s="1842" t="n"/>
      <c r="R970" s="1842" t="n"/>
      <c r="S970" s="1842" t="n"/>
      <c r="T970" s="1842" t="n"/>
      <c r="U970" s="1842" t="n"/>
      <c r="V970" s="1842" t="n"/>
      <c r="W970" s="1842" t="n"/>
      <c r="X970" s="1842" t="n"/>
      <c r="Y970" s="1842" t="n"/>
      <c r="Z970" s="1842" t="n"/>
      <c r="AA970" s="1842" t="n"/>
      <c r="AB970" s="1842" t="n"/>
      <c r="AC970" s="1842" t="n"/>
      <c r="AD970" s="1842" t="n"/>
      <c r="AE970" s="1842" t="n"/>
      <c r="AF970" s="1842" t="n"/>
    </row>
    <row r="971" ht="13.5" customHeight="1" s="1883">
      <c r="A971" s="1842" t="n"/>
      <c r="B971" s="1842" t="n"/>
      <c r="C971" s="1842" t="n"/>
      <c r="D971" s="1842" t="n"/>
      <c r="E971" s="1842" t="n"/>
      <c r="F971" s="1842" t="n"/>
      <c r="G971" s="1842" t="n"/>
      <c r="H971" s="1842" t="n"/>
      <c r="I971" s="1842" t="n"/>
      <c r="J971" s="1842" t="n"/>
      <c r="K971" s="1842" t="n"/>
      <c r="L971" s="1842" t="n"/>
      <c r="M971" s="1842" t="n"/>
      <c r="N971" s="1842" t="n"/>
      <c r="O971" s="1842" t="n"/>
      <c r="P971" s="1842" t="n"/>
      <c r="Q971" s="1842" t="n"/>
      <c r="R971" s="1842" t="n"/>
      <c r="S971" s="1842" t="n"/>
      <c r="T971" s="1842" t="n"/>
      <c r="U971" s="1842" t="n"/>
      <c r="V971" s="1842" t="n"/>
      <c r="W971" s="1842" t="n"/>
      <c r="X971" s="1842" t="n"/>
      <c r="Y971" s="1842" t="n"/>
      <c r="Z971" s="1842" t="n"/>
      <c r="AA971" s="1842" t="n"/>
      <c r="AB971" s="1842" t="n"/>
      <c r="AC971" s="1842" t="n"/>
      <c r="AD971" s="1842" t="n"/>
      <c r="AE971" s="1842" t="n"/>
      <c r="AF971" s="1842" t="n"/>
    </row>
    <row r="972" ht="13.5" customHeight="1" s="1883">
      <c r="A972" s="1842" t="n"/>
      <c r="B972" s="1842" t="n"/>
      <c r="C972" s="1842" t="n"/>
      <c r="D972" s="1842" t="n"/>
      <c r="E972" s="1842" t="n"/>
      <c r="F972" s="1842" t="n"/>
      <c r="G972" s="1842" t="n"/>
      <c r="H972" s="1842" t="n"/>
      <c r="I972" s="1842" t="n"/>
      <c r="J972" s="1842" t="n"/>
      <c r="K972" s="1842" t="n"/>
      <c r="L972" s="1842" t="n"/>
      <c r="M972" s="1842" t="n"/>
      <c r="N972" s="1842" t="n"/>
      <c r="O972" s="1842" t="n"/>
      <c r="P972" s="1842" t="n"/>
      <c r="Q972" s="1842" t="n"/>
      <c r="R972" s="1842" t="n"/>
      <c r="S972" s="1842" t="n"/>
      <c r="T972" s="1842" t="n"/>
      <c r="U972" s="1842" t="n"/>
      <c r="V972" s="1842" t="n"/>
      <c r="W972" s="1842" t="n"/>
      <c r="X972" s="1842" t="n"/>
      <c r="Y972" s="1842" t="n"/>
      <c r="Z972" s="1842" t="n"/>
      <c r="AA972" s="1842" t="n"/>
      <c r="AB972" s="1842" t="n"/>
      <c r="AC972" s="1842" t="n"/>
      <c r="AD972" s="1842" t="n"/>
      <c r="AE972" s="1842" t="n"/>
      <c r="AF972" s="1842" t="n"/>
    </row>
    <row r="973" ht="13.5" customHeight="1" s="1883">
      <c r="A973" s="1842" t="n"/>
      <c r="B973" s="1842" t="n"/>
      <c r="C973" s="1842" t="n"/>
      <c r="D973" s="1842" t="n"/>
      <c r="E973" s="1842" t="n"/>
      <c r="F973" s="1842" t="n"/>
      <c r="G973" s="1842" t="n"/>
      <c r="H973" s="1842" t="n"/>
      <c r="I973" s="1842" t="n"/>
      <c r="J973" s="1842" t="n"/>
      <c r="K973" s="1842" t="n"/>
      <c r="L973" s="1842" t="n"/>
      <c r="M973" s="1842" t="n"/>
      <c r="N973" s="1842" t="n"/>
      <c r="O973" s="1842" t="n"/>
      <c r="P973" s="1842" t="n"/>
      <c r="Q973" s="1842" t="n"/>
      <c r="R973" s="1842" t="n"/>
      <c r="S973" s="1842" t="n"/>
      <c r="T973" s="1842" t="n"/>
      <c r="U973" s="1842" t="n"/>
      <c r="V973" s="1842" t="n"/>
      <c r="W973" s="1842" t="n"/>
      <c r="X973" s="1842" t="n"/>
      <c r="Y973" s="1842" t="n"/>
      <c r="Z973" s="1842" t="n"/>
      <c r="AA973" s="1842" t="n"/>
      <c r="AB973" s="1842" t="n"/>
      <c r="AC973" s="1842" t="n"/>
      <c r="AD973" s="1842" t="n"/>
      <c r="AE973" s="1842" t="n"/>
      <c r="AF973" s="1842" t="n"/>
    </row>
    <row r="974" ht="13.5" customHeight="1" s="1883">
      <c r="A974" s="1842" t="n"/>
      <c r="B974" s="1842" t="n"/>
      <c r="C974" s="1842" t="n"/>
      <c r="D974" s="1842" t="n"/>
      <c r="E974" s="1842" t="n"/>
      <c r="F974" s="1842" t="n"/>
      <c r="G974" s="1842" t="n"/>
      <c r="H974" s="1842" t="n"/>
      <c r="I974" s="1842" t="n"/>
      <c r="J974" s="1842" t="n"/>
      <c r="K974" s="1842" t="n"/>
      <c r="L974" s="1842" t="n"/>
      <c r="M974" s="1842" t="n"/>
      <c r="N974" s="1842" t="n"/>
      <c r="O974" s="1842" t="n"/>
      <c r="P974" s="1842" t="n"/>
      <c r="Q974" s="1842" t="n"/>
      <c r="R974" s="1842" t="n"/>
      <c r="S974" s="1842" t="n"/>
      <c r="T974" s="1842" t="n"/>
      <c r="U974" s="1842" t="n"/>
      <c r="V974" s="1842" t="n"/>
      <c r="W974" s="1842" t="n"/>
      <c r="X974" s="1842" t="n"/>
      <c r="Y974" s="1842" t="n"/>
      <c r="Z974" s="1842" t="n"/>
      <c r="AA974" s="1842" t="n"/>
      <c r="AB974" s="1842" t="n"/>
      <c r="AC974" s="1842" t="n"/>
      <c r="AD974" s="1842" t="n"/>
      <c r="AE974" s="1842" t="n"/>
      <c r="AF974" s="1842" t="n"/>
    </row>
    <row r="975" ht="13.5" customHeight="1" s="1883">
      <c r="A975" s="1842" t="n"/>
      <c r="B975" s="1842" t="n"/>
      <c r="C975" s="1842" t="n"/>
      <c r="D975" s="1842" t="n"/>
      <c r="E975" s="1842" t="n"/>
      <c r="F975" s="1842" t="n"/>
      <c r="G975" s="1842" t="n"/>
      <c r="H975" s="1842" t="n"/>
      <c r="I975" s="1842" t="n"/>
      <c r="J975" s="1842" t="n"/>
      <c r="K975" s="1842" t="n"/>
      <c r="L975" s="1842" t="n"/>
      <c r="M975" s="1842" t="n"/>
      <c r="N975" s="1842" t="n"/>
      <c r="O975" s="1842" t="n"/>
      <c r="P975" s="1842" t="n"/>
      <c r="Q975" s="1842" t="n"/>
      <c r="R975" s="1842" t="n"/>
      <c r="S975" s="1842" t="n"/>
      <c r="T975" s="1842" t="n"/>
      <c r="U975" s="1842" t="n"/>
      <c r="V975" s="1842" t="n"/>
      <c r="W975" s="1842" t="n"/>
      <c r="X975" s="1842" t="n"/>
      <c r="Y975" s="1842" t="n"/>
      <c r="Z975" s="1842" t="n"/>
      <c r="AA975" s="1842" t="n"/>
      <c r="AB975" s="1842" t="n"/>
      <c r="AC975" s="1842" t="n"/>
      <c r="AD975" s="1842" t="n"/>
      <c r="AE975" s="1842" t="n"/>
      <c r="AF975" s="1842" t="n"/>
    </row>
    <row r="976" ht="13.5" customHeight="1" s="1883">
      <c r="A976" s="1842" t="n"/>
      <c r="B976" s="1842" t="n"/>
      <c r="C976" s="1842" t="n"/>
      <c r="D976" s="1842" t="n"/>
      <c r="E976" s="1842" t="n"/>
      <c r="F976" s="1842" t="n"/>
      <c r="G976" s="1842" t="n"/>
      <c r="H976" s="1842" t="n"/>
      <c r="I976" s="1842" t="n"/>
      <c r="J976" s="1842" t="n"/>
      <c r="K976" s="1842" t="n"/>
      <c r="L976" s="1842" t="n"/>
      <c r="M976" s="1842" t="n"/>
      <c r="N976" s="1842" t="n"/>
      <c r="O976" s="1842" t="n"/>
      <c r="P976" s="1842" t="n"/>
      <c r="Q976" s="1842" t="n"/>
      <c r="R976" s="1842" t="n"/>
      <c r="S976" s="1842" t="n"/>
      <c r="T976" s="1842" t="n"/>
      <c r="U976" s="1842" t="n"/>
      <c r="V976" s="1842" t="n"/>
      <c r="W976" s="1842" t="n"/>
      <c r="X976" s="1842" t="n"/>
      <c r="Y976" s="1842" t="n"/>
      <c r="Z976" s="1842" t="n"/>
      <c r="AA976" s="1842" t="n"/>
      <c r="AB976" s="1842" t="n"/>
      <c r="AC976" s="1842" t="n"/>
      <c r="AD976" s="1842" t="n"/>
      <c r="AE976" s="1842" t="n"/>
      <c r="AF976" s="1842" t="n"/>
    </row>
    <row r="977" ht="13.5" customHeight="1" s="1883">
      <c r="A977" s="1842" t="n"/>
      <c r="B977" s="1842" t="n"/>
      <c r="C977" s="1842" t="n"/>
      <c r="D977" s="1842" t="n"/>
      <c r="E977" s="1842" t="n"/>
      <c r="F977" s="1842" t="n"/>
      <c r="G977" s="1842" t="n"/>
      <c r="H977" s="1842" t="n"/>
      <c r="I977" s="1842" t="n"/>
      <c r="J977" s="1842" t="n"/>
      <c r="K977" s="1842" t="n"/>
      <c r="L977" s="1842" t="n"/>
      <c r="M977" s="1842" t="n"/>
      <c r="N977" s="1842" t="n"/>
      <c r="O977" s="1842" t="n"/>
      <c r="P977" s="1842" t="n"/>
      <c r="Q977" s="1842" t="n"/>
      <c r="R977" s="1842" t="n"/>
      <c r="S977" s="1842" t="n"/>
      <c r="T977" s="1842" t="n"/>
      <c r="U977" s="1842" t="n"/>
      <c r="V977" s="1842" t="n"/>
      <c r="W977" s="1842" t="n"/>
      <c r="X977" s="1842" t="n"/>
      <c r="Y977" s="1842" t="n"/>
      <c r="Z977" s="1842" t="n"/>
      <c r="AA977" s="1842" t="n"/>
      <c r="AB977" s="1842" t="n"/>
      <c r="AC977" s="1842" t="n"/>
      <c r="AD977" s="1842" t="n"/>
      <c r="AE977" s="1842" t="n"/>
      <c r="AF977" s="1842" t="n"/>
    </row>
    <row r="978" ht="13.5" customHeight="1" s="1883">
      <c r="A978" s="1842" t="n"/>
      <c r="B978" s="1842" t="n"/>
      <c r="C978" s="1842" t="n"/>
      <c r="D978" s="1842" t="n"/>
      <c r="E978" s="1842" t="n"/>
      <c r="F978" s="1842" t="n"/>
      <c r="G978" s="1842" t="n"/>
      <c r="H978" s="1842" t="n"/>
      <c r="I978" s="1842" t="n"/>
      <c r="J978" s="1842" t="n"/>
      <c r="K978" s="1842" t="n"/>
      <c r="L978" s="1842" t="n"/>
      <c r="M978" s="1842" t="n"/>
      <c r="N978" s="1842" t="n"/>
      <c r="O978" s="1842" t="n"/>
      <c r="P978" s="1842" t="n"/>
      <c r="Q978" s="1842" t="n"/>
      <c r="R978" s="1842" t="n"/>
      <c r="S978" s="1842" t="n"/>
      <c r="T978" s="1842" t="n"/>
      <c r="U978" s="1842" t="n"/>
      <c r="V978" s="1842" t="n"/>
      <c r="W978" s="1842" t="n"/>
      <c r="X978" s="1842" t="n"/>
      <c r="Y978" s="1842" t="n"/>
      <c r="Z978" s="1842" t="n"/>
      <c r="AA978" s="1842" t="n"/>
      <c r="AB978" s="1842" t="n"/>
      <c r="AC978" s="1842" t="n"/>
      <c r="AD978" s="1842" t="n"/>
      <c r="AE978" s="1842" t="n"/>
      <c r="AF978" s="1842" t="n"/>
    </row>
    <row r="979" ht="13.5" customHeight="1" s="1883">
      <c r="A979" s="1842" t="n"/>
      <c r="B979" s="1842" t="n"/>
      <c r="C979" s="1842" t="n"/>
      <c r="D979" s="1842" t="n"/>
      <c r="E979" s="1842" t="n"/>
      <c r="F979" s="1842" t="n"/>
      <c r="G979" s="1842" t="n"/>
      <c r="H979" s="1842" t="n"/>
      <c r="I979" s="1842" t="n"/>
      <c r="J979" s="1842" t="n"/>
      <c r="K979" s="1842" t="n"/>
      <c r="L979" s="1842" t="n"/>
      <c r="M979" s="1842" t="n"/>
      <c r="N979" s="1842" t="n"/>
      <c r="O979" s="1842" t="n"/>
      <c r="P979" s="1842" t="n"/>
      <c r="Q979" s="1842" t="n"/>
      <c r="R979" s="1842" t="n"/>
      <c r="S979" s="1842" t="n"/>
      <c r="T979" s="1842" t="n"/>
      <c r="U979" s="1842" t="n"/>
      <c r="V979" s="1842" t="n"/>
      <c r="W979" s="1842" t="n"/>
      <c r="X979" s="1842" t="n"/>
      <c r="Y979" s="1842" t="n"/>
      <c r="Z979" s="1842" t="n"/>
      <c r="AA979" s="1842" t="n"/>
      <c r="AB979" s="1842" t="n"/>
      <c r="AC979" s="1842" t="n"/>
      <c r="AD979" s="1842" t="n"/>
      <c r="AE979" s="1842" t="n"/>
      <c r="AF979" s="1842" t="n"/>
    </row>
    <row r="980" ht="13.5" customHeight="1" s="1883">
      <c r="A980" s="1842" t="n"/>
      <c r="B980" s="1842" t="n"/>
      <c r="C980" s="1842" t="n"/>
      <c r="D980" s="1842" t="n"/>
      <c r="E980" s="1842" t="n"/>
      <c r="F980" s="1842" t="n"/>
      <c r="G980" s="1842" t="n"/>
      <c r="H980" s="1842" t="n"/>
      <c r="I980" s="1842" t="n"/>
      <c r="J980" s="1842" t="n"/>
      <c r="K980" s="1842" t="n"/>
      <c r="L980" s="1842" t="n"/>
      <c r="M980" s="1842" t="n"/>
      <c r="N980" s="1842" t="n"/>
      <c r="O980" s="1842" t="n"/>
      <c r="P980" s="1842" t="n"/>
      <c r="Q980" s="1842" t="n"/>
      <c r="R980" s="1842" t="n"/>
      <c r="S980" s="1842" t="n"/>
      <c r="T980" s="1842" t="n"/>
      <c r="U980" s="1842" t="n"/>
      <c r="V980" s="1842" t="n"/>
      <c r="W980" s="1842" t="n"/>
      <c r="X980" s="1842" t="n"/>
      <c r="Y980" s="1842" t="n"/>
      <c r="Z980" s="1842" t="n"/>
      <c r="AA980" s="1842" t="n"/>
      <c r="AB980" s="1842" t="n"/>
      <c r="AC980" s="1842" t="n"/>
      <c r="AD980" s="1842" t="n"/>
      <c r="AE980" s="1842" t="n"/>
      <c r="AF980" s="1842" t="n"/>
    </row>
    <row r="981" ht="13.5" customHeight="1" s="1883">
      <c r="A981" s="1842" t="n"/>
      <c r="B981" s="1842" t="n"/>
      <c r="C981" s="1842" t="n"/>
      <c r="D981" s="1842" t="n"/>
      <c r="E981" s="1842" t="n"/>
      <c r="F981" s="1842" t="n"/>
      <c r="G981" s="1842" t="n"/>
      <c r="H981" s="1842" t="n"/>
      <c r="I981" s="1842" t="n"/>
      <c r="J981" s="1842" t="n"/>
      <c r="K981" s="1842" t="n"/>
      <c r="L981" s="1842" t="n"/>
      <c r="M981" s="1842" t="n"/>
      <c r="N981" s="1842" t="n"/>
      <c r="O981" s="1842" t="n"/>
      <c r="P981" s="1842" t="n"/>
      <c r="Q981" s="1842" t="n"/>
      <c r="R981" s="1842" t="n"/>
      <c r="S981" s="1842" t="n"/>
      <c r="T981" s="1842" t="n"/>
      <c r="U981" s="1842" t="n"/>
      <c r="V981" s="1842" t="n"/>
      <c r="W981" s="1842" t="n"/>
      <c r="X981" s="1842" t="n"/>
      <c r="Y981" s="1842" t="n"/>
      <c r="Z981" s="1842" t="n"/>
      <c r="AA981" s="1842" t="n"/>
      <c r="AB981" s="1842" t="n"/>
      <c r="AC981" s="1842" t="n"/>
      <c r="AD981" s="1842" t="n"/>
      <c r="AE981" s="1842" t="n"/>
      <c r="AF981" s="1842" t="n"/>
    </row>
    <row r="982" ht="13.5" customHeight="1" s="1883">
      <c r="A982" s="1842" t="n"/>
      <c r="B982" s="1842" t="n"/>
      <c r="C982" s="1842" t="n"/>
      <c r="D982" s="1842" t="n"/>
      <c r="E982" s="1842" t="n"/>
      <c r="F982" s="1842" t="n"/>
      <c r="G982" s="1842" t="n"/>
      <c r="H982" s="1842" t="n"/>
      <c r="I982" s="1842" t="n"/>
      <c r="J982" s="1842" t="n"/>
      <c r="K982" s="1842" t="n"/>
      <c r="L982" s="1842" t="n"/>
      <c r="M982" s="1842" t="n"/>
      <c r="N982" s="1842" t="n"/>
      <c r="O982" s="1842" t="n"/>
      <c r="P982" s="1842" t="n"/>
      <c r="Q982" s="1842" t="n"/>
      <c r="R982" s="1842" t="n"/>
      <c r="S982" s="1842" t="n"/>
      <c r="T982" s="1842" t="n"/>
      <c r="U982" s="1842" t="n"/>
      <c r="V982" s="1842" t="n"/>
      <c r="W982" s="1842" t="n"/>
      <c r="X982" s="1842" t="n"/>
      <c r="Y982" s="1842" t="n"/>
      <c r="Z982" s="1842" t="n"/>
      <c r="AA982" s="1842" t="n"/>
      <c r="AB982" s="1842" t="n"/>
      <c r="AC982" s="1842" t="n"/>
      <c r="AD982" s="1842" t="n"/>
      <c r="AE982" s="1842" t="n"/>
      <c r="AF982" s="1842" t="n"/>
    </row>
    <row r="983" ht="13.5" customHeight="1" s="1883">
      <c r="A983" s="1842" t="n"/>
      <c r="B983" s="1842" t="n"/>
      <c r="C983" s="1842" t="n"/>
      <c r="D983" s="1842" t="n"/>
      <c r="E983" s="1842" t="n"/>
      <c r="F983" s="1842" t="n"/>
      <c r="G983" s="1842" t="n"/>
      <c r="H983" s="1842" t="n"/>
      <c r="I983" s="1842" t="n"/>
      <c r="J983" s="1842" t="n"/>
      <c r="K983" s="1842" t="n"/>
      <c r="L983" s="1842" t="n"/>
      <c r="M983" s="1842" t="n"/>
      <c r="N983" s="1842" t="n"/>
      <c r="O983" s="1842" t="n"/>
      <c r="P983" s="1842" t="n"/>
      <c r="Q983" s="1842" t="n"/>
      <c r="R983" s="1842" t="n"/>
      <c r="S983" s="1842" t="n"/>
      <c r="T983" s="1842" t="n"/>
      <c r="U983" s="1842" t="n"/>
      <c r="V983" s="1842" t="n"/>
      <c r="W983" s="1842" t="n"/>
      <c r="X983" s="1842" t="n"/>
      <c r="Y983" s="1842" t="n"/>
      <c r="Z983" s="1842" t="n"/>
      <c r="AA983" s="1842" t="n"/>
      <c r="AB983" s="1842" t="n"/>
      <c r="AC983" s="1842" t="n"/>
      <c r="AD983" s="1842" t="n"/>
      <c r="AE983" s="1842" t="n"/>
      <c r="AF983" s="1842" t="n"/>
    </row>
    <row r="984" ht="13.5" customHeight="1" s="1883">
      <c r="A984" s="1842" t="n"/>
      <c r="B984" s="1842" t="n"/>
      <c r="C984" s="1842" t="n"/>
      <c r="D984" s="1842" t="n"/>
      <c r="E984" s="1842" t="n"/>
      <c r="F984" s="1842" t="n"/>
      <c r="G984" s="1842" t="n"/>
      <c r="H984" s="1842" t="n"/>
      <c r="I984" s="1842" t="n"/>
      <c r="J984" s="1842" t="n"/>
      <c r="K984" s="1842" t="n"/>
      <c r="L984" s="1842" t="n"/>
      <c r="M984" s="1842" t="n"/>
      <c r="N984" s="1842" t="n"/>
      <c r="O984" s="1842" t="n"/>
      <c r="P984" s="1842" t="n"/>
      <c r="Q984" s="1842" t="n"/>
      <c r="R984" s="1842" t="n"/>
      <c r="S984" s="1842" t="n"/>
      <c r="T984" s="1842" t="n"/>
      <c r="U984" s="1842" t="n"/>
      <c r="V984" s="1842" t="n"/>
      <c r="W984" s="1842" t="n"/>
      <c r="X984" s="1842" t="n"/>
      <c r="Y984" s="1842" t="n"/>
      <c r="Z984" s="1842" t="n"/>
      <c r="AA984" s="1842" t="n"/>
      <c r="AB984" s="1842" t="n"/>
      <c r="AC984" s="1842" t="n"/>
      <c r="AD984" s="1842" t="n"/>
      <c r="AE984" s="1842" t="n"/>
      <c r="AF984" s="1842" t="n"/>
    </row>
    <row r="985" ht="13.5" customHeight="1" s="1883">
      <c r="A985" s="1842" t="n"/>
      <c r="B985" s="1842" t="n"/>
      <c r="C985" s="1842" t="n"/>
      <c r="D985" s="1842" t="n"/>
      <c r="E985" s="1842" t="n"/>
      <c r="F985" s="1842" t="n"/>
      <c r="G985" s="1842" t="n"/>
      <c r="H985" s="1842" t="n"/>
      <c r="I985" s="1842" t="n"/>
      <c r="J985" s="1842" t="n"/>
      <c r="K985" s="1842" t="n"/>
      <c r="L985" s="1842" t="n"/>
      <c r="M985" s="1842" t="n"/>
      <c r="N985" s="1842" t="n"/>
      <c r="O985" s="1842" t="n"/>
      <c r="P985" s="1842" t="n"/>
      <c r="Q985" s="1842" t="n"/>
      <c r="R985" s="1842" t="n"/>
      <c r="S985" s="1842" t="n"/>
      <c r="T985" s="1842" t="n"/>
      <c r="U985" s="1842" t="n"/>
      <c r="V985" s="1842" t="n"/>
      <c r="W985" s="1842" t="n"/>
      <c r="X985" s="1842" t="n"/>
      <c r="Y985" s="1842" t="n"/>
      <c r="Z985" s="1842" t="n"/>
      <c r="AA985" s="1842" t="n"/>
      <c r="AB985" s="1842" t="n"/>
      <c r="AC985" s="1842" t="n"/>
      <c r="AD985" s="1842" t="n"/>
      <c r="AE985" s="1842" t="n"/>
      <c r="AF985" s="1842" t="n"/>
    </row>
    <row r="986" ht="13.5" customHeight="1" s="1883">
      <c r="A986" s="1842" t="n"/>
      <c r="B986" s="1842" t="n"/>
      <c r="C986" s="1842" t="n"/>
      <c r="D986" s="1842" t="n"/>
      <c r="E986" s="1842" t="n"/>
      <c r="F986" s="1842" t="n"/>
      <c r="G986" s="1842" t="n"/>
      <c r="H986" s="1842" t="n"/>
      <c r="I986" s="1842" t="n"/>
      <c r="J986" s="1842" t="n"/>
      <c r="K986" s="1842" t="n"/>
      <c r="L986" s="1842" t="n"/>
      <c r="M986" s="1842" t="n"/>
      <c r="N986" s="1842" t="n"/>
      <c r="O986" s="1842" t="n"/>
      <c r="P986" s="1842" t="n"/>
      <c r="Q986" s="1842" t="n"/>
      <c r="R986" s="1842" t="n"/>
      <c r="S986" s="1842" t="n"/>
      <c r="T986" s="1842" t="n"/>
      <c r="U986" s="1842" t="n"/>
      <c r="V986" s="1842" t="n"/>
      <c r="W986" s="1842" t="n"/>
      <c r="X986" s="1842" t="n"/>
      <c r="Y986" s="1842" t="n"/>
      <c r="Z986" s="1842" t="n"/>
      <c r="AA986" s="1842" t="n"/>
      <c r="AB986" s="1842" t="n"/>
      <c r="AC986" s="1842" t="n"/>
      <c r="AD986" s="1842" t="n"/>
      <c r="AE986" s="1842" t="n"/>
      <c r="AF986" s="1842" t="n"/>
    </row>
    <row r="987" ht="13.5" customHeight="1" s="1883">
      <c r="A987" s="1842" t="n"/>
      <c r="B987" s="1842" t="n"/>
      <c r="C987" s="1842" t="n"/>
      <c r="D987" s="1842" t="n"/>
      <c r="E987" s="1842" t="n"/>
      <c r="F987" s="1842" t="n"/>
      <c r="G987" s="1842" t="n"/>
      <c r="H987" s="1842" t="n"/>
      <c r="I987" s="1842" t="n"/>
      <c r="J987" s="1842" t="n"/>
      <c r="K987" s="1842" t="n"/>
      <c r="L987" s="1842" t="n"/>
      <c r="M987" s="1842" t="n"/>
      <c r="N987" s="1842" t="n"/>
      <c r="O987" s="1842" t="n"/>
      <c r="P987" s="1842" t="n"/>
      <c r="Q987" s="1842" t="n"/>
      <c r="R987" s="1842" t="n"/>
      <c r="S987" s="1842" t="n"/>
      <c r="T987" s="1842" t="n"/>
      <c r="U987" s="1842" t="n"/>
      <c r="V987" s="1842" t="n"/>
      <c r="W987" s="1842" t="n"/>
      <c r="X987" s="1842" t="n"/>
      <c r="Y987" s="1842" t="n"/>
      <c r="Z987" s="1842" t="n"/>
      <c r="AA987" s="1842" t="n"/>
      <c r="AB987" s="1842" t="n"/>
      <c r="AC987" s="1842" t="n"/>
      <c r="AD987" s="1842" t="n"/>
      <c r="AE987" s="1842" t="n"/>
      <c r="AF987" s="1842" t="n"/>
    </row>
    <row r="988" ht="13.5" customHeight="1" s="1883">
      <c r="A988" s="1842" t="n"/>
      <c r="B988" s="1842" t="n"/>
      <c r="C988" s="1842" t="n"/>
      <c r="D988" s="1842" t="n"/>
      <c r="E988" s="1842" t="n"/>
      <c r="F988" s="1842" t="n"/>
      <c r="G988" s="1842" t="n"/>
      <c r="H988" s="1842" t="n"/>
      <c r="I988" s="1842" t="n"/>
      <c r="J988" s="1842" t="n"/>
      <c r="K988" s="1842" t="n"/>
      <c r="L988" s="1842" t="n"/>
      <c r="M988" s="1842" t="n"/>
      <c r="N988" s="1842" t="n"/>
      <c r="O988" s="1842" t="n"/>
      <c r="P988" s="1842" t="n"/>
      <c r="Q988" s="1842" t="n"/>
      <c r="R988" s="1842" t="n"/>
      <c r="S988" s="1842" t="n"/>
      <c r="T988" s="1842" t="n"/>
      <c r="U988" s="1842" t="n"/>
      <c r="V988" s="1842" t="n"/>
      <c r="W988" s="1842" t="n"/>
      <c r="X988" s="1842" t="n"/>
      <c r="Y988" s="1842" t="n"/>
      <c r="Z988" s="1842" t="n"/>
      <c r="AA988" s="1842" t="n"/>
      <c r="AB988" s="1842" t="n"/>
      <c r="AC988" s="1842" t="n"/>
      <c r="AD988" s="1842" t="n"/>
      <c r="AE988" s="1842" t="n"/>
      <c r="AF988" s="1842" t="n"/>
    </row>
    <row r="989" ht="13.5" customHeight="1" s="1883">
      <c r="A989" s="1842" t="n"/>
      <c r="B989" s="1842" t="n"/>
      <c r="C989" s="1842" t="n"/>
      <c r="D989" s="1842" t="n"/>
      <c r="E989" s="1842" t="n"/>
      <c r="F989" s="1842" t="n"/>
      <c r="G989" s="1842" t="n"/>
      <c r="H989" s="1842" t="n"/>
      <c r="I989" s="1842" t="n"/>
      <c r="J989" s="1842" t="n"/>
      <c r="K989" s="1842" t="n"/>
      <c r="L989" s="1842" t="n"/>
      <c r="M989" s="1842" t="n"/>
      <c r="N989" s="1842" t="n"/>
      <c r="O989" s="1842" t="n"/>
      <c r="P989" s="1842" t="n"/>
      <c r="Q989" s="1842" t="n"/>
      <c r="R989" s="1842" t="n"/>
      <c r="S989" s="1842" t="n"/>
      <c r="T989" s="1842" t="n"/>
      <c r="U989" s="1842" t="n"/>
      <c r="V989" s="1842" t="n"/>
      <c r="W989" s="1842" t="n"/>
      <c r="X989" s="1842" t="n"/>
      <c r="Y989" s="1842" t="n"/>
      <c r="Z989" s="1842" t="n"/>
      <c r="AA989" s="1842" t="n"/>
      <c r="AB989" s="1842" t="n"/>
      <c r="AC989" s="1842" t="n"/>
      <c r="AD989" s="1842" t="n"/>
      <c r="AE989" s="1842" t="n"/>
      <c r="AF989" s="1842" t="n"/>
    </row>
    <row r="990" ht="13.5" customHeight="1" s="1883">
      <c r="A990" s="1842" t="n"/>
      <c r="B990" s="1842" t="n"/>
      <c r="C990" s="1842" t="n"/>
      <c r="D990" s="1842" t="n"/>
      <c r="E990" s="1842" t="n"/>
      <c r="F990" s="1842" t="n"/>
      <c r="G990" s="1842" t="n"/>
      <c r="H990" s="1842" t="n"/>
      <c r="I990" s="1842" t="n"/>
      <c r="J990" s="1842" t="n"/>
      <c r="K990" s="1842" t="n"/>
      <c r="L990" s="1842" t="n"/>
      <c r="M990" s="1842" t="n"/>
      <c r="N990" s="1842" t="n"/>
      <c r="O990" s="1842" t="n"/>
      <c r="P990" s="1842" t="n"/>
      <c r="Q990" s="1842" t="n"/>
      <c r="R990" s="1842" t="n"/>
      <c r="S990" s="1842" t="n"/>
      <c r="T990" s="1842" t="n"/>
      <c r="U990" s="1842" t="n"/>
      <c r="V990" s="1842" t="n"/>
      <c r="W990" s="1842" t="n"/>
      <c r="X990" s="1842" t="n"/>
      <c r="Y990" s="1842" t="n"/>
      <c r="Z990" s="1842" t="n"/>
      <c r="AA990" s="1842" t="n"/>
      <c r="AB990" s="1842" t="n"/>
      <c r="AC990" s="1842" t="n"/>
      <c r="AD990" s="1842" t="n"/>
      <c r="AE990" s="1842" t="n"/>
      <c r="AF990" s="1842" t="n"/>
    </row>
    <row r="991" ht="13.5" customHeight="1" s="1883">
      <c r="A991" s="1842" t="n"/>
      <c r="B991" s="1842" t="n"/>
      <c r="C991" s="1842" t="n"/>
      <c r="D991" s="1842" t="n"/>
      <c r="E991" s="1842" t="n"/>
      <c r="F991" s="1842" t="n"/>
      <c r="G991" s="1842" t="n"/>
      <c r="H991" s="1842" t="n"/>
      <c r="I991" s="1842" t="n"/>
      <c r="J991" s="1842" t="n"/>
      <c r="K991" s="1842" t="n"/>
      <c r="L991" s="1842" t="n"/>
      <c r="M991" s="1842" t="n"/>
      <c r="N991" s="1842" t="n"/>
      <c r="O991" s="1842" t="n"/>
      <c r="P991" s="1842" t="n"/>
      <c r="Q991" s="1842" t="n"/>
      <c r="R991" s="1842" t="n"/>
      <c r="S991" s="1842" t="n"/>
      <c r="T991" s="1842" t="n"/>
      <c r="U991" s="1842" t="n"/>
      <c r="V991" s="1842" t="n"/>
      <c r="W991" s="1842" t="n"/>
      <c r="X991" s="1842" t="n"/>
      <c r="Y991" s="1842" t="n"/>
      <c r="Z991" s="1842" t="n"/>
      <c r="AA991" s="1842" t="n"/>
      <c r="AB991" s="1842" t="n"/>
      <c r="AC991" s="1842" t="n"/>
      <c r="AD991" s="1842" t="n"/>
      <c r="AE991" s="1842" t="n"/>
      <c r="AF991" s="1842" t="n"/>
    </row>
    <row r="992" ht="13.5" customHeight="1" s="1883">
      <c r="A992" s="1842" t="n"/>
      <c r="B992" s="1842" t="n"/>
      <c r="C992" s="1842" t="n"/>
      <c r="D992" s="1842" t="n"/>
      <c r="E992" s="1842" t="n"/>
      <c r="F992" s="1842" t="n"/>
      <c r="G992" s="1842" t="n"/>
      <c r="H992" s="1842" t="n"/>
      <c r="I992" s="1842" t="n"/>
      <c r="J992" s="1842" t="n"/>
      <c r="K992" s="1842" t="n"/>
      <c r="L992" s="1842" t="n"/>
      <c r="M992" s="1842" t="n"/>
      <c r="N992" s="1842" t="n"/>
      <c r="O992" s="1842" t="n"/>
      <c r="P992" s="1842" t="n"/>
      <c r="Q992" s="1842" t="n"/>
      <c r="R992" s="1842" t="n"/>
      <c r="S992" s="1842" t="n"/>
      <c r="T992" s="1842" t="n"/>
      <c r="U992" s="1842" t="n"/>
      <c r="V992" s="1842" t="n"/>
      <c r="W992" s="1842" t="n"/>
      <c r="X992" s="1842" t="n"/>
      <c r="Y992" s="1842" t="n"/>
      <c r="Z992" s="1842" t="n"/>
      <c r="AA992" s="1842" t="n"/>
      <c r="AB992" s="1842" t="n"/>
      <c r="AC992" s="1842" t="n"/>
      <c r="AD992" s="1842" t="n"/>
      <c r="AE992" s="1842" t="n"/>
      <c r="AF992" s="1842" t="n"/>
    </row>
    <row r="993" ht="13.5" customHeight="1" s="1883">
      <c r="A993" s="1842" t="n"/>
      <c r="B993" s="1842" t="n"/>
      <c r="C993" s="1842" t="n"/>
      <c r="D993" s="1842" t="n"/>
      <c r="E993" s="1842" t="n"/>
      <c r="F993" s="1842" t="n"/>
      <c r="G993" s="1842" t="n"/>
      <c r="H993" s="1842" t="n"/>
      <c r="I993" s="1842" t="n"/>
      <c r="J993" s="1842" t="n"/>
      <c r="K993" s="1842" t="n"/>
      <c r="L993" s="1842" t="n"/>
      <c r="M993" s="1842" t="n"/>
      <c r="N993" s="1842" t="n"/>
      <c r="O993" s="1842" t="n"/>
      <c r="P993" s="1842" t="n"/>
      <c r="Q993" s="1842" t="n"/>
      <c r="R993" s="1842" t="n"/>
      <c r="S993" s="1842" t="n"/>
      <c r="T993" s="1842" t="n"/>
      <c r="U993" s="1842" t="n"/>
      <c r="V993" s="1842" t="n"/>
      <c r="W993" s="1842" t="n"/>
      <c r="X993" s="1842" t="n"/>
      <c r="Y993" s="1842" t="n"/>
      <c r="Z993" s="1842" t="n"/>
      <c r="AA993" s="1842" t="n"/>
      <c r="AB993" s="1842" t="n"/>
      <c r="AC993" s="1842" t="n"/>
      <c r="AD993" s="1842" t="n"/>
      <c r="AE993" s="1842" t="n"/>
      <c r="AF993" s="1842" t="n"/>
    </row>
    <row r="994" ht="13.5" customHeight="1" s="1883">
      <c r="A994" s="1842" t="n"/>
      <c r="B994" s="1842" t="n"/>
      <c r="C994" s="1842" t="n"/>
      <c r="D994" s="1842" t="n"/>
      <c r="E994" s="1842" t="n"/>
      <c r="F994" s="1842" t="n"/>
      <c r="G994" s="1842" t="n"/>
      <c r="H994" s="1842" t="n"/>
      <c r="I994" s="1842" t="n"/>
      <c r="J994" s="1842" t="n"/>
      <c r="K994" s="1842" t="n"/>
      <c r="L994" s="1842" t="n"/>
      <c r="M994" s="1842" t="n"/>
      <c r="N994" s="1842" t="n"/>
      <c r="O994" s="1842" t="n"/>
      <c r="P994" s="1842" t="n"/>
      <c r="Q994" s="1842" t="n"/>
      <c r="R994" s="1842" t="n"/>
      <c r="S994" s="1842" t="n"/>
      <c r="T994" s="1842" t="n"/>
      <c r="U994" s="1842" t="n"/>
      <c r="V994" s="1842" t="n"/>
      <c r="W994" s="1842" t="n"/>
      <c r="X994" s="1842" t="n"/>
      <c r="Y994" s="1842" t="n"/>
      <c r="Z994" s="1842" t="n"/>
      <c r="AA994" s="1842" t="n"/>
      <c r="AB994" s="1842" t="n"/>
      <c r="AC994" s="1842" t="n"/>
      <c r="AD994" s="1842" t="n"/>
      <c r="AE994" s="1842" t="n"/>
      <c r="AF994" s="1842" t="n"/>
    </row>
    <row r="995" ht="13.5" customHeight="1" s="1883">
      <c r="A995" s="1842" t="n"/>
      <c r="B995" s="1842" t="n"/>
      <c r="C995" s="1842" t="n"/>
      <c r="D995" s="1842" t="n"/>
      <c r="E995" s="1842" t="n"/>
      <c r="F995" s="1842" t="n"/>
      <c r="G995" s="1842" t="n"/>
      <c r="H995" s="1842" t="n"/>
      <c r="I995" s="1842" t="n"/>
      <c r="J995" s="1842" t="n"/>
      <c r="K995" s="1842" t="n"/>
      <c r="L995" s="1842" t="n"/>
      <c r="M995" s="1842" t="n"/>
      <c r="N995" s="1842" t="n"/>
      <c r="O995" s="1842" t="n"/>
      <c r="P995" s="1842" t="n"/>
      <c r="Q995" s="1842" t="n"/>
      <c r="R995" s="1842" t="n"/>
      <c r="S995" s="1842" t="n"/>
      <c r="T995" s="1842" t="n"/>
      <c r="U995" s="1842" t="n"/>
      <c r="V995" s="1842" t="n"/>
      <c r="W995" s="1842" t="n"/>
      <c r="X995" s="1842" t="n"/>
      <c r="Y995" s="1842" t="n"/>
      <c r="Z995" s="1842" t="n"/>
      <c r="AA995" s="1842" t="n"/>
      <c r="AB995" s="1842" t="n"/>
      <c r="AC995" s="1842" t="n"/>
      <c r="AD995" s="1842" t="n"/>
      <c r="AE995" s="1842" t="n"/>
      <c r="AF995" s="1842" t="n"/>
    </row>
    <row r="996" ht="13.5" customHeight="1" s="1883">
      <c r="A996" s="1842" t="n"/>
      <c r="B996" s="1842" t="n"/>
      <c r="C996" s="1842" t="n"/>
      <c r="D996" s="1842" t="n"/>
      <c r="E996" s="1842" t="n"/>
      <c r="F996" s="1842" t="n"/>
      <c r="G996" s="1842" t="n"/>
      <c r="H996" s="1842" t="n"/>
      <c r="I996" s="1842" t="n"/>
      <c r="J996" s="1842" t="n"/>
      <c r="K996" s="1842" t="n"/>
      <c r="L996" s="1842" t="n"/>
      <c r="M996" s="1842" t="n"/>
      <c r="N996" s="1842" t="n"/>
      <c r="O996" s="1842" t="n"/>
      <c r="P996" s="1842" t="n"/>
      <c r="Q996" s="1842" t="n"/>
      <c r="R996" s="1842" t="n"/>
      <c r="S996" s="1842" t="n"/>
      <c r="T996" s="1842" t="n"/>
      <c r="U996" s="1842" t="n"/>
      <c r="V996" s="1842" t="n"/>
      <c r="W996" s="1842" t="n"/>
      <c r="X996" s="1842" t="n"/>
      <c r="Y996" s="1842" t="n"/>
      <c r="Z996" s="1842" t="n"/>
      <c r="AA996" s="1842" t="n"/>
      <c r="AB996" s="1842" t="n"/>
      <c r="AC996" s="1842" t="n"/>
      <c r="AD996" s="1842" t="n"/>
      <c r="AE996" s="1842" t="n"/>
      <c r="AF996" s="1842" t="n"/>
    </row>
    <row r="997" ht="13.5" customHeight="1" s="1883">
      <c r="A997" s="1842" t="n"/>
      <c r="B997" s="1842" t="n"/>
      <c r="C997" s="1842" t="n"/>
      <c r="D997" s="1842" t="n"/>
      <c r="E997" s="1842" t="n"/>
      <c r="F997" s="1842" t="n"/>
      <c r="G997" s="1842" t="n"/>
      <c r="H997" s="1842" t="n"/>
      <c r="I997" s="1842" t="n"/>
      <c r="J997" s="1842" t="n"/>
      <c r="K997" s="1842" t="n"/>
      <c r="L997" s="1842" t="n"/>
      <c r="M997" s="1842" t="n"/>
      <c r="N997" s="1842" t="n"/>
      <c r="O997" s="1842" t="n"/>
      <c r="P997" s="1842" t="n"/>
      <c r="Q997" s="1842" t="n"/>
      <c r="R997" s="1842" t="n"/>
      <c r="S997" s="1842" t="n"/>
      <c r="T997" s="1842" t="n"/>
      <c r="U997" s="1842" t="n"/>
      <c r="V997" s="1842" t="n"/>
      <c r="W997" s="1842" t="n"/>
      <c r="X997" s="1842" t="n"/>
      <c r="Y997" s="1842" t="n"/>
      <c r="Z997" s="1842" t="n"/>
      <c r="AA997" s="1842" t="n"/>
      <c r="AB997" s="1842" t="n"/>
      <c r="AC997" s="1842" t="n"/>
      <c r="AD997" s="1842" t="n"/>
      <c r="AE997" s="1842" t="n"/>
      <c r="AF997" s="1842" t="n"/>
    </row>
    <row r="998" ht="13.5" customHeight="1" s="1883">
      <c r="A998" s="1842" t="n"/>
      <c r="B998" s="1842" t="n"/>
      <c r="C998" s="1842" t="n"/>
      <c r="D998" s="1842" t="n"/>
      <c r="E998" s="1842" t="n"/>
      <c r="F998" s="1842" t="n"/>
      <c r="G998" s="1842" t="n"/>
      <c r="H998" s="1842" t="n"/>
      <c r="I998" s="1842" t="n"/>
      <c r="J998" s="1842" t="n"/>
      <c r="K998" s="1842" t="n"/>
      <c r="L998" s="1842" t="n"/>
      <c r="M998" s="1842" t="n"/>
      <c r="N998" s="1842" t="n"/>
      <c r="O998" s="1842" t="n"/>
      <c r="P998" s="1842" t="n"/>
      <c r="Q998" s="1842" t="n"/>
      <c r="R998" s="1842" t="n"/>
      <c r="S998" s="1842" t="n"/>
      <c r="T998" s="1842" t="n"/>
      <c r="U998" s="1842" t="n"/>
      <c r="V998" s="1842" t="n"/>
      <c r="W998" s="1842" t="n"/>
      <c r="X998" s="1842" t="n"/>
      <c r="Y998" s="1842" t="n"/>
      <c r="Z998" s="1842" t="n"/>
      <c r="AA998" s="1842" t="n"/>
      <c r="AB998" s="1842" t="n"/>
      <c r="AC998" s="1842" t="n"/>
      <c r="AD998" s="1842" t="n"/>
      <c r="AE998" s="1842" t="n"/>
      <c r="AF998" s="1842" t="n"/>
    </row>
    <row r="999" ht="13.5" customHeight="1" s="1883">
      <c r="A999" s="1842" t="n"/>
      <c r="B999" s="1842" t="n"/>
      <c r="C999" s="1842" t="n"/>
      <c r="D999" s="1842" t="n"/>
      <c r="E999" s="1842" t="n"/>
      <c r="F999" s="1842" t="n"/>
      <c r="G999" s="1842" t="n"/>
      <c r="H999" s="1842" t="n"/>
      <c r="I999" s="1842" t="n"/>
      <c r="J999" s="1842" t="n"/>
      <c r="K999" s="1842" t="n"/>
      <c r="L999" s="1842" t="n"/>
      <c r="M999" s="1842" t="n"/>
      <c r="N999" s="1842" t="n"/>
      <c r="O999" s="1842" t="n"/>
      <c r="P999" s="1842" t="n"/>
      <c r="Q999" s="1842" t="n"/>
      <c r="R999" s="1842" t="n"/>
      <c r="S999" s="1842" t="n"/>
      <c r="T999" s="1842" t="n"/>
      <c r="U999" s="1842" t="n"/>
      <c r="V999" s="1842" t="n"/>
      <c r="W999" s="1842" t="n"/>
      <c r="X999" s="1842" t="n"/>
      <c r="Y999" s="1842" t="n"/>
      <c r="Z999" s="1842" t="n"/>
      <c r="AA999" s="1842" t="n"/>
      <c r="AB999" s="1842" t="n"/>
      <c r="AC999" s="1842" t="n"/>
      <c r="AD999" s="1842" t="n"/>
      <c r="AE999" s="1842" t="n"/>
      <c r="AF999" s="1842" t="n"/>
    </row>
    <row r="1000" ht="13.5" customHeight="1" s="1883">
      <c r="A1000" s="1842" t="n"/>
      <c r="B1000" s="1842" t="n"/>
      <c r="C1000" s="1842" t="n"/>
      <c r="D1000" s="1842" t="n"/>
      <c r="E1000" s="1842" t="n"/>
      <c r="F1000" s="1842" t="n"/>
      <c r="G1000" s="1842" t="n"/>
      <c r="H1000" s="1842" t="n"/>
      <c r="I1000" s="1842" t="n"/>
      <c r="J1000" s="1842" t="n"/>
      <c r="K1000" s="1842" t="n"/>
      <c r="L1000" s="1842" t="n"/>
      <c r="M1000" s="1842" t="n"/>
      <c r="N1000" s="1842" t="n"/>
      <c r="O1000" s="1842" t="n"/>
      <c r="P1000" s="1842" t="n"/>
      <c r="Q1000" s="1842" t="n"/>
      <c r="R1000" s="1842" t="n"/>
      <c r="S1000" s="1842" t="n"/>
      <c r="T1000" s="1842" t="n"/>
      <c r="U1000" s="1842" t="n"/>
      <c r="V1000" s="1842" t="n"/>
      <c r="W1000" s="1842" t="n"/>
      <c r="X1000" s="1842" t="n"/>
      <c r="Y1000" s="1842" t="n"/>
      <c r="Z1000" s="1842" t="n"/>
      <c r="AA1000" s="1842" t="n"/>
      <c r="AB1000" s="1842" t="n"/>
      <c r="AC1000" s="1842" t="n"/>
      <c r="AD1000" s="1842" t="n"/>
      <c r="AE1000" s="1842" t="n"/>
      <c r="AF1000" s="1842" t="n"/>
    </row>
    <row r="1001" ht="13.5" customHeight="1" s="1883">
      <c r="A1001" s="1842" t="n"/>
      <c r="B1001" s="1842" t="n"/>
      <c r="C1001" s="1842" t="n"/>
      <c r="D1001" s="1842" t="n"/>
      <c r="E1001" s="1842" t="n"/>
      <c r="F1001" s="1842" t="n"/>
      <c r="G1001" s="1842" t="n"/>
      <c r="H1001" s="1842" t="n"/>
      <c r="I1001" s="1842" t="n"/>
      <c r="J1001" s="1842" t="n"/>
      <c r="K1001" s="1842" t="n"/>
      <c r="L1001" s="1842" t="n"/>
      <c r="M1001" s="1842" t="n"/>
      <c r="N1001" s="1842" t="n"/>
      <c r="O1001" s="1842" t="n"/>
      <c r="P1001" s="1842" t="n"/>
      <c r="Q1001" s="1842" t="n"/>
      <c r="R1001" s="1842" t="n"/>
      <c r="S1001" s="1842" t="n"/>
      <c r="T1001" s="1842" t="n"/>
      <c r="U1001" s="1842" t="n"/>
      <c r="V1001" s="1842" t="n"/>
      <c r="W1001" s="1842" t="n"/>
      <c r="X1001" s="1842" t="n"/>
      <c r="Y1001" s="1842" t="n"/>
      <c r="Z1001" s="1842" t="n"/>
      <c r="AA1001" s="1842" t="n"/>
      <c r="AB1001" s="1842" t="n"/>
      <c r="AC1001" s="1842" t="n"/>
      <c r="AD1001" s="1842" t="n"/>
      <c r="AE1001" s="1842" t="n"/>
      <c r="AF1001" s="1842" t="n"/>
    </row>
  </sheetData>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F4" r:id="rId4"/>
    <hyperlink xmlns:r="http://schemas.openxmlformats.org/officeDocument/2006/relationships" ref="I4" r:id="rId5"/>
    <hyperlink xmlns:r="http://schemas.openxmlformats.org/officeDocument/2006/relationships" ref="S4" r:id="rId6"/>
    <hyperlink xmlns:r="http://schemas.openxmlformats.org/officeDocument/2006/relationships" ref="Z4" r:id="rId7"/>
    <hyperlink xmlns:r="http://schemas.openxmlformats.org/officeDocument/2006/relationships" ref="AF4" r:id="rId8"/>
    <hyperlink xmlns:r="http://schemas.openxmlformats.org/officeDocument/2006/relationships" ref="F5" r:id="rId9"/>
    <hyperlink xmlns:r="http://schemas.openxmlformats.org/officeDocument/2006/relationships" ref="M5" r:id="rId10"/>
    <hyperlink xmlns:r="http://schemas.openxmlformats.org/officeDocument/2006/relationships" ref="S5" r:id="rId11"/>
    <hyperlink xmlns:r="http://schemas.openxmlformats.org/officeDocument/2006/relationships" ref="F6" r:id="rId12"/>
    <hyperlink xmlns:r="http://schemas.openxmlformats.org/officeDocument/2006/relationships" ref="X6" r:id="rId13"/>
    <hyperlink xmlns:r="http://schemas.openxmlformats.org/officeDocument/2006/relationships" ref="F7" r:id="rId14"/>
    <hyperlink xmlns:r="http://schemas.openxmlformats.org/officeDocument/2006/relationships" ref="H7" r:id="rId15"/>
    <hyperlink xmlns:r="http://schemas.openxmlformats.org/officeDocument/2006/relationships" ref="N7" location=":~:text=Within%20nine%20quarters%2C%20Realme%20has,market%2C%20even%20larger%20than%20China." r:id="rId16"/>
    <hyperlink xmlns:r="http://schemas.openxmlformats.org/officeDocument/2006/relationships" ref="Y7" r:id="rId17"/>
    <hyperlink xmlns:r="http://schemas.openxmlformats.org/officeDocument/2006/relationships" ref="F8" r:id="rId18"/>
    <hyperlink xmlns:r="http://schemas.openxmlformats.org/officeDocument/2006/relationships" ref="F9" r:id="rId19"/>
    <hyperlink xmlns:r="http://schemas.openxmlformats.org/officeDocument/2006/relationships" ref="F10" r:id="rId20"/>
    <hyperlink xmlns:r="http://schemas.openxmlformats.org/officeDocument/2006/relationships" ref="F11" r:id="rId21"/>
    <hyperlink xmlns:r="http://schemas.openxmlformats.org/officeDocument/2006/relationships" ref="F12"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F16" r:id="rId26"/>
    <hyperlink xmlns:r="http://schemas.openxmlformats.org/officeDocument/2006/relationships" ref="F17" r:id="rId27"/>
    <hyperlink xmlns:r="http://schemas.openxmlformats.org/officeDocument/2006/relationships" ref="F18" r:id="rId28"/>
    <hyperlink xmlns:r="http://schemas.openxmlformats.org/officeDocument/2006/relationships" ref="F19" r:id="rId29"/>
    <hyperlink xmlns:r="http://schemas.openxmlformats.org/officeDocument/2006/relationships" ref="F20" r:id="rId30"/>
    <hyperlink xmlns:r="http://schemas.openxmlformats.org/officeDocument/2006/relationships" ref="F21" r:id="rId31"/>
    <hyperlink xmlns:r="http://schemas.openxmlformats.org/officeDocument/2006/relationships" ref="F22" location="v0ZOGgyDm8qf" r:id="rId32"/>
    <hyperlink xmlns:r="http://schemas.openxmlformats.org/officeDocument/2006/relationships" ref="F23" r:id="rId33"/>
    <hyperlink xmlns:r="http://schemas.openxmlformats.org/officeDocument/2006/relationships" ref="F24" r:id="rId34"/>
    <hyperlink xmlns:r="http://schemas.openxmlformats.org/officeDocument/2006/relationships" ref="F25" r:id="rId35"/>
    <hyperlink xmlns:r="http://schemas.openxmlformats.org/officeDocument/2006/relationships" ref="F26" r:id="rId36"/>
    <hyperlink xmlns:r="http://schemas.openxmlformats.org/officeDocument/2006/relationships" ref="F27" r:id="rId37"/>
    <hyperlink xmlns:r="http://schemas.openxmlformats.org/officeDocument/2006/relationships" ref="F28" r:id="rId38"/>
    <hyperlink xmlns:r="http://schemas.openxmlformats.org/officeDocument/2006/relationships" ref="F29" r:id="rId39"/>
    <hyperlink xmlns:r="http://schemas.openxmlformats.org/officeDocument/2006/relationships" ref="F30" r:id="rId40"/>
    <hyperlink xmlns:r="http://schemas.openxmlformats.org/officeDocument/2006/relationships" ref="F31" r:id="rId41"/>
    <hyperlink xmlns:r="http://schemas.openxmlformats.org/officeDocument/2006/relationships" ref="F32" r:id="rId42"/>
    <hyperlink xmlns:r="http://schemas.openxmlformats.org/officeDocument/2006/relationships" ref="F33" r:id="rId43"/>
    <hyperlink xmlns:r="http://schemas.openxmlformats.org/officeDocument/2006/relationships" ref="F34" r:id="rId44"/>
    <hyperlink xmlns:r="http://schemas.openxmlformats.org/officeDocument/2006/relationships" ref="F35" r:id="rId45"/>
    <hyperlink xmlns:r="http://schemas.openxmlformats.org/officeDocument/2006/relationships" ref="F36" r:id="rId46"/>
    <hyperlink xmlns:r="http://schemas.openxmlformats.org/officeDocument/2006/relationships" ref="F37" r:id="rId47"/>
    <hyperlink xmlns:r="http://schemas.openxmlformats.org/officeDocument/2006/relationships" ref="F38" r:id="rId48"/>
    <hyperlink xmlns:r="http://schemas.openxmlformats.org/officeDocument/2006/relationships" ref="G38" r:id="rId49"/>
    <hyperlink xmlns:r="http://schemas.openxmlformats.org/officeDocument/2006/relationships" ref="J38" location="cite_note-5" r:id="rId50"/>
    <hyperlink xmlns:r="http://schemas.openxmlformats.org/officeDocument/2006/relationships" ref="N38" r:id="rId51"/>
    <hyperlink xmlns:r="http://schemas.openxmlformats.org/officeDocument/2006/relationships" ref="F39" location="3f367a77157f " r:id="rId52"/>
    <hyperlink xmlns:r="http://schemas.openxmlformats.org/officeDocument/2006/relationships" ref="F40" r:id="rId53"/>
    <hyperlink xmlns:r="http://schemas.openxmlformats.org/officeDocument/2006/relationships" ref="F41" r:id="rId54"/>
    <hyperlink xmlns:r="http://schemas.openxmlformats.org/officeDocument/2006/relationships" ref="F46" r:id="rId55"/>
    <hyperlink xmlns:r="http://schemas.openxmlformats.org/officeDocument/2006/relationships" ref="F47" r:id="rId56"/>
    <hyperlink xmlns:r="http://schemas.openxmlformats.org/officeDocument/2006/relationships" ref="F48" location="topicOverview" r:id="rId57"/>
  </hyperlinks>
  <pageMargins left="0.7" right="0.7" top="0.75" bottom="0.75" header="0" footer="0"/>
  <pageSetup orientation="portrait" paperSize="9"/>
  <drawing xmlns:r="http://schemas.openxmlformats.org/officeDocument/2006/relationships" r:id="rId58"/>
  <legacyDrawing xmlns:r="http://schemas.openxmlformats.org/officeDocument/2006/relationships" r:id="anysvml"/>
</worksheet>
</file>

<file path=xl/worksheets/sheet32.xml><?xml version="1.0" encoding="utf-8"?>
<worksheet xmlns="http://schemas.openxmlformats.org/spreadsheetml/2006/main">
  <sheetPr>
    <tabColor theme="5"/>
    <outlinePr summaryBelow="0" summaryRight="0"/>
    <pageSetUpPr fitToPage="1"/>
  </sheetPr>
  <dimension ref="B1:AF249"/>
  <sheetViews>
    <sheetView workbookViewId="0">
      <selection activeCell="N67" sqref="N67"/>
    </sheetView>
  </sheetViews>
  <sheetFormatPr baseColWidth="10" defaultColWidth="17.33203125" defaultRowHeight="15" customHeight="1"/>
  <cols>
    <col width="2.6640625" customWidth="1" style="1883" min="1" max="1"/>
    <col width="4.6640625" customWidth="1" style="1883" min="2" max="2"/>
    <col width="0.6640625" customWidth="1" style="1883" min="3" max="3"/>
    <col width="21.1640625" customWidth="1" style="1883" min="4" max="4"/>
    <col width="0.6640625" customWidth="1" style="1883" min="5" max="5"/>
    <col width="18.6640625" customWidth="1" style="1883" min="6" max="6"/>
    <col width="1.6640625" customWidth="1" style="1883" min="7" max="7"/>
    <col width="15.6640625" customWidth="1" style="1883" min="8" max="8"/>
    <col width="0.6640625" customWidth="1" style="1883" min="9" max="9"/>
    <col width="15.6640625" customWidth="1" style="1883" min="10" max="10"/>
    <col width="0.6640625" customWidth="1" style="1883" min="11" max="11"/>
    <col width="15.6640625" customWidth="1" style="1883" min="12" max="12"/>
    <col width="0.6640625" customWidth="1" style="1883" min="13" max="13"/>
    <col width="15.6640625" customWidth="1" style="1883" min="14" max="14"/>
    <col width="0.6640625" customWidth="1" style="1883" min="15" max="15"/>
    <col width="15.6640625" customWidth="1" style="1883" min="16" max="16"/>
    <col width="0.6640625" customWidth="1" style="1883" min="17" max="17"/>
    <col width="15.6640625" customWidth="1" style="1883" min="18" max="18"/>
    <col width="0.6640625" customWidth="1" style="1883" min="19" max="19"/>
    <col width="15.6640625" customWidth="1" style="1883" min="20" max="20"/>
    <col width="0.6640625" customWidth="1" style="1883" min="21" max="21"/>
    <col width="15.6640625" customWidth="1" style="1883" min="22" max="22"/>
    <col width="0.6640625" customWidth="1" style="1883" min="23" max="23"/>
    <col width="15.6640625" customWidth="1" style="1883" min="24" max="24"/>
    <col width="0.6640625" customWidth="1" style="1883" min="25" max="25"/>
    <col width="15.6640625" customWidth="1" style="1883" min="26" max="26"/>
    <col width="0.6640625" customWidth="1" style="1883" min="27" max="27"/>
    <col width="15.6640625" customWidth="1" style="1883" min="28" max="28"/>
    <col width="0.6640625" customWidth="1" style="1883" min="29" max="29"/>
    <col width="15.5" customWidth="1" style="1883" min="30" max="30"/>
    <col width="1" customWidth="1" style="1883" min="31" max="31"/>
    <col width="15.6640625" customWidth="1" style="1883" min="32" max="32"/>
    <col width="2.6640625" customWidth="1" style="1883" min="33" max="33"/>
    <col width="15.6640625" customWidth="1" style="1883" min="34" max="42"/>
  </cols>
  <sheetData>
    <row r="1" ht="13" customHeight="1" s="1883">
      <c r="B1" s="626" t="n"/>
      <c r="C1" s="626" t="n"/>
      <c r="D1" s="1272" t="inlineStr">
        <is>
          <t>Companion App P&amp;L Assumptions</t>
        </is>
      </c>
      <c r="E1" s="626" t="n"/>
      <c r="F1" s="626" t="n"/>
      <c r="G1" s="626" t="n"/>
      <c r="H1" s="626" t="n"/>
      <c r="I1" s="626" t="n"/>
      <c r="J1" s="626" t="n"/>
      <c r="K1" s="626" t="n"/>
      <c r="L1" s="626" t="n"/>
      <c r="M1" s="626" t="n"/>
      <c r="N1" s="626" t="n"/>
      <c r="O1" s="626" t="n"/>
      <c r="P1" s="626" t="n"/>
      <c r="Q1" s="626" t="n"/>
      <c r="R1" s="626" t="n"/>
      <c r="S1" s="626" t="n"/>
      <c r="T1" s="626" t="n"/>
      <c r="U1" s="626" t="n"/>
      <c r="V1" s="626" t="n"/>
      <c r="W1" s="626" t="n"/>
      <c r="X1" s="626" t="n"/>
      <c r="Y1" s="626" t="n"/>
      <c r="Z1" s="626" t="n"/>
      <c r="AA1" s="626" t="n"/>
      <c r="AB1" s="626" t="n"/>
      <c r="AC1" s="626" t="n"/>
      <c r="AD1" s="626" t="n"/>
      <c r="AE1" s="626" t="n"/>
      <c r="AF1" s="626" t="n"/>
    </row>
    <row r="2" ht="13" customHeight="1" s="1883">
      <c r="B2" s="626" t="n"/>
      <c r="C2" s="626" t="n"/>
      <c r="D2" s="626" t="n"/>
      <c r="E2" s="626" t="n"/>
      <c r="F2" s="626" t="n"/>
      <c r="G2" s="626" t="n"/>
      <c r="H2" s="626" t="n"/>
      <c r="I2" s="626" t="n"/>
      <c r="J2" s="626" t="n"/>
      <c r="K2" s="626" t="n"/>
      <c r="L2" s="626" t="n"/>
      <c r="M2" s="626" t="n"/>
      <c r="N2" s="626" t="n"/>
      <c r="O2" s="626" t="n"/>
      <c r="P2" s="626" t="n"/>
      <c r="Q2" s="626" t="n"/>
      <c r="R2" s="626" t="n"/>
      <c r="S2" s="626" t="n"/>
      <c r="T2" s="626" t="n"/>
      <c r="U2" s="626" t="n"/>
      <c r="V2" s="626" t="n"/>
      <c r="W2" s="626" t="n"/>
      <c r="X2" s="626" t="n"/>
      <c r="Y2" s="626" t="n"/>
      <c r="Z2" s="626" t="n"/>
      <c r="AA2" s="626" t="n"/>
      <c r="AB2" s="626" t="n"/>
      <c r="AC2" s="626" t="n"/>
      <c r="AD2" s="626" t="n"/>
      <c r="AE2" s="626" t="n"/>
      <c r="AF2" s="626" t="n"/>
    </row>
    <row r="3" ht="13" customHeight="1" s="1883">
      <c r="B3" s="626" t="n"/>
      <c r="C3" s="626" t="n"/>
      <c r="D3" s="626" t="n"/>
      <c r="E3" s="626" t="n"/>
      <c r="F3" s="626" t="n"/>
      <c r="G3" s="626" t="n"/>
      <c r="H3" s="626" t="n"/>
      <c r="I3" s="626" t="n"/>
      <c r="J3" s="626" t="n"/>
      <c r="K3" s="626" t="n"/>
      <c r="L3" s="626" t="n"/>
      <c r="M3" s="626" t="n"/>
      <c r="N3" s="626" t="n"/>
      <c r="O3" s="626" t="n"/>
      <c r="P3" s="626" t="n"/>
      <c r="Q3" s="626" t="n"/>
      <c r="R3" s="626" t="n"/>
      <c r="S3" s="626" t="n"/>
      <c r="T3" s="626" t="n"/>
      <c r="U3" s="626" t="n"/>
      <c r="V3" s="626" t="n"/>
      <c r="W3" s="626" t="n"/>
      <c r="X3" s="626" t="n"/>
      <c r="Y3" s="626" t="n"/>
      <c r="Z3" s="626" t="n"/>
      <c r="AA3" s="626" t="n"/>
      <c r="AB3" s="626" t="n"/>
      <c r="AC3" s="626" t="n"/>
      <c r="AD3" s="626" t="n"/>
      <c r="AE3" s="626" t="n"/>
      <c r="AF3" s="626" t="n"/>
    </row>
    <row r="4" ht="13" customHeight="1" s="1883">
      <c r="B4" s="626" t="n"/>
      <c r="C4" s="626" t="n"/>
      <c r="D4" s="626" t="n"/>
      <c r="E4" s="626" t="n"/>
      <c r="F4" s="626" t="n"/>
      <c r="G4" s="626" t="n"/>
      <c r="H4" s="626" t="n"/>
      <c r="I4" s="626" t="n"/>
      <c r="J4" s="626" t="n"/>
      <c r="K4" s="626" t="n"/>
      <c r="L4" s="626" t="n"/>
      <c r="M4" s="626" t="n"/>
      <c r="N4" s="626" t="n"/>
      <c r="O4" s="626" t="n"/>
      <c r="P4" s="626" t="n"/>
      <c r="Q4" s="626" t="n"/>
      <c r="R4" s="626" t="n"/>
      <c r="S4" s="626" t="n"/>
      <c r="T4" s="626" t="n"/>
      <c r="U4" s="626" t="n"/>
      <c r="V4" s="626" t="n"/>
      <c r="W4" s="626" t="n"/>
      <c r="X4" s="626" t="n"/>
      <c r="Y4" s="626" t="n"/>
      <c r="Z4" s="626" t="n"/>
      <c r="AA4" s="626" t="n"/>
      <c r="AB4" s="626" t="n"/>
      <c r="AC4" s="626" t="n"/>
      <c r="AD4" s="626" t="n"/>
      <c r="AE4" s="626" t="n"/>
      <c r="AF4" s="626" t="n"/>
    </row>
    <row r="5">
      <c r="B5" s="658" t="inlineStr">
        <is>
          <t>A.</t>
        </is>
      </c>
      <c r="C5" s="626" t="n"/>
      <c r="D5" s="118" t="inlineStr">
        <is>
          <t>Revenue Drivers</t>
        </is>
      </c>
      <c r="E5" s="626" t="n"/>
      <c r="F5" s="626" t="n"/>
      <c r="G5" s="626" t="n"/>
      <c r="H5" s="626" t="n"/>
      <c r="I5" s="626" t="n"/>
      <c r="J5" s="626" t="n"/>
      <c r="K5" s="626" t="n"/>
      <c r="L5" s="626" t="n"/>
      <c r="M5" s="626" t="n"/>
      <c r="N5" s="626" t="n"/>
      <c r="O5" s="626" t="n"/>
      <c r="P5" s="626" t="n"/>
      <c r="Q5" s="626" t="n"/>
      <c r="R5" s="626" t="n"/>
      <c r="S5" s="626" t="n"/>
      <c r="T5" s="626" t="n"/>
      <c r="U5" s="626" t="n"/>
      <c r="V5" s="626" t="n"/>
      <c r="W5" s="626" t="n"/>
      <c r="X5" s="626" t="n"/>
      <c r="Y5" s="626" t="n"/>
      <c r="Z5" s="626" t="n"/>
      <c r="AA5" s="626" t="n"/>
      <c r="AB5" s="626" t="n"/>
      <c r="AC5" s="626" t="n"/>
      <c r="AD5" s="626" t="n"/>
      <c r="AE5" s="626" t="n"/>
      <c r="AF5" s="626" t="n"/>
    </row>
    <row r="6" ht="3" customHeight="1" s="1883">
      <c r="B6" s="926" t="n"/>
      <c r="C6" s="926" t="n"/>
      <c r="D6" s="926" t="n"/>
      <c r="E6" s="926" t="n"/>
      <c r="F6" s="926" t="n"/>
      <c r="G6" s="626" t="n"/>
      <c r="H6" s="626" t="n"/>
      <c r="I6" s="626" t="n"/>
      <c r="J6" s="626" t="n"/>
      <c r="K6" s="626" t="n"/>
      <c r="L6" s="626" t="n"/>
      <c r="M6" s="626" t="n"/>
      <c r="N6" s="626" t="n"/>
      <c r="O6" s="626" t="n"/>
      <c r="P6" s="626" t="n"/>
      <c r="Q6" s="626" t="n"/>
      <c r="R6" s="626" t="n"/>
      <c r="S6" s="626" t="n"/>
      <c r="T6" s="626" t="n"/>
      <c r="U6" s="626" t="n"/>
      <c r="V6" s="626" t="n"/>
      <c r="W6" s="626" t="n"/>
      <c r="X6" s="626" t="n"/>
      <c r="Y6" s="626" t="n"/>
      <c r="Z6" s="626" t="n"/>
      <c r="AA6" s="626" t="n"/>
      <c r="AB6" s="626" t="n"/>
      <c r="AC6" s="626" t="n"/>
      <c r="AD6" s="626" t="n"/>
      <c r="AE6" s="626" t="n"/>
      <c r="AF6" s="626" t="n"/>
    </row>
    <row r="7" ht="3" customHeight="1" s="1883">
      <c r="B7" s="626" t="n"/>
      <c r="C7" s="626" t="n"/>
      <c r="D7" s="626" t="n"/>
      <c r="E7" s="626" t="n"/>
      <c r="F7" s="626" t="n"/>
      <c r="G7" s="626" t="n"/>
      <c r="H7" s="626" t="n"/>
      <c r="I7" s="626" t="n"/>
      <c r="J7" s="626" t="n"/>
      <c r="K7" s="626" t="n"/>
      <c r="L7" s="626" t="n"/>
      <c r="M7" s="626" t="n"/>
      <c r="N7" s="626" t="n"/>
      <c r="O7" s="626" t="n"/>
      <c r="P7" s="626" t="n"/>
      <c r="Q7" s="626" t="n"/>
      <c r="R7" s="626" t="n"/>
      <c r="S7" s="626" t="n"/>
      <c r="T7" s="626" t="n"/>
      <c r="U7" s="626" t="n"/>
      <c r="V7" s="626" t="n"/>
      <c r="W7" s="626" t="n"/>
      <c r="X7" s="626" t="n"/>
      <c r="Y7" s="626" t="n"/>
      <c r="Z7" s="626" t="n"/>
      <c r="AA7" s="626" t="n"/>
      <c r="AB7" s="626" t="n"/>
      <c r="AC7" s="626" t="n"/>
      <c r="AD7" s="626" t="n"/>
      <c r="AE7" s="626" t="n"/>
      <c r="AF7" s="626" t="n"/>
    </row>
    <row r="8" ht="13" customHeight="1" s="1883">
      <c r="B8" s="626" t="n"/>
      <c r="C8" s="626" t="n"/>
      <c r="D8" s="626" t="n"/>
      <c r="E8" s="626" t="n"/>
      <c r="F8" s="626" t="n"/>
      <c r="G8" s="626" t="n"/>
      <c r="H8" s="626" t="n"/>
      <c r="I8" s="626" t="n"/>
      <c r="J8" s="626" t="n"/>
      <c r="K8" s="626" t="n"/>
      <c r="L8" s="626" t="n"/>
      <c r="M8" s="626" t="n"/>
      <c r="N8" s="626" t="n"/>
      <c r="O8" s="626" t="n"/>
      <c r="P8" s="626" t="n"/>
      <c r="Q8" s="626" t="n"/>
      <c r="R8" s="626" t="n"/>
      <c r="S8" s="626" t="n"/>
      <c r="T8" s="626" t="n"/>
      <c r="U8" s="626" t="n"/>
      <c r="V8" s="626" t="n"/>
      <c r="W8" s="626" t="n"/>
      <c r="X8" s="626" t="n"/>
      <c r="Y8" s="626" t="n"/>
      <c r="Z8" s="626" t="n"/>
      <c r="AA8" s="626" t="n"/>
      <c r="AB8" s="626" t="n"/>
      <c r="AC8" s="626" t="n"/>
      <c r="AD8" s="626" t="n"/>
      <c r="AE8" s="626" t="n"/>
      <c r="AF8" s="626" t="n"/>
    </row>
    <row r="9" ht="13" customHeight="1" s="1883">
      <c r="B9" s="626" t="n"/>
      <c r="C9" s="626" t="n"/>
      <c r="D9" s="626" t="n"/>
      <c r="E9" s="626" t="n"/>
      <c r="F9" s="626" t="n"/>
      <c r="G9" s="626" t="n"/>
      <c r="H9" s="626" t="n"/>
      <c r="I9" s="626" t="n"/>
      <c r="J9" s="626" t="n"/>
      <c r="K9" s="626" t="n"/>
      <c r="L9" s="626" t="n"/>
      <c r="M9" s="626" t="n"/>
      <c r="N9" s="626" t="n"/>
      <c r="O9" s="626" t="n"/>
      <c r="P9" s="626" t="n"/>
      <c r="Q9" s="626" t="n"/>
      <c r="R9" s="626" t="n"/>
      <c r="S9" s="626" t="n"/>
      <c r="T9" s="626" t="n"/>
      <c r="U9" s="626" t="n"/>
      <c r="V9" s="626" t="n"/>
      <c r="W9" s="626" t="n"/>
      <c r="X9" s="626" t="n"/>
      <c r="Y9" s="626" t="n"/>
      <c r="Z9" s="626" t="n"/>
      <c r="AA9" s="626" t="n"/>
      <c r="AB9" s="626" t="n"/>
      <c r="AC9" s="626" t="n"/>
      <c r="AD9" s="626" t="n"/>
      <c r="AE9" s="626" t="n"/>
      <c r="AF9" s="626" t="n"/>
    </row>
    <row r="10">
      <c r="B10" s="118" t="inlineStr">
        <is>
          <t>I.</t>
        </is>
      </c>
      <c r="C10" s="626" t="n"/>
      <c r="D10" s="1908" t="inlineStr">
        <is>
          <t>New Apps Activated</t>
        </is>
      </c>
      <c r="E10" s="1908" t="n"/>
      <c r="F10" s="626" t="n"/>
      <c r="G10" s="626" t="n"/>
      <c r="H10" s="1915" t="inlineStr">
        <is>
          <t>Fiscal Year</t>
        </is>
      </c>
    </row>
    <row r="11" ht="3" customHeight="1" s="1883">
      <c r="B11" s="926" t="n"/>
      <c r="C11" s="926" t="n"/>
      <c r="D11" s="926" t="n"/>
      <c r="E11" s="926" t="n"/>
      <c r="F11" s="926" t="n"/>
      <c r="G11" s="626" t="n"/>
      <c r="H11" s="926" t="n"/>
      <c r="I11" s="926" t="n"/>
      <c r="J11" s="926" t="n"/>
      <c r="K11" s="926" t="n"/>
      <c r="L11" s="926" t="n"/>
      <c r="M11" s="926" t="n"/>
      <c r="N11" s="926" t="n"/>
      <c r="O11" s="926" t="n"/>
      <c r="P11" s="926" t="n"/>
      <c r="Q11" s="926" t="n"/>
      <c r="R11" s="926" t="n"/>
      <c r="S11" s="926" t="n"/>
      <c r="T11" s="926" t="n"/>
      <c r="U11" s="926" t="n"/>
      <c r="V11" s="926" t="n"/>
      <c r="W11" s="926" t="n"/>
      <c r="X11" s="926" t="n"/>
      <c r="Y11" s="926" t="n"/>
      <c r="Z11" s="926" t="n"/>
      <c r="AA11" s="926" t="n"/>
      <c r="AB11" s="926" t="n"/>
      <c r="AC11" s="926" t="n"/>
      <c r="AD11" s="926" t="n"/>
      <c r="AE11" s="926" t="n"/>
      <c r="AF11" s="926" t="n"/>
    </row>
    <row r="12" ht="3" customHeight="1" s="1883">
      <c r="B12" s="626" t="n"/>
      <c r="C12" s="626" t="n"/>
      <c r="D12" s="626" t="n"/>
      <c r="E12" s="626" t="n"/>
      <c r="F12" s="626" t="n"/>
      <c r="G12" s="626" t="n"/>
      <c r="H12" s="626" t="n"/>
      <c r="I12" s="626" t="n"/>
      <c r="J12" s="626" t="n"/>
      <c r="K12" s="626" t="n"/>
      <c r="L12" s="626" t="n"/>
      <c r="M12" s="626" t="n"/>
      <c r="N12" s="626" t="n"/>
      <c r="O12" s="626" t="n"/>
      <c r="P12" s="626" t="n"/>
      <c r="Q12" s="626" t="n"/>
      <c r="R12" s="626" t="n"/>
      <c r="S12" s="626" t="n"/>
      <c r="T12" s="626" t="n"/>
      <c r="U12" s="626" t="n"/>
      <c r="V12" s="626" t="n"/>
      <c r="W12" s="626" t="n"/>
      <c r="X12" s="626" t="n"/>
      <c r="Y12" s="626" t="n"/>
      <c r="Z12" s="626" t="n"/>
      <c r="AA12" s="626" t="n"/>
      <c r="AB12" s="626" t="n"/>
      <c r="AC12" s="626" t="n"/>
      <c r="AD12" s="626" t="n"/>
      <c r="AE12" s="626" t="n"/>
      <c r="AF12" s="626" t="n"/>
    </row>
    <row r="13">
      <c r="B13" s="626" t="n"/>
      <c r="C13" s="626" t="n"/>
      <c r="D13" s="117" t="inlineStr">
        <is>
          <t>Year</t>
        </is>
      </c>
      <c r="E13" s="117" t="n"/>
      <c r="F13" s="117" t="inlineStr">
        <is>
          <t>Months</t>
        </is>
      </c>
      <c r="G13" s="626" t="n"/>
      <c r="H13" s="117" t="inlineStr">
        <is>
          <t>Month 1</t>
        </is>
      </c>
      <c r="I13" s="117" t="n"/>
      <c r="J13" s="117" t="inlineStr">
        <is>
          <t>Month 2</t>
        </is>
      </c>
      <c r="K13" s="117" t="n"/>
      <c r="L13" s="117" t="inlineStr">
        <is>
          <t>Month 3</t>
        </is>
      </c>
      <c r="M13" s="117" t="n"/>
      <c r="N13" s="117" t="inlineStr">
        <is>
          <t>Month 4</t>
        </is>
      </c>
      <c r="O13" s="117" t="n"/>
      <c r="P13" s="117" t="inlineStr">
        <is>
          <t>Month 5</t>
        </is>
      </c>
      <c r="Q13" s="117" t="n"/>
      <c r="R13" s="117" t="inlineStr">
        <is>
          <t>Month 6</t>
        </is>
      </c>
      <c r="S13" s="117" t="n"/>
      <c r="T13" s="117" t="inlineStr">
        <is>
          <t>Month 7</t>
        </is>
      </c>
      <c r="U13" s="117" t="n"/>
      <c r="V13" s="117" t="inlineStr">
        <is>
          <t>Month 8</t>
        </is>
      </c>
      <c r="W13" s="117" t="n"/>
      <c r="X13" s="117" t="inlineStr">
        <is>
          <t>Month 9</t>
        </is>
      </c>
      <c r="Y13" s="117" t="n"/>
      <c r="Z13" s="117" t="inlineStr">
        <is>
          <t>Month 10</t>
        </is>
      </c>
      <c r="AA13" s="117" t="n"/>
      <c r="AB13" s="117" t="inlineStr">
        <is>
          <t>Month 11</t>
        </is>
      </c>
      <c r="AC13" s="117" t="n"/>
      <c r="AD13" s="117" t="inlineStr">
        <is>
          <t>Month 12</t>
        </is>
      </c>
      <c r="AE13" s="626" t="n"/>
      <c r="AF13" s="117" t="inlineStr">
        <is>
          <t>Ʃ, Full-Year</t>
        </is>
      </c>
    </row>
    <row r="14" ht="3" customHeight="1" s="1883">
      <c r="B14" s="626" t="n"/>
      <c r="C14" s="626" t="n"/>
      <c r="D14" s="926" t="n"/>
      <c r="E14" s="626" t="n"/>
      <c r="F14" s="926" t="n"/>
      <c r="G14" s="626" t="n"/>
      <c r="H14" s="926" t="n"/>
      <c r="I14" s="626" t="n"/>
      <c r="J14" s="926" t="n"/>
      <c r="K14" s="626" t="n"/>
      <c r="L14" s="926" t="n"/>
      <c r="M14" s="626" t="n"/>
      <c r="N14" s="926" t="n"/>
      <c r="O14" s="626" t="n"/>
      <c r="P14" s="926" t="n"/>
      <c r="Q14" s="626" t="n"/>
      <c r="R14" s="926" t="n"/>
      <c r="S14" s="626" t="n"/>
      <c r="T14" s="926" t="n"/>
      <c r="U14" s="626" t="n"/>
      <c r="V14" s="926" t="n"/>
      <c r="W14" s="626" t="n"/>
      <c r="X14" s="926" t="n"/>
      <c r="Y14" s="626" t="n"/>
      <c r="Z14" s="926" t="n"/>
      <c r="AA14" s="626" t="n"/>
      <c r="AB14" s="926" t="n"/>
      <c r="AC14" s="626" t="n"/>
      <c r="AD14" s="926" t="n"/>
      <c r="AE14" s="626" t="n"/>
      <c r="AF14" s="926" t="n"/>
    </row>
    <row r="15" ht="3" customHeight="1" s="1883">
      <c r="B15" s="626" t="n"/>
      <c r="C15" s="626" t="n"/>
      <c r="D15" s="626" t="n"/>
      <c r="E15" s="626" t="n"/>
      <c r="F15" s="626" t="n"/>
      <c r="G15" s="626" t="n"/>
      <c r="H15" s="1968" t="n"/>
      <c r="I15" s="1968" t="n"/>
      <c r="J15" s="1968" t="n"/>
      <c r="K15" s="1968" t="n"/>
      <c r="L15" s="1968" t="n"/>
      <c r="M15" s="1968" t="n"/>
      <c r="N15" s="1968" t="n"/>
      <c r="O15" s="1968" t="n"/>
      <c r="P15" s="1968" t="n"/>
      <c r="Q15" s="1968" t="n"/>
      <c r="R15" s="1968" t="n"/>
      <c r="S15" s="1968" t="n"/>
      <c r="T15" s="1968" t="n"/>
      <c r="U15" s="1968" t="n"/>
      <c r="V15" s="1968" t="n"/>
      <c r="W15" s="1968" t="n"/>
      <c r="X15" s="1968" t="n"/>
      <c r="Y15" s="1968" t="n"/>
      <c r="Z15" s="1968" t="n"/>
      <c r="AA15" s="1968" t="n"/>
      <c r="AB15" s="1968" t="n"/>
      <c r="AC15" s="1968" t="n"/>
      <c r="AD15" s="1968" t="n"/>
      <c r="AE15" s="1968" t="n"/>
      <c r="AF15" s="1968" t="n"/>
    </row>
    <row r="16">
      <c r="B16" s="626" t="n"/>
      <c r="C16" s="626" t="n"/>
      <c r="D16" s="117" t="inlineStr">
        <is>
          <t>Year 0</t>
        </is>
      </c>
      <c r="E16" s="117" t="n"/>
      <c r="F16" s="133" t="inlineStr">
        <is>
          <t>-12 - -1</t>
        </is>
      </c>
      <c r="G16" s="1968" t="n"/>
      <c r="H16" s="978" t="n"/>
      <c r="I16" s="978" t="n"/>
      <c r="J16" s="978" t="n"/>
      <c r="K16" s="978" t="n"/>
      <c r="L16" s="978" t="n"/>
      <c r="M16" s="978" t="n"/>
      <c r="N16" s="978" t="n"/>
      <c r="O16" s="978" t="n"/>
      <c r="P16" s="978" t="n"/>
      <c r="Q16" s="978" t="n"/>
      <c r="R16" s="978" t="n"/>
      <c r="S16" s="978" t="n"/>
      <c r="T16" s="978" t="n"/>
      <c r="U16" s="978" t="n"/>
      <c r="V16" s="978" t="n"/>
      <c r="W16" s="978" t="n"/>
      <c r="X16" s="978" t="n"/>
      <c r="Y16" s="978" t="n"/>
      <c r="Z16" s="978" t="n"/>
      <c r="AA16" s="978" t="n"/>
      <c r="AB16" s="978" t="n"/>
      <c r="AC16" s="978" t="n"/>
      <c r="AD16" s="978" t="n"/>
      <c r="AE16" s="978" t="n"/>
      <c r="AF16" s="978" t="n"/>
    </row>
    <row r="17">
      <c r="B17" s="626" t="n"/>
      <c r="C17" s="626" t="n"/>
      <c r="D17" s="117" t="inlineStr">
        <is>
          <t>Year 1</t>
        </is>
      </c>
      <c r="E17" s="117" t="n"/>
      <c r="F17" s="134" t="inlineStr">
        <is>
          <t>1 - 12</t>
        </is>
      </c>
      <c r="G17" s="626" t="n"/>
      <c r="H17" s="135">
        <f>'3F. Revenue &amp; COGS Assumptions'!G40</f>
        <v/>
      </c>
      <c r="I17" s="932" t="n"/>
      <c r="J17" s="135">
        <f>'3F. Revenue &amp; COGS Assumptions'!H40</f>
        <v/>
      </c>
      <c r="K17" s="932" t="n"/>
      <c r="L17" s="135">
        <f>'3F. Revenue &amp; COGS Assumptions'!I40</f>
        <v/>
      </c>
      <c r="M17" s="932" t="n"/>
      <c r="N17" s="135">
        <f>'3F. Revenue &amp; COGS Assumptions'!J40</f>
        <v/>
      </c>
      <c r="O17" s="932" t="n"/>
      <c r="P17" s="135">
        <f>'3F. Revenue &amp; COGS Assumptions'!K40</f>
        <v/>
      </c>
      <c r="Q17" s="932" t="n"/>
      <c r="R17" s="135">
        <f>'3F. Revenue &amp; COGS Assumptions'!L40</f>
        <v/>
      </c>
      <c r="S17" s="932" t="n"/>
      <c r="T17" s="135">
        <f>'3F. Revenue &amp; COGS Assumptions'!M40</f>
        <v/>
      </c>
      <c r="U17" s="932" t="n"/>
      <c r="V17" s="135">
        <f>'3F. Revenue &amp; COGS Assumptions'!N40</f>
        <v/>
      </c>
      <c r="W17" s="932" t="n"/>
      <c r="X17" s="135">
        <f>'3F. Revenue &amp; COGS Assumptions'!O40</f>
        <v/>
      </c>
      <c r="Y17" s="932" t="n"/>
      <c r="Z17" s="135">
        <f>'3F. Revenue &amp; COGS Assumptions'!P40</f>
        <v/>
      </c>
      <c r="AA17" s="932" t="n"/>
      <c r="AB17" s="135">
        <f>'3F. Revenue &amp; COGS Assumptions'!Q40</f>
        <v/>
      </c>
      <c r="AC17" s="932" t="n"/>
      <c r="AD17" s="135">
        <f>'3F. Revenue &amp; COGS Assumptions'!R40</f>
        <v/>
      </c>
      <c r="AE17" s="932" t="n"/>
      <c r="AF17" s="136">
        <f>((H17)+(J17)+(L17)+(N17)+(P17)+(R17)+(T17)+(V17)+(X17)+(Z17)+(AB17)+(AD17))</f>
        <v/>
      </c>
    </row>
    <row r="18">
      <c r="B18" s="626" t="n"/>
      <c r="C18" s="626" t="n"/>
      <c r="D18" s="117" t="inlineStr">
        <is>
          <t>Year 2</t>
        </is>
      </c>
      <c r="E18" s="117" t="n"/>
      <c r="F18" s="137" t="inlineStr">
        <is>
          <t>13 - 24</t>
        </is>
      </c>
      <c r="G18" s="626" t="n"/>
      <c r="H18" s="135">
        <f>'3F. Revenue &amp; COGS Assumptions'!S40</f>
        <v/>
      </c>
      <c r="I18" s="932" t="n"/>
      <c r="J18" s="135">
        <f>'3F. Revenue &amp; COGS Assumptions'!T40</f>
        <v/>
      </c>
      <c r="K18" s="932" t="n"/>
      <c r="L18" s="135">
        <f>'3F. Revenue &amp; COGS Assumptions'!U40</f>
        <v/>
      </c>
      <c r="M18" s="932" t="n"/>
      <c r="N18" s="135">
        <f>'3F. Revenue &amp; COGS Assumptions'!V40</f>
        <v/>
      </c>
      <c r="O18" s="932" t="n"/>
      <c r="P18" s="135">
        <f>'3F. Revenue &amp; COGS Assumptions'!W40</f>
        <v/>
      </c>
      <c r="Q18" s="932" t="n"/>
      <c r="R18" s="135">
        <f>'3F. Revenue &amp; COGS Assumptions'!X40</f>
        <v/>
      </c>
      <c r="S18" s="932" t="n"/>
      <c r="T18" s="135">
        <f>'3F. Revenue &amp; COGS Assumptions'!Y40</f>
        <v/>
      </c>
      <c r="U18" s="932" t="n"/>
      <c r="V18" s="135">
        <f>'3F. Revenue &amp; COGS Assumptions'!Z40</f>
        <v/>
      </c>
      <c r="W18" s="932" t="n"/>
      <c r="X18" s="135">
        <f>'3F. Revenue &amp; COGS Assumptions'!AA40</f>
        <v/>
      </c>
      <c r="Y18" s="932" t="n"/>
      <c r="Z18" s="135">
        <f>'3F. Revenue &amp; COGS Assumptions'!AB40</f>
        <v/>
      </c>
      <c r="AA18" s="932" t="n"/>
      <c r="AB18" s="135">
        <f>'3F. Revenue &amp; COGS Assumptions'!AC40</f>
        <v/>
      </c>
      <c r="AC18" s="932" t="n"/>
      <c r="AD18" s="135">
        <f>'3F. Revenue &amp; COGS Assumptions'!AD40</f>
        <v/>
      </c>
      <c r="AE18" s="932" t="n"/>
      <c r="AF18" s="136">
        <f>((H18)+(J18)+(L18)+(N18)+(P18)+(R18)+(T18)+(V18)+(X18)+(Z18)+(AB18)+(AD18))</f>
        <v/>
      </c>
    </row>
    <row r="19">
      <c r="B19" s="626" t="n"/>
      <c r="C19" s="626" t="n"/>
      <c r="D19" s="117" t="inlineStr">
        <is>
          <t>Year 3</t>
        </is>
      </c>
      <c r="E19" s="117" t="n"/>
      <c r="F19" s="137" t="inlineStr">
        <is>
          <t>25 - 36</t>
        </is>
      </c>
      <c r="G19" s="626" t="n"/>
      <c r="H19" s="135">
        <f>'3F. Revenue &amp; COGS Assumptions'!AE40</f>
        <v/>
      </c>
      <c r="I19" s="932" t="n"/>
      <c r="J19" s="135">
        <f>'3F. Revenue &amp; COGS Assumptions'!AF40</f>
        <v/>
      </c>
      <c r="K19" s="932" t="n"/>
      <c r="L19" s="135">
        <f>'3F. Revenue &amp; COGS Assumptions'!AG40</f>
        <v/>
      </c>
      <c r="M19" s="932" t="n"/>
      <c r="N19" s="135">
        <f>'3F. Revenue &amp; COGS Assumptions'!AH40</f>
        <v/>
      </c>
      <c r="O19" s="932" t="n"/>
      <c r="P19" s="135">
        <f>'3F. Revenue &amp; COGS Assumptions'!AI40</f>
        <v/>
      </c>
      <c r="Q19" s="932" t="n"/>
      <c r="R19" s="135">
        <f>'3F. Revenue &amp; COGS Assumptions'!AJ40</f>
        <v/>
      </c>
      <c r="S19" s="932" t="n"/>
      <c r="T19" s="135">
        <f>'3F. Revenue &amp; COGS Assumptions'!AK40</f>
        <v/>
      </c>
      <c r="U19" s="932" t="n"/>
      <c r="V19" s="135">
        <f>'3F. Revenue &amp; COGS Assumptions'!AL40</f>
        <v/>
      </c>
      <c r="W19" s="932" t="n"/>
      <c r="X19" s="135">
        <f>'3F. Revenue &amp; COGS Assumptions'!AM40</f>
        <v/>
      </c>
      <c r="Y19" s="932" t="n"/>
      <c r="Z19" s="135">
        <f>'3F. Revenue &amp; COGS Assumptions'!AN40</f>
        <v/>
      </c>
      <c r="AA19" s="932" t="n"/>
      <c r="AB19" s="135">
        <f>'3F. Revenue &amp; COGS Assumptions'!AO40</f>
        <v/>
      </c>
      <c r="AC19" s="932" t="n"/>
      <c r="AD19" s="135">
        <f>'3F. Revenue &amp; COGS Assumptions'!AP40</f>
        <v/>
      </c>
      <c r="AE19" s="932" t="n"/>
      <c r="AF19" s="136">
        <f>((H19)+(J19)+(L19)+(N19)+(P19)+(R19)+(T19)+(V19)+(X19)+(Z19)+(AB19)+(AD19))</f>
        <v/>
      </c>
    </row>
    <row r="20">
      <c r="B20" s="626" t="n"/>
      <c r="C20" s="626" t="n"/>
      <c r="D20" s="117" t="inlineStr">
        <is>
          <t>Year 4</t>
        </is>
      </c>
      <c r="E20" s="117" t="n"/>
      <c r="F20" s="137" t="inlineStr">
        <is>
          <t>37 - 48</t>
        </is>
      </c>
      <c r="G20" s="626" t="n"/>
      <c r="H20" s="135">
        <f>'3F. Revenue &amp; COGS Assumptions'!AQ40</f>
        <v/>
      </c>
      <c r="I20" s="932" t="n"/>
      <c r="J20" s="135">
        <f>'3F. Revenue &amp; COGS Assumptions'!AR40</f>
        <v/>
      </c>
      <c r="K20" s="932" t="n"/>
      <c r="L20" s="135">
        <f>'3F. Revenue &amp; COGS Assumptions'!AS40</f>
        <v/>
      </c>
      <c r="M20" s="932" t="n"/>
      <c r="N20" s="135">
        <f>'3F. Revenue &amp; COGS Assumptions'!AT40</f>
        <v/>
      </c>
      <c r="O20" s="932" t="n"/>
      <c r="P20" s="135">
        <f>'3F. Revenue &amp; COGS Assumptions'!AU40</f>
        <v/>
      </c>
      <c r="Q20" s="932" t="n"/>
      <c r="R20" s="135">
        <f>'3F. Revenue &amp; COGS Assumptions'!AV40</f>
        <v/>
      </c>
      <c r="S20" s="932" t="n"/>
      <c r="T20" s="135">
        <f>'3F. Revenue &amp; COGS Assumptions'!AW40</f>
        <v/>
      </c>
      <c r="U20" s="932" t="n"/>
      <c r="V20" s="135">
        <f>'3F. Revenue &amp; COGS Assumptions'!AX40</f>
        <v/>
      </c>
      <c r="W20" s="932" t="n"/>
      <c r="X20" s="135">
        <f>'3F. Revenue &amp; COGS Assumptions'!AY40</f>
        <v/>
      </c>
      <c r="Y20" s="932" t="n"/>
      <c r="Z20" s="135">
        <f>'3F. Revenue &amp; COGS Assumptions'!AZ40</f>
        <v/>
      </c>
      <c r="AA20" s="932" t="n"/>
      <c r="AB20" s="135">
        <f>'3F. Revenue &amp; COGS Assumptions'!BA40</f>
        <v/>
      </c>
      <c r="AC20" s="932" t="n"/>
      <c r="AD20" s="135">
        <f>'3F. Revenue &amp; COGS Assumptions'!BB40</f>
        <v/>
      </c>
      <c r="AE20" s="932" t="n"/>
      <c r="AF20" s="136">
        <f>((H20)+(J20)+(L20)+(N20)+(P20)+(R20)+(T20)+(V20)+(X20)+(Z20)+(AB20)+(AD20))</f>
        <v/>
      </c>
    </row>
    <row r="21">
      <c r="B21" s="626" t="n"/>
      <c r="C21" s="626" t="n"/>
      <c r="D21" s="117" t="inlineStr">
        <is>
          <t>Year 5</t>
        </is>
      </c>
      <c r="E21" s="117" t="n"/>
      <c r="F21" s="137" t="inlineStr">
        <is>
          <t>49 - 60</t>
        </is>
      </c>
      <c r="G21" s="626" t="n"/>
      <c r="H21" s="135">
        <f>'3F. Revenue &amp; COGS Assumptions'!BC40</f>
        <v/>
      </c>
      <c r="I21" s="932" t="n"/>
      <c r="J21" s="135">
        <f>'3F. Revenue &amp; COGS Assumptions'!BD40</f>
        <v/>
      </c>
      <c r="K21" s="932" t="n"/>
      <c r="L21" s="135">
        <f>'3F. Revenue &amp; COGS Assumptions'!BE40</f>
        <v/>
      </c>
      <c r="M21" s="932" t="n"/>
      <c r="N21" s="135">
        <f>'3F. Revenue &amp; COGS Assumptions'!BF40</f>
        <v/>
      </c>
      <c r="O21" s="932" t="n"/>
      <c r="P21" s="135">
        <f>'3F. Revenue &amp; COGS Assumptions'!BG40</f>
        <v/>
      </c>
      <c r="Q21" s="932" t="n"/>
      <c r="R21" s="135">
        <f>'3F. Revenue &amp; COGS Assumptions'!BH40</f>
        <v/>
      </c>
      <c r="S21" s="932" t="n"/>
      <c r="T21" s="135">
        <f>'3F. Revenue &amp; COGS Assumptions'!BI40</f>
        <v/>
      </c>
      <c r="U21" s="932" t="n"/>
      <c r="V21" s="135">
        <f>'3F. Revenue &amp; COGS Assumptions'!BJ40</f>
        <v/>
      </c>
      <c r="W21" s="932" t="n"/>
      <c r="X21" s="135">
        <f>'3F. Revenue &amp; COGS Assumptions'!BK40</f>
        <v/>
      </c>
      <c r="Y21" s="932" t="n"/>
      <c r="Z21" s="135">
        <f>'3F. Revenue &amp; COGS Assumptions'!BL40</f>
        <v/>
      </c>
      <c r="AA21" s="932" t="n"/>
      <c r="AB21" s="135">
        <f>'3F. Revenue &amp; COGS Assumptions'!BM40</f>
        <v/>
      </c>
      <c r="AC21" s="932" t="n"/>
      <c r="AD21" s="135">
        <f>'3F. Revenue &amp; COGS Assumptions'!BN40</f>
        <v/>
      </c>
      <c r="AE21" s="932" t="n"/>
      <c r="AF21" s="136">
        <f>((H21)+(J21)+(L21)+(N21)+(P21)+(R21)+(T21)+(V21)+(X21)+(Z21)+(AB21)+(AD21))</f>
        <v/>
      </c>
    </row>
    <row r="22" ht="13" customHeight="1" s="1883">
      <c r="B22" s="626" t="n"/>
      <c r="C22" s="626" t="n"/>
      <c r="D22" s="626" t="n"/>
      <c r="E22" s="626" t="n"/>
      <c r="F22" s="626" t="n"/>
      <c r="G22" s="626" t="n"/>
      <c r="H22" s="932" t="n"/>
      <c r="I22" s="932" t="n"/>
      <c r="J22" s="932" t="n"/>
      <c r="K22" s="932" t="n"/>
      <c r="L22" s="932" t="n"/>
      <c r="M22" s="932" t="n"/>
      <c r="N22" s="932" t="n"/>
      <c r="O22" s="932" t="n"/>
      <c r="P22" s="932" t="n"/>
      <c r="Q22" s="932" t="n"/>
      <c r="R22" s="932" t="n"/>
      <c r="S22" s="932" t="n"/>
      <c r="T22" s="932" t="n"/>
      <c r="U22" s="932" t="n"/>
      <c r="V22" s="932" t="n"/>
      <c r="W22" s="932" t="n"/>
      <c r="X22" s="932" t="n"/>
      <c r="Y22" s="932" t="n"/>
      <c r="Z22" s="932" t="n"/>
      <c r="AA22" s="932" t="n"/>
      <c r="AB22" s="932" t="n"/>
      <c r="AC22" s="932" t="n"/>
      <c r="AD22" s="932" t="n"/>
      <c r="AE22" s="932" t="n"/>
      <c r="AF22" s="932" t="n"/>
    </row>
    <row r="23" ht="13" customHeight="1" s="1883">
      <c r="B23" s="626" t="n"/>
      <c r="C23" s="626" t="n"/>
      <c r="D23" s="626" t="n"/>
      <c r="E23" s="626" t="n"/>
      <c r="F23" s="626" t="n"/>
      <c r="G23" s="626" t="n"/>
      <c r="H23" s="932" t="n"/>
      <c r="I23" s="932" t="n"/>
      <c r="J23" s="932" t="n"/>
      <c r="K23" s="932" t="n"/>
      <c r="L23" s="932" t="n"/>
      <c r="M23" s="932" t="n"/>
      <c r="N23" s="932" t="n"/>
      <c r="O23" s="932" t="n"/>
      <c r="P23" s="932" t="n"/>
      <c r="Q23" s="932" t="n"/>
      <c r="R23" s="932" t="n"/>
      <c r="S23" s="932" t="n"/>
      <c r="T23" s="932" t="n"/>
      <c r="U23" s="932" t="n"/>
      <c r="V23" s="932" t="n"/>
      <c r="W23" s="932" t="n"/>
      <c r="X23" s="932" t="n"/>
      <c r="Y23" s="932" t="n"/>
      <c r="Z23" s="932" t="n"/>
      <c r="AA23" s="932" t="n"/>
      <c r="AB23" s="932" t="n"/>
      <c r="AC23" s="932" t="n"/>
      <c r="AD23" s="932" t="n"/>
      <c r="AE23" s="932" t="n"/>
      <c r="AF23" s="932" t="n"/>
    </row>
    <row r="24" ht="13" customHeight="1" s="1883">
      <c r="B24" s="626" t="n"/>
      <c r="C24" s="626" t="n"/>
      <c r="D24" s="626" t="n"/>
      <c r="E24" s="626" t="n"/>
      <c r="F24" s="626" t="n"/>
      <c r="G24" s="626" t="n"/>
      <c r="H24" s="932" t="n"/>
      <c r="I24" s="932" t="n"/>
      <c r="J24" s="932" t="n"/>
      <c r="K24" s="932" t="n"/>
      <c r="L24" s="932" t="n"/>
      <c r="M24" s="932" t="n"/>
      <c r="N24" s="932" t="n"/>
      <c r="O24" s="932" t="n"/>
      <c r="P24" s="932" t="n"/>
      <c r="Q24" s="932" t="n"/>
      <c r="R24" s="932" t="n"/>
      <c r="S24" s="932" t="n"/>
      <c r="T24" s="932" t="n"/>
      <c r="U24" s="932" t="n"/>
      <c r="V24" s="932" t="n"/>
      <c r="W24" s="932" t="n"/>
      <c r="X24" s="932" t="n"/>
      <c r="Y24" s="932" t="n"/>
      <c r="Z24" s="932" t="n"/>
      <c r="AA24" s="932" t="n"/>
      <c r="AB24" s="932" t="n"/>
      <c r="AC24" s="932" t="n"/>
      <c r="AD24" s="932" t="n"/>
      <c r="AE24" s="932" t="n"/>
      <c r="AF24" s="932" t="n"/>
    </row>
    <row r="25" ht="13" customHeight="1" s="1883">
      <c r="B25" s="626" t="n"/>
      <c r="C25" s="626" t="n"/>
      <c r="D25" s="626" t="n"/>
      <c r="E25" s="626" t="n"/>
      <c r="F25" s="626" t="n"/>
      <c r="G25" s="626" t="n"/>
      <c r="H25" s="932" t="n"/>
      <c r="I25" s="932" t="n"/>
      <c r="J25" s="932" t="n"/>
      <c r="K25" s="932" t="n"/>
      <c r="L25" s="932" t="n"/>
      <c r="M25" s="932" t="n"/>
      <c r="N25" s="932" t="n"/>
      <c r="O25" s="932" t="n"/>
      <c r="P25" s="932" t="n"/>
      <c r="Q25" s="932" t="n"/>
      <c r="R25" s="932" t="n"/>
      <c r="S25" s="932" t="n"/>
      <c r="T25" s="932" t="n"/>
      <c r="U25" s="932" t="n"/>
      <c r="V25" s="932" t="n"/>
      <c r="W25" s="932" t="n"/>
      <c r="X25" s="932" t="n"/>
      <c r="Y25" s="932" t="n"/>
      <c r="Z25" s="932" t="n"/>
      <c r="AA25" s="932" t="n"/>
      <c r="AB25" s="932" t="n"/>
      <c r="AC25" s="932" t="n"/>
      <c r="AD25" s="932" t="n"/>
      <c r="AE25" s="932" t="n"/>
      <c r="AF25" s="932" t="n"/>
    </row>
    <row r="26" ht="13" customHeight="1" s="1883">
      <c r="B26" s="626" t="n"/>
      <c r="C26" s="626" t="n"/>
      <c r="D26" s="626" t="n"/>
      <c r="E26" s="626" t="n"/>
      <c r="F26" s="626" t="n"/>
      <c r="G26" s="626" t="n"/>
      <c r="H26" s="932" t="n"/>
      <c r="I26" s="932" t="n"/>
      <c r="J26" s="932" t="n"/>
      <c r="K26" s="932" t="n"/>
      <c r="L26" s="932" t="n"/>
      <c r="M26" s="932" t="n"/>
      <c r="N26" s="932" t="n"/>
      <c r="O26" s="932" t="n"/>
      <c r="P26" s="932" t="n"/>
      <c r="Q26" s="932" t="n"/>
      <c r="R26" s="932" t="n"/>
      <c r="S26" s="932" t="n"/>
      <c r="T26" s="932" t="n"/>
      <c r="U26" s="932" t="n"/>
      <c r="V26" s="932" t="n"/>
      <c r="W26" s="932" t="n"/>
      <c r="X26" s="932" t="n"/>
      <c r="Y26" s="932" t="n"/>
      <c r="Z26" s="932" t="n"/>
      <c r="AA26" s="932" t="n"/>
      <c r="AB26" s="932" t="n"/>
      <c r="AC26" s="932" t="n"/>
      <c r="AD26" s="932" t="n"/>
      <c r="AE26" s="932" t="n"/>
      <c r="AF26" s="932" t="n"/>
    </row>
    <row r="27">
      <c r="B27" s="118" t="inlineStr">
        <is>
          <t>II.</t>
        </is>
      </c>
      <c r="C27" s="626" t="n"/>
      <c r="D27" s="118" t="inlineStr">
        <is>
          <t>Customer Attrition</t>
        </is>
      </c>
      <c r="E27" s="118" t="n"/>
      <c r="F27" s="626" t="n"/>
      <c r="G27" s="626" t="n"/>
      <c r="H27" s="1904" t="inlineStr">
        <is>
          <t>Fiscal Year</t>
        </is>
      </c>
    </row>
    <row r="28" ht="3" customHeight="1" s="1883">
      <c r="B28" s="926" t="n"/>
      <c r="C28" s="926" t="n"/>
      <c r="D28" s="926" t="n"/>
      <c r="E28" s="926" t="n"/>
      <c r="F28" s="926" t="n"/>
      <c r="G28" s="626" t="n"/>
      <c r="H28" s="933" t="n"/>
      <c r="I28" s="933" t="n"/>
      <c r="J28" s="933" t="n"/>
      <c r="K28" s="933" t="n"/>
      <c r="L28" s="933" t="n"/>
      <c r="M28" s="933" t="n"/>
      <c r="N28" s="933" t="n"/>
      <c r="O28" s="933" t="n"/>
      <c r="P28" s="933" t="n"/>
      <c r="Q28" s="933" t="n"/>
      <c r="R28" s="933" t="n"/>
      <c r="S28" s="933" t="n"/>
      <c r="T28" s="933" t="n"/>
      <c r="U28" s="933" t="n"/>
      <c r="V28" s="933" t="n"/>
      <c r="W28" s="933" t="n"/>
      <c r="X28" s="933" t="n"/>
      <c r="Y28" s="933" t="n"/>
      <c r="Z28" s="933" t="n"/>
      <c r="AA28" s="933" t="n"/>
      <c r="AB28" s="933" t="n"/>
      <c r="AC28" s="933" t="n"/>
      <c r="AD28" s="933" t="n"/>
      <c r="AE28" s="933" t="n"/>
      <c r="AF28" s="933" t="n"/>
    </row>
    <row r="29" ht="3" customHeight="1" s="1883">
      <c r="B29" s="626" t="n"/>
      <c r="C29" s="626" t="n"/>
      <c r="D29" s="626" t="n"/>
      <c r="E29" s="626" t="n"/>
      <c r="F29" s="626" t="n"/>
      <c r="G29" s="626" t="n"/>
      <c r="H29" s="932" t="n"/>
      <c r="I29" s="932" t="n"/>
      <c r="J29" s="932" t="n"/>
      <c r="K29" s="932" t="n"/>
      <c r="L29" s="932" t="n"/>
      <c r="M29" s="932" t="n"/>
      <c r="N29" s="932" t="n"/>
      <c r="O29" s="932" t="n"/>
      <c r="P29" s="932" t="n"/>
      <c r="Q29" s="932" t="n"/>
      <c r="R29" s="932" t="n"/>
      <c r="S29" s="932" t="n"/>
      <c r="T29" s="932" t="n"/>
      <c r="U29" s="932" t="n"/>
      <c r="V29" s="932" t="n"/>
      <c r="W29" s="932" t="n"/>
      <c r="X29" s="932" t="n"/>
      <c r="Y29" s="932" t="n"/>
      <c r="Z29" s="932" t="n"/>
      <c r="AA29" s="932" t="n"/>
      <c r="AB29" s="932" t="n"/>
      <c r="AC29" s="932" t="n"/>
      <c r="AD29" s="932" t="n"/>
      <c r="AE29" s="932" t="n"/>
      <c r="AF29" s="932" t="n"/>
    </row>
    <row r="30">
      <c r="B30" s="626" t="n"/>
      <c r="C30" s="626" t="n"/>
      <c r="D30" s="117" t="inlineStr">
        <is>
          <t>Year</t>
        </is>
      </c>
      <c r="E30" s="117" t="n"/>
      <c r="F30" s="117" t="inlineStr">
        <is>
          <t>Months</t>
        </is>
      </c>
      <c r="G30" s="626" t="n"/>
      <c r="H30" s="138" t="inlineStr">
        <is>
          <t>Month 1</t>
        </is>
      </c>
      <c r="I30" s="138" t="n"/>
      <c r="J30" s="138" t="inlineStr">
        <is>
          <t>Month 2</t>
        </is>
      </c>
      <c r="K30" s="138" t="n"/>
      <c r="L30" s="138" t="inlineStr">
        <is>
          <t>Month 3</t>
        </is>
      </c>
      <c r="M30" s="138" t="n"/>
      <c r="N30" s="138" t="inlineStr">
        <is>
          <t>Month 4</t>
        </is>
      </c>
      <c r="O30" s="138" t="n"/>
      <c r="P30" s="138" t="inlineStr">
        <is>
          <t>Month 5</t>
        </is>
      </c>
      <c r="Q30" s="138" t="n"/>
      <c r="R30" s="138" t="inlineStr">
        <is>
          <t>Month 6</t>
        </is>
      </c>
      <c r="S30" s="138" t="n"/>
      <c r="T30" s="138" t="inlineStr">
        <is>
          <t>Month 7</t>
        </is>
      </c>
      <c r="U30" s="138" t="n"/>
      <c r="V30" s="138" t="inlineStr">
        <is>
          <t>Month 8</t>
        </is>
      </c>
      <c r="W30" s="138" t="n"/>
      <c r="X30" s="138" t="inlineStr">
        <is>
          <t>Month 9</t>
        </is>
      </c>
      <c r="Y30" s="138" t="n"/>
      <c r="Z30" s="138" t="inlineStr">
        <is>
          <t>Month 10</t>
        </is>
      </c>
      <c r="AA30" s="138" t="n"/>
      <c r="AB30" s="138" t="inlineStr">
        <is>
          <t>Month 11</t>
        </is>
      </c>
      <c r="AC30" s="138" t="n"/>
      <c r="AD30" s="138" t="inlineStr">
        <is>
          <t>Month 12</t>
        </is>
      </c>
      <c r="AE30" s="932" t="n"/>
      <c r="AF30" s="138" t="inlineStr">
        <is>
          <t>Ʃ, Full-Year</t>
        </is>
      </c>
    </row>
    <row r="33">
      <c r="B33" s="626" t="n"/>
      <c r="C33" s="626" t="n"/>
      <c r="D33" s="117" t="inlineStr">
        <is>
          <t>Year 0</t>
        </is>
      </c>
      <c r="E33" s="117" t="n"/>
      <c r="F33" s="133" t="inlineStr">
        <is>
          <t>-12 - -1</t>
        </is>
      </c>
      <c r="G33" s="1968" t="n"/>
      <c r="H33" s="978" t="n"/>
      <c r="I33" s="978" t="n"/>
      <c r="J33" s="978" t="n"/>
      <c r="K33" s="978" t="n"/>
      <c r="L33" s="978" t="n"/>
      <c r="M33" s="978" t="n"/>
      <c r="N33" s="978" t="n"/>
      <c r="O33" s="978" t="n"/>
      <c r="P33" s="978" t="n"/>
      <c r="Q33" s="978" t="n"/>
      <c r="R33" s="978" t="n"/>
      <c r="S33" s="978" t="n"/>
      <c r="T33" s="978" t="n"/>
      <c r="U33" s="978" t="n"/>
      <c r="V33" s="978" t="n"/>
      <c r="W33" s="978" t="n"/>
      <c r="X33" s="978" t="n"/>
      <c r="Y33" s="978" t="n"/>
      <c r="Z33" s="978" t="n"/>
      <c r="AA33" s="978" t="n"/>
      <c r="AB33" s="978" t="n"/>
      <c r="AC33" s="978" t="n"/>
      <c r="AD33" s="978" t="n"/>
      <c r="AE33" s="978" t="n"/>
      <c r="AF33" s="978" t="n"/>
    </row>
    <row r="34">
      <c r="B34" s="626" t="n"/>
      <c r="C34" s="626" t="n"/>
      <c r="D34" s="117" t="inlineStr">
        <is>
          <t>Year 1</t>
        </is>
      </c>
      <c r="E34" s="117" t="n"/>
      <c r="F34" s="134" t="inlineStr">
        <is>
          <t>1 - 12</t>
        </is>
      </c>
      <c r="G34" s="626" t="n"/>
      <c r="H34" s="139">
        <f>'3E. Tel. Attrit. Renew. Reward'!G100</f>
        <v/>
      </c>
      <c r="I34" s="139" t="n"/>
      <c r="J34" s="139">
        <f>'Attrition Wedge (Companion App)'!H74</f>
        <v/>
      </c>
      <c r="K34" s="139" t="n"/>
      <c r="L34" s="139">
        <f>'Attrition Wedge (Companion App)'!I74</f>
        <v/>
      </c>
      <c r="M34" s="139" t="n"/>
      <c r="N34" s="139">
        <f>'Attrition Wedge (Companion App)'!J74</f>
        <v/>
      </c>
      <c r="O34" s="139" t="n"/>
      <c r="P34" s="139">
        <f>'Attrition Wedge (Companion App)'!K74</f>
        <v/>
      </c>
      <c r="Q34" s="139" t="n"/>
      <c r="R34" s="139">
        <f>'Attrition Wedge (Companion App)'!L74</f>
        <v/>
      </c>
      <c r="S34" s="139" t="n"/>
      <c r="T34" s="139">
        <f>'Attrition Wedge (Companion App)'!M74</f>
        <v/>
      </c>
      <c r="U34" s="139" t="n"/>
      <c r="V34" s="139">
        <f>'Attrition Wedge (Companion App)'!N74</f>
        <v/>
      </c>
      <c r="W34" s="139" t="n"/>
      <c r="X34" s="139">
        <f>'Attrition Wedge (Companion App)'!O74</f>
        <v/>
      </c>
      <c r="Y34" s="139" t="n"/>
      <c r="Z34" s="139">
        <f>'Attrition Wedge (Companion App)'!P74</f>
        <v/>
      </c>
      <c r="AA34" s="139" t="n"/>
      <c r="AB34" s="139">
        <f>'Attrition Wedge (Companion App)'!Q74</f>
        <v/>
      </c>
      <c r="AC34" s="139" t="n"/>
      <c r="AD34" s="139">
        <f>'Attrition Wedge (Companion App)'!R74</f>
        <v/>
      </c>
      <c r="AE34" s="139" t="n"/>
      <c r="AF34" s="136">
        <f>((H34)+(J34)+(L34)+(N34)+(P34)+(R34)+(T34)+(V34)+(X34)+(Z34)+(AB34)+(AD34))</f>
        <v/>
      </c>
    </row>
    <row r="35">
      <c r="B35" s="626" t="n"/>
      <c r="C35" s="626" t="n"/>
      <c r="D35" s="117" t="inlineStr">
        <is>
          <t>Year 2</t>
        </is>
      </c>
      <c r="E35" s="117" t="n"/>
      <c r="F35" s="137" t="inlineStr">
        <is>
          <t>13 - 24</t>
        </is>
      </c>
      <c r="G35" s="626" t="n"/>
      <c r="H35" s="139">
        <f>'Attrition Wedge (Companion App)'!S74</f>
        <v/>
      </c>
      <c r="I35" s="139" t="n"/>
      <c r="J35" s="139">
        <f>'Attrition Wedge (Companion App)'!T74</f>
        <v/>
      </c>
      <c r="K35" s="139" t="n"/>
      <c r="L35" s="139">
        <f>'Attrition Wedge (Companion App)'!U74</f>
        <v/>
      </c>
      <c r="M35" s="139" t="n"/>
      <c r="N35" s="139">
        <f>'Attrition Wedge (Companion App)'!V74</f>
        <v/>
      </c>
      <c r="O35" s="139" t="n"/>
      <c r="P35" s="139">
        <f>'Attrition Wedge (Companion App)'!W74</f>
        <v/>
      </c>
      <c r="Q35" s="139" t="n"/>
      <c r="R35" s="139">
        <f>'Attrition Wedge (Companion App)'!X74</f>
        <v/>
      </c>
      <c r="S35" s="139" t="n"/>
      <c r="T35" s="139">
        <f>'Attrition Wedge (Companion App)'!Y74</f>
        <v/>
      </c>
      <c r="U35" s="139" t="n"/>
      <c r="V35" s="139">
        <f>'Attrition Wedge (Companion App)'!Z74</f>
        <v/>
      </c>
      <c r="W35" s="139" t="n"/>
      <c r="X35" s="139">
        <f>'Attrition Wedge (Companion App)'!AA74</f>
        <v/>
      </c>
      <c r="Y35" s="139" t="n"/>
      <c r="Z35" s="139">
        <f>'Attrition Wedge (Companion App)'!AB74</f>
        <v/>
      </c>
      <c r="AA35" s="139" t="n"/>
      <c r="AB35" s="139">
        <f>'Attrition Wedge (Companion App)'!AC74</f>
        <v/>
      </c>
      <c r="AC35" s="139" t="n"/>
      <c r="AD35" s="139">
        <f>'Attrition Wedge (Companion App)'!AD74</f>
        <v/>
      </c>
      <c r="AE35" s="139" t="n"/>
      <c r="AF35" s="136">
        <f>((H35)+(J35)+(L35)+(N35)+(P35)+(R35)+(T35)+(V35)+(X35)+(Z35)+(AB35)+(AD35))</f>
        <v/>
      </c>
    </row>
    <row r="36">
      <c r="B36" s="626" t="n"/>
      <c r="C36" s="626" t="n"/>
      <c r="D36" s="117" t="inlineStr">
        <is>
          <t>Year 3</t>
        </is>
      </c>
      <c r="E36" s="117" t="n"/>
      <c r="F36" s="137" t="inlineStr">
        <is>
          <t>25 - 36</t>
        </is>
      </c>
      <c r="G36" s="626" t="n"/>
      <c r="H36" s="139">
        <f>'Attrition Wedge (Companion App)'!AE74</f>
        <v/>
      </c>
      <c r="I36" s="139" t="n"/>
      <c r="J36" s="139">
        <f>'Attrition Wedge (Companion App)'!AF74</f>
        <v/>
      </c>
      <c r="K36" s="139" t="n"/>
      <c r="L36" s="139">
        <f>'Attrition Wedge (Companion App)'!AG74</f>
        <v/>
      </c>
      <c r="M36" s="139" t="n"/>
      <c r="N36" s="139">
        <f>'Attrition Wedge (Companion App)'!AH74</f>
        <v/>
      </c>
      <c r="O36" s="139" t="n"/>
      <c r="P36" s="139">
        <f>'Attrition Wedge (Companion App)'!AI74</f>
        <v/>
      </c>
      <c r="Q36" s="139" t="n"/>
      <c r="R36" s="139">
        <f>'Attrition Wedge (Companion App)'!AJ74</f>
        <v/>
      </c>
      <c r="S36" s="139" t="n"/>
      <c r="T36" s="139">
        <f>'Attrition Wedge (Companion App)'!AK74</f>
        <v/>
      </c>
      <c r="U36" s="139" t="n"/>
      <c r="V36" s="139">
        <f>'Attrition Wedge (Companion App)'!AL74</f>
        <v/>
      </c>
      <c r="W36" s="139" t="n"/>
      <c r="X36" s="139">
        <f>'Attrition Wedge (Companion App)'!AM74</f>
        <v/>
      </c>
      <c r="Y36" s="139" t="n"/>
      <c r="Z36" s="139">
        <f>'Attrition Wedge (Companion App)'!AN74</f>
        <v/>
      </c>
      <c r="AA36" s="139" t="n"/>
      <c r="AB36" s="139">
        <f>'Attrition Wedge (Companion App)'!AO74</f>
        <v/>
      </c>
      <c r="AC36" s="139" t="n"/>
      <c r="AD36" s="139">
        <f>'Attrition Wedge (Companion App)'!AP74</f>
        <v/>
      </c>
      <c r="AE36" s="139" t="n"/>
      <c r="AF36" s="136">
        <f>((H36)+(J36)+(L36)+(N36)+(P36)+(R36)+(T36)+(V36)+(X36)+(Z36)+(AB36)+(AD36))</f>
        <v/>
      </c>
    </row>
    <row r="37">
      <c r="B37" s="626" t="n"/>
      <c r="C37" s="626" t="n"/>
      <c r="D37" s="117" t="inlineStr">
        <is>
          <t>Year 4</t>
        </is>
      </c>
      <c r="E37" s="117" t="n"/>
      <c r="F37" s="137" t="inlineStr">
        <is>
          <t>37 - 48</t>
        </is>
      </c>
      <c r="G37" s="626" t="n"/>
      <c r="H37" s="139">
        <f>'Attrition Wedge (Companion App)'!AQ74</f>
        <v/>
      </c>
      <c r="I37" s="139" t="n"/>
      <c r="J37" s="139">
        <f>'Attrition Wedge (Companion App)'!AR74</f>
        <v/>
      </c>
      <c r="K37" s="139" t="n"/>
      <c r="L37" s="139">
        <f>'Attrition Wedge (Companion App)'!AS74</f>
        <v/>
      </c>
      <c r="M37" s="139" t="n"/>
      <c r="N37" s="139">
        <f>'Attrition Wedge (Companion App)'!AT74</f>
        <v/>
      </c>
      <c r="O37" s="139" t="n"/>
      <c r="P37" s="139">
        <f>'Attrition Wedge (Companion App)'!AU74</f>
        <v/>
      </c>
      <c r="Q37" s="139" t="n"/>
      <c r="R37" s="139">
        <f>'Attrition Wedge (Companion App)'!AV74</f>
        <v/>
      </c>
      <c r="S37" s="139" t="n"/>
      <c r="T37" s="139">
        <f>'Attrition Wedge (Companion App)'!AW74</f>
        <v/>
      </c>
      <c r="U37" s="139" t="n"/>
      <c r="V37" s="139">
        <f>'Attrition Wedge (Companion App)'!AX74</f>
        <v/>
      </c>
      <c r="W37" s="139" t="n"/>
      <c r="X37" s="139">
        <f>'Attrition Wedge (Companion App)'!AY74</f>
        <v/>
      </c>
      <c r="Y37" s="139" t="n"/>
      <c r="Z37" s="139">
        <f>'Attrition Wedge (Companion App)'!AZ74</f>
        <v/>
      </c>
      <c r="AA37" s="139" t="n"/>
      <c r="AB37" s="139">
        <f>'Attrition Wedge (Companion App)'!BA74</f>
        <v/>
      </c>
      <c r="AC37" s="139" t="n"/>
      <c r="AD37" s="139">
        <f>'Attrition Wedge (Companion App)'!BB74</f>
        <v/>
      </c>
      <c r="AE37" s="139" t="n"/>
      <c r="AF37" s="136">
        <f>((H37)+(J37)+(L37)+(N37)+(P37)+(R37)+(T37)+(V37)+(X37)+(Z37)+(AB37)+(AD37))</f>
        <v/>
      </c>
    </row>
    <row r="38">
      <c r="B38" s="626" t="n"/>
      <c r="C38" s="626" t="n"/>
      <c r="D38" s="117" t="inlineStr">
        <is>
          <t>Year 5</t>
        </is>
      </c>
      <c r="E38" s="117" t="n"/>
      <c r="F38" s="137" t="inlineStr">
        <is>
          <t>49 - 60</t>
        </is>
      </c>
      <c r="G38" s="626" t="n"/>
      <c r="H38" s="139">
        <f>'Attrition Wedge (Companion App)'!BC74</f>
        <v/>
      </c>
      <c r="I38" s="139" t="n"/>
      <c r="J38" s="139">
        <f>'Attrition Wedge (Companion App)'!BD74</f>
        <v/>
      </c>
      <c r="K38" s="139" t="n"/>
      <c r="L38" s="139">
        <f>'Attrition Wedge (Companion App)'!BE74</f>
        <v/>
      </c>
      <c r="M38" s="139" t="n"/>
      <c r="N38" s="139">
        <f>'Attrition Wedge (Companion App)'!BF74</f>
        <v/>
      </c>
      <c r="O38" s="139" t="n"/>
      <c r="P38" s="139">
        <f>'Attrition Wedge (Companion App)'!BG74</f>
        <v/>
      </c>
      <c r="Q38" s="139" t="n"/>
      <c r="R38" s="139">
        <f>'Attrition Wedge (Companion App)'!BH74</f>
        <v/>
      </c>
      <c r="S38" s="139" t="n"/>
      <c r="T38" s="139">
        <f>'Attrition Wedge (Companion App)'!BI74</f>
        <v/>
      </c>
      <c r="U38" s="139" t="n"/>
      <c r="V38" s="139">
        <f>'Attrition Wedge (Companion App)'!BJ74</f>
        <v/>
      </c>
      <c r="W38" s="139" t="n"/>
      <c r="X38" s="139">
        <f>'Attrition Wedge (Companion App)'!BK74</f>
        <v/>
      </c>
      <c r="Y38" s="139" t="n"/>
      <c r="Z38" s="139">
        <f>'Attrition Wedge (Companion App)'!BL74</f>
        <v/>
      </c>
      <c r="AA38" s="139" t="n"/>
      <c r="AB38" s="139">
        <f>'Attrition Wedge (Companion App)'!BM74</f>
        <v/>
      </c>
      <c r="AC38" s="139" t="n"/>
      <c r="AD38" s="139">
        <f>'Attrition Wedge (Companion App)'!BN74</f>
        <v/>
      </c>
      <c r="AE38" s="139" t="n"/>
      <c r="AF38" s="136">
        <f>((H38)+(J38)+(L38)+(N38)+(P38)+(R38)+(T38)+(V38)+(X38)+(Z38)+(AB38)+(AD38))</f>
        <v/>
      </c>
    </row>
    <row r="39" ht="13" customHeight="1" s="1883">
      <c r="B39" s="626" t="n"/>
      <c r="C39" s="626" t="n"/>
      <c r="D39" s="626" t="n"/>
      <c r="E39" s="626" t="n"/>
      <c r="F39" s="626" t="n"/>
      <c r="G39" s="626" t="n"/>
      <c r="H39" s="932" t="n"/>
      <c r="I39" s="932" t="n"/>
      <c r="J39" s="932" t="n"/>
      <c r="K39" s="932" t="n"/>
      <c r="L39" s="932" t="n"/>
      <c r="M39" s="932" t="n"/>
      <c r="N39" s="932" t="n"/>
      <c r="O39" s="932" t="n"/>
      <c r="P39" s="932" t="n"/>
      <c r="Q39" s="932" t="n"/>
      <c r="R39" s="932" t="n"/>
      <c r="S39" s="932" t="n"/>
      <c r="T39" s="932" t="n"/>
      <c r="U39" s="932" t="n"/>
      <c r="V39" s="932" t="n"/>
      <c r="W39" s="932" t="n"/>
      <c r="X39" s="932" t="n"/>
      <c r="Y39" s="932" t="n"/>
      <c r="Z39" s="932" t="n"/>
      <c r="AA39" s="932" t="n"/>
      <c r="AB39" s="932" t="n"/>
      <c r="AC39" s="932" t="n"/>
      <c r="AD39" s="932" t="n"/>
      <c r="AE39" s="932" t="n"/>
      <c r="AF39" s="932" t="n"/>
    </row>
    <row r="40" ht="13" customHeight="1" s="1883">
      <c r="B40" s="626" t="n"/>
      <c r="C40" s="626" t="n"/>
      <c r="D40" s="626" t="n"/>
      <c r="E40" s="626" t="n"/>
      <c r="F40" s="626" t="n"/>
      <c r="G40" s="626" t="n"/>
      <c r="H40" s="932" t="n"/>
      <c r="I40" s="932" t="n"/>
      <c r="J40" s="932" t="n"/>
      <c r="K40" s="932" t="n"/>
      <c r="L40" s="932" t="n"/>
      <c r="M40" s="932" t="n"/>
      <c r="N40" s="932" t="n"/>
      <c r="O40" s="932" t="n"/>
      <c r="P40" s="932" t="n"/>
      <c r="Q40" s="932" t="n"/>
      <c r="R40" s="932" t="n"/>
      <c r="S40" s="932" t="n"/>
      <c r="T40" s="932" t="n"/>
      <c r="U40" s="932" t="n"/>
      <c r="V40" s="932" t="n"/>
      <c r="W40" s="932" t="n"/>
      <c r="X40" s="932" t="n"/>
      <c r="Y40" s="932" t="n"/>
      <c r="Z40" s="932" t="n"/>
      <c r="AA40" s="932" t="n"/>
      <c r="AB40" s="932" t="n"/>
      <c r="AC40" s="932" t="n"/>
      <c r="AD40" s="932" t="n"/>
      <c r="AE40" s="932" t="n"/>
      <c r="AF40" s="932" t="n"/>
    </row>
    <row r="41" ht="13" customHeight="1" s="1883">
      <c r="B41" s="626" t="n"/>
      <c r="C41" s="626" t="n"/>
      <c r="D41" s="626" t="n"/>
      <c r="E41" s="626" t="n"/>
      <c r="F41" s="626" t="n"/>
      <c r="G41" s="626" t="n"/>
      <c r="H41" s="932" t="n"/>
      <c r="I41" s="932" t="n"/>
      <c r="J41" s="932" t="n"/>
      <c r="K41" s="932" t="n"/>
      <c r="L41" s="932" t="n"/>
      <c r="M41" s="932" t="n"/>
      <c r="N41" s="932" t="n"/>
      <c r="O41" s="932" t="n"/>
      <c r="P41" s="932" t="n"/>
      <c r="Q41" s="932" t="n"/>
      <c r="R41" s="932" t="n"/>
      <c r="S41" s="932" t="n"/>
      <c r="T41" s="932" t="n"/>
      <c r="U41" s="932" t="n"/>
      <c r="V41" s="932" t="n"/>
      <c r="W41" s="932" t="n"/>
      <c r="X41" s="932" t="n"/>
      <c r="Y41" s="932" t="n"/>
      <c r="Z41" s="932" t="n"/>
      <c r="AA41" s="932" t="n"/>
      <c r="AB41" s="932" t="n"/>
      <c r="AC41" s="932" t="n"/>
      <c r="AD41" s="932" t="n"/>
      <c r="AE41" s="932" t="n"/>
      <c r="AF41" s="932" t="n"/>
    </row>
    <row r="42" ht="13" customHeight="1" s="1883">
      <c r="B42" s="626" t="n"/>
      <c r="C42" s="626" t="n"/>
      <c r="D42" s="626" t="n"/>
      <c r="E42" s="626" t="n"/>
      <c r="F42" s="626" t="n"/>
      <c r="G42" s="626" t="n"/>
      <c r="H42" s="932" t="n"/>
      <c r="I42" s="932" t="n"/>
      <c r="J42" s="932" t="n"/>
      <c r="K42" s="932" t="n"/>
      <c r="L42" s="932" t="n"/>
      <c r="M42" s="932" t="n"/>
      <c r="N42" s="932" t="n"/>
      <c r="O42" s="932" t="n"/>
      <c r="P42" s="932" t="n"/>
      <c r="Q42" s="932" t="n"/>
      <c r="R42" s="932" t="n"/>
      <c r="S42" s="932" t="n"/>
      <c r="T42" s="932" t="n"/>
      <c r="U42" s="932" t="n"/>
      <c r="V42" s="932" t="n"/>
      <c r="W42" s="932" t="n"/>
      <c r="X42" s="932" t="n"/>
      <c r="Y42" s="932" t="n"/>
      <c r="Z42" s="932" t="n"/>
      <c r="AA42" s="932" t="n"/>
      <c r="AB42" s="932" t="n"/>
      <c r="AC42" s="932" t="n"/>
      <c r="AD42" s="932" t="n"/>
      <c r="AE42" s="932" t="n"/>
      <c r="AF42" s="932" t="n"/>
    </row>
    <row r="43" ht="13" customHeight="1" s="1883">
      <c r="B43" s="626" t="n"/>
      <c r="C43" s="626" t="n"/>
      <c r="D43" s="626" t="n"/>
      <c r="E43" s="626" t="n"/>
      <c r="F43" s="626" t="n"/>
      <c r="G43" s="626" t="n"/>
      <c r="H43" s="932" t="n"/>
      <c r="I43" s="932" t="n"/>
      <c r="J43" s="932" t="n"/>
      <c r="K43" s="932" t="n"/>
      <c r="L43" s="932" t="n"/>
      <c r="M43" s="932" t="n"/>
      <c r="N43" s="932" t="n"/>
      <c r="O43" s="932" t="n"/>
      <c r="P43" s="932" t="n"/>
      <c r="Q43" s="932" t="n"/>
      <c r="R43" s="932" t="n"/>
      <c r="S43" s="932" t="n"/>
      <c r="T43" s="932" t="n"/>
      <c r="U43" s="932" t="n"/>
      <c r="V43" s="932" t="n"/>
      <c r="W43" s="932" t="n"/>
      <c r="X43" s="932" t="n"/>
      <c r="Y43" s="932" t="n"/>
      <c r="Z43" s="932" t="n"/>
      <c r="AA43" s="932" t="n"/>
      <c r="AB43" s="932" t="n"/>
      <c r="AC43" s="932" t="n"/>
      <c r="AD43" s="932" t="n"/>
      <c r="AE43" s="932" t="n"/>
      <c r="AF43" s="932" t="n"/>
    </row>
    <row r="44">
      <c r="B44" s="118" t="inlineStr">
        <is>
          <t>III.</t>
        </is>
      </c>
      <c r="C44" s="626" t="n"/>
      <c r="D44" s="118" t="inlineStr">
        <is>
          <t>Active Apps</t>
        </is>
      </c>
      <c r="E44" s="118" t="n"/>
      <c r="F44" s="626" t="n"/>
      <c r="G44" s="626" t="n"/>
      <c r="H44" s="1904" t="inlineStr">
        <is>
          <t>Fiscal Year</t>
        </is>
      </c>
    </row>
    <row r="45" ht="3" customHeight="1" s="1883">
      <c r="B45" s="926" t="n"/>
      <c r="C45" s="926" t="n"/>
      <c r="D45" s="926" t="n"/>
      <c r="E45" s="926" t="n"/>
      <c r="F45" s="926" t="n"/>
      <c r="G45" s="626" t="n"/>
      <c r="H45" s="933" t="n"/>
      <c r="I45" s="933" t="n"/>
      <c r="J45" s="933" t="n"/>
      <c r="K45" s="933" t="n"/>
      <c r="L45" s="933" t="n"/>
      <c r="M45" s="933" t="n"/>
      <c r="N45" s="933" t="n"/>
      <c r="O45" s="933" t="n"/>
      <c r="P45" s="933" t="n"/>
      <c r="Q45" s="933" t="n"/>
      <c r="R45" s="933" t="n"/>
      <c r="S45" s="933" t="n"/>
      <c r="T45" s="933" t="n"/>
      <c r="U45" s="933" t="n"/>
      <c r="V45" s="933" t="n"/>
      <c r="W45" s="933" t="n"/>
      <c r="X45" s="933" t="n"/>
      <c r="Y45" s="933" t="n"/>
      <c r="Z45" s="933" t="n"/>
      <c r="AA45" s="933" t="n"/>
      <c r="AB45" s="933" t="n"/>
      <c r="AC45" s="933" t="n"/>
      <c r="AD45" s="933" t="n"/>
      <c r="AE45" s="933" t="n"/>
      <c r="AF45" s="933" t="n"/>
    </row>
    <row r="46" ht="3" customHeight="1" s="1883">
      <c r="B46" s="626" t="n"/>
      <c r="C46" s="626" t="n"/>
      <c r="D46" s="626" t="n"/>
      <c r="E46" s="626" t="n"/>
      <c r="F46" s="626" t="n"/>
      <c r="G46" s="626" t="n"/>
      <c r="H46" s="932" t="n"/>
      <c r="I46" s="932" t="n"/>
      <c r="J46" s="932" t="n"/>
      <c r="K46" s="932" t="n"/>
      <c r="L46" s="932" t="n"/>
      <c r="M46" s="932" t="n"/>
      <c r="N46" s="932" t="n"/>
      <c r="O46" s="932" t="n"/>
      <c r="P46" s="932" t="n"/>
      <c r="Q46" s="932" t="n"/>
      <c r="R46" s="932" t="n"/>
      <c r="S46" s="932" t="n"/>
      <c r="T46" s="932" t="n"/>
      <c r="U46" s="932" t="n"/>
      <c r="V46" s="932" t="n"/>
      <c r="W46" s="932" t="n"/>
      <c r="X46" s="932" t="n"/>
      <c r="Y46" s="932" t="n"/>
      <c r="Z46" s="932" t="n"/>
      <c r="AA46" s="932" t="n"/>
      <c r="AB46" s="932" t="n"/>
      <c r="AC46" s="932" t="n"/>
      <c r="AD46" s="932" t="n"/>
      <c r="AE46" s="932" t="n"/>
      <c r="AF46" s="932" t="n"/>
    </row>
    <row r="47">
      <c r="B47" s="626" t="n"/>
      <c r="C47" s="626" t="n"/>
      <c r="D47" s="117" t="inlineStr">
        <is>
          <t>Year</t>
        </is>
      </c>
      <c r="E47" s="117" t="n"/>
      <c r="F47" s="117" t="inlineStr">
        <is>
          <t>Months</t>
        </is>
      </c>
      <c r="G47" s="626" t="n"/>
      <c r="H47" s="138" t="inlineStr">
        <is>
          <t>Month 1</t>
        </is>
      </c>
      <c r="I47" s="138" t="n"/>
      <c r="J47" s="138" t="inlineStr">
        <is>
          <t>Month 2</t>
        </is>
      </c>
      <c r="K47" s="138" t="n"/>
      <c r="L47" s="138" t="inlineStr">
        <is>
          <t>Month 3</t>
        </is>
      </c>
      <c r="M47" s="138" t="n"/>
      <c r="N47" s="138" t="inlineStr">
        <is>
          <t>Month 4</t>
        </is>
      </c>
      <c r="O47" s="138" t="n"/>
      <c r="P47" s="138" t="inlineStr">
        <is>
          <t>Month 5</t>
        </is>
      </c>
      <c r="Q47" s="138" t="n"/>
      <c r="R47" s="138" t="inlineStr">
        <is>
          <t>Month 6</t>
        </is>
      </c>
      <c r="S47" s="138" t="n"/>
      <c r="T47" s="138" t="inlineStr">
        <is>
          <t>Month 7</t>
        </is>
      </c>
      <c r="U47" s="138" t="n"/>
      <c r="V47" s="138" t="inlineStr">
        <is>
          <t>Month 8</t>
        </is>
      </c>
      <c r="W47" s="138" t="n"/>
      <c r="X47" s="138" t="inlineStr">
        <is>
          <t>Month 9</t>
        </is>
      </c>
      <c r="Y47" s="138" t="n"/>
      <c r="Z47" s="138" t="inlineStr">
        <is>
          <t>Month 10</t>
        </is>
      </c>
      <c r="AA47" s="138" t="n"/>
      <c r="AB47" s="138" t="inlineStr">
        <is>
          <t>Month 11</t>
        </is>
      </c>
      <c r="AC47" s="138" t="n"/>
      <c r="AD47" s="138" t="inlineStr">
        <is>
          <t>Month 12</t>
        </is>
      </c>
      <c r="AE47" s="932" t="n"/>
      <c r="AF47" s="138" t="inlineStr">
        <is>
          <t>Ʃ, Full-Year</t>
        </is>
      </c>
    </row>
    <row r="50">
      <c r="D50" s="117" t="inlineStr">
        <is>
          <t>Year 0</t>
        </is>
      </c>
      <c r="E50" s="117" t="n"/>
      <c r="F50" s="133" t="inlineStr">
        <is>
          <t>-12 - -1</t>
        </is>
      </c>
      <c r="G50" s="1968" t="n"/>
      <c r="H50" s="978" t="n"/>
      <c r="I50" s="978" t="n"/>
      <c r="J50" s="978" t="n"/>
      <c r="K50" s="978" t="n"/>
      <c r="L50" s="978" t="n"/>
      <c r="M50" s="978" t="n"/>
      <c r="N50" s="978" t="n"/>
      <c r="O50" s="978" t="n"/>
      <c r="P50" s="978" t="n"/>
      <c r="Q50" s="978" t="n"/>
      <c r="R50" s="978" t="n"/>
      <c r="S50" s="978" t="n"/>
      <c r="T50" s="978" t="n"/>
      <c r="U50" s="978" t="n"/>
      <c r="V50" s="978" t="n"/>
      <c r="W50" s="978" t="n"/>
      <c r="X50" s="978" t="n"/>
      <c r="Y50" s="978" t="n"/>
      <c r="Z50" s="978" t="n"/>
      <c r="AA50" s="978" t="n"/>
      <c r="AB50" s="978" t="n"/>
      <c r="AC50" s="978" t="n"/>
      <c r="AD50" s="978" t="n"/>
      <c r="AE50" s="978" t="n"/>
      <c r="AF50" s="978" t="n"/>
    </row>
    <row r="51" ht="13" customHeight="1" s="1883">
      <c r="D51" s="626" t="n"/>
      <c r="E51" s="626" t="n"/>
      <c r="F51" s="626" t="n"/>
      <c r="G51" s="626" t="n"/>
      <c r="H51" s="932" t="n"/>
      <c r="I51" s="932" t="n"/>
      <c r="J51" s="932" t="n"/>
      <c r="K51" s="932" t="n"/>
      <c r="L51" s="932" t="n"/>
      <c r="M51" s="932" t="n"/>
      <c r="N51" s="932" t="n"/>
      <c r="O51" s="932" t="n"/>
      <c r="P51" s="932" t="n"/>
      <c r="Q51" s="932" t="n"/>
      <c r="R51" s="932" t="n"/>
      <c r="S51" s="932" t="n"/>
      <c r="T51" s="932" t="n"/>
      <c r="U51" s="932" t="n"/>
      <c r="V51" s="932" t="n"/>
      <c r="W51" s="932" t="n"/>
      <c r="X51" s="932" t="n"/>
      <c r="Y51" s="932" t="n"/>
      <c r="Z51" s="932" t="n"/>
      <c r="AA51" s="932" t="n"/>
      <c r="AB51" s="932" t="n"/>
      <c r="AC51" s="932" t="n"/>
      <c r="AD51" s="932" t="n"/>
      <c r="AE51" s="932" t="n"/>
      <c r="AF51" s="932" t="n"/>
    </row>
    <row r="52" ht="13" customHeight="1" s="1883">
      <c r="D52" s="626" t="n"/>
      <c r="E52" s="626" t="n"/>
      <c r="F52" s="626" t="n"/>
      <c r="G52" s="626" t="n"/>
      <c r="H52" s="932" t="n"/>
      <c r="I52" s="932" t="n"/>
      <c r="J52" s="932" t="n"/>
      <c r="K52" s="932" t="n"/>
      <c r="L52" s="932" t="n"/>
      <c r="M52" s="932" t="n"/>
      <c r="N52" s="932" t="n"/>
      <c r="O52" s="932" t="n"/>
      <c r="P52" s="932" t="n"/>
      <c r="Q52" s="932" t="n"/>
      <c r="R52" s="932" t="n"/>
      <c r="S52" s="932" t="n"/>
      <c r="T52" s="932" t="n"/>
      <c r="U52" s="932" t="n"/>
      <c r="V52" s="932" t="n"/>
      <c r="W52" s="932" t="n"/>
      <c r="X52" s="932" t="n"/>
      <c r="Y52" s="932" t="n"/>
      <c r="Z52" s="932" t="n"/>
      <c r="AA52" s="932" t="n"/>
      <c r="AB52" s="932" t="n"/>
      <c r="AC52" s="932" t="n"/>
      <c r="AD52" s="932" t="n"/>
      <c r="AE52" s="932" t="n"/>
      <c r="AF52" s="932" t="n"/>
    </row>
    <row r="53">
      <c r="D53" s="117" t="inlineStr">
        <is>
          <t>Year 1</t>
        </is>
      </c>
      <c r="E53" s="117" t="n"/>
      <c r="F53" s="134" t="inlineStr">
        <is>
          <t>1 - 12</t>
        </is>
      </c>
      <c r="G53" s="626" t="n"/>
      <c r="H53" s="932" t="n"/>
      <c r="I53" s="932" t="n"/>
      <c r="J53" s="932" t="n"/>
      <c r="K53" s="932" t="n"/>
      <c r="L53" s="932" t="n"/>
      <c r="M53" s="932" t="n"/>
      <c r="N53" s="932" t="n"/>
      <c r="O53" s="932" t="n"/>
      <c r="P53" s="932" t="n"/>
      <c r="Q53" s="932" t="n"/>
      <c r="R53" s="932" t="n"/>
      <c r="S53" s="932" t="n"/>
      <c r="T53" s="932" t="n"/>
      <c r="U53" s="932" t="n"/>
      <c r="V53" s="932" t="n"/>
      <c r="W53" s="932" t="n"/>
      <c r="X53" s="932" t="n"/>
      <c r="Y53" s="932" t="n"/>
      <c r="Z53" s="932" t="n"/>
      <c r="AA53" s="932" t="n"/>
      <c r="AB53" s="932" t="n"/>
      <c r="AC53" s="932" t="n"/>
      <c r="AD53" s="932" t="n"/>
      <c r="AE53" s="932" t="n"/>
      <c r="AF53" s="932" t="n"/>
    </row>
    <row r="54">
      <c r="D54" s="1905" t="inlineStr">
        <is>
          <t xml:space="preserve">     Beginning of Month</t>
        </is>
      </c>
      <c r="G54" s="626" t="n"/>
      <c r="H54" s="140" t="n">
        <v>0</v>
      </c>
      <c r="I54" s="932" t="n"/>
      <c r="J54" s="135">
        <f>(H59)</f>
        <v/>
      </c>
      <c r="K54" s="932" t="n"/>
      <c r="L54" s="135">
        <f>(J59)</f>
        <v/>
      </c>
      <c r="M54" s="932" t="n"/>
      <c r="N54" s="135">
        <f>(L59)</f>
        <v/>
      </c>
      <c r="O54" s="932" t="n"/>
      <c r="P54" s="135">
        <f>(N59)</f>
        <v/>
      </c>
      <c r="Q54" s="932" t="n"/>
      <c r="R54" s="135">
        <f>(P59)</f>
        <v/>
      </c>
      <c r="S54" s="932" t="n"/>
      <c r="T54" s="135">
        <f>(R59)</f>
        <v/>
      </c>
      <c r="U54" s="932" t="n"/>
      <c r="V54" s="135">
        <f>(T59)</f>
        <v/>
      </c>
      <c r="W54" s="932" t="n"/>
      <c r="X54" s="135">
        <f>(V59)</f>
        <v/>
      </c>
      <c r="Y54" s="932" t="n"/>
      <c r="Z54" s="135">
        <f>(X59)</f>
        <v/>
      </c>
      <c r="AA54" s="932" t="n"/>
      <c r="AB54" s="135">
        <f>(Z59)</f>
        <v/>
      </c>
      <c r="AC54" s="932" t="n"/>
      <c r="AD54" s="135">
        <f>(AB59)</f>
        <v/>
      </c>
      <c r="AE54" s="932" t="n"/>
      <c r="AF54" s="140">
        <f>H54</f>
        <v/>
      </c>
    </row>
    <row r="55">
      <c r="D55" s="1905" t="inlineStr">
        <is>
          <t xml:space="preserve">     + Activated</t>
        </is>
      </c>
      <c r="G55" s="626" t="n"/>
      <c r="H55" s="135">
        <f>H17</f>
        <v/>
      </c>
      <c r="I55" s="932" t="n"/>
      <c r="J55" s="135">
        <f>J17</f>
        <v/>
      </c>
      <c r="K55" s="932" t="n"/>
      <c r="L55" s="135">
        <f>L17</f>
        <v/>
      </c>
      <c r="M55" s="932" t="n"/>
      <c r="N55" s="135">
        <f>N17</f>
        <v/>
      </c>
      <c r="O55" s="932" t="n"/>
      <c r="P55" s="135">
        <f>P17</f>
        <v/>
      </c>
      <c r="Q55" s="932" t="n"/>
      <c r="R55" s="135">
        <f>R17</f>
        <v/>
      </c>
      <c r="S55" s="932" t="n"/>
      <c r="T55" s="135">
        <f>T17</f>
        <v/>
      </c>
      <c r="U55" s="932" t="n"/>
      <c r="V55" s="135">
        <f>V17</f>
        <v/>
      </c>
      <c r="W55" s="932" t="n"/>
      <c r="X55" s="135">
        <f>X17</f>
        <v/>
      </c>
      <c r="Y55" s="932" t="n"/>
      <c r="Z55" s="135">
        <f>Z17</f>
        <v/>
      </c>
      <c r="AA55" s="932" t="n"/>
      <c r="AB55" s="135">
        <f>AB17</f>
        <v/>
      </c>
      <c r="AC55" s="932" t="n"/>
      <c r="AD55" s="135">
        <f>AD17</f>
        <v/>
      </c>
      <c r="AE55" s="932" t="n"/>
      <c r="AF55" s="136">
        <f>((H55)+(J55)+(L55)+(N55)+(P55)+(R55)+(T55)+(V55)+(X55)+(Z55)+(AB55)+(AD55))</f>
        <v/>
      </c>
    </row>
    <row r="56">
      <c r="D56" s="1905" t="inlineStr">
        <is>
          <t xml:space="preserve">     - Attrition</t>
        </is>
      </c>
      <c r="G56" s="626" t="n"/>
      <c r="H56" s="135">
        <f>((H34)*(-1))</f>
        <v/>
      </c>
      <c r="I56" s="932" t="n"/>
      <c r="J56" s="135">
        <f>'Attrition Wedge (Companion App)'!H74</f>
        <v/>
      </c>
      <c r="K56" s="932" t="n"/>
      <c r="L56" s="135">
        <f>'Attrition Wedge (Companion App)'!I74</f>
        <v/>
      </c>
      <c r="M56" s="932" t="n"/>
      <c r="N56" s="135">
        <f>'Attrition Wedge (Companion App)'!J74</f>
        <v/>
      </c>
      <c r="O56" s="932" t="n"/>
      <c r="P56" s="135">
        <f>'Attrition Wedge (Companion App)'!K74</f>
        <v/>
      </c>
      <c r="Q56" s="932" t="n"/>
      <c r="R56" s="135">
        <f>'Attrition Wedge (Companion App)'!L74</f>
        <v/>
      </c>
      <c r="S56" s="932" t="n"/>
      <c r="T56" s="135">
        <f>'Attrition Wedge (Companion App)'!M74</f>
        <v/>
      </c>
      <c r="U56" s="932" t="n"/>
      <c r="V56" s="135">
        <f>'Attrition Wedge (Companion App)'!N74</f>
        <v/>
      </c>
      <c r="W56" s="932" t="n"/>
      <c r="X56" s="135">
        <f>'Attrition Wedge (Companion App)'!O74</f>
        <v/>
      </c>
      <c r="Y56" s="932" t="n"/>
      <c r="Z56" s="135">
        <f>'Attrition Wedge (Companion App)'!P74</f>
        <v/>
      </c>
      <c r="AA56" s="932" t="n"/>
      <c r="AB56" s="135">
        <f>'Attrition Wedge (Companion App)'!Q74</f>
        <v/>
      </c>
      <c r="AC56" s="932" t="n"/>
      <c r="AD56" s="135">
        <f>'Attrition Wedge (Companion App)'!R74</f>
        <v/>
      </c>
      <c r="AE56" s="932" t="n"/>
      <c r="AF56" s="136">
        <f>((H56)+(J56)+(L56)+(N56)+(P56)+(R56)+(T56)+(V56)+(X56)+(Z56)+(AB56)+(AD56))</f>
        <v/>
      </c>
    </row>
    <row r="57" ht="3" customHeight="1" s="1883">
      <c r="D57" s="626" t="n"/>
      <c r="E57" s="626" t="n"/>
      <c r="F57" s="937" t="n"/>
      <c r="G57" s="626" t="n"/>
      <c r="H57" s="933" t="n"/>
      <c r="I57" s="932" t="n"/>
      <c r="J57" s="933" t="n"/>
      <c r="K57" s="932" t="n"/>
      <c r="L57" s="933" t="n"/>
      <c r="M57" s="932" t="n"/>
      <c r="N57" s="933" t="n"/>
      <c r="O57" s="932" t="n"/>
      <c r="P57" s="933" t="n"/>
      <c r="Q57" s="932" t="n"/>
      <c r="R57" s="933" t="n"/>
      <c r="S57" s="932" t="n"/>
      <c r="T57" s="933" t="n"/>
      <c r="U57" s="932" t="n"/>
      <c r="V57" s="933" t="n"/>
      <c r="W57" s="932" t="n"/>
      <c r="X57" s="933" t="n"/>
      <c r="Y57" s="932" t="n"/>
      <c r="Z57" s="933" t="n"/>
      <c r="AA57" s="932" t="n"/>
      <c r="AB57" s="933" t="n"/>
      <c r="AC57" s="932" t="n"/>
      <c r="AD57" s="933" t="n"/>
      <c r="AE57" s="932" t="n"/>
      <c r="AF57" s="933" t="n"/>
    </row>
    <row r="58" ht="3" customHeight="1" s="1883">
      <c r="D58" s="626" t="n"/>
      <c r="E58" s="626" t="n"/>
      <c r="F58" s="937" t="n"/>
      <c r="G58" s="626" t="n"/>
      <c r="H58" s="932" t="n"/>
      <c r="I58" s="932" t="n"/>
      <c r="J58" s="932" t="n"/>
      <c r="K58" s="932" t="n"/>
      <c r="L58" s="932" t="n"/>
      <c r="M58" s="932" t="n"/>
      <c r="N58" s="932" t="n"/>
      <c r="O58" s="932" t="n"/>
      <c r="P58" s="932" t="n"/>
      <c r="Q58" s="932" t="n"/>
      <c r="R58" s="932" t="n"/>
      <c r="S58" s="932" t="n"/>
      <c r="T58" s="932" t="n"/>
      <c r="U58" s="932" t="n"/>
      <c r="V58" s="932" t="n"/>
      <c r="W58" s="932" t="n"/>
      <c r="X58" s="932" t="n"/>
      <c r="Y58" s="932" t="n"/>
      <c r="Z58" s="932" t="n"/>
      <c r="AA58" s="932" t="n"/>
      <c r="AB58" s="932" t="n"/>
      <c r="AC58" s="932" t="n"/>
      <c r="AD58" s="932" t="n"/>
      <c r="AE58" s="932" t="n"/>
      <c r="AF58" s="932" t="n"/>
    </row>
    <row r="59">
      <c r="D59" s="1908" t="inlineStr">
        <is>
          <t xml:space="preserve">          End of Month</t>
        </is>
      </c>
      <c r="G59" s="626" t="n"/>
      <c r="H59" s="136">
        <f>((H54)+(H55)-(H56))</f>
        <v/>
      </c>
      <c r="I59" s="932" t="n"/>
      <c r="J59" s="136">
        <f>((J54)+(J55)-(J56))</f>
        <v/>
      </c>
      <c r="K59" s="932" t="n"/>
      <c r="L59" s="136">
        <f>((L54)+(L55)-(L56))</f>
        <v/>
      </c>
      <c r="M59" s="932" t="n"/>
      <c r="N59" s="136">
        <f>((N54)+(N55)-(N56))</f>
        <v/>
      </c>
      <c r="O59" s="932" t="n"/>
      <c r="P59" s="136">
        <f>((P54)+(P55)-(P56))</f>
        <v/>
      </c>
      <c r="Q59" s="932" t="n"/>
      <c r="R59" s="136">
        <f>((R54)+(R55)-(R56))</f>
        <v/>
      </c>
      <c r="S59" s="932" t="n"/>
      <c r="T59" s="136">
        <f>((T54)+(T55)-(T56))</f>
        <v/>
      </c>
      <c r="U59" s="932" t="n"/>
      <c r="V59" s="136">
        <f>((V54)+(V55)-(V56))</f>
        <v/>
      </c>
      <c r="W59" s="932" t="n"/>
      <c r="X59" s="136">
        <f>((X54)+(X55)-(X56))</f>
        <v/>
      </c>
      <c r="Y59" s="932" t="n"/>
      <c r="Z59" s="136">
        <f>((Z54)+(Z55)-(Z56))</f>
        <v/>
      </c>
      <c r="AA59" s="932" t="n"/>
      <c r="AB59" s="136">
        <f>((AB54)+(AB55)-(AB56))</f>
        <v/>
      </c>
      <c r="AC59" s="932" t="n"/>
      <c r="AD59" s="140">
        <f>((AD54)+(AD55)-(AD56))</f>
        <v/>
      </c>
      <c r="AE59" s="932" t="n"/>
      <c r="AF59" s="140">
        <f>((AF54)+(AF55)-(AF56))</f>
        <v/>
      </c>
    </row>
    <row r="60" ht="3" customHeight="1" s="1883">
      <c r="D60" s="116" t="n"/>
      <c r="E60" s="116" t="n"/>
      <c r="F60" s="116" t="n"/>
      <c r="G60" s="626" t="n"/>
      <c r="H60" s="933" t="n"/>
      <c r="I60" s="932" t="n"/>
      <c r="J60" s="933" t="n"/>
      <c r="K60" s="932" t="n"/>
      <c r="L60" s="933" t="n"/>
      <c r="M60" s="932" t="n"/>
      <c r="N60" s="933" t="n"/>
      <c r="O60" s="932" t="n"/>
      <c r="P60" s="933" t="n"/>
      <c r="Q60" s="932" t="n"/>
      <c r="R60" s="933" t="n"/>
      <c r="S60" s="932" t="n"/>
      <c r="T60" s="933" t="n"/>
      <c r="U60" s="932" t="n"/>
      <c r="V60" s="933" t="n"/>
      <c r="W60" s="932" t="n"/>
      <c r="X60" s="933" t="n"/>
      <c r="Y60" s="932" t="n"/>
      <c r="Z60" s="933" t="n"/>
      <c r="AA60" s="932" t="n"/>
      <c r="AB60" s="933" t="n"/>
      <c r="AC60" s="932" t="n"/>
      <c r="AD60" s="933" t="n"/>
      <c r="AE60" s="932" t="n"/>
      <c r="AF60" s="933" t="n"/>
    </row>
    <row r="61" ht="3" customHeight="1" s="1883">
      <c r="D61" s="116" t="n"/>
      <c r="E61" s="116" t="n"/>
      <c r="F61" s="116" t="n"/>
      <c r="G61" s="626" t="n"/>
      <c r="H61" s="932" t="n"/>
      <c r="I61" s="932" t="n"/>
      <c r="J61" s="932" t="n"/>
      <c r="K61" s="932" t="n"/>
      <c r="L61" s="932" t="n"/>
      <c r="M61" s="932" t="n"/>
      <c r="N61" s="932" t="n"/>
      <c r="O61" s="932" t="n"/>
      <c r="P61" s="932" t="n"/>
      <c r="Q61" s="932" t="n"/>
      <c r="R61" s="932" t="n"/>
      <c r="S61" s="932" t="n"/>
      <c r="T61" s="932" t="n"/>
      <c r="U61" s="932" t="n"/>
      <c r="V61" s="932" t="n"/>
      <c r="W61" s="932" t="n"/>
      <c r="X61" s="932" t="n"/>
      <c r="Y61" s="932" t="n"/>
      <c r="Z61" s="932" t="n"/>
      <c r="AA61" s="932" t="n"/>
      <c r="AB61" s="932" t="n"/>
      <c r="AC61" s="932" t="n"/>
      <c r="AD61" s="932" t="n"/>
      <c r="AE61" s="932" t="n"/>
      <c r="AF61" s="932" t="n"/>
    </row>
    <row r="62" ht="13" customHeight="1" s="1883">
      <c r="D62" s="626" t="n"/>
      <c r="E62" s="626" t="n"/>
      <c r="F62" s="937" t="n"/>
      <c r="G62" s="626" t="n"/>
      <c r="H62" s="932" t="n"/>
      <c r="I62" s="932" t="n"/>
      <c r="J62" s="932" t="n"/>
      <c r="K62" s="932" t="n"/>
      <c r="L62" s="932" t="n"/>
      <c r="M62" s="932" t="n"/>
      <c r="N62" s="932" t="n"/>
      <c r="O62" s="932" t="n"/>
      <c r="P62" s="932" t="n"/>
      <c r="Q62" s="932" t="n"/>
      <c r="R62" s="932" t="n"/>
      <c r="S62" s="932" t="n"/>
      <c r="T62" s="932" t="n"/>
      <c r="U62" s="932" t="n"/>
      <c r="V62" s="932" t="n"/>
      <c r="W62" s="932" t="n"/>
      <c r="X62" s="932" t="n"/>
      <c r="Y62" s="932" t="n"/>
      <c r="Z62" s="932" t="n"/>
      <c r="AA62" s="932" t="n"/>
      <c r="AB62" s="932" t="n"/>
      <c r="AC62" s="932" t="n"/>
      <c r="AD62" s="932" t="n"/>
      <c r="AE62" s="932" t="n"/>
      <c r="AF62" s="932" t="n"/>
    </row>
    <row r="63">
      <c r="D63" s="1908" t="inlineStr">
        <is>
          <t xml:space="preserve">          Average (Beginning + Ending/1.42)</t>
        </is>
      </c>
      <c r="G63" s="626" t="n"/>
      <c r="H63" s="136">
        <f>(((H54)+(H55))/(1.42))</f>
        <v/>
      </c>
      <c r="I63" s="932" t="n"/>
      <c r="J63" s="136">
        <f>(((J54)+(J55))/(1.42))</f>
        <v/>
      </c>
      <c r="K63" s="136" t="n"/>
      <c r="L63" s="136">
        <f>(((L54)+(L55))/(1.42))</f>
        <v/>
      </c>
      <c r="M63" s="932" t="n"/>
      <c r="N63" s="136">
        <f>(((N54)+(N55))/(1.42))</f>
        <v/>
      </c>
      <c r="O63" s="932" t="n"/>
      <c r="P63" s="136">
        <f>(((P54)+(P55))/(1.42))</f>
        <v/>
      </c>
      <c r="Q63" s="932" t="n"/>
      <c r="R63" s="136">
        <f>(((R54)+(R55))/(1.42))</f>
        <v/>
      </c>
      <c r="S63" s="932" t="n"/>
      <c r="T63" s="136">
        <f>(((T54)+(T55))/(1.42))</f>
        <v/>
      </c>
      <c r="U63" s="932" t="n"/>
      <c r="V63" s="136">
        <f>(((V54)+(V55))/(1.42))</f>
        <v/>
      </c>
      <c r="W63" s="932" t="n"/>
      <c r="X63" s="136">
        <f>(((X54)+(X55))/(1.42))</f>
        <v/>
      </c>
      <c r="Y63" s="932" t="n"/>
      <c r="Z63" s="136">
        <f>(((Z54)+(Z55))/(1.42))</f>
        <v/>
      </c>
      <c r="AA63" s="932" t="n"/>
      <c r="AB63" s="136">
        <f>(((AB54)+(AB55))/(1.42))</f>
        <v/>
      </c>
      <c r="AC63" s="932" t="n"/>
      <c r="AD63" s="136">
        <f>(((AD54)+(AD55))/(1.42))</f>
        <v/>
      </c>
      <c r="AE63" s="932" t="n"/>
      <c r="AF63" s="136">
        <f>AVERAGE(H63:AE63)</f>
        <v/>
      </c>
    </row>
    <row r="68">
      <c r="D68" s="117" t="inlineStr">
        <is>
          <t>Year 2</t>
        </is>
      </c>
      <c r="E68" s="117" t="n"/>
      <c r="F68" s="137" t="inlineStr">
        <is>
          <t>13 - 24</t>
        </is>
      </c>
      <c r="G68" s="626" t="n"/>
      <c r="H68" s="932" t="n"/>
      <c r="I68" s="932" t="n"/>
      <c r="J68" s="932" t="n"/>
      <c r="K68" s="932" t="n"/>
      <c r="L68" s="932" t="n"/>
      <c r="M68" s="932" t="n"/>
      <c r="N68" s="932" t="n"/>
      <c r="O68" s="932" t="n"/>
      <c r="P68" s="932" t="n"/>
      <c r="Q68" s="932" t="n"/>
      <c r="R68" s="932" t="n"/>
      <c r="S68" s="932" t="n"/>
      <c r="T68" s="932" t="n"/>
      <c r="U68" s="932" t="n"/>
      <c r="V68" s="932" t="n"/>
      <c r="W68" s="932" t="n"/>
      <c r="X68" s="932" t="n"/>
      <c r="Y68" s="932" t="n"/>
      <c r="Z68" s="932" t="n"/>
      <c r="AA68" s="932" t="n"/>
      <c r="AB68" s="932" t="n"/>
      <c r="AC68" s="932" t="n"/>
      <c r="AD68" s="932" t="n"/>
      <c r="AE68" s="932" t="n"/>
      <c r="AF68" s="932" t="n"/>
    </row>
    <row r="69">
      <c r="D69" s="1905" t="inlineStr">
        <is>
          <t xml:space="preserve">     Beginning of Month</t>
        </is>
      </c>
      <c r="G69" s="626" t="n"/>
      <c r="H69" s="140">
        <f>(AF59)</f>
        <v/>
      </c>
      <c r="I69" s="932" t="n"/>
      <c r="J69" s="135">
        <f>(H74)</f>
        <v/>
      </c>
      <c r="K69" s="932" t="n"/>
      <c r="L69" s="135">
        <f>(J74)</f>
        <v/>
      </c>
      <c r="M69" s="932" t="n"/>
      <c r="N69" s="135">
        <f>(L74)</f>
        <v/>
      </c>
      <c r="O69" s="932" t="n"/>
      <c r="P69" s="135">
        <f>(N74)</f>
        <v/>
      </c>
      <c r="Q69" s="932" t="n"/>
      <c r="R69" s="135">
        <f>(P74)</f>
        <v/>
      </c>
      <c r="S69" s="932" t="n"/>
      <c r="T69" s="135">
        <f>(R74)</f>
        <v/>
      </c>
      <c r="U69" s="932" t="n"/>
      <c r="V69" s="135">
        <f>(T74)</f>
        <v/>
      </c>
      <c r="W69" s="932" t="n"/>
      <c r="X69" s="135">
        <f>(V74)</f>
        <v/>
      </c>
      <c r="Y69" s="932" t="n"/>
      <c r="Z69" s="135">
        <f>(X74)</f>
        <v/>
      </c>
      <c r="AA69" s="932" t="n"/>
      <c r="AB69" s="135">
        <f>(Z74)</f>
        <v/>
      </c>
      <c r="AC69" s="932" t="n"/>
      <c r="AD69" s="135">
        <f>(AB74)</f>
        <v/>
      </c>
      <c r="AE69" s="932" t="n"/>
      <c r="AF69" s="140">
        <f>H69</f>
        <v/>
      </c>
    </row>
    <row r="70">
      <c r="D70" s="1905" t="inlineStr">
        <is>
          <t xml:space="preserve">     + Activated</t>
        </is>
      </c>
      <c r="G70" s="626" t="n"/>
      <c r="H70" s="135">
        <f>(H18)</f>
        <v/>
      </c>
      <c r="I70" s="932" t="n"/>
      <c r="J70" s="135">
        <f>(J18)</f>
        <v/>
      </c>
      <c r="K70" s="932" t="n"/>
      <c r="L70" s="135">
        <f>(L18)</f>
        <v/>
      </c>
      <c r="M70" s="932" t="n"/>
      <c r="N70" s="135">
        <f>(N18)</f>
        <v/>
      </c>
      <c r="O70" s="932" t="n"/>
      <c r="P70" s="135">
        <f>(P18)</f>
        <v/>
      </c>
      <c r="Q70" s="932" t="n"/>
      <c r="R70" s="135">
        <f>(R18)</f>
        <v/>
      </c>
      <c r="S70" s="932" t="n"/>
      <c r="T70" s="135">
        <f>(T18)</f>
        <v/>
      </c>
      <c r="U70" s="932" t="n"/>
      <c r="V70" s="135">
        <f>(V18)</f>
        <v/>
      </c>
      <c r="W70" s="932" t="n"/>
      <c r="X70" s="135">
        <f>(X18)</f>
        <v/>
      </c>
      <c r="Y70" s="932" t="n"/>
      <c r="Z70" s="135">
        <f>(Z18)</f>
        <v/>
      </c>
      <c r="AA70" s="932" t="n"/>
      <c r="AB70" s="135">
        <f>(AB18)</f>
        <v/>
      </c>
      <c r="AC70" s="932" t="n"/>
      <c r="AD70" s="135">
        <f>(AD18)</f>
        <v/>
      </c>
      <c r="AE70" s="932" t="n"/>
      <c r="AF70" s="136">
        <f>((H70)+(J70)+(L70)+(N70)+(P70)+(R70)+(T70)+(V70)+(X70)+(Z70)+(AB70)+(AD70))</f>
        <v/>
      </c>
    </row>
    <row r="71">
      <c r="D71" s="1905" t="inlineStr">
        <is>
          <t xml:space="preserve">     - Attrition</t>
        </is>
      </c>
      <c r="G71" s="626" t="n"/>
      <c r="H71" s="135">
        <f>'Attrition Wedge (Companion App)'!S74</f>
        <v/>
      </c>
      <c r="I71" s="932" t="n"/>
      <c r="J71" s="135">
        <f>'Attrition Wedge (Companion App)'!T74</f>
        <v/>
      </c>
      <c r="K71" s="932" t="n"/>
      <c r="L71" s="135">
        <f>'Attrition Wedge (Companion App)'!U74</f>
        <v/>
      </c>
      <c r="M71" s="932" t="n"/>
      <c r="N71" s="135">
        <f>'Attrition Wedge (Companion App)'!V74</f>
        <v/>
      </c>
      <c r="O71" s="932" t="n"/>
      <c r="P71" s="135">
        <f>'Attrition Wedge (Companion App)'!W74</f>
        <v/>
      </c>
      <c r="Q71" s="932" t="n"/>
      <c r="R71" s="135">
        <f>'Attrition Wedge (Companion App)'!X74</f>
        <v/>
      </c>
      <c r="S71" s="932" t="n"/>
      <c r="T71" s="135">
        <f>'Attrition Wedge (Companion App)'!Y74</f>
        <v/>
      </c>
      <c r="U71" s="932" t="n"/>
      <c r="V71" s="135">
        <f>'Attrition Wedge (Companion App)'!Z74</f>
        <v/>
      </c>
      <c r="W71" s="932" t="n"/>
      <c r="X71" s="135">
        <f>'Attrition Wedge (Companion App)'!AA74</f>
        <v/>
      </c>
      <c r="Y71" s="932" t="n"/>
      <c r="Z71" s="135">
        <f>'Attrition Wedge (Companion App)'!AB74</f>
        <v/>
      </c>
      <c r="AA71" s="932" t="n"/>
      <c r="AB71" s="135">
        <f>'Attrition Wedge (Companion App)'!AC74</f>
        <v/>
      </c>
      <c r="AC71" s="932" t="n"/>
      <c r="AD71" s="135">
        <f>'Attrition Wedge (Companion App)'!AD74</f>
        <v/>
      </c>
      <c r="AE71" s="932" t="n"/>
      <c r="AF71" s="136">
        <f>((H71)+(J71)+(L71)+(N71)+(P71)+(R71)+(T71)+(V71)+(X71)+(Z71)+(AB71)+(AD71))</f>
        <v/>
      </c>
    </row>
    <row r="72" ht="3" customHeight="1" s="1883">
      <c r="D72" s="626" t="n"/>
      <c r="E72" s="626" t="n"/>
      <c r="F72" s="937" t="n"/>
      <c r="G72" s="626" t="n"/>
      <c r="H72" s="933" t="n"/>
      <c r="I72" s="932" t="n"/>
      <c r="J72" s="933" t="n"/>
      <c r="K72" s="932" t="n"/>
      <c r="L72" s="933" t="n"/>
      <c r="M72" s="932" t="n"/>
      <c r="N72" s="933" t="n"/>
      <c r="O72" s="932" t="n"/>
      <c r="P72" s="933" t="n"/>
      <c r="Q72" s="932" t="n"/>
      <c r="R72" s="933" t="n"/>
      <c r="S72" s="932" t="n"/>
      <c r="T72" s="933" t="n"/>
      <c r="U72" s="932" t="n"/>
      <c r="V72" s="933" t="n"/>
      <c r="W72" s="932" t="n"/>
      <c r="X72" s="933" t="n"/>
      <c r="Y72" s="932" t="n"/>
      <c r="Z72" s="933" t="n"/>
      <c r="AA72" s="932" t="n"/>
      <c r="AB72" s="933" t="n"/>
      <c r="AC72" s="932" t="n"/>
      <c r="AD72" s="933" t="n"/>
      <c r="AE72" s="932" t="n"/>
      <c r="AF72" s="933" t="n"/>
    </row>
    <row r="73" ht="3" customHeight="1" s="1883">
      <c r="D73" s="626" t="n"/>
      <c r="E73" s="626" t="n"/>
      <c r="F73" s="937" t="n"/>
      <c r="G73" s="626" t="n"/>
      <c r="H73" s="932" t="n"/>
      <c r="I73" s="932" t="n"/>
      <c r="J73" s="932" t="n"/>
      <c r="K73" s="932" t="n"/>
      <c r="L73" s="932" t="n"/>
      <c r="M73" s="932" t="n"/>
      <c r="N73" s="932" t="n"/>
      <c r="O73" s="932" t="n"/>
      <c r="P73" s="932" t="n"/>
      <c r="Q73" s="932" t="n"/>
      <c r="R73" s="932" t="n"/>
      <c r="S73" s="932" t="n"/>
      <c r="T73" s="932" t="n"/>
      <c r="U73" s="932" t="n"/>
      <c r="V73" s="932" t="n"/>
      <c r="W73" s="932" t="n"/>
      <c r="X73" s="932" t="n"/>
      <c r="Y73" s="932" t="n"/>
      <c r="Z73" s="932" t="n"/>
      <c r="AA73" s="932" t="n"/>
      <c r="AB73" s="932" t="n"/>
      <c r="AC73" s="932" t="n"/>
      <c r="AD73" s="932" t="n"/>
      <c r="AE73" s="932" t="n"/>
      <c r="AF73" s="932" t="n"/>
    </row>
    <row r="74">
      <c r="D74" s="1908" t="inlineStr">
        <is>
          <t xml:space="preserve">          End of Month</t>
        </is>
      </c>
      <c r="G74" s="626" t="n"/>
      <c r="H74" s="136">
        <f>((H69)+(H70)-(H71))</f>
        <v/>
      </c>
      <c r="I74" s="932" t="n"/>
      <c r="J74" s="136">
        <f>((J69)+(J70)-(J71))</f>
        <v/>
      </c>
      <c r="K74" s="932" t="n"/>
      <c r="L74" s="136">
        <f>((L69)+(L70)-(L71))</f>
        <v/>
      </c>
      <c r="M74" s="932" t="n"/>
      <c r="N74" s="136">
        <f>((N69)+(N70)-(N71))</f>
        <v/>
      </c>
      <c r="O74" s="932" t="n"/>
      <c r="P74" s="136">
        <f>((P69)+(P70)-(P71))</f>
        <v/>
      </c>
      <c r="Q74" s="932" t="n"/>
      <c r="R74" s="136">
        <f>((R69)+(R70)-(R71))</f>
        <v/>
      </c>
      <c r="S74" s="932" t="n"/>
      <c r="T74" s="136">
        <f>((T69)+(T70)-(T71))</f>
        <v/>
      </c>
      <c r="U74" s="932" t="n"/>
      <c r="V74" s="136">
        <f>((V69)+(V70)-(V71))</f>
        <v/>
      </c>
      <c r="W74" s="932" t="n"/>
      <c r="X74" s="136">
        <f>((X69)+(X70)-(X71))</f>
        <v/>
      </c>
      <c r="Y74" s="932" t="n"/>
      <c r="Z74" s="136">
        <f>((Z69)+(Z70)-(Z71))</f>
        <v/>
      </c>
      <c r="AA74" s="932" t="n"/>
      <c r="AB74" s="136">
        <f>((AB69)+(AB70)-(AB71))</f>
        <v/>
      </c>
      <c r="AC74" s="932" t="n"/>
      <c r="AD74" s="140">
        <f>((AD69)+(AD70)-(AD71))</f>
        <v/>
      </c>
      <c r="AE74" s="932" t="n"/>
      <c r="AF74" s="140">
        <f>((AF69)+(AF70)-(AF71))</f>
        <v/>
      </c>
    </row>
    <row r="75" ht="3" customHeight="1" s="1883">
      <c r="D75" s="116" t="n"/>
      <c r="E75" s="116" t="n"/>
      <c r="F75" s="116" t="n"/>
      <c r="G75" s="626" t="n"/>
      <c r="H75" s="933" t="n"/>
      <c r="I75" s="932" t="n"/>
      <c r="J75" s="933" t="n"/>
      <c r="K75" s="932" t="n"/>
      <c r="L75" s="933" t="n"/>
      <c r="M75" s="932" t="n"/>
      <c r="N75" s="933" t="n"/>
      <c r="O75" s="932" t="n"/>
      <c r="P75" s="933" t="n"/>
      <c r="Q75" s="932" t="n"/>
      <c r="R75" s="933" t="n"/>
      <c r="S75" s="932" t="n"/>
      <c r="T75" s="933" t="n"/>
      <c r="U75" s="932" t="n"/>
      <c r="V75" s="933" t="n"/>
      <c r="W75" s="932" t="n"/>
      <c r="X75" s="933" t="n"/>
      <c r="Y75" s="932" t="n"/>
      <c r="Z75" s="933" t="n"/>
      <c r="AA75" s="932" t="n"/>
      <c r="AB75" s="933" t="n"/>
      <c r="AC75" s="932" t="n"/>
      <c r="AD75" s="933" t="n"/>
      <c r="AE75" s="932" t="n"/>
      <c r="AF75" s="933" t="n"/>
    </row>
    <row r="76" ht="3" customHeight="1" s="1883">
      <c r="D76" s="116" t="n"/>
      <c r="E76" s="116" t="n"/>
      <c r="F76" s="116" t="n"/>
      <c r="G76" s="626" t="n"/>
      <c r="H76" s="932" t="n"/>
      <c r="I76" s="932" t="n"/>
      <c r="J76" s="932" t="n"/>
      <c r="K76" s="932" t="n"/>
      <c r="L76" s="932" t="n"/>
      <c r="M76" s="932" t="n"/>
      <c r="N76" s="932" t="n"/>
      <c r="O76" s="932" t="n"/>
      <c r="P76" s="932" t="n"/>
      <c r="Q76" s="932" t="n"/>
      <c r="R76" s="932" t="n"/>
      <c r="S76" s="932" t="n"/>
      <c r="T76" s="932" t="n"/>
      <c r="U76" s="932" t="n"/>
      <c r="V76" s="932" t="n"/>
      <c r="W76" s="932" t="n"/>
      <c r="X76" s="932" t="n"/>
      <c r="Y76" s="932" t="n"/>
      <c r="Z76" s="932" t="n"/>
      <c r="AA76" s="932" t="n"/>
      <c r="AB76" s="932" t="n"/>
      <c r="AC76" s="932" t="n"/>
      <c r="AD76" s="932" t="n"/>
      <c r="AE76" s="932" t="n"/>
      <c r="AF76" s="932" t="n"/>
    </row>
    <row r="77" ht="13" customHeight="1" s="1883">
      <c r="D77" s="626" t="n"/>
      <c r="E77" s="626" t="n"/>
      <c r="F77" s="937" t="n"/>
      <c r="G77" s="626" t="n"/>
      <c r="H77" s="932" t="n"/>
      <c r="I77" s="932" t="n"/>
      <c r="J77" s="932" t="n"/>
      <c r="K77" s="932" t="n"/>
      <c r="L77" s="932" t="n"/>
      <c r="M77" s="932" t="n"/>
      <c r="N77" s="932" t="n"/>
      <c r="O77" s="932" t="n"/>
      <c r="P77" s="932" t="n"/>
      <c r="Q77" s="932" t="n"/>
      <c r="R77" s="932" t="n"/>
      <c r="S77" s="932" t="n"/>
      <c r="T77" s="932" t="n"/>
      <c r="U77" s="932" t="n"/>
      <c r="V77" s="932" t="n"/>
      <c r="W77" s="932" t="n"/>
      <c r="X77" s="932" t="n"/>
      <c r="Y77" s="932" t="n"/>
      <c r="Z77" s="932" t="n"/>
      <c r="AA77" s="932" t="n"/>
      <c r="AB77" s="932" t="n"/>
      <c r="AC77" s="932" t="n"/>
      <c r="AD77" s="932" t="n"/>
      <c r="AE77" s="932" t="n"/>
      <c r="AF77" s="932" t="n"/>
    </row>
    <row r="78">
      <c r="D78" s="1908" t="inlineStr">
        <is>
          <t xml:space="preserve">          Average (Beginning + Ending/1.42)</t>
        </is>
      </c>
      <c r="G78" s="626" t="n"/>
      <c r="H78" s="136">
        <f>(((H69)+(H70))/(1.42))</f>
        <v/>
      </c>
      <c r="I78" s="932" t="n"/>
      <c r="J78" s="136">
        <f>(((J69)+(J70))/(1.42))</f>
        <v/>
      </c>
      <c r="K78" s="932" t="n"/>
      <c r="L78" s="136">
        <f>(((L69)+(L70))/(1.42))</f>
        <v/>
      </c>
      <c r="M78" s="932" t="n"/>
      <c r="N78" s="136">
        <f>(((N69)+(N70))/(1.42))</f>
        <v/>
      </c>
      <c r="O78" s="932" t="n"/>
      <c r="P78" s="136">
        <f>(((P69)+(P70))/(1.42))</f>
        <v/>
      </c>
      <c r="Q78" s="932" t="n"/>
      <c r="R78" s="136">
        <f>(((R69)+(R70))/(1.42))</f>
        <v/>
      </c>
      <c r="S78" s="932" t="n"/>
      <c r="T78" s="136">
        <f>(((T69)+(T70))/(1.42))</f>
        <v/>
      </c>
      <c r="U78" s="932" t="n"/>
      <c r="V78" s="136">
        <f>(((V69)+(V70))/(1.42))</f>
        <v/>
      </c>
      <c r="W78" s="932" t="n"/>
      <c r="X78" s="136">
        <f>(((X69)+(X70))/(1.42))</f>
        <v/>
      </c>
      <c r="Y78" s="932" t="n"/>
      <c r="Z78" s="136">
        <f>(((Z69)+(Z70))/(1.42))</f>
        <v/>
      </c>
      <c r="AA78" s="932" t="n"/>
      <c r="AB78" s="136">
        <f>(((AB69)+(AB70))/(1.42))</f>
        <v/>
      </c>
      <c r="AC78" s="932" t="n"/>
      <c r="AD78" s="136">
        <f>(((AD69)+(AD70))/(1.42))</f>
        <v/>
      </c>
      <c r="AE78" s="932" t="n"/>
      <c r="AF78" s="136">
        <f>AVERAGE(H78:AE78)</f>
        <v/>
      </c>
    </row>
    <row r="83">
      <c r="D83" s="117" t="inlineStr">
        <is>
          <t>Year 3</t>
        </is>
      </c>
      <c r="E83" s="117" t="n"/>
      <c r="F83" s="137" t="inlineStr">
        <is>
          <t>25 - 36</t>
        </is>
      </c>
      <c r="G83" s="626" t="n"/>
      <c r="H83" s="932" t="n"/>
      <c r="I83" s="932" t="n"/>
      <c r="J83" s="932" t="n"/>
      <c r="K83" s="932" t="n"/>
      <c r="L83" s="932" t="n"/>
      <c r="M83" s="932" t="n"/>
      <c r="N83" s="932" t="n"/>
      <c r="O83" s="932" t="n"/>
      <c r="P83" s="932" t="n"/>
      <c r="Q83" s="932" t="n"/>
      <c r="R83" s="932" t="n"/>
      <c r="S83" s="932" t="n"/>
      <c r="T83" s="932" t="n"/>
      <c r="U83" s="932" t="n"/>
      <c r="V83" s="932" t="n"/>
      <c r="W83" s="932" t="n"/>
      <c r="X83" s="932" t="n"/>
      <c r="Y83" s="932" t="n"/>
      <c r="Z83" s="932" t="n"/>
      <c r="AA83" s="932" t="n"/>
      <c r="AB83" s="932" t="n"/>
      <c r="AC83" s="932" t="n"/>
      <c r="AD83" s="932" t="n"/>
      <c r="AE83" s="932" t="n"/>
      <c r="AF83" s="932" t="n"/>
    </row>
    <row r="84">
      <c r="D84" s="1905" t="inlineStr">
        <is>
          <t xml:space="preserve">     Beginning of Month</t>
        </is>
      </c>
      <c r="G84" s="626" t="n"/>
      <c r="H84" s="140">
        <f>(AF74)</f>
        <v/>
      </c>
      <c r="I84" s="932" t="n"/>
      <c r="J84" s="135">
        <f>(H89)</f>
        <v/>
      </c>
      <c r="K84" s="932" t="n"/>
      <c r="L84" s="135">
        <f>(J89)</f>
        <v/>
      </c>
      <c r="M84" s="932" t="n"/>
      <c r="N84" s="135">
        <f>(L89)</f>
        <v/>
      </c>
      <c r="O84" s="932" t="n"/>
      <c r="P84" s="135">
        <f>(N89)</f>
        <v/>
      </c>
      <c r="Q84" s="932" t="n"/>
      <c r="R84" s="135">
        <f>(P89)</f>
        <v/>
      </c>
      <c r="S84" s="932" t="n"/>
      <c r="T84" s="135">
        <f>(R89)</f>
        <v/>
      </c>
      <c r="U84" s="932" t="n"/>
      <c r="V84" s="135">
        <f>(T89)</f>
        <v/>
      </c>
      <c r="W84" s="932" t="n"/>
      <c r="X84" s="135">
        <f>(V89)</f>
        <v/>
      </c>
      <c r="Y84" s="932" t="n"/>
      <c r="Z84" s="135">
        <f>(X89)</f>
        <v/>
      </c>
      <c r="AA84" s="932" t="n"/>
      <c r="AB84" s="135">
        <f>(Z89)</f>
        <v/>
      </c>
      <c r="AC84" s="932" t="n"/>
      <c r="AD84" s="135">
        <f>(AB89)</f>
        <v/>
      </c>
      <c r="AE84" s="932" t="n"/>
      <c r="AF84" s="140">
        <f>H84</f>
        <v/>
      </c>
    </row>
    <row r="85">
      <c r="D85" s="1905" t="inlineStr">
        <is>
          <t xml:space="preserve">     + Activated</t>
        </is>
      </c>
      <c r="G85" s="626" t="n"/>
      <c r="H85" s="135">
        <f>(H19)</f>
        <v/>
      </c>
      <c r="I85" s="932" t="n"/>
      <c r="J85" s="135">
        <f>(J19)</f>
        <v/>
      </c>
      <c r="K85" s="932" t="n"/>
      <c r="L85" s="135">
        <f>(L19)</f>
        <v/>
      </c>
      <c r="M85" s="932" t="n"/>
      <c r="N85" s="135">
        <f>(N19)</f>
        <v/>
      </c>
      <c r="O85" s="932" t="n"/>
      <c r="P85" s="135">
        <f>(P19)</f>
        <v/>
      </c>
      <c r="Q85" s="932" t="n"/>
      <c r="R85" s="135">
        <f>(R19)</f>
        <v/>
      </c>
      <c r="S85" s="932" t="n"/>
      <c r="T85" s="135">
        <f>(T19)</f>
        <v/>
      </c>
      <c r="U85" s="932" t="n"/>
      <c r="V85" s="135">
        <f>(V19)</f>
        <v/>
      </c>
      <c r="W85" s="932" t="n"/>
      <c r="X85" s="135">
        <f>(X19)</f>
        <v/>
      </c>
      <c r="Y85" s="932" t="n"/>
      <c r="Z85" s="135">
        <f>(Z19)</f>
        <v/>
      </c>
      <c r="AA85" s="932" t="n"/>
      <c r="AB85" s="135">
        <f>(AB19)</f>
        <v/>
      </c>
      <c r="AC85" s="932">
        <f>(AC19)</f>
        <v/>
      </c>
      <c r="AD85" s="135">
        <f>(AD19)</f>
        <v/>
      </c>
      <c r="AE85" s="932" t="n"/>
      <c r="AF85" s="136">
        <f>((H85)+(J85)+(L85)+(N85)+(P85)+(R85)+(T85)+(V85)+(X85)+(Z85)+(AB85)+(AD85))</f>
        <v/>
      </c>
    </row>
    <row r="86">
      <c r="D86" s="1905" t="inlineStr">
        <is>
          <t xml:space="preserve">     - Attrition</t>
        </is>
      </c>
      <c r="G86" s="626" t="n"/>
      <c r="H86" s="135">
        <f>'Attrition Wedge (Companion App)'!AE74</f>
        <v/>
      </c>
      <c r="I86" s="932" t="n"/>
      <c r="J86" s="135">
        <f>'Attrition Wedge (Companion App)'!AF74</f>
        <v/>
      </c>
      <c r="K86" s="932" t="n"/>
      <c r="L86" s="135">
        <f>'Attrition Wedge (Companion App)'!AG74</f>
        <v/>
      </c>
      <c r="M86" s="932" t="n"/>
      <c r="N86" s="135">
        <f>'Attrition Wedge (Companion App)'!AH74</f>
        <v/>
      </c>
      <c r="O86" s="932" t="n"/>
      <c r="P86" s="135">
        <f>'Attrition Wedge (Companion App)'!AI74</f>
        <v/>
      </c>
      <c r="Q86" s="932" t="n"/>
      <c r="R86" s="135">
        <f>'Attrition Wedge (Companion App)'!AJ74</f>
        <v/>
      </c>
      <c r="S86" s="932" t="n"/>
      <c r="T86" s="135">
        <f>'Attrition Wedge (Companion App)'!AK74</f>
        <v/>
      </c>
      <c r="U86" s="932" t="n"/>
      <c r="V86" s="135">
        <f>'Attrition Wedge (Companion App)'!AL74</f>
        <v/>
      </c>
      <c r="W86" s="932" t="n"/>
      <c r="X86" s="135">
        <f>'Attrition Wedge (Companion App)'!AM74</f>
        <v/>
      </c>
      <c r="Y86" s="932" t="n"/>
      <c r="Z86" s="135">
        <f>'Attrition Wedge (Companion App)'!AN74</f>
        <v/>
      </c>
      <c r="AA86" s="932" t="n"/>
      <c r="AB86" s="135">
        <f>'Attrition Wedge (Companion App)'!AO74</f>
        <v/>
      </c>
      <c r="AC86" s="932" t="n"/>
      <c r="AD86" s="135">
        <f>'Attrition Wedge (Companion App)'!AP74</f>
        <v/>
      </c>
      <c r="AE86" s="932" t="n"/>
      <c r="AF86" s="136">
        <f>((H86)+(J86)+(L86)+(N86)+(P86)+(R86)+(T86)+(V86)+(X86)+(Z86)+(AB86)+(AD86))</f>
        <v/>
      </c>
    </row>
    <row r="87" ht="3" customHeight="1" s="1883">
      <c r="D87" s="626" t="n"/>
      <c r="E87" s="626" t="n"/>
      <c r="F87" s="937" t="n"/>
      <c r="G87" s="626" t="n"/>
      <c r="H87" s="933" t="n"/>
      <c r="I87" s="932" t="n"/>
      <c r="J87" s="933" t="n"/>
      <c r="K87" s="932" t="n"/>
      <c r="L87" s="933" t="n"/>
      <c r="M87" s="932" t="n"/>
      <c r="N87" s="933" t="n"/>
      <c r="O87" s="932" t="n"/>
      <c r="P87" s="933" t="n"/>
      <c r="Q87" s="932" t="n"/>
      <c r="R87" s="933" t="n"/>
      <c r="S87" s="932" t="n"/>
      <c r="T87" s="933" t="n"/>
      <c r="U87" s="932" t="n"/>
      <c r="V87" s="933" t="n"/>
      <c r="W87" s="932" t="n"/>
      <c r="X87" s="933" t="n"/>
      <c r="Y87" s="932" t="n"/>
      <c r="Z87" s="933" t="n"/>
      <c r="AA87" s="932" t="n"/>
      <c r="AB87" s="933" t="n"/>
      <c r="AC87" s="932" t="n"/>
      <c r="AD87" s="933" t="n"/>
      <c r="AE87" s="932" t="n"/>
      <c r="AF87" s="933" t="n"/>
    </row>
    <row r="88" ht="3" customHeight="1" s="1883">
      <c r="D88" s="626" t="n"/>
      <c r="E88" s="626" t="n"/>
      <c r="F88" s="937" t="n"/>
      <c r="G88" s="626" t="n"/>
      <c r="H88" s="932" t="n"/>
      <c r="I88" s="932" t="n"/>
      <c r="J88" s="932" t="n"/>
      <c r="K88" s="932" t="n"/>
      <c r="L88" s="932" t="n"/>
      <c r="M88" s="932" t="n"/>
      <c r="N88" s="932" t="n"/>
      <c r="O88" s="932" t="n"/>
      <c r="P88" s="932" t="n"/>
      <c r="Q88" s="932" t="n"/>
      <c r="R88" s="932" t="n"/>
      <c r="S88" s="932" t="n"/>
      <c r="T88" s="932" t="n"/>
      <c r="U88" s="932" t="n"/>
      <c r="V88" s="932" t="n"/>
      <c r="W88" s="932" t="n"/>
      <c r="X88" s="932" t="n"/>
      <c r="Y88" s="932" t="n"/>
      <c r="Z88" s="932" t="n"/>
      <c r="AA88" s="932" t="n"/>
      <c r="AB88" s="932" t="n"/>
      <c r="AC88" s="932" t="n"/>
      <c r="AD88" s="932" t="n"/>
      <c r="AE88" s="932" t="n"/>
      <c r="AF88" s="932" t="n"/>
    </row>
    <row r="89">
      <c r="D89" s="1908" t="inlineStr">
        <is>
          <t xml:space="preserve">          End of Month</t>
        </is>
      </c>
      <c r="G89" s="626" t="n"/>
      <c r="H89" s="136">
        <f>((H84)+(H85)-(H86))</f>
        <v/>
      </c>
      <c r="I89" s="932" t="n"/>
      <c r="J89" s="136">
        <f>((J84)+(J85)-(J86))</f>
        <v/>
      </c>
      <c r="K89" s="932" t="n"/>
      <c r="L89" s="136">
        <f>((L84)+(L85)-(L86))</f>
        <v/>
      </c>
      <c r="M89" s="932" t="n"/>
      <c r="N89" s="136">
        <f>((N84)+(N85)-(N86))</f>
        <v/>
      </c>
      <c r="O89" s="932" t="n"/>
      <c r="P89" s="136">
        <f>((P84)+(P85)-(P86))</f>
        <v/>
      </c>
      <c r="Q89" s="932" t="n"/>
      <c r="R89" s="136">
        <f>((R84)+(R85)-(R86))</f>
        <v/>
      </c>
      <c r="S89" s="932" t="n"/>
      <c r="T89" s="136">
        <f>((T84)+(T85)-(T86))</f>
        <v/>
      </c>
      <c r="U89" s="932" t="n"/>
      <c r="V89" s="136">
        <f>((V84)+(V85)-(V86))</f>
        <v/>
      </c>
      <c r="W89" s="932" t="n"/>
      <c r="X89" s="136">
        <f>((X84)+(X85)-(X86))</f>
        <v/>
      </c>
      <c r="Y89" s="932" t="n"/>
      <c r="Z89" s="136">
        <f>((Z84)+(Z85)-(Z86))</f>
        <v/>
      </c>
      <c r="AA89" s="932" t="n"/>
      <c r="AB89" s="136">
        <f>((AB84)+(AB85)-(AB86))</f>
        <v/>
      </c>
      <c r="AC89" s="932" t="n"/>
      <c r="AD89" s="140">
        <f>((AD84)+(AD85)-(AD86))</f>
        <v/>
      </c>
      <c r="AE89" s="932" t="n"/>
      <c r="AF89" s="140">
        <f>((AF84)+(AF85)-(AF86))</f>
        <v/>
      </c>
    </row>
    <row r="90" ht="3" customHeight="1" s="1883">
      <c r="D90" s="626" t="n"/>
      <c r="E90" s="626" t="n"/>
      <c r="F90" s="626" t="n"/>
      <c r="G90" s="626" t="n"/>
      <c r="H90" s="933" t="n"/>
      <c r="I90" s="932" t="n"/>
      <c r="J90" s="933" t="n"/>
      <c r="K90" s="932" t="n"/>
      <c r="L90" s="933" t="n"/>
      <c r="M90" s="932" t="n"/>
      <c r="N90" s="933" t="n"/>
      <c r="O90" s="932" t="n"/>
      <c r="P90" s="933" t="n"/>
      <c r="Q90" s="932" t="n"/>
      <c r="R90" s="933" t="n"/>
      <c r="S90" s="932" t="n"/>
      <c r="T90" s="933" t="n"/>
      <c r="U90" s="932" t="n"/>
      <c r="V90" s="933" t="n"/>
      <c r="W90" s="932" t="n"/>
      <c r="X90" s="933" t="n"/>
      <c r="Y90" s="932" t="n"/>
      <c r="Z90" s="933" t="n"/>
      <c r="AA90" s="932" t="n"/>
      <c r="AB90" s="933" t="n"/>
      <c r="AC90" s="932" t="n"/>
      <c r="AD90" s="933" t="n"/>
      <c r="AE90" s="932" t="n"/>
      <c r="AF90" s="933" t="n"/>
    </row>
    <row r="91" ht="3" customHeight="1" s="1883">
      <c r="D91" s="626" t="n"/>
      <c r="E91" s="626" t="n"/>
      <c r="F91" s="626" t="n"/>
      <c r="G91" s="626" t="n"/>
      <c r="H91" s="932" t="n"/>
      <c r="I91" s="932" t="n"/>
      <c r="J91" s="932" t="n"/>
      <c r="K91" s="932" t="n"/>
      <c r="L91" s="932" t="n"/>
      <c r="M91" s="932" t="n"/>
      <c r="N91" s="932" t="n"/>
      <c r="O91" s="932" t="n"/>
      <c r="P91" s="932" t="n"/>
      <c r="Q91" s="932" t="n"/>
      <c r="R91" s="932" t="n"/>
      <c r="S91" s="932" t="n"/>
      <c r="T91" s="932" t="n"/>
      <c r="U91" s="932" t="n"/>
      <c r="V91" s="932" t="n"/>
      <c r="W91" s="932" t="n"/>
      <c r="X91" s="932" t="n"/>
      <c r="Y91" s="932" t="n"/>
      <c r="Z91" s="932" t="n"/>
      <c r="AA91" s="932" t="n"/>
      <c r="AB91" s="932" t="n"/>
      <c r="AC91" s="932" t="n"/>
      <c r="AD91" s="932" t="n"/>
      <c r="AE91" s="932" t="n"/>
      <c r="AF91" s="932" t="n"/>
    </row>
    <row r="92" ht="13" customHeight="1" s="1883">
      <c r="D92" s="626" t="n"/>
      <c r="E92" s="626" t="n"/>
      <c r="F92" s="937" t="n"/>
      <c r="G92" s="626" t="n"/>
      <c r="H92" s="932" t="n"/>
      <c r="I92" s="932" t="n"/>
      <c r="J92" s="932" t="n"/>
      <c r="K92" s="932" t="n"/>
      <c r="L92" s="932" t="n"/>
      <c r="M92" s="932" t="n"/>
      <c r="N92" s="932" t="n"/>
      <c r="O92" s="932" t="n"/>
      <c r="P92" s="932" t="n"/>
      <c r="Q92" s="932" t="n"/>
      <c r="R92" s="932" t="n"/>
      <c r="S92" s="932" t="n"/>
      <c r="T92" s="932" t="n"/>
      <c r="U92" s="932" t="n"/>
      <c r="V92" s="932" t="n"/>
      <c r="W92" s="932" t="n"/>
      <c r="X92" s="932" t="n"/>
      <c r="Y92" s="932" t="n"/>
      <c r="Z92" s="932" t="n"/>
      <c r="AA92" s="932" t="n"/>
      <c r="AB92" s="932" t="n"/>
      <c r="AC92" s="932" t="n"/>
      <c r="AD92" s="932" t="n"/>
      <c r="AE92" s="932" t="n"/>
      <c r="AF92" s="932" t="n"/>
    </row>
    <row r="93">
      <c r="D93" s="1908" t="inlineStr">
        <is>
          <t xml:space="preserve">          Average (Beginning + Ending/1.42)</t>
        </is>
      </c>
      <c r="G93" s="626" t="n"/>
      <c r="H93" s="136">
        <f>(((H84)+(H85))/(1.42))</f>
        <v/>
      </c>
      <c r="I93" s="932" t="n"/>
      <c r="J93" s="136">
        <f>(((J84)+(J85))/(1.42))</f>
        <v/>
      </c>
      <c r="K93" s="932" t="n"/>
      <c r="L93" s="136">
        <f>(((L84)+(L85))/(1.42))</f>
        <v/>
      </c>
      <c r="M93" s="932" t="n"/>
      <c r="N93" s="136">
        <f>(((N84)+(N85))/(1.42))</f>
        <v/>
      </c>
      <c r="O93" s="932" t="n"/>
      <c r="P93" s="136">
        <f>(((P84)+(P85))/(1.42))</f>
        <v/>
      </c>
      <c r="Q93" s="932" t="n"/>
      <c r="R93" s="136">
        <f>(((R84)+(R85))/(1.42))</f>
        <v/>
      </c>
      <c r="S93" s="932" t="n"/>
      <c r="T93" s="136">
        <f>(((T84)+(T85))/(1.42))</f>
        <v/>
      </c>
      <c r="U93" s="932" t="n"/>
      <c r="V93" s="136">
        <f>(((V84)+(V85))/(1.42))</f>
        <v/>
      </c>
      <c r="W93" s="932" t="n"/>
      <c r="X93" s="136">
        <f>(((X84)+(X85))/(1.42))</f>
        <v/>
      </c>
      <c r="Y93" s="932" t="n"/>
      <c r="Z93" s="136">
        <f>(((Z84)+(Z85))/(1.42))</f>
        <v/>
      </c>
      <c r="AA93" s="932" t="n"/>
      <c r="AB93" s="136">
        <f>(((AB84)+(AB85))/(1.42))</f>
        <v/>
      </c>
      <c r="AC93" s="932" t="n"/>
      <c r="AD93" s="136">
        <f>(((AD84)+(AD85))/(1.42))</f>
        <v/>
      </c>
      <c r="AE93" s="932" t="n"/>
      <c r="AF93" s="136">
        <f>AVERAGE(H93:AE93)</f>
        <v/>
      </c>
    </row>
    <row r="98">
      <c r="D98" s="117" t="inlineStr">
        <is>
          <t>Year 4</t>
        </is>
      </c>
      <c r="E98" s="117" t="n"/>
      <c r="F98" s="137" t="inlineStr">
        <is>
          <t>37 - 48</t>
        </is>
      </c>
      <c r="G98" s="626" t="n"/>
      <c r="H98" s="932" t="n"/>
      <c r="I98" s="932" t="n"/>
      <c r="J98" s="932" t="n"/>
      <c r="K98" s="932" t="n"/>
      <c r="L98" s="932" t="n"/>
      <c r="M98" s="932" t="n"/>
      <c r="N98" s="932" t="n"/>
      <c r="O98" s="932" t="n"/>
      <c r="P98" s="932" t="n"/>
      <c r="Q98" s="932" t="n"/>
      <c r="R98" s="932" t="n"/>
      <c r="S98" s="932" t="n"/>
      <c r="T98" s="932" t="n"/>
      <c r="U98" s="932" t="n"/>
      <c r="V98" s="932" t="n"/>
      <c r="W98" s="932" t="n"/>
      <c r="X98" s="932" t="n"/>
      <c r="Y98" s="932" t="n"/>
      <c r="Z98" s="932" t="n"/>
      <c r="AA98" s="932" t="n"/>
      <c r="AB98" s="932" t="n"/>
      <c r="AC98" s="932" t="n"/>
      <c r="AD98" s="932" t="n"/>
      <c r="AE98" s="932" t="n"/>
      <c r="AF98" s="932" t="n"/>
    </row>
    <row r="99">
      <c r="D99" s="1905" t="inlineStr">
        <is>
          <t xml:space="preserve">     Beginning of Month</t>
        </is>
      </c>
      <c r="G99" s="626" t="n"/>
      <c r="H99" s="140">
        <f>(AF89)</f>
        <v/>
      </c>
      <c r="I99" s="932" t="n"/>
      <c r="J99" s="135">
        <f>(H104)</f>
        <v/>
      </c>
      <c r="K99" s="932" t="n"/>
      <c r="L99" s="135">
        <f>(J104)</f>
        <v/>
      </c>
      <c r="M99" s="932" t="n"/>
      <c r="N99" s="135">
        <f>(L104)</f>
        <v/>
      </c>
      <c r="O99" s="932" t="n"/>
      <c r="P99" s="135">
        <f>(N104)</f>
        <v/>
      </c>
      <c r="Q99" s="932" t="n"/>
      <c r="R99" s="135">
        <f>(P104)</f>
        <v/>
      </c>
      <c r="S99" s="932" t="n"/>
      <c r="T99" s="135">
        <f>(R104)</f>
        <v/>
      </c>
      <c r="U99" s="932" t="n"/>
      <c r="V99" s="135">
        <f>(T104)</f>
        <v/>
      </c>
      <c r="W99" s="932" t="n"/>
      <c r="X99" s="135">
        <f>(V104)</f>
        <v/>
      </c>
      <c r="Y99" s="932" t="n"/>
      <c r="Z99" s="135">
        <f>(X104)</f>
        <v/>
      </c>
      <c r="AA99" s="932" t="n"/>
      <c r="AB99" s="135">
        <f>(Z104)</f>
        <v/>
      </c>
      <c r="AC99" s="932" t="n"/>
      <c r="AD99" s="135">
        <f>(AB104)</f>
        <v/>
      </c>
      <c r="AE99" s="932" t="n"/>
      <c r="AF99" s="140">
        <f>H99</f>
        <v/>
      </c>
    </row>
    <row r="100">
      <c r="D100" s="1905" t="inlineStr">
        <is>
          <t xml:space="preserve">     + Activated</t>
        </is>
      </c>
      <c r="G100" s="626" t="n"/>
      <c r="H100" s="135">
        <f>(H20)</f>
        <v/>
      </c>
      <c r="I100" s="932" t="n"/>
      <c r="J100" s="135">
        <f>(J20)</f>
        <v/>
      </c>
      <c r="K100" s="932" t="n"/>
      <c r="L100" s="135">
        <f>(L20)</f>
        <v/>
      </c>
      <c r="M100" s="932" t="n"/>
      <c r="N100" s="135">
        <f>(N20)</f>
        <v/>
      </c>
      <c r="O100" s="932" t="n"/>
      <c r="P100" s="135">
        <f>(P20)</f>
        <v/>
      </c>
      <c r="Q100" s="932" t="n"/>
      <c r="R100" s="135">
        <f>(R20)</f>
        <v/>
      </c>
      <c r="S100" s="932" t="n"/>
      <c r="T100" s="135">
        <f>(T20)</f>
        <v/>
      </c>
      <c r="U100" s="932" t="n"/>
      <c r="V100" s="135">
        <f>(V20)</f>
        <v/>
      </c>
      <c r="W100" s="932" t="n"/>
      <c r="X100" s="135">
        <f>(X20)</f>
        <v/>
      </c>
      <c r="Y100" s="932" t="n"/>
      <c r="Z100" s="135">
        <f>(Z20)</f>
        <v/>
      </c>
      <c r="AA100" s="932" t="n"/>
      <c r="AB100" s="135">
        <f>(AB20)</f>
        <v/>
      </c>
      <c r="AC100" s="932" t="n"/>
      <c r="AD100" s="135">
        <f>(AD20)</f>
        <v/>
      </c>
      <c r="AE100" s="932" t="n"/>
      <c r="AF100" s="136">
        <f>((H100)+(J100)+(L100)+(N100)+(P100)+(R100)+(T100)+(V100)+(X100)+(Z100)+(AB100)+(AD100))</f>
        <v/>
      </c>
    </row>
    <row r="101">
      <c r="D101" s="1905" t="inlineStr">
        <is>
          <t xml:space="preserve">     - Attrition</t>
        </is>
      </c>
      <c r="G101" s="626" t="n"/>
      <c r="H101" s="135">
        <f>'Attrition Wedge (Companion App)'!AQ74</f>
        <v/>
      </c>
      <c r="I101" s="932" t="n"/>
      <c r="J101" s="135">
        <f>'Attrition Wedge (Companion App)'!AR74</f>
        <v/>
      </c>
      <c r="K101" s="932" t="n"/>
      <c r="L101" s="135">
        <f>'Attrition Wedge (Companion App)'!AS74</f>
        <v/>
      </c>
      <c r="M101" s="932" t="n"/>
      <c r="N101" s="135">
        <f>'Attrition Wedge (Companion App)'!AT74</f>
        <v/>
      </c>
      <c r="O101" s="932" t="n"/>
      <c r="P101" s="135">
        <f>'Attrition Wedge (Companion App)'!AU74</f>
        <v/>
      </c>
      <c r="Q101" s="932" t="n"/>
      <c r="R101" s="135">
        <f>'Attrition Wedge (Companion App)'!AV74</f>
        <v/>
      </c>
      <c r="S101" s="932" t="n"/>
      <c r="T101" s="135">
        <f>'Attrition Wedge (Companion App)'!AW74</f>
        <v/>
      </c>
      <c r="U101" s="932" t="n"/>
      <c r="V101" s="135">
        <f>'Attrition Wedge (Companion App)'!AX74</f>
        <v/>
      </c>
      <c r="W101" s="932" t="n"/>
      <c r="X101" s="135">
        <f>'Attrition Wedge (Companion App)'!AY74</f>
        <v/>
      </c>
      <c r="Y101" s="932" t="n"/>
      <c r="Z101" s="135">
        <f>'Attrition Wedge (Companion App)'!AZ74</f>
        <v/>
      </c>
      <c r="AA101" s="932" t="n"/>
      <c r="AB101" s="135">
        <f>'Attrition Wedge (Companion App)'!BA74</f>
        <v/>
      </c>
      <c r="AC101" s="932" t="n"/>
      <c r="AD101" s="135">
        <f>'Attrition Wedge (Companion App)'!BB74</f>
        <v/>
      </c>
      <c r="AE101" s="932" t="n"/>
      <c r="AF101" s="136">
        <f>((H101)+(J101)+(L101)+(N101)+(P101)+(R101)+(T101)+(V101)+(X101)+(Z101)+(AB101)+(AD101))</f>
        <v/>
      </c>
    </row>
    <row r="102" ht="3" customHeight="1" s="1883">
      <c r="D102" s="626" t="n"/>
      <c r="E102" s="626" t="n"/>
      <c r="F102" s="937" t="n"/>
      <c r="G102" s="626" t="n"/>
      <c r="H102" s="933" t="n"/>
      <c r="I102" s="932" t="n"/>
      <c r="J102" s="933" t="n"/>
      <c r="K102" s="932" t="n"/>
      <c r="L102" s="933" t="n"/>
      <c r="M102" s="932" t="n"/>
      <c r="N102" s="933" t="n"/>
      <c r="O102" s="932" t="n"/>
      <c r="P102" s="933" t="n"/>
      <c r="Q102" s="932" t="n"/>
      <c r="R102" s="933" t="n"/>
      <c r="S102" s="932" t="n"/>
      <c r="T102" s="933" t="n"/>
      <c r="U102" s="932" t="n"/>
      <c r="V102" s="933" t="n"/>
      <c r="W102" s="932" t="n"/>
      <c r="X102" s="933" t="n"/>
      <c r="Y102" s="932" t="n"/>
      <c r="Z102" s="933" t="n"/>
      <c r="AA102" s="932" t="n"/>
      <c r="AB102" s="933" t="n"/>
      <c r="AC102" s="932" t="n"/>
      <c r="AD102" s="933" t="n"/>
      <c r="AE102" s="932" t="n"/>
      <c r="AF102" s="933" t="n"/>
    </row>
    <row r="103" ht="3" customHeight="1" s="1883">
      <c r="D103" s="626" t="n"/>
      <c r="E103" s="626" t="n"/>
      <c r="F103" s="937" t="n"/>
      <c r="G103" s="626" t="n"/>
      <c r="H103" s="932" t="n"/>
      <c r="I103" s="932" t="n"/>
      <c r="J103" s="932" t="n"/>
      <c r="K103" s="932" t="n"/>
      <c r="L103" s="932" t="n"/>
      <c r="M103" s="932" t="n"/>
      <c r="N103" s="932" t="n"/>
      <c r="O103" s="932" t="n"/>
      <c r="P103" s="932" t="n"/>
      <c r="Q103" s="932" t="n"/>
      <c r="R103" s="932" t="n"/>
      <c r="S103" s="932" t="n"/>
      <c r="T103" s="932" t="n"/>
      <c r="U103" s="932" t="n"/>
      <c r="V103" s="932" t="n"/>
      <c r="W103" s="932" t="n"/>
      <c r="X103" s="932" t="n"/>
      <c r="Y103" s="932" t="n"/>
      <c r="Z103" s="932" t="n"/>
      <c r="AA103" s="932" t="n"/>
      <c r="AB103" s="932" t="n"/>
      <c r="AC103" s="932" t="n"/>
      <c r="AD103" s="932" t="n"/>
      <c r="AE103" s="932" t="n"/>
      <c r="AF103" s="932" t="n"/>
    </row>
    <row r="104">
      <c r="D104" s="1908" t="inlineStr">
        <is>
          <t xml:space="preserve">          End of Month</t>
        </is>
      </c>
      <c r="G104" s="626" t="n"/>
      <c r="H104" s="136">
        <f>((H99)+(H100)-(H101))</f>
        <v/>
      </c>
      <c r="I104" s="932" t="n"/>
      <c r="J104" s="136">
        <f>((J99)+(J100)-(J101))</f>
        <v/>
      </c>
      <c r="K104" s="932" t="n"/>
      <c r="L104" s="136">
        <f>((L99)+(L100)-(L101))</f>
        <v/>
      </c>
      <c r="M104" s="932" t="n"/>
      <c r="N104" s="136">
        <f>((N99)+(N100)-(N101))</f>
        <v/>
      </c>
      <c r="O104" s="932" t="n"/>
      <c r="P104" s="136">
        <f>((P99)+(P100)-(P101))</f>
        <v/>
      </c>
      <c r="Q104" s="932" t="n"/>
      <c r="R104" s="136">
        <f>((R99)+(R100)-(R101))</f>
        <v/>
      </c>
      <c r="S104" s="932" t="n"/>
      <c r="T104" s="136">
        <f>((T99)+(T100)-(T101))</f>
        <v/>
      </c>
      <c r="U104" s="932" t="n"/>
      <c r="V104" s="136">
        <f>((V99)+(V100)-(V101))</f>
        <v/>
      </c>
      <c r="W104" s="932" t="n"/>
      <c r="X104" s="136">
        <f>((X99)+(X100)-(X101))</f>
        <v/>
      </c>
      <c r="Y104" s="932" t="n"/>
      <c r="Z104" s="136">
        <f>((Z99)+(Z100)-(Z101))</f>
        <v/>
      </c>
      <c r="AA104" s="932" t="n"/>
      <c r="AB104" s="136">
        <f>((AB99)+(AB100)-(AB101))</f>
        <v/>
      </c>
      <c r="AC104" s="932" t="n"/>
      <c r="AD104" s="140">
        <f>((AD99)+(AD100)-(AD101))</f>
        <v/>
      </c>
      <c r="AE104" s="932" t="n"/>
      <c r="AF104" s="140">
        <f>((AF99)+(AF100)-(AF101))</f>
        <v/>
      </c>
    </row>
    <row r="105" ht="3" customHeight="1" s="1883">
      <c r="D105" s="626" t="n"/>
      <c r="E105" s="626" t="n"/>
      <c r="F105" s="626" t="n"/>
      <c r="G105" s="626" t="n"/>
      <c r="H105" s="933" t="n"/>
      <c r="I105" s="932" t="n"/>
      <c r="J105" s="933" t="n"/>
      <c r="K105" s="932" t="n"/>
      <c r="L105" s="933" t="n"/>
      <c r="M105" s="932" t="n"/>
      <c r="N105" s="933" t="n"/>
      <c r="O105" s="932" t="n"/>
      <c r="P105" s="933" t="n"/>
      <c r="Q105" s="932" t="n"/>
      <c r="R105" s="933" t="n"/>
      <c r="S105" s="932" t="n"/>
      <c r="T105" s="933" t="n"/>
      <c r="U105" s="932" t="n"/>
      <c r="V105" s="933" t="n"/>
      <c r="W105" s="932" t="n"/>
      <c r="X105" s="933" t="n"/>
      <c r="Y105" s="932" t="n"/>
      <c r="Z105" s="933" t="n"/>
      <c r="AA105" s="932" t="n"/>
      <c r="AB105" s="933" t="n"/>
      <c r="AC105" s="932" t="n"/>
      <c r="AD105" s="933" t="n"/>
      <c r="AE105" s="932" t="n"/>
      <c r="AF105" s="933" t="n"/>
    </row>
    <row r="106" ht="3" customHeight="1" s="1883">
      <c r="D106" s="626" t="n"/>
      <c r="E106" s="626" t="n"/>
      <c r="F106" s="626" t="n"/>
      <c r="G106" s="626" t="n"/>
      <c r="H106" s="932" t="n"/>
      <c r="I106" s="932" t="n"/>
      <c r="J106" s="932" t="n"/>
      <c r="K106" s="932" t="n"/>
      <c r="L106" s="932" t="n"/>
      <c r="M106" s="932" t="n"/>
      <c r="N106" s="932" t="n"/>
      <c r="O106" s="932" t="n"/>
      <c r="P106" s="932" t="n"/>
      <c r="Q106" s="932" t="n"/>
      <c r="R106" s="932" t="n"/>
      <c r="S106" s="932" t="n"/>
      <c r="T106" s="932" t="n"/>
      <c r="U106" s="932" t="n"/>
      <c r="V106" s="932" t="n"/>
      <c r="W106" s="932" t="n"/>
      <c r="X106" s="932" t="n"/>
      <c r="Y106" s="932" t="n"/>
      <c r="Z106" s="932" t="n"/>
      <c r="AA106" s="932" t="n"/>
      <c r="AB106" s="932" t="n"/>
      <c r="AC106" s="932" t="n"/>
      <c r="AD106" s="932" t="n"/>
      <c r="AE106" s="932" t="n"/>
      <c r="AF106" s="932" t="n"/>
    </row>
    <row r="107" ht="13" customHeight="1" s="1883">
      <c r="D107" s="626" t="n"/>
      <c r="E107" s="626" t="n"/>
      <c r="F107" s="626" t="n"/>
      <c r="G107" s="626" t="n"/>
      <c r="H107" s="932" t="n"/>
      <c r="I107" s="932" t="n"/>
      <c r="J107" s="932" t="n"/>
      <c r="K107" s="932" t="n"/>
      <c r="L107" s="932" t="n"/>
      <c r="M107" s="932" t="n"/>
      <c r="N107" s="932" t="n"/>
      <c r="O107" s="932" t="n"/>
      <c r="P107" s="932" t="n"/>
      <c r="Q107" s="932" t="n"/>
      <c r="R107" s="932" t="n"/>
      <c r="S107" s="932" t="n"/>
      <c r="T107" s="932" t="n"/>
      <c r="U107" s="932" t="n"/>
      <c r="V107" s="932" t="n"/>
      <c r="W107" s="932" t="n"/>
      <c r="X107" s="932" t="n"/>
      <c r="Y107" s="932" t="n"/>
      <c r="Z107" s="932" t="n"/>
      <c r="AA107" s="932" t="n"/>
      <c r="AB107" s="932" t="n"/>
      <c r="AC107" s="932" t="n"/>
      <c r="AD107" s="932" t="n"/>
      <c r="AE107" s="932" t="n"/>
      <c r="AF107" s="932" t="n"/>
    </row>
    <row r="108">
      <c r="D108" s="1908" t="inlineStr">
        <is>
          <t xml:space="preserve">          Average (Beginning + Ending/1.42)</t>
        </is>
      </c>
      <c r="G108" s="626" t="n"/>
      <c r="H108" s="136">
        <f>(((H99)+(H100))/(1.42))</f>
        <v/>
      </c>
      <c r="I108" s="932" t="n"/>
      <c r="J108" s="136">
        <f>(((J99)+(J100))/(1.42))</f>
        <v/>
      </c>
      <c r="K108" s="932" t="n"/>
      <c r="L108" s="136">
        <f>(((L99)+(L100))/(1.42))</f>
        <v/>
      </c>
      <c r="M108" s="932" t="n"/>
      <c r="N108" s="136">
        <f>(((N99)+(N100))/(1.42))</f>
        <v/>
      </c>
      <c r="O108" s="932" t="n"/>
      <c r="P108" s="136">
        <f>(((P99)+(P100))/(1.42))</f>
        <v/>
      </c>
      <c r="Q108" s="932" t="n"/>
      <c r="R108" s="136">
        <f>(((R99)+(R100))/(1.42))</f>
        <v/>
      </c>
      <c r="S108" s="932" t="n"/>
      <c r="T108" s="136">
        <f>(((T99)+(T100))/(1.42))</f>
        <v/>
      </c>
      <c r="U108" s="932" t="n"/>
      <c r="V108" s="136">
        <f>(((V99)+(V100))/(1.42))</f>
        <v/>
      </c>
      <c r="W108" s="932" t="n"/>
      <c r="X108" s="136">
        <f>(((X99)+(X100))/(1.42))</f>
        <v/>
      </c>
      <c r="Y108" s="932" t="n"/>
      <c r="Z108" s="136">
        <f>(((Z99)+(Z100))/(1.42))</f>
        <v/>
      </c>
      <c r="AA108" s="932" t="n"/>
      <c r="AB108" s="136">
        <f>(((AB99)+(AB100))/(1.42))</f>
        <v/>
      </c>
      <c r="AC108" s="932" t="n"/>
      <c r="AD108" s="136">
        <f>(((AD99)+(AD100))/(1.42))</f>
        <v/>
      </c>
      <c r="AE108" s="932" t="n"/>
      <c r="AF108" s="136">
        <f>AVERAGE(H108:AE108)</f>
        <v/>
      </c>
    </row>
    <row r="113">
      <c r="D113" s="117" t="inlineStr">
        <is>
          <t>Year 5</t>
        </is>
      </c>
      <c r="E113" s="117" t="n"/>
      <c r="F113" s="137" t="inlineStr">
        <is>
          <t>49 - 60</t>
        </is>
      </c>
      <c r="G113" s="626" t="n"/>
      <c r="H113" s="932" t="n"/>
      <c r="I113" s="932" t="n"/>
      <c r="J113" s="932" t="n"/>
      <c r="K113" s="932" t="n"/>
      <c r="L113" s="932" t="n"/>
      <c r="M113" s="932" t="n"/>
      <c r="N113" s="932" t="n"/>
      <c r="O113" s="932" t="n"/>
      <c r="P113" s="932" t="n"/>
      <c r="Q113" s="932" t="n"/>
      <c r="R113" s="932" t="n"/>
      <c r="S113" s="932" t="n"/>
      <c r="T113" s="932" t="n"/>
      <c r="U113" s="932" t="n"/>
      <c r="V113" s="932" t="n"/>
      <c r="W113" s="932" t="n"/>
      <c r="X113" s="932" t="n"/>
      <c r="Y113" s="932" t="n"/>
      <c r="Z113" s="932" t="n"/>
      <c r="AA113" s="932" t="n"/>
      <c r="AB113" s="932" t="n"/>
      <c r="AC113" s="932" t="n"/>
      <c r="AD113" s="932" t="n"/>
      <c r="AE113" s="932" t="n"/>
      <c r="AF113" s="932" t="n"/>
    </row>
    <row r="114">
      <c r="D114" s="1905" t="inlineStr">
        <is>
          <t xml:space="preserve">     Beginning of Month</t>
        </is>
      </c>
      <c r="G114" s="626" t="n"/>
      <c r="H114" s="140">
        <f>(AF104)</f>
        <v/>
      </c>
      <c r="I114" s="932" t="n"/>
      <c r="J114" s="135">
        <f>(H119)</f>
        <v/>
      </c>
      <c r="K114" s="932" t="n"/>
      <c r="L114" s="135">
        <f>(J119)</f>
        <v/>
      </c>
      <c r="M114" s="932" t="n"/>
      <c r="N114" s="135">
        <f>(L119)</f>
        <v/>
      </c>
      <c r="O114" s="932" t="n"/>
      <c r="P114" s="135">
        <f>(N119)</f>
        <v/>
      </c>
      <c r="Q114" s="932" t="n"/>
      <c r="R114" s="135">
        <f>(P119)</f>
        <v/>
      </c>
      <c r="S114" s="932" t="n"/>
      <c r="T114" s="135">
        <f>(R119)</f>
        <v/>
      </c>
      <c r="U114" s="932" t="n"/>
      <c r="V114" s="135">
        <f>(T119)</f>
        <v/>
      </c>
      <c r="W114" s="932" t="n"/>
      <c r="X114" s="135">
        <f>(V119)</f>
        <v/>
      </c>
      <c r="Y114" s="932" t="n"/>
      <c r="Z114" s="135">
        <f>(X119)</f>
        <v/>
      </c>
      <c r="AA114" s="932" t="n"/>
      <c r="AB114" s="135">
        <f>(Z119)</f>
        <v/>
      </c>
      <c r="AC114" s="932" t="n"/>
      <c r="AD114" s="135">
        <f>(AB119)</f>
        <v/>
      </c>
      <c r="AE114" s="932" t="n"/>
      <c r="AF114" s="140">
        <f>H114</f>
        <v/>
      </c>
    </row>
    <row r="115">
      <c r="D115" s="1905" t="inlineStr">
        <is>
          <t xml:space="preserve">     + Activated</t>
        </is>
      </c>
      <c r="G115" s="626" t="n"/>
      <c r="H115" s="135">
        <f>(H21)</f>
        <v/>
      </c>
      <c r="I115" s="932">
        <f>(I21)</f>
        <v/>
      </c>
      <c r="J115" s="135">
        <f>(J21)</f>
        <v/>
      </c>
      <c r="K115" s="932">
        <f>(K21)</f>
        <v/>
      </c>
      <c r="L115" s="135">
        <f>(L21)</f>
        <v/>
      </c>
      <c r="M115" s="932">
        <f>(M21)</f>
        <v/>
      </c>
      <c r="N115" s="135">
        <f>(N21)</f>
        <v/>
      </c>
      <c r="O115" s="932">
        <f>(O21)</f>
        <v/>
      </c>
      <c r="P115" s="135">
        <f>(P21)</f>
        <v/>
      </c>
      <c r="Q115" s="932">
        <f>(Q21)</f>
        <v/>
      </c>
      <c r="R115" s="135">
        <f>(R21)</f>
        <v/>
      </c>
      <c r="S115" s="932">
        <f>(S21)</f>
        <v/>
      </c>
      <c r="T115" s="135">
        <f>(T21)</f>
        <v/>
      </c>
      <c r="U115" s="932">
        <f>(U21)</f>
        <v/>
      </c>
      <c r="V115" s="135">
        <f>(V21)</f>
        <v/>
      </c>
      <c r="W115" s="932">
        <f>(W21)</f>
        <v/>
      </c>
      <c r="X115" s="135">
        <f>(X21)</f>
        <v/>
      </c>
      <c r="Y115" s="932">
        <f>(Y21)</f>
        <v/>
      </c>
      <c r="Z115" s="135">
        <f>(Z21)</f>
        <v/>
      </c>
      <c r="AA115" s="932">
        <f>(AA21)</f>
        <v/>
      </c>
      <c r="AB115" s="135">
        <f>(AB21)</f>
        <v/>
      </c>
      <c r="AC115" s="932">
        <f>(AC21)</f>
        <v/>
      </c>
      <c r="AD115" s="135">
        <f>(AD21)</f>
        <v/>
      </c>
      <c r="AE115" s="932" t="n"/>
      <c r="AF115" s="136">
        <f>((H115)+(J115)+(L115)+(N115)+(P115)+(R115)+(T115)+(V115)+(X115)+(Z115)+(AB115)+(AD115))</f>
        <v/>
      </c>
    </row>
    <row r="116">
      <c r="D116" s="1905" t="inlineStr">
        <is>
          <t xml:space="preserve">     - Attrition</t>
        </is>
      </c>
      <c r="G116" s="626" t="n"/>
      <c r="H116" s="135">
        <f>'Attrition Wedge (Companion App)'!BC74</f>
        <v/>
      </c>
      <c r="I116" s="626" t="n"/>
      <c r="J116" s="135">
        <f>'Attrition Wedge (Companion App)'!BD74</f>
        <v/>
      </c>
      <c r="K116" s="626" t="n"/>
      <c r="L116" s="135">
        <f>'Attrition Wedge (Companion App)'!BE74</f>
        <v/>
      </c>
      <c r="M116" s="626" t="n"/>
      <c r="N116" s="135">
        <f>'Attrition Wedge (Companion App)'!BF74</f>
        <v/>
      </c>
      <c r="O116" s="626" t="n"/>
      <c r="P116" s="135">
        <f>'Attrition Wedge (Companion App)'!BG74</f>
        <v/>
      </c>
      <c r="Q116" s="626" t="n"/>
      <c r="R116" s="135">
        <f>'Attrition Wedge (Companion App)'!BH74</f>
        <v/>
      </c>
      <c r="S116" s="626" t="n"/>
      <c r="T116" s="135">
        <f>'Attrition Wedge (Companion App)'!BI74</f>
        <v/>
      </c>
      <c r="U116" s="626" t="n"/>
      <c r="V116" s="135">
        <f>'Attrition Wedge (Companion App)'!BJ74</f>
        <v/>
      </c>
      <c r="W116" s="626" t="n"/>
      <c r="X116" s="135">
        <f>'Attrition Wedge (Companion App)'!BK74</f>
        <v/>
      </c>
      <c r="Y116" s="626" t="n"/>
      <c r="Z116" s="135">
        <f>'Attrition Wedge (Companion App)'!BL74</f>
        <v/>
      </c>
      <c r="AA116" s="626" t="n"/>
      <c r="AB116" s="135">
        <f>'Attrition Wedge (Companion App)'!BM74</f>
        <v/>
      </c>
      <c r="AC116" s="626" t="n"/>
      <c r="AD116" s="135">
        <f>'Attrition Wedge (Companion App)'!BN74</f>
        <v/>
      </c>
      <c r="AE116" s="626" t="n"/>
      <c r="AF116" s="136">
        <f>((H116)+(J116)+(L116)+(N116)+(P116)+(R116)+(T116)+(V116)+(X116)+(Z116)+(AB116)+(AD116))</f>
        <v/>
      </c>
    </row>
    <row r="117" ht="3" customHeight="1" s="1883">
      <c r="D117" s="626" t="n"/>
      <c r="E117" s="626" t="n"/>
      <c r="F117" s="937" t="n"/>
      <c r="G117" s="626" t="n"/>
      <c r="H117" s="926" t="n"/>
      <c r="I117" s="626" t="n"/>
      <c r="J117" s="926" t="n"/>
      <c r="K117" s="626" t="n"/>
      <c r="L117" s="926" t="n"/>
      <c r="M117" s="626" t="n"/>
      <c r="N117" s="926" t="n"/>
      <c r="O117" s="626" t="n"/>
      <c r="P117" s="926" t="n"/>
      <c r="Q117" s="626" t="n"/>
      <c r="R117" s="926" t="n"/>
      <c r="S117" s="626" t="n"/>
      <c r="T117" s="926" t="n"/>
      <c r="U117" s="626" t="n"/>
      <c r="V117" s="926" t="n"/>
      <c r="W117" s="626" t="n"/>
      <c r="X117" s="926" t="n"/>
      <c r="Y117" s="626" t="n"/>
      <c r="Z117" s="926" t="n"/>
      <c r="AA117" s="626" t="n"/>
      <c r="AB117" s="926" t="n"/>
      <c r="AC117" s="626" t="n"/>
      <c r="AD117" s="926" t="n"/>
      <c r="AE117" s="626" t="n"/>
      <c r="AF117" s="926" t="n"/>
    </row>
    <row r="118" ht="3" customHeight="1" s="1883">
      <c r="D118" s="626" t="n"/>
      <c r="E118" s="626" t="n"/>
      <c r="F118" s="937" t="n"/>
      <c r="G118" s="626" t="n"/>
      <c r="H118" s="626" t="n"/>
      <c r="I118" s="626" t="n"/>
      <c r="J118" s="626" t="n"/>
      <c r="K118" s="626" t="n"/>
      <c r="L118" s="626" t="n"/>
      <c r="M118" s="626" t="n"/>
      <c r="N118" s="626" t="n"/>
      <c r="O118" s="626" t="n"/>
      <c r="P118" s="626" t="n"/>
      <c r="Q118" s="626" t="n"/>
      <c r="R118" s="626" t="n"/>
      <c r="S118" s="626" t="n"/>
      <c r="T118" s="626" t="n"/>
      <c r="U118" s="626" t="n"/>
      <c r="V118" s="626" t="n"/>
      <c r="W118" s="626" t="n"/>
      <c r="X118" s="626" t="n"/>
      <c r="Y118" s="626" t="n"/>
      <c r="Z118" s="626" t="n"/>
      <c r="AA118" s="626" t="n"/>
      <c r="AB118" s="626" t="n"/>
      <c r="AC118" s="626" t="n"/>
      <c r="AD118" s="626" t="n"/>
      <c r="AE118" s="626" t="n"/>
      <c r="AF118" s="626" t="n"/>
    </row>
    <row r="119">
      <c r="D119" s="1908" t="inlineStr">
        <is>
          <t xml:space="preserve">          End of Month</t>
        </is>
      </c>
      <c r="G119" s="626" t="n"/>
      <c r="H119" s="136">
        <f>((H114)+(H115)-(H116))</f>
        <v/>
      </c>
      <c r="I119" s="932" t="n"/>
      <c r="J119" s="136">
        <f>((J114)+(J115)-(J116))</f>
        <v/>
      </c>
      <c r="K119" s="932" t="n"/>
      <c r="L119" s="136">
        <f>((L114)+(L115)-(L116))</f>
        <v/>
      </c>
      <c r="M119" s="932" t="n"/>
      <c r="N119" s="136">
        <f>((N114)+(N115)-(N116))</f>
        <v/>
      </c>
      <c r="O119" s="932" t="n"/>
      <c r="P119" s="136">
        <f>((P114)+(P115)-(P116))</f>
        <v/>
      </c>
      <c r="Q119" s="932" t="n"/>
      <c r="R119" s="136">
        <f>((R114)+(R115)-(R116))</f>
        <v/>
      </c>
      <c r="S119" s="932" t="n"/>
      <c r="T119" s="136">
        <f>((T114)+(T115)-(T116))</f>
        <v/>
      </c>
      <c r="U119" s="932" t="n"/>
      <c r="V119" s="136">
        <f>((V114)+(V115)-(V116))</f>
        <v/>
      </c>
      <c r="W119" s="932" t="n"/>
      <c r="X119" s="136">
        <f>((X114)+(X115)-(X116))</f>
        <v/>
      </c>
      <c r="Y119" s="932" t="n"/>
      <c r="Z119" s="136">
        <f>((Z114)+(Z115)-(Z116))</f>
        <v/>
      </c>
      <c r="AA119" s="932" t="n"/>
      <c r="AB119" s="136">
        <f>((AB114)+(AB115)-(AB116))</f>
        <v/>
      </c>
      <c r="AC119" s="932" t="n"/>
      <c r="AD119" s="140">
        <f>((AD114)+(AD115)-(AD116))</f>
        <v/>
      </c>
      <c r="AE119" s="626" t="n"/>
      <c r="AF119" s="140">
        <f>((AF114)+(AF115)-(AF116))</f>
        <v/>
      </c>
    </row>
    <row r="120" ht="3" customHeight="1" s="1883">
      <c r="D120" s="626" t="n"/>
      <c r="E120" s="626" t="n"/>
      <c r="F120" s="626" t="n"/>
      <c r="G120" s="626" t="n"/>
      <c r="H120" s="933" t="n"/>
      <c r="I120" s="932" t="n"/>
      <c r="J120" s="933" t="n"/>
      <c r="K120" s="932" t="n"/>
      <c r="L120" s="933" t="n"/>
      <c r="M120" s="932" t="n"/>
      <c r="N120" s="933" t="n"/>
      <c r="O120" s="932" t="n"/>
      <c r="P120" s="933" t="n"/>
      <c r="Q120" s="932" t="n"/>
      <c r="R120" s="933" t="n"/>
      <c r="S120" s="932" t="n"/>
      <c r="T120" s="933" t="n"/>
      <c r="U120" s="932" t="n"/>
      <c r="V120" s="933" t="n"/>
      <c r="W120" s="932" t="n"/>
      <c r="X120" s="933" t="n"/>
      <c r="Y120" s="932" t="n"/>
      <c r="Z120" s="933" t="n"/>
      <c r="AA120" s="932" t="n"/>
      <c r="AB120" s="933" t="n"/>
      <c r="AC120" s="932" t="n"/>
      <c r="AD120" s="933" t="n"/>
      <c r="AE120" s="626" t="n"/>
      <c r="AF120" s="933" t="n"/>
    </row>
    <row r="121" ht="3" customHeight="1" s="1883">
      <c r="D121" s="626" t="n"/>
      <c r="E121" s="626" t="n"/>
      <c r="F121" s="626" t="n"/>
      <c r="G121" s="626" t="n"/>
      <c r="H121" s="932" t="n"/>
      <c r="I121" s="932" t="n"/>
      <c r="J121" s="932" t="n"/>
      <c r="K121" s="932" t="n"/>
      <c r="L121" s="932" t="n"/>
      <c r="M121" s="932" t="n"/>
      <c r="N121" s="932" t="n"/>
      <c r="O121" s="932" t="n"/>
      <c r="P121" s="932" t="n"/>
      <c r="Q121" s="932" t="n"/>
      <c r="R121" s="932" t="n"/>
      <c r="S121" s="932" t="n"/>
      <c r="T121" s="932" t="n"/>
      <c r="U121" s="932" t="n"/>
      <c r="V121" s="932" t="n"/>
      <c r="W121" s="932" t="n"/>
      <c r="X121" s="932" t="n"/>
      <c r="Y121" s="932" t="n"/>
      <c r="Z121" s="932" t="n"/>
      <c r="AA121" s="932" t="n"/>
      <c r="AB121" s="932" t="n"/>
      <c r="AC121" s="932" t="n"/>
      <c r="AD121" s="932" t="n"/>
      <c r="AE121" s="626" t="n"/>
      <c r="AF121" s="932" t="n"/>
    </row>
    <row r="122" ht="13" customHeight="1" s="1883">
      <c r="D122" s="626" t="n"/>
      <c r="E122" s="626" t="n"/>
      <c r="F122" s="626" t="n"/>
      <c r="G122" s="626" t="n"/>
      <c r="H122" s="932" t="n"/>
      <c r="I122" s="932" t="n"/>
      <c r="J122" s="932" t="n"/>
      <c r="K122" s="932" t="n"/>
      <c r="L122" s="932" t="n"/>
      <c r="M122" s="932" t="n"/>
      <c r="N122" s="932" t="n"/>
      <c r="O122" s="932" t="n"/>
      <c r="P122" s="932" t="n"/>
      <c r="Q122" s="932" t="n"/>
      <c r="R122" s="932" t="n"/>
      <c r="S122" s="932" t="n"/>
      <c r="T122" s="932" t="n"/>
      <c r="U122" s="932" t="n"/>
      <c r="V122" s="932" t="n"/>
      <c r="W122" s="932" t="n"/>
      <c r="X122" s="932" t="n"/>
      <c r="Y122" s="932" t="n"/>
      <c r="Z122" s="932" t="n"/>
      <c r="AA122" s="932" t="n"/>
      <c r="AB122" s="932" t="n"/>
      <c r="AC122" s="932" t="n"/>
      <c r="AD122" s="932" t="n"/>
      <c r="AE122" s="626" t="n"/>
      <c r="AF122" s="932" t="n"/>
    </row>
    <row r="123">
      <c r="D123" s="1908" t="inlineStr">
        <is>
          <t xml:space="preserve">          Average (Beginning + Ending/1.42)</t>
        </is>
      </c>
      <c r="G123" s="626" t="n"/>
      <c r="H123" s="136">
        <f>(((H114)+(H115))/(1.42))</f>
        <v/>
      </c>
      <c r="I123" s="932" t="n"/>
      <c r="J123" s="136">
        <f>(((J114)+(J115))/(1.42))</f>
        <v/>
      </c>
      <c r="K123" s="932" t="n"/>
      <c r="L123" s="136">
        <f>(((L114)+(L115))/(1.42))</f>
        <v/>
      </c>
      <c r="M123" s="932" t="n"/>
      <c r="N123" s="136">
        <f>(((N114)+(N115))/(1.42))</f>
        <v/>
      </c>
      <c r="O123" s="932" t="n"/>
      <c r="P123" s="136">
        <f>(((P114)+(P115))/(1.42))</f>
        <v/>
      </c>
      <c r="Q123" s="932" t="n"/>
      <c r="R123" s="136">
        <f>(((R114)+(R115))/(1.42))</f>
        <v/>
      </c>
      <c r="S123" s="932" t="n"/>
      <c r="T123" s="136">
        <f>(((T114)+(T115))/(1.42))</f>
        <v/>
      </c>
      <c r="U123" s="932" t="n"/>
      <c r="V123" s="136">
        <f>(((V114)+(V115))/(1.42))</f>
        <v/>
      </c>
      <c r="W123" s="932" t="n"/>
      <c r="X123" s="136">
        <f>(((X114)+(X115))/(1.42))</f>
        <v/>
      </c>
      <c r="Y123" s="932" t="n"/>
      <c r="Z123" s="136">
        <f>(((Z114)+(Z115))/(1.42))</f>
        <v/>
      </c>
      <c r="AA123" s="932" t="n"/>
      <c r="AB123" s="136">
        <f>(((AB114)+(AB115))/(1.42))</f>
        <v/>
      </c>
      <c r="AC123" s="136">
        <f>(((AC114)+(AC115))/(1.33))</f>
        <v/>
      </c>
      <c r="AD123" s="136">
        <f>(((AD114)+(AD115))/(1.42))</f>
        <v/>
      </c>
      <c r="AE123" s="932" t="n"/>
      <c r="AF123" s="136">
        <f>AVERAGE(H123:AE123)</f>
        <v/>
      </c>
    </row>
    <row r="131">
      <c r="B131" s="118" t="inlineStr">
        <is>
          <t>IV.</t>
        </is>
      </c>
      <c r="C131" s="626" t="n"/>
      <c r="D131" s="118" t="inlineStr">
        <is>
          <t>Billable Hours</t>
        </is>
      </c>
      <c r="E131" s="626" t="n"/>
      <c r="F131" s="626" t="n"/>
      <c r="G131" s="626" t="n"/>
      <c r="H131" s="1904" t="inlineStr">
        <is>
          <t>Fiscal Year</t>
        </is>
      </c>
    </row>
    <row r="132" ht="3" customHeight="1" s="1883">
      <c r="B132" s="926" t="n"/>
      <c r="C132" s="926" t="n"/>
      <c r="D132" s="926" t="n"/>
      <c r="E132" s="926" t="n"/>
      <c r="F132" s="926" t="n"/>
      <c r="G132" s="626" t="n"/>
      <c r="H132" s="933" t="n"/>
      <c r="I132" s="933" t="n"/>
      <c r="J132" s="933" t="n"/>
      <c r="K132" s="933" t="n"/>
      <c r="L132" s="933" t="n"/>
      <c r="M132" s="933" t="n"/>
      <c r="N132" s="933" t="n"/>
      <c r="O132" s="933" t="n"/>
      <c r="P132" s="933" t="n"/>
      <c r="Q132" s="933" t="n"/>
      <c r="R132" s="933" t="n"/>
      <c r="S132" s="933" t="n"/>
      <c r="T132" s="933" t="n"/>
      <c r="U132" s="933" t="n"/>
      <c r="V132" s="933" t="n"/>
      <c r="W132" s="933" t="n"/>
      <c r="X132" s="933" t="n"/>
      <c r="Y132" s="933" t="n"/>
      <c r="Z132" s="933" t="n"/>
      <c r="AA132" s="933" t="n"/>
      <c r="AB132" s="933" t="n"/>
      <c r="AC132" s="933" t="n"/>
      <c r="AD132" s="933" t="n"/>
      <c r="AE132" s="933" t="n"/>
      <c r="AF132" s="933" t="n"/>
    </row>
    <row r="133" ht="3" customHeight="1" s="1883">
      <c r="B133" s="626" t="n"/>
      <c r="C133" s="626" t="n"/>
      <c r="D133" s="626" t="n"/>
      <c r="E133" s="626" t="n"/>
      <c r="F133" s="626" t="n"/>
      <c r="G133" s="626" t="n"/>
      <c r="H133" s="932" t="n"/>
      <c r="I133" s="932" t="n"/>
      <c r="J133" s="932" t="n"/>
      <c r="K133" s="932" t="n"/>
      <c r="L133" s="932" t="n"/>
      <c r="M133" s="932" t="n"/>
      <c r="N133" s="932" t="n"/>
      <c r="O133" s="932" t="n"/>
      <c r="P133" s="932" t="n"/>
      <c r="Q133" s="932" t="n"/>
      <c r="R133" s="932" t="n"/>
      <c r="S133" s="932" t="n"/>
      <c r="T133" s="932" t="n"/>
      <c r="U133" s="932" t="n"/>
      <c r="V133" s="932" t="n"/>
      <c r="W133" s="932" t="n"/>
      <c r="X133" s="932" t="n"/>
      <c r="Y133" s="932" t="n"/>
      <c r="Z133" s="932" t="n"/>
      <c r="AA133" s="932" t="n"/>
      <c r="AB133" s="932" t="n"/>
      <c r="AC133" s="932" t="n"/>
      <c r="AD133" s="932" t="n"/>
      <c r="AE133" s="932" t="n"/>
      <c r="AF133" s="932" t="n"/>
    </row>
    <row r="134">
      <c r="B134" s="626" t="n"/>
      <c r="C134" s="626" t="n"/>
      <c r="D134" s="117" t="inlineStr">
        <is>
          <t>Year</t>
        </is>
      </c>
      <c r="E134" s="117" t="n"/>
      <c r="F134" s="117" t="inlineStr">
        <is>
          <t>Months</t>
        </is>
      </c>
      <c r="G134" s="626" t="n"/>
      <c r="H134" s="138" t="inlineStr">
        <is>
          <t>Month 1</t>
        </is>
      </c>
      <c r="I134" s="138" t="n"/>
      <c r="J134" s="138" t="inlineStr">
        <is>
          <t>Month 2</t>
        </is>
      </c>
      <c r="K134" s="138" t="n"/>
      <c r="L134" s="138" t="inlineStr">
        <is>
          <t>Month 3</t>
        </is>
      </c>
      <c r="M134" s="138" t="n"/>
      <c r="N134" s="138" t="inlineStr">
        <is>
          <t>Month 4</t>
        </is>
      </c>
      <c r="O134" s="138" t="n"/>
      <c r="P134" s="138" t="inlineStr">
        <is>
          <t>Month 5</t>
        </is>
      </c>
      <c r="Q134" s="138" t="n"/>
      <c r="R134" s="138" t="inlineStr">
        <is>
          <t>Month 6</t>
        </is>
      </c>
      <c r="S134" s="138" t="n"/>
      <c r="T134" s="138" t="inlineStr">
        <is>
          <t>Month 7</t>
        </is>
      </c>
      <c r="U134" s="138" t="n"/>
      <c r="V134" s="138" t="inlineStr">
        <is>
          <t>Month 8</t>
        </is>
      </c>
      <c r="W134" s="138" t="n"/>
      <c r="X134" s="138" t="inlineStr">
        <is>
          <t>Month 9</t>
        </is>
      </c>
      <c r="Y134" s="138" t="n"/>
      <c r="Z134" s="138" t="inlineStr">
        <is>
          <t>Month 10</t>
        </is>
      </c>
      <c r="AA134" s="138" t="n"/>
      <c r="AB134" s="138" t="inlineStr">
        <is>
          <t>Month 11</t>
        </is>
      </c>
      <c r="AC134" s="138" t="n"/>
      <c r="AD134" s="138" t="inlineStr">
        <is>
          <t>Month 12</t>
        </is>
      </c>
      <c r="AE134" s="932" t="n"/>
      <c r="AF134" s="138" t="inlineStr">
        <is>
          <t>Ʃ, Full-Year</t>
        </is>
      </c>
    </row>
    <row r="135" ht="3" customHeight="1" s="1883">
      <c r="B135" s="626" t="n"/>
      <c r="C135" s="626" t="n"/>
      <c r="D135" s="926" t="n"/>
      <c r="E135" s="626" t="n"/>
      <c r="F135" s="926" t="n"/>
      <c r="G135" s="626" t="n"/>
      <c r="H135" s="933" t="n"/>
      <c r="I135" s="932" t="n"/>
      <c r="J135" s="933" t="n"/>
      <c r="K135" s="932" t="n"/>
      <c r="L135" s="933" t="n"/>
      <c r="M135" s="932" t="n"/>
      <c r="N135" s="933" t="n"/>
      <c r="O135" s="932" t="n"/>
      <c r="P135" s="933" t="n"/>
      <c r="Q135" s="932" t="n"/>
      <c r="R135" s="933" t="n"/>
      <c r="S135" s="932" t="n"/>
      <c r="T135" s="933" t="n"/>
      <c r="U135" s="932" t="n"/>
      <c r="V135" s="933" t="n"/>
      <c r="W135" s="932" t="n"/>
      <c r="X135" s="933" t="n"/>
      <c r="Y135" s="932" t="n"/>
      <c r="Z135" s="933" t="n"/>
      <c r="AA135" s="932" t="n"/>
      <c r="AB135" s="933" t="n"/>
      <c r="AC135" s="932" t="n"/>
      <c r="AD135" s="933" t="n"/>
      <c r="AE135" s="932" t="n"/>
      <c r="AF135" s="933" t="n"/>
    </row>
    <row r="136" ht="3" customHeight="1" s="1883">
      <c r="B136" s="626" t="n"/>
      <c r="C136" s="626" t="n"/>
      <c r="D136" s="626" t="n"/>
      <c r="E136" s="626" t="n"/>
      <c r="F136" s="626" t="n"/>
      <c r="G136" s="626" t="n"/>
      <c r="H136" s="934" t="n"/>
      <c r="I136" s="934" t="n"/>
      <c r="J136" s="934" t="n"/>
      <c r="K136" s="934" t="n"/>
      <c r="L136" s="934" t="n"/>
      <c r="M136" s="934" t="n"/>
      <c r="N136" s="934" t="n"/>
      <c r="O136" s="934" t="n"/>
      <c r="P136" s="934" t="n"/>
      <c r="Q136" s="934" t="n"/>
      <c r="R136" s="934" t="n"/>
      <c r="S136" s="934" t="n"/>
      <c r="T136" s="934" t="n"/>
      <c r="U136" s="934" t="n"/>
      <c r="V136" s="934" t="n"/>
      <c r="W136" s="934" t="n"/>
      <c r="X136" s="934" t="n"/>
      <c r="Y136" s="934" t="n"/>
      <c r="Z136" s="934" t="n"/>
      <c r="AA136" s="934" t="n"/>
      <c r="AB136" s="934" t="n"/>
      <c r="AC136" s="934" t="n"/>
      <c r="AD136" s="934" t="n"/>
      <c r="AE136" s="934" t="n"/>
      <c r="AF136" s="934" t="n"/>
    </row>
    <row r="137">
      <c r="B137" s="626" t="n"/>
      <c r="C137" s="626" t="n"/>
      <c r="D137" s="117" t="inlineStr">
        <is>
          <t>Year 0</t>
        </is>
      </c>
      <c r="E137" s="117" t="n"/>
      <c r="F137" s="133" t="inlineStr">
        <is>
          <t>-12 - -1</t>
        </is>
      </c>
      <c r="G137" s="1968" t="n"/>
      <c r="H137" s="978" t="n"/>
      <c r="I137" s="978" t="n"/>
      <c r="J137" s="978" t="n"/>
      <c r="K137" s="978" t="n"/>
      <c r="L137" s="978" t="n"/>
      <c r="M137" s="978" t="n"/>
      <c r="N137" s="978" t="n"/>
      <c r="O137" s="978" t="n"/>
      <c r="P137" s="978" t="n"/>
      <c r="Q137" s="978" t="n"/>
      <c r="R137" s="978" t="n"/>
      <c r="S137" s="978" t="n"/>
      <c r="T137" s="978" t="n"/>
      <c r="U137" s="978" t="n"/>
      <c r="V137" s="978" t="n"/>
      <c r="W137" s="978" t="n"/>
      <c r="X137" s="978" t="n"/>
      <c r="Y137" s="978" t="n"/>
      <c r="Z137" s="978" t="n"/>
      <c r="AA137" s="978" t="n"/>
      <c r="AB137" s="978" t="n"/>
      <c r="AC137" s="978" t="n"/>
      <c r="AD137" s="978" t="n"/>
      <c r="AE137" s="978" t="n"/>
      <c r="AF137" s="978" t="n"/>
    </row>
    <row r="138" ht="13" customHeight="1" s="1883">
      <c r="B138" s="626" t="n"/>
      <c r="C138" s="626" t="n"/>
      <c r="D138" s="626" t="n"/>
      <c r="E138" s="626" t="n"/>
      <c r="F138" s="626" t="n"/>
      <c r="G138" s="626" t="n"/>
      <c r="H138" s="626" t="n"/>
      <c r="I138" s="626" t="n"/>
      <c r="J138" s="626" t="n"/>
      <c r="K138" s="626" t="n"/>
      <c r="L138" s="626" t="n"/>
      <c r="M138" s="626" t="n"/>
      <c r="N138" s="626" t="n"/>
      <c r="O138" s="626" t="n"/>
      <c r="P138" s="626" t="n"/>
      <c r="Q138" s="626" t="n"/>
      <c r="R138" s="626" t="n"/>
      <c r="S138" s="626" t="n"/>
      <c r="T138" s="626" t="n"/>
      <c r="U138" s="626" t="n"/>
      <c r="V138" s="626" t="n"/>
      <c r="W138" s="626" t="n"/>
      <c r="X138" s="626" t="n"/>
      <c r="Y138" s="626" t="n"/>
      <c r="Z138" s="626" t="n"/>
      <c r="AA138" s="626" t="n"/>
      <c r="AB138" s="626" t="n"/>
      <c r="AC138" s="626" t="n"/>
      <c r="AD138" s="626" t="n"/>
      <c r="AE138" s="626" t="n"/>
      <c r="AF138" s="626" t="n"/>
    </row>
    <row r="139" ht="13" customHeight="1" s="1883">
      <c r="B139" s="626" t="n"/>
      <c r="C139" s="626" t="n"/>
      <c r="D139" s="626" t="n"/>
      <c r="E139" s="626" t="n"/>
      <c r="F139" s="626" t="n"/>
      <c r="G139" s="626" t="n"/>
      <c r="H139" s="626" t="n"/>
      <c r="I139" s="626" t="n"/>
      <c r="J139" s="626" t="n"/>
      <c r="K139" s="626" t="n"/>
      <c r="L139" s="626" t="n"/>
      <c r="M139" s="626" t="n"/>
      <c r="N139" s="626" t="n"/>
      <c r="O139" s="626" t="n"/>
      <c r="P139" s="626" t="n"/>
      <c r="Q139" s="626" t="n"/>
      <c r="R139" s="626" t="n"/>
      <c r="S139" s="626" t="n"/>
      <c r="T139" s="626" t="n"/>
      <c r="U139" s="626" t="n"/>
      <c r="V139" s="626" t="n"/>
      <c r="W139" s="626" t="n"/>
      <c r="X139" s="626" t="n"/>
      <c r="Y139" s="626" t="n"/>
      <c r="Z139" s="626" t="n"/>
      <c r="AA139" s="626" t="n"/>
      <c r="AB139" s="626" t="n"/>
      <c r="AC139" s="626" t="n"/>
      <c r="AD139" s="626" t="n"/>
      <c r="AE139" s="626" t="n"/>
      <c r="AF139" s="626" t="n"/>
    </row>
    <row r="140">
      <c r="B140" s="626" t="n"/>
      <c r="C140" s="626" t="n"/>
      <c r="D140" s="117" t="inlineStr">
        <is>
          <t>Year 1</t>
        </is>
      </c>
      <c r="E140" s="117" t="n"/>
      <c r="F140" s="134" t="inlineStr">
        <is>
          <t>1 - 12</t>
        </is>
      </c>
      <c r="G140" s="626" t="n"/>
      <c r="H140" s="626" t="n"/>
      <c r="I140" s="626" t="n"/>
      <c r="J140" s="626" t="n"/>
      <c r="K140" s="626" t="n"/>
      <c r="L140" s="626" t="n"/>
      <c r="M140" s="626" t="n"/>
      <c r="N140" s="626" t="n"/>
      <c r="O140" s="626" t="n"/>
      <c r="P140" s="626" t="n"/>
      <c r="Q140" s="626" t="n"/>
      <c r="R140" s="626" t="n"/>
      <c r="S140" s="626" t="n"/>
      <c r="T140" s="626" t="n"/>
      <c r="U140" s="626" t="n"/>
      <c r="V140" s="626" t="n"/>
      <c r="W140" s="626" t="n"/>
      <c r="X140" s="626" t="n"/>
      <c r="Y140" s="626" t="n"/>
      <c r="Z140" s="626" t="n"/>
      <c r="AA140" s="626" t="n"/>
      <c r="AB140" s="626" t="n"/>
      <c r="AC140" s="626" t="n"/>
      <c r="AD140" s="626" t="n"/>
      <c r="AE140" s="626" t="n"/>
      <c r="AF140" s="626" t="n"/>
    </row>
    <row r="141" ht="13" customHeight="1" s="1883">
      <c r="B141" s="626" t="n"/>
      <c r="C141" s="626" t="n"/>
      <c r="D141" s="1968" t="inlineStr">
        <is>
          <t xml:space="preserve">Billable Minutes/Month/Active Apps </t>
        </is>
      </c>
      <c r="G141" s="626" t="n"/>
      <c r="H141" s="626" t="n">
        <v>60</v>
      </c>
      <c r="I141" s="626" t="n"/>
      <c r="J141" s="626">
        <f>($H$141)</f>
        <v/>
      </c>
      <c r="K141" s="626" t="n"/>
      <c r="L141" s="626">
        <f>($H$141)</f>
        <v/>
      </c>
      <c r="M141" s="626" t="n"/>
      <c r="N141" s="626">
        <f>($H$141)</f>
        <v/>
      </c>
      <c r="O141" s="626" t="n"/>
      <c r="P141" s="626">
        <f>($H$141)</f>
        <v/>
      </c>
      <c r="Q141" s="626" t="n"/>
      <c r="R141" s="626">
        <f>($H$141)</f>
        <v/>
      </c>
      <c r="S141" s="626" t="n"/>
      <c r="T141" s="626">
        <f>($H$141)</f>
        <v/>
      </c>
      <c r="U141" s="626" t="n"/>
      <c r="V141" s="626">
        <f>($H$141)</f>
        <v/>
      </c>
      <c r="W141" s="626" t="n"/>
      <c r="X141" s="626">
        <f>($H$141)</f>
        <v/>
      </c>
      <c r="Y141" s="626" t="n"/>
      <c r="Z141" s="626">
        <f>($H$141)</f>
        <v/>
      </c>
      <c r="AA141" s="626" t="n"/>
      <c r="AB141" s="626">
        <f>($H$141)</f>
        <v/>
      </c>
      <c r="AC141" s="626" t="n"/>
      <c r="AD141" s="626">
        <f>($H$141)</f>
        <v/>
      </c>
      <c r="AE141" s="626" t="n"/>
      <c r="AF141" s="626" t="n"/>
    </row>
    <row r="142">
      <c r="B142" s="626" t="n"/>
      <c r="C142" s="626" t="n"/>
      <c r="D142" s="1968" t="inlineStr">
        <is>
          <t>Average Number of Apps in Use</t>
        </is>
      </c>
      <c r="G142" s="626" t="n"/>
      <c r="H142" s="139">
        <f>H63</f>
        <v/>
      </c>
      <c r="I142" s="139" t="n"/>
      <c r="J142" s="139">
        <f>J63</f>
        <v/>
      </c>
      <c r="K142" s="139" t="n"/>
      <c r="L142" s="139">
        <f>L63</f>
        <v/>
      </c>
      <c r="M142" s="139" t="n"/>
      <c r="N142" s="139">
        <f>N63</f>
        <v/>
      </c>
      <c r="O142" s="139" t="n"/>
      <c r="P142" s="139">
        <f>P63</f>
        <v/>
      </c>
      <c r="Q142" s="139" t="n"/>
      <c r="R142" s="139">
        <f>R63</f>
        <v/>
      </c>
      <c r="S142" s="139" t="n"/>
      <c r="T142" s="139">
        <f>T63</f>
        <v/>
      </c>
      <c r="U142" s="139" t="n"/>
      <c r="V142" s="139">
        <f>V63</f>
        <v/>
      </c>
      <c r="W142" s="139" t="n"/>
      <c r="X142" s="139">
        <f>X63</f>
        <v/>
      </c>
      <c r="Y142" s="139" t="n"/>
      <c r="Z142" s="139">
        <f>Z63</f>
        <v/>
      </c>
      <c r="AA142" s="139" t="n"/>
      <c r="AB142" s="139">
        <f>AB63</f>
        <v/>
      </c>
      <c r="AC142" s="139" t="n"/>
      <c r="AD142" s="139">
        <f>AD63</f>
        <v/>
      </c>
      <c r="AE142" s="626" t="n"/>
      <c r="AF142" s="932" t="n"/>
    </row>
    <row r="143">
      <c r="B143" s="626" t="n"/>
      <c r="C143" s="626" t="n"/>
      <c r="D143" s="1915" t="inlineStr">
        <is>
          <t>Billable Hours, All Active Apps</t>
        </is>
      </c>
      <c r="G143" s="626" t="n"/>
      <c r="H143" s="138">
        <f>(((H141)*(H142))/(60))</f>
        <v/>
      </c>
      <c r="I143" s="138" t="n"/>
      <c r="J143" s="138">
        <f>(((J141)*(J142))/(60))</f>
        <v/>
      </c>
      <c r="K143" s="138" t="n"/>
      <c r="L143" s="138">
        <f>(((L141)*(L142))/(60))</f>
        <v/>
      </c>
      <c r="M143" s="138" t="n"/>
      <c r="N143" s="138">
        <f>(((N141)*(N142))/(60))</f>
        <v/>
      </c>
      <c r="O143" s="138" t="n"/>
      <c r="P143" s="138">
        <f>(((P141)*(P142))/(60))</f>
        <v/>
      </c>
      <c r="Q143" s="138" t="n"/>
      <c r="R143" s="138">
        <f>(((R141)*(R142))/(60))</f>
        <v/>
      </c>
      <c r="S143" s="138" t="n"/>
      <c r="T143" s="138">
        <f>(((T141)*(T142))/(60))</f>
        <v/>
      </c>
      <c r="U143" s="138" t="n"/>
      <c r="V143" s="138">
        <f>(((V141)*(V142))/(60))</f>
        <v/>
      </c>
      <c r="W143" s="138" t="n"/>
      <c r="X143" s="138">
        <f>(((X141)*(X142))/(60))</f>
        <v/>
      </c>
      <c r="Y143" s="138" t="n"/>
      <c r="Z143" s="138">
        <f>(((Z141)*(Z142))/(60))</f>
        <v/>
      </c>
      <c r="AA143" s="138" t="n"/>
      <c r="AB143" s="138">
        <f>(((AB141)*(AB142))/(60))</f>
        <v/>
      </c>
      <c r="AC143" s="138" t="n"/>
      <c r="AD143" s="138">
        <f>(((AD141)*(AD142))/(60))</f>
        <v/>
      </c>
      <c r="AE143" s="626" t="n"/>
      <c r="AF143" s="136">
        <f>((H143)+(J143)+(L143)+(N143)+(P143)+(R143)+(T143)+(V143)+(X143)+(Z143)+(AB143)+(AD143))</f>
        <v/>
      </c>
    </row>
    <row r="146">
      <c r="D146" s="117" t="inlineStr">
        <is>
          <t>Year 2</t>
        </is>
      </c>
      <c r="E146" s="117" t="n"/>
      <c r="F146" s="137" t="inlineStr">
        <is>
          <t>13 - 24</t>
        </is>
      </c>
      <c r="G146" s="626" t="n"/>
      <c r="H146" s="626" t="n"/>
      <c r="I146" s="626" t="n"/>
      <c r="J146" s="626" t="n"/>
      <c r="K146" s="626" t="n"/>
      <c r="L146" s="626" t="n"/>
      <c r="M146" s="626" t="n"/>
      <c r="N146" s="626" t="n"/>
      <c r="O146" s="626" t="n"/>
      <c r="P146" s="626" t="n"/>
      <c r="Q146" s="626" t="n"/>
      <c r="R146" s="626" t="n"/>
      <c r="S146" s="626" t="n"/>
      <c r="T146" s="626" t="n"/>
      <c r="U146" s="626" t="n"/>
      <c r="V146" s="626" t="n"/>
      <c r="W146" s="626" t="n"/>
      <c r="X146" s="626" t="n"/>
      <c r="Y146" s="626" t="n"/>
      <c r="Z146" s="626" t="n"/>
      <c r="AA146" s="626" t="n"/>
      <c r="AB146" s="626" t="n"/>
      <c r="AC146" s="626" t="n"/>
      <c r="AD146" s="626" t="n"/>
      <c r="AE146" s="626" t="n"/>
      <c r="AF146" s="626" t="n"/>
    </row>
    <row r="147" ht="13" customHeight="1" s="1883">
      <c r="D147" s="1968" t="inlineStr">
        <is>
          <t xml:space="preserve">Billable Minutes/Month/Active Apps </t>
        </is>
      </c>
      <c r="G147" s="626" t="n"/>
      <c r="H147" s="626" t="n">
        <v>75</v>
      </c>
      <c r="I147" s="626" t="n"/>
      <c r="J147" s="626">
        <f>($H$147)</f>
        <v/>
      </c>
      <c r="K147" s="626" t="n"/>
      <c r="L147" s="626">
        <f>($H$147)</f>
        <v/>
      </c>
      <c r="M147" s="626" t="n"/>
      <c r="N147" s="626">
        <f>($H$147)</f>
        <v/>
      </c>
      <c r="O147" s="626" t="n"/>
      <c r="P147" s="626">
        <f>($H$147)</f>
        <v/>
      </c>
      <c r="Q147" s="626" t="n"/>
      <c r="R147" s="626">
        <f>($H$147)</f>
        <v/>
      </c>
      <c r="S147" s="626" t="n"/>
      <c r="T147" s="626">
        <f>($H$147)</f>
        <v/>
      </c>
      <c r="U147" s="626" t="n"/>
      <c r="V147" s="626">
        <f>($H$147)</f>
        <v/>
      </c>
      <c r="W147" s="626" t="n"/>
      <c r="X147" s="626">
        <f>($H$147)</f>
        <v/>
      </c>
      <c r="Y147" s="626" t="n"/>
      <c r="Z147" s="626">
        <f>($H$147)</f>
        <v/>
      </c>
      <c r="AA147" s="626" t="n"/>
      <c r="AB147" s="626">
        <f>($H$147)</f>
        <v/>
      </c>
      <c r="AC147" s="626" t="n"/>
      <c r="AD147" s="626">
        <f>($H$147)</f>
        <v/>
      </c>
      <c r="AE147" s="626" t="n"/>
      <c r="AF147" s="626" t="n"/>
    </row>
    <row r="148">
      <c r="D148" s="1968" t="inlineStr">
        <is>
          <t>Average Number of Apps in Use</t>
        </is>
      </c>
      <c r="G148" s="626" t="n"/>
      <c r="H148" s="139">
        <f>(H78)</f>
        <v/>
      </c>
      <c r="I148" s="139" t="n"/>
      <c r="J148" s="139">
        <f>(J78)</f>
        <v/>
      </c>
      <c r="K148" s="139" t="n"/>
      <c r="L148" s="139">
        <f>(L78)</f>
        <v/>
      </c>
      <c r="M148" s="139" t="n"/>
      <c r="N148" s="139">
        <f>(N78)</f>
        <v/>
      </c>
      <c r="O148" s="139" t="n"/>
      <c r="P148" s="139">
        <f>(P78)</f>
        <v/>
      </c>
      <c r="Q148" s="139" t="n"/>
      <c r="R148" s="139">
        <f>(R78)</f>
        <v/>
      </c>
      <c r="S148" s="139" t="n"/>
      <c r="T148" s="139">
        <f>(T78)</f>
        <v/>
      </c>
      <c r="U148" s="139" t="n"/>
      <c r="V148" s="139">
        <f>(V78)</f>
        <v/>
      </c>
      <c r="W148" s="139" t="n"/>
      <c r="X148" s="139">
        <f>(X78)</f>
        <v/>
      </c>
      <c r="Y148" s="139" t="n"/>
      <c r="Z148" s="139">
        <f>(Z78)</f>
        <v/>
      </c>
      <c r="AA148" s="139" t="n"/>
      <c r="AB148" s="139">
        <f>(AB78)</f>
        <v/>
      </c>
      <c r="AC148" s="139" t="n"/>
      <c r="AD148" s="139">
        <f>(AD78)</f>
        <v/>
      </c>
      <c r="AE148" s="626" t="n"/>
      <c r="AF148" s="626" t="n"/>
    </row>
    <row r="149">
      <c r="D149" s="1915" t="inlineStr">
        <is>
          <t>Billable Hours, All Active Apps</t>
        </is>
      </c>
      <c r="G149" s="626" t="n"/>
      <c r="H149" s="138">
        <f>(((H147)*(H148))/(60))</f>
        <v/>
      </c>
      <c r="I149" s="138" t="n"/>
      <c r="J149" s="138">
        <f>(((J147)*(J148))/(60))</f>
        <v/>
      </c>
      <c r="K149" s="138" t="n"/>
      <c r="L149" s="138">
        <f>(((L147)*(L148))/(60))</f>
        <v/>
      </c>
      <c r="M149" s="138" t="n"/>
      <c r="N149" s="138">
        <f>(((N147)*(N148))/(60))</f>
        <v/>
      </c>
      <c r="O149" s="138" t="n"/>
      <c r="P149" s="138">
        <f>(((P147)*(P148))/(60))</f>
        <v/>
      </c>
      <c r="Q149" s="138" t="n"/>
      <c r="R149" s="138">
        <f>(((R147)*(R148))/(60))</f>
        <v/>
      </c>
      <c r="S149" s="138" t="n"/>
      <c r="T149" s="138">
        <f>(((T147)*(T148))/(60))</f>
        <v/>
      </c>
      <c r="U149" s="138" t="n"/>
      <c r="V149" s="138">
        <f>(((V147)*(V148))/(60))</f>
        <v/>
      </c>
      <c r="W149" s="138" t="n"/>
      <c r="X149" s="138">
        <f>(((X147)*(X148))/(60))</f>
        <v/>
      </c>
      <c r="Y149" s="138" t="n"/>
      <c r="Z149" s="138">
        <f>(((Z147)*(Z148))/(60))</f>
        <v/>
      </c>
      <c r="AA149" s="138" t="n"/>
      <c r="AB149" s="138">
        <f>(((AB147)*(AB148))/(60))</f>
        <v/>
      </c>
      <c r="AC149" s="138" t="n"/>
      <c r="AD149" s="138">
        <f>(((AD147)*(AD148))/(60))</f>
        <v/>
      </c>
      <c r="AE149" s="626" t="n"/>
      <c r="AF149" s="136">
        <f>((H149)+(J149)+(L149)+(N149)+(P149)+(R149)+(T149)+(V149)+(X149)+(Z149)+(AB149)+(AD149))</f>
        <v/>
      </c>
    </row>
    <row r="150" ht="13" customHeight="1" s="1883">
      <c r="D150" s="626" t="n"/>
      <c r="E150" s="626" t="n"/>
      <c r="F150" s="626" t="n"/>
      <c r="G150" s="626" t="n"/>
      <c r="H150" s="626" t="n"/>
      <c r="I150" s="626" t="n"/>
      <c r="J150" s="626" t="n"/>
      <c r="K150" s="626" t="n"/>
      <c r="L150" s="626" t="n"/>
      <c r="M150" s="626" t="n"/>
      <c r="N150" s="626" t="n"/>
      <c r="O150" s="626" t="n"/>
      <c r="P150" s="626" t="n"/>
      <c r="Q150" s="626" t="n"/>
      <c r="R150" s="626" t="n"/>
      <c r="S150" s="626" t="n"/>
      <c r="T150" s="626" t="n"/>
      <c r="U150" s="626" t="n"/>
      <c r="V150" s="626" t="n"/>
      <c r="W150" s="626" t="n"/>
      <c r="X150" s="626" t="n"/>
      <c r="Y150" s="626" t="n"/>
      <c r="Z150" s="626" t="n"/>
      <c r="AA150" s="626" t="n"/>
      <c r="AB150" s="626" t="n"/>
      <c r="AC150" s="626" t="n"/>
      <c r="AD150" s="626" t="n"/>
      <c r="AE150" s="626" t="n"/>
      <c r="AF150" s="626" t="n"/>
    </row>
    <row r="151" ht="13" customHeight="1" s="1883">
      <c r="D151" s="626" t="n"/>
      <c r="E151" s="626" t="n"/>
      <c r="F151" s="626" t="n"/>
      <c r="G151" s="626" t="n"/>
      <c r="H151" s="626" t="n"/>
      <c r="I151" s="626" t="n"/>
      <c r="J151" s="626" t="n"/>
      <c r="K151" s="626" t="n"/>
      <c r="L151" s="626" t="n"/>
      <c r="M151" s="626" t="n"/>
      <c r="N151" s="626" t="n"/>
      <c r="O151" s="626" t="n"/>
      <c r="P151" s="626" t="n"/>
      <c r="Q151" s="626" t="n"/>
      <c r="R151" s="626" t="n"/>
      <c r="S151" s="626" t="n"/>
      <c r="T151" s="626" t="n"/>
      <c r="U151" s="626" t="n"/>
      <c r="V151" s="626" t="n"/>
      <c r="W151" s="626" t="n"/>
      <c r="X151" s="626" t="n"/>
      <c r="Y151" s="626" t="n"/>
      <c r="Z151" s="626" t="n"/>
      <c r="AA151" s="626" t="n"/>
      <c r="AB151" s="626" t="n"/>
      <c r="AC151" s="626" t="n"/>
      <c r="AD151" s="626" t="n"/>
      <c r="AE151" s="626" t="n"/>
      <c r="AF151" s="626" t="n"/>
    </row>
    <row r="152">
      <c r="D152" s="117" t="inlineStr">
        <is>
          <t>Year 3</t>
        </is>
      </c>
      <c r="E152" s="117" t="n"/>
      <c r="F152" s="137" t="inlineStr">
        <is>
          <t>25 - 36</t>
        </is>
      </c>
      <c r="G152" s="626" t="n"/>
      <c r="H152" s="626" t="n"/>
      <c r="I152" s="626" t="n"/>
      <c r="J152" s="626" t="n"/>
      <c r="K152" s="626" t="n"/>
      <c r="L152" s="626" t="n"/>
      <c r="M152" s="626" t="n"/>
      <c r="N152" s="626" t="n"/>
      <c r="O152" s="626" t="n"/>
      <c r="P152" s="626" t="n"/>
      <c r="Q152" s="626" t="n"/>
      <c r="R152" s="626" t="n"/>
      <c r="S152" s="626" t="n"/>
      <c r="T152" s="626" t="n"/>
      <c r="U152" s="626" t="n"/>
      <c r="V152" s="626" t="n"/>
      <c r="W152" s="626" t="n"/>
      <c r="X152" s="626" t="n"/>
      <c r="Y152" s="626" t="n"/>
      <c r="Z152" s="626" t="n"/>
      <c r="AA152" s="626" t="n"/>
      <c r="AB152" s="626" t="n"/>
      <c r="AC152" s="626" t="n"/>
      <c r="AD152" s="626" t="n"/>
      <c r="AE152" s="626" t="n"/>
      <c r="AF152" s="626" t="n"/>
    </row>
    <row r="153" ht="13" customHeight="1" s="1883">
      <c r="D153" s="1968" t="inlineStr">
        <is>
          <t xml:space="preserve">Billable Minutes/Month/Active Apps </t>
        </is>
      </c>
      <c r="G153" s="626" t="n"/>
      <c r="H153" s="626" t="n">
        <v>90</v>
      </c>
      <c r="I153" s="626" t="n"/>
      <c r="J153" s="626">
        <f>($H$153)</f>
        <v/>
      </c>
      <c r="K153" s="626" t="n"/>
      <c r="L153" s="626">
        <f>($H$153)</f>
        <v/>
      </c>
      <c r="M153" s="626" t="n"/>
      <c r="N153" s="626">
        <f>($H$153)</f>
        <v/>
      </c>
      <c r="O153" s="626" t="n"/>
      <c r="P153" s="626">
        <f>($H$153)</f>
        <v/>
      </c>
      <c r="Q153" s="626" t="n"/>
      <c r="R153" s="626">
        <f>($H$153)</f>
        <v/>
      </c>
      <c r="S153" s="626" t="n"/>
      <c r="T153" s="626">
        <f>($H$153)</f>
        <v/>
      </c>
      <c r="U153" s="626" t="n"/>
      <c r="V153" s="626">
        <f>($H$153)</f>
        <v/>
      </c>
      <c r="W153" s="626" t="n"/>
      <c r="X153" s="626">
        <f>($H$153)</f>
        <v/>
      </c>
      <c r="Y153" s="626" t="n"/>
      <c r="Z153" s="626">
        <f>($H$153)</f>
        <v/>
      </c>
      <c r="AA153" s="626" t="n"/>
      <c r="AB153" s="626">
        <f>($H$153)</f>
        <v/>
      </c>
      <c r="AC153" s="626" t="n"/>
      <c r="AD153" s="626">
        <f>($H$153)</f>
        <v/>
      </c>
      <c r="AE153" s="626" t="n"/>
      <c r="AF153" s="626" t="n"/>
    </row>
    <row r="154">
      <c r="D154" s="1968" t="inlineStr">
        <is>
          <t>Average Number of Apps in Use</t>
        </is>
      </c>
      <c r="G154" s="626" t="n"/>
      <c r="H154" s="139">
        <f>(H93)</f>
        <v/>
      </c>
      <c r="I154" s="139" t="n"/>
      <c r="J154" s="139">
        <f>(J93)</f>
        <v/>
      </c>
      <c r="K154" s="139" t="n"/>
      <c r="L154" s="139">
        <f>(L93)</f>
        <v/>
      </c>
      <c r="M154" s="139" t="n"/>
      <c r="N154" s="139">
        <f>(N93)</f>
        <v/>
      </c>
      <c r="O154" s="139" t="n"/>
      <c r="P154" s="139">
        <f>(P93)</f>
        <v/>
      </c>
      <c r="Q154" s="139" t="n"/>
      <c r="R154" s="139">
        <f>(R93)</f>
        <v/>
      </c>
      <c r="S154" s="139" t="n"/>
      <c r="T154" s="139">
        <f>(T93)</f>
        <v/>
      </c>
      <c r="U154" s="139" t="n"/>
      <c r="V154" s="139">
        <f>(V93)</f>
        <v/>
      </c>
      <c r="W154" s="139" t="n"/>
      <c r="X154" s="139">
        <f>(X93)</f>
        <v/>
      </c>
      <c r="Y154" s="139" t="n"/>
      <c r="Z154" s="139">
        <f>(Z93)</f>
        <v/>
      </c>
      <c r="AA154" s="139" t="n"/>
      <c r="AB154" s="139">
        <f>(AB93)</f>
        <v/>
      </c>
      <c r="AC154" s="139" t="n"/>
      <c r="AD154" s="139">
        <f>(AD93)</f>
        <v/>
      </c>
      <c r="AE154" s="626" t="n"/>
      <c r="AF154" s="626" t="n"/>
    </row>
    <row r="155">
      <c r="D155" s="1915" t="inlineStr">
        <is>
          <t>Billable Hours, All Active Apps</t>
        </is>
      </c>
      <c r="G155" s="626" t="n"/>
      <c r="H155" s="138">
        <f>(((H153)*(H154))/(60))</f>
        <v/>
      </c>
      <c r="I155" s="138" t="n"/>
      <c r="J155" s="138">
        <f>(((J153)*(J154))/(60))</f>
        <v/>
      </c>
      <c r="K155" s="138" t="n"/>
      <c r="L155" s="138">
        <f>(((L153)*(L154))/(60))</f>
        <v/>
      </c>
      <c r="M155" s="138" t="n"/>
      <c r="N155" s="138">
        <f>(((N153)*(N154))/(60))</f>
        <v/>
      </c>
      <c r="O155" s="138" t="n"/>
      <c r="P155" s="138">
        <f>(((P153)*(P154))/(60))</f>
        <v/>
      </c>
      <c r="Q155" s="138" t="n"/>
      <c r="R155" s="138">
        <f>(((R153)*(R154))/(60))</f>
        <v/>
      </c>
      <c r="S155" s="138" t="n"/>
      <c r="T155" s="138">
        <f>(((T153)*(T154))/(60))</f>
        <v/>
      </c>
      <c r="U155" s="138" t="n"/>
      <c r="V155" s="138">
        <f>(((V153)*(V154))/(60))</f>
        <v/>
      </c>
      <c r="W155" s="138" t="n"/>
      <c r="X155" s="138">
        <f>(((X153)*(X154))/(60))</f>
        <v/>
      </c>
      <c r="Y155" s="138" t="n"/>
      <c r="Z155" s="138">
        <f>(((Z153)*(Z154))/(60))</f>
        <v/>
      </c>
      <c r="AA155" s="138" t="n"/>
      <c r="AB155" s="138">
        <f>(((AB153)*(AB154))/(60))</f>
        <v/>
      </c>
      <c r="AC155" s="138" t="n"/>
      <c r="AD155" s="138">
        <f>(((AD153)*(AD154))/(60))</f>
        <v/>
      </c>
      <c r="AE155" s="118" t="n"/>
      <c r="AF155" s="136">
        <f>((H155)+(J155)+(L155)+(N155)+(P155)+(R155)+(T155)+(V155)+(X155)+(Z155)+(AB155)+(AD155))</f>
        <v/>
      </c>
    </row>
    <row r="156" ht="13" customHeight="1" s="1883">
      <c r="D156" s="626" t="n"/>
      <c r="E156" s="626" t="n"/>
      <c r="F156" s="626" t="n"/>
      <c r="G156" s="626" t="n"/>
      <c r="H156" s="626" t="n"/>
      <c r="I156" s="626" t="n"/>
      <c r="J156" s="626" t="n"/>
      <c r="K156" s="626" t="n"/>
      <c r="L156" s="626" t="n"/>
      <c r="M156" s="626" t="n"/>
      <c r="N156" s="626" t="n"/>
      <c r="O156" s="626" t="n"/>
      <c r="P156" s="626" t="n"/>
      <c r="Q156" s="626" t="n"/>
      <c r="R156" s="626" t="n"/>
      <c r="S156" s="626" t="n"/>
      <c r="T156" s="626" t="n"/>
      <c r="U156" s="626" t="n"/>
      <c r="V156" s="626" t="n"/>
      <c r="W156" s="626" t="n"/>
      <c r="X156" s="626" t="n"/>
      <c r="Y156" s="626" t="n"/>
      <c r="Z156" s="626" t="n"/>
      <c r="AA156" s="626" t="n"/>
      <c r="AB156" s="626" t="n"/>
      <c r="AC156" s="626" t="n"/>
      <c r="AD156" s="626" t="n"/>
      <c r="AE156" s="626" t="n"/>
      <c r="AF156" s="626" t="n"/>
    </row>
    <row r="157" ht="13" customHeight="1" s="1883">
      <c r="D157" s="626" t="n"/>
      <c r="E157" s="626" t="n"/>
      <c r="F157" s="626" t="n"/>
      <c r="G157" s="626" t="n"/>
      <c r="H157" s="626" t="n"/>
      <c r="I157" s="626" t="n"/>
      <c r="J157" s="626" t="n"/>
      <c r="K157" s="626" t="n"/>
      <c r="L157" s="626" t="n"/>
      <c r="M157" s="626" t="n"/>
      <c r="N157" s="626" t="n"/>
      <c r="O157" s="626" t="n"/>
      <c r="P157" s="626" t="n"/>
      <c r="Q157" s="626" t="n"/>
      <c r="R157" s="626" t="n"/>
      <c r="S157" s="626" t="n"/>
      <c r="T157" s="626" t="n"/>
      <c r="U157" s="626" t="n"/>
      <c r="V157" s="626" t="n"/>
      <c r="W157" s="626" t="n"/>
      <c r="X157" s="626" t="n"/>
      <c r="Y157" s="626" t="n"/>
      <c r="Z157" s="626" t="n"/>
      <c r="AA157" s="626" t="n"/>
      <c r="AB157" s="626" t="n"/>
      <c r="AC157" s="626" t="n"/>
      <c r="AD157" s="626" t="n"/>
      <c r="AE157" s="626" t="n"/>
      <c r="AF157" s="626" t="n"/>
    </row>
    <row r="158">
      <c r="D158" s="117" t="inlineStr">
        <is>
          <t>Year 4</t>
        </is>
      </c>
      <c r="E158" s="117" t="n"/>
      <c r="F158" s="137" t="inlineStr">
        <is>
          <t>37 - 48</t>
        </is>
      </c>
      <c r="G158" s="626" t="n"/>
      <c r="H158" s="626" t="n"/>
      <c r="I158" s="626" t="n"/>
      <c r="J158" s="626" t="n"/>
      <c r="K158" s="626" t="n"/>
      <c r="L158" s="626" t="n"/>
      <c r="M158" s="626" t="n"/>
      <c r="N158" s="626" t="n"/>
      <c r="O158" s="626" t="n"/>
      <c r="P158" s="626" t="n"/>
      <c r="Q158" s="626" t="n"/>
      <c r="R158" s="626" t="n"/>
      <c r="S158" s="626" t="n"/>
      <c r="T158" s="626" t="n"/>
      <c r="U158" s="626" t="n"/>
      <c r="V158" s="626" t="n"/>
      <c r="W158" s="626" t="n"/>
      <c r="X158" s="626" t="n"/>
      <c r="Y158" s="626" t="n"/>
      <c r="Z158" s="626" t="n"/>
      <c r="AA158" s="626" t="n"/>
      <c r="AB158" s="626" t="n"/>
      <c r="AC158" s="626" t="n"/>
      <c r="AD158" s="626" t="n"/>
      <c r="AE158" s="626" t="n"/>
      <c r="AF158" s="626" t="n"/>
    </row>
    <row r="159" ht="13" customHeight="1" s="1883">
      <c r="D159" s="1968" t="inlineStr">
        <is>
          <t xml:space="preserve">Billable Minutes/Month/Active Apps </t>
        </is>
      </c>
      <c r="G159" s="626" t="n"/>
      <c r="H159" s="626" t="n">
        <v>105</v>
      </c>
      <c r="I159" s="626" t="n"/>
      <c r="J159" s="626">
        <f>($H$159)</f>
        <v/>
      </c>
      <c r="K159" s="626" t="n"/>
      <c r="L159" s="626">
        <f>($H$159)</f>
        <v/>
      </c>
      <c r="M159" s="626" t="n"/>
      <c r="N159" s="626">
        <f>($H$159)</f>
        <v/>
      </c>
      <c r="O159" s="626" t="n"/>
      <c r="P159" s="626">
        <f>($H$159)</f>
        <v/>
      </c>
      <c r="Q159" s="626" t="n"/>
      <c r="R159" s="626">
        <f>($H$159)</f>
        <v/>
      </c>
      <c r="S159" s="626" t="n"/>
      <c r="T159" s="626">
        <f>($H$159)</f>
        <v/>
      </c>
      <c r="U159" s="626" t="n"/>
      <c r="V159" s="626">
        <f>($H$159)</f>
        <v/>
      </c>
      <c r="W159" s="626" t="n"/>
      <c r="X159" s="626">
        <f>($H$159)</f>
        <v/>
      </c>
      <c r="Y159" s="626" t="n"/>
      <c r="Z159" s="626">
        <f>($H$159)</f>
        <v/>
      </c>
      <c r="AA159" s="626" t="n"/>
      <c r="AB159" s="626">
        <f>($H$159)</f>
        <v/>
      </c>
      <c r="AC159" s="626" t="n"/>
      <c r="AD159" s="626">
        <f>($H$159)</f>
        <v/>
      </c>
      <c r="AE159" s="626" t="n"/>
      <c r="AF159" s="626" t="n"/>
    </row>
    <row r="160">
      <c r="D160" s="1968" t="inlineStr">
        <is>
          <t>Average Number of Apps in Use</t>
        </is>
      </c>
      <c r="G160" s="626" t="n"/>
      <c r="H160" s="139">
        <f>(H108)</f>
        <v/>
      </c>
      <c r="I160" s="139" t="n"/>
      <c r="J160" s="139">
        <f>(J108)</f>
        <v/>
      </c>
      <c r="K160" s="139" t="n"/>
      <c r="L160" s="139">
        <f>(L108)</f>
        <v/>
      </c>
      <c r="M160" s="139" t="n"/>
      <c r="N160" s="139">
        <f>(N108)</f>
        <v/>
      </c>
      <c r="O160" s="139" t="n"/>
      <c r="P160" s="139">
        <f>(P108)</f>
        <v/>
      </c>
      <c r="Q160" s="139" t="n"/>
      <c r="R160" s="139">
        <f>(R108)</f>
        <v/>
      </c>
      <c r="S160" s="139" t="n"/>
      <c r="T160" s="139">
        <f>(T108)</f>
        <v/>
      </c>
      <c r="U160" s="139" t="n"/>
      <c r="V160" s="139">
        <f>(V108)</f>
        <v/>
      </c>
      <c r="W160" s="139" t="n"/>
      <c r="X160" s="139">
        <f>(X108)</f>
        <v/>
      </c>
      <c r="Y160" s="139" t="n"/>
      <c r="Z160" s="139">
        <f>(Z108)</f>
        <v/>
      </c>
      <c r="AA160" s="139">
        <f>(AA108)</f>
        <v/>
      </c>
      <c r="AB160" s="139">
        <f>(AB108)</f>
        <v/>
      </c>
      <c r="AC160" s="139">
        <f>(AC108)</f>
        <v/>
      </c>
      <c r="AD160" s="139">
        <f>(AD108)</f>
        <v/>
      </c>
      <c r="AE160" s="626" t="n"/>
      <c r="AF160" s="626" t="n"/>
    </row>
    <row r="161">
      <c r="B161" s="626" t="n"/>
      <c r="C161" s="626" t="n"/>
      <c r="D161" s="1915" t="inlineStr">
        <is>
          <t>Billable Hours, All Active Apps</t>
        </is>
      </c>
      <c r="G161" s="626" t="n"/>
      <c r="H161" s="138">
        <f>(((H159)*(H160))/(60))</f>
        <v/>
      </c>
      <c r="I161" s="138" t="n"/>
      <c r="J161" s="138">
        <f>(((J159)*(J160))/(60))</f>
        <v/>
      </c>
      <c r="K161" s="138" t="n"/>
      <c r="L161" s="138">
        <f>(((L159)*(L160))/(60))</f>
        <v/>
      </c>
      <c r="M161" s="138" t="n"/>
      <c r="N161" s="138">
        <f>(((N159)*(N160))/(60))</f>
        <v/>
      </c>
      <c r="O161" s="138" t="n"/>
      <c r="P161" s="138">
        <f>(((P159)*(P160))/(60))</f>
        <v/>
      </c>
      <c r="Q161" s="138" t="n"/>
      <c r="R161" s="138">
        <f>(((R159)*(R160))/(60))</f>
        <v/>
      </c>
      <c r="S161" s="138" t="n"/>
      <c r="T161" s="138">
        <f>(((T159)*(T160))/(60))</f>
        <v/>
      </c>
      <c r="U161" s="138" t="n"/>
      <c r="V161" s="138">
        <f>(((V159)*(V160))/(60))</f>
        <v/>
      </c>
      <c r="W161" s="138" t="n"/>
      <c r="X161" s="138">
        <f>(((X159)*(X160))/(60))</f>
        <v/>
      </c>
      <c r="Y161" s="138" t="n"/>
      <c r="Z161" s="138">
        <f>(((Z159)*(Z160))/(60))</f>
        <v/>
      </c>
      <c r="AA161" s="138" t="n"/>
      <c r="AB161" s="138">
        <f>(((AB159)*(AB160))/(60))</f>
        <v/>
      </c>
      <c r="AC161" s="138" t="n"/>
      <c r="AD161" s="138">
        <f>(((AD159)*(AD160))/(60))</f>
        <v/>
      </c>
      <c r="AE161" s="118" t="n"/>
      <c r="AF161" s="136">
        <f>((H161)+(J161)+(L161)+(N161)+(P161)+(R161)+(T161)+(V161)+(X161)+(Z161)+(AB161)+(AD161))</f>
        <v/>
      </c>
    </row>
    <row r="162" ht="13" customHeight="1" s="1883">
      <c r="B162" s="626" t="n"/>
      <c r="C162" s="626" t="n"/>
      <c r="D162" s="626" t="n"/>
      <c r="E162" s="626" t="n"/>
      <c r="F162" s="626" t="n"/>
      <c r="G162" s="626" t="n"/>
      <c r="H162" s="626" t="n"/>
      <c r="I162" s="626" t="n"/>
      <c r="J162" s="626" t="n"/>
      <c r="K162" s="626" t="n"/>
      <c r="L162" s="626" t="n"/>
      <c r="M162" s="626" t="n"/>
      <c r="N162" s="626" t="n"/>
      <c r="O162" s="626" t="n"/>
      <c r="P162" s="626" t="n"/>
      <c r="Q162" s="626" t="n"/>
      <c r="R162" s="626" t="n"/>
      <c r="S162" s="626" t="n"/>
      <c r="T162" s="626" t="n"/>
      <c r="U162" s="626" t="n"/>
      <c r="V162" s="626" t="n"/>
      <c r="W162" s="626" t="n"/>
      <c r="X162" s="626" t="n"/>
      <c r="Y162" s="626" t="n"/>
      <c r="Z162" s="626" t="n"/>
      <c r="AA162" s="626" t="n"/>
      <c r="AB162" s="626" t="n"/>
      <c r="AC162" s="626" t="n"/>
      <c r="AD162" s="626" t="n"/>
      <c r="AE162" s="626" t="n"/>
      <c r="AF162" s="626" t="n"/>
    </row>
    <row r="163" ht="13" customHeight="1" s="1883">
      <c r="B163" s="626" t="n"/>
      <c r="C163" s="626" t="n"/>
      <c r="D163" s="626" t="n"/>
      <c r="E163" s="626" t="n"/>
      <c r="F163" s="626" t="n"/>
      <c r="G163" s="626" t="n"/>
      <c r="H163" s="626" t="n"/>
      <c r="I163" s="626" t="n"/>
      <c r="J163" s="626" t="n"/>
      <c r="K163" s="626" t="n"/>
      <c r="L163" s="626" t="n"/>
      <c r="M163" s="626" t="n"/>
      <c r="N163" s="626" t="n"/>
      <c r="O163" s="626" t="n"/>
      <c r="P163" s="626" t="n"/>
      <c r="Q163" s="626" t="n"/>
      <c r="R163" s="626" t="n"/>
      <c r="S163" s="626" t="n"/>
      <c r="T163" s="626" t="n"/>
      <c r="U163" s="626" t="n"/>
      <c r="V163" s="626" t="n"/>
      <c r="W163" s="626" t="n"/>
      <c r="X163" s="626" t="n"/>
      <c r="Y163" s="626" t="n"/>
      <c r="Z163" s="626" t="n"/>
      <c r="AA163" s="626" t="n"/>
      <c r="AB163" s="626" t="n"/>
      <c r="AC163" s="626" t="n"/>
      <c r="AD163" s="626" t="n"/>
      <c r="AE163" s="626" t="n"/>
      <c r="AF163" s="626" t="n"/>
    </row>
    <row r="164">
      <c r="B164" s="626" t="n"/>
      <c r="C164" s="626" t="n"/>
      <c r="D164" s="117" t="inlineStr">
        <is>
          <t>Year 5</t>
        </is>
      </c>
      <c r="E164" s="117" t="n"/>
      <c r="F164" s="137" t="inlineStr">
        <is>
          <t>49 - 60</t>
        </is>
      </c>
      <c r="G164" s="626" t="n"/>
      <c r="H164" s="626" t="n"/>
      <c r="I164" s="626" t="n"/>
      <c r="J164" s="626" t="n"/>
      <c r="K164" s="626" t="n"/>
      <c r="L164" s="626" t="n"/>
      <c r="M164" s="626" t="n"/>
      <c r="N164" s="626" t="n"/>
      <c r="O164" s="626" t="n"/>
      <c r="P164" s="626" t="n"/>
      <c r="Q164" s="626" t="n"/>
      <c r="R164" s="626" t="n"/>
      <c r="S164" s="626" t="n"/>
      <c r="T164" s="626" t="n"/>
      <c r="U164" s="626" t="n"/>
      <c r="V164" s="626" t="n"/>
      <c r="W164" s="626" t="n"/>
      <c r="X164" s="626" t="n"/>
      <c r="Y164" s="626" t="n"/>
      <c r="Z164" s="626" t="n"/>
      <c r="AA164" s="626" t="n"/>
      <c r="AB164" s="626" t="n"/>
      <c r="AC164" s="626" t="n"/>
      <c r="AD164" s="626" t="n"/>
      <c r="AE164" s="626" t="n"/>
      <c r="AF164" s="626" t="n"/>
    </row>
    <row r="165" ht="13" customHeight="1" s="1883">
      <c r="B165" s="626" t="n"/>
      <c r="C165" s="626" t="n"/>
      <c r="D165" s="1968" t="inlineStr">
        <is>
          <t xml:space="preserve">Billable Minutes/Month/Active Apps </t>
        </is>
      </c>
      <c r="G165" s="626" t="n"/>
      <c r="H165" s="626" t="n">
        <v>120</v>
      </c>
      <c r="I165" s="626" t="n"/>
      <c r="J165" s="626">
        <f>($H$165)</f>
        <v/>
      </c>
      <c r="K165" s="626" t="n"/>
      <c r="L165" s="626">
        <f>($H$165)</f>
        <v/>
      </c>
      <c r="M165" s="626" t="n"/>
      <c r="N165" s="626">
        <f>($H$165)</f>
        <v/>
      </c>
      <c r="O165" s="626" t="n"/>
      <c r="P165" s="626">
        <f>($H$165)</f>
        <v/>
      </c>
      <c r="Q165" s="626" t="n"/>
      <c r="R165" s="626">
        <f>($H$165)</f>
        <v/>
      </c>
      <c r="S165" s="626" t="n"/>
      <c r="T165" s="626">
        <f>($H$165)</f>
        <v/>
      </c>
      <c r="U165" s="626" t="n"/>
      <c r="V165" s="626">
        <f>($H$165)</f>
        <v/>
      </c>
      <c r="W165" s="626" t="n"/>
      <c r="X165" s="626">
        <f>($H$165)</f>
        <v/>
      </c>
      <c r="Y165" s="626" t="n"/>
      <c r="Z165" s="626">
        <f>($H$165)</f>
        <v/>
      </c>
      <c r="AA165" s="626" t="n"/>
      <c r="AB165" s="626">
        <f>($H$165)</f>
        <v/>
      </c>
      <c r="AC165" s="626" t="n"/>
      <c r="AD165" s="626">
        <f>($H$165)</f>
        <v/>
      </c>
      <c r="AE165" s="626" t="n"/>
      <c r="AF165" s="626" t="n"/>
    </row>
    <row r="166">
      <c r="B166" s="626" t="n"/>
      <c r="C166" s="626" t="n"/>
      <c r="D166" s="1968" t="inlineStr">
        <is>
          <t>Average Number of Apps in Use</t>
        </is>
      </c>
      <c r="G166" s="626" t="n"/>
      <c r="H166" s="139">
        <f>(H123)</f>
        <v/>
      </c>
      <c r="I166" s="139" t="n"/>
      <c r="J166" s="139">
        <f>(J123)</f>
        <v/>
      </c>
      <c r="K166" s="139" t="n"/>
      <c r="L166" s="139">
        <f>(L123)</f>
        <v/>
      </c>
      <c r="M166" s="139" t="n"/>
      <c r="N166" s="139">
        <f>(N123)</f>
        <v/>
      </c>
      <c r="O166" s="139" t="n"/>
      <c r="P166" s="139">
        <f>(P123)</f>
        <v/>
      </c>
      <c r="Q166" s="139" t="n"/>
      <c r="R166" s="139">
        <f>(R123)</f>
        <v/>
      </c>
      <c r="S166" s="139" t="n"/>
      <c r="T166" s="139">
        <f>(T123)</f>
        <v/>
      </c>
      <c r="U166" s="139" t="n"/>
      <c r="V166" s="139">
        <f>(V123)</f>
        <v/>
      </c>
      <c r="W166" s="139" t="n"/>
      <c r="X166" s="139">
        <f>(X123)</f>
        <v/>
      </c>
      <c r="Y166" s="139" t="n"/>
      <c r="Z166" s="139">
        <f>(Z123)</f>
        <v/>
      </c>
      <c r="AA166" s="139" t="n"/>
      <c r="AB166" s="139">
        <f>(AB123)</f>
        <v/>
      </c>
      <c r="AC166" s="139" t="n"/>
      <c r="AD166" s="139">
        <f>(AD123)</f>
        <v/>
      </c>
      <c r="AE166" s="626" t="n"/>
      <c r="AF166" s="626" t="n"/>
    </row>
    <row r="167">
      <c r="B167" s="626" t="n"/>
      <c r="C167" s="626" t="n"/>
      <c r="D167" s="1915" t="inlineStr">
        <is>
          <t>Billable Hours, All Active Apps</t>
        </is>
      </c>
      <c r="G167" s="626" t="n"/>
      <c r="H167" s="138">
        <f>(((H165)*(H166))/(60))</f>
        <v/>
      </c>
      <c r="I167" s="138" t="n"/>
      <c r="J167" s="138">
        <f>(((J165)*(J166))/(60))</f>
        <v/>
      </c>
      <c r="K167" s="138" t="n"/>
      <c r="L167" s="138">
        <f>(((L165)*(L166))/(60))</f>
        <v/>
      </c>
      <c r="M167" s="138" t="n"/>
      <c r="N167" s="138">
        <f>(((N165)*(N166))/(60))</f>
        <v/>
      </c>
      <c r="O167" s="138" t="n"/>
      <c r="P167" s="138">
        <f>(((P165)*(P166))/(60))</f>
        <v/>
      </c>
      <c r="Q167" s="138" t="n"/>
      <c r="R167" s="138">
        <f>(((R165)*(R166))/(60))</f>
        <v/>
      </c>
      <c r="S167" s="138" t="n"/>
      <c r="T167" s="138">
        <f>(((T165)*(T166))/(60))</f>
        <v/>
      </c>
      <c r="U167" s="138" t="n"/>
      <c r="V167" s="138">
        <f>(((V165)*(V166))/(60))</f>
        <v/>
      </c>
      <c r="W167" s="138" t="n"/>
      <c r="X167" s="138">
        <f>(((X165)*(X166))/(60))</f>
        <v/>
      </c>
      <c r="Y167" s="138" t="n"/>
      <c r="Z167" s="138">
        <f>(((Z165)*(Z166))/(60))</f>
        <v/>
      </c>
      <c r="AA167" s="138" t="n"/>
      <c r="AB167" s="138">
        <f>(((AB165)*(AB166))/(60))</f>
        <v/>
      </c>
      <c r="AC167" s="138" t="n"/>
      <c r="AD167" s="138">
        <f>(((AD165)*(AD166))/(60))</f>
        <v/>
      </c>
      <c r="AE167" s="118" t="n"/>
      <c r="AF167" s="136">
        <f>((H167)+(J167)+(L167)+(N167)+(P167)+(R167)+(T167)+(V167)+(X167)+(Z167)+(AB167)+(AD167))</f>
        <v/>
      </c>
    </row>
    <row r="168" ht="13" customHeight="1" s="1883">
      <c r="B168" s="626" t="n"/>
      <c r="C168" s="626" t="n"/>
      <c r="D168" s="626" t="n"/>
      <c r="E168" s="626" t="n"/>
      <c r="F168" s="626" t="n"/>
      <c r="G168" s="626" t="n"/>
      <c r="H168" s="626" t="n"/>
      <c r="I168" s="626" t="n"/>
      <c r="J168" s="626" t="n"/>
      <c r="K168" s="626" t="n"/>
      <c r="L168" s="626" t="n"/>
      <c r="M168" s="626" t="n"/>
      <c r="N168" s="626" t="n"/>
      <c r="O168" s="626" t="n"/>
      <c r="P168" s="626" t="n"/>
      <c r="Q168" s="626" t="n"/>
      <c r="R168" s="626" t="n"/>
      <c r="S168" s="626" t="n"/>
      <c r="T168" s="626" t="n"/>
      <c r="U168" s="626" t="n"/>
      <c r="V168" s="626" t="n"/>
      <c r="W168" s="626" t="n"/>
      <c r="X168" s="626" t="n"/>
      <c r="Y168" s="626" t="n"/>
      <c r="Z168" s="626" t="n"/>
      <c r="AA168" s="626" t="n"/>
      <c r="AB168" s="626" t="n"/>
      <c r="AC168" s="626" t="n"/>
      <c r="AD168" s="626" t="n"/>
      <c r="AE168" s="626" t="n"/>
      <c r="AF168" s="626" t="n"/>
    </row>
    <row r="169" ht="13" customHeight="1" s="1883">
      <c r="B169" s="626" t="n"/>
      <c r="C169" s="626" t="n"/>
      <c r="D169" s="626" t="n"/>
      <c r="E169" s="626" t="n"/>
      <c r="F169" s="626" t="n"/>
      <c r="G169" s="626" t="n"/>
      <c r="H169" s="626" t="n"/>
      <c r="I169" s="626" t="n"/>
      <c r="J169" s="626" t="n"/>
      <c r="K169" s="626" t="n"/>
      <c r="L169" s="626" t="n"/>
      <c r="M169" s="626" t="n"/>
      <c r="N169" s="626" t="n"/>
      <c r="O169" s="626" t="n"/>
      <c r="P169" s="626" t="n"/>
      <c r="Q169" s="626" t="n"/>
      <c r="R169" s="626" t="n"/>
      <c r="S169" s="626" t="n"/>
      <c r="T169" s="626" t="n"/>
      <c r="U169" s="626" t="n"/>
      <c r="V169" s="626" t="n"/>
      <c r="W169" s="626" t="n"/>
      <c r="X169" s="626" t="n"/>
      <c r="Y169" s="626" t="n"/>
      <c r="Z169" s="626" t="n"/>
      <c r="AA169" s="626" t="n"/>
      <c r="AB169" s="626" t="n"/>
      <c r="AC169" s="626" t="n"/>
      <c r="AD169" s="626" t="n"/>
      <c r="AE169" s="626" t="n"/>
      <c r="AF169" s="626" t="n"/>
    </row>
    <row r="170" ht="13" customHeight="1" s="1883">
      <c r="B170" s="626" t="n"/>
      <c r="C170" s="626" t="n"/>
      <c r="D170" s="626" t="n"/>
      <c r="E170" s="626" t="n"/>
      <c r="F170" s="626" t="n"/>
      <c r="G170" s="626" t="n"/>
      <c r="H170" s="626" t="n"/>
      <c r="I170" s="626" t="n"/>
      <c r="J170" s="626" t="n"/>
      <c r="K170" s="626" t="n"/>
      <c r="L170" s="626" t="n"/>
      <c r="M170" s="626" t="n"/>
      <c r="N170" s="626" t="n"/>
      <c r="O170" s="626" t="n"/>
      <c r="P170" s="626" t="n"/>
      <c r="Q170" s="626" t="n"/>
      <c r="R170" s="626" t="n"/>
      <c r="S170" s="626" t="n"/>
      <c r="T170" s="626" t="n"/>
      <c r="U170" s="626" t="n"/>
      <c r="V170" s="626" t="n"/>
      <c r="W170" s="626" t="n"/>
      <c r="X170" s="626" t="n"/>
      <c r="Y170" s="626" t="n"/>
      <c r="Z170" s="626" t="n"/>
      <c r="AA170" s="626" t="n"/>
      <c r="AB170" s="626" t="n"/>
      <c r="AC170" s="626" t="n"/>
      <c r="AD170" s="626" t="n"/>
      <c r="AE170" s="626" t="n"/>
      <c r="AF170" s="626" t="n"/>
    </row>
    <row r="171" ht="13" customHeight="1" s="1883">
      <c r="B171" s="626" t="n"/>
      <c r="C171" s="626" t="n"/>
      <c r="D171" s="626" t="n"/>
      <c r="E171" s="626" t="n"/>
      <c r="F171" s="626" t="n"/>
      <c r="G171" s="626" t="n"/>
      <c r="H171" s="626" t="n"/>
      <c r="I171" s="626" t="n"/>
      <c r="J171" s="626" t="n"/>
      <c r="K171" s="626" t="n"/>
      <c r="L171" s="626" t="n"/>
      <c r="M171" s="626" t="n"/>
      <c r="N171" s="626" t="n"/>
      <c r="O171" s="626" t="n"/>
      <c r="P171" s="626" t="n"/>
      <c r="Q171" s="626" t="n"/>
      <c r="R171" s="626" t="n"/>
      <c r="S171" s="626" t="n"/>
      <c r="T171" s="626" t="n"/>
      <c r="U171" s="626" t="n"/>
      <c r="V171" s="626" t="n"/>
      <c r="W171" s="626" t="n"/>
      <c r="X171" s="626" t="n"/>
      <c r="Y171" s="626" t="n"/>
      <c r="Z171" s="626" t="n"/>
      <c r="AA171" s="626" t="n"/>
      <c r="AB171" s="626" t="n"/>
      <c r="AC171" s="626" t="n"/>
      <c r="AD171" s="626" t="n"/>
      <c r="AE171" s="626" t="n"/>
      <c r="AF171" s="626" t="n"/>
    </row>
    <row r="172" ht="13" customHeight="1" s="1883">
      <c r="B172" s="626" t="n"/>
      <c r="C172" s="626" t="n"/>
      <c r="D172" s="626" t="n"/>
      <c r="E172" s="626" t="n"/>
      <c r="F172" s="626" t="n"/>
      <c r="G172" s="626" t="n"/>
      <c r="H172" s="626" t="n"/>
      <c r="I172" s="626" t="n"/>
      <c r="J172" s="626" t="n"/>
      <c r="K172" s="626" t="n"/>
      <c r="L172" s="626" t="n"/>
      <c r="M172" s="626" t="n"/>
      <c r="N172" s="626" t="n"/>
      <c r="O172" s="626" t="n"/>
      <c r="P172" s="626" t="n"/>
      <c r="Q172" s="626" t="n"/>
      <c r="R172" s="626" t="n"/>
      <c r="S172" s="626" t="n"/>
      <c r="T172" s="626" t="n"/>
      <c r="U172" s="626" t="n"/>
      <c r="V172" s="626" t="n"/>
      <c r="W172" s="626" t="n"/>
      <c r="X172" s="626" t="n"/>
      <c r="Y172" s="626" t="n"/>
      <c r="Z172" s="626" t="n"/>
      <c r="AA172" s="626" t="n"/>
      <c r="AB172" s="626" t="n"/>
      <c r="AC172" s="626" t="n"/>
      <c r="AD172" s="626" t="n"/>
      <c r="AE172" s="626" t="n"/>
      <c r="AF172" s="626" t="n"/>
    </row>
    <row r="173">
      <c r="B173" s="118" t="inlineStr">
        <is>
          <t>V.</t>
        </is>
      </c>
      <c r="C173" s="626" t="n"/>
      <c r="D173" s="1908" t="inlineStr">
        <is>
          <t xml:space="preserve">Billable Hour Conversion </t>
        </is>
      </c>
      <c r="E173" s="1968" t="n"/>
      <c r="F173" s="626" t="n"/>
      <c r="G173" s="626" t="n"/>
      <c r="H173" s="1904" t="inlineStr">
        <is>
          <t>Fiscal Year</t>
        </is>
      </c>
    </row>
    <row r="174" ht="3" customHeight="1" s="1883">
      <c r="B174" s="926" t="n"/>
      <c r="C174" s="926" t="n"/>
      <c r="D174" s="926" t="n"/>
      <c r="E174" s="926" t="n"/>
      <c r="F174" s="926" t="n"/>
      <c r="G174" s="626" t="n"/>
      <c r="H174" s="933" t="n"/>
      <c r="I174" s="933" t="n"/>
      <c r="J174" s="933" t="n"/>
      <c r="K174" s="933" t="n"/>
      <c r="L174" s="933" t="n"/>
      <c r="M174" s="933" t="n"/>
      <c r="N174" s="933" t="n"/>
      <c r="O174" s="933" t="n"/>
      <c r="P174" s="933" t="n"/>
      <c r="Q174" s="933" t="n"/>
      <c r="R174" s="933" t="n"/>
      <c r="S174" s="933" t="n"/>
      <c r="T174" s="933" t="n"/>
      <c r="U174" s="933" t="n"/>
      <c r="V174" s="933" t="n"/>
      <c r="W174" s="933" t="n"/>
      <c r="X174" s="933" t="n"/>
      <c r="Y174" s="933" t="n"/>
      <c r="Z174" s="933" t="n"/>
      <c r="AA174" s="933" t="n"/>
      <c r="AB174" s="933" t="n"/>
      <c r="AC174" s="933" t="n"/>
      <c r="AD174" s="933" t="n"/>
      <c r="AE174" s="933" t="n"/>
      <c r="AF174" s="933" t="n"/>
    </row>
    <row r="175" ht="3" customHeight="1" s="1883">
      <c r="B175" s="626" t="n"/>
      <c r="C175" s="626" t="n"/>
      <c r="D175" s="626" t="n"/>
      <c r="E175" s="626" t="n"/>
      <c r="F175" s="626" t="n"/>
      <c r="G175" s="626" t="n"/>
      <c r="H175" s="932" t="n"/>
      <c r="I175" s="932" t="n"/>
      <c r="J175" s="932" t="n"/>
      <c r="K175" s="932" t="n"/>
      <c r="L175" s="932" t="n"/>
      <c r="M175" s="932" t="n"/>
      <c r="N175" s="932" t="n"/>
      <c r="O175" s="932" t="n"/>
      <c r="P175" s="932" t="n"/>
      <c r="Q175" s="932" t="n"/>
      <c r="R175" s="932" t="n"/>
      <c r="S175" s="932" t="n"/>
      <c r="T175" s="932" t="n"/>
      <c r="U175" s="932" t="n"/>
      <c r="V175" s="932" t="n"/>
      <c r="W175" s="932" t="n"/>
      <c r="X175" s="932" t="n"/>
      <c r="Y175" s="932" t="n"/>
      <c r="Z175" s="932" t="n"/>
      <c r="AA175" s="932" t="n"/>
      <c r="AB175" s="932" t="n"/>
      <c r="AC175" s="932" t="n"/>
      <c r="AD175" s="932" t="n"/>
      <c r="AE175" s="932" t="n"/>
      <c r="AF175" s="932" t="n"/>
    </row>
    <row r="176">
      <c r="B176" s="626" t="n"/>
      <c r="C176" s="626" t="n"/>
      <c r="D176" s="117" t="inlineStr">
        <is>
          <t>Year</t>
        </is>
      </c>
      <c r="E176" s="117" t="n"/>
      <c r="F176" s="117" t="inlineStr">
        <is>
          <t>Months</t>
        </is>
      </c>
      <c r="G176" s="626" t="n"/>
      <c r="H176" s="138" t="inlineStr">
        <is>
          <t>Month 1</t>
        </is>
      </c>
      <c r="I176" s="138" t="n"/>
      <c r="J176" s="138" t="inlineStr">
        <is>
          <t>Month 2</t>
        </is>
      </c>
      <c r="K176" s="138" t="n"/>
      <c r="L176" s="138" t="inlineStr">
        <is>
          <t>Month 3</t>
        </is>
      </c>
      <c r="M176" s="138" t="n"/>
      <c r="N176" s="138" t="inlineStr">
        <is>
          <t>Month 4</t>
        </is>
      </c>
      <c r="O176" s="138" t="n"/>
      <c r="P176" s="138" t="inlineStr">
        <is>
          <t>Month 5</t>
        </is>
      </c>
      <c r="Q176" s="138" t="n"/>
      <c r="R176" s="138" t="inlineStr">
        <is>
          <t>Month 6</t>
        </is>
      </c>
      <c r="S176" s="138" t="n"/>
      <c r="T176" s="138" t="inlineStr">
        <is>
          <t>Month 7</t>
        </is>
      </c>
      <c r="U176" s="138" t="n"/>
      <c r="V176" s="138" t="inlineStr">
        <is>
          <t>Month 8</t>
        </is>
      </c>
      <c r="W176" s="138" t="n"/>
      <c r="X176" s="138" t="inlineStr">
        <is>
          <t>Month 9</t>
        </is>
      </c>
      <c r="Y176" s="138" t="n"/>
      <c r="Z176" s="138" t="inlineStr">
        <is>
          <t>Month 10</t>
        </is>
      </c>
      <c r="AA176" s="138" t="n"/>
      <c r="AB176" s="138" t="inlineStr">
        <is>
          <t>Month 11</t>
        </is>
      </c>
      <c r="AC176" s="138" t="n"/>
      <c r="AD176" s="138" t="inlineStr">
        <is>
          <t>Month 12</t>
        </is>
      </c>
      <c r="AE176" s="932" t="n"/>
      <c r="AF176" s="138" t="inlineStr">
        <is>
          <t>Ʃ, Full-Year</t>
        </is>
      </c>
    </row>
    <row r="179">
      <c r="D179" s="117" t="inlineStr">
        <is>
          <t>Year 0</t>
        </is>
      </c>
      <c r="E179" s="117" t="n"/>
      <c r="F179" s="133" t="inlineStr">
        <is>
          <t>-12 - -1</t>
        </is>
      </c>
      <c r="G179" s="1968" t="n"/>
      <c r="H179" s="1273" t="n"/>
      <c r="I179" s="1273" t="n"/>
      <c r="J179" s="1273" t="n"/>
      <c r="K179" s="1273" t="n"/>
      <c r="L179" s="1273" t="n"/>
      <c r="M179" s="1273" t="n"/>
      <c r="N179" s="1273" t="n"/>
      <c r="O179" s="1273" t="n"/>
      <c r="P179" s="1273" t="n"/>
      <c r="Q179" s="1273" t="n"/>
      <c r="R179" s="1273" t="n"/>
      <c r="S179" s="1273" t="n"/>
      <c r="T179" s="1273" t="n"/>
      <c r="U179" s="1273" t="n"/>
      <c r="V179" s="1273" t="n"/>
      <c r="W179" s="1273" t="n"/>
      <c r="X179" s="1273" t="n"/>
      <c r="Y179" s="1273" t="n"/>
      <c r="Z179" s="1273" t="n"/>
      <c r="AA179" s="1273" t="n"/>
      <c r="AB179" s="1273" t="n"/>
      <c r="AC179" s="1273" t="n"/>
      <c r="AD179" s="1273" t="n"/>
    </row>
    <row r="180" ht="13" customHeight="1" s="1883">
      <c r="D180" s="626" t="n"/>
      <c r="E180" s="626" t="n"/>
      <c r="F180" s="626" t="n"/>
      <c r="G180" s="626" t="n"/>
      <c r="H180" s="1274" t="n"/>
      <c r="I180" s="1274" t="n"/>
      <c r="J180" s="1274" t="n"/>
      <c r="K180" s="1274" t="n"/>
      <c r="L180" s="1274" t="n"/>
      <c r="M180" s="1274" t="n"/>
      <c r="N180" s="1274" t="n"/>
      <c r="O180" s="1274" t="n"/>
      <c r="P180" s="1274" t="n"/>
      <c r="Q180" s="1274" t="n"/>
      <c r="R180" s="1274" t="n"/>
      <c r="S180" s="1274" t="n"/>
      <c r="T180" s="1274" t="n"/>
      <c r="U180" s="1274" t="n"/>
      <c r="V180" s="1274" t="n"/>
      <c r="W180" s="1274" t="n"/>
      <c r="X180" s="1274" t="n"/>
      <c r="Y180" s="1274" t="n"/>
      <c r="Z180" s="1274" t="n"/>
      <c r="AA180" s="1274" t="n"/>
      <c r="AB180" s="1274" t="n"/>
      <c r="AC180" s="1274" t="n"/>
      <c r="AD180" s="1274" t="n"/>
    </row>
    <row r="181">
      <c r="D181" s="117" t="inlineStr">
        <is>
          <t>Year 1</t>
        </is>
      </c>
      <c r="E181" s="117" t="n"/>
      <c r="F181" s="134" t="inlineStr">
        <is>
          <t>1 - 12</t>
        </is>
      </c>
      <c r="G181" s="626" t="n"/>
      <c r="H181" s="2109" t="n">
        <v>0.88</v>
      </c>
      <c r="I181" s="142" t="n"/>
      <c r="J181" s="2110">
        <f>($H$181)</f>
        <v/>
      </c>
      <c r="K181" s="2110" t="n"/>
      <c r="L181" s="2110">
        <f>($H$181)</f>
        <v/>
      </c>
      <c r="M181" s="2110" t="n"/>
      <c r="N181" s="2110">
        <f>($H$181)</f>
        <v/>
      </c>
      <c r="O181" s="2110" t="n"/>
      <c r="P181" s="2110">
        <f>($H$181)</f>
        <v/>
      </c>
      <c r="Q181" s="2110" t="n"/>
      <c r="R181" s="2110">
        <f>($H$181)</f>
        <v/>
      </c>
      <c r="S181" s="2110" t="n"/>
      <c r="T181" s="2110">
        <f>($H$181)</f>
        <v/>
      </c>
      <c r="U181" s="2110" t="n"/>
      <c r="V181" s="2110">
        <f>($H$181)</f>
        <v/>
      </c>
      <c r="W181" s="2110" t="n"/>
      <c r="X181" s="2110">
        <f>($H$181)</f>
        <v/>
      </c>
      <c r="Y181" s="2110" t="n"/>
      <c r="Z181" s="2110">
        <f>($H$181)</f>
        <v/>
      </c>
      <c r="AA181" s="2110" t="n"/>
      <c r="AB181" s="2110">
        <f>($H$181)</f>
        <v/>
      </c>
      <c r="AC181" s="2110" t="n"/>
      <c r="AD181" s="2110">
        <f>($H$181)</f>
        <v/>
      </c>
    </row>
    <row r="182">
      <c r="D182" s="626" t="n"/>
      <c r="E182" s="626" t="n"/>
      <c r="F182" s="626" t="n"/>
      <c r="G182" s="626" t="n"/>
      <c r="H182" s="2110" t="n"/>
      <c r="I182" s="142" t="n"/>
      <c r="J182" s="2110" t="n"/>
      <c r="K182" s="2110" t="n"/>
      <c r="L182" s="2110" t="n"/>
      <c r="M182" s="2110" t="n"/>
      <c r="N182" s="2110" t="n"/>
      <c r="O182" s="2110" t="n"/>
      <c r="P182" s="2110" t="n"/>
      <c r="Q182" s="2110" t="n"/>
      <c r="R182" s="2110" t="n"/>
      <c r="S182" s="2110" t="n"/>
      <c r="T182" s="2110" t="n"/>
      <c r="U182" s="2110" t="n"/>
      <c r="V182" s="2110" t="n"/>
      <c r="W182" s="2110" t="n"/>
      <c r="X182" s="2110" t="n"/>
      <c r="Y182" s="2110" t="n"/>
      <c r="Z182" s="2110" t="n"/>
      <c r="AA182" s="2110" t="n"/>
      <c r="AB182" s="2110" t="n"/>
      <c r="AC182" s="2110" t="n"/>
      <c r="AD182" s="2110" t="n"/>
    </row>
    <row r="183">
      <c r="D183" s="117" t="inlineStr">
        <is>
          <t>Year 2</t>
        </is>
      </c>
      <c r="E183" s="117" t="n"/>
      <c r="F183" s="137" t="inlineStr">
        <is>
          <t>13 - 24</t>
        </is>
      </c>
      <c r="G183" s="626" t="n"/>
      <c r="H183" s="2109" t="n">
        <v>0.7</v>
      </c>
      <c r="I183" s="142" t="n"/>
      <c r="J183" s="2110">
        <f>($H$183)</f>
        <v/>
      </c>
      <c r="K183" s="2110" t="n"/>
      <c r="L183" s="2110">
        <f>($H$183)</f>
        <v/>
      </c>
      <c r="M183" s="2110" t="n"/>
      <c r="N183" s="2110">
        <f>($H$183)</f>
        <v/>
      </c>
      <c r="O183" s="2110" t="n"/>
      <c r="P183" s="2110">
        <f>($H$183)</f>
        <v/>
      </c>
      <c r="Q183" s="2110" t="n"/>
      <c r="R183" s="2110">
        <f>($H$183)</f>
        <v/>
      </c>
      <c r="S183" s="2110" t="n"/>
      <c r="T183" s="2110">
        <f>($H$183)</f>
        <v/>
      </c>
      <c r="U183" s="2110" t="n"/>
      <c r="V183" s="2110">
        <f>($H$183)</f>
        <v/>
      </c>
      <c r="W183" s="2110" t="n"/>
      <c r="X183" s="2110">
        <f>($H$183)</f>
        <v/>
      </c>
      <c r="Y183" s="2110" t="n"/>
      <c r="Z183" s="2110">
        <f>($H$183)</f>
        <v/>
      </c>
      <c r="AA183" s="2110" t="n"/>
      <c r="AB183" s="2110">
        <f>($H$183)</f>
        <v/>
      </c>
      <c r="AC183" s="2110" t="n"/>
      <c r="AD183" s="2110">
        <f>($H$183)</f>
        <v/>
      </c>
    </row>
    <row r="184">
      <c r="D184" s="626" t="n"/>
      <c r="E184" s="626" t="n"/>
      <c r="F184" s="626" t="n"/>
      <c r="G184" s="626" t="n"/>
      <c r="H184" s="2110" t="n"/>
      <c r="I184" s="142" t="n"/>
      <c r="J184" s="2110" t="n"/>
      <c r="K184" s="2110" t="n"/>
      <c r="L184" s="2110" t="n"/>
      <c r="M184" s="2110" t="n"/>
      <c r="N184" s="2110" t="n"/>
      <c r="O184" s="2110" t="n"/>
      <c r="P184" s="2110" t="n"/>
      <c r="Q184" s="2110" t="n"/>
      <c r="R184" s="2110" t="n"/>
      <c r="S184" s="2110" t="n"/>
      <c r="T184" s="2110" t="n"/>
      <c r="U184" s="2110" t="n"/>
      <c r="V184" s="2110" t="n"/>
      <c r="W184" s="2110" t="n"/>
      <c r="X184" s="2110" t="n"/>
      <c r="Y184" s="2110" t="n"/>
      <c r="Z184" s="2110" t="n"/>
      <c r="AA184" s="2110" t="n"/>
      <c r="AB184" s="2110" t="n"/>
      <c r="AC184" s="2110" t="n"/>
      <c r="AD184" s="2110" t="n"/>
    </row>
    <row r="185">
      <c r="D185" s="117" t="inlineStr">
        <is>
          <t>Year 3</t>
        </is>
      </c>
      <c r="E185" s="117" t="n"/>
      <c r="F185" s="137" t="inlineStr">
        <is>
          <t>25 - 36</t>
        </is>
      </c>
      <c r="G185" s="626" t="n"/>
      <c r="H185" s="2109" t="n">
        <v>0.61</v>
      </c>
      <c r="I185" s="142" t="n"/>
      <c r="J185" s="2110">
        <f>($H$185)</f>
        <v/>
      </c>
      <c r="K185" s="2110" t="n"/>
      <c r="L185" s="2110">
        <f>($H$185)</f>
        <v/>
      </c>
      <c r="M185" s="2110" t="n"/>
      <c r="N185" s="2110">
        <f>($H$185)</f>
        <v/>
      </c>
      <c r="O185" s="2110" t="n"/>
      <c r="P185" s="2110">
        <f>($H$185)</f>
        <v/>
      </c>
      <c r="Q185" s="2110" t="n"/>
      <c r="R185" s="2110">
        <f>($H$185)</f>
        <v/>
      </c>
      <c r="S185" s="2110" t="n"/>
      <c r="T185" s="2110">
        <f>($H$185)</f>
        <v/>
      </c>
      <c r="U185" s="2110" t="n"/>
      <c r="V185" s="2110">
        <f>($H$185)</f>
        <v/>
      </c>
      <c r="W185" s="2110" t="n"/>
      <c r="X185" s="2110">
        <f>($H$185)</f>
        <v/>
      </c>
      <c r="Y185" s="2110" t="n"/>
      <c r="Z185" s="2110">
        <f>($H$185)</f>
        <v/>
      </c>
      <c r="AA185" s="2110" t="n"/>
      <c r="AB185" s="2110">
        <f>($H$185)</f>
        <v/>
      </c>
      <c r="AC185" s="2110" t="n"/>
      <c r="AD185" s="2110">
        <f>($H$185)</f>
        <v/>
      </c>
    </row>
    <row r="186">
      <c r="D186" s="626" t="n"/>
      <c r="E186" s="626" t="n"/>
      <c r="F186" s="626" t="n"/>
      <c r="G186" s="626" t="n"/>
      <c r="H186" s="2110" t="n"/>
      <c r="I186" s="142" t="n"/>
      <c r="J186" s="2110" t="n"/>
      <c r="K186" s="2110" t="n"/>
      <c r="L186" s="2110" t="n"/>
      <c r="M186" s="2110" t="n"/>
      <c r="N186" s="2110" t="n"/>
      <c r="O186" s="2110" t="n"/>
      <c r="P186" s="2110" t="n"/>
      <c r="Q186" s="2110" t="n"/>
      <c r="R186" s="2110" t="n"/>
      <c r="S186" s="2110" t="n"/>
      <c r="T186" s="2110" t="n"/>
      <c r="U186" s="2110" t="n"/>
      <c r="V186" s="2110" t="n"/>
      <c r="W186" s="2110" t="n"/>
      <c r="X186" s="2110" t="n"/>
      <c r="Y186" s="2110" t="n"/>
      <c r="Z186" s="2110" t="n"/>
      <c r="AA186" s="2110" t="n"/>
      <c r="AB186" s="2110" t="n"/>
      <c r="AC186" s="2110" t="n"/>
      <c r="AD186" s="2110" t="n"/>
    </row>
    <row r="187">
      <c r="D187" s="117" t="inlineStr">
        <is>
          <t>Year 4</t>
        </is>
      </c>
      <c r="E187" s="117" t="n"/>
      <c r="F187" s="137" t="inlineStr">
        <is>
          <t>37 - 48</t>
        </is>
      </c>
      <c r="G187" s="626" t="n"/>
      <c r="H187" s="2109" t="n">
        <v>0.556</v>
      </c>
      <c r="I187" s="142" t="n"/>
      <c r="J187" s="2110">
        <f>($H$187)</f>
        <v/>
      </c>
      <c r="K187" s="2110" t="n"/>
      <c r="L187" s="2110">
        <f>($H$187)</f>
        <v/>
      </c>
      <c r="M187" s="2110" t="n"/>
      <c r="N187" s="2110">
        <f>($H$187)</f>
        <v/>
      </c>
      <c r="O187" s="2110" t="n"/>
      <c r="P187" s="2110">
        <f>($H$187)</f>
        <v/>
      </c>
      <c r="Q187" s="2110" t="n"/>
      <c r="R187" s="2110">
        <f>($H$187)</f>
        <v/>
      </c>
      <c r="S187" s="2110" t="n"/>
      <c r="T187" s="2110">
        <f>($H$187)</f>
        <v/>
      </c>
      <c r="U187" s="2110" t="n"/>
      <c r="V187" s="2110">
        <f>($H$187)</f>
        <v/>
      </c>
      <c r="W187" s="2110" t="n"/>
      <c r="X187" s="2110">
        <f>($H$187)</f>
        <v/>
      </c>
      <c r="Y187" s="2110" t="n"/>
      <c r="Z187" s="2110">
        <f>($H$187)</f>
        <v/>
      </c>
      <c r="AA187" s="2110" t="n"/>
      <c r="AB187" s="2110">
        <f>($H$187)</f>
        <v/>
      </c>
      <c r="AC187" s="2110" t="n"/>
      <c r="AD187" s="2110">
        <f>($H$187)</f>
        <v/>
      </c>
    </row>
    <row r="188">
      <c r="D188" s="626" t="n"/>
      <c r="E188" s="626" t="n"/>
      <c r="F188" s="626" t="n"/>
      <c r="G188" s="626" t="n"/>
      <c r="H188" s="2110" t="n"/>
      <c r="I188" s="142" t="n"/>
      <c r="J188" s="2110" t="n"/>
      <c r="K188" s="2110" t="n"/>
      <c r="L188" s="2110" t="n"/>
      <c r="M188" s="2110" t="n"/>
      <c r="N188" s="2110" t="n"/>
      <c r="O188" s="2110" t="n"/>
      <c r="P188" s="2110" t="n"/>
      <c r="Q188" s="2110" t="n"/>
      <c r="R188" s="2110" t="n"/>
      <c r="S188" s="2110" t="n"/>
      <c r="T188" s="2110" t="n"/>
      <c r="U188" s="2110" t="n"/>
      <c r="V188" s="2110" t="n"/>
      <c r="W188" s="2110" t="n"/>
      <c r="X188" s="2110" t="n"/>
      <c r="Y188" s="2110" t="n"/>
      <c r="Z188" s="2110" t="n"/>
      <c r="AA188" s="2110" t="n"/>
      <c r="AB188" s="2110" t="n"/>
      <c r="AC188" s="2110" t="n"/>
      <c r="AD188" s="2110" t="n"/>
    </row>
    <row r="189">
      <c r="D189" s="117" t="inlineStr">
        <is>
          <t>Year 5</t>
        </is>
      </c>
      <c r="E189" s="117" t="n"/>
      <c r="F189" s="137" t="inlineStr">
        <is>
          <t>49 - 60</t>
        </is>
      </c>
      <c r="G189" s="626" t="n"/>
      <c r="H189" s="2109" t="n">
        <v>0.52</v>
      </c>
      <c r="I189" s="142" t="n"/>
      <c r="J189" s="2110">
        <f>($H$189)</f>
        <v/>
      </c>
      <c r="K189" s="2110" t="n"/>
      <c r="L189" s="2110">
        <f>($H$189)</f>
        <v/>
      </c>
      <c r="M189" s="2110" t="n"/>
      <c r="N189" s="2110">
        <f>($H$189)</f>
        <v/>
      </c>
      <c r="O189" s="2110" t="n"/>
      <c r="P189" s="2110">
        <f>($H$189)</f>
        <v/>
      </c>
      <c r="Q189" s="2110" t="n"/>
      <c r="R189" s="2110">
        <f>($H$189)</f>
        <v/>
      </c>
      <c r="S189" s="2110" t="n"/>
      <c r="T189" s="2110">
        <f>($H$189)</f>
        <v/>
      </c>
      <c r="U189" s="2110" t="n"/>
      <c r="V189" s="2110">
        <f>($H$189)</f>
        <v/>
      </c>
      <c r="W189" s="2110" t="n"/>
      <c r="X189" s="2110">
        <f>($H$189)</f>
        <v/>
      </c>
      <c r="Y189" s="2110" t="n"/>
      <c r="Z189" s="2110">
        <f>($H$189)</f>
        <v/>
      </c>
      <c r="AA189" s="2110" t="n"/>
      <c r="AB189" s="2110">
        <f>($H$189)</f>
        <v/>
      </c>
      <c r="AC189" s="2110" t="n"/>
      <c r="AD189" s="2110">
        <f>($H$189)</f>
        <v/>
      </c>
    </row>
    <row r="196">
      <c r="B196" s="118" t="inlineStr">
        <is>
          <t>VI.</t>
        </is>
      </c>
      <c r="C196" s="626" t="n"/>
      <c r="D196" s="118" t="inlineStr">
        <is>
          <t>Rate Per Hour</t>
        </is>
      </c>
      <c r="E196" s="118" t="n"/>
      <c r="F196" s="626" t="n"/>
      <c r="G196" s="626" t="n"/>
      <c r="H196" s="626" t="n"/>
      <c r="I196" s="626" t="n"/>
      <c r="J196" s="626" t="n"/>
      <c r="K196" s="626" t="n"/>
      <c r="L196" s="626" t="n"/>
      <c r="M196" s="626" t="n"/>
      <c r="N196" s="626" t="n"/>
      <c r="O196" s="626" t="n"/>
      <c r="P196" s="626" t="n"/>
      <c r="Q196" s="626" t="n"/>
      <c r="R196" s="626" t="n"/>
      <c r="S196" s="626" t="n"/>
      <c r="T196" s="626" t="n"/>
      <c r="U196" s="626" t="n"/>
      <c r="V196" s="626" t="n"/>
      <c r="W196" s="626" t="n"/>
      <c r="X196" s="626" t="n"/>
      <c r="Y196" s="626" t="n"/>
      <c r="Z196" s="626" t="n"/>
      <c r="AA196" s="626" t="n"/>
      <c r="AB196" s="626" t="n"/>
      <c r="AC196" s="626" t="n"/>
      <c r="AD196" s="626" t="n"/>
      <c r="AE196" s="626" t="n"/>
      <c r="AF196" s="626" t="n"/>
    </row>
    <row r="197" ht="3" customHeight="1" s="1883">
      <c r="B197" s="926" t="n"/>
      <c r="C197" s="926" t="n"/>
      <c r="D197" s="926" t="n"/>
      <c r="E197" s="926" t="n"/>
      <c r="F197" s="926" t="n"/>
      <c r="G197" s="626" t="n"/>
      <c r="H197" s="626" t="n"/>
      <c r="I197" s="626" t="n"/>
      <c r="J197" s="626" t="n"/>
      <c r="K197" s="626" t="n"/>
      <c r="L197" s="626" t="n"/>
      <c r="M197" s="626" t="n"/>
      <c r="N197" s="626" t="n"/>
      <c r="O197" s="626" t="n"/>
      <c r="P197" s="626" t="n"/>
      <c r="Q197" s="626" t="n"/>
      <c r="R197" s="626" t="n"/>
      <c r="S197" s="626" t="n"/>
      <c r="T197" s="626" t="n"/>
      <c r="U197" s="626" t="n"/>
      <c r="V197" s="626" t="n"/>
      <c r="W197" s="626" t="n"/>
      <c r="X197" s="626" t="n"/>
      <c r="Y197" s="626" t="n"/>
      <c r="Z197" s="626" t="n"/>
      <c r="AA197" s="626" t="n"/>
      <c r="AB197" s="626" t="n"/>
      <c r="AC197" s="626" t="n"/>
      <c r="AD197" s="626" t="n"/>
      <c r="AE197" s="626" t="n"/>
      <c r="AF197" s="626" t="n"/>
    </row>
    <row r="198" ht="3" customHeight="1" s="1883">
      <c r="B198" s="626" t="n"/>
      <c r="C198" s="626" t="n"/>
      <c r="D198" s="626" t="n"/>
      <c r="E198" s="626" t="n"/>
      <c r="F198" s="626" t="n"/>
      <c r="G198" s="626" t="n"/>
      <c r="H198" s="626" t="n"/>
      <c r="I198" s="626" t="n"/>
      <c r="J198" s="626" t="n"/>
      <c r="K198" s="626" t="n"/>
      <c r="L198" s="626" t="n"/>
      <c r="M198" s="626" t="n"/>
      <c r="N198" s="626" t="n"/>
      <c r="O198" s="626" t="n"/>
      <c r="P198" s="626" t="n"/>
      <c r="Q198" s="626" t="n"/>
      <c r="R198" s="626" t="n"/>
      <c r="S198" s="626" t="n"/>
      <c r="T198" s="626" t="n"/>
      <c r="U198" s="626" t="n"/>
      <c r="V198" s="626" t="n"/>
      <c r="W198" s="626" t="n"/>
      <c r="X198" s="626" t="n"/>
      <c r="Y198" s="626" t="n"/>
      <c r="Z198" s="626" t="n"/>
      <c r="AA198" s="626" t="n"/>
      <c r="AB198" s="626" t="n"/>
      <c r="AC198" s="626" t="n"/>
      <c r="AD198" s="626" t="n"/>
      <c r="AE198" s="626" t="n"/>
      <c r="AF198" s="626" t="n"/>
    </row>
    <row r="199">
      <c r="B199" s="626" t="n"/>
      <c r="C199" s="626" t="n"/>
      <c r="D199" s="117" t="inlineStr">
        <is>
          <t>Year</t>
        </is>
      </c>
      <c r="E199" s="117" t="n"/>
      <c r="F199" s="117" t="inlineStr">
        <is>
          <t>Months</t>
        </is>
      </c>
      <c r="G199" s="626" t="n"/>
      <c r="H199" s="138" t="inlineStr">
        <is>
          <t>Month 1</t>
        </is>
      </c>
      <c r="I199" s="138" t="n"/>
      <c r="J199" s="138" t="inlineStr">
        <is>
          <t>Month 2</t>
        </is>
      </c>
      <c r="K199" s="138" t="n"/>
      <c r="L199" s="138" t="inlineStr">
        <is>
          <t>Month 3</t>
        </is>
      </c>
      <c r="M199" s="138" t="n"/>
      <c r="N199" s="138" t="inlineStr">
        <is>
          <t>Month 4</t>
        </is>
      </c>
      <c r="O199" s="138" t="n"/>
      <c r="P199" s="138" t="inlineStr">
        <is>
          <t>Month 5</t>
        </is>
      </c>
      <c r="Q199" s="138" t="n"/>
      <c r="R199" s="138" t="inlineStr">
        <is>
          <t>Month 6</t>
        </is>
      </c>
      <c r="S199" s="138" t="n"/>
      <c r="T199" s="138" t="inlineStr">
        <is>
          <t>Month 7</t>
        </is>
      </c>
      <c r="U199" s="138" t="n"/>
      <c r="V199" s="138" t="inlineStr">
        <is>
          <t>Month 8</t>
        </is>
      </c>
      <c r="W199" s="138" t="n"/>
      <c r="X199" s="138" t="inlineStr">
        <is>
          <t>Month 9</t>
        </is>
      </c>
      <c r="Y199" s="138" t="n"/>
      <c r="Z199" s="138" t="inlineStr">
        <is>
          <t>Month 10</t>
        </is>
      </c>
      <c r="AA199" s="138" t="n"/>
      <c r="AB199" s="138" t="inlineStr">
        <is>
          <t>Month 11</t>
        </is>
      </c>
      <c r="AC199" s="138" t="n"/>
      <c r="AD199" s="138" t="inlineStr">
        <is>
          <t>Month 12</t>
        </is>
      </c>
      <c r="AE199" s="932" t="n"/>
      <c r="AF199" s="138" t="inlineStr">
        <is>
          <t>Ʃ, Full-Year</t>
        </is>
      </c>
    </row>
    <row r="200" ht="3" customHeight="1" s="1883">
      <c r="B200" s="626" t="n"/>
      <c r="C200" s="626" t="n"/>
      <c r="D200" s="926" t="n"/>
      <c r="E200" s="626" t="n"/>
      <c r="F200" s="926" t="n"/>
      <c r="G200" s="626" t="n"/>
      <c r="H200" s="933" t="n"/>
      <c r="I200" s="932" t="n"/>
      <c r="J200" s="933" t="n"/>
      <c r="K200" s="932" t="n"/>
      <c r="L200" s="933" t="n"/>
      <c r="M200" s="932" t="n"/>
      <c r="N200" s="933" t="n"/>
      <c r="O200" s="932" t="n"/>
      <c r="P200" s="933" t="n"/>
      <c r="Q200" s="932" t="n"/>
      <c r="R200" s="933" t="n"/>
      <c r="S200" s="932" t="n"/>
      <c r="T200" s="933" t="n"/>
      <c r="U200" s="932" t="n"/>
      <c r="V200" s="933" t="n"/>
      <c r="W200" s="932" t="n"/>
      <c r="X200" s="933" t="n"/>
      <c r="Y200" s="932" t="n"/>
      <c r="Z200" s="933" t="n"/>
      <c r="AA200" s="932" t="n"/>
      <c r="AB200" s="933" t="n"/>
      <c r="AC200" s="932" t="n"/>
      <c r="AD200" s="933" t="n"/>
      <c r="AE200" s="932" t="n"/>
      <c r="AF200" s="933" t="n"/>
    </row>
    <row r="201" ht="3" customHeight="1" s="1883">
      <c r="B201" s="626" t="n"/>
      <c r="C201" s="626" t="n"/>
      <c r="D201" s="626" t="n"/>
      <c r="E201" s="626" t="n"/>
      <c r="F201" s="626" t="n"/>
      <c r="G201" s="626" t="n"/>
      <c r="H201" s="934" t="n"/>
      <c r="I201" s="934" t="n"/>
      <c r="J201" s="934" t="n"/>
      <c r="K201" s="934" t="n"/>
      <c r="L201" s="934" t="n"/>
      <c r="M201" s="934" t="n"/>
      <c r="N201" s="934" t="n"/>
      <c r="O201" s="934" t="n"/>
      <c r="P201" s="934" t="n"/>
      <c r="Q201" s="934" t="n"/>
      <c r="R201" s="934" t="n"/>
      <c r="S201" s="934" t="n"/>
      <c r="T201" s="934" t="n"/>
      <c r="U201" s="934" t="n"/>
      <c r="V201" s="934" t="n"/>
      <c r="W201" s="934" t="n"/>
      <c r="X201" s="934" t="n"/>
      <c r="Y201" s="934" t="n"/>
      <c r="Z201" s="934" t="n"/>
      <c r="AA201" s="934" t="n"/>
      <c r="AB201" s="934" t="n"/>
      <c r="AC201" s="934" t="n"/>
      <c r="AD201" s="934" t="n"/>
      <c r="AE201" s="934" t="n"/>
      <c r="AF201" s="934" t="n"/>
    </row>
    <row r="202">
      <c r="B202" s="626" t="n"/>
      <c r="C202" s="626" t="n"/>
      <c r="D202" s="117" t="inlineStr">
        <is>
          <t>Year 0</t>
        </is>
      </c>
      <c r="E202" s="117" t="n"/>
      <c r="F202" s="133" t="inlineStr">
        <is>
          <t>-12 - -1</t>
        </is>
      </c>
      <c r="G202" s="1968" t="n"/>
      <c r="H202" s="978" t="n"/>
      <c r="I202" s="978" t="n"/>
      <c r="J202" s="978" t="n"/>
      <c r="K202" s="978" t="n"/>
      <c r="L202" s="978" t="n"/>
      <c r="M202" s="978" t="n"/>
      <c r="N202" s="978" t="n"/>
      <c r="O202" s="978" t="n"/>
      <c r="P202" s="978" t="n"/>
      <c r="Q202" s="978" t="n"/>
      <c r="R202" s="978" t="n"/>
      <c r="S202" s="978" t="n"/>
      <c r="T202" s="978" t="n"/>
      <c r="U202" s="978" t="n"/>
      <c r="V202" s="978" t="n"/>
      <c r="W202" s="978" t="n"/>
      <c r="X202" s="978" t="n"/>
      <c r="Y202" s="978" t="n"/>
      <c r="Z202" s="978" t="n"/>
      <c r="AA202" s="978" t="n"/>
      <c r="AB202" s="978" t="n"/>
      <c r="AC202" s="978" t="n"/>
      <c r="AD202" s="978" t="n"/>
      <c r="AE202" s="978" t="n"/>
      <c r="AF202" s="978" t="n"/>
    </row>
    <row r="203" ht="13" customHeight="1" s="1883">
      <c r="B203" s="626" t="n"/>
      <c r="C203" s="626" t="n"/>
      <c r="D203" s="626" t="n"/>
      <c r="E203" s="626" t="n"/>
      <c r="F203" s="626" t="n"/>
      <c r="G203" s="626" t="n"/>
      <c r="H203" s="626" t="n"/>
      <c r="I203" s="626" t="n"/>
      <c r="J203" s="626" t="n"/>
      <c r="K203" s="626" t="n"/>
      <c r="L203" s="626" t="n"/>
      <c r="M203" s="626" t="n"/>
      <c r="N203" s="626" t="n"/>
      <c r="O203" s="626" t="n"/>
      <c r="P203" s="626" t="n"/>
      <c r="Q203" s="626" t="n"/>
      <c r="R203" s="626" t="n"/>
      <c r="S203" s="626" t="n"/>
      <c r="T203" s="626" t="n"/>
      <c r="U203" s="626" t="n"/>
      <c r="V203" s="626" t="n"/>
      <c r="W203" s="626" t="n"/>
      <c r="X203" s="626" t="n"/>
      <c r="Y203" s="626" t="n"/>
      <c r="Z203" s="626" t="n"/>
      <c r="AA203" s="626" t="n"/>
      <c r="AB203" s="626" t="n"/>
      <c r="AC203" s="626" t="n"/>
      <c r="AD203" s="626" t="n"/>
      <c r="AE203" s="626" t="n"/>
      <c r="AF203" s="626" t="n"/>
    </row>
    <row r="204" ht="13" customHeight="1" s="1883">
      <c r="B204" s="626" t="n"/>
      <c r="C204" s="626" t="n"/>
      <c r="D204" s="626" t="n"/>
      <c r="E204" s="626" t="n"/>
      <c r="F204" s="626" t="n"/>
      <c r="G204" s="626" t="n"/>
      <c r="H204" s="626" t="n"/>
      <c r="I204" s="626" t="n"/>
      <c r="J204" s="626" t="n"/>
      <c r="K204" s="626" t="n"/>
      <c r="L204" s="626" t="n"/>
      <c r="M204" s="626" t="n"/>
      <c r="N204" s="626" t="n"/>
      <c r="O204" s="626" t="n"/>
      <c r="P204" s="626" t="n"/>
      <c r="Q204" s="626" t="n"/>
      <c r="R204" s="626" t="n"/>
      <c r="S204" s="626" t="n"/>
      <c r="T204" s="626" t="n"/>
      <c r="U204" s="626" t="n"/>
      <c r="V204" s="626" t="n"/>
      <c r="W204" s="626" t="n"/>
      <c r="X204" s="626" t="n"/>
      <c r="Y204" s="626" t="n"/>
      <c r="Z204" s="626" t="n"/>
      <c r="AA204" s="626" t="n"/>
      <c r="AB204" s="626" t="n"/>
      <c r="AC204" s="626" t="n"/>
      <c r="AD204" s="626" t="n"/>
      <c r="AE204" s="626" t="n"/>
      <c r="AF204" s="626" t="n"/>
    </row>
    <row r="205">
      <c r="B205" s="626" t="n"/>
      <c r="C205" s="626" t="n"/>
      <c r="D205" s="117" t="inlineStr">
        <is>
          <t>Year 1</t>
        </is>
      </c>
      <c r="E205" s="117" t="n"/>
      <c r="F205" s="134" t="inlineStr">
        <is>
          <t>1 - 12</t>
        </is>
      </c>
      <c r="G205" s="626" t="n"/>
      <c r="H205" s="626" t="n"/>
      <c r="I205" s="626" t="n"/>
      <c r="J205" s="626" t="n"/>
      <c r="K205" s="626" t="n"/>
      <c r="L205" s="626" t="n"/>
      <c r="M205" s="626" t="n"/>
      <c r="N205" s="626" t="n"/>
      <c r="O205" s="626" t="n"/>
      <c r="P205" s="626" t="n"/>
      <c r="Q205" s="626" t="n"/>
      <c r="R205" s="626" t="n"/>
      <c r="S205" s="626" t="n"/>
      <c r="T205" s="626" t="n"/>
      <c r="U205" s="626" t="n"/>
      <c r="V205" s="626" t="n"/>
      <c r="W205" s="626" t="n"/>
      <c r="X205" s="626" t="n"/>
      <c r="Y205" s="626" t="n"/>
      <c r="Z205" s="626" t="n"/>
      <c r="AA205" s="626" t="n"/>
      <c r="AB205" s="626" t="n"/>
      <c r="AC205" s="626" t="n"/>
      <c r="AD205" s="626" t="n"/>
      <c r="AE205" s="626" t="n"/>
      <c r="AF205" s="626" t="n"/>
    </row>
    <row r="206">
      <c r="B206" s="626" t="n"/>
      <c r="C206" s="626" t="n"/>
      <c r="D206" s="1968" t="inlineStr">
        <is>
          <t>Standard Rate Per App Per Month (1 HR)</t>
        </is>
      </c>
      <c r="G206" s="626" t="n"/>
      <c r="H206" s="2111" t="n">
        <v>60</v>
      </c>
      <c r="I206" s="2112" t="n"/>
      <c r="J206" s="2113">
        <f>($H$206)</f>
        <v/>
      </c>
      <c r="K206" s="2112" t="n"/>
      <c r="L206" s="2113">
        <f>($H$206)</f>
        <v/>
      </c>
      <c r="M206" s="2112" t="n"/>
      <c r="N206" s="2113">
        <f>($H$206)</f>
        <v/>
      </c>
      <c r="O206" s="2112" t="n"/>
      <c r="P206" s="2113">
        <f>($H$206)</f>
        <v/>
      </c>
      <c r="Q206" s="2112" t="n"/>
      <c r="R206" s="2113">
        <f>($H$206)</f>
        <v/>
      </c>
      <c r="S206" s="2112" t="n"/>
      <c r="T206" s="2113">
        <f>($H$206)</f>
        <v/>
      </c>
      <c r="U206" s="2112" t="n"/>
      <c r="V206" s="2113">
        <f>($H$206)</f>
        <v/>
      </c>
      <c r="W206" s="2112" t="n"/>
      <c r="X206" s="2113">
        <f>($H$206)</f>
        <v/>
      </c>
      <c r="Y206" s="2112" t="n"/>
      <c r="Z206" s="2113">
        <f>($H$206)</f>
        <v/>
      </c>
      <c r="AA206" s="2112" t="n"/>
      <c r="AB206" s="2113">
        <f>($H$206)</f>
        <v/>
      </c>
      <c r="AC206" s="2112" t="n"/>
      <c r="AD206" s="2113">
        <f>($H$206)</f>
        <v/>
      </c>
      <c r="AE206" s="2112" t="n"/>
      <c r="AF206" s="2112" t="n"/>
    </row>
    <row r="207">
      <c r="B207" s="626" t="n"/>
      <c r="C207" s="626" t="n"/>
      <c r="D207" s="1968" t="inlineStr">
        <is>
          <t>Discount</t>
        </is>
      </c>
      <c r="G207" s="626" t="n"/>
      <c r="H207" s="142">
        <f>($H$213)</f>
        <v/>
      </c>
      <c r="I207" s="142" t="n"/>
      <c r="J207" s="151">
        <f>H207</f>
        <v/>
      </c>
      <c r="K207" s="142" t="n"/>
      <c r="L207" s="151">
        <f>J207</f>
        <v/>
      </c>
      <c r="M207" s="142" t="n"/>
      <c r="N207" s="151">
        <f>L207</f>
        <v/>
      </c>
      <c r="O207" s="142" t="n"/>
      <c r="P207" s="151">
        <f>N207</f>
        <v/>
      </c>
      <c r="Q207" s="142" t="n"/>
      <c r="R207" s="151">
        <f>P207</f>
        <v/>
      </c>
      <c r="S207" s="142" t="n"/>
      <c r="T207" s="151">
        <f>R207</f>
        <v/>
      </c>
      <c r="U207" s="142" t="n"/>
      <c r="V207" s="151">
        <f>T207</f>
        <v/>
      </c>
      <c r="W207" s="142" t="n"/>
      <c r="X207" s="151">
        <f>V207</f>
        <v/>
      </c>
      <c r="Y207" s="142" t="n"/>
      <c r="Z207" s="151">
        <f>X207</f>
        <v/>
      </c>
      <c r="AA207" s="142" t="n"/>
      <c r="AB207" s="151">
        <f>Z207</f>
        <v/>
      </c>
      <c r="AC207" s="142" t="n"/>
      <c r="AD207" s="151">
        <f>AB207</f>
        <v/>
      </c>
      <c r="AE207" s="626" t="n"/>
      <c r="AF207" s="626" t="n"/>
    </row>
    <row r="208">
      <c r="B208" s="626" t="n"/>
      <c r="C208" s="626" t="n"/>
      <c r="D208" s="1915" t="inlineStr">
        <is>
          <t>Rate Per Hour, Net (Realization)</t>
        </is>
      </c>
      <c r="G208" s="626" t="n"/>
      <c r="H208" s="2114">
        <f>(((1)-(H207))*(H206))</f>
        <v/>
      </c>
      <c r="I208" s="2112" t="n"/>
      <c r="J208" s="2114">
        <f>(((1)-(J207))*(J206))</f>
        <v/>
      </c>
      <c r="K208" s="2112" t="n"/>
      <c r="L208" s="2114">
        <f>(((1)-(L207))*(L206))</f>
        <v/>
      </c>
      <c r="M208" s="2112" t="n"/>
      <c r="N208" s="2114">
        <f>(((1)-(N207))*(N206))</f>
        <v/>
      </c>
      <c r="O208" s="2112" t="n"/>
      <c r="P208" s="2114">
        <f>(((1)-(P207))*(P206))</f>
        <v/>
      </c>
      <c r="Q208" s="2112" t="n"/>
      <c r="R208" s="2114">
        <f>(((1)-(R207))*(R206))</f>
        <v/>
      </c>
      <c r="S208" s="2112" t="n"/>
      <c r="T208" s="2114">
        <f>(((1)-(T207))*(T206))</f>
        <v/>
      </c>
      <c r="U208" s="2112" t="n"/>
      <c r="V208" s="2114">
        <f>(((1)-(V207))*(V206))</f>
        <v/>
      </c>
      <c r="W208" s="2112" t="n"/>
      <c r="X208" s="2114">
        <f>(((1)-(X207))*(X206))</f>
        <v/>
      </c>
      <c r="Y208" s="2112" t="n"/>
      <c r="Z208" s="2114">
        <f>(((1)-(Z207))*(Z206))</f>
        <v/>
      </c>
      <c r="AA208" s="2112" t="n"/>
      <c r="AB208" s="2114">
        <f>(((1)-(AB207))*(AB206))</f>
        <v/>
      </c>
      <c r="AC208" s="2112" t="n"/>
      <c r="AD208" s="2114">
        <f>(((1)-(AD207))*(AD206))</f>
        <v/>
      </c>
      <c r="AE208" s="626" t="n"/>
      <c r="AF208" s="2112">
        <f>SUM(H208:AE208)</f>
        <v/>
      </c>
    </row>
    <row r="211" ht="13" customHeight="1" s="1883">
      <c r="D211" s="626" t="inlineStr">
        <is>
          <t>Year 2</t>
        </is>
      </c>
      <c r="E211" s="626" t="n"/>
      <c r="F211" s="1276" t="inlineStr">
        <is>
          <t>13 - 24</t>
        </is>
      </c>
      <c r="G211" s="626" t="n"/>
      <c r="H211" s="626" t="n"/>
      <c r="I211" s="626" t="n"/>
      <c r="J211" s="626" t="n"/>
      <c r="K211" s="626" t="n"/>
      <c r="L211" s="626" t="n"/>
      <c r="M211" s="626" t="n"/>
      <c r="N211" s="626" t="n"/>
      <c r="O211" s="626" t="n"/>
      <c r="P211" s="626" t="n"/>
      <c r="Q211" s="626" t="n"/>
      <c r="R211" s="626" t="n"/>
      <c r="S211" s="626" t="n"/>
      <c r="T211" s="626" t="n"/>
      <c r="U211" s="626" t="n"/>
      <c r="V211" s="626" t="n"/>
      <c r="W211" s="626" t="n"/>
      <c r="X211" s="626" t="n"/>
      <c r="Y211" s="626" t="n"/>
      <c r="Z211" s="626" t="n"/>
      <c r="AA211" s="626" t="n"/>
      <c r="AB211" s="626" t="n"/>
      <c r="AC211" s="626" t="n"/>
      <c r="AD211" s="626" t="n"/>
      <c r="AE211" s="626" t="n"/>
      <c r="AF211" s="626" t="n"/>
    </row>
    <row r="212">
      <c r="D212" s="1969" t="inlineStr">
        <is>
          <t>Standard Rate Per App Per Month (1.25 HR)</t>
        </is>
      </c>
      <c r="G212" s="626" t="n"/>
      <c r="H212" s="2111" t="n">
        <v>75</v>
      </c>
      <c r="I212" s="2112" t="n"/>
      <c r="J212" s="2113">
        <f>($H$212)</f>
        <v/>
      </c>
      <c r="K212" s="2112" t="n"/>
      <c r="L212" s="2113">
        <f>($H$212)</f>
        <v/>
      </c>
      <c r="M212" s="2112" t="n"/>
      <c r="N212" s="2113">
        <f>($H$212)</f>
        <v/>
      </c>
      <c r="O212" s="2112" t="n"/>
      <c r="P212" s="2113">
        <f>($H$212)</f>
        <v/>
      </c>
      <c r="Q212" s="2112" t="n"/>
      <c r="R212" s="2113">
        <f>($H$212)</f>
        <v/>
      </c>
      <c r="S212" s="2112" t="n"/>
      <c r="T212" s="2113">
        <f>($H$212)</f>
        <v/>
      </c>
      <c r="U212" s="2112" t="n"/>
      <c r="V212" s="2113">
        <f>($H$212)</f>
        <v/>
      </c>
      <c r="W212" s="2112" t="n"/>
      <c r="X212" s="2113">
        <f>($H$212)</f>
        <v/>
      </c>
      <c r="Y212" s="2112" t="n"/>
      <c r="Z212" s="2113">
        <f>($H$212)</f>
        <v/>
      </c>
      <c r="AA212" s="2112" t="n"/>
      <c r="AB212" s="2113">
        <f>($H$212)</f>
        <v/>
      </c>
      <c r="AC212" s="2112" t="n"/>
      <c r="AD212" s="2113">
        <f>($H$212)</f>
        <v/>
      </c>
      <c r="AE212" s="626" t="n"/>
      <c r="AF212" s="626" t="n"/>
    </row>
    <row r="213">
      <c r="D213" s="1968" t="inlineStr">
        <is>
          <t>Discount</t>
        </is>
      </c>
      <c r="G213" s="626" t="n"/>
      <c r="H213" s="152" t="n">
        <v>0.25</v>
      </c>
      <c r="I213" s="151" t="n"/>
      <c r="J213" s="151">
        <f>H213</f>
        <v/>
      </c>
      <c r="K213" s="151" t="n"/>
      <c r="L213" s="151">
        <f>J213</f>
        <v/>
      </c>
      <c r="M213" s="151" t="n"/>
      <c r="N213" s="151">
        <f>L213</f>
        <v/>
      </c>
      <c r="O213" s="151" t="n"/>
      <c r="P213" s="151">
        <f>N213</f>
        <v/>
      </c>
      <c r="Q213" s="151" t="n"/>
      <c r="R213" s="151">
        <f>P213</f>
        <v/>
      </c>
      <c r="S213" s="151" t="n"/>
      <c r="T213" s="151">
        <f>R213</f>
        <v/>
      </c>
      <c r="U213" s="151" t="n"/>
      <c r="V213" s="151">
        <f>T213</f>
        <v/>
      </c>
      <c r="W213" s="151" t="n"/>
      <c r="X213" s="151">
        <f>V213</f>
        <v/>
      </c>
      <c r="Y213" s="151" t="n"/>
      <c r="Z213" s="151">
        <f>X213</f>
        <v/>
      </c>
      <c r="AA213" s="151" t="n"/>
      <c r="AB213" s="151">
        <f>Z213</f>
        <v/>
      </c>
      <c r="AC213" s="151" t="n"/>
      <c r="AD213" s="151">
        <f>AB213</f>
        <v/>
      </c>
      <c r="AE213" s="626" t="n"/>
      <c r="AF213" s="626" t="n"/>
    </row>
    <row r="214">
      <c r="D214" s="1915" t="inlineStr">
        <is>
          <t>Rate Per Hour, Net (Realization)</t>
        </is>
      </c>
      <c r="G214" s="626" t="n"/>
      <c r="H214" s="2114">
        <f>(((1)-(H213))*(H212))</f>
        <v/>
      </c>
      <c r="I214" s="626" t="n"/>
      <c r="J214" s="2114">
        <f>(((1)-(J213))*(J212))</f>
        <v/>
      </c>
      <c r="K214" s="2112" t="n"/>
      <c r="L214" s="2114">
        <f>(((1)-(L213))*(L212))</f>
        <v/>
      </c>
      <c r="M214" s="2112" t="n"/>
      <c r="N214" s="2114">
        <f>(((1)-(N213))*(N212))</f>
        <v/>
      </c>
      <c r="O214" s="2112" t="n"/>
      <c r="P214" s="2114">
        <f>(((1)-(P213))*(P212))</f>
        <v/>
      </c>
      <c r="Q214" s="2112" t="n"/>
      <c r="R214" s="2114">
        <f>(((1)-(R213))*(R212))</f>
        <v/>
      </c>
      <c r="S214" s="2112" t="n"/>
      <c r="T214" s="2114">
        <f>(((1)-(T213))*(T212))</f>
        <v/>
      </c>
      <c r="U214" s="2112" t="n"/>
      <c r="V214" s="2114">
        <f>(((1)-(V213))*(V212))</f>
        <v/>
      </c>
      <c r="W214" s="2112" t="n"/>
      <c r="X214" s="2114">
        <f>(((1)-(X213))*(X212))</f>
        <v/>
      </c>
      <c r="Y214" s="2112" t="n"/>
      <c r="Z214" s="2114">
        <f>(((1)-(Z213))*(Z212))</f>
        <v/>
      </c>
      <c r="AA214" s="2112" t="n"/>
      <c r="AB214" s="2114">
        <f>(((1)-(AB213))*(AB212))</f>
        <v/>
      </c>
      <c r="AC214" s="2112" t="n"/>
      <c r="AD214" s="2114">
        <f>(((1)-(AD213))*(AD212))</f>
        <v/>
      </c>
      <c r="AE214" s="626" t="n"/>
      <c r="AF214" s="2112">
        <f>SUM(H214:AE214)</f>
        <v/>
      </c>
    </row>
    <row r="215" ht="13" customHeight="1" s="1883">
      <c r="D215" s="626" t="n"/>
      <c r="E215" s="626" t="n"/>
      <c r="F215" s="626" t="n"/>
      <c r="G215" s="626" t="n"/>
      <c r="H215" s="2112" t="n"/>
      <c r="I215" s="626" t="n"/>
      <c r="J215" s="2112" t="n"/>
      <c r="K215" s="2112" t="n"/>
      <c r="L215" s="2112" t="n"/>
      <c r="M215" s="2112" t="n"/>
      <c r="N215" s="2112" t="n"/>
      <c r="O215" s="2112" t="n"/>
      <c r="P215" s="2112" t="n"/>
      <c r="Q215" s="2112" t="n"/>
      <c r="R215" s="2112" t="n"/>
      <c r="S215" s="2112" t="n"/>
      <c r="T215" s="2112" t="n"/>
      <c r="U215" s="2112" t="n"/>
      <c r="V215" s="2112" t="n"/>
      <c r="W215" s="2112" t="n"/>
      <c r="X215" s="2112" t="n"/>
      <c r="Y215" s="2112" t="n"/>
      <c r="Z215" s="2112" t="n"/>
      <c r="AA215" s="2112" t="n"/>
      <c r="AB215" s="2112" t="n"/>
      <c r="AC215" s="2112" t="n"/>
      <c r="AD215" s="2112" t="n"/>
      <c r="AE215" s="626" t="n"/>
      <c r="AF215" s="626" t="n"/>
    </row>
    <row r="216" ht="13" customHeight="1" s="1883">
      <c r="D216" s="626" t="n"/>
      <c r="E216" s="626" t="n"/>
      <c r="F216" s="626" t="n"/>
      <c r="G216" s="626" t="n"/>
      <c r="H216" s="626" t="n"/>
      <c r="I216" s="626" t="n"/>
      <c r="J216" s="626" t="n"/>
      <c r="K216" s="626" t="n"/>
      <c r="L216" s="626" t="n"/>
      <c r="M216" s="626" t="n"/>
      <c r="N216" s="626" t="n"/>
      <c r="O216" s="626" t="n"/>
      <c r="P216" s="626" t="n"/>
      <c r="Q216" s="626" t="n"/>
      <c r="R216" s="626" t="n"/>
      <c r="S216" s="626" t="n"/>
      <c r="T216" s="626" t="n"/>
      <c r="U216" s="626" t="n"/>
      <c r="V216" s="626" t="n"/>
      <c r="W216" s="626" t="n"/>
      <c r="X216" s="626" t="n"/>
      <c r="Y216" s="626" t="n"/>
      <c r="Z216" s="626" t="n"/>
      <c r="AA216" s="626" t="n"/>
      <c r="AB216" s="626" t="n"/>
      <c r="AC216" s="626" t="n"/>
      <c r="AD216" s="626" t="n"/>
      <c r="AE216" s="626" t="n"/>
      <c r="AF216" s="626" t="n"/>
    </row>
    <row r="217">
      <c r="D217" s="117" t="inlineStr">
        <is>
          <t>Year 3</t>
        </is>
      </c>
      <c r="E217" s="117" t="n"/>
      <c r="F217" s="137" t="inlineStr">
        <is>
          <t>25 - 36</t>
        </is>
      </c>
      <c r="G217" s="626" t="n"/>
      <c r="H217" s="626" t="n"/>
      <c r="I217" s="626" t="n"/>
      <c r="J217" s="626" t="n"/>
      <c r="K217" s="626" t="n"/>
      <c r="L217" s="626" t="n"/>
      <c r="M217" s="626" t="n"/>
      <c r="N217" s="626" t="n"/>
      <c r="O217" s="626" t="n"/>
      <c r="P217" s="626" t="n"/>
      <c r="Q217" s="626" t="n"/>
      <c r="R217" s="626" t="n"/>
      <c r="S217" s="626" t="n"/>
      <c r="T217" s="626" t="n"/>
      <c r="U217" s="626" t="n"/>
      <c r="V217" s="626" t="n"/>
      <c r="W217" s="626" t="n"/>
      <c r="X217" s="626" t="n"/>
      <c r="Y217" s="626" t="n"/>
      <c r="Z217" s="626" t="n"/>
      <c r="AA217" s="626" t="n"/>
      <c r="AB217" s="626" t="n"/>
      <c r="AC217" s="626" t="n"/>
      <c r="AD217" s="626" t="n"/>
      <c r="AE217" s="626" t="n"/>
      <c r="AF217" s="626" t="n"/>
    </row>
    <row r="218">
      <c r="D218" s="1968" t="inlineStr">
        <is>
          <t>Standard Rate Per App Per Month (1.5 HR)</t>
        </is>
      </c>
      <c r="G218" s="626" t="n"/>
      <c r="H218" s="2111" t="n">
        <v>88</v>
      </c>
      <c r="I218" s="2112" t="n"/>
      <c r="J218" s="2113">
        <f>($H$218)</f>
        <v/>
      </c>
      <c r="K218" s="2112" t="n"/>
      <c r="L218" s="2113">
        <f>($H$218)</f>
        <v/>
      </c>
      <c r="M218" s="2112" t="n"/>
      <c r="N218" s="2113">
        <f>($H$218)</f>
        <v/>
      </c>
      <c r="O218" s="2112" t="n"/>
      <c r="P218" s="2113">
        <f>($H$218)</f>
        <v/>
      </c>
      <c r="Q218" s="2112" t="n"/>
      <c r="R218" s="2113">
        <f>($H$218)</f>
        <v/>
      </c>
      <c r="S218" s="2112" t="n"/>
      <c r="T218" s="2113">
        <f>($H$218)</f>
        <v/>
      </c>
      <c r="U218" s="2112" t="n"/>
      <c r="V218" s="2113">
        <f>($H$218)</f>
        <v/>
      </c>
      <c r="W218" s="2113" t="n">
        <v>825</v>
      </c>
      <c r="X218" s="2113">
        <f>($H$218)</f>
        <v/>
      </c>
      <c r="Y218" s="2112" t="n"/>
      <c r="Z218" s="2113">
        <f>($H$218)</f>
        <v/>
      </c>
      <c r="AA218" s="2112" t="n"/>
      <c r="AB218" s="2113">
        <f>($H$218)</f>
        <v/>
      </c>
      <c r="AC218" s="2112" t="n"/>
      <c r="AD218" s="2113">
        <f>($H$218)</f>
        <v/>
      </c>
      <c r="AE218" s="2112" t="n"/>
      <c r="AF218" s="2113" t="n"/>
    </row>
    <row r="219">
      <c r="D219" s="1968" t="inlineStr">
        <is>
          <t>Discount</t>
        </is>
      </c>
      <c r="G219" s="626" t="n"/>
      <c r="H219" s="142">
        <f>($H$213)</f>
        <v/>
      </c>
      <c r="I219" s="151" t="n"/>
      <c r="J219" s="151">
        <f>H219</f>
        <v/>
      </c>
      <c r="K219" s="151" t="n"/>
      <c r="L219" s="151">
        <f>J219</f>
        <v/>
      </c>
      <c r="M219" s="151" t="n"/>
      <c r="N219" s="151">
        <f>L219</f>
        <v/>
      </c>
      <c r="O219" s="151" t="n"/>
      <c r="P219" s="151">
        <f>N219</f>
        <v/>
      </c>
      <c r="Q219" s="151" t="n"/>
      <c r="R219" s="151">
        <f>P219</f>
        <v/>
      </c>
      <c r="S219" s="151" t="n"/>
      <c r="T219" s="151">
        <f>R219</f>
        <v/>
      </c>
      <c r="U219" s="151" t="n"/>
      <c r="V219" s="151">
        <f>T219</f>
        <v/>
      </c>
      <c r="W219" s="151" t="n"/>
      <c r="X219" s="151">
        <f>V219</f>
        <v/>
      </c>
      <c r="Y219" s="151" t="n"/>
      <c r="Z219" s="151">
        <f>X219</f>
        <v/>
      </c>
      <c r="AA219" s="151" t="n"/>
      <c r="AB219" s="151">
        <f>Z219</f>
        <v/>
      </c>
      <c r="AC219" s="151" t="n"/>
      <c r="AD219" s="151">
        <f>AB219</f>
        <v/>
      </c>
      <c r="AE219" s="626" t="n"/>
      <c r="AF219" s="626" t="n"/>
    </row>
    <row r="220">
      <c r="D220" s="1915" t="inlineStr">
        <is>
          <t>Rate Per Hour, Net (Realization)</t>
        </is>
      </c>
      <c r="G220" s="626" t="n"/>
      <c r="H220" s="2114">
        <f>(((1)-(H219))*(H218))</f>
        <v/>
      </c>
      <c r="I220" s="626" t="n"/>
      <c r="J220" s="2114">
        <f>(((1)-(J219))*(J218))</f>
        <v/>
      </c>
      <c r="K220" s="2112" t="n"/>
      <c r="L220" s="2114">
        <f>(((1)-(L219))*(L218))</f>
        <v/>
      </c>
      <c r="M220" s="2112" t="n"/>
      <c r="N220" s="2114">
        <f>(((1)-(N219))*(N218))</f>
        <v/>
      </c>
      <c r="O220" s="2112" t="n"/>
      <c r="P220" s="2114">
        <f>(((1)-(P219))*(P218))</f>
        <v/>
      </c>
      <c r="Q220" s="2112" t="n"/>
      <c r="R220" s="2114">
        <f>(((1)-(R219))*(R218))</f>
        <v/>
      </c>
      <c r="S220" s="2112" t="n"/>
      <c r="T220" s="2114">
        <f>(((1)-(T219))*(T218))</f>
        <v/>
      </c>
      <c r="U220" s="2112" t="n"/>
      <c r="V220" s="2114">
        <f>(((1)-(V219))*(V218))</f>
        <v/>
      </c>
      <c r="W220" s="2112" t="n"/>
      <c r="X220" s="2114">
        <f>(((1)-(X219))*(X218))</f>
        <v/>
      </c>
      <c r="Y220" s="2112" t="n"/>
      <c r="Z220" s="2114">
        <f>(((1)-(Z219))*(Z218))</f>
        <v/>
      </c>
      <c r="AA220" s="2112" t="n"/>
      <c r="AB220" s="2114">
        <f>(((1)-(AB219))*(AB218))</f>
        <v/>
      </c>
      <c r="AC220" s="2112" t="n"/>
      <c r="AD220" s="2114">
        <f>(((1)-(AD219))*(AD218))</f>
        <v/>
      </c>
      <c r="AE220" s="626" t="n"/>
      <c r="AF220" s="2112">
        <f>SUM(H220:AE220)</f>
        <v/>
      </c>
    </row>
    <row r="221">
      <c r="D221" s="117" t="n"/>
      <c r="E221" s="117" t="n"/>
      <c r="F221" s="117" t="n"/>
      <c r="G221" s="626" t="n"/>
      <c r="H221" s="626" t="n"/>
      <c r="I221" s="626" t="n"/>
      <c r="J221" s="626" t="n"/>
      <c r="K221" s="626" t="n"/>
      <c r="L221" s="626" t="n"/>
      <c r="M221" s="626" t="n"/>
      <c r="N221" s="626" t="n"/>
      <c r="O221" s="626" t="n"/>
      <c r="P221" s="626" t="n"/>
      <c r="Q221" s="626" t="n"/>
      <c r="R221" s="626" t="n"/>
      <c r="S221" s="626" t="n"/>
      <c r="T221" s="626" t="n"/>
      <c r="U221" s="626" t="n"/>
      <c r="V221" s="626" t="n"/>
      <c r="W221" s="626" t="n"/>
      <c r="X221" s="626" t="n"/>
      <c r="Y221" s="626" t="n"/>
      <c r="Z221" s="626" t="n"/>
      <c r="AA221" s="626" t="n"/>
      <c r="AB221" s="626" t="n"/>
      <c r="AC221" s="626" t="n"/>
      <c r="AD221" s="626" t="n"/>
      <c r="AE221" s="626" t="n"/>
      <c r="AF221" s="626" t="n"/>
    </row>
    <row r="222" ht="13" customHeight="1" s="1883">
      <c r="D222" s="626" t="n"/>
      <c r="E222" s="626" t="n"/>
      <c r="F222" s="626" t="n"/>
      <c r="G222" s="626" t="n"/>
      <c r="H222" s="626" t="n"/>
      <c r="I222" s="626" t="n"/>
      <c r="J222" s="626" t="n"/>
      <c r="K222" s="626" t="n"/>
      <c r="L222" s="626" t="n"/>
      <c r="M222" s="626" t="n"/>
      <c r="N222" s="626" t="n"/>
      <c r="O222" s="626" t="n"/>
      <c r="P222" s="626" t="n"/>
      <c r="Q222" s="626" t="n"/>
      <c r="R222" s="626" t="n"/>
      <c r="S222" s="626" t="n"/>
      <c r="T222" s="626" t="n"/>
      <c r="U222" s="626" t="n"/>
      <c r="V222" s="626" t="n"/>
      <c r="W222" s="626" t="n"/>
      <c r="X222" s="626" t="n"/>
      <c r="Y222" s="626" t="n"/>
      <c r="Z222" s="626" t="n"/>
      <c r="AA222" s="626" t="n"/>
      <c r="AB222" s="626" t="n"/>
      <c r="AC222" s="626" t="n"/>
      <c r="AD222" s="626" t="n"/>
      <c r="AE222" s="626" t="n"/>
      <c r="AF222" s="626" t="n"/>
    </row>
    <row r="223">
      <c r="D223" s="117" t="inlineStr">
        <is>
          <t>Year 4</t>
        </is>
      </c>
      <c r="E223" s="117" t="n"/>
      <c r="F223" s="137" t="inlineStr">
        <is>
          <t>37 - 48</t>
        </is>
      </c>
      <c r="G223" s="626" t="n"/>
      <c r="H223" s="626" t="n"/>
      <c r="I223" s="626" t="n"/>
      <c r="J223" s="626" t="n"/>
      <c r="K223" s="626" t="n"/>
      <c r="L223" s="626" t="n"/>
      <c r="M223" s="626" t="n"/>
      <c r="N223" s="626" t="n"/>
      <c r="O223" s="626" t="n"/>
      <c r="P223" s="626" t="n"/>
      <c r="Q223" s="626" t="n"/>
      <c r="R223" s="626" t="n"/>
      <c r="S223" s="626" t="n"/>
      <c r="T223" s="626" t="n"/>
      <c r="U223" s="626" t="n"/>
      <c r="V223" s="626" t="n"/>
      <c r="W223" s="626" t="n"/>
      <c r="X223" s="626" t="n"/>
      <c r="Y223" s="626" t="n"/>
      <c r="Z223" s="626" t="n"/>
      <c r="AA223" s="626" t="n"/>
      <c r="AB223" s="626" t="n"/>
      <c r="AC223" s="626" t="n"/>
      <c r="AD223" s="626" t="n"/>
      <c r="AE223" s="626" t="n"/>
      <c r="AF223" s="626" t="n"/>
    </row>
    <row r="224">
      <c r="D224" s="1968" t="inlineStr">
        <is>
          <t>Standard Rate Per App Per Month (1.75 HR)</t>
        </is>
      </c>
      <c r="G224" s="626" t="n"/>
      <c r="H224" s="2111" t="n">
        <v>97</v>
      </c>
      <c r="I224" s="2112" t="n"/>
      <c r="J224" s="2113">
        <f>($H$224)</f>
        <v/>
      </c>
      <c r="K224" s="2112" t="n"/>
      <c r="L224" s="2113">
        <f>($H$224)</f>
        <v/>
      </c>
      <c r="M224" s="2112" t="n"/>
      <c r="N224" s="2113">
        <f>($H$224)</f>
        <v/>
      </c>
      <c r="O224" s="2112" t="n"/>
      <c r="P224" s="2113">
        <f>($H$224)</f>
        <v/>
      </c>
      <c r="Q224" s="2112" t="n"/>
      <c r="R224" s="2113">
        <f>($H$224)</f>
        <v/>
      </c>
      <c r="S224" s="2112" t="n"/>
      <c r="T224" s="2113">
        <f>($H$224)</f>
        <v/>
      </c>
      <c r="U224" s="2112" t="n"/>
      <c r="V224" s="2113">
        <f>($H$224)</f>
        <v/>
      </c>
      <c r="W224" s="2112" t="n"/>
      <c r="X224" s="2113">
        <f>($H$224)</f>
        <v/>
      </c>
      <c r="Y224" s="2112" t="n"/>
      <c r="Z224" s="2113">
        <f>($H$224)</f>
        <v/>
      </c>
      <c r="AA224" s="2112" t="n"/>
      <c r="AB224" s="2113">
        <f>($H$224)</f>
        <v/>
      </c>
      <c r="AC224" s="2112" t="n"/>
      <c r="AD224" s="2113">
        <f>($H$224)</f>
        <v/>
      </c>
      <c r="AE224" s="626" t="n"/>
      <c r="AF224" s="626" t="n"/>
    </row>
    <row r="225">
      <c r="B225" s="626" t="n"/>
      <c r="C225" s="626" t="n"/>
      <c r="D225" s="1968" t="inlineStr">
        <is>
          <t>Discount</t>
        </is>
      </c>
      <c r="G225" s="626" t="n"/>
      <c r="H225" s="142">
        <f>($H$213)</f>
        <v/>
      </c>
      <c r="I225" s="151" t="n"/>
      <c r="J225" s="151">
        <f>H225</f>
        <v/>
      </c>
      <c r="K225" s="151" t="n"/>
      <c r="L225" s="151">
        <f>J225</f>
        <v/>
      </c>
      <c r="M225" s="151" t="n"/>
      <c r="N225" s="151">
        <f>L225</f>
        <v/>
      </c>
      <c r="O225" s="151" t="n"/>
      <c r="P225" s="151">
        <f>N225</f>
        <v/>
      </c>
      <c r="Q225" s="151" t="n"/>
      <c r="R225" s="151">
        <f>P225</f>
        <v/>
      </c>
      <c r="S225" s="151" t="n"/>
      <c r="T225" s="151">
        <f>R225</f>
        <v/>
      </c>
      <c r="U225" s="151" t="n"/>
      <c r="V225" s="151">
        <f>T225</f>
        <v/>
      </c>
      <c r="W225" s="151" t="n"/>
      <c r="X225" s="151">
        <f>V225</f>
        <v/>
      </c>
      <c r="Y225" s="151" t="n"/>
      <c r="Z225" s="151">
        <f>X225</f>
        <v/>
      </c>
      <c r="AA225" s="151" t="n"/>
      <c r="AB225" s="151">
        <f>Z225</f>
        <v/>
      </c>
      <c r="AC225" s="151" t="n"/>
      <c r="AD225" s="151">
        <f>AB225</f>
        <v/>
      </c>
      <c r="AE225" s="626" t="n"/>
      <c r="AF225" s="626" t="n"/>
    </row>
    <row r="226">
      <c r="B226" s="626" t="n"/>
      <c r="C226" s="626" t="n"/>
      <c r="D226" s="1915" t="inlineStr">
        <is>
          <t>Rate Per Hour, Net (Realization)</t>
        </is>
      </c>
      <c r="G226" s="626" t="n"/>
      <c r="H226" s="2114">
        <f>(((1)-(H225))*(H224))</f>
        <v/>
      </c>
      <c r="I226" s="626" t="n"/>
      <c r="J226" s="2114">
        <f>(((1)-(J225))*(J224))</f>
        <v/>
      </c>
      <c r="K226" s="2112" t="n"/>
      <c r="L226" s="2114">
        <f>(((1)-(L225))*(L224))</f>
        <v/>
      </c>
      <c r="M226" s="2112" t="n"/>
      <c r="N226" s="2114">
        <f>(((1)-(N225))*(N224))</f>
        <v/>
      </c>
      <c r="O226" s="2112" t="n"/>
      <c r="P226" s="2114">
        <f>(((1)-(P225))*(P224))</f>
        <v/>
      </c>
      <c r="Q226" s="2112" t="n"/>
      <c r="R226" s="2114">
        <f>(((1)-(R225))*(R224))</f>
        <v/>
      </c>
      <c r="S226" s="2112" t="n"/>
      <c r="T226" s="2114">
        <f>(((1)-(T225))*(T224))</f>
        <v/>
      </c>
      <c r="U226" s="2112" t="n"/>
      <c r="V226" s="2114">
        <f>(((1)-(V225))*(V224))</f>
        <v/>
      </c>
      <c r="W226" s="2112" t="n"/>
      <c r="X226" s="2114">
        <f>(((1)-(X225))*(X224))</f>
        <v/>
      </c>
      <c r="Y226" s="2112" t="n"/>
      <c r="Z226" s="2114">
        <f>(((1)-(Z225))*(Z224))</f>
        <v/>
      </c>
      <c r="AA226" s="2112" t="n"/>
      <c r="AB226" s="2114">
        <f>(((1)-(AB225))*(AB224))</f>
        <v/>
      </c>
      <c r="AC226" s="2112" t="n"/>
      <c r="AD226" s="2114">
        <f>(((1)-(AD225))*(AD224))</f>
        <v/>
      </c>
      <c r="AE226" s="626" t="n"/>
      <c r="AF226" s="2112">
        <f>SUM(H226:AE226)</f>
        <v/>
      </c>
    </row>
    <row r="227">
      <c r="B227" s="626" t="n"/>
      <c r="C227" s="626" t="n"/>
      <c r="D227" s="117" t="n"/>
      <c r="E227" s="117" t="n"/>
      <c r="F227" s="117" t="n"/>
      <c r="G227" s="626" t="n"/>
      <c r="H227" s="626" t="n"/>
      <c r="I227" s="626" t="n"/>
      <c r="J227" s="626" t="n"/>
      <c r="K227" s="626" t="n"/>
      <c r="L227" s="626" t="n"/>
      <c r="M227" s="626" t="n"/>
      <c r="N227" s="626" t="n"/>
      <c r="O227" s="626" t="n"/>
      <c r="P227" s="626" t="n"/>
      <c r="Q227" s="626" t="n"/>
      <c r="R227" s="626" t="n"/>
      <c r="S227" s="626" t="n"/>
      <c r="T227" s="626" t="n"/>
      <c r="U227" s="626" t="n"/>
      <c r="V227" s="626" t="n"/>
      <c r="W227" s="626" t="n"/>
      <c r="X227" s="626" t="n"/>
      <c r="Y227" s="626" t="n"/>
      <c r="Z227" s="626" t="n"/>
      <c r="AA227" s="626" t="n"/>
      <c r="AB227" s="626" t="n"/>
      <c r="AC227" s="626" t="n"/>
      <c r="AD227" s="626" t="n"/>
      <c r="AE227" s="626" t="n"/>
      <c r="AF227" s="626" t="n"/>
    </row>
    <row r="228" ht="13" customHeight="1" s="1883">
      <c r="B228" s="626" t="n"/>
      <c r="C228" s="626" t="n"/>
      <c r="D228" s="626" t="n"/>
      <c r="E228" s="626" t="n"/>
      <c r="F228" s="626" t="n"/>
      <c r="G228" s="626" t="n"/>
      <c r="H228" s="626" t="n"/>
      <c r="I228" s="626" t="n"/>
      <c r="J228" s="626" t="n"/>
      <c r="K228" s="626" t="n"/>
      <c r="L228" s="626" t="n"/>
      <c r="M228" s="626" t="n"/>
      <c r="N228" s="626" t="n"/>
      <c r="O228" s="626" t="n"/>
      <c r="P228" s="626" t="n"/>
      <c r="Q228" s="626" t="n"/>
      <c r="R228" s="626" t="n"/>
      <c r="S228" s="626" t="n"/>
      <c r="T228" s="626" t="n"/>
      <c r="U228" s="626" t="n"/>
      <c r="V228" s="626" t="n"/>
      <c r="W228" s="626" t="n"/>
      <c r="X228" s="626" t="n"/>
      <c r="Y228" s="626" t="n"/>
      <c r="Z228" s="626" t="n"/>
      <c r="AA228" s="626" t="n"/>
      <c r="AB228" s="626" t="n"/>
      <c r="AC228" s="626" t="n"/>
      <c r="AD228" s="626" t="n"/>
      <c r="AE228" s="626" t="n"/>
      <c r="AF228" s="626" t="n"/>
    </row>
    <row r="229">
      <c r="B229" s="626" t="n"/>
      <c r="C229" s="626" t="n"/>
      <c r="D229" s="117" t="inlineStr">
        <is>
          <t>Year 5</t>
        </is>
      </c>
      <c r="E229" s="117" t="n"/>
      <c r="F229" s="137" t="inlineStr">
        <is>
          <t>49 - 60</t>
        </is>
      </c>
      <c r="G229" s="626" t="n"/>
      <c r="H229" s="626" t="n"/>
      <c r="I229" s="626" t="n"/>
      <c r="J229" s="626" t="n"/>
      <c r="K229" s="626" t="n"/>
      <c r="L229" s="626" t="n"/>
      <c r="M229" s="626" t="n"/>
      <c r="N229" s="626" t="n"/>
      <c r="O229" s="626" t="n"/>
      <c r="P229" s="626" t="n"/>
      <c r="Q229" s="626" t="n"/>
      <c r="R229" s="626" t="n"/>
      <c r="S229" s="626" t="n"/>
      <c r="T229" s="626" t="n"/>
      <c r="U229" s="626" t="n"/>
      <c r="V229" s="626" t="n"/>
      <c r="W229" s="626" t="n"/>
      <c r="X229" s="626" t="n"/>
      <c r="Y229" s="626" t="n"/>
      <c r="Z229" s="626" t="n"/>
      <c r="AA229" s="626" t="n"/>
      <c r="AB229" s="626" t="n"/>
      <c r="AC229" s="626" t="n"/>
      <c r="AD229" s="626" t="n"/>
      <c r="AE229" s="626" t="n"/>
      <c r="AF229" s="626" t="n"/>
    </row>
    <row r="230">
      <c r="B230" s="626" t="n"/>
      <c r="C230" s="626" t="n"/>
      <c r="D230" s="1968" t="inlineStr">
        <is>
          <t>Standard Rate Per App Per Month (2 HR)</t>
        </is>
      </c>
      <c r="G230" s="626" t="n"/>
      <c r="H230" s="2111" t="n">
        <v>110</v>
      </c>
      <c r="I230" s="2112" t="n"/>
      <c r="J230" s="2113">
        <f>($H$230)</f>
        <v/>
      </c>
      <c r="K230" s="2112" t="n"/>
      <c r="L230" s="2113">
        <f>($H$230)</f>
        <v/>
      </c>
      <c r="M230" s="2112" t="n"/>
      <c r="N230" s="2113">
        <f>($H$230)</f>
        <v/>
      </c>
      <c r="O230" s="2112" t="n"/>
      <c r="P230" s="2113">
        <f>($H$230)</f>
        <v/>
      </c>
      <c r="Q230" s="2112" t="n"/>
      <c r="R230" s="2113">
        <f>($H$230)</f>
        <v/>
      </c>
      <c r="S230" s="2112" t="n"/>
      <c r="T230" s="2113">
        <f>($H$230)</f>
        <v/>
      </c>
      <c r="U230" s="2112" t="n"/>
      <c r="V230" s="2113">
        <f>($H$230)</f>
        <v/>
      </c>
      <c r="W230" s="2112" t="n"/>
      <c r="X230" s="2113">
        <f>($H$230)</f>
        <v/>
      </c>
      <c r="Y230" s="2112" t="n"/>
      <c r="Z230" s="2113">
        <f>($H$230)</f>
        <v/>
      </c>
      <c r="AA230" s="2112" t="n"/>
      <c r="AB230" s="2113">
        <f>($H$230)</f>
        <v/>
      </c>
      <c r="AC230" s="2112" t="n"/>
      <c r="AD230" s="2113">
        <f>($H$230)</f>
        <v/>
      </c>
      <c r="AE230" s="626" t="n"/>
      <c r="AF230" s="626" t="n"/>
    </row>
    <row r="231">
      <c r="B231" s="626" t="n"/>
      <c r="C231" s="626" t="n"/>
      <c r="D231" s="1968" t="inlineStr">
        <is>
          <t>Discount</t>
        </is>
      </c>
      <c r="G231" s="626" t="n"/>
      <c r="H231" s="142">
        <f>($H$213)</f>
        <v/>
      </c>
      <c r="I231" s="151" t="n"/>
      <c r="J231" s="151">
        <f>H231</f>
        <v/>
      </c>
      <c r="K231" s="151" t="n"/>
      <c r="L231" s="151">
        <f>J231</f>
        <v/>
      </c>
      <c r="M231" s="151" t="n"/>
      <c r="N231" s="151">
        <f>L231</f>
        <v/>
      </c>
      <c r="O231" s="151" t="n"/>
      <c r="P231" s="151">
        <f>N231</f>
        <v/>
      </c>
      <c r="Q231" s="151" t="n"/>
      <c r="R231" s="151">
        <f>P231</f>
        <v/>
      </c>
      <c r="S231" s="151" t="n"/>
      <c r="T231" s="151">
        <f>R231</f>
        <v/>
      </c>
      <c r="U231" s="151" t="n"/>
      <c r="V231" s="151">
        <f>T231</f>
        <v/>
      </c>
      <c r="W231" s="151" t="n"/>
      <c r="X231" s="151">
        <f>V231</f>
        <v/>
      </c>
      <c r="Y231" s="151" t="n"/>
      <c r="Z231" s="151">
        <f>X231</f>
        <v/>
      </c>
      <c r="AA231" s="151" t="n"/>
      <c r="AB231" s="151">
        <f>Z231</f>
        <v/>
      </c>
      <c r="AC231" s="151" t="n"/>
      <c r="AD231" s="151">
        <f>AB231</f>
        <v/>
      </c>
      <c r="AE231" s="626" t="n"/>
      <c r="AF231" s="626" t="n"/>
    </row>
    <row r="232">
      <c r="B232" s="626" t="n"/>
      <c r="C232" s="626" t="n"/>
      <c r="D232" s="1915" t="inlineStr">
        <is>
          <t>Rate Per Hour, Net (Realization)</t>
        </is>
      </c>
      <c r="G232" s="626" t="n"/>
      <c r="H232" s="2114">
        <f>(((1)-(H231))*(H230))</f>
        <v/>
      </c>
      <c r="I232" s="626" t="n"/>
      <c r="J232" s="2114">
        <f>(((1)-(J231))*(J230))</f>
        <v/>
      </c>
      <c r="K232" s="2112" t="n"/>
      <c r="L232" s="2114">
        <f>(((1)-(L231))*(L230))</f>
        <v/>
      </c>
      <c r="M232" s="2112" t="n"/>
      <c r="N232" s="2114">
        <f>(((1)-(N231))*(N230))</f>
        <v/>
      </c>
      <c r="O232" s="2112" t="n"/>
      <c r="P232" s="2114">
        <f>(((1)-(P231))*(P230))</f>
        <v/>
      </c>
      <c r="Q232" s="2112" t="n"/>
      <c r="R232" s="2114">
        <f>(((1)-(R231))*(R230))</f>
        <v/>
      </c>
      <c r="S232" s="2112" t="n"/>
      <c r="T232" s="2114">
        <f>(((1)-(T231))*(T230))</f>
        <v/>
      </c>
      <c r="U232" s="2112" t="n"/>
      <c r="V232" s="2114">
        <f>(((1)-(V231))*(V230))</f>
        <v/>
      </c>
      <c r="W232" s="2112" t="n"/>
      <c r="X232" s="2114">
        <f>(((1)-(X231))*(X230))</f>
        <v/>
      </c>
      <c r="Y232" s="2112" t="n"/>
      <c r="Z232" s="2114">
        <f>(((1)-(Z231))*(Z230))</f>
        <v/>
      </c>
      <c r="AA232" s="2112" t="n"/>
      <c r="AB232" s="2114">
        <f>(((1)-(AB231))*(AB230))</f>
        <v/>
      </c>
      <c r="AC232" s="626" t="n"/>
      <c r="AD232" s="2114">
        <f>(((1)-(AD231))*(AD230))</f>
        <v/>
      </c>
      <c r="AE232" s="626" t="n"/>
      <c r="AF232" s="2112">
        <f>SUM(H232:AE232)</f>
        <v/>
      </c>
    </row>
    <row r="233">
      <c r="B233" s="626" t="n"/>
      <c r="C233" s="626" t="n"/>
      <c r="D233" s="117" t="n"/>
      <c r="E233" s="117" t="n"/>
      <c r="F233" s="117" t="n"/>
      <c r="G233" s="626" t="n"/>
      <c r="H233" s="2112" t="n"/>
      <c r="I233" s="626" t="n"/>
      <c r="J233" s="2112" t="n"/>
      <c r="K233" s="2112" t="n"/>
      <c r="L233" s="2112" t="n"/>
      <c r="M233" s="2112" t="n"/>
      <c r="N233" s="2112" t="n"/>
      <c r="O233" s="2112" t="n"/>
      <c r="P233" s="2112" t="n"/>
      <c r="Q233" s="2112" t="n"/>
      <c r="R233" s="2112" t="n"/>
      <c r="S233" s="2112" t="n"/>
      <c r="T233" s="2112" t="n"/>
      <c r="U233" s="2112" t="n"/>
      <c r="V233" s="2112" t="n"/>
      <c r="W233" s="2112" t="n"/>
      <c r="X233" s="2112" t="n"/>
      <c r="Y233" s="2112" t="n"/>
      <c r="Z233" s="2112" t="n"/>
      <c r="AA233" s="2112" t="n"/>
      <c r="AB233" s="2112" t="n"/>
      <c r="AC233" s="626" t="n"/>
      <c r="AD233" s="2112" t="n"/>
      <c r="AE233" s="626" t="n"/>
      <c r="AF233" s="626" t="n"/>
    </row>
    <row r="234">
      <c r="B234" s="626" t="n"/>
      <c r="C234" s="626" t="n"/>
      <c r="D234" s="117" t="n"/>
      <c r="E234" s="117" t="n"/>
      <c r="F234" s="117" t="n"/>
      <c r="G234" s="626" t="n"/>
      <c r="H234" s="2112" t="n"/>
      <c r="I234" s="626" t="n"/>
      <c r="J234" s="2112" t="n"/>
      <c r="K234" s="2112" t="n"/>
      <c r="L234" s="2112" t="n"/>
      <c r="M234" s="2112" t="n"/>
      <c r="N234" s="2112" t="n"/>
      <c r="O234" s="2112" t="n"/>
      <c r="P234" s="2112" t="n"/>
      <c r="Q234" s="2112" t="n"/>
      <c r="R234" s="2112" t="n"/>
      <c r="S234" s="2112" t="n"/>
      <c r="T234" s="2112" t="n"/>
      <c r="U234" s="2112" t="n"/>
      <c r="V234" s="2112" t="n"/>
      <c r="W234" s="2112" t="n"/>
      <c r="X234" s="2112" t="n"/>
      <c r="Y234" s="2112" t="n"/>
      <c r="Z234" s="2112" t="n"/>
      <c r="AA234" s="2112" t="n"/>
      <c r="AB234" s="2112" t="n"/>
      <c r="AC234" s="626" t="n"/>
      <c r="AD234" s="2112" t="n"/>
      <c r="AE234" s="626" t="n"/>
      <c r="AF234" s="626" t="n"/>
    </row>
    <row r="235">
      <c r="B235" s="626" t="n"/>
      <c r="C235" s="626" t="n"/>
      <c r="D235" s="117" t="n"/>
      <c r="E235" s="117" t="n"/>
      <c r="F235" s="117" t="n"/>
      <c r="G235" s="626" t="n"/>
      <c r="H235" s="2112" t="n"/>
      <c r="I235" s="626" t="n"/>
      <c r="J235" s="2112" t="n"/>
      <c r="K235" s="2112" t="n"/>
      <c r="L235" s="2112" t="n"/>
      <c r="M235" s="2112" t="n"/>
      <c r="N235" s="2112" t="n"/>
      <c r="O235" s="2112" t="n"/>
      <c r="P235" s="2112" t="n"/>
      <c r="Q235" s="2112" t="n"/>
      <c r="R235" s="2112" t="n"/>
      <c r="S235" s="2112" t="n"/>
      <c r="T235" s="2112" t="n"/>
      <c r="U235" s="2112" t="n"/>
      <c r="V235" s="2112" t="n"/>
      <c r="W235" s="2112" t="n"/>
      <c r="X235" s="2112" t="n"/>
      <c r="Y235" s="2112" t="n"/>
      <c r="Z235" s="2112" t="n"/>
      <c r="AA235" s="2112" t="n"/>
      <c r="AB235" s="2112" t="n"/>
      <c r="AC235" s="626" t="n"/>
      <c r="AD235" s="2112" t="n"/>
      <c r="AE235" s="626" t="n"/>
      <c r="AF235" s="626" t="n"/>
    </row>
    <row r="236" ht="13" customHeight="1" s="1883">
      <c r="B236" s="626" t="n"/>
      <c r="C236" s="626" t="n"/>
      <c r="D236" s="626" t="n"/>
      <c r="E236" s="626" t="n"/>
      <c r="F236" s="626" t="n"/>
      <c r="G236" s="626" t="n"/>
      <c r="H236" s="626" t="n"/>
      <c r="I236" s="626" t="n"/>
      <c r="J236" s="626" t="n"/>
      <c r="K236" s="626" t="n"/>
      <c r="L236" s="626" t="n"/>
      <c r="M236" s="626" t="n"/>
      <c r="N236" s="626" t="n"/>
      <c r="O236" s="626" t="n"/>
      <c r="P236" s="626" t="n"/>
      <c r="Q236" s="626" t="n"/>
      <c r="R236" s="626" t="n"/>
      <c r="S236" s="626" t="n"/>
      <c r="T236" s="626" t="n"/>
      <c r="U236" s="626" t="n"/>
      <c r="V236" s="626" t="n"/>
      <c r="W236" s="626" t="n"/>
      <c r="X236" s="626" t="n"/>
      <c r="Y236" s="626" t="n"/>
      <c r="Z236" s="626" t="n"/>
      <c r="AA236" s="626" t="n"/>
      <c r="AB236" s="626" t="n"/>
      <c r="AC236" s="626" t="n"/>
      <c r="AD236" s="626" t="n"/>
      <c r="AE236" s="626" t="n"/>
      <c r="AF236" s="626" t="n"/>
    </row>
    <row r="237" ht="13" customHeight="1" s="1883">
      <c r="B237" s="626" t="n"/>
      <c r="C237" s="626" t="n"/>
      <c r="D237" s="626" t="n"/>
      <c r="E237" s="626" t="n"/>
      <c r="F237" s="626" t="n"/>
      <c r="G237" s="626" t="n"/>
      <c r="H237" s="626" t="n"/>
      <c r="I237" s="626" t="n"/>
      <c r="J237" s="626" t="n"/>
      <c r="K237" s="626" t="n"/>
      <c r="L237" s="626" t="n"/>
      <c r="M237" s="626" t="n"/>
      <c r="N237" s="626" t="n"/>
      <c r="O237" s="626" t="n"/>
      <c r="P237" s="626" t="n"/>
      <c r="Q237" s="626" t="n"/>
      <c r="R237" s="626" t="n"/>
      <c r="S237" s="626" t="n"/>
      <c r="T237" s="626" t="n"/>
      <c r="U237" s="626" t="n"/>
      <c r="V237" s="626" t="n"/>
      <c r="W237" s="626" t="n"/>
      <c r="X237" s="626" t="n"/>
      <c r="Y237" s="626" t="n"/>
      <c r="Z237" s="626" t="n"/>
      <c r="AA237" s="626" t="n"/>
      <c r="AB237" s="626" t="n"/>
      <c r="AC237" s="626" t="n"/>
      <c r="AD237" s="626" t="n"/>
      <c r="AE237" s="626" t="n"/>
      <c r="AF237" s="626" t="n"/>
    </row>
    <row r="238">
      <c r="B238" s="118" t="inlineStr">
        <is>
          <t>VII.</t>
        </is>
      </c>
      <c r="C238" s="626" t="n"/>
      <c r="D238" s="118" t="inlineStr">
        <is>
          <t>Net Revenue</t>
        </is>
      </c>
      <c r="E238" s="118" t="n"/>
      <c r="F238" s="626" t="n"/>
      <c r="G238" s="626" t="n"/>
      <c r="H238" s="626" t="n"/>
      <c r="I238" s="626" t="n"/>
      <c r="J238" s="626" t="n"/>
      <c r="K238" s="626" t="n"/>
      <c r="L238" s="626" t="n"/>
      <c r="M238" s="626" t="n"/>
      <c r="N238" s="626" t="n"/>
      <c r="O238" s="626" t="n"/>
      <c r="P238" s="626" t="n"/>
      <c r="Q238" s="626" t="n"/>
      <c r="R238" s="626" t="n"/>
      <c r="S238" s="626" t="n"/>
      <c r="T238" s="626" t="n"/>
      <c r="U238" s="626" t="n"/>
      <c r="V238" s="626" t="n"/>
      <c r="W238" s="626" t="n"/>
      <c r="X238" s="626" t="n"/>
      <c r="Y238" s="626" t="n"/>
      <c r="Z238" s="626" t="n"/>
      <c r="AA238" s="626" t="n"/>
      <c r="AB238" s="626" t="n"/>
      <c r="AC238" s="626" t="n"/>
      <c r="AD238" s="626" t="n"/>
      <c r="AE238" s="626" t="n"/>
      <c r="AF238" s="626" t="n"/>
    </row>
    <row r="241">
      <c r="D241" s="117" t="inlineStr">
        <is>
          <t>Year</t>
        </is>
      </c>
      <c r="E241" s="117" t="n"/>
      <c r="F241" s="117" t="inlineStr">
        <is>
          <t>Months</t>
        </is>
      </c>
      <c r="G241" s="626" t="n"/>
      <c r="H241" s="138" t="inlineStr">
        <is>
          <t>Month 1</t>
        </is>
      </c>
      <c r="I241" s="138" t="n"/>
      <c r="J241" s="138" t="inlineStr">
        <is>
          <t>Month 2</t>
        </is>
      </c>
      <c r="K241" s="138" t="n"/>
      <c r="L241" s="138" t="inlineStr">
        <is>
          <t>Month 3</t>
        </is>
      </c>
      <c r="M241" s="138" t="n"/>
      <c r="N241" s="138" t="inlineStr">
        <is>
          <t>Month 4</t>
        </is>
      </c>
      <c r="O241" s="138" t="n"/>
      <c r="P241" s="138" t="inlineStr">
        <is>
          <t>Month 5</t>
        </is>
      </c>
      <c r="Q241" s="138" t="n"/>
      <c r="R241" s="138" t="inlineStr">
        <is>
          <t>Month 6</t>
        </is>
      </c>
      <c r="S241" s="138" t="n"/>
      <c r="T241" s="138" t="inlineStr">
        <is>
          <t>Month 7</t>
        </is>
      </c>
      <c r="U241" s="138" t="n"/>
      <c r="V241" s="138" t="inlineStr">
        <is>
          <t>Month 8</t>
        </is>
      </c>
      <c r="W241" s="138" t="n"/>
      <c r="X241" s="138" t="inlineStr">
        <is>
          <t>Month 9</t>
        </is>
      </c>
      <c r="Y241" s="138" t="n"/>
      <c r="Z241" s="138" t="inlineStr">
        <is>
          <t>Month 10</t>
        </is>
      </c>
      <c r="AA241" s="138" t="n"/>
      <c r="AB241" s="138" t="inlineStr">
        <is>
          <t>Month 11</t>
        </is>
      </c>
      <c r="AC241" s="138" t="n"/>
      <c r="AD241" s="138" t="inlineStr">
        <is>
          <t>Month 12</t>
        </is>
      </c>
      <c r="AE241" s="932" t="n"/>
      <c r="AF241" s="138" t="inlineStr">
        <is>
          <t>Ʃ, Full-Year</t>
        </is>
      </c>
    </row>
    <row r="242" ht="3" customHeight="1" s="1883">
      <c r="D242" s="926" t="n"/>
      <c r="E242" s="626" t="n"/>
      <c r="F242" s="926" t="n"/>
      <c r="G242" s="626" t="n"/>
      <c r="H242" s="933" t="n"/>
      <c r="I242" s="932" t="n"/>
      <c r="J242" s="933" t="n"/>
      <c r="K242" s="932" t="n"/>
      <c r="L242" s="933" t="n"/>
      <c r="M242" s="932" t="n"/>
      <c r="N242" s="933" t="n"/>
      <c r="O242" s="932" t="n"/>
      <c r="P242" s="933" t="n"/>
      <c r="Q242" s="932" t="n"/>
      <c r="R242" s="933" t="n"/>
      <c r="S242" s="932" t="n"/>
      <c r="T242" s="933" t="n"/>
      <c r="U242" s="932" t="n"/>
      <c r="V242" s="933" t="n"/>
      <c r="W242" s="932" t="n"/>
      <c r="X242" s="933" t="n"/>
      <c r="Y242" s="932" t="n"/>
      <c r="Z242" s="933" t="n"/>
      <c r="AA242" s="932" t="n"/>
      <c r="AB242" s="933" t="n"/>
      <c r="AC242" s="932" t="n"/>
      <c r="AD242" s="933" t="n"/>
      <c r="AE242" s="932" t="n"/>
      <c r="AF242" s="933" t="n"/>
    </row>
    <row r="243" ht="3" customHeight="1" s="1883">
      <c r="D243" s="626" t="n"/>
      <c r="E243" s="626" t="n"/>
      <c r="F243" s="626" t="n"/>
      <c r="G243" s="626" t="n"/>
      <c r="H243" s="934" t="n"/>
      <c r="I243" s="934" t="n"/>
      <c r="J243" s="934" t="n"/>
      <c r="K243" s="934" t="n"/>
      <c r="L243" s="934" t="n"/>
      <c r="M243" s="934" t="n"/>
      <c r="N243" s="934" t="n"/>
      <c r="O243" s="934" t="n"/>
      <c r="P243" s="934" t="n"/>
      <c r="Q243" s="934" t="n"/>
      <c r="R243" s="934" t="n"/>
      <c r="S243" s="934" t="n"/>
      <c r="T243" s="934" t="n"/>
      <c r="U243" s="934" t="n"/>
      <c r="V243" s="934" t="n"/>
      <c r="W243" s="934" t="n"/>
      <c r="X243" s="934" t="n"/>
      <c r="Y243" s="934" t="n"/>
      <c r="Z243" s="934" t="n"/>
      <c r="AA243" s="934" t="n"/>
      <c r="AB243" s="934" t="n"/>
      <c r="AC243" s="934" t="n"/>
      <c r="AD243" s="934" t="n"/>
      <c r="AE243" s="934" t="n"/>
      <c r="AF243" s="934" t="n"/>
    </row>
    <row r="244">
      <c r="D244" s="117" t="inlineStr">
        <is>
          <t>Year 0</t>
        </is>
      </c>
      <c r="E244" s="117" t="n"/>
      <c r="F244" s="133" t="inlineStr">
        <is>
          <t>-12 - -1</t>
        </is>
      </c>
      <c r="G244" s="1968" t="n"/>
      <c r="H244" s="1277">
        <f>((H137)*(H202))</f>
        <v/>
      </c>
      <c r="I244" s="1278" t="n"/>
      <c r="J244" s="1277">
        <f>((J137)*(J202))</f>
        <v/>
      </c>
      <c r="K244" s="1278" t="n"/>
      <c r="L244" s="1277">
        <f>((L137)*(L202))</f>
        <v/>
      </c>
      <c r="M244" s="1278" t="n"/>
      <c r="N244" s="1277">
        <f>((N137)*(N202))</f>
        <v/>
      </c>
      <c r="O244" s="1278" t="n"/>
      <c r="P244" s="1277">
        <f>((P137)*(P202))</f>
        <v/>
      </c>
      <c r="Q244" s="1278" t="n"/>
      <c r="R244" s="1277">
        <f>((R137)*(R202))</f>
        <v/>
      </c>
      <c r="S244" s="1278" t="n"/>
      <c r="T244" s="1277">
        <f>((T137)*(T202))</f>
        <v/>
      </c>
      <c r="U244" s="1278" t="n"/>
      <c r="V244" s="1277">
        <f>((V137)*(V202))</f>
        <v/>
      </c>
      <c r="W244" s="1278" t="n"/>
      <c r="X244" s="1277">
        <f>((X137)*(X202))</f>
        <v/>
      </c>
      <c r="Y244" s="1278" t="n"/>
      <c r="Z244" s="1277">
        <f>((Z137)*(Z202))</f>
        <v/>
      </c>
      <c r="AA244" s="1278" t="n"/>
      <c r="AB244" s="1277">
        <f>((AB137)*(AB202))</f>
        <v/>
      </c>
      <c r="AC244" s="1278" t="n"/>
      <c r="AD244" s="1277">
        <f>((AD137)*(AD202))</f>
        <v/>
      </c>
      <c r="AE244" s="1279" t="n"/>
      <c r="AF244" s="1277">
        <f>((H244)+(J244)+(L244)+(N244)+(P244)+(R244)+(T244)+(V244)+(X244)+(Z244)+(AB244)+(AD244))</f>
        <v/>
      </c>
    </row>
    <row r="245">
      <c r="D245" s="117" t="inlineStr">
        <is>
          <t>Year 1</t>
        </is>
      </c>
      <c r="E245" s="117" t="n"/>
      <c r="F245" s="134" t="inlineStr">
        <is>
          <t>1 - 12</t>
        </is>
      </c>
      <c r="G245" s="626" t="n"/>
      <c r="H245" s="146">
        <f>((H143)*(H181)*(H208))</f>
        <v/>
      </c>
      <c r="I245" s="1280" t="n"/>
      <c r="J245" s="146">
        <f>((J143)*(J181)*(J208))</f>
        <v/>
      </c>
      <c r="K245" s="1280" t="n"/>
      <c r="L245" s="146">
        <f>((L143)*(L181)*(L208))</f>
        <v/>
      </c>
      <c r="M245" s="1280" t="n"/>
      <c r="N245" s="146">
        <f>((N143)*(N181)*(N208))</f>
        <v/>
      </c>
      <c r="O245" s="1280" t="n"/>
      <c r="P245" s="146">
        <f>((P143)*(P181)*(P208))</f>
        <v/>
      </c>
      <c r="Q245" s="1280" t="n"/>
      <c r="R245" s="146">
        <f>((R143)*(R181)*(R208))</f>
        <v/>
      </c>
      <c r="S245" s="1280" t="n"/>
      <c r="T245" s="146">
        <f>((T143)*(T181)*(T208))</f>
        <v/>
      </c>
      <c r="U245" s="1280" t="n"/>
      <c r="V245" s="146">
        <f>((V143)*(V181)*(V208))</f>
        <v/>
      </c>
      <c r="W245" s="1280" t="n"/>
      <c r="X245" s="146">
        <f>((X143)*(X181)*(X208))</f>
        <v/>
      </c>
      <c r="Y245" s="1280" t="n"/>
      <c r="Z245" s="146">
        <f>((Z143)*(Z181)*(Z208))</f>
        <v/>
      </c>
      <c r="AA245" s="1280" t="n"/>
      <c r="AB245" s="146">
        <f>((AB143)*(AB181)*(AB208))</f>
        <v/>
      </c>
      <c r="AC245" s="1280" t="n"/>
      <c r="AD245" s="146">
        <f>((AD143)*(AD181)*(AD208))</f>
        <v/>
      </c>
      <c r="AE245" s="1280" t="n"/>
      <c r="AF245" s="147">
        <f>((H245)+(J245)+(L245)+(N245)+(P245)+(R245)+(T245)+(V245)+(X245)+(Z245)+(AB245)+(AD245))</f>
        <v/>
      </c>
    </row>
    <row r="246">
      <c r="D246" s="117" t="inlineStr">
        <is>
          <t>Year 2</t>
        </is>
      </c>
      <c r="E246" s="117" t="n"/>
      <c r="F246" s="137" t="inlineStr">
        <is>
          <t>13 - 24</t>
        </is>
      </c>
      <c r="G246" s="626" t="n"/>
      <c r="H246" s="146">
        <f>((H149)*(H183)*(H214))</f>
        <v/>
      </c>
      <c r="I246" s="1280" t="n"/>
      <c r="J246" s="146">
        <f>((J149)*(J183)*(J214))</f>
        <v/>
      </c>
      <c r="K246" s="1280" t="n"/>
      <c r="L246" s="146">
        <f>((L149)*(L183)*(L214))</f>
        <v/>
      </c>
      <c r="M246" s="1280" t="n"/>
      <c r="N246" s="146">
        <f>((N149)*(N183)*(N214))</f>
        <v/>
      </c>
      <c r="O246" s="1280" t="n"/>
      <c r="P246" s="146">
        <f>((P149)*(P183)*(P214))</f>
        <v/>
      </c>
      <c r="Q246" s="1280" t="n"/>
      <c r="R246" s="146">
        <f>((R149)*(R183)*(R214))</f>
        <v/>
      </c>
      <c r="S246" s="1280" t="n"/>
      <c r="T246" s="146">
        <f>((T149)*(T183)*(T214))</f>
        <v/>
      </c>
      <c r="U246" s="1280" t="n"/>
      <c r="V246" s="146">
        <f>((V149)*(V183)*(V214))</f>
        <v/>
      </c>
      <c r="W246" s="1280" t="n"/>
      <c r="X246" s="146">
        <f>((X149)*(X183)*(X214))</f>
        <v/>
      </c>
      <c r="Y246" s="1280" t="n"/>
      <c r="Z246" s="146">
        <f>((Z149)*(Z183)*(Z214))</f>
        <v/>
      </c>
      <c r="AA246" s="1280" t="n"/>
      <c r="AB246" s="146">
        <f>((AB149)*(AB183)*(AB214))</f>
        <v/>
      </c>
      <c r="AC246" s="1280" t="n"/>
      <c r="AD246" s="146">
        <f>((AD149)*(AD183)*(AD214))</f>
        <v/>
      </c>
      <c r="AE246" s="1280" t="n"/>
      <c r="AF246" s="147">
        <f>((H246)+(J246)+(L246)+(N246)+(P246)+(R246)+(T246)+(V246)+(X246)+(Z246)+(AB246)+(AD246))</f>
        <v/>
      </c>
    </row>
    <row r="247">
      <c r="D247" s="117" t="inlineStr">
        <is>
          <t>Year 3</t>
        </is>
      </c>
      <c r="E247" s="117" t="n"/>
      <c r="F247" s="137" t="inlineStr">
        <is>
          <t>25 - 36</t>
        </is>
      </c>
      <c r="G247" s="626" t="n"/>
      <c r="H247" s="146">
        <f>((H155)*(H185)*(H220))</f>
        <v/>
      </c>
      <c r="I247" s="1280" t="n"/>
      <c r="J247" s="146">
        <f>((J155)*(J185)*(J220))</f>
        <v/>
      </c>
      <c r="K247" s="1280" t="n"/>
      <c r="L247" s="146">
        <f>((L155)*(L185)*(L220))</f>
        <v/>
      </c>
      <c r="M247" s="1280" t="n"/>
      <c r="N247" s="146">
        <f>((N155)*(N185)*(N220))</f>
        <v/>
      </c>
      <c r="O247" s="1280" t="n"/>
      <c r="P247" s="146">
        <f>((P155)*(P185)*(P220))</f>
        <v/>
      </c>
      <c r="Q247" s="1280" t="n"/>
      <c r="R247" s="146">
        <f>((R155)*(R185)*(R220))</f>
        <v/>
      </c>
      <c r="S247" s="1280" t="n"/>
      <c r="T247" s="146">
        <f>((T155)*(T185)*(T220))</f>
        <v/>
      </c>
      <c r="U247" s="1280" t="n"/>
      <c r="V247" s="146">
        <f>((V155)*(V185)*(V220))</f>
        <v/>
      </c>
      <c r="W247" s="1280" t="n"/>
      <c r="X247" s="146">
        <f>((X155)*(X185)*(X220))</f>
        <v/>
      </c>
      <c r="Y247" s="1280" t="n"/>
      <c r="Z247" s="146">
        <f>((Z155)*(Z185)*(Z220))</f>
        <v/>
      </c>
      <c r="AA247" s="1280" t="n"/>
      <c r="AB247" s="146">
        <f>((AB155)*(AB185)*(AB220))</f>
        <v/>
      </c>
      <c r="AC247" s="1280" t="n"/>
      <c r="AD247" s="146">
        <f>((AD155)*(AD185)*(AD220))</f>
        <v/>
      </c>
      <c r="AE247" s="1280" t="n"/>
      <c r="AF247" s="147">
        <f>((H247)+(J247)+(L247)+(N247)+(P247)+(R247)+(T247)+(V247)+(X247)+(Z247)+(AB247)+(AD247))</f>
        <v/>
      </c>
    </row>
    <row r="248">
      <c r="D248" s="117" t="inlineStr">
        <is>
          <t>Year 4</t>
        </is>
      </c>
      <c r="E248" s="117" t="n"/>
      <c r="F248" s="137" t="inlineStr">
        <is>
          <t>37 - 48</t>
        </is>
      </c>
      <c r="G248" s="626" t="n"/>
      <c r="H248" s="146">
        <f>((H161)*(H187)*(H226))</f>
        <v/>
      </c>
      <c r="I248" s="1280" t="n"/>
      <c r="J248" s="146">
        <f>((J161)*(J187)*(J226))</f>
        <v/>
      </c>
      <c r="K248" s="1280" t="n"/>
      <c r="L248" s="146">
        <f>((L161)*(L187)*(L226))</f>
        <v/>
      </c>
      <c r="M248" s="1280" t="n"/>
      <c r="N248" s="146">
        <f>((N161)*(N187)*(N226))</f>
        <v/>
      </c>
      <c r="O248" s="1280" t="n"/>
      <c r="P248" s="146">
        <f>((P161)*(P187)*(P226))</f>
        <v/>
      </c>
      <c r="Q248" s="1280" t="n"/>
      <c r="R248" s="146">
        <f>((R161)*(R187)*(R226))</f>
        <v/>
      </c>
      <c r="S248" s="1280" t="n"/>
      <c r="T248" s="146">
        <f>((T161)*(T187)*(T226))</f>
        <v/>
      </c>
      <c r="U248" s="1280" t="n"/>
      <c r="V248" s="146">
        <f>((V161)*(V187)*(V226))</f>
        <v/>
      </c>
      <c r="W248" s="1280" t="n"/>
      <c r="X248" s="146">
        <f>((X161)*(X187)*(X226))</f>
        <v/>
      </c>
      <c r="Y248" s="1280" t="n"/>
      <c r="Z248" s="146">
        <f>((Z161)*(Z187)*(Z226))</f>
        <v/>
      </c>
      <c r="AA248" s="1280" t="n"/>
      <c r="AB248" s="146">
        <f>((AB161)*(AB187)*(AB226))</f>
        <v/>
      </c>
      <c r="AC248" s="1280" t="n"/>
      <c r="AD248" s="146">
        <f>((AD161)*(AD187)*(AD226))</f>
        <v/>
      </c>
      <c r="AE248" s="1280" t="n"/>
      <c r="AF248" s="147">
        <f>((H248)+(J248)+(L248)+(N248)+(P248)+(R248)+(T248)+(V248)+(X248)+(Z248)+(AB248)+(AD248))</f>
        <v/>
      </c>
    </row>
    <row r="249">
      <c r="D249" s="117" t="inlineStr">
        <is>
          <t>Year 5</t>
        </is>
      </c>
      <c r="E249" s="117" t="n"/>
      <c r="F249" s="137" t="inlineStr">
        <is>
          <t>49 - 60</t>
        </is>
      </c>
      <c r="G249" s="626" t="n"/>
      <c r="H249" s="146">
        <f>((H167)*(H189)*(H232))</f>
        <v/>
      </c>
      <c r="I249" s="1280" t="n"/>
      <c r="J249" s="146">
        <f>((J167)*(J189)*(J232))</f>
        <v/>
      </c>
      <c r="K249" s="1280" t="n"/>
      <c r="L249" s="146">
        <f>((L167)*(L189)*(L232))</f>
        <v/>
      </c>
      <c r="M249" s="1280" t="n"/>
      <c r="N249" s="146">
        <f>((N167)*(N189)*(N232))</f>
        <v/>
      </c>
      <c r="O249" s="1280" t="n"/>
      <c r="P249" s="146">
        <f>((P167)*(P189)*(P232))</f>
        <v/>
      </c>
      <c r="Q249" s="1280" t="n"/>
      <c r="R249" s="146">
        <f>((R167)*(R189)*(R232))</f>
        <v/>
      </c>
      <c r="S249" s="1280" t="n"/>
      <c r="T249" s="146">
        <f>((T167)*(T189)*(T232))</f>
        <v/>
      </c>
      <c r="U249" s="1280" t="n"/>
      <c r="V249" s="146">
        <f>((V167)*(V189)*(V232))</f>
        <v/>
      </c>
      <c r="W249" s="1280" t="n"/>
      <c r="X249" s="146">
        <f>((X167)*(X189)*(X232))</f>
        <v/>
      </c>
      <c r="Y249" s="1280" t="n"/>
      <c r="Z249" s="146">
        <f>((Z167)*(Z189)*(Z232))</f>
        <v/>
      </c>
      <c r="AA249" s="1280" t="n"/>
      <c r="AB249" s="146">
        <f>((AB167)*(AB189)*(AB232))</f>
        <v/>
      </c>
      <c r="AC249" s="1280" t="n"/>
      <c r="AD249" s="146">
        <f>((AD167)*(AD189)*(AD232))</f>
        <v/>
      </c>
      <c r="AE249" s="1280" t="n"/>
      <c r="AF249" s="147">
        <f>((H249)+(J249)+(L249)+(N249)+(P249)+(R249)+(T249)+(V249)+(X249)+(Z249)+(AB249)+(AD249))</f>
        <v/>
      </c>
    </row>
  </sheetData>
  <mergeCells count="60">
    <mergeCell ref="D104:F104"/>
    <mergeCell ref="D160:F160"/>
    <mergeCell ref="D213:F213"/>
    <mergeCell ref="D154:F154"/>
    <mergeCell ref="D116:F116"/>
    <mergeCell ref="D225:F225"/>
    <mergeCell ref="D141:F141"/>
    <mergeCell ref="D70:F70"/>
    <mergeCell ref="H131:AF131"/>
    <mergeCell ref="D206:F206"/>
    <mergeCell ref="H27:AF27"/>
    <mergeCell ref="D166:F166"/>
    <mergeCell ref="D147:F147"/>
    <mergeCell ref="D78:F78"/>
    <mergeCell ref="D214:F214"/>
    <mergeCell ref="D212:F212"/>
    <mergeCell ref="D230:F230"/>
    <mergeCell ref="D71:F71"/>
    <mergeCell ref="D93:F93"/>
    <mergeCell ref="D224:F224"/>
    <mergeCell ref="D220:F220"/>
    <mergeCell ref="D56:F56"/>
    <mergeCell ref="D167:F167"/>
    <mergeCell ref="D165:F165"/>
    <mergeCell ref="D143:F143"/>
    <mergeCell ref="D74:F74"/>
    <mergeCell ref="D161:F161"/>
    <mergeCell ref="D114:F114"/>
    <mergeCell ref="D226:F226"/>
    <mergeCell ref="D232:F232"/>
    <mergeCell ref="D55:F55"/>
    <mergeCell ref="D89:F89"/>
    <mergeCell ref="D142:F142"/>
    <mergeCell ref="D231:F231"/>
    <mergeCell ref="D207:F207"/>
    <mergeCell ref="H10:AF10"/>
    <mergeCell ref="D148:F148"/>
    <mergeCell ref="D85:F85"/>
    <mergeCell ref="D123:F123"/>
    <mergeCell ref="D54:F54"/>
    <mergeCell ref="H44:AF44"/>
    <mergeCell ref="D59:F59"/>
    <mergeCell ref="D153:F153"/>
    <mergeCell ref="D115:F115"/>
    <mergeCell ref="D69:F69"/>
    <mergeCell ref="D100:F100"/>
    <mergeCell ref="D63:F63"/>
    <mergeCell ref="D218:F218"/>
    <mergeCell ref="D119:F119"/>
    <mergeCell ref="D99:F99"/>
    <mergeCell ref="D219:F219"/>
    <mergeCell ref="D159:F159"/>
    <mergeCell ref="H173:AF173"/>
    <mergeCell ref="D208:F208"/>
    <mergeCell ref="D84:F84"/>
    <mergeCell ref="D155:F155"/>
    <mergeCell ref="D149:F149"/>
    <mergeCell ref="D101:F101"/>
    <mergeCell ref="D108:F108"/>
    <mergeCell ref="D86:F86"/>
  </mergeCells>
  <printOptions horizontalCentered="1" gridLines="1"/>
  <pageMargins left="0.7" right="0.7" top="0.75" bottom="0.75" header="0" footer="0"/>
  <pageSetup orientation="landscape" fitToHeight="0" pageOrder="overThenDown" cellComments="atEnd"/>
</worksheet>
</file>

<file path=xl/worksheets/sheet33.xml><?xml version="1.0" encoding="utf-8"?>
<worksheet xmlns="http://schemas.openxmlformats.org/spreadsheetml/2006/main">
  <sheetPr>
    <tabColor theme="5"/>
    <outlinePr summaryBelow="0" summaryRight="0"/>
    <pageSetUpPr fitToPage="1"/>
  </sheetPr>
  <dimension ref="D3:BS79"/>
  <sheetViews>
    <sheetView workbookViewId="0">
      <selection activeCell="Q67" sqref="Q67"/>
    </sheetView>
  </sheetViews>
  <sheetFormatPr baseColWidth="10" defaultColWidth="17.33203125" defaultRowHeight="15" customHeight="1"/>
  <cols>
    <col width="2.6640625" customWidth="1" style="1883" min="1" max="3"/>
    <col width="18.6640625" customWidth="1" style="1883" min="4" max="5"/>
    <col width="1.6640625" customWidth="1" style="1883" min="6" max="6"/>
    <col width="15.6640625" customWidth="1" style="1883" min="7" max="66"/>
    <col width="1.5" customWidth="1" style="1883" min="67" max="67"/>
    <col width="15.6640625" customWidth="1" style="1883" min="68" max="68"/>
    <col width="2.5" customWidth="1" style="1883" min="69" max="69"/>
    <col width="18.6640625" customWidth="1" style="1883" min="70" max="71"/>
    <col width="2.6640625" customWidth="1" style="1883" min="72" max="72"/>
    <col width="15.6640625" customWidth="1" style="1883" min="73" max="81"/>
  </cols>
  <sheetData>
    <row r="3">
      <c r="D3" s="117" t="inlineStr">
        <is>
          <t>Monthly Attrition</t>
        </is>
      </c>
      <c r="E3" s="148" t="n">
        <v>0.034</v>
      </c>
      <c r="F3" s="626" t="n"/>
      <c r="G3" s="626" t="n"/>
      <c r="H3" s="626" t="n"/>
      <c r="I3" s="626" t="n"/>
      <c r="J3" s="626" t="n"/>
      <c r="K3" s="626" t="n"/>
      <c r="L3" s="626" t="n"/>
      <c r="M3" s="626" t="n"/>
      <c r="N3" s="626" t="n"/>
      <c r="O3" s="626" t="n"/>
      <c r="P3" s="626" t="n"/>
      <c r="Q3" s="626" t="n"/>
      <c r="R3" s="626" t="n"/>
      <c r="S3" s="626" t="n"/>
      <c r="T3" s="626" t="n"/>
      <c r="U3" s="626" t="n"/>
      <c r="V3" s="626" t="n"/>
      <c r="W3" s="626" t="n"/>
      <c r="X3" s="626" t="n"/>
      <c r="Y3" s="626" t="n"/>
      <c r="Z3" s="626" t="n"/>
      <c r="AA3" s="626" t="n"/>
      <c r="AB3" s="626" t="n"/>
      <c r="AC3" s="626" t="n"/>
      <c r="AD3" s="626" t="n"/>
      <c r="AE3" s="626" t="n"/>
      <c r="AF3" s="626" t="n"/>
      <c r="AG3" s="626" t="n"/>
      <c r="AH3" s="626" t="n"/>
      <c r="AI3" s="626" t="n"/>
      <c r="AJ3" s="626" t="n"/>
      <c r="AK3" s="626" t="n"/>
      <c r="AL3" s="626" t="n"/>
      <c r="AM3" s="626" t="n"/>
      <c r="AN3" s="626" t="n"/>
      <c r="AO3" s="626" t="n"/>
      <c r="AP3" s="626" t="n"/>
      <c r="AQ3" s="626" t="n"/>
      <c r="AR3" s="626" t="n"/>
      <c r="AS3" s="626" t="n"/>
      <c r="AT3" s="626" t="n"/>
      <c r="AU3" s="626" t="n"/>
      <c r="AV3" s="626" t="n"/>
      <c r="AW3" s="626" t="n"/>
      <c r="AX3" s="626" t="n"/>
      <c r="AY3" s="626" t="n"/>
      <c r="AZ3" s="626" t="n"/>
      <c r="BA3" s="626" t="n"/>
      <c r="BB3" s="626" t="n"/>
      <c r="BC3" s="626" t="n"/>
      <c r="BD3" s="626" t="n"/>
      <c r="BE3" s="626" t="n"/>
      <c r="BF3" s="626" t="n"/>
      <c r="BG3" s="626" t="n"/>
      <c r="BH3" s="626" t="n"/>
      <c r="BI3" s="626" t="n"/>
      <c r="BJ3" s="626" t="n"/>
      <c r="BK3" s="626" t="n"/>
      <c r="BL3" s="626" t="n"/>
      <c r="BM3" s="626" t="n"/>
      <c r="BN3" s="626" t="n"/>
      <c r="BO3" s="626" t="n"/>
      <c r="BP3" s="626" t="n"/>
      <c r="BQ3" s="626" t="n"/>
      <c r="BR3" s="626" t="n"/>
      <c r="BS3" s="626" t="n"/>
    </row>
    <row r="4" ht="13" customHeight="1" s="1883">
      <c r="D4" s="626" t="n"/>
      <c r="E4" s="626" t="n"/>
      <c r="F4" s="626" t="n"/>
      <c r="G4" s="626" t="n"/>
      <c r="H4" s="626" t="n"/>
      <c r="I4" s="626" t="n"/>
      <c r="J4" s="626" t="n"/>
      <c r="K4" s="626" t="n"/>
      <c r="L4" s="626" t="n"/>
      <c r="M4" s="626" t="n"/>
      <c r="N4" s="626" t="n"/>
      <c r="O4" s="626" t="n"/>
      <c r="P4" s="626" t="n"/>
      <c r="Q4" s="626" t="n"/>
      <c r="R4" s="626" t="n"/>
      <c r="S4" s="626" t="n"/>
      <c r="T4" s="626" t="n"/>
      <c r="U4" s="626" t="n"/>
      <c r="V4" s="626" t="n"/>
      <c r="W4" s="626" t="n"/>
      <c r="X4" s="626" t="n"/>
      <c r="Y4" s="626" t="n"/>
      <c r="Z4" s="626" t="n"/>
      <c r="AA4" s="626" t="n"/>
      <c r="AB4" s="626" t="n"/>
      <c r="AC4" s="626" t="n"/>
      <c r="AD4" s="626" t="n"/>
      <c r="AE4" s="626" t="n"/>
      <c r="AF4" s="626" t="n"/>
      <c r="AG4" s="626" t="n"/>
      <c r="AH4" s="626" t="n"/>
      <c r="AI4" s="626" t="n"/>
      <c r="AJ4" s="626" t="n"/>
      <c r="AK4" s="626" t="n"/>
      <c r="AL4" s="626" t="n"/>
      <c r="AM4" s="626" t="n"/>
      <c r="AN4" s="626" t="n"/>
      <c r="AO4" s="626" t="n"/>
      <c r="AP4" s="626" t="n"/>
      <c r="AQ4" s="626" t="n"/>
      <c r="AR4" s="626" t="n"/>
      <c r="AS4" s="626" t="n"/>
      <c r="AT4" s="626" t="n"/>
      <c r="AU4" s="626" t="n"/>
      <c r="AV4" s="626" t="n"/>
      <c r="AW4" s="626" t="n"/>
      <c r="AX4" s="626" t="n"/>
      <c r="AY4" s="626" t="n"/>
      <c r="AZ4" s="626" t="n"/>
      <c r="BA4" s="626" t="n"/>
      <c r="BB4" s="626" t="n"/>
      <c r="BC4" s="626" t="n"/>
      <c r="BD4" s="626" t="n"/>
      <c r="BE4" s="626" t="n"/>
      <c r="BF4" s="626" t="n"/>
      <c r="BG4" s="626" t="n"/>
      <c r="BH4" s="626" t="n"/>
      <c r="BI4" s="626" t="n"/>
      <c r="BJ4" s="626" t="n"/>
      <c r="BK4" s="626" t="n"/>
      <c r="BL4" s="626" t="n"/>
      <c r="BM4" s="626" t="n"/>
      <c r="BN4" s="626" t="n"/>
      <c r="BO4" s="626" t="n"/>
      <c r="BP4" s="626" t="n"/>
      <c r="BQ4" s="626" t="n"/>
      <c r="BR4" s="626" t="n"/>
      <c r="BS4" s="626" t="n"/>
    </row>
    <row r="5" ht="13" customHeight="1" s="1883">
      <c r="D5" s="626" t="n"/>
      <c r="E5" s="626" t="n"/>
      <c r="F5" s="626" t="n"/>
      <c r="G5" s="626" t="n"/>
      <c r="H5" s="626" t="n"/>
      <c r="I5" s="626" t="n"/>
      <c r="J5" s="626" t="n"/>
      <c r="K5" s="626" t="n"/>
      <c r="L5" s="626" t="n"/>
      <c r="M5" s="626" t="n"/>
      <c r="N5" s="626" t="n"/>
      <c r="O5" s="626" t="n"/>
      <c r="P5" s="626" t="n"/>
      <c r="Q5" s="626" t="n"/>
      <c r="R5" s="626" t="n"/>
      <c r="S5" s="626" t="n"/>
      <c r="T5" s="626" t="n"/>
      <c r="U5" s="626" t="n"/>
      <c r="V5" s="626" t="n"/>
      <c r="W5" s="626" t="n"/>
      <c r="X5" s="626" t="n"/>
      <c r="Y5" s="626" t="n"/>
      <c r="Z5" s="626" t="n"/>
      <c r="AA5" s="626" t="n"/>
      <c r="AB5" s="626" t="n"/>
      <c r="AC5" s="626" t="n"/>
      <c r="AD5" s="626" t="n"/>
      <c r="AE5" s="626" t="n"/>
      <c r="AF5" s="626" t="n"/>
      <c r="AG5" s="626" t="n"/>
      <c r="AH5" s="626" t="n"/>
      <c r="AI5" s="626" t="n"/>
      <c r="AJ5" s="626" t="n"/>
      <c r="AK5" s="626" t="n"/>
      <c r="AL5" s="626" t="n"/>
      <c r="AM5" s="626" t="n"/>
      <c r="AN5" s="626" t="n"/>
      <c r="AO5" s="626" t="n"/>
      <c r="AP5" s="626" t="n"/>
      <c r="AQ5" s="626" t="n"/>
      <c r="AR5" s="626" t="n"/>
      <c r="AS5" s="626" t="n"/>
      <c r="AT5" s="626" t="n"/>
      <c r="AU5" s="626" t="n"/>
      <c r="AV5" s="626" t="n"/>
      <c r="AW5" s="626" t="n"/>
      <c r="AX5" s="626" t="n"/>
      <c r="AY5" s="626" t="n"/>
      <c r="AZ5" s="626" t="n"/>
      <c r="BA5" s="626" t="n"/>
      <c r="BB5" s="626" t="n"/>
      <c r="BC5" s="626" t="n"/>
      <c r="BD5" s="626" t="n"/>
      <c r="BE5" s="626" t="n"/>
      <c r="BF5" s="626" t="n"/>
      <c r="BG5" s="626" t="n"/>
      <c r="BH5" s="626" t="n"/>
      <c r="BI5" s="626" t="n"/>
      <c r="BJ5" s="626" t="n"/>
      <c r="BK5" s="626" t="n"/>
      <c r="BL5" s="626" t="n"/>
      <c r="BM5" s="626" t="n"/>
      <c r="BN5" s="626" t="n"/>
      <c r="BO5" s="626" t="n"/>
      <c r="BP5" s="626" t="n"/>
      <c r="BQ5" s="626" t="n"/>
      <c r="BR5" s="626" t="n"/>
      <c r="BS5" s="626" t="n"/>
    </row>
    <row r="6">
      <c r="D6" s="626" t="n"/>
      <c r="E6" s="626" t="n"/>
      <c r="F6" s="626" t="n"/>
      <c r="G6" s="1915" t="inlineStr">
        <is>
          <t>Month of Attrition</t>
        </is>
      </c>
      <c r="BQ6" s="626" t="n"/>
      <c r="BR6" s="1915" t="inlineStr">
        <is>
          <t>Check</t>
        </is>
      </c>
    </row>
    <row r="7" ht="3" customHeight="1" s="1883">
      <c r="D7" s="626" t="n"/>
      <c r="E7" s="626" t="n"/>
      <c r="F7" s="626" t="n"/>
      <c r="G7" s="926" t="n"/>
      <c r="H7" s="926" t="n"/>
      <c r="I7" s="926" t="n"/>
      <c r="J7" s="926" t="n"/>
      <c r="K7" s="926" t="n"/>
      <c r="L7" s="926" t="n"/>
      <c r="M7" s="926" t="n"/>
      <c r="N7" s="926" t="n"/>
      <c r="O7" s="926" t="n"/>
      <c r="P7" s="926" t="n"/>
      <c r="Q7" s="926" t="n"/>
      <c r="R7" s="926" t="n"/>
      <c r="S7" s="926" t="n"/>
      <c r="T7" s="926" t="n"/>
      <c r="U7" s="926" t="n"/>
      <c r="V7" s="926" t="n"/>
      <c r="W7" s="926" t="n"/>
      <c r="X7" s="926" t="n"/>
      <c r="Y7" s="926" t="n"/>
      <c r="Z7" s="926" t="n"/>
      <c r="AA7" s="926" t="n"/>
      <c r="AB7" s="926" t="n"/>
      <c r="AC7" s="926" t="n"/>
      <c r="AD7" s="926" t="n"/>
      <c r="AE7" s="926" t="n"/>
      <c r="AF7" s="926" t="n"/>
      <c r="AG7" s="926" t="n"/>
      <c r="AH7" s="926" t="n"/>
      <c r="AI7" s="926" t="n"/>
      <c r="AJ7" s="926" t="n"/>
      <c r="AK7" s="926" t="n"/>
      <c r="AL7" s="926" t="n"/>
      <c r="AM7" s="926" t="n"/>
      <c r="AN7" s="926" t="n"/>
      <c r="AO7" s="926" t="n"/>
      <c r="AP7" s="926" t="n"/>
      <c r="AQ7" s="926" t="n"/>
      <c r="AR7" s="926" t="n"/>
      <c r="AS7" s="926" t="n"/>
      <c r="AT7" s="926" t="n"/>
      <c r="AU7" s="926" t="n"/>
      <c r="AV7" s="926" t="n"/>
      <c r="AW7" s="926" t="n"/>
      <c r="AX7" s="926" t="n"/>
      <c r="AY7" s="926" t="n"/>
      <c r="AZ7" s="926" t="n"/>
      <c r="BA7" s="926" t="n"/>
      <c r="BB7" s="926" t="n"/>
      <c r="BC7" s="926" t="n"/>
      <c r="BD7" s="926" t="n"/>
      <c r="BE7" s="926" t="n"/>
      <c r="BF7" s="926" t="n"/>
      <c r="BG7" s="926" t="n"/>
      <c r="BH7" s="926" t="n"/>
      <c r="BI7" s="926" t="n"/>
      <c r="BJ7" s="926" t="n"/>
      <c r="BK7" s="926" t="n"/>
      <c r="BL7" s="926" t="n"/>
      <c r="BM7" s="926" t="n"/>
      <c r="BN7" s="926" t="n"/>
      <c r="BO7" s="626" t="n"/>
      <c r="BP7" s="926" t="n"/>
      <c r="BQ7" s="626" t="n"/>
      <c r="BR7" s="926" t="n"/>
      <c r="BS7" s="926" t="n"/>
    </row>
    <row r="8" ht="3" customHeight="1" s="1883">
      <c r="D8" s="626" t="n"/>
      <c r="E8" s="626" t="n"/>
      <c r="F8" s="626" t="n"/>
      <c r="G8" s="626" t="n"/>
      <c r="H8" s="626" t="n"/>
      <c r="I8" s="626" t="n"/>
      <c r="J8" s="626" t="n"/>
      <c r="K8" s="626" t="n"/>
      <c r="L8" s="626" t="n"/>
      <c r="M8" s="626" t="n"/>
      <c r="N8" s="626" t="n"/>
      <c r="O8" s="626" t="n"/>
      <c r="P8" s="626" t="n"/>
      <c r="Q8" s="626" t="n"/>
      <c r="R8" s="626" t="n"/>
      <c r="S8" s="626" t="n"/>
      <c r="T8" s="626" t="n"/>
      <c r="U8" s="626" t="n"/>
      <c r="V8" s="626" t="n"/>
      <c r="W8" s="626" t="n"/>
      <c r="X8" s="626" t="n"/>
      <c r="Y8" s="626" t="n"/>
      <c r="Z8" s="626" t="n"/>
      <c r="AA8" s="626" t="n"/>
      <c r="AB8" s="626" t="n"/>
      <c r="AC8" s="626" t="n"/>
      <c r="AD8" s="626" t="n"/>
      <c r="AE8" s="626" t="n"/>
      <c r="AF8" s="626" t="n"/>
      <c r="AG8" s="626" t="n"/>
      <c r="AH8" s="626" t="n"/>
      <c r="AI8" s="626" t="n"/>
      <c r="AJ8" s="626" t="n"/>
      <c r="AK8" s="626" t="n"/>
      <c r="AL8" s="626" t="n"/>
      <c r="AM8" s="626" t="n"/>
      <c r="AN8" s="626" t="n"/>
      <c r="AO8" s="626" t="n"/>
      <c r="AP8" s="626" t="n"/>
      <c r="AQ8" s="626" t="n"/>
      <c r="AR8" s="626" t="n"/>
      <c r="AS8" s="626" t="n"/>
      <c r="AT8" s="626" t="n"/>
      <c r="AU8" s="626" t="n"/>
      <c r="AV8" s="626" t="n"/>
      <c r="AW8" s="626" t="n"/>
      <c r="AX8" s="626" t="n"/>
      <c r="AY8" s="626" t="n"/>
      <c r="AZ8" s="626" t="n"/>
      <c r="BA8" s="626" t="n"/>
      <c r="BB8" s="626" t="n"/>
      <c r="BC8" s="626" t="n"/>
      <c r="BD8" s="626" t="n"/>
      <c r="BE8" s="626" t="n"/>
      <c r="BF8" s="626" t="n"/>
      <c r="BG8" s="626" t="n"/>
      <c r="BH8" s="626" t="n"/>
      <c r="BI8" s="626" t="n"/>
      <c r="BJ8" s="626" t="n"/>
      <c r="BK8" s="626" t="n"/>
      <c r="BL8" s="626" t="n"/>
      <c r="BM8" s="626" t="n"/>
      <c r="BN8" s="626" t="n"/>
      <c r="BO8" s="626" t="n"/>
      <c r="BP8" s="626" t="n"/>
      <c r="BQ8" s="626" t="n"/>
      <c r="BR8" s="626" t="n"/>
      <c r="BS8" s="626" t="n"/>
    </row>
    <row r="9">
      <c r="D9" s="117" t="inlineStr">
        <is>
          <t>Sale Vintage</t>
        </is>
      </c>
      <c r="E9" s="117" t="inlineStr">
        <is>
          <t>Volume</t>
        </is>
      </c>
      <c r="F9" s="626" t="n"/>
      <c r="G9" s="117" t="inlineStr">
        <is>
          <t>Month 1</t>
        </is>
      </c>
      <c r="H9" s="117" t="inlineStr">
        <is>
          <t>Month 2</t>
        </is>
      </c>
      <c r="I9" s="117" t="inlineStr">
        <is>
          <t>Month 3</t>
        </is>
      </c>
      <c r="J9" s="117" t="inlineStr">
        <is>
          <t>Month 4</t>
        </is>
      </c>
      <c r="K9" s="117" t="inlineStr">
        <is>
          <t>Month 5</t>
        </is>
      </c>
      <c r="L9" s="117" t="inlineStr">
        <is>
          <t>Month 6</t>
        </is>
      </c>
      <c r="M9" s="117" t="inlineStr">
        <is>
          <t>Month 7</t>
        </is>
      </c>
      <c r="N9" s="117" t="inlineStr">
        <is>
          <t>Month 8</t>
        </is>
      </c>
      <c r="O9" s="117" t="inlineStr">
        <is>
          <t>Month 9</t>
        </is>
      </c>
      <c r="P9" s="117" t="inlineStr">
        <is>
          <t>Month 10</t>
        </is>
      </c>
      <c r="Q9" s="117" t="inlineStr">
        <is>
          <t>Month 11</t>
        </is>
      </c>
      <c r="R9" s="966" t="inlineStr">
        <is>
          <t>Month 12</t>
        </is>
      </c>
      <c r="S9" s="117" t="inlineStr">
        <is>
          <t>Month 13</t>
        </is>
      </c>
      <c r="T9" s="117" t="inlineStr">
        <is>
          <t>Month 14</t>
        </is>
      </c>
      <c r="U9" s="117" t="inlineStr">
        <is>
          <t>Month 15</t>
        </is>
      </c>
      <c r="V9" s="117" t="inlineStr">
        <is>
          <t>Month 16</t>
        </is>
      </c>
      <c r="W9" s="117" t="inlineStr">
        <is>
          <t>Month 17</t>
        </is>
      </c>
      <c r="X9" s="117" t="inlineStr">
        <is>
          <t>Month 18</t>
        </is>
      </c>
      <c r="Y9" s="117" t="inlineStr">
        <is>
          <t>Month 19</t>
        </is>
      </c>
      <c r="Z9" s="117" t="inlineStr">
        <is>
          <t>Month 20</t>
        </is>
      </c>
      <c r="AA9" s="117" t="inlineStr">
        <is>
          <t>Month 21</t>
        </is>
      </c>
      <c r="AB9" s="117" t="inlineStr">
        <is>
          <t>Month 22</t>
        </is>
      </c>
      <c r="AC9" s="117" t="inlineStr">
        <is>
          <t>Month 23</t>
        </is>
      </c>
      <c r="AD9" s="966" t="inlineStr">
        <is>
          <t>Month 24</t>
        </is>
      </c>
      <c r="AE9" s="117" t="inlineStr">
        <is>
          <t>Month 25</t>
        </is>
      </c>
      <c r="AF9" s="117" t="inlineStr">
        <is>
          <t>Month 26</t>
        </is>
      </c>
      <c r="AG9" s="117" t="inlineStr">
        <is>
          <t>Month 27</t>
        </is>
      </c>
      <c r="AH9" s="117" t="inlineStr">
        <is>
          <t>Month 28</t>
        </is>
      </c>
      <c r="AI9" s="117" t="inlineStr">
        <is>
          <t>Month 29</t>
        </is>
      </c>
      <c r="AJ9" s="117" t="inlineStr">
        <is>
          <t>Month 30</t>
        </is>
      </c>
      <c r="AK9" s="117" t="inlineStr">
        <is>
          <t>Month 31</t>
        </is>
      </c>
      <c r="AL9" s="117" t="inlineStr">
        <is>
          <t>Month 32</t>
        </is>
      </c>
      <c r="AM9" s="117" t="inlineStr">
        <is>
          <t>Month 33</t>
        </is>
      </c>
      <c r="AN9" s="117" t="inlineStr">
        <is>
          <t>Month 34</t>
        </is>
      </c>
      <c r="AO9" s="117" t="inlineStr">
        <is>
          <t>Month 35</t>
        </is>
      </c>
      <c r="AP9" s="966" t="inlineStr">
        <is>
          <t>Month 36</t>
        </is>
      </c>
      <c r="AQ9" s="117" t="inlineStr">
        <is>
          <t>Month 37</t>
        </is>
      </c>
      <c r="AR9" s="117" t="inlineStr">
        <is>
          <t>Month 38</t>
        </is>
      </c>
      <c r="AS9" s="117" t="inlineStr">
        <is>
          <t>Month 39</t>
        </is>
      </c>
      <c r="AT9" s="117" t="inlineStr">
        <is>
          <t>Month 40</t>
        </is>
      </c>
      <c r="AU9" s="117" t="inlineStr">
        <is>
          <t>Month 41</t>
        </is>
      </c>
      <c r="AV9" s="117" t="inlineStr">
        <is>
          <t>Month 42</t>
        </is>
      </c>
      <c r="AW9" s="117" t="inlineStr">
        <is>
          <t>Month 43</t>
        </is>
      </c>
      <c r="AX9" s="117" t="inlineStr">
        <is>
          <t>Month 44</t>
        </is>
      </c>
      <c r="AY9" s="117" t="inlineStr">
        <is>
          <t>Month 45</t>
        </is>
      </c>
      <c r="AZ9" s="117" t="inlineStr">
        <is>
          <t>Month 46</t>
        </is>
      </c>
      <c r="BA9" s="117" t="inlineStr">
        <is>
          <t>Month 47</t>
        </is>
      </c>
      <c r="BB9" s="966" t="inlineStr">
        <is>
          <t>Month 48</t>
        </is>
      </c>
      <c r="BC9" s="117" t="inlineStr">
        <is>
          <t>Month 49</t>
        </is>
      </c>
      <c r="BD9" s="117" t="inlineStr">
        <is>
          <t>Month 50</t>
        </is>
      </c>
      <c r="BE9" s="117" t="inlineStr">
        <is>
          <t>Month 51</t>
        </is>
      </c>
      <c r="BF9" s="117" t="inlineStr">
        <is>
          <t>Month 52</t>
        </is>
      </c>
      <c r="BG9" s="117" t="inlineStr">
        <is>
          <t>Month 53</t>
        </is>
      </c>
      <c r="BH9" s="117" t="inlineStr">
        <is>
          <t>Month 54</t>
        </is>
      </c>
      <c r="BI9" s="117" t="inlineStr">
        <is>
          <t>Month 55</t>
        </is>
      </c>
      <c r="BJ9" s="117" t="inlineStr">
        <is>
          <t>Month 56</t>
        </is>
      </c>
      <c r="BK9" s="117" t="inlineStr">
        <is>
          <t>Month 57</t>
        </is>
      </c>
      <c r="BL9" s="117" t="inlineStr">
        <is>
          <t>Month 58</t>
        </is>
      </c>
      <c r="BM9" s="117" t="inlineStr">
        <is>
          <t>Month 59</t>
        </is>
      </c>
      <c r="BN9" s="117" t="inlineStr">
        <is>
          <t>Month 60</t>
        </is>
      </c>
      <c r="BO9" s="626" t="n"/>
      <c r="BP9" s="117" t="inlineStr">
        <is>
          <t>Ʃ, Months 2 - 60</t>
        </is>
      </c>
      <c r="BQ9" s="626" t="n"/>
      <c r="BR9" s="117" t="inlineStr">
        <is>
          <t>Sales</t>
        </is>
      </c>
      <c r="BS9" s="924" t="inlineStr">
        <is>
          <t>Variance</t>
        </is>
      </c>
    </row>
    <row r="10" ht="3" customHeight="1" s="1883">
      <c r="D10" s="926" t="n"/>
      <c r="E10" s="926" t="n"/>
      <c r="F10" s="626" t="n"/>
      <c r="G10" s="926" t="n"/>
      <c r="H10" s="926" t="n"/>
      <c r="I10" s="926" t="n"/>
      <c r="J10" s="926" t="n"/>
      <c r="K10" s="926" t="n"/>
      <c r="L10" s="926" t="n"/>
      <c r="M10" s="926" t="n"/>
      <c r="N10" s="926" t="n"/>
      <c r="O10" s="926" t="n"/>
      <c r="P10" s="926" t="n"/>
      <c r="Q10" s="926" t="n"/>
      <c r="R10" s="967" t="n"/>
      <c r="S10" s="926" t="n"/>
      <c r="T10" s="926" t="n"/>
      <c r="U10" s="926" t="n"/>
      <c r="V10" s="926" t="n"/>
      <c r="W10" s="926" t="n"/>
      <c r="X10" s="926" t="n"/>
      <c r="Y10" s="926" t="n"/>
      <c r="Z10" s="926" t="n"/>
      <c r="AA10" s="926" t="n"/>
      <c r="AB10" s="926" t="n"/>
      <c r="AC10" s="926" t="n"/>
      <c r="AD10" s="967" t="n"/>
      <c r="AE10" s="926" t="n"/>
      <c r="AF10" s="926" t="n"/>
      <c r="AG10" s="926" t="n"/>
      <c r="AH10" s="926" t="n"/>
      <c r="AI10" s="926" t="n"/>
      <c r="AJ10" s="926" t="n"/>
      <c r="AK10" s="926" t="n"/>
      <c r="AL10" s="926" t="n"/>
      <c r="AM10" s="926" t="n"/>
      <c r="AN10" s="926" t="n"/>
      <c r="AO10" s="926" t="n"/>
      <c r="AP10" s="967" t="n"/>
      <c r="AQ10" s="926" t="n"/>
      <c r="AR10" s="926" t="n"/>
      <c r="AS10" s="926" t="n"/>
      <c r="AT10" s="926" t="n"/>
      <c r="AU10" s="926" t="n"/>
      <c r="AV10" s="926" t="n"/>
      <c r="AW10" s="926" t="n"/>
      <c r="AX10" s="926" t="n"/>
      <c r="AY10" s="926" t="n"/>
      <c r="AZ10" s="926" t="n"/>
      <c r="BA10" s="926" t="n"/>
      <c r="BB10" s="967" t="n"/>
      <c r="BC10" s="926" t="n"/>
      <c r="BD10" s="926" t="n"/>
      <c r="BE10" s="926" t="n"/>
      <c r="BF10" s="926" t="n"/>
      <c r="BG10" s="926" t="n"/>
      <c r="BH10" s="926" t="n"/>
      <c r="BI10" s="926" t="n"/>
      <c r="BJ10" s="926" t="n"/>
      <c r="BK10" s="926" t="n"/>
      <c r="BL10" s="926" t="n"/>
      <c r="BM10" s="926" t="n"/>
      <c r="BN10" s="926" t="n"/>
      <c r="BO10" s="626" t="n"/>
      <c r="BP10" s="926" t="n"/>
      <c r="BQ10" s="626" t="n"/>
      <c r="BR10" s="926" t="n"/>
      <c r="BS10" s="926" t="n"/>
    </row>
    <row r="11" ht="3" customHeight="1" s="1883">
      <c r="D11" s="626" t="n"/>
      <c r="E11" s="626" t="n"/>
      <c r="F11" s="626" t="n"/>
      <c r="G11" s="1968" t="n"/>
      <c r="H11" s="626" t="n"/>
      <c r="I11" s="626" t="n"/>
      <c r="J11" s="626" t="n"/>
      <c r="K11" s="626" t="n"/>
      <c r="L11" s="626" t="n"/>
      <c r="M11" s="626" t="n"/>
      <c r="N11" s="626" t="n"/>
      <c r="O11" s="626" t="n"/>
      <c r="P11" s="626" t="n"/>
      <c r="Q11" s="626" t="n"/>
      <c r="R11" s="969" t="n"/>
      <c r="S11" s="626" t="n"/>
      <c r="T11" s="626" t="n"/>
      <c r="U11" s="626" t="n"/>
      <c r="V11" s="626" t="n"/>
      <c r="W11" s="626" t="n"/>
      <c r="X11" s="626" t="n"/>
      <c r="Y11" s="626" t="n"/>
      <c r="Z11" s="626" t="n"/>
      <c r="AA11" s="626" t="n"/>
      <c r="AB11" s="1968" t="n"/>
      <c r="AC11" s="1968" t="n"/>
      <c r="AD11" s="969" t="n"/>
      <c r="AE11" s="1968" t="n"/>
      <c r="AF11" s="1968" t="n"/>
      <c r="AG11" s="1968" t="n"/>
      <c r="AH11" s="1968" t="n"/>
      <c r="AI11" s="1968" t="n"/>
      <c r="AJ11" s="1968" t="n"/>
      <c r="AK11" s="1968" t="n"/>
      <c r="AL11" s="1968" t="n"/>
      <c r="AM11" s="1968" t="n"/>
      <c r="AN11" s="1968" t="n"/>
      <c r="AO11" s="1968" t="n"/>
      <c r="AP11" s="969" t="n"/>
      <c r="AQ11" s="1968" t="n"/>
      <c r="AR11" s="1968" t="n"/>
      <c r="AS11" s="1968" t="n"/>
      <c r="AT11" s="1968" t="n"/>
      <c r="AU11" s="1968" t="n"/>
      <c r="AV11" s="1968" t="n"/>
      <c r="AW11" s="1968" t="n"/>
      <c r="AX11" s="1968" t="n"/>
      <c r="AY11" s="1968" t="n"/>
      <c r="AZ11" s="1968" t="n"/>
      <c r="BA11" s="1968" t="n"/>
      <c r="BB11" s="969" t="n"/>
      <c r="BC11" s="1968" t="n"/>
      <c r="BD11" s="1968" t="n"/>
      <c r="BE11" s="1968" t="n"/>
      <c r="BF11" s="1968" t="n"/>
      <c r="BG11" s="1968" t="n"/>
      <c r="BH11" s="1968" t="n"/>
      <c r="BI11" s="1968" t="n"/>
      <c r="BJ11" s="1968" t="n"/>
      <c r="BK11" s="1968" t="n"/>
      <c r="BL11" s="1968" t="n"/>
      <c r="BM11" s="1968" t="n"/>
      <c r="BN11" s="1968" t="n"/>
      <c r="BO11" s="626" t="n"/>
      <c r="BP11" s="626" t="n"/>
      <c r="BQ11" s="626" t="n"/>
      <c r="BR11" s="626" t="n"/>
      <c r="BS11" s="626" t="n"/>
    </row>
    <row r="12">
      <c r="D12" s="149" t="inlineStr">
        <is>
          <t>Month 1</t>
        </is>
      </c>
      <c r="E12" s="139">
        <f>'P&amp;L Assumptions (Companion App)'!H17</f>
        <v/>
      </c>
      <c r="F12" s="1968" t="n"/>
      <c r="G12" s="978" t="n"/>
      <c r="H12" s="412">
        <f>(($E$12)*($E$3))</f>
        <v/>
      </c>
      <c r="I12" s="135">
        <f>(($E$12)*($E$3))</f>
        <v/>
      </c>
      <c r="J12" s="135">
        <f>(($E$12)*($E$3))</f>
        <v/>
      </c>
      <c r="K12" s="135">
        <f>(($E$12)*($E$3))</f>
        <v/>
      </c>
      <c r="L12" s="135">
        <f>(($E$12)*($E$3))</f>
        <v/>
      </c>
      <c r="M12" s="135">
        <f>(($E$12)*($E$3))</f>
        <v/>
      </c>
      <c r="N12" s="135">
        <f>(($E$12)*($E$3))</f>
        <v/>
      </c>
      <c r="O12" s="135">
        <f>(($E$12)*($E$3))</f>
        <v/>
      </c>
      <c r="P12" s="135">
        <f>(($E$12)*($E$3))</f>
        <v/>
      </c>
      <c r="Q12" s="135">
        <f>(($E$12)*($E$3))</f>
        <v/>
      </c>
      <c r="R12" s="973">
        <f>(($E$12)*($E$3))</f>
        <v/>
      </c>
      <c r="S12" s="135">
        <f>(($E$12)*($E$3))</f>
        <v/>
      </c>
      <c r="T12" s="135">
        <f>(($E$12)*($E$3))</f>
        <v/>
      </c>
      <c r="U12" s="135">
        <f>(($E$12)*($E$3))</f>
        <v/>
      </c>
      <c r="V12" s="135">
        <f>(($E$12)*($E$3))</f>
        <v/>
      </c>
      <c r="W12" s="135">
        <f>(($E$12)*($E$3))</f>
        <v/>
      </c>
      <c r="X12" s="135">
        <f>(($E$12)*($E$3))</f>
        <v/>
      </c>
      <c r="Y12" s="135">
        <f>(($E$12)*($E$3))</f>
        <v/>
      </c>
      <c r="Z12" s="135">
        <f>(($E$12)*($E$3))</f>
        <v/>
      </c>
      <c r="AA12" s="412">
        <f>(($E$12)*($E$3))</f>
        <v/>
      </c>
      <c r="AB12" s="978" t="n"/>
      <c r="AC12" s="978" t="n"/>
      <c r="AD12" s="981" t="n"/>
      <c r="AE12" s="978" t="n"/>
      <c r="AF12" s="978" t="n"/>
      <c r="AG12" s="978" t="n"/>
      <c r="AH12" s="978" t="n"/>
      <c r="AI12" s="978" t="n"/>
      <c r="AJ12" s="978" t="n"/>
      <c r="AK12" s="978" t="n"/>
      <c r="AL12" s="978" t="n"/>
      <c r="AM12" s="978" t="n"/>
      <c r="AN12" s="978" t="n"/>
      <c r="AO12" s="978" t="n"/>
      <c r="AP12" s="981" t="n"/>
      <c r="AQ12" s="978" t="n"/>
      <c r="AR12" s="978" t="n"/>
      <c r="AS12" s="978" t="n"/>
      <c r="AT12" s="978" t="n"/>
      <c r="AU12" s="978" t="n"/>
      <c r="AV12" s="978" t="n"/>
      <c r="AW12" s="978" t="n"/>
      <c r="AX12" s="978" t="n"/>
      <c r="AY12" s="978" t="n"/>
      <c r="AZ12" s="978" t="n"/>
      <c r="BA12" s="978" t="n"/>
      <c r="BB12" s="981" t="n"/>
      <c r="BC12" s="978" t="n"/>
      <c r="BD12" s="978" t="n"/>
      <c r="BE12" s="978" t="n"/>
      <c r="BF12" s="978" t="n"/>
      <c r="BG12" s="978" t="n"/>
      <c r="BH12" s="978" t="n"/>
      <c r="BI12" s="978" t="n"/>
      <c r="BJ12" s="978" t="n"/>
      <c r="BK12" s="978" t="n"/>
      <c r="BL12" s="978" t="n"/>
      <c r="BM12" s="978" t="n"/>
      <c r="BN12" s="978" t="n"/>
      <c r="BO12" s="932" t="n"/>
      <c r="BP12" s="135">
        <f>SUM(G12:BN12)</f>
        <v/>
      </c>
      <c r="BQ12" s="932" t="n"/>
      <c r="BR12" s="135">
        <f>(E12)</f>
        <v/>
      </c>
      <c r="BS12" s="135">
        <f>((BP12)-(BR12))</f>
        <v/>
      </c>
    </row>
    <row r="13">
      <c r="D13" s="149" t="inlineStr">
        <is>
          <t>Month 2</t>
        </is>
      </c>
      <c r="E13" s="139">
        <f>'P&amp;L Assumptions (Companion App)'!J17</f>
        <v/>
      </c>
      <c r="F13" s="1968" t="n"/>
      <c r="G13" s="978" t="n"/>
      <c r="H13" s="978" t="n"/>
      <c r="I13" s="412">
        <f>(($E$13)*($E$3))</f>
        <v/>
      </c>
      <c r="J13" s="135">
        <f>(($E$13)*($E$3))</f>
        <v/>
      </c>
      <c r="K13" s="135">
        <f>(($E$13)*($E$3))</f>
        <v/>
      </c>
      <c r="L13" s="135">
        <f>(($E$13)*($E$3))</f>
        <v/>
      </c>
      <c r="M13" s="135">
        <f>(($E$13)*($E$3))</f>
        <v/>
      </c>
      <c r="N13" s="135">
        <f>(($E$13)*($E$3))</f>
        <v/>
      </c>
      <c r="O13" s="135">
        <f>(($E$13)*($E$3))</f>
        <v/>
      </c>
      <c r="P13" s="135">
        <f>(($E$13)*($E$3))</f>
        <v/>
      </c>
      <c r="Q13" s="135">
        <f>(($E$13)*($E$3))</f>
        <v/>
      </c>
      <c r="R13" s="973">
        <f>(($E$13)*($E$3))</f>
        <v/>
      </c>
      <c r="S13" s="135">
        <f>(($E$13)*($E$3))</f>
        <v/>
      </c>
      <c r="T13" s="135">
        <f>(($E$13)*($E$3))</f>
        <v/>
      </c>
      <c r="U13" s="135">
        <f>(($E$13)*($E$3))</f>
        <v/>
      </c>
      <c r="V13" s="135">
        <f>(($E$13)*($E$3))</f>
        <v/>
      </c>
      <c r="W13" s="135">
        <f>(($E$13)*($E$3))</f>
        <v/>
      </c>
      <c r="X13" s="135">
        <f>(($E$13)*($E$3))</f>
        <v/>
      </c>
      <c r="Y13" s="135">
        <f>(($E$13)*($E$3))</f>
        <v/>
      </c>
      <c r="Z13" s="135">
        <f>(($E$13)*($E$3))</f>
        <v/>
      </c>
      <c r="AA13" s="135">
        <f>(($E$13)*($E$3))</f>
        <v/>
      </c>
      <c r="AB13" s="412">
        <f>(($E$13)*($E$3))</f>
        <v/>
      </c>
      <c r="AC13" s="978" t="n"/>
      <c r="AD13" s="981" t="n"/>
      <c r="AE13" s="978" t="n"/>
      <c r="AF13" s="978" t="n"/>
      <c r="AG13" s="978" t="n"/>
      <c r="AH13" s="978" t="n"/>
      <c r="AI13" s="978" t="n"/>
      <c r="AJ13" s="978" t="n"/>
      <c r="AK13" s="978" t="n"/>
      <c r="AL13" s="978" t="n"/>
      <c r="AM13" s="978" t="n"/>
      <c r="AN13" s="978" t="n"/>
      <c r="AO13" s="978" t="n"/>
      <c r="AP13" s="981" t="n"/>
      <c r="AQ13" s="978" t="n"/>
      <c r="AR13" s="978" t="n"/>
      <c r="AS13" s="978" t="n"/>
      <c r="AT13" s="978" t="n"/>
      <c r="AU13" s="978" t="n"/>
      <c r="AV13" s="978" t="n"/>
      <c r="AW13" s="978" t="n"/>
      <c r="AX13" s="978" t="n"/>
      <c r="AY13" s="978" t="n"/>
      <c r="AZ13" s="978" t="n"/>
      <c r="BA13" s="978" t="n"/>
      <c r="BB13" s="981" t="n"/>
      <c r="BC13" s="978" t="n"/>
      <c r="BD13" s="978" t="n"/>
      <c r="BE13" s="978" t="n"/>
      <c r="BF13" s="978" t="n"/>
      <c r="BG13" s="978" t="n"/>
      <c r="BH13" s="978" t="n"/>
      <c r="BI13" s="978" t="n"/>
      <c r="BJ13" s="978" t="n"/>
      <c r="BK13" s="978" t="n"/>
      <c r="BL13" s="978" t="n"/>
      <c r="BM13" s="978" t="n"/>
      <c r="BN13" s="978" t="n"/>
      <c r="BO13" s="932" t="n"/>
      <c r="BP13" s="135">
        <f>SUM(G13:BN13)</f>
        <v/>
      </c>
      <c r="BQ13" s="932" t="n"/>
      <c r="BR13" s="135">
        <f>(E13)</f>
        <v/>
      </c>
      <c r="BS13" s="135">
        <f>((BP13)-(BR13))</f>
        <v/>
      </c>
    </row>
    <row r="14">
      <c r="D14" s="149" t="inlineStr">
        <is>
          <t>Month 3</t>
        </is>
      </c>
      <c r="E14" s="139">
        <f>'P&amp;L Assumptions (Companion App)'!L17</f>
        <v/>
      </c>
      <c r="F14" s="1968" t="n"/>
      <c r="G14" s="978" t="n"/>
      <c r="H14" s="978" t="n"/>
      <c r="I14" s="978" t="n"/>
      <c r="J14" s="412">
        <f>(($E$14)*($E$3))</f>
        <v/>
      </c>
      <c r="K14" s="135">
        <f>(($E$14)*($E$3))</f>
        <v/>
      </c>
      <c r="L14" s="135">
        <f>(($E$14)*($E$3))</f>
        <v/>
      </c>
      <c r="M14" s="135">
        <f>(($E$14)*($E$3))</f>
        <v/>
      </c>
      <c r="N14" s="135">
        <f>(($E$14)*($E$3))</f>
        <v/>
      </c>
      <c r="O14" s="135">
        <f>(($E$14)*($E$3))</f>
        <v/>
      </c>
      <c r="P14" s="135">
        <f>(($E$14)*($E$3))</f>
        <v/>
      </c>
      <c r="Q14" s="135">
        <f>(($E$14)*($E$3))</f>
        <v/>
      </c>
      <c r="R14" s="973">
        <f>(($E$14)*($E$3))</f>
        <v/>
      </c>
      <c r="S14" s="135">
        <f>(($E$14)*($E$3))</f>
        <v/>
      </c>
      <c r="T14" s="135">
        <f>(($E$14)*($E$3))</f>
        <v/>
      </c>
      <c r="U14" s="135">
        <f>(($E$14)*($E$3))</f>
        <v/>
      </c>
      <c r="V14" s="135">
        <f>(($E$14)*($E$3))</f>
        <v/>
      </c>
      <c r="W14" s="135">
        <f>(($E$14)*($E$3))</f>
        <v/>
      </c>
      <c r="X14" s="135">
        <f>(($E$14)*($E$3))</f>
        <v/>
      </c>
      <c r="Y14" s="135">
        <f>(($E$14)*($E$3))</f>
        <v/>
      </c>
      <c r="Z14" s="135">
        <f>(($E$14)*($E$3))</f>
        <v/>
      </c>
      <c r="AA14" s="135">
        <f>(($E$14)*($E$3))</f>
        <v/>
      </c>
      <c r="AB14" s="135">
        <f>(($E$14)*($E$3))</f>
        <v/>
      </c>
      <c r="AC14" s="412">
        <f>(($E$14)*($E$3))</f>
        <v/>
      </c>
      <c r="AD14" s="981" t="n"/>
      <c r="AE14" s="978" t="n"/>
      <c r="AF14" s="978" t="n"/>
      <c r="AG14" s="978" t="n"/>
      <c r="AH14" s="978" t="n"/>
      <c r="AI14" s="978" t="n"/>
      <c r="AJ14" s="978" t="n"/>
      <c r="AK14" s="978" t="n"/>
      <c r="AL14" s="978" t="n"/>
      <c r="AM14" s="978" t="n"/>
      <c r="AN14" s="978" t="n"/>
      <c r="AO14" s="978" t="n"/>
      <c r="AP14" s="981" t="n"/>
      <c r="AQ14" s="978" t="n"/>
      <c r="AR14" s="978" t="n"/>
      <c r="AS14" s="978" t="n"/>
      <c r="AT14" s="978" t="n"/>
      <c r="AU14" s="978" t="n"/>
      <c r="AV14" s="978" t="n"/>
      <c r="AW14" s="978" t="n"/>
      <c r="AX14" s="978" t="n"/>
      <c r="AY14" s="978" t="n"/>
      <c r="AZ14" s="978" t="n"/>
      <c r="BA14" s="978" t="n"/>
      <c r="BB14" s="981" t="n"/>
      <c r="BC14" s="978" t="n"/>
      <c r="BD14" s="978" t="n"/>
      <c r="BE14" s="978" t="n"/>
      <c r="BF14" s="978" t="n"/>
      <c r="BG14" s="978" t="n"/>
      <c r="BH14" s="978" t="n"/>
      <c r="BI14" s="978" t="n"/>
      <c r="BJ14" s="978" t="n"/>
      <c r="BK14" s="978" t="n"/>
      <c r="BL14" s="978" t="n"/>
      <c r="BM14" s="978" t="n"/>
      <c r="BN14" s="978" t="n"/>
      <c r="BO14" s="932" t="n"/>
      <c r="BP14" s="135">
        <f>SUM(G14:BN14)</f>
        <v/>
      </c>
      <c r="BQ14" s="932" t="n"/>
      <c r="BR14" s="135">
        <f>(E14)</f>
        <v/>
      </c>
      <c r="BS14" s="135">
        <f>((BP14)-(BR14))</f>
        <v/>
      </c>
    </row>
    <row r="15">
      <c r="D15" s="149" t="inlineStr">
        <is>
          <t>Month 4</t>
        </is>
      </c>
      <c r="E15" s="139">
        <f>'P&amp;L Assumptions (Companion App)'!N17</f>
        <v/>
      </c>
      <c r="F15" s="1968" t="n"/>
      <c r="G15" s="978" t="n"/>
      <c r="H15" s="978" t="n"/>
      <c r="I15" s="978" t="n"/>
      <c r="J15" s="978" t="n"/>
      <c r="K15" s="412">
        <f>(($E$15)*($E$3))</f>
        <v/>
      </c>
      <c r="L15" s="135">
        <f>(($E$15)*($E$3))</f>
        <v/>
      </c>
      <c r="M15" s="135">
        <f>(($E$15)*($E$3))</f>
        <v/>
      </c>
      <c r="N15" s="135">
        <f>(($E$15)*($E$3))</f>
        <v/>
      </c>
      <c r="O15" s="135">
        <f>(($E$15)*($E$3))</f>
        <v/>
      </c>
      <c r="P15" s="135">
        <f>(($E$15)*($E$3))</f>
        <v/>
      </c>
      <c r="Q15" s="135">
        <f>(($E$15)*($E$3))</f>
        <v/>
      </c>
      <c r="R15" s="973">
        <f>(($E$15)*($E$3))</f>
        <v/>
      </c>
      <c r="S15" s="135">
        <f>(($E$15)*($E$3))</f>
        <v/>
      </c>
      <c r="T15" s="135">
        <f>(($E$15)*($E$3))</f>
        <v/>
      </c>
      <c r="U15" s="135">
        <f>(($E$15)*($E$3))</f>
        <v/>
      </c>
      <c r="V15" s="135">
        <f>(($E$15)*($E$3))</f>
        <v/>
      </c>
      <c r="W15" s="135">
        <f>(($E$15)*($E$3))</f>
        <v/>
      </c>
      <c r="X15" s="135">
        <f>(($E$15)*($E$3))</f>
        <v/>
      </c>
      <c r="Y15" s="135">
        <f>(($E$15)*($E$3))</f>
        <v/>
      </c>
      <c r="Z15" s="135">
        <f>(($E$15)*($E$3))</f>
        <v/>
      </c>
      <c r="AA15" s="135">
        <f>(($E$15)*($E$3))</f>
        <v/>
      </c>
      <c r="AB15" s="135">
        <f>(($E$15)*($E$3))</f>
        <v/>
      </c>
      <c r="AC15" s="135">
        <f>(($E$15)*($E$3))</f>
        <v/>
      </c>
      <c r="AD15" s="973">
        <f>(($E$15)*($E$3))</f>
        <v/>
      </c>
      <c r="AE15" s="978" t="n"/>
      <c r="AF15" s="978" t="n"/>
      <c r="AG15" s="978" t="n"/>
      <c r="AH15" s="978" t="n"/>
      <c r="AI15" s="978" t="n"/>
      <c r="AJ15" s="978" t="n"/>
      <c r="AK15" s="978" t="n"/>
      <c r="AL15" s="978" t="n"/>
      <c r="AM15" s="978" t="n"/>
      <c r="AN15" s="978" t="n"/>
      <c r="AO15" s="978" t="n"/>
      <c r="AP15" s="981" t="n"/>
      <c r="AQ15" s="978" t="n"/>
      <c r="AR15" s="978" t="n"/>
      <c r="AS15" s="978" t="n"/>
      <c r="AT15" s="978" t="n"/>
      <c r="AU15" s="978" t="n"/>
      <c r="AV15" s="978" t="n"/>
      <c r="AW15" s="978" t="n"/>
      <c r="AX15" s="978" t="n"/>
      <c r="AY15" s="978" t="n"/>
      <c r="AZ15" s="978" t="n"/>
      <c r="BA15" s="978" t="n"/>
      <c r="BB15" s="981" t="n"/>
      <c r="BC15" s="978" t="n"/>
      <c r="BD15" s="978" t="n"/>
      <c r="BE15" s="978" t="n"/>
      <c r="BF15" s="978" t="n"/>
      <c r="BG15" s="978" t="n"/>
      <c r="BH15" s="978" t="n"/>
      <c r="BI15" s="978" t="n"/>
      <c r="BJ15" s="978" t="n"/>
      <c r="BK15" s="978" t="n"/>
      <c r="BL15" s="978" t="n"/>
      <c r="BM15" s="978" t="n"/>
      <c r="BN15" s="978" t="n"/>
      <c r="BO15" s="932" t="n"/>
      <c r="BP15" s="135">
        <f>SUM(G15:BN15)</f>
        <v/>
      </c>
      <c r="BQ15" s="932" t="n"/>
      <c r="BR15" s="135">
        <f>(E15)</f>
        <v/>
      </c>
      <c r="BS15" s="135">
        <f>((BP15)-(BR15))</f>
        <v/>
      </c>
    </row>
    <row r="16">
      <c r="D16" s="149" t="inlineStr">
        <is>
          <t>Month 5</t>
        </is>
      </c>
      <c r="E16" s="139">
        <f>'P&amp;L Assumptions (Companion App)'!P17</f>
        <v/>
      </c>
      <c r="F16" s="1968" t="n"/>
      <c r="G16" s="978" t="n"/>
      <c r="H16" s="978" t="n"/>
      <c r="I16" s="978" t="n"/>
      <c r="J16" s="978" t="n"/>
      <c r="K16" s="978" t="n"/>
      <c r="L16" s="412">
        <f>(($E$16)*($E$3))</f>
        <v/>
      </c>
      <c r="M16" s="135">
        <f>(($E$16)*($E$3))</f>
        <v/>
      </c>
      <c r="N16" s="135">
        <f>(($E$16)*($E$3))</f>
        <v/>
      </c>
      <c r="O16" s="135">
        <f>(($E$16)*($E$3))</f>
        <v/>
      </c>
      <c r="P16" s="135">
        <f>(($E$16)*($E$3))</f>
        <v/>
      </c>
      <c r="Q16" s="135">
        <f>(($E$16)*($E$3))</f>
        <v/>
      </c>
      <c r="R16" s="973">
        <f>(($E$16)*($E$3))</f>
        <v/>
      </c>
      <c r="S16" s="135">
        <f>(($E$16)*($E$3))</f>
        <v/>
      </c>
      <c r="T16" s="135">
        <f>(($E$16)*($E$3))</f>
        <v/>
      </c>
      <c r="U16" s="135">
        <f>(($E$16)*($E$3))</f>
        <v/>
      </c>
      <c r="V16" s="135">
        <f>(($E$16)*($E$3))</f>
        <v/>
      </c>
      <c r="W16" s="135">
        <f>(($E$16)*($E$3))</f>
        <v/>
      </c>
      <c r="X16" s="135">
        <f>(($E$16)*($E$3))</f>
        <v/>
      </c>
      <c r="Y16" s="135">
        <f>(($E$16)*($E$3))</f>
        <v/>
      </c>
      <c r="Z16" s="135">
        <f>(($E$16)*($E$3))</f>
        <v/>
      </c>
      <c r="AA16" s="135">
        <f>(($E$16)*($E$3))</f>
        <v/>
      </c>
      <c r="AB16" s="135">
        <f>(($E$16)*($E$3))</f>
        <v/>
      </c>
      <c r="AC16" s="135">
        <f>(($E$16)*($E$3))</f>
        <v/>
      </c>
      <c r="AD16" s="973">
        <f>(($E$16)*($E$3))</f>
        <v/>
      </c>
      <c r="AE16" s="412">
        <f>(($E$16)*($E$3))</f>
        <v/>
      </c>
      <c r="AF16" s="978" t="n"/>
      <c r="AG16" s="978" t="n"/>
      <c r="AH16" s="978" t="n"/>
      <c r="AI16" s="978" t="n"/>
      <c r="AJ16" s="978" t="n"/>
      <c r="AK16" s="978" t="n"/>
      <c r="AL16" s="978" t="n"/>
      <c r="AM16" s="978" t="n"/>
      <c r="AN16" s="978" t="n"/>
      <c r="AO16" s="978" t="n"/>
      <c r="AP16" s="981" t="n"/>
      <c r="AQ16" s="978" t="n"/>
      <c r="AR16" s="978" t="n"/>
      <c r="AS16" s="978" t="n"/>
      <c r="AT16" s="978" t="n"/>
      <c r="AU16" s="978" t="n"/>
      <c r="AV16" s="978" t="n"/>
      <c r="AW16" s="978" t="n"/>
      <c r="AX16" s="978" t="n"/>
      <c r="AY16" s="978" t="n"/>
      <c r="AZ16" s="978" t="n"/>
      <c r="BA16" s="978" t="n"/>
      <c r="BB16" s="981" t="n"/>
      <c r="BC16" s="978" t="n"/>
      <c r="BD16" s="978" t="n"/>
      <c r="BE16" s="978" t="n"/>
      <c r="BF16" s="978" t="n"/>
      <c r="BG16" s="978" t="n"/>
      <c r="BH16" s="978" t="n"/>
      <c r="BI16" s="978" t="n"/>
      <c r="BJ16" s="978" t="n"/>
      <c r="BK16" s="978" t="n"/>
      <c r="BL16" s="978" t="n"/>
      <c r="BM16" s="978" t="n"/>
      <c r="BN16" s="978" t="n"/>
      <c r="BO16" s="932" t="n"/>
      <c r="BP16" s="135">
        <f>SUM(G16:BN16)</f>
        <v/>
      </c>
      <c r="BQ16" s="932" t="n"/>
      <c r="BR16" s="135">
        <f>(E16)</f>
        <v/>
      </c>
      <c r="BS16" s="135">
        <f>((BP16)-(BR16))</f>
        <v/>
      </c>
    </row>
    <row r="17">
      <c r="D17" s="149" t="inlineStr">
        <is>
          <t>Month 6</t>
        </is>
      </c>
      <c r="E17" s="139">
        <f>'P&amp;L Assumptions (Companion App)'!R17</f>
        <v/>
      </c>
      <c r="F17" s="1968" t="n"/>
      <c r="G17" s="978" t="n"/>
      <c r="H17" s="978" t="n"/>
      <c r="I17" s="978" t="n"/>
      <c r="J17" s="978" t="n"/>
      <c r="K17" s="978" t="n"/>
      <c r="L17" s="978" t="n"/>
      <c r="M17" s="412">
        <f>(($E$17)*($E$3))</f>
        <v/>
      </c>
      <c r="N17" s="135">
        <f>(($E$17)*($E$3))</f>
        <v/>
      </c>
      <c r="O17" s="135">
        <f>(($E$17)*($E$3))</f>
        <v/>
      </c>
      <c r="P17" s="135">
        <f>(($E$17)*($E$3))</f>
        <v/>
      </c>
      <c r="Q17" s="135">
        <f>(($E$17)*($E$3))</f>
        <v/>
      </c>
      <c r="R17" s="973">
        <f>(($E$17)*($E$3))</f>
        <v/>
      </c>
      <c r="S17" s="135">
        <f>(($E$17)*($E$3))</f>
        <v/>
      </c>
      <c r="T17" s="135">
        <f>(($E$17)*($E$3))</f>
        <v/>
      </c>
      <c r="U17" s="135">
        <f>(($E$17)*($E$3))</f>
        <v/>
      </c>
      <c r="V17" s="135">
        <f>(($E$17)*($E$3))</f>
        <v/>
      </c>
      <c r="W17" s="135">
        <f>(($E$17)*($E$3))</f>
        <v/>
      </c>
      <c r="X17" s="135">
        <f>(($E$17)*($E$3))</f>
        <v/>
      </c>
      <c r="Y17" s="135">
        <f>(($E$17)*($E$3))</f>
        <v/>
      </c>
      <c r="Z17" s="135">
        <f>(($E$17)*($E$3))</f>
        <v/>
      </c>
      <c r="AA17" s="135">
        <f>(($E$17)*($E$3))</f>
        <v/>
      </c>
      <c r="AB17" s="135">
        <f>(($E$17)*($E$3))</f>
        <v/>
      </c>
      <c r="AC17" s="135">
        <f>(($E$17)*($E$3))</f>
        <v/>
      </c>
      <c r="AD17" s="973">
        <f>(($E$17)*($E$3))</f>
        <v/>
      </c>
      <c r="AE17" s="135">
        <f>(($E$17)*($E$3))</f>
        <v/>
      </c>
      <c r="AF17" s="412">
        <f>(($E$17)*($E$3))</f>
        <v/>
      </c>
      <c r="AG17" s="978" t="n"/>
      <c r="AH17" s="978" t="n"/>
      <c r="AI17" s="978" t="n"/>
      <c r="AJ17" s="978" t="n"/>
      <c r="AK17" s="978" t="n"/>
      <c r="AL17" s="978" t="n"/>
      <c r="AM17" s="978" t="n"/>
      <c r="AN17" s="978" t="n"/>
      <c r="AO17" s="978" t="n"/>
      <c r="AP17" s="981" t="n"/>
      <c r="AQ17" s="978" t="n"/>
      <c r="AR17" s="978" t="n"/>
      <c r="AS17" s="978" t="n"/>
      <c r="AT17" s="978" t="n"/>
      <c r="AU17" s="978" t="n"/>
      <c r="AV17" s="978" t="n"/>
      <c r="AW17" s="978" t="n"/>
      <c r="AX17" s="978" t="n"/>
      <c r="AY17" s="978" t="n"/>
      <c r="AZ17" s="978" t="n"/>
      <c r="BA17" s="978" t="n"/>
      <c r="BB17" s="981" t="n"/>
      <c r="BC17" s="978" t="n"/>
      <c r="BD17" s="978" t="n"/>
      <c r="BE17" s="978" t="n"/>
      <c r="BF17" s="978" t="n"/>
      <c r="BG17" s="978" t="n"/>
      <c r="BH17" s="978" t="n"/>
      <c r="BI17" s="978" t="n"/>
      <c r="BJ17" s="978" t="n"/>
      <c r="BK17" s="978" t="n"/>
      <c r="BL17" s="978" t="n"/>
      <c r="BM17" s="978" t="n"/>
      <c r="BN17" s="978" t="n"/>
      <c r="BO17" s="932" t="n"/>
      <c r="BP17" s="135">
        <f>SUM(G17:BN17)</f>
        <v/>
      </c>
      <c r="BQ17" s="932" t="n"/>
      <c r="BR17" s="135">
        <f>(E17)</f>
        <v/>
      </c>
      <c r="BS17" s="135">
        <f>((BP17)-(BR17))</f>
        <v/>
      </c>
    </row>
    <row r="18">
      <c r="D18" s="149" t="inlineStr">
        <is>
          <t>Month 7</t>
        </is>
      </c>
      <c r="E18" s="139">
        <f>'P&amp;L Assumptions (Companion App)'!T17</f>
        <v/>
      </c>
      <c r="F18" s="1968" t="n"/>
      <c r="G18" s="978" t="n"/>
      <c r="H18" s="978" t="n"/>
      <c r="I18" s="978" t="n"/>
      <c r="J18" s="978" t="n"/>
      <c r="K18" s="978" t="n"/>
      <c r="L18" s="978" t="n"/>
      <c r="M18" s="978" t="n"/>
      <c r="N18" s="412">
        <f>(($E$18)*($E$3))</f>
        <v/>
      </c>
      <c r="O18" s="135">
        <f>(($E$18)*($E$3))</f>
        <v/>
      </c>
      <c r="P18" s="135">
        <f>(($E$18)*($E$3))</f>
        <v/>
      </c>
      <c r="Q18" s="135">
        <f>(($E$18)*($E$3))</f>
        <v/>
      </c>
      <c r="R18" s="973">
        <f>(($E$18)*($E$3))</f>
        <v/>
      </c>
      <c r="S18" s="135">
        <f>(($E$18)*($E$3))</f>
        <v/>
      </c>
      <c r="T18" s="135">
        <f>(($E$18)*($E$3))</f>
        <v/>
      </c>
      <c r="U18" s="135">
        <f>(($E$18)*($E$3))</f>
        <v/>
      </c>
      <c r="V18" s="135">
        <f>(($E$18)*($E$3))</f>
        <v/>
      </c>
      <c r="W18" s="135">
        <f>(($E$18)*($E$3))</f>
        <v/>
      </c>
      <c r="X18" s="135">
        <f>(($E$18)*($E$3))</f>
        <v/>
      </c>
      <c r="Y18" s="135">
        <f>(($E$18)*($E$3))</f>
        <v/>
      </c>
      <c r="Z18" s="135">
        <f>(($E$18)*($E$3))</f>
        <v/>
      </c>
      <c r="AA18" s="135">
        <f>(($E$18)*($E$3))</f>
        <v/>
      </c>
      <c r="AB18" s="135">
        <f>(($E$18)*($E$3))</f>
        <v/>
      </c>
      <c r="AC18" s="135">
        <f>(($E$18)*($E$3))</f>
        <v/>
      </c>
      <c r="AD18" s="973">
        <f>(($E$18)*($E$3))</f>
        <v/>
      </c>
      <c r="AE18" s="135">
        <f>(($E$18)*($E$3))</f>
        <v/>
      </c>
      <c r="AF18" s="135">
        <f>(($E$18)*($E$3))</f>
        <v/>
      </c>
      <c r="AG18" s="412">
        <f>(($E$18)*($E$3))</f>
        <v/>
      </c>
      <c r="AH18" s="978" t="n"/>
      <c r="AI18" s="978" t="n"/>
      <c r="AJ18" s="978" t="n"/>
      <c r="AK18" s="978" t="n"/>
      <c r="AL18" s="978" t="n"/>
      <c r="AM18" s="978" t="n"/>
      <c r="AN18" s="978" t="n"/>
      <c r="AO18" s="978" t="n"/>
      <c r="AP18" s="981" t="n"/>
      <c r="AQ18" s="978" t="n"/>
      <c r="AR18" s="978" t="n"/>
      <c r="AS18" s="978" t="n"/>
      <c r="AT18" s="978" t="n"/>
      <c r="AU18" s="978" t="n"/>
      <c r="AV18" s="978" t="n"/>
      <c r="AW18" s="978" t="n"/>
      <c r="AX18" s="978" t="n"/>
      <c r="AY18" s="978" t="n"/>
      <c r="AZ18" s="978" t="n"/>
      <c r="BA18" s="978" t="n"/>
      <c r="BB18" s="981" t="n"/>
      <c r="BC18" s="978" t="n"/>
      <c r="BD18" s="978" t="n"/>
      <c r="BE18" s="978" t="n"/>
      <c r="BF18" s="978" t="n"/>
      <c r="BG18" s="978" t="n"/>
      <c r="BH18" s="978" t="n"/>
      <c r="BI18" s="978" t="n"/>
      <c r="BJ18" s="978" t="n"/>
      <c r="BK18" s="978" t="n"/>
      <c r="BL18" s="978" t="n"/>
      <c r="BM18" s="978" t="n"/>
      <c r="BN18" s="978" t="n"/>
      <c r="BO18" s="932" t="n"/>
      <c r="BP18" s="135">
        <f>SUM(G18:BN18)</f>
        <v/>
      </c>
      <c r="BQ18" s="932" t="n"/>
      <c r="BR18" s="135">
        <f>(E18)</f>
        <v/>
      </c>
      <c r="BS18" s="135">
        <f>((BP18)-(BR18))</f>
        <v/>
      </c>
    </row>
    <row r="19">
      <c r="D19" s="149" t="inlineStr">
        <is>
          <t>Month 8</t>
        </is>
      </c>
      <c r="E19" s="139">
        <f>'P&amp;L Assumptions (Companion App)'!V17</f>
        <v/>
      </c>
      <c r="F19" s="1968" t="n"/>
      <c r="G19" s="978" t="n"/>
      <c r="H19" s="978" t="n"/>
      <c r="I19" s="978" t="n"/>
      <c r="J19" s="978" t="n"/>
      <c r="K19" s="978" t="n"/>
      <c r="L19" s="978" t="n"/>
      <c r="M19" s="978" t="n"/>
      <c r="N19" s="978" t="n"/>
      <c r="O19" s="412">
        <f>(($E$19)*($E$3))</f>
        <v/>
      </c>
      <c r="P19" s="135">
        <f>(($E$19)*($E$3))</f>
        <v/>
      </c>
      <c r="Q19" s="135">
        <f>(($E$19)*($E$3))</f>
        <v/>
      </c>
      <c r="R19" s="973">
        <f>(($E$19)*($E$3))</f>
        <v/>
      </c>
      <c r="S19" s="135">
        <f>(($E$19)*($E$3))</f>
        <v/>
      </c>
      <c r="T19" s="135">
        <f>(($E$19)*($E$3))</f>
        <v/>
      </c>
      <c r="U19" s="135">
        <f>(($E$19)*($E$3))</f>
        <v/>
      </c>
      <c r="V19" s="135">
        <f>(($E$19)*($E$3))</f>
        <v/>
      </c>
      <c r="W19" s="135">
        <f>(($E$19)*($E$3))</f>
        <v/>
      </c>
      <c r="X19" s="135">
        <f>(($E$19)*($E$3))</f>
        <v/>
      </c>
      <c r="Y19" s="135">
        <f>(($E$19)*($E$3))</f>
        <v/>
      </c>
      <c r="Z19" s="135">
        <f>(($E$19)*($E$3))</f>
        <v/>
      </c>
      <c r="AA19" s="135">
        <f>(($E$19)*($E$3))</f>
        <v/>
      </c>
      <c r="AB19" s="135">
        <f>(($E$19)*($E$3))</f>
        <v/>
      </c>
      <c r="AC19" s="135">
        <f>(($E$19)*($E$3))</f>
        <v/>
      </c>
      <c r="AD19" s="973">
        <f>(($E$19)*($E$3))</f>
        <v/>
      </c>
      <c r="AE19" s="135">
        <f>(($E$19)*($E$3))</f>
        <v/>
      </c>
      <c r="AF19" s="135">
        <f>(($E$19)*($E$3))</f>
        <v/>
      </c>
      <c r="AG19" s="135">
        <f>(($E$19)*($E$3))</f>
        <v/>
      </c>
      <c r="AH19" s="412">
        <f>(($E$19)*($E$3))</f>
        <v/>
      </c>
      <c r="AI19" s="978" t="n"/>
      <c r="AJ19" s="978" t="n"/>
      <c r="AK19" s="978" t="n"/>
      <c r="AL19" s="978" t="n"/>
      <c r="AM19" s="978" t="n"/>
      <c r="AN19" s="978" t="n"/>
      <c r="AO19" s="978" t="n"/>
      <c r="AP19" s="981" t="n"/>
      <c r="AQ19" s="978" t="n"/>
      <c r="AR19" s="978" t="n"/>
      <c r="AS19" s="978" t="n"/>
      <c r="AT19" s="978" t="n"/>
      <c r="AU19" s="978" t="n"/>
      <c r="AV19" s="978" t="n"/>
      <c r="AW19" s="978" t="n"/>
      <c r="AX19" s="978" t="n"/>
      <c r="AY19" s="978" t="n"/>
      <c r="AZ19" s="978" t="n"/>
      <c r="BA19" s="978" t="n"/>
      <c r="BB19" s="981" t="n"/>
      <c r="BC19" s="978" t="n"/>
      <c r="BD19" s="978" t="n"/>
      <c r="BE19" s="978" t="n"/>
      <c r="BF19" s="978" t="n"/>
      <c r="BG19" s="978" t="n"/>
      <c r="BH19" s="978" t="n"/>
      <c r="BI19" s="978" t="n"/>
      <c r="BJ19" s="978" t="n"/>
      <c r="BK19" s="978" t="n"/>
      <c r="BL19" s="978" t="n"/>
      <c r="BM19" s="978" t="n"/>
      <c r="BN19" s="978" t="n"/>
      <c r="BO19" s="932" t="n"/>
      <c r="BP19" s="135">
        <f>SUM(G19:BN19)</f>
        <v/>
      </c>
      <c r="BQ19" s="932" t="n"/>
      <c r="BR19" s="135">
        <f>(E19)</f>
        <v/>
      </c>
      <c r="BS19" s="135">
        <f>((BP19)-(BR19))</f>
        <v/>
      </c>
    </row>
    <row r="20">
      <c r="D20" s="149" t="inlineStr">
        <is>
          <t>Month 9</t>
        </is>
      </c>
      <c r="E20" s="139">
        <f>'P&amp;L Assumptions (Companion App)'!X17</f>
        <v/>
      </c>
      <c r="F20" s="1968" t="n"/>
      <c r="G20" s="978" t="n"/>
      <c r="H20" s="978" t="n"/>
      <c r="I20" s="978" t="n"/>
      <c r="J20" s="978" t="n"/>
      <c r="K20" s="978" t="n"/>
      <c r="L20" s="978" t="n"/>
      <c r="M20" s="978" t="n"/>
      <c r="N20" s="978" t="n"/>
      <c r="O20" s="978" t="n"/>
      <c r="P20" s="412">
        <f>(($E$20)*($E$3))</f>
        <v/>
      </c>
      <c r="Q20" s="135">
        <f>(($E$20)*($E$3))</f>
        <v/>
      </c>
      <c r="R20" s="973">
        <f>(($E$20)*($E$3))</f>
        <v/>
      </c>
      <c r="S20" s="135">
        <f>(($E$20)*($E$3))</f>
        <v/>
      </c>
      <c r="T20" s="135">
        <f>(($E$20)*($E$3))</f>
        <v/>
      </c>
      <c r="U20" s="135">
        <f>(($E$20)*($E$3))</f>
        <v/>
      </c>
      <c r="V20" s="135">
        <f>(($E$20)*($E$3))</f>
        <v/>
      </c>
      <c r="W20" s="135">
        <f>(($E$20)*($E$3))</f>
        <v/>
      </c>
      <c r="X20" s="135">
        <f>(($E$20)*($E$3))</f>
        <v/>
      </c>
      <c r="Y20" s="135">
        <f>(($E$20)*($E$3))</f>
        <v/>
      </c>
      <c r="Z20" s="135">
        <f>(($E$20)*($E$3))</f>
        <v/>
      </c>
      <c r="AA20" s="135">
        <f>(($E$20)*($E$3))</f>
        <v/>
      </c>
      <c r="AB20" s="135">
        <f>(($E$20)*($E$3))</f>
        <v/>
      </c>
      <c r="AC20" s="135">
        <f>(($E$20)*($E$3))</f>
        <v/>
      </c>
      <c r="AD20" s="973">
        <f>(($E$20)*($E$3))</f>
        <v/>
      </c>
      <c r="AE20" s="135">
        <f>(($E$20)*($E$3))</f>
        <v/>
      </c>
      <c r="AF20" s="135">
        <f>(($E$20)*($E$3))</f>
        <v/>
      </c>
      <c r="AG20" s="135">
        <f>(($E$20)*($E$3))</f>
        <v/>
      </c>
      <c r="AH20" s="135">
        <f>(($E$20)*($E$3))</f>
        <v/>
      </c>
      <c r="AI20" s="412">
        <f>(($E$20)*($E$3))</f>
        <v/>
      </c>
      <c r="AJ20" s="978" t="n"/>
      <c r="AK20" s="978" t="n"/>
      <c r="AL20" s="978" t="n"/>
      <c r="AM20" s="978" t="n"/>
      <c r="AN20" s="978" t="n"/>
      <c r="AO20" s="978" t="n"/>
      <c r="AP20" s="981" t="n"/>
      <c r="AQ20" s="978" t="n"/>
      <c r="AR20" s="978" t="n"/>
      <c r="AS20" s="978" t="n"/>
      <c r="AT20" s="978" t="n"/>
      <c r="AU20" s="978" t="n"/>
      <c r="AV20" s="978" t="n"/>
      <c r="AW20" s="978" t="n"/>
      <c r="AX20" s="978" t="n"/>
      <c r="AY20" s="978" t="n"/>
      <c r="AZ20" s="978" t="n"/>
      <c r="BA20" s="978" t="n"/>
      <c r="BB20" s="981" t="n"/>
      <c r="BC20" s="978" t="n"/>
      <c r="BD20" s="978" t="n"/>
      <c r="BE20" s="978" t="n"/>
      <c r="BF20" s="978" t="n"/>
      <c r="BG20" s="978" t="n"/>
      <c r="BH20" s="978" t="n"/>
      <c r="BI20" s="978" t="n"/>
      <c r="BJ20" s="978" t="n"/>
      <c r="BK20" s="978" t="n"/>
      <c r="BL20" s="978" t="n"/>
      <c r="BM20" s="978" t="n"/>
      <c r="BN20" s="978" t="n"/>
      <c r="BO20" s="932" t="n"/>
      <c r="BP20" s="135">
        <f>SUM(G20:BN20)</f>
        <v/>
      </c>
      <c r="BQ20" s="932" t="n"/>
      <c r="BR20" s="135">
        <f>(E20)</f>
        <v/>
      </c>
      <c r="BS20" s="135">
        <f>((BP20)-(BR20))</f>
        <v/>
      </c>
    </row>
    <row r="21">
      <c r="D21" s="149" t="inlineStr">
        <is>
          <t>Month 10</t>
        </is>
      </c>
      <c r="E21" s="139">
        <f>'P&amp;L Assumptions (Companion App)'!Z17</f>
        <v/>
      </c>
      <c r="F21" s="1968" t="n"/>
      <c r="G21" s="978" t="n"/>
      <c r="H21" s="978" t="n"/>
      <c r="I21" s="978" t="n"/>
      <c r="J21" s="978" t="n"/>
      <c r="K21" s="978" t="n"/>
      <c r="L21" s="978" t="n"/>
      <c r="M21" s="978" t="n"/>
      <c r="N21" s="978" t="n"/>
      <c r="O21" s="978" t="n"/>
      <c r="P21" s="978" t="n"/>
      <c r="Q21" s="412">
        <f>(($E$21)*($E$3))</f>
        <v/>
      </c>
      <c r="R21" s="973">
        <f>(($E$21)*($E$3))</f>
        <v/>
      </c>
      <c r="S21" s="135">
        <f>(($E$21)*($E$3))</f>
        <v/>
      </c>
      <c r="T21" s="135">
        <f>(($E$21)*($E$3))</f>
        <v/>
      </c>
      <c r="U21" s="135">
        <f>(($E$21)*($E$3))</f>
        <v/>
      </c>
      <c r="V21" s="135">
        <f>(($E$21)*($E$3))</f>
        <v/>
      </c>
      <c r="W21" s="135">
        <f>(($E$21)*($E$3))</f>
        <v/>
      </c>
      <c r="X21" s="135">
        <f>(($E$21)*($E$3))</f>
        <v/>
      </c>
      <c r="Y21" s="135">
        <f>(($E$21)*($E$3))</f>
        <v/>
      </c>
      <c r="Z21" s="135">
        <f>(($E$21)*($E$3))</f>
        <v/>
      </c>
      <c r="AA21" s="135">
        <f>(($E$21)*($E$3))</f>
        <v/>
      </c>
      <c r="AB21" s="135">
        <f>(($E$21)*($E$3))</f>
        <v/>
      </c>
      <c r="AC21" s="135">
        <f>(($E$21)*($E$3))</f>
        <v/>
      </c>
      <c r="AD21" s="973">
        <f>(($E$21)*($E$3))</f>
        <v/>
      </c>
      <c r="AE21" s="135">
        <f>(($E$21)*($E$3))</f>
        <v/>
      </c>
      <c r="AF21" s="135">
        <f>(($E$21)*($E$3))</f>
        <v/>
      </c>
      <c r="AG21" s="135">
        <f>(($E$21)*($E$3))</f>
        <v/>
      </c>
      <c r="AH21" s="135">
        <f>(($E$21)*($E$3))</f>
        <v/>
      </c>
      <c r="AI21" s="135">
        <f>(($E$21)*($E$3))</f>
        <v/>
      </c>
      <c r="AJ21" s="412">
        <f>(($E$21)*($E$3))</f>
        <v/>
      </c>
      <c r="AK21" s="978" t="n"/>
      <c r="AL21" s="978" t="n"/>
      <c r="AM21" s="978" t="n"/>
      <c r="AN21" s="978" t="n"/>
      <c r="AO21" s="978" t="n"/>
      <c r="AP21" s="981" t="n"/>
      <c r="AQ21" s="978" t="n"/>
      <c r="AR21" s="978" t="n"/>
      <c r="AS21" s="978" t="n"/>
      <c r="AT21" s="978" t="n"/>
      <c r="AU21" s="978" t="n"/>
      <c r="AV21" s="978" t="n"/>
      <c r="AW21" s="978" t="n"/>
      <c r="AX21" s="978" t="n"/>
      <c r="AY21" s="978" t="n"/>
      <c r="AZ21" s="978" t="n"/>
      <c r="BA21" s="978" t="n"/>
      <c r="BB21" s="981" t="n"/>
      <c r="BC21" s="978" t="n"/>
      <c r="BD21" s="978" t="n"/>
      <c r="BE21" s="978" t="n"/>
      <c r="BF21" s="978" t="n"/>
      <c r="BG21" s="978" t="n"/>
      <c r="BH21" s="978" t="n"/>
      <c r="BI21" s="978" t="n"/>
      <c r="BJ21" s="978" t="n"/>
      <c r="BK21" s="978" t="n"/>
      <c r="BL21" s="978" t="n"/>
      <c r="BM21" s="978" t="n"/>
      <c r="BN21" s="978" t="n"/>
      <c r="BO21" s="932" t="n"/>
      <c r="BP21" s="135">
        <f>SUM(G21:BN21)</f>
        <v/>
      </c>
      <c r="BQ21" s="932" t="n"/>
      <c r="BR21" s="135">
        <f>(E21)</f>
        <v/>
      </c>
      <c r="BS21" s="135">
        <f>((BP21)-(BR21))</f>
        <v/>
      </c>
    </row>
    <row r="22">
      <c r="D22" s="149" t="inlineStr">
        <is>
          <t>Month 11</t>
        </is>
      </c>
      <c r="E22" s="139">
        <f>'P&amp;L Assumptions (Companion App)'!AB17</f>
        <v/>
      </c>
      <c r="F22" s="1968" t="n"/>
      <c r="G22" s="978" t="n"/>
      <c r="H22" s="978" t="n"/>
      <c r="I22" s="978" t="n"/>
      <c r="J22" s="978" t="n"/>
      <c r="K22" s="978" t="n"/>
      <c r="L22" s="978" t="n"/>
      <c r="M22" s="978" t="n"/>
      <c r="N22" s="978" t="n"/>
      <c r="O22" s="978" t="n"/>
      <c r="P22" s="978" t="n"/>
      <c r="Q22" s="978" t="n"/>
      <c r="R22" s="973">
        <f>(($E$22)*($E$3))</f>
        <v/>
      </c>
      <c r="S22" s="135">
        <f>(($E$22)*($E$3))</f>
        <v/>
      </c>
      <c r="T22" s="135">
        <f>(($E$22)*($E$3))</f>
        <v/>
      </c>
      <c r="U22" s="135">
        <f>(($E$22)*($E$3))</f>
        <v/>
      </c>
      <c r="V22" s="135">
        <f>(($E$22)*($E$3))</f>
        <v/>
      </c>
      <c r="W22" s="135">
        <f>(($E$22)*($E$3))</f>
        <v/>
      </c>
      <c r="X22" s="135">
        <f>(($E$22)*($E$3))</f>
        <v/>
      </c>
      <c r="Y22" s="135">
        <f>(($E$22)*($E$3))</f>
        <v/>
      </c>
      <c r="Z22" s="135">
        <f>(($E$22)*($E$3))</f>
        <v/>
      </c>
      <c r="AA22" s="135">
        <f>(($E$22)*($E$3))</f>
        <v/>
      </c>
      <c r="AB22" s="135">
        <f>(($E$22)*($E$3))</f>
        <v/>
      </c>
      <c r="AC22" s="135">
        <f>(($E$22)*($E$3))</f>
        <v/>
      </c>
      <c r="AD22" s="973">
        <f>(($E$22)*($E$3))</f>
        <v/>
      </c>
      <c r="AE22" s="135">
        <f>(($E$22)*($E$3))</f>
        <v/>
      </c>
      <c r="AF22" s="135">
        <f>(($E$22)*($E$3))</f>
        <v/>
      </c>
      <c r="AG22" s="135">
        <f>(($E$22)*($E$3))</f>
        <v/>
      </c>
      <c r="AH22" s="135">
        <f>(($E$22)*($E$3))</f>
        <v/>
      </c>
      <c r="AI22" s="135">
        <f>(($E$22)*($E$3))</f>
        <v/>
      </c>
      <c r="AJ22" s="135">
        <f>(($E$22)*($E$3))</f>
        <v/>
      </c>
      <c r="AK22" s="412">
        <f>(($E$22)*($E$3))</f>
        <v/>
      </c>
      <c r="AL22" s="978" t="n"/>
      <c r="AM22" s="978" t="n"/>
      <c r="AN22" s="978" t="n"/>
      <c r="AO22" s="978" t="n"/>
      <c r="AP22" s="981" t="n"/>
      <c r="AQ22" s="978" t="n"/>
      <c r="AR22" s="978" t="n"/>
      <c r="AS22" s="978" t="n"/>
      <c r="AT22" s="978" t="n"/>
      <c r="AU22" s="978" t="n"/>
      <c r="AV22" s="978" t="n"/>
      <c r="AW22" s="978" t="n"/>
      <c r="AX22" s="978" t="n"/>
      <c r="AY22" s="978" t="n"/>
      <c r="AZ22" s="978" t="n"/>
      <c r="BA22" s="978" t="n"/>
      <c r="BB22" s="981" t="n"/>
      <c r="BC22" s="978" t="n"/>
      <c r="BD22" s="978" t="n"/>
      <c r="BE22" s="978" t="n"/>
      <c r="BF22" s="978" t="n"/>
      <c r="BG22" s="978" t="n"/>
      <c r="BH22" s="978" t="n"/>
      <c r="BI22" s="978" t="n"/>
      <c r="BJ22" s="978" t="n"/>
      <c r="BK22" s="978" t="n"/>
      <c r="BL22" s="978" t="n"/>
      <c r="BM22" s="978" t="n"/>
      <c r="BN22" s="978" t="n"/>
      <c r="BO22" s="932" t="n"/>
      <c r="BP22" s="135">
        <f>SUM(G22:BN22)</f>
        <v/>
      </c>
      <c r="BQ22" s="932" t="n"/>
      <c r="BR22" s="135">
        <f>(E22)</f>
        <v/>
      </c>
      <c r="BS22" s="135">
        <f>((BP22)-(BR22))</f>
        <v/>
      </c>
    </row>
    <row r="23">
      <c r="D23" s="149" t="inlineStr">
        <is>
          <t>Month 12</t>
        </is>
      </c>
      <c r="E23" s="139">
        <f>'P&amp;L Assumptions (Companion App)'!AD17</f>
        <v/>
      </c>
      <c r="F23" s="1968" t="n"/>
      <c r="G23" s="978" t="n"/>
      <c r="H23" s="978" t="n"/>
      <c r="I23" s="978" t="n"/>
      <c r="J23" s="978" t="n"/>
      <c r="K23" s="978" t="n"/>
      <c r="L23" s="978" t="n"/>
      <c r="M23" s="978" t="n"/>
      <c r="N23" s="978" t="n"/>
      <c r="O23" s="978" t="n"/>
      <c r="P23" s="978" t="n"/>
      <c r="Q23" s="978" t="n"/>
      <c r="R23" s="981" t="n"/>
      <c r="S23" s="412">
        <f>(($E$23)*($E$3))</f>
        <v/>
      </c>
      <c r="T23" s="135">
        <f>(($E$23)*($E$3))</f>
        <v/>
      </c>
      <c r="U23" s="135">
        <f>(($E$23)*($E$3))</f>
        <v/>
      </c>
      <c r="V23" s="135">
        <f>(($E$23)*($E$3))</f>
        <v/>
      </c>
      <c r="W23" s="135">
        <f>(($E$23)*($E$3))</f>
        <v/>
      </c>
      <c r="X23" s="135">
        <f>(($E$23)*($E$3))</f>
        <v/>
      </c>
      <c r="Y23" s="135">
        <f>(($E$23)*($E$3))</f>
        <v/>
      </c>
      <c r="Z23" s="135">
        <f>(($E$23)*($E$3))</f>
        <v/>
      </c>
      <c r="AA23" s="135">
        <f>(($E$23)*($E$3))</f>
        <v/>
      </c>
      <c r="AB23" s="135">
        <f>(($E$23)*($E$3))</f>
        <v/>
      </c>
      <c r="AC23" s="135">
        <f>(($E$23)*($E$3))</f>
        <v/>
      </c>
      <c r="AD23" s="973">
        <f>(($E$23)*($E$3))</f>
        <v/>
      </c>
      <c r="AE23" s="135">
        <f>(($E$23)*($E$3))</f>
        <v/>
      </c>
      <c r="AF23" s="135">
        <f>(($E$23)*($E$3))</f>
        <v/>
      </c>
      <c r="AG23" s="135">
        <f>(($E$23)*($E$3))</f>
        <v/>
      </c>
      <c r="AH23" s="135">
        <f>(($E$23)*($E$3))</f>
        <v/>
      </c>
      <c r="AI23" s="135">
        <f>(($E$23)*($E$3))</f>
        <v/>
      </c>
      <c r="AJ23" s="135">
        <f>(($E$23)*($E$3))</f>
        <v/>
      </c>
      <c r="AK23" s="135">
        <f>(($E$23)*($E$3))</f>
        <v/>
      </c>
      <c r="AL23" s="412">
        <f>(($E$23)*($E$3))</f>
        <v/>
      </c>
      <c r="AM23" s="978" t="n"/>
      <c r="AN23" s="978" t="n"/>
      <c r="AO23" s="978" t="n"/>
      <c r="AP23" s="981" t="n"/>
      <c r="AQ23" s="978" t="n"/>
      <c r="AR23" s="978" t="n"/>
      <c r="AS23" s="978" t="n"/>
      <c r="AT23" s="978" t="n"/>
      <c r="AU23" s="978" t="n"/>
      <c r="AV23" s="978" t="n"/>
      <c r="AW23" s="978" t="n"/>
      <c r="AX23" s="978" t="n"/>
      <c r="AY23" s="978" t="n"/>
      <c r="AZ23" s="978" t="n"/>
      <c r="BA23" s="978" t="n"/>
      <c r="BB23" s="981" t="n"/>
      <c r="BC23" s="978" t="n"/>
      <c r="BD23" s="978" t="n"/>
      <c r="BE23" s="978" t="n"/>
      <c r="BF23" s="978" t="n"/>
      <c r="BG23" s="978" t="n"/>
      <c r="BH23" s="978" t="n"/>
      <c r="BI23" s="978" t="n"/>
      <c r="BJ23" s="978" t="n"/>
      <c r="BK23" s="978" t="n"/>
      <c r="BL23" s="978" t="n"/>
      <c r="BM23" s="978" t="n"/>
      <c r="BN23" s="978" t="n"/>
      <c r="BO23" s="932" t="n"/>
      <c r="BP23" s="135">
        <f>SUM(G23:BN23)</f>
        <v/>
      </c>
      <c r="BQ23" s="932" t="n"/>
      <c r="BR23" s="135">
        <f>(E23)</f>
        <v/>
      </c>
      <c r="BS23" s="135">
        <f>((BP23)-(BR23))</f>
        <v/>
      </c>
    </row>
    <row r="24">
      <c r="D24" s="149" t="inlineStr">
        <is>
          <t>Month 13</t>
        </is>
      </c>
      <c r="E24" s="139">
        <f>'P&amp;L Assumptions (Companion App)'!H18</f>
        <v/>
      </c>
      <c r="F24" s="1968" t="n"/>
      <c r="G24" s="978" t="n"/>
      <c r="H24" s="978" t="n"/>
      <c r="I24" s="978" t="n"/>
      <c r="J24" s="978" t="n"/>
      <c r="K24" s="978" t="n"/>
      <c r="L24" s="978" t="n"/>
      <c r="M24" s="978" t="n"/>
      <c r="N24" s="978" t="n"/>
      <c r="O24" s="978" t="n"/>
      <c r="P24" s="978" t="n"/>
      <c r="Q24" s="978" t="n"/>
      <c r="R24" s="981" t="n"/>
      <c r="S24" s="978" t="n"/>
      <c r="T24" s="412">
        <f>(($E$24)*($E$3))</f>
        <v/>
      </c>
      <c r="U24" s="135">
        <f>(($E$24)*($E$3))</f>
        <v/>
      </c>
      <c r="V24" s="135">
        <f>(($E$24)*($E$3))</f>
        <v/>
      </c>
      <c r="W24" s="135">
        <f>(($E$24)*($E$3))</f>
        <v/>
      </c>
      <c r="X24" s="135">
        <f>(($E$24)*($E$3))</f>
        <v/>
      </c>
      <c r="Y24" s="135">
        <f>(($E$24)*($E$3))</f>
        <v/>
      </c>
      <c r="Z24" s="135">
        <f>(($E$24)*($E$3))</f>
        <v/>
      </c>
      <c r="AA24" s="135">
        <f>(($E$24)*($E$3))</f>
        <v/>
      </c>
      <c r="AB24" s="135">
        <f>(($E$24)*($E$3))</f>
        <v/>
      </c>
      <c r="AC24" s="135">
        <f>(($E$24)*($E$3))</f>
        <v/>
      </c>
      <c r="AD24" s="973">
        <f>(($E$24)*($E$3))</f>
        <v/>
      </c>
      <c r="AE24" s="135">
        <f>(($E$24)*($E$3))</f>
        <v/>
      </c>
      <c r="AF24" s="135">
        <f>(($E$24)*($E$3))</f>
        <v/>
      </c>
      <c r="AG24" s="135">
        <f>(($E$24)*($E$3))</f>
        <v/>
      </c>
      <c r="AH24" s="135">
        <f>(($E$24)*($E$3))</f>
        <v/>
      </c>
      <c r="AI24" s="135">
        <f>(($E$24)*($E$3))</f>
        <v/>
      </c>
      <c r="AJ24" s="135">
        <f>(($E$24)*($E$3))</f>
        <v/>
      </c>
      <c r="AK24" s="135">
        <f>(($E$24)*($E$3))</f>
        <v/>
      </c>
      <c r="AL24" s="135">
        <f>(($E$24)*($E$3))</f>
        <v/>
      </c>
      <c r="AM24" s="412">
        <f>(($E$24)*($E$3))</f>
        <v/>
      </c>
      <c r="AN24" s="978" t="n"/>
      <c r="AO24" s="978" t="n"/>
      <c r="AP24" s="981" t="n"/>
      <c r="AQ24" s="978" t="n"/>
      <c r="AR24" s="978" t="n"/>
      <c r="AS24" s="978" t="n"/>
      <c r="AT24" s="978" t="n"/>
      <c r="AU24" s="978" t="n"/>
      <c r="AV24" s="978" t="n"/>
      <c r="AW24" s="978" t="n"/>
      <c r="AX24" s="978" t="n"/>
      <c r="AY24" s="978" t="n"/>
      <c r="AZ24" s="978" t="n"/>
      <c r="BA24" s="978" t="n"/>
      <c r="BB24" s="981" t="n"/>
      <c r="BC24" s="978" t="n"/>
      <c r="BD24" s="978" t="n"/>
      <c r="BE24" s="978" t="n"/>
      <c r="BF24" s="978" t="n"/>
      <c r="BG24" s="978" t="n"/>
      <c r="BH24" s="978" t="n"/>
      <c r="BI24" s="978" t="n"/>
      <c r="BJ24" s="978" t="n"/>
      <c r="BK24" s="978" t="n"/>
      <c r="BL24" s="978" t="n"/>
      <c r="BM24" s="978" t="n"/>
      <c r="BN24" s="978" t="n"/>
      <c r="BO24" s="932" t="n"/>
      <c r="BP24" s="135">
        <f>SUM(G24:BN24)</f>
        <v/>
      </c>
      <c r="BQ24" s="932" t="n"/>
      <c r="BR24" s="135">
        <f>(E24)</f>
        <v/>
      </c>
      <c r="BS24" s="135">
        <f>((BP24)-(BR24))</f>
        <v/>
      </c>
    </row>
    <row r="25">
      <c r="D25" s="149" t="inlineStr">
        <is>
          <t>Month 14</t>
        </is>
      </c>
      <c r="E25" s="139">
        <f>'P&amp;L Assumptions (Companion App)'!J18</f>
        <v/>
      </c>
      <c r="F25" s="1968" t="n"/>
      <c r="G25" s="978" t="n"/>
      <c r="H25" s="978" t="n"/>
      <c r="I25" s="978" t="n"/>
      <c r="J25" s="978" t="n"/>
      <c r="K25" s="978" t="n"/>
      <c r="L25" s="978" t="n"/>
      <c r="M25" s="978" t="n"/>
      <c r="N25" s="978" t="n"/>
      <c r="O25" s="978" t="n"/>
      <c r="P25" s="978" t="n"/>
      <c r="Q25" s="978" t="n"/>
      <c r="R25" s="981" t="n"/>
      <c r="S25" s="978" t="n"/>
      <c r="T25" s="978" t="n"/>
      <c r="U25" s="412">
        <f>(($E$25)*($E$3))</f>
        <v/>
      </c>
      <c r="V25" s="135">
        <f>(($E$25)*($E$3))</f>
        <v/>
      </c>
      <c r="W25" s="135">
        <f>(($E$25)*($E$3))</f>
        <v/>
      </c>
      <c r="X25" s="135">
        <f>(($E$25)*($E$3))</f>
        <v/>
      </c>
      <c r="Y25" s="135">
        <f>(($E$25)*($E$3))</f>
        <v/>
      </c>
      <c r="Z25" s="135">
        <f>(($E$25)*($E$3))</f>
        <v/>
      </c>
      <c r="AA25" s="135">
        <f>(($E$25)*($E$3))</f>
        <v/>
      </c>
      <c r="AB25" s="135">
        <f>(($E$25)*($E$3))</f>
        <v/>
      </c>
      <c r="AC25" s="135">
        <f>(($E$25)*($E$3))</f>
        <v/>
      </c>
      <c r="AD25" s="973">
        <f>(($E$25)*($E$3))</f>
        <v/>
      </c>
      <c r="AE25" s="135">
        <f>(($E$25)*($E$3))</f>
        <v/>
      </c>
      <c r="AF25" s="135">
        <f>(($E$25)*($E$3))</f>
        <v/>
      </c>
      <c r="AG25" s="135">
        <f>(($E$25)*($E$3))</f>
        <v/>
      </c>
      <c r="AH25" s="135">
        <f>(($E$25)*($E$3))</f>
        <v/>
      </c>
      <c r="AI25" s="135">
        <f>(($E$25)*($E$3))</f>
        <v/>
      </c>
      <c r="AJ25" s="135">
        <f>(($E$25)*($E$3))</f>
        <v/>
      </c>
      <c r="AK25" s="135">
        <f>(($E$25)*($E$3))</f>
        <v/>
      </c>
      <c r="AL25" s="135">
        <f>(($E$25)*($E$3))</f>
        <v/>
      </c>
      <c r="AM25" s="135">
        <f>(($E$25)*($E$3))</f>
        <v/>
      </c>
      <c r="AN25" s="412">
        <f>(($E$25)*($E$3))</f>
        <v/>
      </c>
      <c r="AO25" s="978" t="n"/>
      <c r="AP25" s="981" t="n"/>
      <c r="AQ25" s="978" t="n"/>
      <c r="AR25" s="978" t="n"/>
      <c r="AS25" s="978" t="n"/>
      <c r="AT25" s="978" t="n"/>
      <c r="AU25" s="978" t="n"/>
      <c r="AV25" s="978" t="n"/>
      <c r="AW25" s="978" t="n"/>
      <c r="AX25" s="978" t="n"/>
      <c r="AY25" s="978" t="n"/>
      <c r="AZ25" s="978" t="n"/>
      <c r="BA25" s="978" t="n"/>
      <c r="BB25" s="981" t="n"/>
      <c r="BC25" s="978" t="n"/>
      <c r="BD25" s="978" t="n"/>
      <c r="BE25" s="978" t="n"/>
      <c r="BF25" s="978" t="n"/>
      <c r="BG25" s="978" t="n"/>
      <c r="BH25" s="978" t="n"/>
      <c r="BI25" s="978" t="n"/>
      <c r="BJ25" s="978" t="n"/>
      <c r="BK25" s="978" t="n"/>
      <c r="BL25" s="978" t="n"/>
      <c r="BM25" s="978" t="n"/>
      <c r="BN25" s="978" t="n"/>
      <c r="BO25" s="932" t="n"/>
      <c r="BP25" s="135">
        <f>SUM(G25:BN25)</f>
        <v/>
      </c>
      <c r="BQ25" s="932" t="n"/>
      <c r="BR25" s="135">
        <f>(E25)</f>
        <v/>
      </c>
      <c r="BS25" s="135">
        <f>((BP25)-(BR25))</f>
        <v/>
      </c>
    </row>
    <row r="26">
      <c r="D26" s="149" t="inlineStr">
        <is>
          <t>Month 15</t>
        </is>
      </c>
      <c r="E26" s="139">
        <f>'P&amp;L Assumptions (Companion App)'!L18</f>
        <v/>
      </c>
      <c r="F26" s="1968" t="n"/>
      <c r="G26" s="978" t="n"/>
      <c r="H26" s="978" t="n"/>
      <c r="I26" s="978" t="n"/>
      <c r="J26" s="978" t="n"/>
      <c r="K26" s="978" t="n"/>
      <c r="L26" s="978" t="n"/>
      <c r="M26" s="978" t="n"/>
      <c r="N26" s="978" t="n"/>
      <c r="O26" s="978" t="n"/>
      <c r="P26" s="978" t="n"/>
      <c r="Q26" s="978" t="n"/>
      <c r="R26" s="981" t="n"/>
      <c r="S26" s="978" t="n"/>
      <c r="T26" s="978" t="n"/>
      <c r="U26" s="978" t="n"/>
      <c r="V26" s="412">
        <f>(($E$26)*($E$3))</f>
        <v/>
      </c>
      <c r="W26" s="135">
        <f>(($E$26)*($E$3))</f>
        <v/>
      </c>
      <c r="X26" s="135">
        <f>(($E$26)*($E$3))</f>
        <v/>
      </c>
      <c r="Y26" s="135">
        <f>(($E$26)*($E$3))</f>
        <v/>
      </c>
      <c r="Z26" s="135">
        <f>(($E$26)*($E$3))</f>
        <v/>
      </c>
      <c r="AA26" s="135">
        <f>(($E$26)*($E$3))</f>
        <v/>
      </c>
      <c r="AB26" s="135">
        <f>(($E$26)*($E$3))</f>
        <v/>
      </c>
      <c r="AC26" s="135">
        <f>(($E$26)*($E$3))</f>
        <v/>
      </c>
      <c r="AD26" s="973">
        <f>(($E$26)*($E$3))</f>
        <v/>
      </c>
      <c r="AE26" s="135">
        <f>(($E$26)*($E$3))</f>
        <v/>
      </c>
      <c r="AF26" s="135">
        <f>(($E$26)*($E$3))</f>
        <v/>
      </c>
      <c r="AG26" s="135">
        <f>(($E$26)*($E$3))</f>
        <v/>
      </c>
      <c r="AH26" s="135">
        <f>(($E$26)*($E$3))</f>
        <v/>
      </c>
      <c r="AI26" s="135">
        <f>(($E$26)*($E$3))</f>
        <v/>
      </c>
      <c r="AJ26" s="135">
        <f>(($E$26)*($E$3))</f>
        <v/>
      </c>
      <c r="AK26" s="135">
        <f>(($E$26)*($E$3))</f>
        <v/>
      </c>
      <c r="AL26" s="135">
        <f>(($E$26)*($E$3))</f>
        <v/>
      </c>
      <c r="AM26" s="135">
        <f>(($E$26)*($E$3))</f>
        <v/>
      </c>
      <c r="AN26" s="135">
        <f>(($E$26)*($E$3))</f>
        <v/>
      </c>
      <c r="AO26" s="412">
        <f>(($E$26)*($E$3))</f>
        <v/>
      </c>
      <c r="AP26" s="981" t="n"/>
      <c r="AQ26" s="978" t="n"/>
      <c r="AR26" s="978" t="n"/>
      <c r="AS26" s="978" t="n"/>
      <c r="AT26" s="978" t="n"/>
      <c r="AU26" s="978" t="n"/>
      <c r="AV26" s="978" t="n"/>
      <c r="AW26" s="978" t="n"/>
      <c r="AX26" s="978" t="n"/>
      <c r="AY26" s="978" t="n"/>
      <c r="AZ26" s="978" t="n"/>
      <c r="BA26" s="978" t="n"/>
      <c r="BB26" s="981" t="n"/>
      <c r="BC26" s="978" t="n"/>
      <c r="BD26" s="978" t="n"/>
      <c r="BE26" s="978" t="n"/>
      <c r="BF26" s="978" t="n"/>
      <c r="BG26" s="978" t="n"/>
      <c r="BH26" s="978" t="n"/>
      <c r="BI26" s="978" t="n"/>
      <c r="BJ26" s="978" t="n"/>
      <c r="BK26" s="978" t="n"/>
      <c r="BL26" s="978" t="n"/>
      <c r="BM26" s="978" t="n"/>
      <c r="BN26" s="978" t="n"/>
      <c r="BO26" s="932" t="n"/>
      <c r="BP26" s="135">
        <f>SUM(G26:BN26)</f>
        <v/>
      </c>
      <c r="BQ26" s="932" t="n"/>
      <c r="BR26" s="135">
        <f>(E26)</f>
        <v/>
      </c>
      <c r="BS26" s="135">
        <f>((BP26)-(BR26))</f>
        <v/>
      </c>
    </row>
    <row r="27">
      <c r="D27" s="149" t="inlineStr">
        <is>
          <t>Month 16</t>
        </is>
      </c>
      <c r="E27" s="139">
        <f>'P&amp;L Assumptions (Companion App)'!N18</f>
        <v/>
      </c>
      <c r="F27" s="1968" t="n"/>
      <c r="G27" s="978" t="n"/>
      <c r="H27" s="978" t="n"/>
      <c r="I27" s="978" t="n"/>
      <c r="J27" s="978" t="n"/>
      <c r="K27" s="978" t="n"/>
      <c r="L27" s="978" t="n"/>
      <c r="M27" s="978" t="n"/>
      <c r="N27" s="978" t="n"/>
      <c r="O27" s="978" t="n"/>
      <c r="P27" s="978" t="n"/>
      <c r="Q27" s="978" t="n"/>
      <c r="R27" s="981" t="n"/>
      <c r="S27" s="978" t="n"/>
      <c r="T27" s="978" t="n"/>
      <c r="U27" s="978" t="n"/>
      <c r="V27" s="978" t="n"/>
      <c r="W27" s="412">
        <f>(($E$27)*($E$3))</f>
        <v/>
      </c>
      <c r="X27" s="135">
        <f>(($E$27)*($E$3))</f>
        <v/>
      </c>
      <c r="Y27" s="135">
        <f>(($E$27)*($E$3))</f>
        <v/>
      </c>
      <c r="Z27" s="135">
        <f>(($E$27)*($E$3))</f>
        <v/>
      </c>
      <c r="AA27" s="135">
        <f>(($E$27)*($E$3))</f>
        <v/>
      </c>
      <c r="AB27" s="135">
        <f>(($E$27)*($E$3))</f>
        <v/>
      </c>
      <c r="AC27" s="135">
        <f>(($E$27)*($E$3))</f>
        <v/>
      </c>
      <c r="AD27" s="973">
        <f>(($E$27)*($E$3))</f>
        <v/>
      </c>
      <c r="AE27" s="135">
        <f>(($E$27)*($E$3))</f>
        <v/>
      </c>
      <c r="AF27" s="135">
        <f>(($E$27)*($E$3))</f>
        <v/>
      </c>
      <c r="AG27" s="135">
        <f>(($E$27)*($E$3))</f>
        <v/>
      </c>
      <c r="AH27" s="135">
        <f>(($E$27)*($E$3))</f>
        <v/>
      </c>
      <c r="AI27" s="135">
        <f>(($E$27)*($E$3))</f>
        <v/>
      </c>
      <c r="AJ27" s="135">
        <f>(($E$27)*($E$3))</f>
        <v/>
      </c>
      <c r="AK27" s="135">
        <f>(($E$27)*($E$3))</f>
        <v/>
      </c>
      <c r="AL27" s="135">
        <f>(($E$27)*($E$3))</f>
        <v/>
      </c>
      <c r="AM27" s="135">
        <f>(($E$27)*($E$3))</f>
        <v/>
      </c>
      <c r="AN27" s="135">
        <f>(($E$27)*($E$3))</f>
        <v/>
      </c>
      <c r="AO27" s="135">
        <f>(($E$27)*($E$3))</f>
        <v/>
      </c>
      <c r="AP27" s="973">
        <f>(($E$27)*($E$3))</f>
        <v/>
      </c>
      <c r="AQ27" s="978" t="n"/>
      <c r="AR27" s="978" t="n"/>
      <c r="AS27" s="978" t="n"/>
      <c r="AT27" s="978" t="n"/>
      <c r="AU27" s="978" t="n"/>
      <c r="AV27" s="978" t="n"/>
      <c r="AW27" s="978" t="n"/>
      <c r="AX27" s="978" t="n"/>
      <c r="AY27" s="978" t="n"/>
      <c r="AZ27" s="978" t="n"/>
      <c r="BA27" s="978" t="n"/>
      <c r="BB27" s="981" t="n"/>
      <c r="BC27" s="978" t="n"/>
      <c r="BD27" s="978" t="n"/>
      <c r="BE27" s="978" t="n"/>
      <c r="BF27" s="978" t="n"/>
      <c r="BG27" s="978" t="n"/>
      <c r="BH27" s="978" t="n"/>
      <c r="BI27" s="978" t="n"/>
      <c r="BJ27" s="978" t="n"/>
      <c r="BK27" s="978" t="n"/>
      <c r="BL27" s="978" t="n"/>
      <c r="BM27" s="978" t="n"/>
      <c r="BN27" s="978" t="n"/>
      <c r="BO27" s="932" t="n"/>
      <c r="BP27" s="135">
        <f>SUM(G27:BN27)</f>
        <v/>
      </c>
      <c r="BQ27" s="932" t="n"/>
      <c r="BR27" s="135">
        <f>(E27)</f>
        <v/>
      </c>
      <c r="BS27" s="135">
        <f>((BP27)-(BR27))</f>
        <v/>
      </c>
    </row>
    <row r="28">
      <c r="D28" s="149" t="inlineStr">
        <is>
          <t>Month 17</t>
        </is>
      </c>
      <c r="E28" s="139">
        <f>'P&amp;L Assumptions (Companion App)'!P18</f>
        <v/>
      </c>
      <c r="F28" s="1968" t="n"/>
      <c r="G28" s="978" t="n"/>
      <c r="H28" s="978" t="n"/>
      <c r="I28" s="978" t="n"/>
      <c r="J28" s="978" t="n"/>
      <c r="K28" s="978" t="n"/>
      <c r="L28" s="978" t="n"/>
      <c r="M28" s="978" t="n"/>
      <c r="N28" s="978" t="n"/>
      <c r="O28" s="978" t="n"/>
      <c r="P28" s="978" t="n"/>
      <c r="Q28" s="978" t="n"/>
      <c r="R28" s="981" t="n"/>
      <c r="S28" s="978" t="n"/>
      <c r="T28" s="978" t="n"/>
      <c r="U28" s="978" t="n"/>
      <c r="V28" s="978" t="n"/>
      <c r="W28" s="978" t="n"/>
      <c r="X28" s="412">
        <f>(($E$28)*($E$3))</f>
        <v/>
      </c>
      <c r="Y28" s="135">
        <f>(($E$28)*($E$3))</f>
        <v/>
      </c>
      <c r="Z28" s="135">
        <f>(($E$28)*($E$3))</f>
        <v/>
      </c>
      <c r="AA28" s="135">
        <f>(($E$28)*($E$3))</f>
        <v/>
      </c>
      <c r="AB28" s="135">
        <f>(($E$28)*($E$3))</f>
        <v/>
      </c>
      <c r="AC28" s="135">
        <f>(($E$28)*($E$3))</f>
        <v/>
      </c>
      <c r="AD28" s="973">
        <f>(($E$28)*($E$3))</f>
        <v/>
      </c>
      <c r="AE28" s="135">
        <f>(($E$28)*($E$3))</f>
        <v/>
      </c>
      <c r="AF28" s="135">
        <f>(($E$28)*($E$3))</f>
        <v/>
      </c>
      <c r="AG28" s="135">
        <f>(($E$28)*($E$3))</f>
        <v/>
      </c>
      <c r="AH28" s="135">
        <f>(($E$28)*($E$3))</f>
        <v/>
      </c>
      <c r="AI28" s="135">
        <f>(($E$28)*($E$3))</f>
        <v/>
      </c>
      <c r="AJ28" s="135">
        <f>(($E$28)*($E$3))</f>
        <v/>
      </c>
      <c r="AK28" s="135">
        <f>(($E$28)*($E$3))</f>
        <v/>
      </c>
      <c r="AL28" s="135">
        <f>(($E$28)*($E$3))</f>
        <v/>
      </c>
      <c r="AM28" s="135">
        <f>(($E$28)*($E$3))</f>
        <v/>
      </c>
      <c r="AN28" s="135">
        <f>(($E$28)*($E$3))</f>
        <v/>
      </c>
      <c r="AO28" s="135">
        <f>(($E$28)*($E$3))</f>
        <v/>
      </c>
      <c r="AP28" s="973">
        <f>(($E$28)*($E$3))</f>
        <v/>
      </c>
      <c r="AQ28" s="412">
        <f>(($E$28)*($E$3))</f>
        <v/>
      </c>
      <c r="AR28" s="978" t="n"/>
      <c r="AS28" s="978" t="n"/>
      <c r="AT28" s="978" t="n"/>
      <c r="AU28" s="978" t="n"/>
      <c r="AV28" s="978" t="n"/>
      <c r="AW28" s="978" t="n"/>
      <c r="AX28" s="978" t="n"/>
      <c r="AY28" s="978" t="n"/>
      <c r="AZ28" s="978" t="n"/>
      <c r="BA28" s="978" t="n"/>
      <c r="BB28" s="981" t="n"/>
      <c r="BC28" s="978" t="n"/>
      <c r="BD28" s="978" t="n"/>
      <c r="BE28" s="978" t="n"/>
      <c r="BF28" s="978" t="n"/>
      <c r="BG28" s="978" t="n"/>
      <c r="BH28" s="978" t="n"/>
      <c r="BI28" s="978" t="n"/>
      <c r="BJ28" s="978" t="n"/>
      <c r="BK28" s="978" t="n"/>
      <c r="BL28" s="978" t="n"/>
      <c r="BM28" s="978" t="n"/>
      <c r="BN28" s="978" t="n"/>
      <c r="BO28" s="932" t="n"/>
      <c r="BP28" s="135">
        <f>SUM(G28:BN28)</f>
        <v/>
      </c>
      <c r="BQ28" s="932" t="n"/>
      <c r="BR28" s="135">
        <f>(E28)</f>
        <v/>
      </c>
      <c r="BS28" s="135">
        <f>((BP28)-(BR28))</f>
        <v/>
      </c>
    </row>
    <row r="29">
      <c r="D29" s="149" t="inlineStr">
        <is>
          <t>Month 18</t>
        </is>
      </c>
      <c r="E29" s="139">
        <f>'P&amp;L Assumptions (Companion App)'!R18</f>
        <v/>
      </c>
      <c r="F29" s="1968" t="n"/>
      <c r="G29" s="978" t="n"/>
      <c r="H29" s="978" t="n"/>
      <c r="I29" s="978" t="n"/>
      <c r="J29" s="978" t="n"/>
      <c r="K29" s="978" t="n"/>
      <c r="L29" s="978" t="n"/>
      <c r="M29" s="978" t="n"/>
      <c r="N29" s="978" t="n"/>
      <c r="O29" s="978" t="n"/>
      <c r="P29" s="978" t="n"/>
      <c r="Q29" s="978" t="n"/>
      <c r="R29" s="981" t="n"/>
      <c r="S29" s="978" t="n"/>
      <c r="T29" s="978" t="n"/>
      <c r="U29" s="978" t="n"/>
      <c r="V29" s="978" t="n"/>
      <c r="W29" s="978" t="n"/>
      <c r="X29" s="978" t="n"/>
      <c r="Y29" s="412">
        <f>(($E$29)*($E$3))</f>
        <v/>
      </c>
      <c r="Z29" s="135">
        <f>(($E$29)*($E$3))</f>
        <v/>
      </c>
      <c r="AA29" s="135">
        <f>(($E$29)*($E$3))</f>
        <v/>
      </c>
      <c r="AB29" s="135">
        <f>(($E$29)*($E$3))</f>
        <v/>
      </c>
      <c r="AC29" s="135">
        <f>(($E$29)*($E$3))</f>
        <v/>
      </c>
      <c r="AD29" s="973">
        <f>(($E$29)*($E$3))</f>
        <v/>
      </c>
      <c r="AE29" s="135">
        <f>(($E$29)*($E$3))</f>
        <v/>
      </c>
      <c r="AF29" s="135">
        <f>(($E$29)*($E$3))</f>
        <v/>
      </c>
      <c r="AG29" s="135">
        <f>(($E$29)*($E$3))</f>
        <v/>
      </c>
      <c r="AH29" s="135">
        <f>(($E$29)*($E$3))</f>
        <v/>
      </c>
      <c r="AI29" s="135">
        <f>(($E$29)*($E$3))</f>
        <v/>
      </c>
      <c r="AJ29" s="135">
        <f>(($E$29)*($E$3))</f>
        <v/>
      </c>
      <c r="AK29" s="135">
        <f>(($E$29)*($E$3))</f>
        <v/>
      </c>
      <c r="AL29" s="135">
        <f>(($E$29)*($E$3))</f>
        <v/>
      </c>
      <c r="AM29" s="135">
        <f>(($E$29)*($E$3))</f>
        <v/>
      </c>
      <c r="AN29" s="135">
        <f>(($E$29)*($E$3))</f>
        <v/>
      </c>
      <c r="AO29" s="135">
        <f>(($E$29)*($E$3))</f>
        <v/>
      </c>
      <c r="AP29" s="973">
        <f>(($E$29)*($E$3))</f>
        <v/>
      </c>
      <c r="AQ29" s="135">
        <f>(($E$29)*($E$3))</f>
        <v/>
      </c>
      <c r="AR29" s="412">
        <f>(($E$29)*($E$3))</f>
        <v/>
      </c>
      <c r="AS29" s="978" t="n"/>
      <c r="AT29" s="978" t="n"/>
      <c r="AU29" s="978" t="n"/>
      <c r="AV29" s="978" t="n"/>
      <c r="AW29" s="978" t="n"/>
      <c r="AX29" s="978" t="n"/>
      <c r="AY29" s="978" t="n"/>
      <c r="AZ29" s="978" t="n"/>
      <c r="BA29" s="978" t="n"/>
      <c r="BB29" s="981" t="n"/>
      <c r="BC29" s="978" t="n"/>
      <c r="BD29" s="978" t="n"/>
      <c r="BE29" s="978" t="n"/>
      <c r="BF29" s="978" t="n"/>
      <c r="BG29" s="978" t="n"/>
      <c r="BH29" s="978" t="n"/>
      <c r="BI29" s="978" t="n"/>
      <c r="BJ29" s="978" t="n"/>
      <c r="BK29" s="978" t="n"/>
      <c r="BL29" s="978" t="n"/>
      <c r="BM29" s="978" t="n"/>
      <c r="BN29" s="978" t="n"/>
      <c r="BO29" s="932" t="n"/>
      <c r="BP29" s="135">
        <f>SUM(G29:BN29)</f>
        <v/>
      </c>
      <c r="BQ29" s="932" t="n"/>
      <c r="BR29" s="135">
        <f>(E29)</f>
        <v/>
      </c>
      <c r="BS29" s="135">
        <f>((BP29)-(BR29))</f>
        <v/>
      </c>
    </row>
    <row r="30">
      <c r="D30" s="149" t="inlineStr">
        <is>
          <t>Month 19</t>
        </is>
      </c>
      <c r="E30" s="139">
        <f>'P&amp;L Assumptions (Companion App)'!T18</f>
        <v/>
      </c>
      <c r="F30" s="1968" t="n"/>
      <c r="G30" s="978" t="n"/>
      <c r="H30" s="978" t="n"/>
      <c r="I30" s="978" t="n"/>
      <c r="J30" s="978" t="n"/>
      <c r="K30" s="978" t="n"/>
      <c r="L30" s="978" t="n"/>
      <c r="M30" s="978" t="n"/>
      <c r="N30" s="978" t="n"/>
      <c r="O30" s="978" t="n"/>
      <c r="P30" s="978" t="n"/>
      <c r="Q30" s="978" t="n"/>
      <c r="R30" s="981" t="n"/>
      <c r="S30" s="978" t="n"/>
      <c r="T30" s="978" t="n"/>
      <c r="U30" s="978" t="n"/>
      <c r="V30" s="978" t="n"/>
      <c r="W30" s="978" t="n"/>
      <c r="X30" s="978" t="n"/>
      <c r="Y30" s="978" t="n"/>
      <c r="Z30" s="412">
        <f>(($E$30)*($E$3))</f>
        <v/>
      </c>
      <c r="AA30" s="135">
        <f>(($E$30)*($E$3))</f>
        <v/>
      </c>
      <c r="AB30" s="135">
        <f>(($E$30)*($E$3))</f>
        <v/>
      </c>
      <c r="AC30" s="135">
        <f>(($E$30)*($E$3))</f>
        <v/>
      </c>
      <c r="AD30" s="973">
        <f>(($E$30)*($E$3))</f>
        <v/>
      </c>
      <c r="AE30" s="135">
        <f>(($E$30)*($E$3))</f>
        <v/>
      </c>
      <c r="AF30" s="135">
        <f>(($E$30)*($E$3))</f>
        <v/>
      </c>
      <c r="AG30" s="135">
        <f>(($E$30)*($E$3))</f>
        <v/>
      </c>
      <c r="AH30" s="135">
        <f>(($E$30)*($E$3))</f>
        <v/>
      </c>
      <c r="AI30" s="135">
        <f>(($E$30)*($E$3))</f>
        <v/>
      </c>
      <c r="AJ30" s="135">
        <f>(($E$30)*($E$3))</f>
        <v/>
      </c>
      <c r="AK30" s="135">
        <f>(($E$30)*($E$3))</f>
        <v/>
      </c>
      <c r="AL30" s="135">
        <f>(($E$30)*($E$3))</f>
        <v/>
      </c>
      <c r="AM30" s="135">
        <f>(($E$30)*($E$3))</f>
        <v/>
      </c>
      <c r="AN30" s="135">
        <f>(($E$30)*($E$3))</f>
        <v/>
      </c>
      <c r="AO30" s="135">
        <f>(($E$30)*($E$3))</f>
        <v/>
      </c>
      <c r="AP30" s="973">
        <f>(($E$30)*($E$3))</f>
        <v/>
      </c>
      <c r="AQ30" s="135">
        <f>(($E$30)*($E$3))</f>
        <v/>
      </c>
      <c r="AR30" s="135">
        <f>(($E$30)*($E$3))</f>
        <v/>
      </c>
      <c r="AS30" s="412">
        <f>(($E$30)*($E$3))</f>
        <v/>
      </c>
      <c r="AT30" s="978" t="n"/>
      <c r="AU30" s="978" t="n"/>
      <c r="AV30" s="978" t="n"/>
      <c r="AW30" s="978" t="n"/>
      <c r="AX30" s="978" t="n"/>
      <c r="AY30" s="978" t="n"/>
      <c r="AZ30" s="978" t="n"/>
      <c r="BA30" s="978" t="n"/>
      <c r="BB30" s="981" t="n"/>
      <c r="BC30" s="978" t="n"/>
      <c r="BD30" s="978" t="n"/>
      <c r="BE30" s="978" t="n"/>
      <c r="BF30" s="978" t="n"/>
      <c r="BG30" s="978" t="n"/>
      <c r="BH30" s="978" t="n"/>
      <c r="BI30" s="978" t="n"/>
      <c r="BJ30" s="978" t="n"/>
      <c r="BK30" s="978" t="n"/>
      <c r="BL30" s="978" t="n"/>
      <c r="BM30" s="978" t="n"/>
      <c r="BN30" s="978" t="n"/>
      <c r="BO30" s="932" t="n"/>
      <c r="BP30" s="135">
        <f>SUM(G30:BN30)</f>
        <v/>
      </c>
      <c r="BQ30" s="932" t="n"/>
      <c r="BR30" s="135">
        <f>(E30)</f>
        <v/>
      </c>
      <c r="BS30" s="135">
        <f>((BP30)-(BR30))</f>
        <v/>
      </c>
    </row>
    <row r="31">
      <c r="D31" s="149" t="inlineStr">
        <is>
          <t>Month 20</t>
        </is>
      </c>
      <c r="E31" s="139">
        <f>'P&amp;L Assumptions (Companion App)'!V18</f>
        <v/>
      </c>
      <c r="F31" s="1968" t="n"/>
      <c r="G31" s="978" t="n"/>
      <c r="H31" s="978" t="n"/>
      <c r="I31" s="978" t="n"/>
      <c r="J31" s="978" t="n"/>
      <c r="K31" s="978" t="n"/>
      <c r="L31" s="978" t="n"/>
      <c r="M31" s="978" t="n"/>
      <c r="N31" s="978" t="n"/>
      <c r="O31" s="978" t="n"/>
      <c r="P31" s="978" t="n"/>
      <c r="Q31" s="978" t="n"/>
      <c r="R31" s="981" t="n"/>
      <c r="S31" s="978" t="n"/>
      <c r="T31" s="978" t="n"/>
      <c r="U31" s="978" t="n"/>
      <c r="V31" s="978" t="n"/>
      <c r="W31" s="978" t="n"/>
      <c r="X31" s="978" t="n"/>
      <c r="Y31" s="978" t="n"/>
      <c r="Z31" s="978" t="n"/>
      <c r="AA31" s="412">
        <f>(($E$31)*($E$3))</f>
        <v/>
      </c>
      <c r="AB31" s="135">
        <f>(($E$31)*($E$3))</f>
        <v/>
      </c>
      <c r="AC31" s="135">
        <f>(($E$31)*($E$3))</f>
        <v/>
      </c>
      <c r="AD31" s="973">
        <f>(($E$31)*($E$3))</f>
        <v/>
      </c>
      <c r="AE31" s="135">
        <f>(($E$31)*($E$3))</f>
        <v/>
      </c>
      <c r="AF31" s="135">
        <f>(($E$31)*($E$3))</f>
        <v/>
      </c>
      <c r="AG31" s="135">
        <f>(($E$31)*($E$3))</f>
        <v/>
      </c>
      <c r="AH31" s="135">
        <f>(($E$31)*($E$3))</f>
        <v/>
      </c>
      <c r="AI31" s="135">
        <f>(($E$31)*($E$3))</f>
        <v/>
      </c>
      <c r="AJ31" s="135">
        <f>(($E$31)*($E$3))</f>
        <v/>
      </c>
      <c r="AK31" s="135">
        <f>(($E$31)*($E$3))</f>
        <v/>
      </c>
      <c r="AL31" s="135">
        <f>(($E$31)*($E$3))</f>
        <v/>
      </c>
      <c r="AM31" s="135">
        <f>(($E$31)*($E$3))</f>
        <v/>
      </c>
      <c r="AN31" s="135">
        <f>(($E$31)*($E$3))</f>
        <v/>
      </c>
      <c r="AO31" s="135">
        <f>(($E$31)*($E$3))</f>
        <v/>
      </c>
      <c r="AP31" s="973">
        <f>(($E$31)*($E$3))</f>
        <v/>
      </c>
      <c r="AQ31" s="135">
        <f>(($E$31)*($E$3))</f>
        <v/>
      </c>
      <c r="AR31" s="135">
        <f>(($E$31)*($E$3))</f>
        <v/>
      </c>
      <c r="AS31" s="135">
        <f>(($E$31)*($E$3))</f>
        <v/>
      </c>
      <c r="AT31" s="412">
        <f>(($E$31)*($E$3))</f>
        <v/>
      </c>
      <c r="AU31" s="978" t="n"/>
      <c r="AV31" s="978" t="n"/>
      <c r="AW31" s="978" t="n"/>
      <c r="AX31" s="978" t="n"/>
      <c r="AY31" s="978" t="n"/>
      <c r="AZ31" s="978" t="n"/>
      <c r="BA31" s="978" t="n"/>
      <c r="BB31" s="981" t="n"/>
      <c r="BC31" s="978" t="n"/>
      <c r="BD31" s="978" t="n"/>
      <c r="BE31" s="978" t="n"/>
      <c r="BF31" s="978" t="n"/>
      <c r="BG31" s="978" t="n"/>
      <c r="BH31" s="978" t="n"/>
      <c r="BI31" s="978" t="n"/>
      <c r="BJ31" s="978" t="n"/>
      <c r="BK31" s="978" t="n"/>
      <c r="BL31" s="978" t="n"/>
      <c r="BM31" s="978" t="n"/>
      <c r="BN31" s="978" t="n"/>
      <c r="BO31" s="932" t="n"/>
      <c r="BP31" s="135">
        <f>SUM(G31:BN31)</f>
        <v/>
      </c>
      <c r="BQ31" s="932" t="n"/>
      <c r="BR31" s="135">
        <f>(E31)</f>
        <v/>
      </c>
      <c r="BS31" s="135">
        <f>((BP31)-(BR31))</f>
        <v/>
      </c>
    </row>
    <row r="32">
      <c r="D32" s="149" t="inlineStr">
        <is>
          <t>Month 21</t>
        </is>
      </c>
      <c r="E32" s="139">
        <f>'P&amp;L Assumptions (Companion App)'!X18</f>
        <v/>
      </c>
      <c r="F32" s="1968" t="n"/>
      <c r="G32" s="978" t="n"/>
      <c r="H32" s="978" t="n"/>
      <c r="I32" s="978" t="n"/>
      <c r="J32" s="978" t="n"/>
      <c r="K32" s="978" t="n"/>
      <c r="L32" s="978" t="n"/>
      <c r="M32" s="978" t="n"/>
      <c r="N32" s="978" t="n"/>
      <c r="O32" s="978" t="n"/>
      <c r="P32" s="978" t="n"/>
      <c r="Q32" s="978" t="n"/>
      <c r="R32" s="981" t="n"/>
      <c r="S32" s="978" t="n"/>
      <c r="T32" s="978" t="n"/>
      <c r="U32" s="978" t="n"/>
      <c r="V32" s="978" t="n"/>
      <c r="W32" s="978" t="n"/>
      <c r="X32" s="978" t="n"/>
      <c r="Y32" s="978" t="n"/>
      <c r="Z32" s="978" t="n"/>
      <c r="AA32" s="978" t="n"/>
      <c r="AB32" s="412">
        <f>(($E$32)*($E$3))</f>
        <v/>
      </c>
      <c r="AC32" s="135">
        <f>(($E$32)*($E$3))</f>
        <v/>
      </c>
      <c r="AD32" s="973">
        <f>(($E$32)*($E$3))</f>
        <v/>
      </c>
      <c r="AE32" s="135">
        <f>(($E$32)*($E$3))</f>
        <v/>
      </c>
      <c r="AF32" s="135">
        <f>(($E$32)*($E$3))</f>
        <v/>
      </c>
      <c r="AG32" s="135">
        <f>(($E$32)*($E$3))</f>
        <v/>
      </c>
      <c r="AH32" s="135">
        <f>(($E$32)*($E$3))</f>
        <v/>
      </c>
      <c r="AI32" s="135">
        <f>(($E$32)*($E$3))</f>
        <v/>
      </c>
      <c r="AJ32" s="135">
        <f>(($E$32)*($E$3))</f>
        <v/>
      </c>
      <c r="AK32" s="135">
        <f>(($E$32)*($E$3))</f>
        <v/>
      </c>
      <c r="AL32" s="135">
        <f>(($E$32)*($E$3))</f>
        <v/>
      </c>
      <c r="AM32" s="135">
        <f>(($E$32)*($E$3))</f>
        <v/>
      </c>
      <c r="AN32" s="135">
        <f>(($E$32)*($E$3))</f>
        <v/>
      </c>
      <c r="AO32" s="135">
        <f>(($E$32)*($E$3))</f>
        <v/>
      </c>
      <c r="AP32" s="973">
        <f>(($E$32)*($E$3))</f>
        <v/>
      </c>
      <c r="AQ32" s="135">
        <f>(($E$32)*($E$3))</f>
        <v/>
      </c>
      <c r="AR32" s="135">
        <f>(($E$32)*($E$3))</f>
        <v/>
      </c>
      <c r="AS32" s="135">
        <f>(($E$32)*($E$3))</f>
        <v/>
      </c>
      <c r="AT32" s="135">
        <f>(($E$32)*($E$3))</f>
        <v/>
      </c>
      <c r="AU32" s="412">
        <f>(($E$32)*($E$3))</f>
        <v/>
      </c>
      <c r="AV32" s="978" t="n"/>
      <c r="AW32" s="978" t="n"/>
      <c r="AX32" s="978" t="n"/>
      <c r="AY32" s="978" t="n"/>
      <c r="AZ32" s="978" t="n"/>
      <c r="BA32" s="978" t="n"/>
      <c r="BB32" s="981" t="n"/>
      <c r="BC32" s="978" t="n"/>
      <c r="BD32" s="978" t="n"/>
      <c r="BE32" s="978" t="n"/>
      <c r="BF32" s="978" t="n"/>
      <c r="BG32" s="978" t="n"/>
      <c r="BH32" s="978" t="n"/>
      <c r="BI32" s="978" t="n"/>
      <c r="BJ32" s="978" t="n"/>
      <c r="BK32" s="978" t="n"/>
      <c r="BL32" s="978" t="n"/>
      <c r="BM32" s="978" t="n"/>
      <c r="BN32" s="978" t="n"/>
      <c r="BO32" s="932" t="n"/>
      <c r="BP32" s="135">
        <f>SUM(G32:BN32)</f>
        <v/>
      </c>
      <c r="BQ32" s="932" t="n"/>
      <c r="BR32" s="135">
        <f>(E32)</f>
        <v/>
      </c>
      <c r="BS32" s="135">
        <f>((BP32)-(BR32))</f>
        <v/>
      </c>
    </row>
    <row r="33">
      <c r="D33" s="149" t="inlineStr">
        <is>
          <t>Month 22</t>
        </is>
      </c>
      <c r="E33" s="139">
        <f>'P&amp;L Assumptions (Companion App)'!Z18</f>
        <v/>
      </c>
      <c r="F33" s="1968" t="n"/>
      <c r="G33" s="978" t="n"/>
      <c r="H33" s="978" t="n"/>
      <c r="I33" s="978" t="n"/>
      <c r="J33" s="978" t="n"/>
      <c r="K33" s="978" t="n"/>
      <c r="L33" s="978" t="n"/>
      <c r="M33" s="978" t="n"/>
      <c r="N33" s="978" t="n"/>
      <c r="O33" s="978" t="n"/>
      <c r="P33" s="978" t="n"/>
      <c r="Q33" s="978" t="n"/>
      <c r="R33" s="981" t="n"/>
      <c r="S33" s="978" t="n"/>
      <c r="T33" s="978" t="n"/>
      <c r="U33" s="978" t="n"/>
      <c r="V33" s="978" t="n"/>
      <c r="W33" s="978" t="n"/>
      <c r="X33" s="978" t="n"/>
      <c r="Y33" s="978" t="n"/>
      <c r="Z33" s="978" t="n"/>
      <c r="AA33" s="978" t="n"/>
      <c r="AB33" s="978" t="n"/>
      <c r="AC33" s="412">
        <f>(($E$33)*($E$3))</f>
        <v/>
      </c>
      <c r="AD33" s="973">
        <f>(($E$33)*($E$3))</f>
        <v/>
      </c>
      <c r="AE33" s="135">
        <f>(($E$33)*($E$3))</f>
        <v/>
      </c>
      <c r="AF33" s="135">
        <f>(($E$33)*($E$3))</f>
        <v/>
      </c>
      <c r="AG33" s="135">
        <f>(($E$33)*($E$3))</f>
        <v/>
      </c>
      <c r="AH33" s="135">
        <f>(($E$33)*($E$3))</f>
        <v/>
      </c>
      <c r="AI33" s="135">
        <f>(($E$33)*($E$3))</f>
        <v/>
      </c>
      <c r="AJ33" s="135">
        <f>(($E$33)*($E$3))</f>
        <v/>
      </c>
      <c r="AK33" s="135">
        <f>(($E$33)*($E$3))</f>
        <v/>
      </c>
      <c r="AL33" s="135">
        <f>(($E$33)*($E$3))</f>
        <v/>
      </c>
      <c r="AM33" s="135">
        <f>(($E$33)*($E$3))</f>
        <v/>
      </c>
      <c r="AN33" s="135">
        <f>(($E$33)*($E$3))</f>
        <v/>
      </c>
      <c r="AO33" s="135">
        <f>(($E$33)*($E$3))</f>
        <v/>
      </c>
      <c r="AP33" s="973">
        <f>(($E$33)*($E$3))</f>
        <v/>
      </c>
      <c r="AQ33" s="135">
        <f>(($E$33)*($E$3))</f>
        <v/>
      </c>
      <c r="AR33" s="135">
        <f>(($E$33)*($E$3))</f>
        <v/>
      </c>
      <c r="AS33" s="135">
        <f>(($E$33)*($E$3))</f>
        <v/>
      </c>
      <c r="AT33" s="135">
        <f>(($E$33)*($E$3))</f>
        <v/>
      </c>
      <c r="AU33" s="135">
        <f>(($E$33)*($E$3))</f>
        <v/>
      </c>
      <c r="AV33" s="412">
        <f>(($E$33)*($E$3))</f>
        <v/>
      </c>
      <c r="AW33" s="978" t="n"/>
      <c r="AX33" s="978" t="n"/>
      <c r="AY33" s="978" t="n"/>
      <c r="AZ33" s="978" t="n"/>
      <c r="BA33" s="978" t="n"/>
      <c r="BB33" s="981" t="n"/>
      <c r="BC33" s="978" t="n"/>
      <c r="BD33" s="978" t="n"/>
      <c r="BE33" s="978" t="n"/>
      <c r="BF33" s="978" t="n"/>
      <c r="BG33" s="978" t="n"/>
      <c r="BH33" s="978" t="n"/>
      <c r="BI33" s="978" t="n"/>
      <c r="BJ33" s="978" t="n"/>
      <c r="BK33" s="978" t="n"/>
      <c r="BL33" s="978" t="n"/>
      <c r="BM33" s="978" t="n"/>
      <c r="BN33" s="978" t="n"/>
      <c r="BO33" s="932" t="n"/>
      <c r="BP33" s="135">
        <f>SUM(G33:BN33)</f>
        <v/>
      </c>
      <c r="BQ33" s="932" t="n"/>
      <c r="BR33" s="135">
        <f>(E33)</f>
        <v/>
      </c>
      <c r="BS33" s="135">
        <f>((BP33)-(BR33))</f>
        <v/>
      </c>
    </row>
    <row r="34">
      <c r="D34" s="149" t="inlineStr">
        <is>
          <t>Month 23</t>
        </is>
      </c>
      <c r="E34" s="139">
        <f>'P&amp;L Assumptions (Companion App)'!AB18</f>
        <v/>
      </c>
      <c r="F34" s="1968" t="n"/>
      <c r="G34" s="978" t="n"/>
      <c r="H34" s="978" t="n"/>
      <c r="I34" s="978" t="n"/>
      <c r="J34" s="978" t="n"/>
      <c r="K34" s="978" t="n"/>
      <c r="L34" s="978" t="n"/>
      <c r="M34" s="978" t="n"/>
      <c r="N34" s="978" t="n"/>
      <c r="O34" s="978" t="n"/>
      <c r="P34" s="978" t="n"/>
      <c r="Q34" s="978" t="n"/>
      <c r="R34" s="981" t="n"/>
      <c r="S34" s="978" t="n"/>
      <c r="T34" s="978" t="n"/>
      <c r="U34" s="978" t="n"/>
      <c r="V34" s="978" t="n"/>
      <c r="W34" s="978" t="n"/>
      <c r="X34" s="978" t="n"/>
      <c r="Y34" s="978" t="n"/>
      <c r="Z34" s="978" t="n"/>
      <c r="AA34" s="978" t="n"/>
      <c r="AB34" s="978" t="n"/>
      <c r="AC34" s="978" t="n"/>
      <c r="AD34" s="973">
        <f>(($E$34)*($E$3))</f>
        <v/>
      </c>
      <c r="AE34" s="135">
        <f>(($E$34)*($E$3))</f>
        <v/>
      </c>
      <c r="AF34" s="135">
        <f>(($E$34)*($E$3))</f>
        <v/>
      </c>
      <c r="AG34" s="135">
        <f>(($E$34)*($E$3))</f>
        <v/>
      </c>
      <c r="AH34" s="135">
        <f>(($E$34)*($E$3))</f>
        <v/>
      </c>
      <c r="AI34" s="135">
        <f>(($E$34)*($E$3))</f>
        <v/>
      </c>
      <c r="AJ34" s="135">
        <f>(($E$34)*($E$3))</f>
        <v/>
      </c>
      <c r="AK34" s="135">
        <f>(($E$34)*($E$3))</f>
        <v/>
      </c>
      <c r="AL34" s="135">
        <f>(($E$34)*($E$3))</f>
        <v/>
      </c>
      <c r="AM34" s="135">
        <f>(($E$34)*($E$3))</f>
        <v/>
      </c>
      <c r="AN34" s="135">
        <f>(($E$34)*($E$3))</f>
        <v/>
      </c>
      <c r="AO34" s="135">
        <f>(($E$34)*($E$3))</f>
        <v/>
      </c>
      <c r="AP34" s="973">
        <f>(($E$34)*($E$3))</f>
        <v/>
      </c>
      <c r="AQ34" s="135">
        <f>(($E$34)*($E$3))</f>
        <v/>
      </c>
      <c r="AR34" s="135">
        <f>(($E$34)*($E$3))</f>
        <v/>
      </c>
      <c r="AS34" s="135">
        <f>(($E$34)*($E$3))</f>
        <v/>
      </c>
      <c r="AT34" s="135">
        <f>(($E$34)*($E$3))</f>
        <v/>
      </c>
      <c r="AU34" s="135">
        <f>(($E$34)*($E$3))</f>
        <v/>
      </c>
      <c r="AV34" s="135">
        <f>(($E$34)*($E$3))</f>
        <v/>
      </c>
      <c r="AW34" s="412">
        <f>(($E$34)*($E$3))</f>
        <v/>
      </c>
      <c r="AX34" s="978" t="n"/>
      <c r="AY34" s="978" t="n"/>
      <c r="AZ34" s="978" t="n"/>
      <c r="BA34" s="978" t="n"/>
      <c r="BB34" s="981" t="n"/>
      <c r="BC34" s="978" t="n"/>
      <c r="BD34" s="978" t="n"/>
      <c r="BE34" s="978" t="n"/>
      <c r="BF34" s="978" t="n"/>
      <c r="BG34" s="978" t="n"/>
      <c r="BH34" s="978" t="n"/>
      <c r="BI34" s="978" t="n"/>
      <c r="BJ34" s="978" t="n"/>
      <c r="BK34" s="978" t="n"/>
      <c r="BL34" s="978" t="n"/>
      <c r="BM34" s="978" t="n"/>
      <c r="BN34" s="978" t="n"/>
      <c r="BO34" s="932" t="n"/>
      <c r="BP34" s="135">
        <f>SUM(G34:BN34)</f>
        <v/>
      </c>
      <c r="BQ34" s="932" t="n"/>
      <c r="BR34" s="135">
        <f>(E34)</f>
        <v/>
      </c>
      <c r="BS34" s="135">
        <f>((BP34)-(BR34))</f>
        <v/>
      </c>
    </row>
    <row r="35">
      <c r="D35" s="149" t="inlineStr">
        <is>
          <t>Month 24</t>
        </is>
      </c>
      <c r="E35" s="139">
        <f>'P&amp;L Assumptions (Companion App)'!AD18</f>
        <v/>
      </c>
      <c r="F35" s="1968" t="n"/>
      <c r="G35" s="978" t="n"/>
      <c r="H35" s="978" t="n"/>
      <c r="I35" s="978" t="n"/>
      <c r="J35" s="978" t="n"/>
      <c r="K35" s="978" t="n"/>
      <c r="L35" s="978" t="n"/>
      <c r="M35" s="978" t="n"/>
      <c r="N35" s="978" t="n"/>
      <c r="O35" s="978" t="n"/>
      <c r="P35" s="978" t="n"/>
      <c r="Q35" s="978" t="n"/>
      <c r="R35" s="981" t="n"/>
      <c r="S35" s="978" t="n"/>
      <c r="T35" s="978" t="n"/>
      <c r="U35" s="978" t="n"/>
      <c r="V35" s="978" t="n"/>
      <c r="W35" s="978" t="n"/>
      <c r="X35" s="978" t="n"/>
      <c r="Y35" s="978" t="n"/>
      <c r="Z35" s="978" t="n"/>
      <c r="AA35" s="978" t="n"/>
      <c r="AB35" s="978" t="n"/>
      <c r="AC35" s="978" t="n"/>
      <c r="AD35" s="981" t="n"/>
      <c r="AE35" s="412">
        <f>(($E$35)*($E$3))</f>
        <v/>
      </c>
      <c r="AF35" s="135">
        <f>(($E$35)*($E$3))</f>
        <v/>
      </c>
      <c r="AG35" s="135">
        <f>(($E$35)*($E$3))</f>
        <v/>
      </c>
      <c r="AH35" s="135">
        <f>(($E$35)*($E$3))</f>
        <v/>
      </c>
      <c r="AI35" s="135">
        <f>(($E$35)*($E$3))</f>
        <v/>
      </c>
      <c r="AJ35" s="135">
        <f>(($E$35)*($E$3))</f>
        <v/>
      </c>
      <c r="AK35" s="135">
        <f>(($E$35)*($E$3))</f>
        <v/>
      </c>
      <c r="AL35" s="135">
        <f>(($E$35)*($E$3))</f>
        <v/>
      </c>
      <c r="AM35" s="135">
        <f>(($E$35)*($E$3))</f>
        <v/>
      </c>
      <c r="AN35" s="135">
        <f>(($E$35)*($E$3))</f>
        <v/>
      </c>
      <c r="AO35" s="135">
        <f>(($E$35)*($E$3))</f>
        <v/>
      </c>
      <c r="AP35" s="973">
        <f>(($E$35)*($E$3))</f>
        <v/>
      </c>
      <c r="AQ35" s="135">
        <f>(($E$35)*($E$3))</f>
        <v/>
      </c>
      <c r="AR35" s="135">
        <f>(($E$35)*($E$3))</f>
        <v/>
      </c>
      <c r="AS35" s="135">
        <f>(($E$35)*($E$3))</f>
        <v/>
      </c>
      <c r="AT35" s="135">
        <f>(($E$35)*($E$3))</f>
        <v/>
      </c>
      <c r="AU35" s="135">
        <f>(($E$35)*($E$3))</f>
        <v/>
      </c>
      <c r="AV35" s="135">
        <f>(($E$35)*($E$3))</f>
        <v/>
      </c>
      <c r="AW35" s="135">
        <f>(($E$35)*($E$3))</f>
        <v/>
      </c>
      <c r="AX35" s="412">
        <f>(($E$35)*($E$3))</f>
        <v/>
      </c>
      <c r="AY35" s="978" t="n"/>
      <c r="AZ35" s="978" t="n"/>
      <c r="BA35" s="978" t="n"/>
      <c r="BB35" s="981" t="n"/>
      <c r="BC35" s="978" t="n"/>
      <c r="BD35" s="978" t="n"/>
      <c r="BE35" s="978" t="n"/>
      <c r="BF35" s="978" t="n"/>
      <c r="BG35" s="978" t="n"/>
      <c r="BH35" s="978" t="n"/>
      <c r="BI35" s="978" t="n"/>
      <c r="BJ35" s="978" t="n"/>
      <c r="BK35" s="978" t="n"/>
      <c r="BL35" s="978" t="n"/>
      <c r="BM35" s="978" t="n"/>
      <c r="BN35" s="978" t="n"/>
      <c r="BO35" s="932" t="n"/>
      <c r="BP35" s="135">
        <f>SUM(G35:BN35)</f>
        <v/>
      </c>
      <c r="BQ35" s="932" t="n"/>
      <c r="BR35" s="135">
        <f>(E35)</f>
        <v/>
      </c>
      <c r="BS35" s="135">
        <f>((BP35)-(BR35))</f>
        <v/>
      </c>
    </row>
    <row r="36">
      <c r="D36" s="149" t="inlineStr">
        <is>
          <t>Month 25</t>
        </is>
      </c>
      <c r="E36" s="139">
        <f>'P&amp;L Assumptions (Companion App)'!H19</f>
        <v/>
      </c>
      <c r="F36" s="1968" t="n"/>
      <c r="G36" s="978" t="n"/>
      <c r="H36" s="978" t="n"/>
      <c r="I36" s="978" t="n"/>
      <c r="J36" s="978" t="n"/>
      <c r="K36" s="978" t="n"/>
      <c r="L36" s="978" t="n"/>
      <c r="M36" s="978" t="n"/>
      <c r="N36" s="978" t="n"/>
      <c r="O36" s="978" t="n"/>
      <c r="P36" s="978" t="n"/>
      <c r="Q36" s="978" t="n"/>
      <c r="R36" s="981" t="n"/>
      <c r="S36" s="978" t="n"/>
      <c r="T36" s="978" t="n"/>
      <c r="U36" s="978" t="n"/>
      <c r="V36" s="978" t="n"/>
      <c r="W36" s="978" t="n"/>
      <c r="X36" s="978" t="n"/>
      <c r="Y36" s="978" t="n"/>
      <c r="Z36" s="978" t="n"/>
      <c r="AA36" s="978" t="n"/>
      <c r="AB36" s="978" t="n"/>
      <c r="AC36" s="978" t="n"/>
      <c r="AD36" s="981" t="n"/>
      <c r="AE36" s="978" t="n"/>
      <c r="AF36" s="412">
        <f>(($E$36)*($E$3))</f>
        <v/>
      </c>
      <c r="AG36" s="135">
        <f>(($E$36)*($E$3))</f>
        <v/>
      </c>
      <c r="AH36" s="135">
        <f>(($E$36)*($E$3))</f>
        <v/>
      </c>
      <c r="AI36" s="135">
        <f>(($E$36)*($E$3))</f>
        <v/>
      </c>
      <c r="AJ36" s="135">
        <f>(($E$36)*($E$3))</f>
        <v/>
      </c>
      <c r="AK36" s="135">
        <f>(($E$36)*($E$3))</f>
        <v/>
      </c>
      <c r="AL36" s="135">
        <f>(($E$36)*($E$3))</f>
        <v/>
      </c>
      <c r="AM36" s="135">
        <f>(($E$36)*($E$3))</f>
        <v/>
      </c>
      <c r="AN36" s="135">
        <f>(($E$36)*($E$3))</f>
        <v/>
      </c>
      <c r="AO36" s="135">
        <f>(($E$36)*($E$3))</f>
        <v/>
      </c>
      <c r="AP36" s="973">
        <f>(($E$36)*($E$3))</f>
        <v/>
      </c>
      <c r="AQ36" s="135">
        <f>(($E$36)*($E$3))</f>
        <v/>
      </c>
      <c r="AR36" s="135">
        <f>(($E$36)*($E$3))</f>
        <v/>
      </c>
      <c r="AS36" s="135">
        <f>(($E$36)*($E$3))</f>
        <v/>
      </c>
      <c r="AT36" s="135">
        <f>(($E$36)*($E$3))</f>
        <v/>
      </c>
      <c r="AU36" s="135">
        <f>(($E$36)*($E$3))</f>
        <v/>
      </c>
      <c r="AV36" s="135">
        <f>(($E$36)*($E$3))</f>
        <v/>
      </c>
      <c r="AW36" s="135">
        <f>(($E$36)*($E$3))</f>
        <v/>
      </c>
      <c r="AX36" s="135">
        <f>(($E$36)*($E$3))</f>
        <v/>
      </c>
      <c r="AY36" s="412">
        <f>(($E$36)*($E$3))</f>
        <v/>
      </c>
      <c r="AZ36" s="978" t="n"/>
      <c r="BA36" s="978" t="n"/>
      <c r="BB36" s="981" t="n"/>
      <c r="BC36" s="978" t="n"/>
      <c r="BD36" s="978" t="n"/>
      <c r="BE36" s="978" t="n"/>
      <c r="BF36" s="978" t="n"/>
      <c r="BG36" s="978" t="n"/>
      <c r="BH36" s="978" t="n"/>
      <c r="BI36" s="978" t="n"/>
      <c r="BJ36" s="978" t="n"/>
      <c r="BK36" s="978" t="n"/>
      <c r="BL36" s="978" t="n"/>
      <c r="BM36" s="978" t="n"/>
      <c r="BN36" s="978" t="n"/>
      <c r="BO36" s="932" t="n"/>
      <c r="BP36" s="135">
        <f>SUM(G36:BN36)</f>
        <v/>
      </c>
      <c r="BQ36" s="932" t="n"/>
      <c r="BR36" s="135">
        <f>(E36)</f>
        <v/>
      </c>
      <c r="BS36" s="135">
        <f>((BP36)-(BR36))</f>
        <v/>
      </c>
    </row>
    <row r="37">
      <c r="D37" s="149" t="inlineStr">
        <is>
          <t>Month 26</t>
        </is>
      </c>
      <c r="E37" s="139">
        <f>'P&amp;L Assumptions (Companion App)'!J19</f>
        <v/>
      </c>
      <c r="F37" s="1968" t="n"/>
      <c r="G37" s="978" t="n"/>
      <c r="H37" s="978" t="n"/>
      <c r="I37" s="978" t="n"/>
      <c r="J37" s="978" t="n"/>
      <c r="K37" s="978" t="n"/>
      <c r="L37" s="978" t="n"/>
      <c r="M37" s="978" t="n"/>
      <c r="N37" s="978" t="n"/>
      <c r="O37" s="978" t="n"/>
      <c r="P37" s="978" t="n"/>
      <c r="Q37" s="978" t="n"/>
      <c r="R37" s="981" t="n"/>
      <c r="S37" s="978" t="n"/>
      <c r="T37" s="978" t="n"/>
      <c r="U37" s="978" t="n"/>
      <c r="V37" s="978" t="n"/>
      <c r="W37" s="978" t="n"/>
      <c r="X37" s="978" t="n"/>
      <c r="Y37" s="978" t="n"/>
      <c r="Z37" s="978" t="n"/>
      <c r="AA37" s="978" t="n"/>
      <c r="AB37" s="978" t="n"/>
      <c r="AC37" s="978" t="n"/>
      <c r="AD37" s="981" t="n"/>
      <c r="AE37" s="978" t="n"/>
      <c r="AF37" s="978" t="n"/>
      <c r="AG37" s="412">
        <f>(($E$37)*($E$3))</f>
        <v/>
      </c>
      <c r="AH37" s="135">
        <f>(($E$37)*($E$3))</f>
        <v/>
      </c>
      <c r="AI37" s="135">
        <f>(($E$37)*($E$3))</f>
        <v/>
      </c>
      <c r="AJ37" s="135">
        <f>(($E$37)*($E$3))</f>
        <v/>
      </c>
      <c r="AK37" s="135">
        <f>(($E$37)*($E$3))</f>
        <v/>
      </c>
      <c r="AL37" s="135">
        <f>(($E$37)*($E$3))</f>
        <v/>
      </c>
      <c r="AM37" s="135">
        <f>(($E$37)*($E$3))</f>
        <v/>
      </c>
      <c r="AN37" s="135">
        <f>(($E$37)*($E$3))</f>
        <v/>
      </c>
      <c r="AO37" s="135">
        <f>(($E$37)*($E$3))</f>
        <v/>
      </c>
      <c r="AP37" s="973">
        <f>(($E$37)*($E$3))</f>
        <v/>
      </c>
      <c r="AQ37" s="135">
        <f>(($E$37)*($E$3))</f>
        <v/>
      </c>
      <c r="AR37" s="135">
        <f>(($E$37)*($E$3))</f>
        <v/>
      </c>
      <c r="AS37" s="135">
        <f>(($E$37)*($E$3))</f>
        <v/>
      </c>
      <c r="AT37" s="135">
        <f>(($E$37)*($E$3))</f>
        <v/>
      </c>
      <c r="AU37" s="135">
        <f>(($E$37)*($E$3))</f>
        <v/>
      </c>
      <c r="AV37" s="135">
        <f>(($E$37)*($E$3))</f>
        <v/>
      </c>
      <c r="AW37" s="135">
        <f>(($E$37)*($E$3))</f>
        <v/>
      </c>
      <c r="AX37" s="135">
        <f>(($E$37)*($E$3))</f>
        <v/>
      </c>
      <c r="AY37" s="135">
        <f>(($E$37)*($E$3))</f>
        <v/>
      </c>
      <c r="AZ37" s="412">
        <f>(($E$37)*($E$3))</f>
        <v/>
      </c>
      <c r="BA37" s="978" t="n"/>
      <c r="BB37" s="981" t="n"/>
      <c r="BC37" s="978" t="n"/>
      <c r="BD37" s="978" t="n"/>
      <c r="BE37" s="978" t="n"/>
      <c r="BF37" s="978" t="n"/>
      <c r="BG37" s="978" t="n"/>
      <c r="BH37" s="978" t="n"/>
      <c r="BI37" s="978" t="n"/>
      <c r="BJ37" s="978" t="n"/>
      <c r="BK37" s="978" t="n"/>
      <c r="BL37" s="978" t="n"/>
      <c r="BM37" s="978" t="n"/>
      <c r="BN37" s="978" t="n"/>
      <c r="BO37" s="932" t="n"/>
      <c r="BP37" s="135">
        <f>SUM(G37:BN37)</f>
        <v/>
      </c>
      <c r="BQ37" s="932" t="n"/>
      <c r="BR37" s="135">
        <f>(E37)</f>
        <v/>
      </c>
      <c r="BS37" s="135">
        <f>((BP37)-(BR37))</f>
        <v/>
      </c>
    </row>
    <row r="38">
      <c r="D38" s="149" t="inlineStr">
        <is>
          <t>Month 27</t>
        </is>
      </c>
      <c r="E38" s="139">
        <f>'P&amp;L Assumptions (Companion App)'!L19</f>
        <v/>
      </c>
      <c r="F38" s="1968" t="n"/>
      <c r="G38" s="978" t="n"/>
      <c r="H38" s="978" t="n"/>
      <c r="I38" s="978" t="n"/>
      <c r="J38" s="978" t="n"/>
      <c r="K38" s="978" t="n"/>
      <c r="L38" s="978" t="n"/>
      <c r="M38" s="978" t="n"/>
      <c r="N38" s="978" t="n"/>
      <c r="O38" s="978" t="n"/>
      <c r="P38" s="978" t="n"/>
      <c r="Q38" s="978" t="n"/>
      <c r="R38" s="981" t="n"/>
      <c r="S38" s="978" t="n"/>
      <c r="T38" s="978" t="n"/>
      <c r="U38" s="978" t="n"/>
      <c r="V38" s="978" t="n"/>
      <c r="W38" s="978" t="n"/>
      <c r="X38" s="978" t="n"/>
      <c r="Y38" s="978" t="n"/>
      <c r="Z38" s="978" t="n"/>
      <c r="AA38" s="978" t="n"/>
      <c r="AB38" s="978" t="n"/>
      <c r="AC38" s="978" t="n"/>
      <c r="AD38" s="981" t="n"/>
      <c r="AE38" s="978" t="n"/>
      <c r="AF38" s="978" t="n"/>
      <c r="AG38" s="978" t="n"/>
      <c r="AH38" s="412">
        <f>(($E$38)*($E$3))</f>
        <v/>
      </c>
      <c r="AI38" s="135">
        <f>(($E$38)*($E$3))</f>
        <v/>
      </c>
      <c r="AJ38" s="135">
        <f>(($E$38)*($E$3))</f>
        <v/>
      </c>
      <c r="AK38" s="135">
        <f>(($E$38)*($E$3))</f>
        <v/>
      </c>
      <c r="AL38" s="135">
        <f>(($E$38)*($E$3))</f>
        <v/>
      </c>
      <c r="AM38" s="135">
        <f>(($E$38)*($E$3))</f>
        <v/>
      </c>
      <c r="AN38" s="135">
        <f>(($E$38)*($E$3))</f>
        <v/>
      </c>
      <c r="AO38" s="135">
        <f>(($E$38)*($E$3))</f>
        <v/>
      </c>
      <c r="AP38" s="973">
        <f>(($E$38)*($E$3))</f>
        <v/>
      </c>
      <c r="AQ38" s="135">
        <f>(($E$38)*($E$3))</f>
        <v/>
      </c>
      <c r="AR38" s="135">
        <f>(($E$38)*($E$3))</f>
        <v/>
      </c>
      <c r="AS38" s="135">
        <f>(($E$38)*($E$3))</f>
        <v/>
      </c>
      <c r="AT38" s="135">
        <f>(($E$38)*($E$3))</f>
        <v/>
      </c>
      <c r="AU38" s="135">
        <f>(($E$38)*($E$3))</f>
        <v/>
      </c>
      <c r="AV38" s="135">
        <f>(($E$38)*($E$3))</f>
        <v/>
      </c>
      <c r="AW38" s="135">
        <f>(($E$38)*($E$3))</f>
        <v/>
      </c>
      <c r="AX38" s="135">
        <f>(($E$38)*($E$3))</f>
        <v/>
      </c>
      <c r="AY38" s="135">
        <f>(($E$38)*($E$3))</f>
        <v/>
      </c>
      <c r="AZ38" s="135">
        <f>(($E$38)*($E$3))</f>
        <v/>
      </c>
      <c r="BA38" s="412">
        <f>(($E$38)*($E$3))</f>
        <v/>
      </c>
      <c r="BB38" s="981" t="n"/>
      <c r="BC38" s="978" t="n"/>
      <c r="BD38" s="978" t="n"/>
      <c r="BE38" s="978" t="n"/>
      <c r="BF38" s="978" t="n"/>
      <c r="BG38" s="978" t="n"/>
      <c r="BH38" s="978" t="n"/>
      <c r="BI38" s="978" t="n"/>
      <c r="BJ38" s="978" t="n"/>
      <c r="BK38" s="978" t="n"/>
      <c r="BL38" s="978" t="n"/>
      <c r="BM38" s="978" t="n"/>
      <c r="BN38" s="978" t="n"/>
      <c r="BO38" s="932" t="n"/>
      <c r="BP38" s="135">
        <f>SUM(G38:BN38)</f>
        <v/>
      </c>
      <c r="BQ38" s="932" t="n"/>
      <c r="BR38" s="135">
        <f>(E38)</f>
        <v/>
      </c>
      <c r="BS38" s="135">
        <f>((BP38)-(BR38))</f>
        <v/>
      </c>
    </row>
    <row r="39">
      <c r="D39" s="149" t="inlineStr">
        <is>
          <t>Month 28</t>
        </is>
      </c>
      <c r="E39" s="139">
        <f>'P&amp;L Assumptions (Companion App)'!N19</f>
        <v/>
      </c>
      <c r="F39" s="1968" t="n"/>
      <c r="G39" s="978" t="n"/>
      <c r="H39" s="978" t="n"/>
      <c r="I39" s="978" t="n"/>
      <c r="J39" s="978" t="n"/>
      <c r="K39" s="978" t="n"/>
      <c r="L39" s="978" t="n"/>
      <c r="M39" s="978" t="n"/>
      <c r="N39" s="978" t="n"/>
      <c r="O39" s="978" t="n"/>
      <c r="P39" s="978" t="n"/>
      <c r="Q39" s="978" t="n"/>
      <c r="R39" s="981" t="n"/>
      <c r="S39" s="978" t="n"/>
      <c r="T39" s="978" t="n"/>
      <c r="U39" s="978" t="n"/>
      <c r="V39" s="978" t="n"/>
      <c r="W39" s="978" t="n"/>
      <c r="X39" s="978" t="n"/>
      <c r="Y39" s="978" t="n"/>
      <c r="Z39" s="978" t="n"/>
      <c r="AA39" s="978" t="n"/>
      <c r="AB39" s="978" t="n"/>
      <c r="AC39" s="978" t="n"/>
      <c r="AD39" s="981" t="n"/>
      <c r="AE39" s="978" t="n"/>
      <c r="AF39" s="978" t="n"/>
      <c r="AG39" s="978" t="n"/>
      <c r="AH39" s="978" t="n"/>
      <c r="AI39" s="412">
        <f>(($E$39)*($E$3))</f>
        <v/>
      </c>
      <c r="AJ39" s="135">
        <f>(($E$39)*($E$3))</f>
        <v/>
      </c>
      <c r="AK39" s="135">
        <f>(($E$39)*($E$3))</f>
        <v/>
      </c>
      <c r="AL39" s="135">
        <f>(($E$39)*($E$3))</f>
        <v/>
      </c>
      <c r="AM39" s="135">
        <f>(($E$39)*($E$3))</f>
        <v/>
      </c>
      <c r="AN39" s="135">
        <f>(($E$39)*($E$3))</f>
        <v/>
      </c>
      <c r="AO39" s="135">
        <f>(($E$39)*($E$3))</f>
        <v/>
      </c>
      <c r="AP39" s="973">
        <f>(($E$39)*($E$3))</f>
        <v/>
      </c>
      <c r="AQ39" s="135">
        <f>(($E$39)*($E$3))</f>
        <v/>
      </c>
      <c r="AR39" s="135">
        <f>(($E$39)*($E$3))</f>
        <v/>
      </c>
      <c r="AS39" s="135">
        <f>(($E$39)*($E$3))</f>
        <v/>
      </c>
      <c r="AT39" s="135">
        <f>(($E$39)*($E$3))</f>
        <v/>
      </c>
      <c r="AU39" s="135">
        <f>(($E$39)*($E$3))</f>
        <v/>
      </c>
      <c r="AV39" s="135">
        <f>(($E$39)*($E$3))</f>
        <v/>
      </c>
      <c r="AW39" s="135">
        <f>(($E$39)*($E$3))</f>
        <v/>
      </c>
      <c r="AX39" s="135">
        <f>(($E$39)*($E$3))</f>
        <v/>
      </c>
      <c r="AY39" s="135">
        <f>(($E$39)*($E$3))</f>
        <v/>
      </c>
      <c r="AZ39" s="135">
        <f>(($E$39)*($E$3))</f>
        <v/>
      </c>
      <c r="BA39" s="135">
        <f>(($E$39)*($E$3))</f>
        <v/>
      </c>
      <c r="BB39" s="973">
        <f>(($E$39)*($E$3))</f>
        <v/>
      </c>
      <c r="BC39" s="978" t="n"/>
      <c r="BD39" s="978" t="n"/>
      <c r="BE39" s="978" t="n"/>
      <c r="BF39" s="978" t="n"/>
      <c r="BG39" s="978" t="n"/>
      <c r="BH39" s="978" t="n"/>
      <c r="BI39" s="978" t="n"/>
      <c r="BJ39" s="978" t="n"/>
      <c r="BK39" s="978" t="n"/>
      <c r="BL39" s="978" t="n"/>
      <c r="BM39" s="978" t="n"/>
      <c r="BN39" s="978" t="n"/>
      <c r="BO39" s="932" t="n"/>
      <c r="BP39" s="135">
        <f>SUM(G39:BN39)</f>
        <v/>
      </c>
      <c r="BQ39" s="932" t="n"/>
      <c r="BR39" s="135">
        <f>(E39)</f>
        <v/>
      </c>
      <c r="BS39" s="135">
        <f>((BP39)-(BR39))</f>
        <v/>
      </c>
    </row>
    <row r="40">
      <c r="D40" s="149" t="inlineStr">
        <is>
          <t>Month 29</t>
        </is>
      </c>
      <c r="E40" s="139">
        <f>'P&amp;L Assumptions (Companion App)'!P19</f>
        <v/>
      </c>
      <c r="F40" s="1968" t="n"/>
      <c r="G40" s="978" t="n"/>
      <c r="H40" s="978" t="n"/>
      <c r="I40" s="978" t="n"/>
      <c r="J40" s="978" t="n"/>
      <c r="K40" s="978" t="n"/>
      <c r="L40" s="978" t="n"/>
      <c r="M40" s="978" t="n"/>
      <c r="N40" s="978" t="n"/>
      <c r="O40" s="978" t="n"/>
      <c r="P40" s="978" t="n"/>
      <c r="Q40" s="978" t="n"/>
      <c r="R40" s="981" t="n"/>
      <c r="S40" s="978" t="n"/>
      <c r="T40" s="978" t="n"/>
      <c r="U40" s="978" t="n"/>
      <c r="V40" s="978" t="n"/>
      <c r="W40" s="978" t="n"/>
      <c r="X40" s="978" t="n"/>
      <c r="Y40" s="978" t="n"/>
      <c r="Z40" s="978" t="n"/>
      <c r="AA40" s="978" t="n"/>
      <c r="AB40" s="978" t="n"/>
      <c r="AC40" s="978" t="n"/>
      <c r="AD40" s="981" t="n"/>
      <c r="AE40" s="978" t="n"/>
      <c r="AF40" s="978" t="n"/>
      <c r="AG40" s="978" t="n"/>
      <c r="AH40" s="978" t="n"/>
      <c r="AI40" s="978" t="n"/>
      <c r="AJ40" s="412">
        <f>(($E$40)*($E$3))</f>
        <v/>
      </c>
      <c r="AK40" s="135">
        <f>(($E$40)*($E$3))</f>
        <v/>
      </c>
      <c r="AL40" s="135">
        <f>(($E$40)*($E$3))</f>
        <v/>
      </c>
      <c r="AM40" s="135">
        <f>(($E$40)*($E$3))</f>
        <v/>
      </c>
      <c r="AN40" s="135">
        <f>(($E$40)*($E$3))</f>
        <v/>
      </c>
      <c r="AO40" s="135">
        <f>(($E$40)*($E$3))</f>
        <v/>
      </c>
      <c r="AP40" s="973">
        <f>(($E$40)*($E$3))</f>
        <v/>
      </c>
      <c r="AQ40" s="135">
        <f>(($E$40)*($E$3))</f>
        <v/>
      </c>
      <c r="AR40" s="135">
        <f>(($E$40)*($E$3))</f>
        <v/>
      </c>
      <c r="AS40" s="135">
        <f>(($E$40)*($E$3))</f>
        <v/>
      </c>
      <c r="AT40" s="135">
        <f>(($E$40)*($E$3))</f>
        <v/>
      </c>
      <c r="AU40" s="135">
        <f>(($E$40)*($E$3))</f>
        <v/>
      </c>
      <c r="AV40" s="135">
        <f>(($E$40)*($E$3))</f>
        <v/>
      </c>
      <c r="AW40" s="135">
        <f>(($E$40)*($E$3))</f>
        <v/>
      </c>
      <c r="AX40" s="135">
        <f>(($E$40)*($E$3))</f>
        <v/>
      </c>
      <c r="AY40" s="135">
        <f>(($E$40)*($E$3))</f>
        <v/>
      </c>
      <c r="AZ40" s="135">
        <f>(($E$40)*($E$3))</f>
        <v/>
      </c>
      <c r="BA40" s="135">
        <f>(($E$40)*($E$3))</f>
        <v/>
      </c>
      <c r="BB40" s="973">
        <f>(($E$40)*($E$3))</f>
        <v/>
      </c>
      <c r="BC40" s="412">
        <f>(($E$40)*($E$3))</f>
        <v/>
      </c>
      <c r="BD40" s="978" t="n"/>
      <c r="BE40" s="978" t="n"/>
      <c r="BF40" s="978" t="n"/>
      <c r="BG40" s="978" t="n"/>
      <c r="BH40" s="978" t="n"/>
      <c r="BI40" s="978" t="n"/>
      <c r="BJ40" s="978" t="n"/>
      <c r="BK40" s="978" t="n"/>
      <c r="BL40" s="978" t="n"/>
      <c r="BM40" s="978" t="n"/>
      <c r="BN40" s="978" t="n"/>
      <c r="BO40" s="932" t="n"/>
      <c r="BP40" s="135">
        <f>SUM(G40:BN40)</f>
        <v/>
      </c>
      <c r="BQ40" s="932" t="n"/>
      <c r="BR40" s="135">
        <f>(E40)</f>
        <v/>
      </c>
      <c r="BS40" s="135">
        <f>((BP40)-(BR40))</f>
        <v/>
      </c>
    </row>
    <row r="41">
      <c r="D41" s="149" t="inlineStr">
        <is>
          <t>Month 30</t>
        </is>
      </c>
      <c r="E41" s="139">
        <f>'P&amp;L Assumptions (Companion App)'!R19</f>
        <v/>
      </c>
      <c r="F41" s="1968" t="n"/>
      <c r="G41" s="978" t="n"/>
      <c r="H41" s="978" t="n"/>
      <c r="I41" s="978" t="n"/>
      <c r="J41" s="978" t="n"/>
      <c r="K41" s="978" t="n"/>
      <c r="L41" s="978" t="n"/>
      <c r="M41" s="978" t="n"/>
      <c r="N41" s="978" t="n"/>
      <c r="O41" s="978" t="n"/>
      <c r="P41" s="978" t="n"/>
      <c r="Q41" s="978" t="n"/>
      <c r="R41" s="981" t="n"/>
      <c r="S41" s="978" t="n"/>
      <c r="T41" s="978" t="n"/>
      <c r="U41" s="978" t="n"/>
      <c r="V41" s="978" t="n"/>
      <c r="W41" s="978" t="n"/>
      <c r="X41" s="978" t="n"/>
      <c r="Y41" s="978" t="n"/>
      <c r="Z41" s="978" t="n"/>
      <c r="AA41" s="978" t="n"/>
      <c r="AB41" s="978" t="n"/>
      <c r="AC41" s="978" t="n"/>
      <c r="AD41" s="981" t="n"/>
      <c r="AE41" s="978" t="n"/>
      <c r="AF41" s="978" t="n"/>
      <c r="AG41" s="978" t="n"/>
      <c r="AH41" s="978" t="n"/>
      <c r="AI41" s="978" t="n"/>
      <c r="AJ41" s="978" t="n"/>
      <c r="AK41" s="412">
        <f>(($E$41)*($E$3))</f>
        <v/>
      </c>
      <c r="AL41" s="135">
        <f>(($E$41)*($E$3))</f>
        <v/>
      </c>
      <c r="AM41" s="135">
        <f>(($E$41)*($E$3))</f>
        <v/>
      </c>
      <c r="AN41" s="135">
        <f>(($E$41)*($E$3))</f>
        <v/>
      </c>
      <c r="AO41" s="135">
        <f>(($E$41)*($E$3))</f>
        <v/>
      </c>
      <c r="AP41" s="973">
        <f>(($E$41)*($E$3))</f>
        <v/>
      </c>
      <c r="AQ41" s="135">
        <f>(($E$41)*($E$3))</f>
        <v/>
      </c>
      <c r="AR41" s="135">
        <f>(($E$41)*($E$3))</f>
        <v/>
      </c>
      <c r="AS41" s="135">
        <f>(($E$41)*($E$3))</f>
        <v/>
      </c>
      <c r="AT41" s="135">
        <f>(($E$41)*($E$3))</f>
        <v/>
      </c>
      <c r="AU41" s="135">
        <f>(($E$41)*($E$3))</f>
        <v/>
      </c>
      <c r="AV41" s="135">
        <f>(($E$41)*($E$3))</f>
        <v/>
      </c>
      <c r="AW41" s="135">
        <f>(($E$41)*($E$3))</f>
        <v/>
      </c>
      <c r="AX41" s="135">
        <f>(($E$41)*($E$3))</f>
        <v/>
      </c>
      <c r="AY41" s="135">
        <f>(($E$41)*($E$3))</f>
        <v/>
      </c>
      <c r="AZ41" s="135">
        <f>(($E$41)*($E$3))</f>
        <v/>
      </c>
      <c r="BA41" s="135">
        <f>(($E$41)*($E$3))</f>
        <v/>
      </c>
      <c r="BB41" s="973">
        <f>(($E$41)*($E$3))</f>
        <v/>
      </c>
      <c r="BC41" s="135">
        <f>(($E$41)*($E$3))</f>
        <v/>
      </c>
      <c r="BD41" s="412">
        <f>(($E$41)*($E$3))</f>
        <v/>
      </c>
      <c r="BE41" s="978" t="n"/>
      <c r="BF41" s="978" t="n"/>
      <c r="BG41" s="978" t="n"/>
      <c r="BH41" s="978" t="n"/>
      <c r="BI41" s="978" t="n"/>
      <c r="BJ41" s="978" t="n"/>
      <c r="BK41" s="978" t="n"/>
      <c r="BL41" s="978" t="n"/>
      <c r="BM41" s="978" t="n"/>
      <c r="BN41" s="978" t="n"/>
      <c r="BO41" s="932" t="n"/>
      <c r="BP41" s="135">
        <f>SUM(G41:BN41)</f>
        <v/>
      </c>
      <c r="BQ41" s="932" t="n"/>
      <c r="BR41" s="135">
        <f>(E41)</f>
        <v/>
      </c>
      <c r="BS41" s="135">
        <f>((BP41)-(BR41))</f>
        <v/>
      </c>
    </row>
    <row r="42">
      <c r="D42" s="149" t="inlineStr">
        <is>
          <t>Month 31</t>
        </is>
      </c>
      <c r="E42" s="139">
        <f>'P&amp;L Assumptions (Companion App)'!T19</f>
        <v/>
      </c>
      <c r="F42" s="1968" t="n"/>
      <c r="G42" s="978" t="n"/>
      <c r="H42" s="978" t="n"/>
      <c r="I42" s="978" t="n"/>
      <c r="J42" s="978" t="n"/>
      <c r="K42" s="978" t="n"/>
      <c r="L42" s="978" t="n"/>
      <c r="M42" s="978" t="n"/>
      <c r="N42" s="978" t="n"/>
      <c r="O42" s="978" t="n"/>
      <c r="P42" s="978" t="n"/>
      <c r="Q42" s="978" t="n"/>
      <c r="R42" s="981" t="n"/>
      <c r="S42" s="978" t="n"/>
      <c r="T42" s="978" t="n"/>
      <c r="U42" s="978" t="n"/>
      <c r="V42" s="978" t="n"/>
      <c r="W42" s="978" t="n"/>
      <c r="X42" s="978" t="n"/>
      <c r="Y42" s="978" t="n"/>
      <c r="Z42" s="978" t="n"/>
      <c r="AA42" s="978" t="n"/>
      <c r="AB42" s="978" t="n"/>
      <c r="AC42" s="978" t="n"/>
      <c r="AD42" s="981" t="n"/>
      <c r="AE42" s="978" t="n"/>
      <c r="AF42" s="978" t="n"/>
      <c r="AG42" s="978" t="n"/>
      <c r="AH42" s="978" t="n"/>
      <c r="AI42" s="978" t="n"/>
      <c r="AJ42" s="978" t="n"/>
      <c r="AK42" s="978" t="n"/>
      <c r="AL42" s="412">
        <f>(($E$42)*($E$3))</f>
        <v/>
      </c>
      <c r="AM42" s="135">
        <f>(($E$42)*($E$3))</f>
        <v/>
      </c>
      <c r="AN42" s="135">
        <f>(($E$42)*($E$3))</f>
        <v/>
      </c>
      <c r="AO42" s="135">
        <f>(($E$42)*($E$3))</f>
        <v/>
      </c>
      <c r="AP42" s="973">
        <f>(($E$42)*($E$3))</f>
        <v/>
      </c>
      <c r="AQ42" s="135">
        <f>(($E$42)*($E$3))</f>
        <v/>
      </c>
      <c r="AR42" s="135">
        <f>(($E$42)*($E$3))</f>
        <v/>
      </c>
      <c r="AS42" s="135">
        <f>(($E$42)*($E$3))</f>
        <v/>
      </c>
      <c r="AT42" s="135">
        <f>(($E$42)*($E$3))</f>
        <v/>
      </c>
      <c r="AU42" s="135">
        <f>(($E$42)*($E$3))</f>
        <v/>
      </c>
      <c r="AV42" s="135">
        <f>(($E$42)*($E$3))</f>
        <v/>
      </c>
      <c r="AW42" s="135">
        <f>(($E$42)*($E$3))</f>
        <v/>
      </c>
      <c r="AX42" s="135">
        <f>(($E$42)*($E$3))</f>
        <v/>
      </c>
      <c r="AY42" s="135">
        <f>(($E$42)*($E$3))</f>
        <v/>
      </c>
      <c r="AZ42" s="135">
        <f>(($E$42)*($E$3))</f>
        <v/>
      </c>
      <c r="BA42" s="135">
        <f>(($E$42)*($E$3))</f>
        <v/>
      </c>
      <c r="BB42" s="135">
        <f>(($E$42)*($E$3))</f>
        <v/>
      </c>
      <c r="BC42" s="135">
        <f>(($E$42)*($E$3))</f>
        <v/>
      </c>
      <c r="BD42" s="135">
        <f>(($E$42)*($E$3))</f>
        <v/>
      </c>
      <c r="BE42" s="412">
        <f>(($E$42)*($E$3))</f>
        <v/>
      </c>
      <c r="BF42" s="978" t="n"/>
      <c r="BG42" s="978" t="n"/>
      <c r="BH42" s="978" t="n"/>
      <c r="BI42" s="978" t="n"/>
      <c r="BJ42" s="978" t="n"/>
      <c r="BK42" s="978" t="n"/>
      <c r="BL42" s="978" t="n"/>
      <c r="BM42" s="978" t="n"/>
      <c r="BN42" s="978" t="n"/>
      <c r="BO42" s="932" t="n"/>
      <c r="BP42" s="135">
        <f>SUM(G42:BN42)</f>
        <v/>
      </c>
      <c r="BQ42" s="932" t="n"/>
      <c r="BR42" s="135">
        <f>(E42)</f>
        <v/>
      </c>
      <c r="BS42" s="135">
        <f>((BP42)-(BR42))</f>
        <v/>
      </c>
    </row>
    <row r="43">
      <c r="D43" s="149" t="inlineStr">
        <is>
          <t>Month 32</t>
        </is>
      </c>
      <c r="E43" s="139">
        <f>'P&amp;L Assumptions (Companion App)'!V19</f>
        <v/>
      </c>
      <c r="F43" s="1968" t="n"/>
      <c r="G43" s="978" t="n"/>
      <c r="H43" s="978" t="n"/>
      <c r="I43" s="978" t="n"/>
      <c r="J43" s="978" t="n"/>
      <c r="K43" s="978" t="n"/>
      <c r="L43" s="978" t="n"/>
      <c r="M43" s="978" t="n"/>
      <c r="N43" s="978" t="n"/>
      <c r="O43" s="978" t="n"/>
      <c r="P43" s="978" t="n"/>
      <c r="Q43" s="978" t="n"/>
      <c r="R43" s="981" t="n"/>
      <c r="S43" s="978" t="n"/>
      <c r="T43" s="978" t="n"/>
      <c r="U43" s="978" t="n"/>
      <c r="V43" s="978" t="n"/>
      <c r="W43" s="978" t="n"/>
      <c r="X43" s="978" t="n"/>
      <c r="Y43" s="978" t="n"/>
      <c r="Z43" s="978" t="n"/>
      <c r="AA43" s="978" t="n"/>
      <c r="AB43" s="978" t="n"/>
      <c r="AC43" s="978" t="n"/>
      <c r="AD43" s="981" t="n"/>
      <c r="AE43" s="978" t="n"/>
      <c r="AF43" s="978" t="n"/>
      <c r="AG43" s="978" t="n"/>
      <c r="AH43" s="978" t="n"/>
      <c r="AI43" s="978" t="n"/>
      <c r="AJ43" s="978" t="n"/>
      <c r="AK43" s="978" t="n"/>
      <c r="AL43" s="978" t="n"/>
      <c r="AM43" s="412">
        <f>(($E$43)*($E$3))</f>
        <v/>
      </c>
      <c r="AN43" s="135">
        <f>(($E$43)*($E$3))</f>
        <v/>
      </c>
      <c r="AO43" s="135">
        <f>(($E$43)*($E$3))</f>
        <v/>
      </c>
      <c r="AP43" s="973">
        <f>(($E$43)*($E$3))</f>
        <v/>
      </c>
      <c r="AQ43" s="135">
        <f>(($E$43)*($E$3))</f>
        <v/>
      </c>
      <c r="AR43" s="135">
        <f>(($E$43)*($E$3))</f>
        <v/>
      </c>
      <c r="AS43" s="135">
        <f>(($E$43)*($E$3))</f>
        <v/>
      </c>
      <c r="AT43" s="135">
        <f>(($E$43)*($E$3))</f>
        <v/>
      </c>
      <c r="AU43" s="135">
        <f>(($E$43)*($E$3))</f>
        <v/>
      </c>
      <c r="AV43" s="135">
        <f>(($E$43)*($E$3))</f>
        <v/>
      </c>
      <c r="AW43" s="135">
        <f>(($E$43)*($E$3))</f>
        <v/>
      </c>
      <c r="AX43" s="135">
        <f>(($E$43)*($E$3))</f>
        <v/>
      </c>
      <c r="AY43" s="135">
        <f>(($E$43)*($E$3))</f>
        <v/>
      </c>
      <c r="AZ43" s="135">
        <f>(($E$43)*($E$3))</f>
        <v/>
      </c>
      <c r="BA43" s="135">
        <f>(($E$43)*($E$3))</f>
        <v/>
      </c>
      <c r="BB43" s="973">
        <f>(($E$43)*($E$3))</f>
        <v/>
      </c>
      <c r="BC43" s="135">
        <f>(($E$43)*($E$3))</f>
        <v/>
      </c>
      <c r="BD43" s="135">
        <f>(($E$43)*($E$3))</f>
        <v/>
      </c>
      <c r="BE43" s="135">
        <f>(($E$43)*($E$3))</f>
        <v/>
      </c>
      <c r="BF43" s="412">
        <f>(($E$43)*($E$3))</f>
        <v/>
      </c>
      <c r="BG43" s="978" t="n"/>
      <c r="BH43" s="978" t="n"/>
      <c r="BI43" s="978" t="n"/>
      <c r="BJ43" s="978" t="n"/>
      <c r="BK43" s="978" t="n"/>
      <c r="BL43" s="978" t="n"/>
      <c r="BM43" s="978" t="n"/>
      <c r="BN43" s="978" t="n"/>
      <c r="BO43" s="932" t="n"/>
      <c r="BP43" s="135">
        <f>SUM(G43:BN43)</f>
        <v/>
      </c>
      <c r="BQ43" s="932" t="n"/>
      <c r="BR43" s="135">
        <f>(E43)</f>
        <v/>
      </c>
      <c r="BS43" s="135">
        <f>((BP43)-(BR43))</f>
        <v/>
      </c>
    </row>
    <row r="44">
      <c r="D44" s="149" t="inlineStr">
        <is>
          <t>Month 33</t>
        </is>
      </c>
      <c r="E44" s="139">
        <f>'P&amp;L Assumptions (Companion App)'!X19</f>
        <v/>
      </c>
      <c r="F44" s="1968" t="n"/>
      <c r="G44" s="978" t="n"/>
      <c r="H44" s="978" t="n"/>
      <c r="I44" s="978" t="n"/>
      <c r="J44" s="978" t="n"/>
      <c r="K44" s="978" t="n"/>
      <c r="L44" s="978" t="n"/>
      <c r="M44" s="978" t="n"/>
      <c r="N44" s="978" t="n"/>
      <c r="O44" s="978" t="n"/>
      <c r="P44" s="978" t="n"/>
      <c r="Q44" s="978" t="n"/>
      <c r="R44" s="981" t="n"/>
      <c r="S44" s="978" t="n"/>
      <c r="T44" s="978" t="n"/>
      <c r="U44" s="978" t="n"/>
      <c r="V44" s="978" t="n"/>
      <c r="W44" s="978" t="n"/>
      <c r="X44" s="978" t="n"/>
      <c r="Y44" s="978" t="n"/>
      <c r="Z44" s="978" t="n"/>
      <c r="AA44" s="978" t="n"/>
      <c r="AB44" s="978" t="n"/>
      <c r="AC44" s="978" t="n"/>
      <c r="AD44" s="981" t="n"/>
      <c r="AE44" s="978" t="n"/>
      <c r="AF44" s="978" t="n"/>
      <c r="AG44" s="978" t="n"/>
      <c r="AH44" s="978" t="n"/>
      <c r="AI44" s="978" t="n"/>
      <c r="AJ44" s="978" t="n"/>
      <c r="AK44" s="978" t="n"/>
      <c r="AL44" s="978" t="n"/>
      <c r="AM44" s="978" t="n"/>
      <c r="AN44" s="412">
        <f>(($E$44)*($E$3))</f>
        <v/>
      </c>
      <c r="AO44" s="135">
        <f>(($E$44)*($E$3))</f>
        <v/>
      </c>
      <c r="AP44" s="973">
        <f>(($E$44)*($E$3))</f>
        <v/>
      </c>
      <c r="AQ44" s="135">
        <f>(($E$44)*($E$3))</f>
        <v/>
      </c>
      <c r="AR44" s="135">
        <f>(($E$44)*($E$3))</f>
        <v/>
      </c>
      <c r="AS44" s="135">
        <f>(($E$44)*($E$3))</f>
        <v/>
      </c>
      <c r="AT44" s="135">
        <f>(($E$44)*($E$3))</f>
        <v/>
      </c>
      <c r="AU44" s="135">
        <f>(($E$44)*($E$3))</f>
        <v/>
      </c>
      <c r="AV44" s="135">
        <f>(($E$44)*($E$3))</f>
        <v/>
      </c>
      <c r="AW44" s="135">
        <f>(($E$44)*($E$3))</f>
        <v/>
      </c>
      <c r="AX44" s="135">
        <f>(($E$44)*($E$3))</f>
        <v/>
      </c>
      <c r="AY44" s="135">
        <f>(($E$44)*($E$3))</f>
        <v/>
      </c>
      <c r="AZ44" s="135">
        <f>(($E$44)*($E$3))</f>
        <v/>
      </c>
      <c r="BA44" s="135">
        <f>(($E$44)*($E$3))</f>
        <v/>
      </c>
      <c r="BB44" s="973">
        <f>(($E$44)*($E$3))</f>
        <v/>
      </c>
      <c r="BC44" s="135">
        <f>(($E$44)*($E$3))</f>
        <v/>
      </c>
      <c r="BD44" s="135">
        <f>(($E$44)*($E$3))</f>
        <v/>
      </c>
      <c r="BE44" s="135">
        <f>(($E$44)*($E$3))</f>
        <v/>
      </c>
      <c r="BF44" s="135">
        <f>(($E$44)*($E$3))</f>
        <v/>
      </c>
      <c r="BG44" s="412">
        <f>(($E$44)*($E$3))</f>
        <v/>
      </c>
      <c r="BH44" s="978" t="n"/>
      <c r="BI44" s="978" t="n"/>
      <c r="BJ44" s="978" t="n"/>
      <c r="BK44" s="978" t="n"/>
      <c r="BL44" s="978" t="n"/>
      <c r="BM44" s="978" t="n"/>
      <c r="BN44" s="978" t="n"/>
      <c r="BO44" s="932" t="n"/>
      <c r="BP44" s="135">
        <f>SUM(G44:BN44)</f>
        <v/>
      </c>
      <c r="BQ44" s="932" t="n"/>
      <c r="BR44" s="135">
        <f>(E44)</f>
        <v/>
      </c>
      <c r="BS44" s="135">
        <f>((BP44)-(BR44))</f>
        <v/>
      </c>
    </row>
    <row r="45">
      <c r="D45" s="149" t="inlineStr">
        <is>
          <t>Month 34</t>
        </is>
      </c>
      <c r="E45" s="139">
        <f>'P&amp;L Assumptions (Companion App)'!Z19</f>
        <v/>
      </c>
      <c r="F45" s="1968" t="n"/>
      <c r="G45" s="978" t="n"/>
      <c r="H45" s="978" t="n"/>
      <c r="I45" s="978" t="n"/>
      <c r="J45" s="978" t="n"/>
      <c r="K45" s="978" t="n"/>
      <c r="L45" s="978" t="n"/>
      <c r="M45" s="978" t="n"/>
      <c r="N45" s="978" t="n"/>
      <c r="O45" s="978" t="n"/>
      <c r="P45" s="978" t="n"/>
      <c r="Q45" s="978" t="n"/>
      <c r="R45" s="981" t="n"/>
      <c r="S45" s="978" t="n"/>
      <c r="T45" s="978" t="n"/>
      <c r="U45" s="978" t="n"/>
      <c r="V45" s="978" t="n"/>
      <c r="W45" s="978" t="n"/>
      <c r="X45" s="978" t="n"/>
      <c r="Y45" s="978" t="n"/>
      <c r="Z45" s="978" t="n"/>
      <c r="AA45" s="978" t="n"/>
      <c r="AB45" s="978" t="n"/>
      <c r="AC45" s="978" t="n"/>
      <c r="AD45" s="981" t="n"/>
      <c r="AE45" s="978" t="n"/>
      <c r="AF45" s="978" t="n"/>
      <c r="AG45" s="978" t="n"/>
      <c r="AH45" s="978" t="n"/>
      <c r="AI45" s="978" t="n"/>
      <c r="AJ45" s="978" t="n"/>
      <c r="AK45" s="978" t="n"/>
      <c r="AL45" s="978" t="n"/>
      <c r="AM45" s="978" t="n"/>
      <c r="AN45" s="978" t="n"/>
      <c r="AO45" s="412">
        <f>(($E$45)*($E$3))</f>
        <v/>
      </c>
      <c r="AP45" s="973">
        <f>(($E$45)*($E$3))</f>
        <v/>
      </c>
      <c r="AQ45" s="135">
        <f>(($E$45)*($E$3))</f>
        <v/>
      </c>
      <c r="AR45" s="135">
        <f>(($E$45)*($E$3))</f>
        <v/>
      </c>
      <c r="AS45" s="135">
        <f>(($E$45)*($E$3))</f>
        <v/>
      </c>
      <c r="AT45" s="135">
        <f>(($E$45)*($E$3))</f>
        <v/>
      </c>
      <c r="AU45" s="135">
        <f>(($E$45)*($E$3))</f>
        <v/>
      </c>
      <c r="AV45" s="135">
        <f>(($E$45)*($E$3))</f>
        <v/>
      </c>
      <c r="AW45" s="135">
        <f>(($E$45)*($E$3))</f>
        <v/>
      </c>
      <c r="AX45" s="135">
        <f>(($E$45)*($E$3))</f>
        <v/>
      </c>
      <c r="AY45" s="135">
        <f>(($E$45)*($E$3))</f>
        <v/>
      </c>
      <c r="AZ45" s="135">
        <f>(($E$45)*($E$3))</f>
        <v/>
      </c>
      <c r="BA45" s="135">
        <f>(($E$45)*($E$3))</f>
        <v/>
      </c>
      <c r="BB45" s="973">
        <f>(($E$45)*($E$3))</f>
        <v/>
      </c>
      <c r="BC45" s="135">
        <f>(($E$45)*($E$3))</f>
        <v/>
      </c>
      <c r="BD45" s="135">
        <f>(($E$45)*($E$3))</f>
        <v/>
      </c>
      <c r="BE45" s="135">
        <f>(($E$45)*($E$3))</f>
        <v/>
      </c>
      <c r="BF45" s="135">
        <f>(($E$45)*($E$3))</f>
        <v/>
      </c>
      <c r="BG45" s="135">
        <f>(($E$45)*($E$3))</f>
        <v/>
      </c>
      <c r="BH45" s="412">
        <f>(($E$45)*($E$3))</f>
        <v/>
      </c>
      <c r="BI45" s="978" t="n"/>
      <c r="BJ45" s="978" t="n"/>
      <c r="BK45" s="978" t="n"/>
      <c r="BL45" s="978" t="n"/>
      <c r="BM45" s="978" t="n"/>
      <c r="BN45" s="978" t="n"/>
      <c r="BO45" s="932" t="n"/>
      <c r="BP45" s="135">
        <f>SUM(G45:BN45)</f>
        <v/>
      </c>
      <c r="BQ45" s="932" t="n"/>
      <c r="BR45" s="135">
        <f>(E45)</f>
        <v/>
      </c>
      <c r="BS45" s="135">
        <f>((BP45)-(BR45))</f>
        <v/>
      </c>
    </row>
    <row r="46">
      <c r="D46" s="149" t="inlineStr">
        <is>
          <t>Month 35</t>
        </is>
      </c>
      <c r="E46" s="139">
        <f>'P&amp;L Assumptions (Companion App)'!AB19</f>
        <v/>
      </c>
      <c r="F46" s="1968" t="n"/>
      <c r="G46" s="978" t="n"/>
      <c r="H46" s="978" t="n"/>
      <c r="I46" s="978" t="n"/>
      <c r="J46" s="978" t="n"/>
      <c r="K46" s="978" t="n"/>
      <c r="L46" s="978" t="n"/>
      <c r="M46" s="978" t="n"/>
      <c r="N46" s="978" t="n"/>
      <c r="O46" s="978" t="n"/>
      <c r="P46" s="978" t="n"/>
      <c r="Q46" s="978" t="n"/>
      <c r="R46" s="981" t="n"/>
      <c r="S46" s="978" t="n"/>
      <c r="T46" s="978" t="n"/>
      <c r="U46" s="978" t="n"/>
      <c r="V46" s="978" t="n"/>
      <c r="W46" s="978" t="n"/>
      <c r="X46" s="978" t="n"/>
      <c r="Y46" s="978" t="n"/>
      <c r="Z46" s="978" t="n"/>
      <c r="AA46" s="978" t="n"/>
      <c r="AB46" s="978" t="n"/>
      <c r="AC46" s="978" t="n"/>
      <c r="AD46" s="981" t="n"/>
      <c r="AE46" s="978" t="n"/>
      <c r="AF46" s="978" t="n"/>
      <c r="AG46" s="978" t="n"/>
      <c r="AH46" s="978" t="n"/>
      <c r="AI46" s="978" t="n"/>
      <c r="AJ46" s="978" t="n"/>
      <c r="AK46" s="978" t="n"/>
      <c r="AL46" s="978" t="n"/>
      <c r="AM46" s="978" t="n"/>
      <c r="AN46" s="978" t="n"/>
      <c r="AO46" s="978" t="n"/>
      <c r="AP46" s="973">
        <f>(($E$46)*($E$3))</f>
        <v/>
      </c>
      <c r="AQ46" s="135">
        <f>(($E$46)*($E$3))</f>
        <v/>
      </c>
      <c r="AR46" s="135">
        <f>(($E$46)*($E$3))</f>
        <v/>
      </c>
      <c r="AS46" s="135">
        <f>(($E$46)*($E$3))</f>
        <v/>
      </c>
      <c r="AT46" s="135">
        <f>(($E$46)*($E$3))</f>
        <v/>
      </c>
      <c r="AU46" s="135">
        <f>(($E$46)*($E$3))</f>
        <v/>
      </c>
      <c r="AV46" s="135">
        <f>(($E$46)*($E$3))</f>
        <v/>
      </c>
      <c r="AW46" s="135">
        <f>(($E$46)*($E$3))</f>
        <v/>
      </c>
      <c r="AX46" s="135">
        <f>(($E$46)*($E$3))</f>
        <v/>
      </c>
      <c r="AY46" s="135">
        <f>(($E$46)*($E$3))</f>
        <v/>
      </c>
      <c r="AZ46" s="135">
        <f>(($E$46)*($E$3))</f>
        <v/>
      </c>
      <c r="BA46" s="135">
        <f>(($E$46)*($E$3))</f>
        <v/>
      </c>
      <c r="BB46" s="973">
        <f>(($E$46)*($E$3))</f>
        <v/>
      </c>
      <c r="BC46" s="135">
        <f>(($E$46)*($E$3))</f>
        <v/>
      </c>
      <c r="BD46" s="135">
        <f>(($E$46)*($E$3))</f>
        <v/>
      </c>
      <c r="BE46" s="135">
        <f>(($E$46)*($E$3))</f>
        <v/>
      </c>
      <c r="BF46" s="135">
        <f>(($E$46)*($E$3))</f>
        <v/>
      </c>
      <c r="BG46" s="135">
        <f>(($E$46)*($E$3))</f>
        <v/>
      </c>
      <c r="BH46" s="135">
        <f>(($E$46)*($E$3))</f>
        <v/>
      </c>
      <c r="BI46" s="412">
        <f>(($E$46)*($E$3))</f>
        <v/>
      </c>
      <c r="BJ46" s="978" t="n"/>
      <c r="BK46" s="978" t="n"/>
      <c r="BL46" s="978" t="n"/>
      <c r="BM46" s="978" t="n"/>
      <c r="BN46" s="978" t="n"/>
      <c r="BO46" s="932" t="n"/>
      <c r="BP46" s="135">
        <f>SUM(G46:BN46)</f>
        <v/>
      </c>
      <c r="BQ46" s="932" t="n"/>
      <c r="BR46" s="135">
        <f>(E46)</f>
        <v/>
      </c>
      <c r="BS46" s="135">
        <f>((BP46)-(BR46))</f>
        <v/>
      </c>
    </row>
    <row r="47">
      <c r="D47" s="149" t="inlineStr">
        <is>
          <t>Month 36</t>
        </is>
      </c>
      <c r="E47" s="139">
        <f>'P&amp;L Assumptions (Companion App)'!AD19</f>
        <v/>
      </c>
      <c r="F47" s="1968" t="n"/>
      <c r="G47" s="978" t="n"/>
      <c r="H47" s="978" t="n"/>
      <c r="I47" s="978" t="n"/>
      <c r="J47" s="978" t="n"/>
      <c r="K47" s="978" t="n"/>
      <c r="L47" s="978" t="n"/>
      <c r="M47" s="978" t="n"/>
      <c r="N47" s="978" t="n"/>
      <c r="O47" s="978" t="n"/>
      <c r="P47" s="978" t="n"/>
      <c r="Q47" s="978" t="n"/>
      <c r="R47" s="981" t="n"/>
      <c r="S47" s="978" t="n"/>
      <c r="T47" s="978" t="n"/>
      <c r="U47" s="978" t="n"/>
      <c r="V47" s="978" t="n"/>
      <c r="W47" s="978" t="n"/>
      <c r="X47" s="978" t="n"/>
      <c r="Y47" s="978" t="n"/>
      <c r="Z47" s="978" t="n"/>
      <c r="AA47" s="978" t="n"/>
      <c r="AB47" s="978" t="n"/>
      <c r="AC47" s="978" t="n"/>
      <c r="AD47" s="981" t="n"/>
      <c r="AE47" s="978" t="n"/>
      <c r="AF47" s="978" t="n"/>
      <c r="AG47" s="978" t="n"/>
      <c r="AH47" s="978" t="n"/>
      <c r="AI47" s="978" t="n"/>
      <c r="AJ47" s="978" t="n"/>
      <c r="AK47" s="978" t="n"/>
      <c r="AL47" s="978" t="n"/>
      <c r="AM47" s="978" t="n"/>
      <c r="AN47" s="978" t="n"/>
      <c r="AO47" s="978" t="n"/>
      <c r="AP47" s="981" t="n"/>
      <c r="AQ47" s="412">
        <f>(($E$47)*($E$3))</f>
        <v/>
      </c>
      <c r="AR47" s="135">
        <f>(($E$47)*($E$3))</f>
        <v/>
      </c>
      <c r="AS47" s="135">
        <f>(($E$47)*($E$3))</f>
        <v/>
      </c>
      <c r="AT47" s="135">
        <f>(($E$47)*($E$3))</f>
        <v/>
      </c>
      <c r="AU47" s="135">
        <f>(($E$47)*($E$3))</f>
        <v/>
      </c>
      <c r="AV47" s="135">
        <f>(($E$47)*($E$3))</f>
        <v/>
      </c>
      <c r="AW47" s="135">
        <f>(($E$47)*($E$3))</f>
        <v/>
      </c>
      <c r="AX47" s="135">
        <f>(($E$47)*($E$3))</f>
        <v/>
      </c>
      <c r="AY47" s="135">
        <f>(($E$47)*($E$3))</f>
        <v/>
      </c>
      <c r="AZ47" s="135">
        <f>(($E$47)*($E$3))</f>
        <v/>
      </c>
      <c r="BA47" s="135">
        <f>(($E$47)*($E$3))</f>
        <v/>
      </c>
      <c r="BB47" s="973">
        <f>(($E$47)*($E$3))</f>
        <v/>
      </c>
      <c r="BC47" s="135">
        <f>(($E$47)*($E$3))</f>
        <v/>
      </c>
      <c r="BD47" s="135">
        <f>(($E$47)*($E$3))</f>
        <v/>
      </c>
      <c r="BE47" s="135">
        <f>(($E$47)*($E$3))</f>
        <v/>
      </c>
      <c r="BF47" s="135">
        <f>(($E$47)*($E$3))</f>
        <v/>
      </c>
      <c r="BG47" s="135">
        <f>(($E$47)*($E$3))</f>
        <v/>
      </c>
      <c r="BH47" s="135">
        <f>(($E$47)*($E$3))</f>
        <v/>
      </c>
      <c r="BI47" s="135">
        <f>(($E$47)*($E$3))</f>
        <v/>
      </c>
      <c r="BJ47" s="412">
        <f>(($E$47)*($E$3))</f>
        <v/>
      </c>
      <c r="BK47" s="978" t="n"/>
      <c r="BL47" s="978" t="n"/>
      <c r="BM47" s="978" t="n"/>
      <c r="BN47" s="978" t="n"/>
      <c r="BO47" s="932" t="n"/>
      <c r="BP47" s="135">
        <f>SUM(G47:BN47)</f>
        <v/>
      </c>
      <c r="BQ47" s="932" t="n"/>
      <c r="BR47" s="135">
        <f>(E47)</f>
        <v/>
      </c>
      <c r="BS47" s="135">
        <f>((BP47)-(BR47))</f>
        <v/>
      </c>
    </row>
    <row r="48">
      <c r="D48" s="149" t="inlineStr">
        <is>
          <t>Month 37</t>
        </is>
      </c>
      <c r="E48" s="139">
        <f>'P&amp;L Assumptions (Companion App)'!H20</f>
        <v/>
      </c>
      <c r="F48" s="1968" t="n"/>
      <c r="G48" s="978" t="n"/>
      <c r="H48" s="978" t="n"/>
      <c r="I48" s="978" t="n"/>
      <c r="J48" s="978" t="n"/>
      <c r="K48" s="978" t="n"/>
      <c r="L48" s="978" t="n"/>
      <c r="M48" s="978" t="n"/>
      <c r="N48" s="978" t="n"/>
      <c r="O48" s="978" t="n"/>
      <c r="P48" s="978" t="n"/>
      <c r="Q48" s="978" t="n"/>
      <c r="R48" s="981" t="n"/>
      <c r="S48" s="978" t="n"/>
      <c r="T48" s="978" t="n"/>
      <c r="U48" s="978" t="n"/>
      <c r="V48" s="978" t="n"/>
      <c r="W48" s="978" t="n"/>
      <c r="X48" s="978" t="n"/>
      <c r="Y48" s="978" t="n"/>
      <c r="Z48" s="978" t="n"/>
      <c r="AA48" s="978" t="n"/>
      <c r="AB48" s="978" t="n"/>
      <c r="AC48" s="978" t="n"/>
      <c r="AD48" s="981" t="n"/>
      <c r="AE48" s="978" t="n"/>
      <c r="AF48" s="978" t="n"/>
      <c r="AG48" s="978" t="n"/>
      <c r="AH48" s="978" t="n"/>
      <c r="AI48" s="978" t="n"/>
      <c r="AJ48" s="978" t="n"/>
      <c r="AK48" s="978" t="n"/>
      <c r="AL48" s="978" t="n"/>
      <c r="AM48" s="978" t="n"/>
      <c r="AN48" s="978" t="n"/>
      <c r="AO48" s="978" t="n"/>
      <c r="AP48" s="981" t="n"/>
      <c r="AQ48" s="978" t="n"/>
      <c r="AR48" s="412">
        <f>(($E$48)*($E$3))</f>
        <v/>
      </c>
      <c r="AS48" s="135">
        <f>(($E$48)*($E$3))</f>
        <v/>
      </c>
      <c r="AT48" s="135">
        <f>(($E$48)*($E$3))</f>
        <v/>
      </c>
      <c r="AU48" s="135">
        <f>(($E$48)*($E$3))</f>
        <v/>
      </c>
      <c r="AV48" s="135">
        <f>(($E$48)*($E$3))</f>
        <v/>
      </c>
      <c r="AW48" s="135">
        <f>(($E$48)*($E$3))</f>
        <v/>
      </c>
      <c r="AX48" s="135">
        <f>(($E$48)*($E$3))</f>
        <v/>
      </c>
      <c r="AY48" s="135">
        <f>(($E$48)*($E$3))</f>
        <v/>
      </c>
      <c r="AZ48" s="135">
        <f>(($E$48)*($E$3))</f>
        <v/>
      </c>
      <c r="BA48" s="135">
        <f>(($E$48)*($E$3))</f>
        <v/>
      </c>
      <c r="BB48" s="973">
        <f>(($E$48)*($E$3))</f>
        <v/>
      </c>
      <c r="BC48" s="135">
        <f>(($E$48)*($E$3))</f>
        <v/>
      </c>
      <c r="BD48" s="135">
        <f>(($E$48)*($E$3))</f>
        <v/>
      </c>
      <c r="BE48" s="135">
        <f>(($E$48)*($E$3))</f>
        <v/>
      </c>
      <c r="BF48" s="135">
        <f>(($E$48)*($E$3))</f>
        <v/>
      </c>
      <c r="BG48" s="135">
        <f>(($E$48)*($E$3))</f>
        <v/>
      </c>
      <c r="BH48" s="135">
        <f>(($E$48)*($E$3))</f>
        <v/>
      </c>
      <c r="BI48" s="135">
        <f>(($E$48)*($E$3))</f>
        <v/>
      </c>
      <c r="BJ48" s="135">
        <f>(($E$48)*($E$3))</f>
        <v/>
      </c>
      <c r="BK48" s="412">
        <f>(($E$48)*($E$3))</f>
        <v/>
      </c>
      <c r="BL48" s="978" t="n"/>
      <c r="BM48" s="978" t="n"/>
      <c r="BN48" s="978" t="n"/>
      <c r="BO48" s="932" t="n"/>
      <c r="BP48" s="135">
        <f>SUM(G48:BN48)</f>
        <v/>
      </c>
      <c r="BQ48" s="932" t="n"/>
      <c r="BR48" s="135">
        <f>(E48)</f>
        <v/>
      </c>
      <c r="BS48" s="135">
        <f>((BP48)-(BR48))</f>
        <v/>
      </c>
    </row>
    <row r="49">
      <c r="D49" s="149" t="inlineStr">
        <is>
          <t>Month 38</t>
        </is>
      </c>
      <c r="E49" s="139">
        <f>'P&amp;L Assumptions (Companion App)'!J20</f>
        <v/>
      </c>
      <c r="F49" s="1968" t="n"/>
      <c r="G49" s="978" t="n"/>
      <c r="H49" s="978" t="n"/>
      <c r="I49" s="978" t="n"/>
      <c r="J49" s="978" t="n"/>
      <c r="K49" s="978" t="n"/>
      <c r="L49" s="978" t="n"/>
      <c r="M49" s="978" t="n"/>
      <c r="N49" s="978" t="n"/>
      <c r="O49" s="978" t="n"/>
      <c r="P49" s="978" t="n"/>
      <c r="Q49" s="978" t="n"/>
      <c r="R49" s="981" t="n"/>
      <c r="S49" s="978" t="n"/>
      <c r="T49" s="978" t="n"/>
      <c r="U49" s="978" t="n"/>
      <c r="V49" s="978" t="n"/>
      <c r="W49" s="978" t="n"/>
      <c r="X49" s="978" t="n"/>
      <c r="Y49" s="978" t="n"/>
      <c r="Z49" s="978" t="n"/>
      <c r="AA49" s="978" t="n"/>
      <c r="AB49" s="978" t="n"/>
      <c r="AC49" s="978" t="n"/>
      <c r="AD49" s="981" t="n"/>
      <c r="AE49" s="978" t="n"/>
      <c r="AF49" s="978" t="n"/>
      <c r="AG49" s="978" t="n"/>
      <c r="AH49" s="978" t="n"/>
      <c r="AI49" s="978" t="n"/>
      <c r="AJ49" s="978" t="n"/>
      <c r="AK49" s="978" t="n"/>
      <c r="AL49" s="978" t="n"/>
      <c r="AM49" s="978" t="n"/>
      <c r="AN49" s="978" t="n"/>
      <c r="AO49" s="978" t="n"/>
      <c r="AP49" s="981" t="n"/>
      <c r="AQ49" s="978" t="n"/>
      <c r="AR49" s="978" t="n"/>
      <c r="AS49" s="412">
        <f>(($E$49)*($E$3))</f>
        <v/>
      </c>
      <c r="AT49" s="135">
        <f>(($E$49)*($E$3))</f>
        <v/>
      </c>
      <c r="AU49" s="135">
        <f>(($E$49)*($E$3))</f>
        <v/>
      </c>
      <c r="AV49" s="135">
        <f>(($E$49)*($E$3))</f>
        <v/>
      </c>
      <c r="AW49" s="135">
        <f>(($E$49)*($E$3))</f>
        <v/>
      </c>
      <c r="AX49" s="135">
        <f>(($E$49)*($E$3))</f>
        <v/>
      </c>
      <c r="AY49" s="135">
        <f>(($E$49)*($E$3))</f>
        <v/>
      </c>
      <c r="AZ49" s="135">
        <f>(($E$49)*($E$3))</f>
        <v/>
      </c>
      <c r="BA49" s="135">
        <f>(($E$49)*($E$3))</f>
        <v/>
      </c>
      <c r="BB49" s="973">
        <f>(($E$49)*($E$3))</f>
        <v/>
      </c>
      <c r="BC49" s="135">
        <f>(($E$49)*($E$3))</f>
        <v/>
      </c>
      <c r="BD49" s="135">
        <f>(($E$49)*($E$3))</f>
        <v/>
      </c>
      <c r="BE49" s="135">
        <f>(($E$49)*($E$3))</f>
        <v/>
      </c>
      <c r="BF49" s="135">
        <f>(($E$49)*($E$3))</f>
        <v/>
      </c>
      <c r="BG49" s="135">
        <f>(($E$49)*($E$3))</f>
        <v/>
      </c>
      <c r="BH49" s="135">
        <f>(($E$49)*($E$3))</f>
        <v/>
      </c>
      <c r="BI49" s="135">
        <f>(($E$49)*($E$3))</f>
        <v/>
      </c>
      <c r="BJ49" s="135">
        <f>(($E$49)*($E$3))</f>
        <v/>
      </c>
      <c r="BK49" s="135">
        <f>(($E$49)*($E$3))</f>
        <v/>
      </c>
      <c r="BL49" s="412">
        <f>(($E$49)*($E$3))</f>
        <v/>
      </c>
      <c r="BM49" s="978" t="n"/>
      <c r="BN49" s="978" t="n"/>
      <c r="BO49" s="932" t="n"/>
      <c r="BP49" s="135">
        <f>SUM(G49:BN49)</f>
        <v/>
      </c>
      <c r="BQ49" s="932" t="n"/>
      <c r="BR49" s="135">
        <f>(E49)</f>
        <v/>
      </c>
      <c r="BS49" s="135">
        <f>((BP49)-(BR49))</f>
        <v/>
      </c>
    </row>
    <row r="50">
      <c r="D50" s="149" t="inlineStr">
        <is>
          <t>Month 39</t>
        </is>
      </c>
      <c r="E50" s="139">
        <f>'P&amp;L Assumptions (Companion App)'!L20</f>
        <v/>
      </c>
      <c r="F50" s="1968" t="n"/>
      <c r="G50" s="978" t="n"/>
      <c r="H50" s="978" t="n"/>
      <c r="I50" s="978" t="n"/>
      <c r="J50" s="978" t="n"/>
      <c r="K50" s="978" t="n"/>
      <c r="L50" s="978" t="n"/>
      <c r="M50" s="978" t="n"/>
      <c r="N50" s="978" t="n"/>
      <c r="O50" s="978" t="n"/>
      <c r="P50" s="978" t="n"/>
      <c r="Q50" s="978" t="n"/>
      <c r="R50" s="981" t="n"/>
      <c r="S50" s="978" t="n"/>
      <c r="T50" s="978" t="n"/>
      <c r="U50" s="978" t="n"/>
      <c r="V50" s="978" t="n"/>
      <c r="W50" s="978" t="n"/>
      <c r="X50" s="978" t="n"/>
      <c r="Y50" s="978" t="n"/>
      <c r="Z50" s="978" t="n"/>
      <c r="AA50" s="978" t="n"/>
      <c r="AB50" s="978" t="n"/>
      <c r="AC50" s="978" t="n"/>
      <c r="AD50" s="981" t="n"/>
      <c r="AE50" s="978" t="n"/>
      <c r="AF50" s="978" t="n"/>
      <c r="AG50" s="978" t="n"/>
      <c r="AH50" s="978" t="n"/>
      <c r="AI50" s="978" t="n"/>
      <c r="AJ50" s="978" t="n"/>
      <c r="AK50" s="978" t="n"/>
      <c r="AL50" s="978" t="n"/>
      <c r="AM50" s="978" t="n"/>
      <c r="AN50" s="978" t="n"/>
      <c r="AO50" s="978" t="n"/>
      <c r="AP50" s="981" t="n"/>
      <c r="AQ50" s="978" t="n"/>
      <c r="AR50" s="978" t="n"/>
      <c r="AS50" s="978" t="n"/>
      <c r="AT50" s="412">
        <f>(($E$50)*($E$3))</f>
        <v/>
      </c>
      <c r="AU50" s="135">
        <f>(($E$50)*($E$3))</f>
        <v/>
      </c>
      <c r="AV50" s="135">
        <f>(($E$50)*($E$3))</f>
        <v/>
      </c>
      <c r="AW50" s="135">
        <f>(($E$50)*($E$3))</f>
        <v/>
      </c>
      <c r="AX50" s="135">
        <f>(($E$50)*($E$3))</f>
        <v/>
      </c>
      <c r="AY50" s="135">
        <f>(($E$50)*($E$3))</f>
        <v/>
      </c>
      <c r="AZ50" s="135">
        <f>(($E$50)*($E$3))</f>
        <v/>
      </c>
      <c r="BA50" s="135">
        <f>(($E$50)*($E$3))</f>
        <v/>
      </c>
      <c r="BB50" s="973">
        <f>(($E$50)*($E$3))</f>
        <v/>
      </c>
      <c r="BC50" s="135">
        <f>(($E$50)*($E$3))</f>
        <v/>
      </c>
      <c r="BD50" s="135">
        <f>(($E$50)*($E$3))</f>
        <v/>
      </c>
      <c r="BE50" s="135">
        <f>(($E$50)*($E$3))</f>
        <v/>
      </c>
      <c r="BF50" s="135">
        <f>(($E$50)*($E$3))</f>
        <v/>
      </c>
      <c r="BG50" s="135">
        <f>(($E$50)*($E$3))</f>
        <v/>
      </c>
      <c r="BH50" s="135">
        <f>(($E$50)*($E$3))</f>
        <v/>
      </c>
      <c r="BI50" s="135">
        <f>(($E$50)*($E$3))</f>
        <v/>
      </c>
      <c r="BJ50" s="135">
        <f>(($E$50)*($E$3))</f>
        <v/>
      </c>
      <c r="BK50" s="135">
        <f>(($E$50)*($E$3))</f>
        <v/>
      </c>
      <c r="BL50" s="135">
        <f>(($E$50)*($E$3))</f>
        <v/>
      </c>
      <c r="BM50" s="412">
        <f>(($E$50)*($E$3))</f>
        <v/>
      </c>
      <c r="BN50" s="978" t="n"/>
      <c r="BO50" s="932" t="n"/>
      <c r="BP50" s="135">
        <f>SUM(G50:BN50)</f>
        <v/>
      </c>
      <c r="BQ50" s="932" t="n"/>
      <c r="BR50" s="135">
        <f>(E50)</f>
        <v/>
      </c>
      <c r="BS50" s="135">
        <f>((BP50)-(BR50))</f>
        <v/>
      </c>
    </row>
    <row r="51">
      <c r="D51" s="149" t="inlineStr">
        <is>
          <t>Month 40</t>
        </is>
      </c>
      <c r="E51" s="139">
        <f>'P&amp;L Assumptions (Companion App)'!N20</f>
        <v/>
      </c>
      <c r="F51" s="1968" t="n"/>
      <c r="G51" s="978" t="n"/>
      <c r="H51" s="978" t="n"/>
      <c r="I51" s="978" t="n"/>
      <c r="J51" s="978" t="n"/>
      <c r="K51" s="978" t="n"/>
      <c r="L51" s="978" t="n"/>
      <c r="M51" s="978" t="n"/>
      <c r="N51" s="978" t="n"/>
      <c r="O51" s="978" t="n"/>
      <c r="P51" s="978" t="n"/>
      <c r="Q51" s="978" t="n"/>
      <c r="R51" s="981" t="n"/>
      <c r="S51" s="978" t="n"/>
      <c r="T51" s="978" t="n"/>
      <c r="U51" s="978" t="n"/>
      <c r="V51" s="978" t="n"/>
      <c r="W51" s="978" t="n"/>
      <c r="X51" s="978" t="n"/>
      <c r="Y51" s="978" t="n"/>
      <c r="Z51" s="978" t="n"/>
      <c r="AA51" s="978" t="n"/>
      <c r="AB51" s="978" t="n"/>
      <c r="AC51" s="978" t="n"/>
      <c r="AD51" s="981" t="n"/>
      <c r="AE51" s="978" t="n"/>
      <c r="AF51" s="978" t="n"/>
      <c r="AG51" s="978" t="n"/>
      <c r="AH51" s="978" t="n"/>
      <c r="AI51" s="978" t="n"/>
      <c r="AJ51" s="978" t="n"/>
      <c r="AK51" s="978" t="n"/>
      <c r="AL51" s="978" t="n"/>
      <c r="AM51" s="978" t="n"/>
      <c r="AN51" s="978" t="n"/>
      <c r="AO51" s="978" t="n"/>
      <c r="AP51" s="981" t="n"/>
      <c r="AQ51" s="978" t="n"/>
      <c r="AR51" s="978" t="n"/>
      <c r="AS51" s="978" t="n"/>
      <c r="AT51" s="978" t="n"/>
      <c r="AU51" s="412">
        <f>(($E$51)*($E$3))</f>
        <v/>
      </c>
      <c r="AV51" s="135">
        <f>(($E$51)*($E$3))</f>
        <v/>
      </c>
      <c r="AW51" s="135">
        <f>(($E$51)*($E$3))</f>
        <v/>
      </c>
      <c r="AX51" s="135">
        <f>(($E$51)*($E$3))</f>
        <v/>
      </c>
      <c r="AY51" s="135">
        <f>(($E$51)*($E$3))</f>
        <v/>
      </c>
      <c r="AZ51" s="135">
        <f>(($E$51)*($E$3))</f>
        <v/>
      </c>
      <c r="BA51" s="135">
        <f>(($E$51)*($E$3))</f>
        <v/>
      </c>
      <c r="BB51" s="973">
        <f>(($E$51)*($E$3))</f>
        <v/>
      </c>
      <c r="BC51" s="135">
        <f>(($E$51)*($E$3))</f>
        <v/>
      </c>
      <c r="BD51" s="135">
        <f>(($E$51)*($E$3))</f>
        <v/>
      </c>
      <c r="BE51" s="135">
        <f>(($E$51)*($E$3))</f>
        <v/>
      </c>
      <c r="BF51" s="135">
        <f>(($E$51)*($E$3))</f>
        <v/>
      </c>
      <c r="BG51" s="135">
        <f>(($E$51)*($E$3))</f>
        <v/>
      </c>
      <c r="BH51" s="135">
        <f>(($E$51)*($E$3))</f>
        <v/>
      </c>
      <c r="BI51" s="135">
        <f>(($E$51)*($E$3))</f>
        <v/>
      </c>
      <c r="BJ51" s="135">
        <f>(($E$51)*($E$3))</f>
        <v/>
      </c>
      <c r="BK51" s="135">
        <f>(($E$51)*($E$3))</f>
        <v/>
      </c>
      <c r="BL51" s="135">
        <f>(($E$51)*($E$3))</f>
        <v/>
      </c>
      <c r="BM51" s="135">
        <f>(($E$51)*($E$3))</f>
        <v/>
      </c>
      <c r="BN51" s="135">
        <f>(($E$51)*($E$3))</f>
        <v/>
      </c>
      <c r="BO51" s="932" t="n"/>
      <c r="BP51" s="135">
        <f>SUM(G51:BN51)</f>
        <v/>
      </c>
      <c r="BQ51" s="932" t="n"/>
      <c r="BR51" s="135">
        <f>(E51)</f>
        <v/>
      </c>
      <c r="BS51" s="135">
        <f>((BP51)-(BR51))</f>
        <v/>
      </c>
    </row>
    <row r="52">
      <c r="D52" s="149" t="inlineStr">
        <is>
          <t>Month 41</t>
        </is>
      </c>
      <c r="E52" s="139">
        <f>'P&amp;L Assumptions (Companion App)'!P20</f>
        <v/>
      </c>
      <c r="F52" s="1968" t="n"/>
      <c r="G52" s="978" t="n"/>
      <c r="H52" s="978" t="n"/>
      <c r="I52" s="978" t="n"/>
      <c r="J52" s="978" t="n"/>
      <c r="K52" s="978" t="n"/>
      <c r="L52" s="978" t="n"/>
      <c r="M52" s="978" t="n"/>
      <c r="N52" s="978" t="n"/>
      <c r="O52" s="978" t="n"/>
      <c r="P52" s="978" t="n"/>
      <c r="Q52" s="978" t="n"/>
      <c r="R52" s="981" t="n"/>
      <c r="S52" s="978" t="n"/>
      <c r="T52" s="978" t="n"/>
      <c r="U52" s="978" t="n"/>
      <c r="V52" s="978" t="n"/>
      <c r="W52" s="978" t="n"/>
      <c r="X52" s="978" t="n"/>
      <c r="Y52" s="978" t="n"/>
      <c r="Z52" s="978" t="n"/>
      <c r="AA52" s="978" t="n"/>
      <c r="AB52" s="978" t="n"/>
      <c r="AC52" s="978" t="n"/>
      <c r="AD52" s="981" t="n"/>
      <c r="AE52" s="978" t="n"/>
      <c r="AF52" s="978" t="n"/>
      <c r="AG52" s="978" t="n"/>
      <c r="AH52" s="978" t="n"/>
      <c r="AI52" s="978" t="n"/>
      <c r="AJ52" s="978" t="n"/>
      <c r="AK52" s="978" t="n"/>
      <c r="AL52" s="978" t="n"/>
      <c r="AM52" s="978" t="n"/>
      <c r="AN52" s="978" t="n"/>
      <c r="AO52" s="978" t="n"/>
      <c r="AP52" s="981" t="n"/>
      <c r="AQ52" s="978" t="n"/>
      <c r="AR52" s="978" t="n"/>
      <c r="AS52" s="978" t="n"/>
      <c r="AT52" s="978" t="n"/>
      <c r="AU52" s="978" t="n"/>
      <c r="AV52" s="412">
        <f>(($E$52)*($E$3))</f>
        <v/>
      </c>
      <c r="AW52" s="135">
        <f>(($E$52)*($E$3))</f>
        <v/>
      </c>
      <c r="AX52" s="135">
        <f>(($E$52)*($E$3))</f>
        <v/>
      </c>
      <c r="AY52" s="135">
        <f>(($E$52)*($E$3))</f>
        <v/>
      </c>
      <c r="AZ52" s="135">
        <f>(($E$52)*($E$3))</f>
        <v/>
      </c>
      <c r="BA52" s="135">
        <f>(($E$52)*($E$3))</f>
        <v/>
      </c>
      <c r="BB52" s="973">
        <f>(($E$52)*($E$3))</f>
        <v/>
      </c>
      <c r="BC52" s="135">
        <f>(($E$52)*($E$3))</f>
        <v/>
      </c>
      <c r="BD52" s="135">
        <f>(($E$52)*($E$3))</f>
        <v/>
      </c>
      <c r="BE52" s="135">
        <f>(($E$52)*($E$3))</f>
        <v/>
      </c>
      <c r="BF52" s="135">
        <f>(($E$52)*($E$3))</f>
        <v/>
      </c>
      <c r="BG52" s="135">
        <f>(($E$52)*($E$3))</f>
        <v/>
      </c>
      <c r="BH52" s="135">
        <f>(($E$52)*($E$3))</f>
        <v/>
      </c>
      <c r="BI52" s="135">
        <f>(($E$52)*($E$3))</f>
        <v/>
      </c>
      <c r="BJ52" s="135">
        <f>(($E$52)*($E$3))</f>
        <v/>
      </c>
      <c r="BK52" s="135">
        <f>(($E$52)*($E$3))</f>
        <v/>
      </c>
      <c r="BL52" s="135">
        <f>(($E$52)*($E$3))</f>
        <v/>
      </c>
      <c r="BM52" s="135">
        <f>(($E$52)*($E$3))</f>
        <v/>
      </c>
      <c r="BN52" s="135">
        <f>(($E$52)*($E$3))</f>
        <v/>
      </c>
      <c r="BO52" s="932" t="n"/>
      <c r="BP52" s="135">
        <f>SUM(G52:BN52)</f>
        <v/>
      </c>
      <c r="BQ52" s="932" t="n"/>
      <c r="BR52" s="135">
        <f>(E52)</f>
        <v/>
      </c>
      <c r="BS52" s="135">
        <f>((BP52)-(BR52))</f>
        <v/>
      </c>
    </row>
    <row r="53">
      <c r="D53" s="149" t="inlineStr">
        <is>
          <t>Month 42</t>
        </is>
      </c>
      <c r="E53" s="139">
        <f>'P&amp;L Assumptions (Companion App)'!R20</f>
        <v/>
      </c>
      <c r="F53" s="1968" t="n"/>
      <c r="G53" s="978" t="n"/>
      <c r="H53" s="978" t="n"/>
      <c r="I53" s="978" t="n"/>
      <c r="J53" s="978" t="n"/>
      <c r="K53" s="978" t="n"/>
      <c r="L53" s="978" t="n"/>
      <c r="M53" s="978" t="n"/>
      <c r="N53" s="978" t="n"/>
      <c r="O53" s="978" t="n"/>
      <c r="P53" s="978" t="n"/>
      <c r="Q53" s="978" t="n"/>
      <c r="R53" s="981" t="n"/>
      <c r="S53" s="978" t="n"/>
      <c r="T53" s="978" t="n"/>
      <c r="U53" s="978" t="n"/>
      <c r="V53" s="978" t="n"/>
      <c r="W53" s="978" t="n"/>
      <c r="X53" s="978" t="n"/>
      <c r="Y53" s="978" t="n"/>
      <c r="Z53" s="978" t="n"/>
      <c r="AA53" s="978" t="n"/>
      <c r="AB53" s="978" t="n"/>
      <c r="AC53" s="978" t="n"/>
      <c r="AD53" s="981" t="n"/>
      <c r="AE53" s="978" t="n"/>
      <c r="AF53" s="978" t="n"/>
      <c r="AG53" s="978" t="n"/>
      <c r="AH53" s="978" t="n"/>
      <c r="AI53" s="978" t="n"/>
      <c r="AJ53" s="978" t="n"/>
      <c r="AK53" s="978" t="n"/>
      <c r="AL53" s="978" t="n"/>
      <c r="AM53" s="978" t="n"/>
      <c r="AN53" s="978" t="n"/>
      <c r="AO53" s="978" t="n"/>
      <c r="AP53" s="981" t="n"/>
      <c r="AQ53" s="978" t="n"/>
      <c r="AR53" s="978" t="n"/>
      <c r="AS53" s="978" t="n"/>
      <c r="AT53" s="978" t="n"/>
      <c r="AU53" s="978" t="n"/>
      <c r="AV53" s="978" t="n"/>
      <c r="AW53" s="412">
        <f>(($E$53)*($E$3))</f>
        <v/>
      </c>
      <c r="AX53" s="135">
        <f>(($E$53)*($E$3))</f>
        <v/>
      </c>
      <c r="AY53" s="135">
        <f>(($E$53)*($E$3))</f>
        <v/>
      </c>
      <c r="AZ53" s="135">
        <f>(($E$53)*($E$3))</f>
        <v/>
      </c>
      <c r="BA53" s="135">
        <f>(($E$53)*($E$3))</f>
        <v/>
      </c>
      <c r="BB53" s="973">
        <f>(($E$53)*($E$3))</f>
        <v/>
      </c>
      <c r="BC53" s="135">
        <f>(($E$53)*($E$3))</f>
        <v/>
      </c>
      <c r="BD53" s="135">
        <f>(($E$53)*($E$3))</f>
        <v/>
      </c>
      <c r="BE53" s="135">
        <f>(($E$53)*($E$3))</f>
        <v/>
      </c>
      <c r="BF53" s="135">
        <f>(($E$53)*($E$3))</f>
        <v/>
      </c>
      <c r="BG53" s="135">
        <f>(($E$53)*($E$3))</f>
        <v/>
      </c>
      <c r="BH53" s="135">
        <f>(($E$53)*($E$3))</f>
        <v/>
      </c>
      <c r="BI53" s="135">
        <f>(($E$53)*($E$3))</f>
        <v/>
      </c>
      <c r="BJ53" s="135">
        <f>(($E$53)*($E$3))</f>
        <v/>
      </c>
      <c r="BK53" s="135">
        <f>(($E$53)*($E$3))</f>
        <v/>
      </c>
      <c r="BL53" s="135">
        <f>(($E$53)*($E$3))</f>
        <v/>
      </c>
      <c r="BM53" s="135">
        <f>(($E$53)*($E$3))</f>
        <v/>
      </c>
      <c r="BN53" s="135">
        <f>(($E$53)*($E$3))</f>
        <v/>
      </c>
      <c r="BO53" s="932" t="n"/>
      <c r="BP53" s="135">
        <f>SUM(G53:BN53)</f>
        <v/>
      </c>
      <c r="BQ53" s="932" t="n"/>
      <c r="BR53" s="135">
        <f>(E53)</f>
        <v/>
      </c>
      <c r="BS53" s="135">
        <f>((BP53)-(BR53))</f>
        <v/>
      </c>
    </row>
    <row r="54">
      <c r="D54" s="149" t="inlineStr">
        <is>
          <t>Month 43</t>
        </is>
      </c>
      <c r="E54" s="139">
        <f>'P&amp;L Assumptions (Companion App)'!T20</f>
        <v/>
      </c>
      <c r="F54" s="1968" t="n"/>
      <c r="G54" s="978" t="n"/>
      <c r="H54" s="978" t="n"/>
      <c r="I54" s="978" t="n"/>
      <c r="J54" s="978" t="n"/>
      <c r="K54" s="978" t="n"/>
      <c r="L54" s="978" t="n"/>
      <c r="M54" s="978" t="n"/>
      <c r="N54" s="978" t="n"/>
      <c r="O54" s="978" t="n"/>
      <c r="P54" s="978" t="n"/>
      <c r="Q54" s="978" t="n"/>
      <c r="R54" s="981" t="n"/>
      <c r="S54" s="978" t="n"/>
      <c r="T54" s="978" t="n"/>
      <c r="U54" s="978" t="n"/>
      <c r="V54" s="978" t="n"/>
      <c r="W54" s="978" t="n"/>
      <c r="X54" s="978" t="n"/>
      <c r="Y54" s="978" t="n"/>
      <c r="Z54" s="978" t="n"/>
      <c r="AA54" s="978" t="n"/>
      <c r="AB54" s="978" t="n"/>
      <c r="AC54" s="978" t="n"/>
      <c r="AD54" s="981" t="n"/>
      <c r="AE54" s="978" t="n"/>
      <c r="AF54" s="978" t="n"/>
      <c r="AG54" s="978" t="n"/>
      <c r="AH54" s="978" t="n"/>
      <c r="AI54" s="978" t="n"/>
      <c r="AJ54" s="978" t="n"/>
      <c r="AK54" s="978" t="n"/>
      <c r="AL54" s="978" t="n"/>
      <c r="AM54" s="978" t="n"/>
      <c r="AN54" s="978" t="n"/>
      <c r="AO54" s="978" t="n"/>
      <c r="AP54" s="981" t="n"/>
      <c r="AQ54" s="978" t="n"/>
      <c r="AR54" s="978" t="n"/>
      <c r="AS54" s="978" t="n"/>
      <c r="AT54" s="978" t="n"/>
      <c r="AU54" s="978" t="n"/>
      <c r="AV54" s="978" t="n"/>
      <c r="AW54" s="978" t="n"/>
      <c r="AX54" s="412">
        <f>(($E$54)*($E$3))</f>
        <v/>
      </c>
      <c r="AY54" s="135">
        <f>(($E$54)*($E$3))</f>
        <v/>
      </c>
      <c r="AZ54" s="135">
        <f>(($E$54)*($E$3))</f>
        <v/>
      </c>
      <c r="BA54" s="135">
        <f>(($E$54)*($E$3))</f>
        <v/>
      </c>
      <c r="BB54" s="973">
        <f>(($E$54)*($E$3))</f>
        <v/>
      </c>
      <c r="BC54" s="135">
        <f>(($E$54)*($E$3))</f>
        <v/>
      </c>
      <c r="BD54" s="135">
        <f>(($E$54)*($E$3))</f>
        <v/>
      </c>
      <c r="BE54" s="135">
        <f>(($E$54)*($E$3))</f>
        <v/>
      </c>
      <c r="BF54" s="135">
        <f>(($E$54)*($E$3))</f>
        <v/>
      </c>
      <c r="BG54" s="135">
        <f>(($E$54)*($E$3))</f>
        <v/>
      </c>
      <c r="BH54" s="135">
        <f>(($E$54)*($E$3))</f>
        <v/>
      </c>
      <c r="BI54" s="135">
        <f>(($E$54)*($E$3))</f>
        <v/>
      </c>
      <c r="BJ54" s="135">
        <f>(($E$54)*($E$3))</f>
        <v/>
      </c>
      <c r="BK54" s="135">
        <f>(($E$54)*($E$3))</f>
        <v/>
      </c>
      <c r="BL54" s="135">
        <f>(($E$54)*($E$3))</f>
        <v/>
      </c>
      <c r="BM54" s="135">
        <f>(($E$54)*($E$3))</f>
        <v/>
      </c>
      <c r="BN54" s="135">
        <f>(($E$54)*($E$3))</f>
        <v/>
      </c>
      <c r="BO54" s="932" t="n"/>
      <c r="BP54" s="135">
        <f>SUM(G54:BN54)</f>
        <v/>
      </c>
      <c r="BQ54" s="932" t="n"/>
      <c r="BR54" s="135">
        <f>(E54)</f>
        <v/>
      </c>
      <c r="BS54" s="135">
        <f>((BP54)-(BR54))</f>
        <v/>
      </c>
    </row>
    <row r="55">
      <c r="D55" s="149" t="inlineStr">
        <is>
          <t>Month 44</t>
        </is>
      </c>
      <c r="E55" s="139">
        <f>'P&amp;L Assumptions (Companion App)'!V20</f>
        <v/>
      </c>
      <c r="F55" s="1968" t="n"/>
      <c r="G55" s="978" t="n"/>
      <c r="H55" s="978" t="n"/>
      <c r="I55" s="978" t="n"/>
      <c r="J55" s="978" t="n"/>
      <c r="K55" s="978" t="n"/>
      <c r="L55" s="978" t="n"/>
      <c r="M55" s="978" t="n"/>
      <c r="N55" s="978" t="n"/>
      <c r="O55" s="978" t="n"/>
      <c r="P55" s="978" t="n"/>
      <c r="Q55" s="978" t="n"/>
      <c r="R55" s="981" t="n"/>
      <c r="S55" s="978" t="n"/>
      <c r="T55" s="978" t="n"/>
      <c r="U55" s="978" t="n"/>
      <c r="V55" s="978" t="n"/>
      <c r="W55" s="978" t="n"/>
      <c r="X55" s="978" t="n"/>
      <c r="Y55" s="978" t="n"/>
      <c r="Z55" s="978" t="n"/>
      <c r="AA55" s="978" t="n"/>
      <c r="AB55" s="978" t="n"/>
      <c r="AC55" s="978" t="n"/>
      <c r="AD55" s="981" t="n"/>
      <c r="AE55" s="978" t="n"/>
      <c r="AF55" s="978" t="n"/>
      <c r="AG55" s="978" t="n"/>
      <c r="AH55" s="978" t="n"/>
      <c r="AI55" s="978" t="n"/>
      <c r="AJ55" s="978" t="n"/>
      <c r="AK55" s="978" t="n"/>
      <c r="AL55" s="978" t="n"/>
      <c r="AM55" s="978" t="n"/>
      <c r="AN55" s="978" t="n"/>
      <c r="AO55" s="978" t="n"/>
      <c r="AP55" s="981" t="n"/>
      <c r="AQ55" s="978" t="n"/>
      <c r="AR55" s="978" t="n"/>
      <c r="AS55" s="978" t="n"/>
      <c r="AT55" s="978" t="n"/>
      <c r="AU55" s="978" t="n"/>
      <c r="AV55" s="978" t="n"/>
      <c r="AW55" s="978" t="n"/>
      <c r="AX55" s="978" t="n"/>
      <c r="AY55" s="412">
        <f>(($E$55)*($E$3))</f>
        <v/>
      </c>
      <c r="AZ55" s="135">
        <f>(($E$55)*($E$3))</f>
        <v/>
      </c>
      <c r="BA55" s="135">
        <f>(($E$55)*($E$3))</f>
        <v/>
      </c>
      <c r="BB55" s="973">
        <f>(($E$55)*($E$3))</f>
        <v/>
      </c>
      <c r="BC55" s="135">
        <f>(($E$55)*($E$3))</f>
        <v/>
      </c>
      <c r="BD55" s="135">
        <f>(($E$55)*($E$3))</f>
        <v/>
      </c>
      <c r="BE55" s="135">
        <f>(($E$55)*($E$3))</f>
        <v/>
      </c>
      <c r="BF55" s="135">
        <f>(($E$55)*($E$3))</f>
        <v/>
      </c>
      <c r="BG55" s="135">
        <f>(($E$55)*($E$3))</f>
        <v/>
      </c>
      <c r="BH55" s="135">
        <f>(($E$55)*($E$3))</f>
        <v/>
      </c>
      <c r="BI55" s="135">
        <f>(($E$55)*($E$3))</f>
        <v/>
      </c>
      <c r="BJ55" s="135">
        <f>(($E$55)*($E$3))</f>
        <v/>
      </c>
      <c r="BK55" s="135">
        <f>(($E$55)*($E$3))</f>
        <v/>
      </c>
      <c r="BL55" s="135">
        <f>(($E$55)*($E$3))</f>
        <v/>
      </c>
      <c r="BM55" s="135">
        <f>(($E$55)*($E$3))</f>
        <v/>
      </c>
      <c r="BN55" s="135">
        <f>(($E$55)*($E$3))</f>
        <v/>
      </c>
      <c r="BO55" s="932" t="n"/>
      <c r="BP55" s="135">
        <f>SUM(G55:BN55)</f>
        <v/>
      </c>
      <c r="BQ55" s="932" t="n"/>
      <c r="BR55" s="135">
        <f>(E55)</f>
        <v/>
      </c>
      <c r="BS55" s="135">
        <f>((BP55)-(BR55))</f>
        <v/>
      </c>
    </row>
    <row r="56">
      <c r="D56" s="149" t="inlineStr">
        <is>
          <t>Month 45</t>
        </is>
      </c>
      <c r="E56" s="139">
        <f>'P&amp;L Assumptions (Companion App)'!X20</f>
        <v/>
      </c>
      <c r="F56" s="1968" t="n"/>
      <c r="G56" s="978" t="n"/>
      <c r="H56" s="978" t="n"/>
      <c r="I56" s="978" t="n"/>
      <c r="J56" s="978" t="n"/>
      <c r="K56" s="978" t="n"/>
      <c r="L56" s="978" t="n"/>
      <c r="M56" s="978" t="n"/>
      <c r="N56" s="978" t="n"/>
      <c r="O56" s="978" t="n"/>
      <c r="P56" s="978" t="n"/>
      <c r="Q56" s="978" t="n"/>
      <c r="R56" s="981" t="n"/>
      <c r="S56" s="978" t="n"/>
      <c r="T56" s="978" t="n"/>
      <c r="U56" s="978" t="n"/>
      <c r="V56" s="978" t="n"/>
      <c r="W56" s="978" t="n"/>
      <c r="X56" s="978" t="n"/>
      <c r="Y56" s="978" t="n"/>
      <c r="Z56" s="978" t="n"/>
      <c r="AA56" s="978" t="n"/>
      <c r="AB56" s="978" t="n"/>
      <c r="AC56" s="978" t="n"/>
      <c r="AD56" s="981" t="n"/>
      <c r="AE56" s="978" t="n"/>
      <c r="AF56" s="978" t="n"/>
      <c r="AG56" s="978" t="n"/>
      <c r="AH56" s="978" t="n"/>
      <c r="AI56" s="978" t="n"/>
      <c r="AJ56" s="978" t="n"/>
      <c r="AK56" s="978" t="n"/>
      <c r="AL56" s="978" t="n"/>
      <c r="AM56" s="978" t="n"/>
      <c r="AN56" s="978" t="n"/>
      <c r="AO56" s="978" t="n"/>
      <c r="AP56" s="981" t="n"/>
      <c r="AQ56" s="978" t="n"/>
      <c r="AR56" s="978" t="n"/>
      <c r="AS56" s="978" t="n"/>
      <c r="AT56" s="978" t="n"/>
      <c r="AU56" s="978" t="n"/>
      <c r="AV56" s="978" t="n"/>
      <c r="AW56" s="978" t="n"/>
      <c r="AX56" s="978" t="n"/>
      <c r="AY56" s="978" t="n"/>
      <c r="AZ56" s="412">
        <f>(($E$56)*($E$3))</f>
        <v/>
      </c>
      <c r="BA56" s="135">
        <f>(($E$56)*($E$3))</f>
        <v/>
      </c>
      <c r="BB56" s="973">
        <f>(($E$56)*($E$3))</f>
        <v/>
      </c>
      <c r="BC56" s="135">
        <f>(($E$56)*($E$3))</f>
        <v/>
      </c>
      <c r="BD56" s="135">
        <f>(($E$56)*($E$3))</f>
        <v/>
      </c>
      <c r="BE56" s="135">
        <f>(($E$56)*($E$3))</f>
        <v/>
      </c>
      <c r="BF56" s="135">
        <f>(($E$56)*($E$3))</f>
        <v/>
      </c>
      <c r="BG56" s="135">
        <f>(($E$56)*($E$3))</f>
        <v/>
      </c>
      <c r="BH56" s="135">
        <f>(($E$56)*($E$3))</f>
        <v/>
      </c>
      <c r="BI56" s="135">
        <f>(($E$56)*($E$3))</f>
        <v/>
      </c>
      <c r="BJ56" s="135">
        <f>(($E$56)*($E$3))</f>
        <v/>
      </c>
      <c r="BK56" s="135">
        <f>(($E$56)*($E$3))</f>
        <v/>
      </c>
      <c r="BL56" s="135">
        <f>(($E$56)*($E$3))</f>
        <v/>
      </c>
      <c r="BM56" s="135">
        <f>(($E$56)*($E$3))</f>
        <v/>
      </c>
      <c r="BN56" s="135">
        <f>(($E$56)*($E$3))</f>
        <v/>
      </c>
      <c r="BO56" s="932" t="n"/>
      <c r="BP56" s="135">
        <f>SUM(G56:BN56)</f>
        <v/>
      </c>
      <c r="BQ56" s="932" t="n"/>
      <c r="BR56" s="135">
        <f>(E56)</f>
        <v/>
      </c>
      <c r="BS56" s="135">
        <f>((BP56)-(BR56))</f>
        <v/>
      </c>
    </row>
    <row r="57">
      <c r="D57" s="149" t="inlineStr">
        <is>
          <t>Month 46</t>
        </is>
      </c>
      <c r="E57" s="139">
        <f>'P&amp;L Assumptions (Companion App)'!Z20</f>
        <v/>
      </c>
      <c r="F57" s="1968" t="n"/>
      <c r="G57" s="978" t="n"/>
      <c r="H57" s="978" t="n"/>
      <c r="I57" s="978" t="n"/>
      <c r="J57" s="978" t="n"/>
      <c r="K57" s="978" t="n"/>
      <c r="L57" s="978" t="n"/>
      <c r="M57" s="978" t="n"/>
      <c r="N57" s="978" t="n"/>
      <c r="O57" s="978" t="n"/>
      <c r="P57" s="978" t="n"/>
      <c r="Q57" s="978" t="n"/>
      <c r="R57" s="981" t="n"/>
      <c r="S57" s="978" t="n"/>
      <c r="T57" s="978" t="n"/>
      <c r="U57" s="978" t="n"/>
      <c r="V57" s="978" t="n"/>
      <c r="W57" s="978" t="n"/>
      <c r="X57" s="978" t="n"/>
      <c r="Y57" s="978" t="n"/>
      <c r="Z57" s="978" t="n"/>
      <c r="AA57" s="978" t="n"/>
      <c r="AB57" s="978" t="n"/>
      <c r="AC57" s="978" t="n"/>
      <c r="AD57" s="981" t="n"/>
      <c r="AE57" s="978" t="n"/>
      <c r="AF57" s="978" t="n"/>
      <c r="AG57" s="978" t="n"/>
      <c r="AH57" s="978" t="n"/>
      <c r="AI57" s="978" t="n"/>
      <c r="AJ57" s="978" t="n"/>
      <c r="AK57" s="978" t="n"/>
      <c r="AL57" s="978" t="n"/>
      <c r="AM57" s="978" t="n"/>
      <c r="AN57" s="978" t="n"/>
      <c r="AO57" s="978" t="n"/>
      <c r="AP57" s="981" t="n"/>
      <c r="AQ57" s="978" t="n"/>
      <c r="AR57" s="978" t="n"/>
      <c r="AS57" s="978" t="n"/>
      <c r="AT57" s="978" t="n"/>
      <c r="AU57" s="978" t="n"/>
      <c r="AV57" s="978" t="n"/>
      <c r="AW57" s="978" t="n"/>
      <c r="AX57" s="978" t="n"/>
      <c r="AY57" s="978" t="n"/>
      <c r="AZ57" s="978" t="n"/>
      <c r="BA57" s="412">
        <f>(($E$57)*($E$3))</f>
        <v/>
      </c>
      <c r="BB57" s="973">
        <f>(($E$57)*($E$3))</f>
        <v/>
      </c>
      <c r="BC57" s="135">
        <f>(($E$57)*($E$3))</f>
        <v/>
      </c>
      <c r="BD57" s="135">
        <f>(($E$57)*($E$3))</f>
        <v/>
      </c>
      <c r="BE57" s="135">
        <f>(($E$57)*($E$3))</f>
        <v/>
      </c>
      <c r="BF57" s="135">
        <f>(($E$57)*($E$3))</f>
        <v/>
      </c>
      <c r="BG57" s="135">
        <f>(($E$57)*($E$3))</f>
        <v/>
      </c>
      <c r="BH57" s="135">
        <f>(($E$57)*($E$3))</f>
        <v/>
      </c>
      <c r="BI57" s="135">
        <f>(($E$57)*($E$3))</f>
        <v/>
      </c>
      <c r="BJ57" s="135">
        <f>(($E$57)*($E$3))</f>
        <v/>
      </c>
      <c r="BK57" s="135">
        <f>(($E$57)*($E$3))</f>
        <v/>
      </c>
      <c r="BL57" s="135">
        <f>(($E$57)*($E$3))</f>
        <v/>
      </c>
      <c r="BM57" s="135">
        <f>(($E$57)*($E$3))</f>
        <v/>
      </c>
      <c r="BN57" s="135">
        <f>(($E$57)*($E$3))</f>
        <v/>
      </c>
      <c r="BO57" s="932" t="n"/>
      <c r="BP57" s="135">
        <f>SUM(G57:BN57)</f>
        <v/>
      </c>
      <c r="BQ57" s="932" t="n"/>
      <c r="BR57" s="135">
        <f>(E57)</f>
        <v/>
      </c>
      <c r="BS57" s="135">
        <f>((BP57)-(BR57))</f>
        <v/>
      </c>
    </row>
    <row r="58">
      <c r="D58" s="149" t="inlineStr">
        <is>
          <t>Month 47</t>
        </is>
      </c>
      <c r="E58" s="139">
        <f>'P&amp;L Assumptions (Companion App)'!AB20</f>
        <v/>
      </c>
      <c r="F58" s="1968" t="n"/>
      <c r="G58" s="978" t="n"/>
      <c r="H58" s="978" t="n"/>
      <c r="I58" s="978" t="n"/>
      <c r="J58" s="978" t="n"/>
      <c r="K58" s="978" t="n"/>
      <c r="L58" s="978" t="n"/>
      <c r="M58" s="978" t="n"/>
      <c r="N58" s="978" t="n"/>
      <c r="O58" s="978" t="n"/>
      <c r="P58" s="978" t="n"/>
      <c r="Q58" s="978" t="n"/>
      <c r="R58" s="981" t="n"/>
      <c r="S58" s="978" t="n"/>
      <c r="T58" s="978" t="n"/>
      <c r="U58" s="978" t="n"/>
      <c r="V58" s="978" t="n"/>
      <c r="W58" s="978" t="n"/>
      <c r="X58" s="978" t="n"/>
      <c r="Y58" s="978" t="n"/>
      <c r="Z58" s="978" t="n"/>
      <c r="AA58" s="978" t="n"/>
      <c r="AB58" s="978" t="n"/>
      <c r="AC58" s="978" t="n"/>
      <c r="AD58" s="981" t="n"/>
      <c r="AE58" s="978" t="n"/>
      <c r="AF58" s="978" t="n"/>
      <c r="AG58" s="978" t="n"/>
      <c r="AH58" s="978" t="n"/>
      <c r="AI58" s="978" t="n"/>
      <c r="AJ58" s="978" t="n"/>
      <c r="AK58" s="978" t="n"/>
      <c r="AL58" s="978" t="n"/>
      <c r="AM58" s="978" t="n"/>
      <c r="AN58" s="978" t="n"/>
      <c r="AO58" s="978" t="n"/>
      <c r="AP58" s="981" t="n"/>
      <c r="AQ58" s="978" t="n"/>
      <c r="AR58" s="978" t="n"/>
      <c r="AS58" s="978" t="n"/>
      <c r="AT58" s="978" t="n"/>
      <c r="AU58" s="978" t="n"/>
      <c r="AV58" s="978" t="n"/>
      <c r="AW58" s="978" t="n"/>
      <c r="AX58" s="978" t="n"/>
      <c r="AY58" s="978" t="n"/>
      <c r="AZ58" s="978" t="n"/>
      <c r="BA58" s="978" t="n"/>
      <c r="BB58" s="973">
        <f>(($E$58)*($E$3))</f>
        <v/>
      </c>
      <c r="BC58" s="135">
        <f>(($E$58)*($E$3))</f>
        <v/>
      </c>
      <c r="BD58" s="135">
        <f>(($E$58)*($E$3))</f>
        <v/>
      </c>
      <c r="BE58" s="135">
        <f>(($E$58)*($E$3))</f>
        <v/>
      </c>
      <c r="BF58" s="135">
        <f>(($E$58)*($E$3))</f>
        <v/>
      </c>
      <c r="BG58" s="135">
        <f>(($E$58)*($E$3))</f>
        <v/>
      </c>
      <c r="BH58" s="135">
        <f>(($E$58)*($E$3))</f>
        <v/>
      </c>
      <c r="BI58" s="135">
        <f>(($E$58)*($E$3))</f>
        <v/>
      </c>
      <c r="BJ58" s="135">
        <f>(($E$58)*($E$3))</f>
        <v/>
      </c>
      <c r="BK58" s="135">
        <f>(($E$58)*($E$3))</f>
        <v/>
      </c>
      <c r="BL58" s="135">
        <f>(($E$58)*($E$3))</f>
        <v/>
      </c>
      <c r="BM58" s="135">
        <f>(($E$58)*($E$3))</f>
        <v/>
      </c>
      <c r="BN58" s="135">
        <f>(($E$58)*($E$3))</f>
        <v/>
      </c>
      <c r="BO58" s="932" t="n"/>
      <c r="BP58" s="135">
        <f>SUM(G58:BN58)</f>
        <v/>
      </c>
      <c r="BQ58" s="932" t="n"/>
      <c r="BR58" s="135">
        <f>(E58)</f>
        <v/>
      </c>
      <c r="BS58" s="135">
        <f>((BP58)-(BR58))</f>
        <v/>
      </c>
    </row>
    <row r="59">
      <c r="D59" s="149" t="inlineStr">
        <is>
          <t>Month 48</t>
        </is>
      </c>
      <c r="E59" s="139">
        <f>'P&amp;L Assumptions (Companion App)'!AD20</f>
        <v/>
      </c>
      <c r="F59" s="1968" t="n"/>
      <c r="G59" s="978" t="n"/>
      <c r="H59" s="978" t="n"/>
      <c r="I59" s="978" t="n"/>
      <c r="J59" s="978" t="n"/>
      <c r="K59" s="978" t="n"/>
      <c r="L59" s="978" t="n"/>
      <c r="M59" s="978" t="n"/>
      <c r="N59" s="978" t="n"/>
      <c r="O59" s="978" t="n"/>
      <c r="P59" s="978" t="n"/>
      <c r="Q59" s="978" t="n"/>
      <c r="R59" s="981" t="n"/>
      <c r="S59" s="978" t="n"/>
      <c r="T59" s="978" t="n"/>
      <c r="U59" s="978" t="n"/>
      <c r="V59" s="978" t="n"/>
      <c r="W59" s="978" t="n"/>
      <c r="X59" s="978" t="n"/>
      <c r="Y59" s="978" t="n"/>
      <c r="Z59" s="978" t="n"/>
      <c r="AA59" s="978" t="n"/>
      <c r="AB59" s="978" t="n"/>
      <c r="AC59" s="978" t="n"/>
      <c r="AD59" s="981" t="n"/>
      <c r="AE59" s="978" t="n"/>
      <c r="AF59" s="978" t="n"/>
      <c r="AG59" s="978" t="n"/>
      <c r="AH59" s="978" t="n"/>
      <c r="AI59" s="978" t="n"/>
      <c r="AJ59" s="978" t="n"/>
      <c r="AK59" s="978" t="n"/>
      <c r="AL59" s="978" t="n"/>
      <c r="AM59" s="978" t="n"/>
      <c r="AN59" s="978" t="n"/>
      <c r="AO59" s="978" t="n"/>
      <c r="AP59" s="981" t="n"/>
      <c r="AQ59" s="978" t="n"/>
      <c r="AR59" s="978" t="n"/>
      <c r="AS59" s="978" t="n"/>
      <c r="AT59" s="978" t="n"/>
      <c r="AU59" s="978" t="n"/>
      <c r="AV59" s="978" t="n"/>
      <c r="AW59" s="978" t="n"/>
      <c r="AX59" s="978" t="n"/>
      <c r="AY59" s="978" t="n"/>
      <c r="AZ59" s="978" t="n"/>
      <c r="BA59" s="978" t="n"/>
      <c r="BB59" s="981" t="n"/>
      <c r="BC59" s="412">
        <f>(($E$59)*($E$3))</f>
        <v/>
      </c>
      <c r="BD59" s="135">
        <f>(($E$59)*($E$3))</f>
        <v/>
      </c>
      <c r="BE59" s="135">
        <f>(($E$59)*($E$3))</f>
        <v/>
      </c>
      <c r="BF59" s="135">
        <f>(($E$59)*($E$3))</f>
        <v/>
      </c>
      <c r="BG59" s="135">
        <f>(($E$59)*($E$3))</f>
        <v/>
      </c>
      <c r="BH59" s="135">
        <f>(($E$59)*($E$3))</f>
        <v/>
      </c>
      <c r="BI59" s="135">
        <f>(($E$59)*($E$3))</f>
        <v/>
      </c>
      <c r="BJ59" s="135">
        <f>(($E$59)*($E$3))</f>
        <v/>
      </c>
      <c r="BK59" s="135">
        <f>(($E$59)*($E$3))</f>
        <v/>
      </c>
      <c r="BL59" s="135">
        <f>(($E$59)*($E$3))</f>
        <v/>
      </c>
      <c r="BM59" s="135">
        <f>(($E$59)*($E$3))</f>
        <v/>
      </c>
      <c r="BN59" s="135">
        <f>(($E$59)*($E$3))</f>
        <v/>
      </c>
      <c r="BO59" s="932" t="n"/>
      <c r="BP59" s="135">
        <f>SUM(G59:BN59)</f>
        <v/>
      </c>
      <c r="BQ59" s="932" t="n"/>
      <c r="BR59" s="135">
        <f>(E59)</f>
        <v/>
      </c>
      <c r="BS59" s="135">
        <f>((BP59)-(BR59))</f>
        <v/>
      </c>
    </row>
    <row r="60">
      <c r="D60" s="149" t="inlineStr">
        <is>
          <t>Month 49</t>
        </is>
      </c>
      <c r="E60" s="139">
        <f>'P&amp;L Assumptions (Companion App)'!H21</f>
        <v/>
      </c>
      <c r="F60" s="1968" t="n"/>
      <c r="G60" s="978" t="n"/>
      <c r="H60" s="978" t="n"/>
      <c r="I60" s="978" t="n"/>
      <c r="J60" s="978" t="n"/>
      <c r="K60" s="978" t="n"/>
      <c r="L60" s="978" t="n"/>
      <c r="M60" s="978" t="n"/>
      <c r="N60" s="978" t="n"/>
      <c r="O60" s="978" t="n"/>
      <c r="P60" s="978" t="n"/>
      <c r="Q60" s="978" t="n"/>
      <c r="R60" s="981" t="n"/>
      <c r="S60" s="978" t="n"/>
      <c r="T60" s="978" t="n"/>
      <c r="U60" s="978" t="n"/>
      <c r="V60" s="978" t="n"/>
      <c r="W60" s="978" t="n"/>
      <c r="X60" s="978" t="n"/>
      <c r="Y60" s="978" t="n"/>
      <c r="Z60" s="978" t="n"/>
      <c r="AA60" s="978" t="n"/>
      <c r="AB60" s="978" t="n"/>
      <c r="AC60" s="978" t="n"/>
      <c r="AD60" s="981" t="n"/>
      <c r="AE60" s="978" t="n"/>
      <c r="AF60" s="978" t="n"/>
      <c r="AG60" s="978" t="n"/>
      <c r="AH60" s="978" t="n"/>
      <c r="AI60" s="978" t="n"/>
      <c r="AJ60" s="978" t="n"/>
      <c r="AK60" s="978" t="n"/>
      <c r="AL60" s="978" t="n"/>
      <c r="AM60" s="978" t="n"/>
      <c r="AN60" s="978" t="n"/>
      <c r="AO60" s="978" t="n"/>
      <c r="AP60" s="981" t="n"/>
      <c r="AQ60" s="978" t="n"/>
      <c r="AR60" s="978" t="n"/>
      <c r="AS60" s="978" t="n"/>
      <c r="AT60" s="978" t="n"/>
      <c r="AU60" s="978" t="n"/>
      <c r="AV60" s="978" t="n"/>
      <c r="AW60" s="978" t="n"/>
      <c r="AX60" s="978" t="n"/>
      <c r="AY60" s="978" t="n"/>
      <c r="AZ60" s="978" t="n"/>
      <c r="BA60" s="978" t="n"/>
      <c r="BB60" s="981" t="n"/>
      <c r="BC60" s="978" t="n"/>
      <c r="BD60" s="412">
        <f>(($E$60)*($E$3))</f>
        <v/>
      </c>
      <c r="BE60" s="135">
        <f>(($E$60)*($E$3))</f>
        <v/>
      </c>
      <c r="BF60" s="135">
        <f>(($E$60)*($E$3))</f>
        <v/>
      </c>
      <c r="BG60" s="135">
        <f>(($E$60)*($E$3))</f>
        <v/>
      </c>
      <c r="BH60" s="135">
        <f>(($E$60)*($E$3))</f>
        <v/>
      </c>
      <c r="BI60" s="135">
        <f>(($E$60)*($E$3))</f>
        <v/>
      </c>
      <c r="BJ60" s="135">
        <f>(($E$60)*($E$3))</f>
        <v/>
      </c>
      <c r="BK60" s="135">
        <f>(($E$60)*($E$3))</f>
        <v/>
      </c>
      <c r="BL60" s="135">
        <f>(($E$60)*($E$3))</f>
        <v/>
      </c>
      <c r="BM60" s="135">
        <f>(($E$60)*($E$3))</f>
        <v/>
      </c>
      <c r="BN60" s="135">
        <f>(($E$60)*($E$3))</f>
        <v/>
      </c>
      <c r="BO60" s="932" t="n"/>
      <c r="BP60" s="135">
        <f>SUM(G60:BN60)</f>
        <v/>
      </c>
      <c r="BQ60" s="932" t="n"/>
      <c r="BR60" s="135">
        <f>(E60)</f>
        <v/>
      </c>
      <c r="BS60" s="135">
        <f>((BP60)-(BR60))</f>
        <v/>
      </c>
    </row>
    <row r="61">
      <c r="D61" s="149" t="inlineStr">
        <is>
          <t>Month 50</t>
        </is>
      </c>
      <c r="E61" s="139">
        <f>'P&amp;L Assumptions (Companion App)'!J21</f>
        <v/>
      </c>
      <c r="F61" s="1968" t="n"/>
      <c r="G61" s="978" t="n"/>
      <c r="H61" s="978" t="n"/>
      <c r="I61" s="978" t="n"/>
      <c r="J61" s="978" t="n"/>
      <c r="K61" s="978" t="n"/>
      <c r="L61" s="978" t="n"/>
      <c r="M61" s="978" t="n"/>
      <c r="N61" s="978" t="n"/>
      <c r="O61" s="978" t="n"/>
      <c r="P61" s="978" t="n"/>
      <c r="Q61" s="978" t="n"/>
      <c r="R61" s="981" t="n"/>
      <c r="S61" s="978" t="n"/>
      <c r="T61" s="978" t="n"/>
      <c r="U61" s="978" t="n"/>
      <c r="V61" s="978" t="n"/>
      <c r="W61" s="978" t="n"/>
      <c r="X61" s="978" t="n"/>
      <c r="Y61" s="978" t="n"/>
      <c r="Z61" s="978" t="n"/>
      <c r="AA61" s="978" t="n"/>
      <c r="AB61" s="978" t="n"/>
      <c r="AC61" s="978" t="n"/>
      <c r="AD61" s="981" t="n"/>
      <c r="AE61" s="978" t="n"/>
      <c r="AF61" s="978" t="n"/>
      <c r="AG61" s="978" t="n"/>
      <c r="AH61" s="978" t="n"/>
      <c r="AI61" s="978" t="n"/>
      <c r="AJ61" s="978" t="n"/>
      <c r="AK61" s="978" t="n"/>
      <c r="AL61" s="978" t="n"/>
      <c r="AM61" s="978" t="n"/>
      <c r="AN61" s="978" t="n"/>
      <c r="AO61" s="978" t="n"/>
      <c r="AP61" s="981" t="n"/>
      <c r="AQ61" s="978" t="n"/>
      <c r="AR61" s="978" t="n"/>
      <c r="AS61" s="978" t="n"/>
      <c r="AT61" s="978" t="n"/>
      <c r="AU61" s="978" t="n"/>
      <c r="AV61" s="978" t="n"/>
      <c r="AW61" s="978" t="n"/>
      <c r="AX61" s="978" t="n"/>
      <c r="AY61" s="978" t="n"/>
      <c r="AZ61" s="978" t="n"/>
      <c r="BA61" s="978" t="n"/>
      <c r="BB61" s="981" t="n"/>
      <c r="BC61" s="978" t="n"/>
      <c r="BD61" s="978" t="n"/>
      <c r="BE61" s="412">
        <f>(($E$61)*($E$3))</f>
        <v/>
      </c>
      <c r="BF61" s="135">
        <f>(($E$61)*($E$3))</f>
        <v/>
      </c>
      <c r="BG61" s="135">
        <f>(($E$61)*($E$3))</f>
        <v/>
      </c>
      <c r="BH61" s="135">
        <f>(($E$61)*($E$3))</f>
        <v/>
      </c>
      <c r="BI61" s="135">
        <f>(($E$61)*($E$3))</f>
        <v/>
      </c>
      <c r="BJ61" s="135">
        <f>(($E$61)*($E$3))</f>
        <v/>
      </c>
      <c r="BK61" s="135">
        <f>(($E$61)*($E$3))</f>
        <v/>
      </c>
      <c r="BL61" s="135">
        <f>(($E$61)*($E$3))</f>
        <v/>
      </c>
      <c r="BM61" s="135">
        <f>(($E$61)*($E$3))</f>
        <v/>
      </c>
      <c r="BN61" s="135">
        <f>(($E$61)*($E$3))</f>
        <v/>
      </c>
      <c r="BO61" s="932" t="n"/>
      <c r="BP61" s="135">
        <f>SUM(G61:BN61)</f>
        <v/>
      </c>
      <c r="BQ61" s="932" t="n"/>
      <c r="BR61" s="135">
        <f>(E61)</f>
        <v/>
      </c>
      <c r="BS61" s="135">
        <f>((BP61)-(BR61))</f>
        <v/>
      </c>
    </row>
    <row r="62">
      <c r="D62" s="149" t="inlineStr">
        <is>
          <t>Month 51</t>
        </is>
      </c>
      <c r="E62" s="139">
        <f>'P&amp;L Assumptions (Companion App)'!L21</f>
        <v/>
      </c>
      <c r="F62" s="1968" t="n"/>
      <c r="G62" s="978" t="n"/>
      <c r="H62" s="978" t="n"/>
      <c r="I62" s="978" t="n"/>
      <c r="J62" s="978" t="n"/>
      <c r="K62" s="978" t="n"/>
      <c r="L62" s="978" t="n"/>
      <c r="M62" s="978" t="n"/>
      <c r="N62" s="978" t="n"/>
      <c r="O62" s="978" t="n"/>
      <c r="P62" s="978" t="n"/>
      <c r="Q62" s="978" t="n"/>
      <c r="R62" s="981" t="n"/>
      <c r="S62" s="978" t="n"/>
      <c r="T62" s="978" t="n"/>
      <c r="U62" s="978" t="n"/>
      <c r="V62" s="978" t="n"/>
      <c r="W62" s="978" t="n"/>
      <c r="X62" s="978" t="n"/>
      <c r="Y62" s="978" t="n"/>
      <c r="Z62" s="978" t="n"/>
      <c r="AA62" s="978" t="n"/>
      <c r="AB62" s="978" t="n"/>
      <c r="AC62" s="978" t="n"/>
      <c r="AD62" s="981" t="n"/>
      <c r="AE62" s="978" t="n"/>
      <c r="AF62" s="978" t="n"/>
      <c r="AG62" s="978" t="n"/>
      <c r="AH62" s="978" t="n"/>
      <c r="AI62" s="978" t="n"/>
      <c r="AJ62" s="978" t="n"/>
      <c r="AK62" s="978" t="n"/>
      <c r="AL62" s="978" t="n"/>
      <c r="AM62" s="978" t="n"/>
      <c r="AN62" s="978" t="n"/>
      <c r="AO62" s="978" t="n"/>
      <c r="AP62" s="981" t="n"/>
      <c r="AQ62" s="978" t="n"/>
      <c r="AR62" s="978" t="n"/>
      <c r="AS62" s="978" t="n"/>
      <c r="AT62" s="978" t="n"/>
      <c r="AU62" s="978" t="n"/>
      <c r="AV62" s="978" t="n"/>
      <c r="AW62" s="978" t="n"/>
      <c r="AX62" s="978" t="n"/>
      <c r="AY62" s="978" t="n"/>
      <c r="AZ62" s="978" t="n"/>
      <c r="BA62" s="978" t="n"/>
      <c r="BB62" s="981" t="n"/>
      <c r="BC62" s="978" t="n"/>
      <c r="BD62" s="978" t="n"/>
      <c r="BE62" s="978" t="n"/>
      <c r="BF62" s="412">
        <f>(($E$62)*($E$3))</f>
        <v/>
      </c>
      <c r="BG62" s="135">
        <f>(($E$62)*($E$3))</f>
        <v/>
      </c>
      <c r="BH62" s="135">
        <f>(($E$62)*($E$3))</f>
        <v/>
      </c>
      <c r="BI62" s="135">
        <f>(($E$62)*($E$3))</f>
        <v/>
      </c>
      <c r="BJ62" s="135">
        <f>(($E$62)*($E$3))</f>
        <v/>
      </c>
      <c r="BK62" s="135">
        <f>(($E$62)*($E$3))</f>
        <v/>
      </c>
      <c r="BL62" s="135">
        <f>(($E$62)*($E$3))</f>
        <v/>
      </c>
      <c r="BM62" s="135">
        <f>(($E$62)*($E$3))</f>
        <v/>
      </c>
      <c r="BN62" s="135">
        <f>(($E$62)*($E$3))</f>
        <v/>
      </c>
      <c r="BO62" s="932" t="n"/>
      <c r="BP62" s="135">
        <f>SUM(G62:BN62)</f>
        <v/>
      </c>
      <c r="BQ62" s="932" t="n"/>
      <c r="BR62" s="135">
        <f>(E62)</f>
        <v/>
      </c>
      <c r="BS62" s="135">
        <f>((BP62)-(BR62))</f>
        <v/>
      </c>
    </row>
    <row r="63">
      <c r="D63" s="149" t="inlineStr">
        <is>
          <t>Month 52</t>
        </is>
      </c>
      <c r="E63" s="139">
        <f>'P&amp;L Assumptions (Companion App)'!N21</f>
        <v/>
      </c>
      <c r="F63" s="1968" t="n"/>
      <c r="G63" s="978" t="n"/>
      <c r="H63" s="978" t="n"/>
      <c r="I63" s="978" t="n"/>
      <c r="J63" s="978" t="n"/>
      <c r="K63" s="978" t="n"/>
      <c r="L63" s="978" t="n"/>
      <c r="M63" s="978" t="n"/>
      <c r="N63" s="978" t="n"/>
      <c r="O63" s="978" t="n"/>
      <c r="P63" s="978" t="n"/>
      <c r="Q63" s="978" t="n"/>
      <c r="R63" s="981" t="n"/>
      <c r="S63" s="978" t="n"/>
      <c r="T63" s="978" t="n"/>
      <c r="U63" s="978" t="n"/>
      <c r="V63" s="978" t="n"/>
      <c r="W63" s="978" t="n"/>
      <c r="X63" s="978" t="n"/>
      <c r="Y63" s="978" t="n"/>
      <c r="Z63" s="978" t="n"/>
      <c r="AA63" s="978" t="n"/>
      <c r="AB63" s="978" t="n"/>
      <c r="AC63" s="978" t="n"/>
      <c r="AD63" s="981" t="n"/>
      <c r="AE63" s="978" t="n"/>
      <c r="AF63" s="978" t="n"/>
      <c r="AG63" s="978" t="n"/>
      <c r="AH63" s="978" t="n"/>
      <c r="AI63" s="978" t="n"/>
      <c r="AJ63" s="978" t="n"/>
      <c r="AK63" s="978" t="n"/>
      <c r="AL63" s="978" t="n"/>
      <c r="AM63" s="978" t="n"/>
      <c r="AN63" s="978" t="n"/>
      <c r="AO63" s="978" t="n"/>
      <c r="AP63" s="981" t="n"/>
      <c r="AQ63" s="978" t="n"/>
      <c r="AR63" s="978" t="n"/>
      <c r="AS63" s="978" t="n"/>
      <c r="AT63" s="978" t="n"/>
      <c r="AU63" s="978" t="n"/>
      <c r="AV63" s="978" t="n"/>
      <c r="AW63" s="978" t="n"/>
      <c r="AX63" s="978" t="n"/>
      <c r="AY63" s="978" t="n"/>
      <c r="AZ63" s="978" t="n"/>
      <c r="BA63" s="978" t="n"/>
      <c r="BB63" s="981" t="n"/>
      <c r="BC63" s="978" t="n"/>
      <c r="BD63" s="978" t="n"/>
      <c r="BE63" s="978" t="n"/>
      <c r="BF63" s="978" t="n"/>
      <c r="BG63" s="412">
        <f>(($E$63)*($E$3))</f>
        <v/>
      </c>
      <c r="BH63" s="135">
        <f>(($E$63)*($E$3))</f>
        <v/>
      </c>
      <c r="BI63" s="135">
        <f>(($E$63)*($E$3))</f>
        <v/>
      </c>
      <c r="BJ63" s="135">
        <f>(($E$63)*($E$3))</f>
        <v/>
      </c>
      <c r="BK63" s="135">
        <f>(($E$63)*($E$3))</f>
        <v/>
      </c>
      <c r="BL63" s="135">
        <f>(($E$63)*($E$3))</f>
        <v/>
      </c>
      <c r="BM63" s="135">
        <f>(($E$63)*($E$3))</f>
        <v/>
      </c>
      <c r="BN63" s="135">
        <f>(($E$63)*($E$3))</f>
        <v/>
      </c>
      <c r="BO63" s="932" t="n"/>
      <c r="BP63" s="135">
        <f>SUM(G63:BN63)</f>
        <v/>
      </c>
      <c r="BQ63" s="932" t="n"/>
      <c r="BR63" s="135">
        <f>(E63)</f>
        <v/>
      </c>
      <c r="BS63" s="135">
        <f>((BP63)-(BR63))</f>
        <v/>
      </c>
    </row>
    <row r="64">
      <c r="D64" s="149" t="inlineStr">
        <is>
          <t>Month 53</t>
        </is>
      </c>
      <c r="E64" s="139">
        <f>'P&amp;L Assumptions (Companion App)'!P21</f>
        <v/>
      </c>
      <c r="F64" s="1968" t="n"/>
      <c r="G64" s="978" t="n"/>
      <c r="H64" s="978" t="n"/>
      <c r="I64" s="978" t="n"/>
      <c r="J64" s="978" t="n"/>
      <c r="K64" s="978" t="n"/>
      <c r="L64" s="978" t="n"/>
      <c r="M64" s="978" t="n"/>
      <c r="N64" s="978" t="n"/>
      <c r="O64" s="978" t="n"/>
      <c r="P64" s="978" t="n"/>
      <c r="Q64" s="978" t="n"/>
      <c r="R64" s="981" t="n"/>
      <c r="S64" s="978" t="n"/>
      <c r="T64" s="978" t="n"/>
      <c r="U64" s="978" t="n"/>
      <c r="V64" s="978" t="n"/>
      <c r="W64" s="978" t="n"/>
      <c r="X64" s="978" t="n"/>
      <c r="Y64" s="978" t="n"/>
      <c r="Z64" s="978" t="n"/>
      <c r="AA64" s="978" t="n"/>
      <c r="AB64" s="978" t="n"/>
      <c r="AC64" s="978" t="n"/>
      <c r="AD64" s="981" t="n"/>
      <c r="AE64" s="978" t="n"/>
      <c r="AF64" s="978" t="n"/>
      <c r="AG64" s="978" t="n"/>
      <c r="AH64" s="978" t="n"/>
      <c r="AI64" s="978" t="n"/>
      <c r="AJ64" s="978" t="n"/>
      <c r="AK64" s="978" t="n"/>
      <c r="AL64" s="978" t="n"/>
      <c r="AM64" s="978" t="n"/>
      <c r="AN64" s="978" t="n"/>
      <c r="AO64" s="978" t="n"/>
      <c r="AP64" s="981" t="n"/>
      <c r="AQ64" s="978" t="n"/>
      <c r="AR64" s="978" t="n"/>
      <c r="AS64" s="978" t="n"/>
      <c r="AT64" s="978" t="n"/>
      <c r="AU64" s="978" t="n"/>
      <c r="AV64" s="978" t="n"/>
      <c r="AW64" s="978" t="n"/>
      <c r="AX64" s="978" t="n"/>
      <c r="AY64" s="978" t="n"/>
      <c r="AZ64" s="978" t="n"/>
      <c r="BA64" s="978" t="n"/>
      <c r="BB64" s="981" t="n"/>
      <c r="BC64" s="978" t="n"/>
      <c r="BD64" s="978" t="n"/>
      <c r="BE64" s="978" t="n"/>
      <c r="BF64" s="978" t="n"/>
      <c r="BG64" s="978" t="n"/>
      <c r="BH64" s="412">
        <f>(($E$64)*($E$3))</f>
        <v/>
      </c>
      <c r="BI64" s="135">
        <f>(($E$64)*($E$3))</f>
        <v/>
      </c>
      <c r="BJ64" s="135">
        <f>(($E$64)*($E$3))</f>
        <v/>
      </c>
      <c r="BK64" s="135">
        <f>(($E$64)*($E$3))</f>
        <v/>
      </c>
      <c r="BL64" s="135">
        <f>(($E$64)*($E$3))</f>
        <v/>
      </c>
      <c r="BM64" s="135">
        <f>(($E$64)*($E$3))</f>
        <v/>
      </c>
      <c r="BN64" s="135">
        <f>(($E$64)*($E$3))</f>
        <v/>
      </c>
      <c r="BO64" s="932" t="n"/>
      <c r="BP64" s="135">
        <f>SUM(G64:BN64)</f>
        <v/>
      </c>
      <c r="BQ64" s="932" t="n"/>
      <c r="BR64" s="135">
        <f>(E64)</f>
        <v/>
      </c>
      <c r="BS64" s="135">
        <f>((BP64)-(BR64))</f>
        <v/>
      </c>
    </row>
    <row r="65">
      <c r="D65" s="149" t="inlineStr">
        <is>
          <t>Month 54</t>
        </is>
      </c>
      <c r="E65" s="139">
        <f>'P&amp;L Assumptions (Companion App)'!R21</f>
        <v/>
      </c>
      <c r="F65" s="1968" t="n"/>
      <c r="G65" s="978" t="n"/>
      <c r="H65" s="978" t="n"/>
      <c r="I65" s="978" t="n"/>
      <c r="J65" s="978" t="n"/>
      <c r="K65" s="978" t="n"/>
      <c r="L65" s="978" t="n"/>
      <c r="M65" s="978" t="n"/>
      <c r="N65" s="978" t="n"/>
      <c r="O65" s="978" t="n"/>
      <c r="P65" s="978" t="n"/>
      <c r="Q65" s="978" t="n"/>
      <c r="R65" s="981" t="n"/>
      <c r="S65" s="978" t="n"/>
      <c r="T65" s="978" t="n"/>
      <c r="U65" s="978" t="n"/>
      <c r="V65" s="978" t="n"/>
      <c r="W65" s="978" t="n"/>
      <c r="X65" s="978" t="n"/>
      <c r="Y65" s="978" t="n"/>
      <c r="Z65" s="978" t="n"/>
      <c r="AA65" s="978" t="n"/>
      <c r="AB65" s="978" t="n"/>
      <c r="AC65" s="978" t="n"/>
      <c r="AD65" s="981" t="n"/>
      <c r="AE65" s="978" t="n"/>
      <c r="AF65" s="978" t="n"/>
      <c r="AG65" s="978" t="n"/>
      <c r="AH65" s="978" t="n"/>
      <c r="AI65" s="978" t="n"/>
      <c r="AJ65" s="978" t="n"/>
      <c r="AK65" s="978" t="n"/>
      <c r="AL65" s="978" t="n"/>
      <c r="AM65" s="978" t="n"/>
      <c r="AN65" s="978" t="n"/>
      <c r="AO65" s="978" t="n"/>
      <c r="AP65" s="981" t="n"/>
      <c r="AQ65" s="978" t="n"/>
      <c r="AR65" s="978" t="n"/>
      <c r="AS65" s="978" t="n"/>
      <c r="AT65" s="978" t="n"/>
      <c r="AU65" s="978" t="n"/>
      <c r="AV65" s="978" t="n"/>
      <c r="AW65" s="978" t="n"/>
      <c r="AX65" s="978" t="n"/>
      <c r="AY65" s="978" t="n"/>
      <c r="AZ65" s="978" t="n"/>
      <c r="BA65" s="978" t="n"/>
      <c r="BB65" s="981" t="n"/>
      <c r="BC65" s="978" t="n"/>
      <c r="BD65" s="978" t="n"/>
      <c r="BE65" s="978" t="n"/>
      <c r="BF65" s="978" t="n"/>
      <c r="BG65" s="978" t="n"/>
      <c r="BH65" s="978" t="n"/>
      <c r="BI65" s="412">
        <f>(($E$65)*($E$3))</f>
        <v/>
      </c>
      <c r="BJ65" s="135">
        <f>(($E$65)*($E$3))</f>
        <v/>
      </c>
      <c r="BK65" s="135">
        <f>(($E$65)*($E$3))</f>
        <v/>
      </c>
      <c r="BL65" s="135">
        <f>(($E$65)*($E$3))</f>
        <v/>
      </c>
      <c r="BM65" s="135">
        <f>(($E$65)*($E$3))</f>
        <v/>
      </c>
      <c r="BN65" s="135">
        <f>(($E$65)*($E$3))</f>
        <v/>
      </c>
      <c r="BO65" s="932" t="n"/>
      <c r="BP65" s="135">
        <f>SUM(G65:BN65)</f>
        <v/>
      </c>
      <c r="BQ65" s="932" t="n"/>
      <c r="BR65" s="135">
        <f>(E65)</f>
        <v/>
      </c>
      <c r="BS65" s="135">
        <f>((BP65)-(BR65))</f>
        <v/>
      </c>
    </row>
    <row r="66">
      <c r="D66" s="149" t="inlineStr">
        <is>
          <t>Month 55</t>
        </is>
      </c>
      <c r="E66" s="139">
        <f>'P&amp;L Assumptions (Companion App)'!T21</f>
        <v/>
      </c>
      <c r="F66" s="1968" t="n"/>
      <c r="G66" s="978" t="n"/>
      <c r="H66" s="978" t="n"/>
      <c r="I66" s="978" t="n"/>
      <c r="J66" s="978" t="n"/>
      <c r="K66" s="978" t="n"/>
      <c r="L66" s="978" t="n"/>
      <c r="M66" s="978" t="n"/>
      <c r="N66" s="978" t="n"/>
      <c r="O66" s="978" t="n"/>
      <c r="P66" s="978" t="n"/>
      <c r="Q66" s="978" t="n"/>
      <c r="R66" s="981" t="n"/>
      <c r="S66" s="978" t="n"/>
      <c r="T66" s="978" t="n"/>
      <c r="U66" s="978" t="n"/>
      <c r="V66" s="978" t="n"/>
      <c r="W66" s="978" t="n"/>
      <c r="X66" s="978" t="n"/>
      <c r="Y66" s="978" t="n"/>
      <c r="Z66" s="978" t="n"/>
      <c r="AA66" s="978" t="n"/>
      <c r="AB66" s="978" t="n"/>
      <c r="AC66" s="978" t="n"/>
      <c r="AD66" s="981" t="n"/>
      <c r="AE66" s="978" t="n"/>
      <c r="AF66" s="978" t="n"/>
      <c r="AG66" s="978" t="n"/>
      <c r="AH66" s="978" t="n"/>
      <c r="AI66" s="978" t="n"/>
      <c r="AJ66" s="978" t="n"/>
      <c r="AK66" s="978" t="n"/>
      <c r="AL66" s="978" t="n"/>
      <c r="AM66" s="978" t="n"/>
      <c r="AN66" s="978" t="n"/>
      <c r="AO66" s="978" t="n"/>
      <c r="AP66" s="981" t="n"/>
      <c r="AQ66" s="978" t="n"/>
      <c r="AR66" s="978" t="n"/>
      <c r="AS66" s="978" t="n"/>
      <c r="AT66" s="978" t="n"/>
      <c r="AU66" s="978" t="n"/>
      <c r="AV66" s="978" t="n"/>
      <c r="AW66" s="978" t="n"/>
      <c r="AX66" s="978" t="n"/>
      <c r="AY66" s="978" t="n"/>
      <c r="AZ66" s="978" t="n"/>
      <c r="BA66" s="978" t="n"/>
      <c r="BB66" s="981" t="n"/>
      <c r="BC66" s="978" t="n"/>
      <c r="BD66" s="978" t="n"/>
      <c r="BE66" s="978" t="n"/>
      <c r="BF66" s="978" t="n"/>
      <c r="BG66" s="978" t="n"/>
      <c r="BH66" s="978" t="n"/>
      <c r="BI66" s="978" t="n"/>
      <c r="BJ66" s="412">
        <f>(($E$66)*($E$3))</f>
        <v/>
      </c>
      <c r="BK66" s="135">
        <f>(($E$66)*($E$3))</f>
        <v/>
      </c>
      <c r="BL66" s="135">
        <f>(($E$66)*($E$3))</f>
        <v/>
      </c>
      <c r="BM66" s="135">
        <f>(($E$66)*($E$3))</f>
        <v/>
      </c>
      <c r="BN66" s="135">
        <f>(($E$66)*($E$3))</f>
        <v/>
      </c>
      <c r="BO66" s="932" t="n"/>
      <c r="BP66" s="135">
        <f>SUM(G66:BN66)</f>
        <v/>
      </c>
      <c r="BQ66" s="932" t="n"/>
      <c r="BR66" s="135">
        <f>(E66)</f>
        <v/>
      </c>
      <c r="BS66" s="135">
        <f>((BP66)-(BR66))</f>
        <v/>
      </c>
    </row>
    <row r="67">
      <c r="D67" s="149" t="inlineStr">
        <is>
          <t>Month 56</t>
        </is>
      </c>
      <c r="E67" s="139">
        <f>'P&amp;L Assumptions (Companion App)'!V21</f>
        <v/>
      </c>
      <c r="F67" s="1968" t="n"/>
      <c r="G67" s="978" t="n"/>
      <c r="H67" s="978" t="n"/>
      <c r="I67" s="978" t="n"/>
      <c r="J67" s="978" t="n"/>
      <c r="K67" s="978" t="n"/>
      <c r="L67" s="978" t="n"/>
      <c r="M67" s="978" t="n"/>
      <c r="N67" s="978" t="n"/>
      <c r="O67" s="978" t="n"/>
      <c r="P67" s="978" t="n"/>
      <c r="Q67" s="978" t="n"/>
      <c r="R67" s="981" t="n"/>
      <c r="S67" s="978" t="n"/>
      <c r="T67" s="978" t="n"/>
      <c r="U67" s="978" t="n"/>
      <c r="V67" s="978" t="n"/>
      <c r="W67" s="978" t="n"/>
      <c r="X67" s="978" t="n"/>
      <c r="Y67" s="978" t="n"/>
      <c r="Z67" s="978" t="n"/>
      <c r="AA67" s="978" t="n"/>
      <c r="AB67" s="978" t="n"/>
      <c r="AC67" s="978" t="n"/>
      <c r="AD67" s="981" t="n"/>
      <c r="AE67" s="978" t="n"/>
      <c r="AF67" s="978" t="n"/>
      <c r="AG67" s="978" t="n"/>
      <c r="AH67" s="978" t="n"/>
      <c r="AI67" s="978" t="n"/>
      <c r="AJ67" s="978" t="n"/>
      <c r="AK67" s="978" t="n"/>
      <c r="AL67" s="978" t="n"/>
      <c r="AM67" s="978" t="n"/>
      <c r="AN67" s="978" t="n"/>
      <c r="AO67" s="978" t="n"/>
      <c r="AP67" s="981" t="n"/>
      <c r="AQ67" s="978" t="n"/>
      <c r="AR67" s="978" t="n"/>
      <c r="AS67" s="978" t="n"/>
      <c r="AT67" s="978" t="n"/>
      <c r="AU67" s="978" t="n"/>
      <c r="AV67" s="978" t="n"/>
      <c r="AW67" s="978" t="n"/>
      <c r="AX67" s="978" t="n"/>
      <c r="AY67" s="978" t="n"/>
      <c r="AZ67" s="978" t="n"/>
      <c r="BA67" s="978" t="n"/>
      <c r="BB67" s="981" t="n"/>
      <c r="BC67" s="978" t="n"/>
      <c r="BD67" s="978" t="n"/>
      <c r="BE67" s="978" t="n"/>
      <c r="BF67" s="978" t="n"/>
      <c r="BG67" s="978" t="n"/>
      <c r="BH67" s="978" t="n"/>
      <c r="BI67" s="978" t="n"/>
      <c r="BJ67" s="978" t="n"/>
      <c r="BK67" s="412">
        <f>(($E$67)*($E$3))</f>
        <v/>
      </c>
      <c r="BL67" s="135">
        <f>(($E$67)*($E$3))</f>
        <v/>
      </c>
      <c r="BM67" s="135">
        <f>(($E$67)*($E$3))</f>
        <v/>
      </c>
      <c r="BN67" s="135">
        <f>(($E$67)*($E$3))</f>
        <v/>
      </c>
      <c r="BO67" s="932" t="n"/>
      <c r="BP67" s="135">
        <f>SUM(G67:BN67)</f>
        <v/>
      </c>
      <c r="BQ67" s="932" t="n"/>
      <c r="BR67" s="135">
        <f>(E67)</f>
        <v/>
      </c>
      <c r="BS67" s="135">
        <f>((BP67)-(BR67))</f>
        <v/>
      </c>
    </row>
    <row r="68">
      <c r="D68" s="149" t="inlineStr">
        <is>
          <t>Month 57</t>
        </is>
      </c>
      <c r="E68" s="139">
        <f>'P&amp;L Assumptions (Companion App)'!X21</f>
        <v/>
      </c>
      <c r="F68" s="1968" t="n"/>
      <c r="G68" s="978" t="n"/>
      <c r="H68" s="978" t="n"/>
      <c r="I68" s="978" t="n"/>
      <c r="J68" s="978" t="n"/>
      <c r="K68" s="978" t="n"/>
      <c r="L68" s="978" t="n"/>
      <c r="M68" s="978" t="n"/>
      <c r="N68" s="978" t="n"/>
      <c r="O68" s="978" t="n"/>
      <c r="P68" s="978" t="n"/>
      <c r="Q68" s="978" t="n"/>
      <c r="R68" s="981" t="n"/>
      <c r="S68" s="978" t="n"/>
      <c r="T68" s="978" t="n"/>
      <c r="U68" s="978" t="n"/>
      <c r="V68" s="978" t="n"/>
      <c r="W68" s="978" t="n"/>
      <c r="X68" s="978" t="n"/>
      <c r="Y68" s="978" t="n"/>
      <c r="Z68" s="978" t="n"/>
      <c r="AA68" s="978" t="n"/>
      <c r="AB68" s="978" t="n"/>
      <c r="AC68" s="978" t="n"/>
      <c r="AD68" s="981" t="n"/>
      <c r="AE68" s="978" t="n"/>
      <c r="AF68" s="978" t="n"/>
      <c r="AG68" s="978" t="n"/>
      <c r="AH68" s="978" t="n"/>
      <c r="AI68" s="978" t="n"/>
      <c r="AJ68" s="978" t="n"/>
      <c r="AK68" s="978" t="n"/>
      <c r="AL68" s="978" t="n"/>
      <c r="AM68" s="978" t="n"/>
      <c r="AN68" s="978" t="n"/>
      <c r="AO68" s="978" t="n"/>
      <c r="AP68" s="981" t="n"/>
      <c r="AQ68" s="978" t="n"/>
      <c r="AR68" s="978" t="n"/>
      <c r="AS68" s="978" t="n"/>
      <c r="AT68" s="978" t="n"/>
      <c r="AU68" s="978" t="n"/>
      <c r="AV68" s="978" t="n"/>
      <c r="AW68" s="978" t="n"/>
      <c r="AX68" s="978" t="n"/>
      <c r="AY68" s="978" t="n"/>
      <c r="AZ68" s="978" t="n"/>
      <c r="BA68" s="978" t="n"/>
      <c r="BB68" s="981" t="n"/>
      <c r="BC68" s="978" t="n"/>
      <c r="BD68" s="978" t="n"/>
      <c r="BE68" s="978" t="n"/>
      <c r="BF68" s="978" t="n"/>
      <c r="BG68" s="978" t="n"/>
      <c r="BH68" s="978" t="n"/>
      <c r="BI68" s="978" t="n"/>
      <c r="BJ68" s="978" t="n"/>
      <c r="BK68" s="978" t="n"/>
      <c r="BL68" s="412">
        <f>(($E$68)*($E$3))</f>
        <v/>
      </c>
      <c r="BM68" s="135">
        <f>(($E$68)*($E$3))</f>
        <v/>
      </c>
      <c r="BN68" s="135">
        <f>(($E$68)*($E$3))</f>
        <v/>
      </c>
      <c r="BO68" s="932" t="n"/>
      <c r="BP68" s="135">
        <f>SUM(G68:BN68)</f>
        <v/>
      </c>
      <c r="BQ68" s="932" t="n"/>
      <c r="BR68" s="135">
        <f>(E68)</f>
        <v/>
      </c>
      <c r="BS68" s="135">
        <f>((BP68)-(BR68))</f>
        <v/>
      </c>
    </row>
    <row r="69">
      <c r="D69" s="149" t="inlineStr">
        <is>
          <t>Month 58</t>
        </is>
      </c>
      <c r="E69" s="139">
        <f>'P&amp;L Assumptions (Companion App)'!Z21</f>
        <v/>
      </c>
      <c r="F69" s="1968" t="n"/>
      <c r="G69" s="978" t="n"/>
      <c r="H69" s="978" t="n"/>
      <c r="I69" s="978" t="n"/>
      <c r="J69" s="978" t="n"/>
      <c r="K69" s="978" t="n"/>
      <c r="L69" s="978" t="n"/>
      <c r="M69" s="978" t="n"/>
      <c r="N69" s="978" t="n"/>
      <c r="O69" s="978" t="n"/>
      <c r="P69" s="978" t="n"/>
      <c r="Q69" s="978" t="n"/>
      <c r="R69" s="981" t="n"/>
      <c r="S69" s="978" t="n"/>
      <c r="T69" s="978" t="n"/>
      <c r="U69" s="978" t="n"/>
      <c r="V69" s="978" t="n"/>
      <c r="W69" s="978" t="n"/>
      <c r="X69" s="978" t="n"/>
      <c r="Y69" s="978" t="n"/>
      <c r="Z69" s="978" t="n"/>
      <c r="AA69" s="978" t="n"/>
      <c r="AB69" s="978" t="n"/>
      <c r="AC69" s="978" t="n"/>
      <c r="AD69" s="981" t="n"/>
      <c r="AE69" s="978" t="n"/>
      <c r="AF69" s="978" t="n"/>
      <c r="AG69" s="978" t="n"/>
      <c r="AH69" s="978" t="n"/>
      <c r="AI69" s="978" t="n"/>
      <c r="AJ69" s="978" t="n"/>
      <c r="AK69" s="978" t="n"/>
      <c r="AL69" s="978" t="n"/>
      <c r="AM69" s="978" t="n"/>
      <c r="AN69" s="978" t="n"/>
      <c r="AO69" s="978" t="n"/>
      <c r="AP69" s="981" t="n"/>
      <c r="AQ69" s="978" t="n"/>
      <c r="AR69" s="978" t="n"/>
      <c r="AS69" s="978" t="n"/>
      <c r="AT69" s="978" t="n"/>
      <c r="AU69" s="978" t="n"/>
      <c r="AV69" s="978" t="n"/>
      <c r="AW69" s="978" t="n"/>
      <c r="AX69" s="978" t="n"/>
      <c r="AY69" s="978" t="n"/>
      <c r="AZ69" s="978" t="n"/>
      <c r="BA69" s="978" t="n"/>
      <c r="BB69" s="981" t="n"/>
      <c r="BC69" s="978" t="n"/>
      <c r="BD69" s="978" t="n"/>
      <c r="BE69" s="978" t="n"/>
      <c r="BF69" s="978" t="n"/>
      <c r="BG69" s="978" t="n"/>
      <c r="BH69" s="978" t="n"/>
      <c r="BI69" s="978" t="n"/>
      <c r="BJ69" s="978" t="n"/>
      <c r="BK69" s="978" t="n"/>
      <c r="BL69" s="978" t="n"/>
      <c r="BM69" s="412">
        <f>(($E$69)*($E$3))</f>
        <v/>
      </c>
      <c r="BN69" s="135">
        <f>(($E$69)*($E$3))</f>
        <v/>
      </c>
      <c r="BO69" s="932" t="n"/>
      <c r="BP69" s="135">
        <f>SUM(G69:BN69)</f>
        <v/>
      </c>
      <c r="BQ69" s="932" t="n"/>
      <c r="BR69" s="135">
        <f>(E69)</f>
        <v/>
      </c>
      <c r="BS69" s="135">
        <f>((BP69)-(BR69))</f>
        <v/>
      </c>
    </row>
    <row r="70">
      <c r="D70" s="149" t="inlineStr">
        <is>
          <t>Month 59</t>
        </is>
      </c>
      <c r="E70" s="139">
        <f>'P&amp;L Assumptions (Companion App)'!AB21</f>
        <v/>
      </c>
      <c r="F70" s="1968" t="n"/>
      <c r="G70" s="978" t="n"/>
      <c r="H70" s="978" t="n"/>
      <c r="I70" s="978" t="n"/>
      <c r="J70" s="978" t="n"/>
      <c r="K70" s="978" t="n"/>
      <c r="L70" s="978" t="n"/>
      <c r="M70" s="978" t="n"/>
      <c r="N70" s="978" t="n"/>
      <c r="O70" s="978" t="n"/>
      <c r="P70" s="978" t="n"/>
      <c r="Q70" s="978" t="n"/>
      <c r="R70" s="981" t="n"/>
      <c r="S70" s="978" t="n"/>
      <c r="T70" s="978" t="n"/>
      <c r="U70" s="978" t="n"/>
      <c r="V70" s="978" t="n"/>
      <c r="W70" s="978" t="n"/>
      <c r="X70" s="978" t="n"/>
      <c r="Y70" s="978" t="n"/>
      <c r="Z70" s="978" t="n"/>
      <c r="AA70" s="978" t="n"/>
      <c r="AB70" s="978" t="n"/>
      <c r="AC70" s="978" t="n"/>
      <c r="AD70" s="981" t="n"/>
      <c r="AE70" s="978" t="n"/>
      <c r="AF70" s="978" t="n"/>
      <c r="AG70" s="978" t="n"/>
      <c r="AH70" s="978" t="n"/>
      <c r="AI70" s="978" t="n"/>
      <c r="AJ70" s="978" t="n"/>
      <c r="AK70" s="978" t="n"/>
      <c r="AL70" s="978" t="n"/>
      <c r="AM70" s="978" t="n"/>
      <c r="AN70" s="978" t="n"/>
      <c r="AO70" s="978" t="n"/>
      <c r="AP70" s="981" t="n"/>
      <c r="AQ70" s="978" t="n"/>
      <c r="AR70" s="978" t="n"/>
      <c r="AS70" s="978" t="n"/>
      <c r="AT70" s="978" t="n"/>
      <c r="AU70" s="978" t="n"/>
      <c r="AV70" s="978" t="n"/>
      <c r="AW70" s="978" t="n"/>
      <c r="AX70" s="978" t="n"/>
      <c r="AY70" s="978" t="n"/>
      <c r="AZ70" s="978" t="n"/>
      <c r="BA70" s="978" t="n"/>
      <c r="BB70" s="981" t="n"/>
      <c r="BC70" s="978" t="n"/>
      <c r="BD70" s="978" t="n"/>
      <c r="BE70" s="978" t="n"/>
      <c r="BF70" s="978" t="n"/>
      <c r="BG70" s="978" t="n"/>
      <c r="BH70" s="978" t="n"/>
      <c r="BI70" s="978" t="n"/>
      <c r="BJ70" s="978" t="n"/>
      <c r="BK70" s="978" t="n"/>
      <c r="BL70" s="978" t="n"/>
      <c r="BM70" s="978" t="n"/>
      <c r="BN70" s="412">
        <f>(($E$70)*($E$3))</f>
        <v/>
      </c>
      <c r="BO70" s="932" t="n"/>
      <c r="BP70" s="135">
        <f>SUM(G70:BN70)</f>
        <v/>
      </c>
      <c r="BQ70" s="932" t="n"/>
      <c r="BR70" s="135">
        <f>(E70)</f>
        <v/>
      </c>
      <c r="BS70" s="135">
        <f>((BP70)-(BR70))</f>
        <v/>
      </c>
    </row>
    <row r="71">
      <c r="D71" s="149" t="inlineStr">
        <is>
          <t>Month 60</t>
        </is>
      </c>
      <c r="E71" s="139">
        <f>'P&amp;L Assumptions (Companion App)'!AD21</f>
        <v/>
      </c>
      <c r="F71" s="1968" t="n"/>
      <c r="G71" s="978" t="n"/>
      <c r="H71" s="978" t="n"/>
      <c r="I71" s="978" t="n"/>
      <c r="J71" s="978" t="n"/>
      <c r="K71" s="978" t="n"/>
      <c r="L71" s="978" t="n"/>
      <c r="M71" s="978" t="n"/>
      <c r="N71" s="978" t="n"/>
      <c r="O71" s="978" t="n"/>
      <c r="P71" s="978" t="n"/>
      <c r="Q71" s="978" t="n"/>
      <c r="R71" s="981" t="n"/>
      <c r="S71" s="978" t="n"/>
      <c r="T71" s="978" t="n"/>
      <c r="U71" s="978" t="n"/>
      <c r="V71" s="978" t="n"/>
      <c r="W71" s="978" t="n"/>
      <c r="X71" s="978" t="n"/>
      <c r="Y71" s="978" t="n"/>
      <c r="Z71" s="978" t="n"/>
      <c r="AA71" s="978" t="n"/>
      <c r="AB71" s="978" t="n"/>
      <c r="AC71" s="978" t="n"/>
      <c r="AD71" s="981" t="n"/>
      <c r="AE71" s="978" t="n"/>
      <c r="AF71" s="978" t="n"/>
      <c r="AG71" s="978" t="n"/>
      <c r="AH71" s="978" t="n"/>
      <c r="AI71" s="978" t="n"/>
      <c r="AJ71" s="978" t="n"/>
      <c r="AK71" s="978" t="n"/>
      <c r="AL71" s="978" t="n"/>
      <c r="AM71" s="978" t="n"/>
      <c r="AN71" s="978" t="n"/>
      <c r="AO71" s="978" t="n"/>
      <c r="AP71" s="981" t="n"/>
      <c r="AQ71" s="978" t="n"/>
      <c r="AR71" s="978" t="n"/>
      <c r="AS71" s="978" t="n"/>
      <c r="AT71" s="978" t="n"/>
      <c r="AU71" s="978" t="n"/>
      <c r="AV71" s="978" t="n"/>
      <c r="AW71" s="978" t="n"/>
      <c r="AX71" s="978" t="n"/>
      <c r="AY71" s="978" t="n"/>
      <c r="AZ71" s="978" t="n"/>
      <c r="BA71" s="978" t="n"/>
      <c r="BB71" s="981" t="n"/>
      <c r="BC71" s="978" t="n"/>
      <c r="BD71" s="978" t="n"/>
      <c r="BE71" s="978" t="n"/>
      <c r="BF71" s="978" t="n"/>
      <c r="BG71" s="978" t="n"/>
      <c r="BH71" s="978" t="n"/>
      <c r="BI71" s="978" t="n"/>
      <c r="BJ71" s="978" t="n"/>
      <c r="BK71" s="978" t="n"/>
      <c r="BL71" s="978" t="n"/>
      <c r="BM71" s="978" t="n"/>
      <c r="BN71" s="978" t="n"/>
      <c r="BO71" s="932" t="n"/>
      <c r="BP71" s="135">
        <f>SUM(G71:BN71)</f>
        <v/>
      </c>
      <c r="BQ71" s="932" t="n"/>
      <c r="BR71" s="135">
        <f>(E71)</f>
        <v/>
      </c>
      <c r="BS71" s="135">
        <f>((BP71)-(BR71))</f>
        <v/>
      </c>
    </row>
    <row r="72" ht="3" customHeight="1" s="1883">
      <c r="D72" s="626" t="n"/>
      <c r="E72" s="926" t="n"/>
      <c r="F72" s="626" t="n"/>
      <c r="G72" s="933" t="n"/>
      <c r="H72" s="933" t="n"/>
      <c r="I72" s="933" t="n"/>
      <c r="J72" s="933" t="n"/>
      <c r="K72" s="933" t="n"/>
      <c r="L72" s="933" t="n"/>
      <c r="M72" s="933" t="n"/>
      <c r="N72" s="933" t="n"/>
      <c r="O72" s="933" t="n"/>
      <c r="P72" s="933" t="n"/>
      <c r="Q72" s="933" t="n"/>
      <c r="R72" s="983" t="n"/>
      <c r="S72" s="933" t="n"/>
      <c r="T72" s="933" t="n"/>
      <c r="U72" s="933" t="n"/>
      <c r="V72" s="933" t="n"/>
      <c r="W72" s="933" t="n"/>
      <c r="X72" s="933" t="n"/>
      <c r="Y72" s="933" t="n"/>
      <c r="Z72" s="933" t="n"/>
      <c r="AA72" s="933" t="n"/>
      <c r="AB72" s="933" t="n"/>
      <c r="AC72" s="933" t="n"/>
      <c r="AD72" s="983" t="n"/>
      <c r="AE72" s="933" t="n"/>
      <c r="AF72" s="933" t="n"/>
      <c r="AG72" s="933" t="n"/>
      <c r="AH72" s="933" t="n"/>
      <c r="AI72" s="933" t="n"/>
      <c r="AJ72" s="933" t="n"/>
      <c r="AK72" s="933" t="n"/>
      <c r="AL72" s="933" t="n"/>
      <c r="AM72" s="933" t="n"/>
      <c r="AN72" s="933" t="n"/>
      <c r="AO72" s="933" t="n"/>
      <c r="AP72" s="983" t="n"/>
      <c r="AQ72" s="933" t="n"/>
      <c r="AR72" s="933" t="n"/>
      <c r="AS72" s="933" t="n"/>
      <c r="AT72" s="933" t="n"/>
      <c r="AU72" s="933" t="n"/>
      <c r="AV72" s="933" t="n"/>
      <c r="AW72" s="933" t="n"/>
      <c r="AX72" s="933" t="n"/>
      <c r="AY72" s="933" t="n"/>
      <c r="AZ72" s="933" t="n"/>
      <c r="BA72" s="933" t="n"/>
      <c r="BB72" s="983" t="n"/>
      <c r="BC72" s="933" t="n"/>
      <c r="BD72" s="933" t="n"/>
      <c r="BE72" s="933" t="n"/>
      <c r="BF72" s="933" t="n"/>
      <c r="BG72" s="933" t="n"/>
      <c r="BH72" s="933" t="n"/>
      <c r="BI72" s="933" t="n"/>
      <c r="BJ72" s="933" t="n"/>
      <c r="BK72" s="933" t="n"/>
      <c r="BL72" s="933" t="n"/>
      <c r="BM72" s="933" t="n"/>
      <c r="BN72" s="933" t="n"/>
      <c r="BO72" s="932" t="n"/>
      <c r="BP72" s="933" t="n"/>
      <c r="BQ72" s="932" t="n"/>
      <c r="BR72" s="933" t="n"/>
      <c r="BS72" s="933" t="n"/>
    </row>
    <row r="73" ht="3" customHeight="1" s="1883">
      <c r="D73" s="626" t="n"/>
      <c r="E73" s="117" t="n"/>
      <c r="F73" s="626" t="n"/>
      <c r="G73" s="932" t="n"/>
      <c r="H73" s="932" t="n"/>
      <c r="I73" s="932" t="n"/>
      <c r="J73" s="932" t="n"/>
      <c r="K73" s="932" t="n"/>
      <c r="L73" s="932" t="n"/>
      <c r="M73" s="932" t="n"/>
      <c r="N73" s="932" t="n"/>
      <c r="O73" s="932" t="n"/>
      <c r="P73" s="932" t="n"/>
      <c r="Q73" s="932" t="n"/>
      <c r="R73" s="985" t="n"/>
      <c r="S73" s="932" t="n"/>
      <c r="T73" s="932" t="n"/>
      <c r="U73" s="932" t="n"/>
      <c r="V73" s="932" t="n"/>
      <c r="W73" s="932" t="n"/>
      <c r="X73" s="932" t="n"/>
      <c r="Y73" s="932" t="n"/>
      <c r="Z73" s="932" t="n"/>
      <c r="AA73" s="932" t="n"/>
      <c r="AB73" s="932" t="n"/>
      <c r="AC73" s="932" t="n"/>
      <c r="AD73" s="985" t="n"/>
      <c r="AE73" s="932" t="n"/>
      <c r="AF73" s="932" t="n"/>
      <c r="AG73" s="932" t="n"/>
      <c r="AH73" s="932" t="n"/>
      <c r="AI73" s="932" t="n"/>
      <c r="AJ73" s="932" t="n"/>
      <c r="AK73" s="932" t="n"/>
      <c r="AL73" s="932" t="n"/>
      <c r="AM73" s="932" t="n"/>
      <c r="AN73" s="932" t="n"/>
      <c r="AO73" s="932" t="n"/>
      <c r="AP73" s="985" t="n"/>
      <c r="AQ73" s="932" t="n"/>
      <c r="AR73" s="932" t="n"/>
      <c r="AS73" s="932" t="n"/>
      <c r="AT73" s="932" t="n"/>
      <c r="AU73" s="932" t="n"/>
      <c r="AV73" s="932" t="n"/>
      <c r="AW73" s="932" t="n"/>
      <c r="AX73" s="932" t="n"/>
      <c r="AY73" s="932" t="n"/>
      <c r="AZ73" s="932" t="n"/>
      <c r="BA73" s="932" t="n"/>
      <c r="BB73" s="985" t="n"/>
      <c r="BC73" s="932" t="n"/>
      <c r="BD73" s="932" t="n"/>
      <c r="BE73" s="932" t="n"/>
      <c r="BF73" s="932" t="n"/>
      <c r="BG73" s="932" t="n"/>
      <c r="BH73" s="932" t="n"/>
      <c r="BI73" s="932" t="n"/>
      <c r="BJ73" s="932" t="n"/>
      <c r="BK73" s="932" t="n"/>
      <c r="BL73" s="932" t="n"/>
      <c r="BM73" s="932" t="n"/>
      <c r="BN73" s="932" t="n"/>
      <c r="BO73" s="932" t="n"/>
      <c r="BP73" s="932" t="n"/>
      <c r="BQ73" s="932" t="n"/>
      <c r="BR73" s="932" t="n"/>
      <c r="BS73" s="932" t="n"/>
    </row>
    <row r="74">
      <c r="D74" s="626" t="n"/>
      <c r="E74" s="138">
        <f>SUM(E12:E71)</f>
        <v/>
      </c>
      <c r="F74" s="626" t="n"/>
      <c r="G74" s="136">
        <f>SUM(G12:G71)</f>
        <v/>
      </c>
      <c r="H74" s="136">
        <f>SUM(H12:H71)</f>
        <v/>
      </c>
      <c r="I74" s="136">
        <f>SUM(I12:I71)</f>
        <v/>
      </c>
      <c r="J74" s="136">
        <f>SUM(J12:J71)</f>
        <v/>
      </c>
      <c r="K74" s="136">
        <f>SUM(K12:K71)</f>
        <v/>
      </c>
      <c r="L74" s="136">
        <f>SUM(L12:L71)</f>
        <v/>
      </c>
      <c r="M74" s="136">
        <f>SUM(M12:M71)</f>
        <v/>
      </c>
      <c r="N74" s="136">
        <f>SUM(N12:N71)</f>
        <v/>
      </c>
      <c r="O74" s="136">
        <f>SUM(O12:O71)</f>
        <v/>
      </c>
      <c r="P74" s="136">
        <f>SUM(P12:P71)</f>
        <v/>
      </c>
      <c r="Q74" s="136">
        <f>SUM(Q12:Q71)</f>
        <v/>
      </c>
      <c r="R74" s="987">
        <f>SUM(R12:R71)</f>
        <v/>
      </c>
      <c r="S74" s="136">
        <f>SUM(S12:S71)</f>
        <v/>
      </c>
      <c r="T74" s="136">
        <f>SUM(T12:T71)</f>
        <v/>
      </c>
      <c r="U74" s="136">
        <f>SUM(U12:U71)</f>
        <v/>
      </c>
      <c r="V74" s="136">
        <f>SUM(V12:V71)</f>
        <v/>
      </c>
      <c r="W74" s="136">
        <f>SUM(W12:W71)</f>
        <v/>
      </c>
      <c r="X74" s="136">
        <f>SUM(X12:X71)</f>
        <v/>
      </c>
      <c r="Y74" s="136">
        <f>SUM(Y12:Y71)</f>
        <v/>
      </c>
      <c r="Z74" s="136">
        <f>SUM(Z12:Z71)</f>
        <v/>
      </c>
      <c r="AA74" s="136">
        <f>SUM(AA12:AA71)</f>
        <v/>
      </c>
      <c r="AB74" s="136">
        <f>SUM(AB12:AB71)</f>
        <v/>
      </c>
      <c r="AC74" s="136">
        <f>SUM(AC12:AC71)</f>
        <v/>
      </c>
      <c r="AD74" s="987">
        <f>SUM(AD12:AD71)</f>
        <v/>
      </c>
      <c r="AE74" s="136">
        <f>SUM(AE12:AE71)</f>
        <v/>
      </c>
      <c r="AF74" s="136">
        <f>SUM(AF12:AF71)</f>
        <v/>
      </c>
      <c r="AG74" s="136">
        <f>SUM(AG12:AG71)</f>
        <v/>
      </c>
      <c r="AH74" s="136">
        <f>SUM(AH12:AH71)</f>
        <v/>
      </c>
      <c r="AI74" s="136">
        <f>SUM(AI12:AI71)</f>
        <v/>
      </c>
      <c r="AJ74" s="136">
        <f>SUM(AJ12:AJ71)</f>
        <v/>
      </c>
      <c r="AK74" s="136">
        <f>SUM(AK12:AK71)</f>
        <v/>
      </c>
      <c r="AL74" s="136">
        <f>SUM(AL12:AL71)</f>
        <v/>
      </c>
      <c r="AM74" s="136">
        <f>SUM(AM12:AM71)</f>
        <v/>
      </c>
      <c r="AN74" s="136">
        <f>SUM(AN12:AN71)</f>
        <v/>
      </c>
      <c r="AO74" s="136">
        <f>SUM(AO12:AO71)</f>
        <v/>
      </c>
      <c r="AP74" s="987">
        <f>SUM(AP12:AP71)</f>
        <v/>
      </c>
      <c r="AQ74" s="136">
        <f>SUM(AQ12:AQ71)</f>
        <v/>
      </c>
      <c r="AR74" s="136">
        <f>SUM(AR12:AR71)</f>
        <v/>
      </c>
      <c r="AS74" s="136">
        <f>SUM(AS12:AS71)</f>
        <v/>
      </c>
      <c r="AT74" s="136">
        <f>SUM(AT12:AT71)</f>
        <v/>
      </c>
      <c r="AU74" s="136">
        <f>SUM(AU12:AU71)</f>
        <v/>
      </c>
      <c r="AV74" s="136">
        <f>SUM(AV12:AV71)</f>
        <v/>
      </c>
      <c r="AW74" s="136">
        <f>SUM(AW12:AW71)</f>
        <v/>
      </c>
      <c r="AX74" s="136">
        <f>SUM(AX12:AX71)</f>
        <v/>
      </c>
      <c r="AY74" s="136">
        <f>SUM(AY12:AY71)</f>
        <v/>
      </c>
      <c r="AZ74" s="136">
        <f>SUM(AZ12:AZ71)</f>
        <v/>
      </c>
      <c r="BA74" s="136">
        <f>SUM(BA12:BA71)</f>
        <v/>
      </c>
      <c r="BB74" s="987">
        <f>SUM(BB12:BB71)</f>
        <v/>
      </c>
      <c r="BC74" s="136">
        <f>SUM(BC12:BC71)</f>
        <v/>
      </c>
      <c r="BD74" s="136">
        <f>SUM(BD12:BD71)</f>
        <v/>
      </c>
      <c r="BE74" s="136">
        <f>SUM(BE12:BE71)</f>
        <v/>
      </c>
      <c r="BF74" s="136">
        <f>SUM(BF12:BF71)</f>
        <v/>
      </c>
      <c r="BG74" s="136">
        <f>SUM(BG12:BG71)</f>
        <v/>
      </c>
      <c r="BH74" s="136">
        <f>SUM(BH12:BH71)</f>
        <v/>
      </c>
      <c r="BI74" s="136">
        <f>SUM(BI12:BI71)</f>
        <v/>
      </c>
      <c r="BJ74" s="136">
        <f>SUM(BJ12:BJ71)</f>
        <v/>
      </c>
      <c r="BK74" s="136">
        <f>SUM(BK12:BK71)</f>
        <v/>
      </c>
      <c r="BL74" s="136">
        <f>SUM(BL12:BL71)</f>
        <v/>
      </c>
      <c r="BM74" s="136">
        <f>SUM(BM12:BM71)</f>
        <v/>
      </c>
      <c r="BN74" s="136">
        <f>SUM(BN12:BN71)</f>
        <v/>
      </c>
      <c r="BO74" s="932" t="n"/>
      <c r="BP74" s="136">
        <f>SUM(BP12:BP71)</f>
        <v/>
      </c>
      <c r="BQ74" s="932" t="n"/>
      <c r="BR74" s="932" t="n"/>
      <c r="BS74" s="932" t="n"/>
    </row>
    <row r="75" ht="3" customHeight="1" s="1883">
      <c r="D75" s="626" t="n"/>
      <c r="E75" s="988" t="n"/>
      <c r="F75" s="626" t="n"/>
      <c r="G75" s="989" t="n"/>
      <c r="H75" s="989" t="n"/>
      <c r="I75" s="989" t="n"/>
      <c r="J75" s="989" t="n"/>
      <c r="K75" s="989" t="n"/>
      <c r="L75" s="989" t="n"/>
      <c r="M75" s="989" t="n"/>
      <c r="N75" s="989" t="n"/>
      <c r="O75" s="989" t="n"/>
      <c r="P75" s="989" t="n"/>
      <c r="Q75" s="989" t="n"/>
      <c r="R75" s="990" t="n"/>
      <c r="S75" s="989" t="n"/>
      <c r="T75" s="989" t="n"/>
      <c r="U75" s="989" t="n"/>
      <c r="V75" s="989" t="n"/>
      <c r="W75" s="989" t="n"/>
      <c r="X75" s="989" t="n"/>
      <c r="Y75" s="989" t="n"/>
      <c r="Z75" s="989" t="n"/>
      <c r="AA75" s="989" t="n"/>
      <c r="AB75" s="989" t="n"/>
      <c r="AC75" s="989" t="n"/>
      <c r="AD75" s="990" t="n"/>
      <c r="AE75" s="989" t="n"/>
      <c r="AF75" s="989" t="n"/>
      <c r="AG75" s="989" t="n"/>
      <c r="AH75" s="989" t="n"/>
      <c r="AI75" s="989" t="n"/>
      <c r="AJ75" s="989" t="n"/>
      <c r="AK75" s="989" t="n"/>
      <c r="AL75" s="989" t="n"/>
      <c r="AM75" s="989" t="n"/>
      <c r="AN75" s="989" t="n"/>
      <c r="AO75" s="989" t="n"/>
      <c r="AP75" s="990" t="n"/>
      <c r="AQ75" s="989" t="n"/>
      <c r="AR75" s="989" t="n"/>
      <c r="AS75" s="989" t="n"/>
      <c r="AT75" s="989" t="n"/>
      <c r="AU75" s="989" t="n"/>
      <c r="AV75" s="989" t="n"/>
      <c r="AW75" s="989" t="n"/>
      <c r="AX75" s="989" t="n"/>
      <c r="AY75" s="989" t="n"/>
      <c r="AZ75" s="989" t="n"/>
      <c r="BA75" s="989" t="n"/>
      <c r="BB75" s="990" t="n"/>
      <c r="BC75" s="989" t="n"/>
      <c r="BD75" s="989" t="n"/>
      <c r="BE75" s="989" t="n"/>
      <c r="BF75" s="989" t="n"/>
      <c r="BG75" s="989" t="n"/>
      <c r="BH75" s="989" t="n"/>
      <c r="BI75" s="989" t="n"/>
      <c r="BJ75" s="989" t="n"/>
      <c r="BK75" s="989" t="n"/>
      <c r="BL75" s="989" t="n"/>
      <c r="BM75" s="989" t="n"/>
      <c r="BN75" s="989" t="n"/>
      <c r="BO75" s="932" t="n"/>
      <c r="BP75" s="989" t="n"/>
      <c r="BQ75" s="932" t="n"/>
      <c r="BR75" s="932" t="n"/>
      <c r="BS75" s="932" t="n"/>
    </row>
    <row r="76" ht="13" customHeight="1" s="1883">
      <c r="D76" s="626" t="n"/>
      <c r="E76" s="626" t="n"/>
      <c r="F76" s="626" t="n"/>
      <c r="G76" s="932" t="n"/>
      <c r="H76" s="932" t="n"/>
      <c r="I76" s="932" t="n"/>
      <c r="J76" s="932" t="n"/>
      <c r="K76" s="932" t="n"/>
      <c r="L76" s="932" t="n"/>
      <c r="M76" s="932" t="n"/>
      <c r="N76" s="932" t="n"/>
      <c r="O76" s="932" t="n"/>
      <c r="P76" s="932" t="n"/>
      <c r="Q76" s="932" t="n"/>
      <c r="R76" s="985" t="n"/>
      <c r="S76" s="932" t="n"/>
      <c r="T76" s="932" t="n"/>
      <c r="U76" s="932" t="n"/>
      <c r="V76" s="932" t="n"/>
      <c r="W76" s="932" t="n"/>
      <c r="X76" s="932" t="n"/>
      <c r="Y76" s="932" t="n"/>
      <c r="Z76" s="932" t="n"/>
      <c r="AA76" s="932" t="n"/>
      <c r="AB76" s="932" t="n"/>
      <c r="AC76" s="932" t="n"/>
      <c r="AD76" s="985" t="n"/>
      <c r="AE76" s="932" t="n"/>
      <c r="AF76" s="932" t="n"/>
      <c r="AG76" s="932" t="n"/>
      <c r="AH76" s="932" t="n"/>
      <c r="AI76" s="932" t="n"/>
      <c r="AJ76" s="932" t="n"/>
      <c r="AK76" s="932" t="n"/>
      <c r="AL76" s="932" t="n"/>
      <c r="AM76" s="932" t="n"/>
      <c r="AN76" s="932" t="n"/>
      <c r="AO76" s="932" t="n"/>
      <c r="AP76" s="985" t="n"/>
      <c r="AQ76" s="932" t="n"/>
      <c r="AR76" s="932" t="n"/>
      <c r="AS76" s="932" t="n"/>
      <c r="AT76" s="932" t="n"/>
      <c r="AU76" s="932" t="n"/>
      <c r="AV76" s="932" t="n"/>
      <c r="AW76" s="932" t="n"/>
      <c r="AX76" s="932" t="n"/>
      <c r="AY76" s="932" t="n"/>
      <c r="AZ76" s="932" t="n"/>
      <c r="BA76" s="932" t="n"/>
      <c r="BB76" s="985" t="n"/>
      <c r="BC76" s="932" t="n"/>
      <c r="BD76" s="932" t="n"/>
      <c r="BE76" s="932" t="n"/>
      <c r="BF76" s="932" t="n"/>
      <c r="BG76" s="932" t="n"/>
      <c r="BH76" s="932" t="n"/>
      <c r="BI76" s="932" t="n"/>
      <c r="BJ76" s="932" t="n"/>
      <c r="BK76" s="932" t="n"/>
      <c r="BL76" s="932" t="n"/>
      <c r="BM76" s="932" t="n"/>
      <c r="BN76" s="932" t="n"/>
      <c r="BO76" s="932" t="n"/>
      <c r="BP76" s="932" t="n"/>
      <c r="BQ76" s="932" t="n"/>
      <c r="BR76" s="932" t="n"/>
      <c r="BS76" s="932" t="n"/>
    </row>
    <row r="77">
      <c r="D77" s="626" t="n"/>
      <c r="E77" s="626" t="n"/>
      <c r="F77" s="626" t="n"/>
      <c r="G77" s="932" t="n"/>
      <c r="H77" s="932" t="n"/>
      <c r="I77" s="932" t="n"/>
      <c r="J77" s="932" t="n"/>
      <c r="K77" s="932" t="n"/>
      <c r="L77" s="932" t="n"/>
      <c r="M77" s="932" t="n"/>
      <c r="N77" s="932" t="n"/>
      <c r="O77" s="932" t="n"/>
      <c r="P77" s="932" t="n"/>
      <c r="Q77" s="138" t="inlineStr">
        <is>
          <t xml:space="preserve">Ʃ, Months 1 - 12 </t>
        </is>
      </c>
      <c r="R77" s="987">
        <f>SUM(G74:R74)</f>
        <v/>
      </c>
      <c r="S77" s="932" t="n"/>
      <c r="T77" s="932" t="n"/>
      <c r="U77" s="932" t="n"/>
      <c r="V77" s="932" t="n"/>
      <c r="W77" s="932" t="n"/>
      <c r="X77" s="932" t="n"/>
      <c r="Y77" s="932" t="n"/>
      <c r="Z77" s="932" t="n"/>
      <c r="AA77" s="932" t="n"/>
      <c r="AB77" s="932" t="n"/>
      <c r="AC77" s="138" t="inlineStr">
        <is>
          <t>Ʃ, Months 13 - 24</t>
        </is>
      </c>
      <c r="AD77" s="987">
        <f>SUM(S74:AD74)</f>
        <v/>
      </c>
      <c r="AE77" s="932" t="n"/>
      <c r="AF77" s="932" t="n"/>
      <c r="AG77" s="932" t="n"/>
      <c r="AH77" s="932" t="n"/>
      <c r="AI77" s="932" t="n"/>
      <c r="AJ77" s="932" t="n"/>
      <c r="AK77" s="932" t="n"/>
      <c r="AL77" s="932" t="n"/>
      <c r="AM77" s="932" t="n"/>
      <c r="AN77" s="932" t="n"/>
      <c r="AO77" s="138" t="inlineStr">
        <is>
          <t>Ʃ, Months 25 - 36</t>
        </is>
      </c>
      <c r="AP77" s="987">
        <f>SUM(AE74:AP74)</f>
        <v/>
      </c>
      <c r="AQ77" s="932" t="n"/>
      <c r="AR77" s="932" t="n"/>
      <c r="AS77" s="932" t="n"/>
      <c r="AT77" s="932" t="n"/>
      <c r="AU77" s="932" t="n"/>
      <c r="AV77" s="932" t="n"/>
      <c r="AW77" s="932" t="n"/>
      <c r="AX77" s="932" t="n"/>
      <c r="AY77" s="932" t="n"/>
      <c r="AZ77" s="932" t="n"/>
      <c r="BA77" s="138" t="inlineStr">
        <is>
          <t>Ʃ, Months 37 - 48</t>
        </is>
      </c>
      <c r="BB77" s="987">
        <f>SUM(AQ74:BB74)</f>
        <v/>
      </c>
      <c r="BC77" s="932" t="n"/>
      <c r="BD77" s="932" t="n"/>
      <c r="BE77" s="932" t="n"/>
      <c r="BF77" s="932" t="n"/>
      <c r="BG77" s="932" t="n"/>
      <c r="BH77" s="932" t="n"/>
      <c r="BI77" s="932" t="n"/>
      <c r="BJ77" s="932" t="n"/>
      <c r="BK77" s="932" t="n"/>
      <c r="BL77" s="932" t="n"/>
      <c r="BM77" s="138" t="inlineStr">
        <is>
          <t>Ʃ, Months 49 - 60</t>
        </is>
      </c>
      <c r="BN77" s="136">
        <f>SUM(BC74:BN74)</f>
        <v/>
      </c>
      <c r="BO77" s="932" t="n"/>
      <c r="BP77" s="136">
        <f>((R77)+(AD77)+(AP77)+(BB77)+(BN77))</f>
        <v/>
      </c>
      <c r="BQ77" s="932" t="n"/>
      <c r="BR77" s="932" t="n"/>
      <c r="BS77" s="932" t="n"/>
    </row>
    <row r="78" ht="13" customHeight="1" s="1883">
      <c r="D78" s="626" t="n"/>
      <c r="E78" s="626" t="n"/>
      <c r="F78" s="626" t="n"/>
      <c r="G78" s="932" t="n"/>
      <c r="H78" s="932" t="n"/>
      <c r="I78" s="932" t="n"/>
      <c r="J78" s="932" t="n"/>
      <c r="K78" s="932" t="n"/>
      <c r="L78" s="932" t="n"/>
      <c r="M78" s="932" t="n"/>
      <c r="N78" s="932" t="n"/>
      <c r="O78" s="932" t="n"/>
      <c r="P78" s="932" t="n"/>
      <c r="Q78" s="932" t="n"/>
      <c r="R78" s="985" t="n"/>
      <c r="S78" s="932" t="n"/>
      <c r="T78" s="932" t="n"/>
      <c r="U78" s="932" t="n"/>
      <c r="V78" s="932" t="n"/>
      <c r="W78" s="932" t="n"/>
      <c r="X78" s="932" t="n"/>
      <c r="Y78" s="932" t="n"/>
      <c r="Z78" s="932" t="n"/>
      <c r="AA78" s="932" t="n"/>
      <c r="AB78" s="932" t="n"/>
      <c r="AC78" s="932" t="n"/>
      <c r="AD78" s="985" t="n"/>
      <c r="AE78" s="932" t="n"/>
      <c r="AF78" s="932" t="n"/>
      <c r="AG78" s="932" t="n"/>
      <c r="AH78" s="932" t="n"/>
      <c r="AI78" s="932" t="n"/>
      <c r="AJ78" s="932" t="n"/>
      <c r="AK78" s="932" t="n"/>
      <c r="AL78" s="932" t="n"/>
      <c r="AM78" s="932" t="n"/>
      <c r="AN78" s="932" t="n"/>
      <c r="AO78" s="932" t="n"/>
      <c r="AP78" s="985" t="n"/>
      <c r="AQ78" s="932" t="n"/>
      <c r="AR78" s="932" t="n"/>
      <c r="AS78" s="932" t="n"/>
      <c r="AT78" s="932" t="n"/>
      <c r="AU78" s="932" t="n"/>
      <c r="AV78" s="932" t="n"/>
      <c r="AW78" s="932" t="n"/>
      <c r="AX78" s="932" t="n"/>
      <c r="AY78" s="932" t="n"/>
      <c r="AZ78" s="932" t="n"/>
      <c r="BA78" s="932" t="n"/>
      <c r="BB78" s="985" t="n"/>
      <c r="BC78" s="932" t="n"/>
      <c r="BD78" s="932" t="n"/>
      <c r="BE78" s="932" t="n"/>
      <c r="BF78" s="932" t="n"/>
      <c r="BG78" s="932" t="n"/>
      <c r="BH78" s="932" t="n"/>
      <c r="BI78" s="932" t="n"/>
      <c r="BJ78" s="932" t="n"/>
      <c r="BK78" s="932" t="n"/>
      <c r="BL78" s="932" t="n"/>
      <c r="BM78" s="932" t="n"/>
      <c r="BN78" s="932" t="n"/>
      <c r="BO78" s="932" t="n"/>
      <c r="BP78" s="932" t="n"/>
      <c r="BQ78" s="932" t="n"/>
      <c r="BR78" s="932" t="n"/>
      <c r="BS78" s="932" t="n"/>
    </row>
    <row r="79">
      <c r="D79" s="626" t="n"/>
      <c r="E79" s="626" t="n"/>
      <c r="F79" s="626" t="n"/>
      <c r="G79" s="117" t="inlineStr">
        <is>
          <t>Month 1</t>
        </is>
      </c>
      <c r="H79" s="117" t="inlineStr">
        <is>
          <t>Month 2</t>
        </is>
      </c>
      <c r="I79" s="117" t="inlineStr">
        <is>
          <t>Month 3</t>
        </is>
      </c>
      <c r="J79" s="117" t="inlineStr">
        <is>
          <t>Month 4</t>
        </is>
      </c>
      <c r="K79" s="117" t="inlineStr">
        <is>
          <t>Month 5</t>
        </is>
      </c>
      <c r="L79" s="117" t="inlineStr">
        <is>
          <t>Month 6</t>
        </is>
      </c>
      <c r="M79" s="117" t="inlineStr">
        <is>
          <t>Month 7</t>
        </is>
      </c>
      <c r="N79" s="117" t="inlineStr">
        <is>
          <t>Month 8</t>
        </is>
      </c>
      <c r="O79" s="117" t="inlineStr">
        <is>
          <t>Month 9</t>
        </is>
      </c>
      <c r="P79" s="117" t="inlineStr">
        <is>
          <t>Month 10</t>
        </is>
      </c>
      <c r="Q79" s="117" t="inlineStr">
        <is>
          <t>Month 11</t>
        </is>
      </c>
      <c r="R79" s="966" t="inlineStr">
        <is>
          <t>Month 12</t>
        </is>
      </c>
      <c r="S79" s="117" t="inlineStr">
        <is>
          <t>Month 13</t>
        </is>
      </c>
      <c r="T79" s="117" t="inlineStr">
        <is>
          <t>Month 14</t>
        </is>
      </c>
      <c r="U79" s="117" t="inlineStr">
        <is>
          <t>Month 15</t>
        </is>
      </c>
      <c r="V79" s="117" t="inlineStr">
        <is>
          <t>Month 16</t>
        </is>
      </c>
      <c r="W79" s="117" t="inlineStr">
        <is>
          <t>Month 17</t>
        </is>
      </c>
      <c r="X79" s="117" t="inlineStr">
        <is>
          <t>Month 18</t>
        </is>
      </c>
      <c r="Y79" s="117" t="inlineStr">
        <is>
          <t>Month 19</t>
        </is>
      </c>
      <c r="Z79" s="117" t="inlineStr">
        <is>
          <t>Month 20</t>
        </is>
      </c>
      <c r="AA79" s="117" t="inlineStr">
        <is>
          <t>Month 21</t>
        </is>
      </c>
      <c r="AB79" s="117" t="inlineStr">
        <is>
          <t>Month 22</t>
        </is>
      </c>
      <c r="AC79" s="117" t="inlineStr">
        <is>
          <t>Month 23</t>
        </is>
      </c>
      <c r="AD79" s="966" t="inlineStr">
        <is>
          <t>Month 24</t>
        </is>
      </c>
      <c r="AE79" s="117" t="inlineStr">
        <is>
          <t>Month 25</t>
        </is>
      </c>
      <c r="AF79" s="117" t="inlineStr">
        <is>
          <t>Month 26</t>
        </is>
      </c>
      <c r="AG79" s="117" t="inlineStr">
        <is>
          <t>Month 27</t>
        </is>
      </c>
      <c r="AH79" s="117" t="inlineStr">
        <is>
          <t>Month 28</t>
        </is>
      </c>
      <c r="AI79" s="117" t="inlineStr">
        <is>
          <t>Month 29</t>
        </is>
      </c>
      <c r="AJ79" s="117" t="inlineStr">
        <is>
          <t>Month 30</t>
        </is>
      </c>
      <c r="AK79" s="117" t="inlineStr">
        <is>
          <t>Month 31</t>
        </is>
      </c>
      <c r="AL79" s="117" t="inlineStr">
        <is>
          <t>Month 32</t>
        </is>
      </c>
      <c r="AM79" s="117" t="inlineStr">
        <is>
          <t>Month 33</t>
        </is>
      </c>
      <c r="AN79" s="117" t="inlineStr">
        <is>
          <t>Month 34</t>
        </is>
      </c>
      <c r="AO79" s="117" t="inlineStr">
        <is>
          <t>Month 35</t>
        </is>
      </c>
      <c r="AP79" s="966" t="inlineStr">
        <is>
          <t>Month 36</t>
        </is>
      </c>
      <c r="AQ79" s="117" t="inlineStr">
        <is>
          <t>Month 37</t>
        </is>
      </c>
      <c r="AR79" s="117" t="inlineStr">
        <is>
          <t>Month 38</t>
        </is>
      </c>
      <c r="AS79" s="117" t="inlineStr">
        <is>
          <t>Month 39</t>
        </is>
      </c>
      <c r="AT79" s="117" t="inlineStr">
        <is>
          <t>Month 40</t>
        </is>
      </c>
      <c r="AU79" s="117" t="inlineStr">
        <is>
          <t>Month 41</t>
        </is>
      </c>
      <c r="AV79" s="117" t="inlineStr">
        <is>
          <t>Month 42</t>
        </is>
      </c>
      <c r="AW79" s="117" t="inlineStr">
        <is>
          <t>Month 43</t>
        </is>
      </c>
      <c r="AX79" s="117" t="inlineStr">
        <is>
          <t>Month 44</t>
        </is>
      </c>
      <c r="AY79" s="117" t="inlineStr">
        <is>
          <t>Month 45</t>
        </is>
      </c>
      <c r="AZ79" s="117" t="inlineStr">
        <is>
          <t>Month 46</t>
        </is>
      </c>
      <c r="BA79" s="117" t="inlineStr">
        <is>
          <t>Month 47</t>
        </is>
      </c>
      <c r="BB79" s="966" t="inlineStr">
        <is>
          <t>Month 48</t>
        </is>
      </c>
      <c r="BC79" s="117" t="inlineStr">
        <is>
          <t>Month 49</t>
        </is>
      </c>
      <c r="BD79" s="117" t="inlineStr">
        <is>
          <t>Month 50</t>
        </is>
      </c>
      <c r="BE79" s="117" t="inlineStr">
        <is>
          <t>Month 51</t>
        </is>
      </c>
      <c r="BF79" s="117" t="inlineStr">
        <is>
          <t>Month 52</t>
        </is>
      </c>
      <c r="BG79" s="117" t="inlineStr">
        <is>
          <t>Month 53</t>
        </is>
      </c>
      <c r="BH79" s="117" t="inlineStr">
        <is>
          <t>Month 54</t>
        </is>
      </c>
      <c r="BI79" s="117" t="inlineStr">
        <is>
          <t>Month 55</t>
        </is>
      </c>
      <c r="BJ79" s="117" t="inlineStr">
        <is>
          <t>Month 56</t>
        </is>
      </c>
      <c r="BK79" s="117" t="inlineStr">
        <is>
          <t>Month 57</t>
        </is>
      </c>
      <c r="BL79" s="117" t="inlineStr">
        <is>
          <t>Month 58</t>
        </is>
      </c>
      <c r="BM79" s="117" t="inlineStr">
        <is>
          <t>Month 59</t>
        </is>
      </c>
      <c r="BN79" s="117" t="inlineStr">
        <is>
          <t>Month 60</t>
        </is>
      </c>
      <c r="BO79" s="626" t="n"/>
      <c r="BP79" s="117" t="inlineStr">
        <is>
          <t>Ʃ, Months 2 - 60</t>
        </is>
      </c>
      <c r="BQ79" s="932" t="n"/>
      <c r="BR79" s="932" t="n"/>
      <c r="BS79" s="932" t="n"/>
    </row>
  </sheetData>
  <mergeCells count="2">
    <mergeCell ref="G6:BP6"/>
    <mergeCell ref="BR6:BS6"/>
  </mergeCells>
  <printOptions horizontalCentered="1" gridLines="1"/>
  <pageMargins left="0.7" right="0.7" top="0.75" bottom="0.75" header="0" footer="0"/>
  <pageSetup orientation="landscape" fitToHeight="0" pageOrder="overThenDown" cellComments="atEnd"/>
</worksheet>
</file>

<file path=xl/worksheets/sheet34.xml><?xml version="1.0" encoding="utf-8"?>
<worksheet xmlns="http://schemas.openxmlformats.org/spreadsheetml/2006/main">
  <sheetPr>
    <tabColor theme="5"/>
    <outlinePr summaryBelow="0" summaryRight="0"/>
    <pageSetUpPr fitToPage="1"/>
  </sheetPr>
  <dimension ref="B1:AF288"/>
  <sheetViews>
    <sheetView workbookViewId="0">
      <selection activeCell="Q67" sqref="Q67"/>
    </sheetView>
  </sheetViews>
  <sheetFormatPr baseColWidth="10" defaultColWidth="17.33203125" defaultRowHeight="15" customHeight="1"/>
  <cols>
    <col width="2.6640625" customWidth="1" style="1883" min="1" max="1"/>
    <col width="4.6640625" customWidth="1" style="1883" min="2" max="2"/>
    <col width="0.6640625" customWidth="1" style="1883" min="3" max="3"/>
    <col width="21.1640625" customWidth="1" style="1883" min="4" max="4"/>
    <col width="0.6640625" customWidth="1" style="1883" min="5" max="5"/>
    <col width="18.6640625" customWidth="1" style="1883" min="6" max="6"/>
    <col width="1.6640625" customWidth="1" style="1883" min="7" max="7"/>
    <col width="15.6640625" customWidth="1" style="1883" min="8" max="8"/>
    <col width="0.6640625" customWidth="1" style="1883" min="9" max="9"/>
    <col width="15.6640625" customWidth="1" style="1883" min="10" max="10"/>
    <col width="0.6640625" customWidth="1" style="1883" min="11" max="11"/>
    <col width="15.6640625" customWidth="1" style="1883" min="12" max="12"/>
    <col width="0.6640625" customWidth="1" style="1883" min="13" max="13"/>
    <col width="15.6640625" customWidth="1" style="1883" min="14" max="14"/>
    <col width="0.6640625" customWidth="1" style="1883" min="15" max="15"/>
    <col width="15.6640625" customWidth="1" style="1883" min="16" max="16"/>
    <col width="0.6640625" customWidth="1" style="1883" min="17" max="17"/>
    <col width="15.6640625" customWidth="1" style="1883" min="18" max="18"/>
    <col width="0.6640625" customWidth="1" style="1883" min="19" max="19"/>
    <col width="15.6640625" customWidth="1" style="1883" min="20" max="20"/>
    <col width="0.6640625" customWidth="1" style="1883" min="21" max="21"/>
    <col width="15.6640625" customWidth="1" style="1883" min="22" max="22"/>
    <col width="0.6640625" customWidth="1" style="1883" min="23" max="23"/>
    <col width="15.6640625" customWidth="1" style="1883" min="24" max="24"/>
    <col width="0.6640625" customWidth="1" style="1883" min="25" max="25"/>
    <col width="15.6640625" customWidth="1" style="1883" min="26" max="26"/>
    <col width="0.6640625" customWidth="1" style="1883" min="27" max="27"/>
    <col width="15.6640625" customWidth="1" style="1883" min="28" max="28"/>
    <col width="0.6640625" customWidth="1" style="1883" min="29" max="29"/>
    <col width="15.5" customWidth="1" style="1883" min="30" max="30"/>
    <col width="1" customWidth="1" style="1883" min="31" max="31"/>
    <col width="15.6640625" customWidth="1" style="1883" min="32" max="32"/>
    <col width="2.6640625" customWidth="1" style="1883" min="33" max="33"/>
    <col width="15.6640625" customWidth="1" style="1883" min="34" max="42"/>
  </cols>
  <sheetData>
    <row r="1" ht="13" customHeight="1" s="1883">
      <c r="B1" s="626" t="n"/>
      <c r="C1" s="626" t="n"/>
      <c r="D1" s="1272" t="inlineStr">
        <is>
          <t>Computer App P&amp;L Assumptions</t>
        </is>
      </c>
      <c r="E1" s="626" t="n"/>
      <c r="F1" s="626" t="n"/>
      <c r="G1" s="626" t="n"/>
      <c r="H1" s="626" t="n"/>
      <c r="I1" s="626" t="n"/>
      <c r="J1" s="626" t="n"/>
      <c r="K1" s="626" t="n"/>
      <c r="L1" s="626" t="n"/>
      <c r="M1" s="626" t="n"/>
      <c r="N1" s="626" t="n"/>
      <c r="O1" s="626" t="n"/>
      <c r="P1" s="626" t="n"/>
      <c r="Q1" s="626" t="n"/>
      <c r="R1" s="626" t="n"/>
      <c r="S1" s="626" t="n"/>
      <c r="T1" s="626" t="n"/>
      <c r="U1" s="626" t="n"/>
      <c r="V1" s="626" t="n"/>
      <c r="W1" s="626" t="n"/>
      <c r="X1" s="626" t="n"/>
      <c r="Y1" s="626" t="n"/>
      <c r="Z1" s="626" t="n"/>
      <c r="AA1" s="626" t="n"/>
      <c r="AB1" s="626" t="n"/>
      <c r="AC1" s="626" t="n"/>
      <c r="AD1" s="626" t="n"/>
      <c r="AE1" s="626" t="n"/>
      <c r="AF1" s="626" t="n"/>
    </row>
    <row r="2" ht="13" customHeight="1" s="1883">
      <c r="B2" s="626" t="n"/>
      <c r="C2" s="626" t="n"/>
      <c r="D2" s="626" t="n"/>
      <c r="E2" s="626" t="n"/>
      <c r="F2" s="626" t="n"/>
      <c r="G2" s="626" t="n"/>
      <c r="H2" s="626" t="n"/>
      <c r="I2" s="626" t="n"/>
      <c r="J2" s="626" t="n"/>
      <c r="K2" s="626" t="n"/>
      <c r="L2" s="626" t="n"/>
      <c r="M2" s="626" t="n"/>
      <c r="N2" s="626" t="n"/>
      <c r="O2" s="626" t="n"/>
      <c r="P2" s="626" t="n"/>
      <c r="Q2" s="626" t="n"/>
      <c r="R2" s="626" t="n"/>
      <c r="S2" s="626" t="n"/>
      <c r="T2" s="626" t="n"/>
      <c r="U2" s="626" t="n"/>
      <c r="V2" s="626" t="n"/>
      <c r="W2" s="626" t="n"/>
      <c r="X2" s="626" t="n"/>
      <c r="Y2" s="626" t="n"/>
      <c r="Z2" s="626" t="n"/>
      <c r="AA2" s="626" t="n"/>
      <c r="AB2" s="626" t="n"/>
      <c r="AC2" s="626" t="n"/>
      <c r="AD2" s="626" t="n"/>
      <c r="AE2" s="626" t="n"/>
      <c r="AF2" s="626" t="n"/>
    </row>
    <row r="3" ht="13" customHeight="1" s="1883">
      <c r="B3" s="626" t="n"/>
      <c r="C3" s="626" t="n"/>
      <c r="D3" s="626" t="n"/>
      <c r="E3" s="626" t="n"/>
      <c r="F3" s="626" t="n"/>
      <c r="G3" s="626" t="n"/>
      <c r="H3" s="626" t="n"/>
      <c r="I3" s="626" t="n"/>
      <c r="J3" s="626" t="n"/>
      <c r="K3" s="626" t="n"/>
      <c r="L3" s="626" t="n"/>
      <c r="M3" s="626" t="n"/>
      <c r="N3" s="626" t="n"/>
      <c r="O3" s="626" t="n"/>
      <c r="P3" s="626" t="n"/>
      <c r="Q3" s="626" t="n"/>
      <c r="R3" s="626" t="n"/>
      <c r="S3" s="626" t="n"/>
      <c r="T3" s="626" t="n"/>
      <c r="U3" s="626" t="n"/>
      <c r="V3" s="626" t="n"/>
      <c r="W3" s="626" t="n"/>
      <c r="X3" s="626" t="n"/>
      <c r="Y3" s="626" t="n"/>
      <c r="Z3" s="626" t="n"/>
      <c r="AA3" s="626" t="n"/>
      <c r="AB3" s="626" t="n"/>
      <c r="AC3" s="626" t="n"/>
      <c r="AD3" s="626" t="n"/>
      <c r="AE3" s="626" t="n"/>
      <c r="AF3" s="626" t="n"/>
    </row>
    <row r="4" ht="13" customHeight="1" s="1883">
      <c r="B4" s="626" t="n"/>
      <c r="C4" s="626" t="n"/>
      <c r="D4" s="626" t="n"/>
      <c r="E4" s="626" t="n"/>
      <c r="F4" s="626" t="n"/>
      <c r="G4" s="626" t="n"/>
      <c r="H4" s="626" t="n"/>
      <c r="I4" s="626" t="n"/>
      <c r="J4" s="626" t="n"/>
      <c r="K4" s="626" t="n"/>
      <c r="L4" s="626" t="n"/>
      <c r="M4" s="626" t="n"/>
      <c r="N4" s="626" t="n"/>
      <c r="O4" s="626" t="n"/>
      <c r="P4" s="626" t="n"/>
      <c r="Q4" s="626" t="n"/>
      <c r="R4" s="626" t="n"/>
      <c r="S4" s="626" t="n"/>
      <c r="T4" s="626" t="n"/>
      <c r="U4" s="626" t="n"/>
      <c r="V4" s="626" t="n"/>
      <c r="W4" s="626" t="n"/>
      <c r="X4" s="626" t="n"/>
      <c r="Y4" s="626" t="n"/>
      <c r="Z4" s="626" t="n"/>
      <c r="AA4" s="626" t="n"/>
      <c r="AB4" s="626" t="n"/>
      <c r="AC4" s="626" t="n"/>
      <c r="AD4" s="626" t="n"/>
      <c r="AE4" s="626" t="n"/>
      <c r="AF4" s="626" t="n"/>
    </row>
    <row r="5">
      <c r="B5" s="658" t="inlineStr">
        <is>
          <t>A.</t>
        </is>
      </c>
      <c r="C5" s="626" t="n"/>
      <c r="D5" s="118" t="inlineStr">
        <is>
          <t>Revenue Drivers</t>
        </is>
      </c>
      <c r="E5" s="626" t="n"/>
      <c r="F5" s="626" t="n"/>
      <c r="G5" s="626" t="n"/>
      <c r="H5" s="626" t="n"/>
      <c r="I5" s="626" t="n"/>
      <c r="J5" s="626" t="n"/>
      <c r="K5" s="626" t="n"/>
      <c r="L5" s="626" t="n"/>
      <c r="M5" s="626" t="n"/>
      <c r="N5" s="626" t="n"/>
      <c r="O5" s="626" t="n"/>
      <c r="P5" s="626" t="n"/>
      <c r="Q5" s="626" t="n"/>
      <c r="R5" s="626" t="n"/>
      <c r="S5" s="626" t="n"/>
      <c r="T5" s="626" t="n"/>
      <c r="U5" s="626" t="n"/>
      <c r="V5" s="626" t="n"/>
      <c r="W5" s="626" t="n"/>
      <c r="X5" s="626" t="n"/>
      <c r="Y5" s="626" t="n"/>
      <c r="Z5" s="626" t="n"/>
      <c r="AA5" s="626" t="n"/>
      <c r="AB5" s="626" t="n"/>
      <c r="AC5" s="626" t="n"/>
      <c r="AD5" s="626" t="n"/>
      <c r="AE5" s="626" t="n"/>
      <c r="AF5" s="626" t="n"/>
    </row>
    <row r="6" ht="3" customHeight="1" s="1883">
      <c r="B6" s="926" t="n"/>
      <c r="C6" s="926" t="n"/>
      <c r="D6" s="926" t="n"/>
      <c r="E6" s="926" t="n"/>
      <c r="F6" s="926" t="n"/>
      <c r="G6" s="626" t="n"/>
      <c r="H6" s="626" t="n"/>
      <c r="I6" s="626" t="n"/>
      <c r="J6" s="626" t="n"/>
      <c r="K6" s="626" t="n"/>
      <c r="L6" s="626" t="n"/>
      <c r="M6" s="626" t="n"/>
      <c r="N6" s="626" t="n"/>
      <c r="O6" s="626" t="n"/>
      <c r="P6" s="626" t="n"/>
      <c r="Q6" s="626" t="n"/>
      <c r="R6" s="626" t="n"/>
      <c r="S6" s="626" t="n"/>
      <c r="T6" s="626" t="n"/>
      <c r="U6" s="626" t="n"/>
      <c r="V6" s="626" t="n"/>
      <c r="W6" s="626" t="n"/>
      <c r="X6" s="626" t="n"/>
      <c r="Y6" s="626" t="n"/>
      <c r="Z6" s="626" t="n"/>
      <c r="AA6" s="626" t="n"/>
      <c r="AB6" s="626" t="n"/>
      <c r="AC6" s="626" t="n"/>
      <c r="AD6" s="626" t="n"/>
      <c r="AE6" s="626" t="n"/>
      <c r="AF6" s="626" t="n"/>
    </row>
    <row r="7" ht="3" customHeight="1" s="1883">
      <c r="B7" s="626" t="n"/>
      <c r="C7" s="626" t="n"/>
      <c r="D7" s="626" t="n"/>
      <c r="E7" s="626" t="n"/>
      <c r="F7" s="626" t="n"/>
      <c r="G7" s="626" t="n"/>
      <c r="H7" s="626" t="n"/>
      <c r="I7" s="626" t="n"/>
      <c r="J7" s="626" t="n"/>
      <c r="K7" s="626" t="n"/>
      <c r="L7" s="626" t="n"/>
      <c r="M7" s="626" t="n"/>
      <c r="N7" s="626" t="n"/>
      <c r="O7" s="626" t="n"/>
      <c r="P7" s="626" t="n"/>
      <c r="Q7" s="626" t="n"/>
      <c r="R7" s="626" t="n"/>
      <c r="S7" s="626" t="n"/>
      <c r="T7" s="626" t="n"/>
      <c r="U7" s="626" t="n"/>
      <c r="V7" s="626" t="n"/>
      <c r="W7" s="626" t="n"/>
      <c r="X7" s="626" t="n"/>
      <c r="Y7" s="626" t="n"/>
      <c r="Z7" s="626" t="n"/>
      <c r="AA7" s="626" t="n"/>
      <c r="AB7" s="626" t="n"/>
      <c r="AC7" s="626" t="n"/>
      <c r="AD7" s="626" t="n"/>
      <c r="AE7" s="626" t="n"/>
      <c r="AF7" s="626" t="n"/>
    </row>
    <row r="8" ht="13" customHeight="1" s="1883">
      <c r="B8" s="626" t="n"/>
      <c r="C8" s="626" t="n"/>
      <c r="D8" s="626" t="n"/>
      <c r="E8" s="626" t="n"/>
      <c r="F8" s="626" t="n"/>
      <c r="G8" s="626" t="n"/>
      <c r="H8" s="626" t="n"/>
      <c r="I8" s="626" t="n"/>
      <c r="J8" s="626" t="n"/>
      <c r="K8" s="626" t="n"/>
      <c r="L8" s="626" t="n"/>
      <c r="M8" s="626" t="n"/>
      <c r="N8" s="626" t="n"/>
      <c r="O8" s="626" t="n"/>
      <c r="P8" s="626" t="n"/>
      <c r="Q8" s="626" t="n"/>
      <c r="R8" s="626" t="n"/>
      <c r="S8" s="626" t="n"/>
      <c r="T8" s="626" t="n"/>
      <c r="U8" s="626" t="n"/>
      <c r="V8" s="626" t="n"/>
      <c r="W8" s="626" t="n"/>
      <c r="X8" s="626" t="n"/>
      <c r="Y8" s="626" t="n"/>
      <c r="Z8" s="626" t="n"/>
      <c r="AA8" s="626" t="n"/>
      <c r="AB8" s="626" t="n"/>
      <c r="AC8" s="626" t="n"/>
      <c r="AD8" s="626" t="n"/>
      <c r="AE8" s="626" t="n"/>
      <c r="AF8" s="626" t="n"/>
    </row>
    <row r="9" ht="13" customHeight="1" s="1883">
      <c r="B9" s="626" t="n"/>
      <c r="C9" s="626" t="n"/>
      <c r="D9" s="626" t="n"/>
      <c r="E9" s="626" t="n"/>
      <c r="F9" s="626" t="n"/>
      <c r="G9" s="626" t="n"/>
      <c r="H9" s="626" t="n"/>
      <c r="I9" s="626" t="n"/>
      <c r="J9" s="626" t="n"/>
      <c r="K9" s="626" t="n"/>
      <c r="L9" s="626" t="n"/>
      <c r="M9" s="626" t="n"/>
      <c r="N9" s="626" t="n"/>
      <c r="O9" s="626" t="n"/>
      <c r="P9" s="626" t="n"/>
      <c r="Q9" s="626" t="n"/>
      <c r="R9" s="626" t="n"/>
      <c r="S9" s="626" t="n"/>
      <c r="T9" s="626" t="n"/>
      <c r="U9" s="626" t="n"/>
      <c r="V9" s="626" t="n"/>
      <c r="W9" s="626" t="n"/>
      <c r="X9" s="626" t="n"/>
      <c r="Y9" s="626" t="n"/>
      <c r="Z9" s="626" t="n"/>
      <c r="AA9" s="626" t="n"/>
      <c r="AB9" s="626" t="n"/>
      <c r="AC9" s="626" t="n"/>
      <c r="AD9" s="626" t="n"/>
      <c r="AE9" s="626" t="n"/>
      <c r="AF9" s="626" t="n"/>
    </row>
    <row r="10">
      <c r="B10" s="118" t="inlineStr">
        <is>
          <t>I.</t>
        </is>
      </c>
      <c r="C10" s="626" t="n"/>
      <c r="D10" s="1908" t="inlineStr">
        <is>
          <t>New Apps Activated</t>
        </is>
      </c>
      <c r="E10" s="1908" t="n"/>
      <c r="F10" s="626" t="n"/>
      <c r="G10" s="626" t="n"/>
      <c r="H10" s="1915" t="inlineStr">
        <is>
          <t>Fiscal Year</t>
        </is>
      </c>
    </row>
    <row r="11" ht="3" customHeight="1" s="1883">
      <c r="B11" s="926" t="n"/>
      <c r="C11" s="926" t="n"/>
      <c r="D11" s="926" t="n"/>
      <c r="E11" s="926" t="n"/>
      <c r="F11" s="926" t="n"/>
      <c r="G11" s="626" t="n"/>
      <c r="H11" s="926" t="n"/>
      <c r="I11" s="926" t="n"/>
      <c r="J11" s="926" t="n"/>
      <c r="K11" s="926" t="n"/>
      <c r="L11" s="926" t="n"/>
      <c r="M11" s="926" t="n"/>
      <c r="N11" s="926" t="n"/>
      <c r="O11" s="926" t="n"/>
      <c r="P11" s="926" t="n"/>
      <c r="Q11" s="926" t="n"/>
      <c r="R11" s="926" t="n"/>
      <c r="S11" s="926" t="n"/>
      <c r="T11" s="926" t="n"/>
      <c r="U11" s="926" t="n"/>
      <c r="V11" s="926" t="n"/>
      <c r="W11" s="926" t="n"/>
      <c r="X11" s="926" t="n"/>
      <c r="Y11" s="926" t="n"/>
      <c r="Z11" s="926" t="n"/>
      <c r="AA11" s="926" t="n"/>
      <c r="AB11" s="926" t="n"/>
      <c r="AC11" s="926" t="n"/>
      <c r="AD11" s="926" t="n"/>
      <c r="AE11" s="926" t="n"/>
      <c r="AF11" s="926" t="n"/>
    </row>
    <row r="12" ht="3" customHeight="1" s="1883">
      <c r="B12" s="626" t="n"/>
      <c r="C12" s="626" t="n"/>
      <c r="D12" s="626" t="n"/>
      <c r="E12" s="626" t="n"/>
      <c r="F12" s="626" t="n"/>
      <c r="G12" s="626" t="n"/>
      <c r="H12" s="626" t="n"/>
      <c r="I12" s="626" t="n"/>
      <c r="J12" s="626" t="n"/>
      <c r="K12" s="626" t="n"/>
      <c r="L12" s="626" t="n"/>
      <c r="M12" s="626" t="n"/>
      <c r="N12" s="626" t="n"/>
      <c r="O12" s="626" t="n"/>
      <c r="P12" s="626" t="n"/>
      <c r="Q12" s="626" t="n"/>
      <c r="R12" s="626" t="n"/>
      <c r="S12" s="626" t="n"/>
      <c r="T12" s="626" t="n"/>
      <c r="U12" s="626" t="n"/>
      <c r="V12" s="626" t="n"/>
      <c r="W12" s="626" t="n"/>
      <c r="X12" s="626" t="n"/>
      <c r="Y12" s="626" t="n"/>
      <c r="Z12" s="626" t="n"/>
      <c r="AA12" s="626" t="n"/>
      <c r="AB12" s="626" t="n"/>
      <c r="AC12" s="626" t="n"/>
      <c r="AD12" s="626" t="n"/>
      <c r="AE12" s="626" t="n"/>
      <c r="AF12" s="626" t="n"/>
    </row>
    <row r="13">
      <c r="B13" s="626" t="n"/>
      <c r="C13" s="626" t="n"/>
      <c r="D13" s="117" t="inlineStr">
        <is>
          <t>Year</t>
        </is>
      </c>
      <c r="E13" s="117" t="n"/>
      <c r="F13" s="117" t="inlineStr">
        <is>
          <t>Months</t>
        </is>
      </c>
      <c r="G13" s="626" t="n"/>
      <c r="H13" s="117" t="inlineStr">
        <is>
          <t>Month 1</t>
        </is>
      </c>
      <c r="I13" s="117" t="n"/>
      <c r="J13" s="117" t="inlineStr">
        <is>
          <t>Month 2</t>
        </is>
      </c>
      <c r="K13" s="117" t="n"/>
      <c r="L13" s="117" t="inlineStr">
        <is>
          <t>Month 3</t>
        </is>
      </c>
      <c r="M13" s="117" t="n"/>
      <c r="N13" s="117" t="inlineStr">
        <is>
          <t>Month 4</t>
        </is>
      </c>
      <c r="O13" s="117" t="n"/>
      <c r="P13" s="117" t="inlineStr">
        <is>
          <t>Month 5</t>
        </is>
      </c>
      <c r="Q13" s="117" t="n"/>
      <c r="R13" s="117" t="inlineStr">
        <is>
          <t>Month 6</t>
        </is>
      </c>
      <c r="S13" s="117" t="n"/>
      <c r="T13" s="117" t="inlineStr">
        <is>
          <t>Month 7</t>
        </is>
      </c>
      <c r="U13" s="117" t="n"/>
      <c r="V13" s="117" t="inlineStr">
        <is>
          <t>Month 8</t>
        </is>
      </c>
      <c r="W13" s="117" t="n"/>
      <c r="X13" s="117" t="inlineStr">
        <is>
          <t>Month 9</t>
        </is>
      </c>
      <c r="Y13" s="117" t="n"/>
      <c r="Z13" s="117" t="inlineStr">
        <is>
          <t>Month 10</t>
        </is>
      </c>
      <c r="AA13" s="117" t="n"/>
      <c r="AB13" s="117" t="inlineStr">
        <is>
          <t>Month 11</t>
        </is>
      </c>
      <c r="AC13" s="117" t="n"/>
      <c r="AD13" s="117" t="inlineStr">
        <is>
          <t>Month 12</t>
        </is>
      </c>
      <c r="AE13" s="626" t="n"/>
      <c r="AF13" s="117" t="inlineStr">
        <is>
          <t>Ʃ, Full-Year</t>
        </is>
      </c>
    </row>
    <row r="14" ht="3" customHeight="1" s="1883">
      <c r="B14" s="626" t="n"/>
      <c r="C14" s="626" t="n"/>
      <c r="D14" s="926" t="n"/>
      <c r="E14" s="626" t="n"/>
      <c r="F14" s="926" t="n"/>
      <c r="G14" s="626" t="n"/>
      <c r="H14" s="926" t="n"/>
      <c r="I14" s="626" t="n"/>
      <c r="J14" s="926" t="n"/>
      <c r="K14" s="626" t="n"/>
      <c r="L14" s="926" t="n"/>
      <c r="M14" s="626" t="n"/>
      <c r="N14" s="926" t="n"/>
      <c r="O14" s="626" t="n"/>
      <c r="P14" s="926" t="n"/>
      <c r="Q14" s="626" t="n"/>
      <c r="R14" s="926" t="n"/>
      <c r="S14" s="626" t="n"/>
      <c r="T14" s="926" t="n"/>
      <c r="U14" s="626" t="n"/>
      <c r="V14" s="926" t="n"/>
      <c r="W14" s="626" t="n"/>
      <c r="X14" s="926" t="n"/>
      <c r="Y14" s="626" t="n"/>
      <c r="Z14" s="926" t="n"/>
      <c r="AA14" s="626" t="n"/>
      <c r="AB14" s="926" t="n"/>
      <c r="AC14" s="626" t="n"/>
      <c r="AD14" s="926" t="n"/>
      <c r="AE14" s="626" t="n"/>
      <c r="AF14" s="926" t="n"/>
    </row>
    <row r="15" ht="3" customHeight="1" s="1883">
      <c r="B15" s="626" t="n"/>
      <c r="C15" s="626" t="n"/>
      <c r="D15" s="626" t="n"/>
      <c r="E15" s="626" t="n"/>
      <c r="F15" s="626" t="n"/>
      <c r="G15" s="626" t="n"/>
      <c r="H15" s="1968" t="n"/>
      <c r="I15" s="1968" t="n"/>
      <c r="J15" s="1968" t="n"/>
      <c r="K15" s="1968" t="n"/>
      <c r="L15" s="1968" t="n"/>
      <c r="M15" s="1968" t="n"/>
      <c r="N15" s="1968" t="n"/>
      <c r="O15" s="1968" t="n"/>
      <c r="P15" s="1968" t="n"/>
      <c r="Q15" s="1968" t="n"/>
      <c r="R15" s="1968" t="n"/>
      <c r="S15" s="1968" t="n"/>
      <c r="T15" s="1968" t="n"/>
      <c r="U15" s="1968" t="n"/>
      <c r="V15" s="1968" t="n"/>
      <c r="W15" s="1968" t="n"/>
      <c r="X15" s="1968" t="n"/>
      <c r="Y15" s="1968" t="n"/>
      <c r="Z15" s="1968" t="n"/>
      <c r="AA15" s="1968" t="n"/>
      <c r="AB15" s="1968" t="n"/>
      <c r="AC15" s="1968" t="n"/>
      <c r="AD15" s="1968" t="n"/>
      <c r="AE15" s="1968" t="n"/>
      <c r="AF15" s="1968" t="n"/>
    </row>
    <row r="16">
      <c r="B16" s="626" t="n"/>
      <c r="C16" s="626" t="n"/>
      <c r="D16" s="117" t="inlineStr">
        <is>
          <t>Year 0</t>
        </is>
      </c>
      <c r="E16" s="117" t="n"/>
      <c r="F16" s="133" t="inlineStr">
        <is>
          <t>-12 - -1</t>
        </is>
      </c>
      <c r="G16" s="1968" t="n"/>
      <c r="H16" s="978" t="n"/>
      <c r="I16" s="978" t="n"/>
      <c r="J16" s="978" t="n"/>
      <c r="K16" s="978" t="n"/>
      <c r="L16" s="978" t="n"/>
      <c r="M16" s="978" t="n"/>
      <c r="N16" s="978" t="n"/>
      <c r="O16" s="978" t="n"/>
      <c r="P16" s="978" t="n"/>
      <c r="Q16" s="978" t="n"/>
      <c r="R16" s="978" t="n"/>
      <c r="S16" s="978" t="n"/>
      <c r="T16" s="978" t="n"/>
      <c r="U16" s="978" t="n"/>
      <c r="V16" s="978" t="n"/>
      <c r="W16" s="978" t="n"/>
      <c r="X16" s="978" t="n"/>
      <c r="Y16" s="978" t="n"/>
      <c r="Z16" s="978" t="n"/>
      <c r="AA16" s="978" t="n"/>
      <c r="AB16" s="978" t="n"/>
      <c r="AC16" s="978" t="n"/>
      <c r="AD16" s="978" t="n"/>
      <c r="AE16" s="978" t="n"/>
      <c r="AF16" s="978" t="n"/>
    </row>
    <row r="17">
      <c r="B17" s="626" t="n"/>
      <c r="C17" s="626" t="n"/>
      <c r="D17" s="117" t="inlineStr">
        <is>
          <t>Year 1</t>
        </is>
      </c>
      <c r="E17" s="117" t="n"/>
      <c r="F17" s="134" t="inlineStr">
        <is>
          <t>1 - 12</t>
        </is>
      </c>
      <c r="G17" s="626" t="n"/>
      <c r="H17" s="135">
        <f>'3F. Revenue &amp; COGS Assumptions'!G51</f>
        <v/>
      </c>
      <c r="I17" s="932" t="n"/>
      <c r="J17" s="135">
        <f>'3F. Revenue &amp; COGS Assumptions'!H51</f>
        <v/>
      </c>
      <c r="K17" s="932" t="n"/>
      <c r="L17" s="135">
        <f>'3F. Revenue &amp; COGS Assumptions'!I51</f>
        <v/>
      </c>
      <c r="M17" s="932" t="n"/>
      <c r="N17" s="135">
        <f>'3F. Revenue &amp; COGS Assumptions'!J51</f>
        <v/>
      </c>
      <c r="O17" s="932" t="n"/>
      <c r="P17" s="135">
        <f>'3F. Revenue &amp; COGS Assumptions'!K51</f>
        <v/>
      </c>
      <c r="Q17" s="932" t="n"/>
      <c r="R17" s="135">
        <f>'3F. Revenue &amp; COGS Assumptions'!L51</f>
        <v/>
      </c>
      <c r="S17" s="932" t="n"/>
      <c r="T17" s="135">
        <f>'3F. Revenue &amp; COGS Assumptions'!M51</f>
        <v/>
      </c>
      <c r="U17" s="932" t="n"/>
      <c r="V17" s="135">
        <f>'3F. Revenue &amp; COGS Assumptions'!N51</f>
        <v/>
      </c>
      <c r="W17" s="932" t="n"/>
      <c r="X17" s="135">
        <f>'3F. Revenue &amp; COGS Assumptions'!O51</f>
        <v/>
      </c>
      <c r="Y17" s="932" t="n"/>
      <c r="Z17" s="135">
        <f>'3F. Revenue &amp; COGS Assumptions'!P51</f>
        <v/>
      </c>
      <c r="AA17" s="932" t="n"/>
      <c r="AB17" s="135">
        <f>'3F. Revenue &amp; COGS Assumptions'!Q51</f>
        <v/>
      </c>
      <c r="AC17" s="932" t="n"/>
      <c r="AD17" s="135">
        <f>'3F. Revenue &amp; COGS Assumptions'!R51</f>
        <v/>
      </c>
      <c r="AE17" s="932" t="n"/>
      <c r="AF17" s="136">
        <f>((H17)+(J17)+(L17)+(N17)+(P17)+(R17)+(T17)+(V17)+(X17)+(Z17)+(AB17)+(AD17))</f>
        <v/>
      </c>
    </row>
    <row r="18">
      <c r="B18" s="626" t="n"/>
      <c r="C18" s="626" t="n"/>
      <c r="D18" s="117" t="inlineStr">
        <is>
          <t>Year 2</t>
        </is>
      </c>
      <c r="E18" s="117" t="n"/>
      <c r="F18" s="137" t="inlineStr">
        <is>
          <t>13 - 24</t>
        </is>
      </c>
      <c r="G18" s="626" t="n"/>
      <c r="H18" s="135">
        <f>'3F. Revenue &amp; COGS Assumptions'!S51</f>
        <v/>
      </c>
      <c r="I18" s="932" t="n"/>
      <c r="J18" s="135">
        <f>'3F. Revenue &amp; COGS Assumptions'!T51</f>
        <v/>
      </c>
      <c r="K18" s="932" t="n"/>
      <c r="L18" s="135">
        <f>'3F. Revenue &amp; COGS Assumptions'!U51</f>
        <v/>
      </c>
      <c r="M18" s="932" t="n"/>
      <c r="N18" s="135">
        <f>'3F. Revenue &amp; COGS Assumptions'!V51</f>
        <v/>
      </c>
      <c r="O18" s="932" t="n"/>
      <c r="P18" s="135">
        <f>'3F. Revenue &amp; COGS Assumptions'!W51</f>
        <v/>
      </c>
      <c r="Q18" s="932" t="n"/>
      <c r="R18" s="135">
        <f>'3F. Revenue &amp; COGS Assumptions'!X51</f>
        <v/>
      </c>
      <c r="S18" s="932" t="n"/>
      <c r="T18" s="135">
        <f>'3F. Revenue &amp; COGS Assumptions'!Y51</f>
        <v/>
      </c>
      <c r="U18" s="932" t="n"/>
      <c r="V18" s="135">
        <f>'3F. Revenue &amp; COGS Assumptions'!Z51</f>
        <v/>
      </c>
      <c r="W18" s="932" t="n"/>
      <c r="X18" s="135">
        <f>'3F. Revenue &amp; COGS Assumptions'!AA51</f>
        <v/>
      </c>
      <c r="Y18" s="932" t="n"/>
      <c r="Z18" s="135">
        <f>'3F. Revenue &amp; COGS Assumptions'!AB51</f>
        <v/>
      </c>
      <c r="AA18" s="932" t="n"/>
      <c r="AB18" s="135">
        <f>'3F. Revenue &amp; COGS Assumptions'!AC51</f>
        <v/>
      </c>
      <c r="AC18" s="932" t="n"/>
      <c r="AD18" s="135">
        <f>'3F. Revenue &amp; COGS Assumptions'!AD51</f>
        <v/>
      </c>
      <c r="AE18" s="932" t="n"/>
      <c r="AF18" s="136">
        <f>((H18)+(J18)+(L18)+(N18)+(P18)+(R18)+(T18)+(V18)+(X18)+(Z18)+(AB18)+(AD18))</f>
        <v/>
      </c>
    </row>
    <row r="19">
      <c r="B19" s="626" t="n"/>
      <c r="C19" s="626" t="n"/>
      <c r="D19" s="117" t="inlineStr">
        <is>
          <t>Year 3</t>
        </is>
      </c>
      <c r="E19" s="117" t="n"/>
      <c r="F19" s="137" t="inlineStr">
        <is>
          <t>25 - 36</t>
        </is>
      </c>
      <c r="G19" s="626" t="n"/>
      <c r="H19" s="135">
        <f>'3F. Revenue &amp; COGS Assumptions'!AE51</f>
        <v/>
      </c>
      <c r="I19" s="932" t="n"/>
      <c r="J19" s="135">
        <f>'3F. Revenue &amp; COGS Assumptions'!AF51</f>
        <v/>
      </c>
      <c r="K19" s="932" t="n"/>
      <c r="L19" s="135">
        <f>'3F. Revenue &amp; COGS Assumptions'!AG51</f>
        <v/>
      </c>
      <c r="M19" s="932" t="n"/>
      <c r="N19" s="135">
        <f>'3F. Revenue &amp; COGS Assumptions'!AH51</f>
        <v/>
      </c>
      <c r="O19" s="932" t="n"/>
      <c r="P19" s="135">
        <f>'3F. Revenue &amp; COGS Assumptions'!AI51</f>
        <v/>
      </c>
      <c r="Q19" s="932" t="n"/>
      <c r="R19" s="135">
        <f>'3F. Revenue &amp; COGS Assumptions'!AJ51</f>
        <v/>
      </c>
      <c r="S19" s="932" t="n"/>
      <c r="T19" s="135">
        <f>'3F. Revenue &amp; COGS Assumptions'!AK51</f>
        <v/>
      </c>
      <c r="U19" s="932" t="n"/>
      <c r="V19" s="135">
        <f>'3F. Revenue &amp; COGS Assumptions'!AL51</f>
        <v/>
      </c>
      <c r="W19" s="932" t="n"/>
      <c r="X19" s="135">
        <f>'3F. Revenue &amp; COGS Assumptions'!AM51</f>
        <v/>
      </c>
      <c r="Y19" s="932" t="n"/>
      <c r="Z19" s="135">
        <f>'3F. Revenue &amp; COGS Assumptions'!AN51</f>
        <v/>
      </c>
      <c r="AA19" s="932" t="n"/>
      <c r="AB19" s="135">
        <f>'3F. Revenue &amp; COGS Assumptions'!AO51</f>
        <v/>
      </c>
      <c r="AC19" s="932" t="n"/>
      <c r="AD19" s="135">
        <f>'3F. Revenue &amp; COGS Assumptions'!AP51</f>
        <v/>
      </c>
      <c r="AE19" s="932" t="n"/>
      <c r="AF19" s="136">
        <f>((H19)+(J19)+(L19)+(N19)+(P19)+(R19)+(T19)+(V19)+(X19)+(Z19)+(AB19)+(AD19))</f>
        <v/>
      </c>
    </row>
    <row r="20">
      <c r="B20" s="626" t="n"/>
      <c r="C20" s="626" t="n"/>
      <c r="D20" s="117" t="inlineStr">
        <is>
          <t>Year 4</t>
        </is>
      </c>
      <c r="E20" s="117" t="n"/>
      <c r="F20" s="137" t="inlineStr">
        <is>
          <t>37 - 48</t>
        </is>
      </c>
      <c r="G20" s="626" t="n"/>
      <c r="H20" s="135">
        <f>'3F. Revenue &amp; COGS Assumptions'!AQ51</f>
        <v/>
      </c>
      <c r="I20" s="932" t="n"/>
      <c r="J20" s="135">
        <f>'3F. Revenue &amp; COGS Assumptions'!AR51</f>
        <v/>
      </c>
      <c r="K20" s="932" t="n"/>
      <c r="L20" s="135">
        <f>'3F. Revenue &amp; COGS Assumptions'!AS51</f>
        <v/>
      </c>
      <c r="M20" s="932" t="n"/>
      <c r="N20" s="135">
        <f>'3F. Revenue &amp; COGS Assumptions'!AT51</f>
        <v/>
      </c>
      <c r="O20" s="932" t="n"/>
      <c r="P20" s="135">
        <f>'3F. Revenue &amp; COGS Assumptions'!AU51</f>
        <v/>
      </c>
      <c r="Q20" s="932" t="n"/>
      <c r="R20" s="135">
        <f>'3F. Revenue &amp; COGS Assumptions'!AV51</f>
        <v/>
      </c>
      <c r="S20" s="932" t="n"/>
      <c r="T20" s="135">
        <f>'3F. Revenue &amp; COGS Assumptions'!AW51</f>
        <v/>
      </c>
      <c r="U20" s="932" t="n"/>
      <c r="V20" s="135">
        <f>'3F. Revenue &amp; COGS Assumptions'!AX51</f>
        <v/>
      </c>
      <c r="W20" s="932" t="n"/>
      <c r="X20" s="135">
        <f>'3F. Revenue &amp; COGS Assumptions'!AY51</f>
        <v/>
      </c>
      <c r="Y20" s="932" t="n"/>
      <c r="Z20" s="135">
        <f>'3F. Revenue &amp; COGS Assumptions'!AZ51</f>
        <v/>
      </c>
      <c r="AA20" s="932" t="n"/>
      <c r="AB20" s="135">
        <f>'3F. Revenue &amp; COGS Assumptions'!BA51</f>
        <v/>
      </c>
      <c r="AC20" s="932" t="n"/>
      <c r="AD20" s="135">
        <f>'3F. Revenue &amp; COGS Assumptions'!BB51</f>
        <v/>
      </c>
      <c r="AE20" s="932" t="n"/>
      <c r="AF20" s="136">
        <f>((H20)+(J20)+(L20)+(N20)+(P20)+(R20)+(T20)+(V20)+(X20)+(Z20)+(AB20)+(AD20))</f>
        <v/>
      </c>
    </row>
    <row r="21">
      <c r="B21" s="626" t="n"/>
      <c r="C21" s="626" t="n"/>
      <c r="D21" s="117" t="inlineStr">
        <is>
          <t>Year 5</t>
        </is>
      </c>
      <c r="E21" s="117" t="n"/>
      <c r="F21" s="137" t="inlineStr">
        <is>
          <t>49 - 60</t>
        </is>
      </c>
      <c r="G21" s="626" t="n"/>
      <c r="H21" s="135">
        <f>'3F. Revenue &amp; COGS Assumptions'!BC51</f>
        <v/>
      </c>
      <c r="I21" s="932" t="n"/>
      <c r="J21" s="135">
        <f>'3F. Revenue &amp; COGS Assumptions'!BD51</f>
        <v/>
      </c>
      <c r="K21" s="932" t="n"/>
      <c r="L21" s="135">
        <f>'3F. Revenue &amp; COGS Assumptions'!BE51</f>
        <v/>
      </c>
      <c r="M21" s="932" t="n"/>
      <c r="N21" s="135">
        <f>'3F. Revenue &amp; COGS Assumptions'!BF51</f>
        <v/>
      </c>
      <c r="O21" s="932" t="n"/>
      <c r="P21" s="135">
        <f>'3F. Revenue &amp; COGS Assumptions'!BG51</f>
        <v/>
      </c>
      <c r="Q21" s="932" t="n"/>
      <c r="R21" s="135">
        <f>'3F. Revenue &amp; COGS Assumptions'!BH51</f>
        <v/>
      </c>
      <c r="S21" s="932" t="n"/>
      <c r="T21" s="135">
        <f>'3F. Revenue &amp; COGS Assumptions'!BI51</f>
        <v/>
      </c>
      <c r="U21" s="932" t="n"/>
      <c r="V21" s="135">
        <f>'3F. Revenue &amp; COGS Assumptions'!BJ51</f>
        <v/>
      </c>
      <c r="W21" s="932" t="n"/>
      <c r="X21" s="135">
        <f>'3F. Revenue &amp; COGS Assumptions'!BK51</f>
        <v/>
      </c>
      <c r="Y21" s="932" t="n"/>
      <c r="Z21" s="135">
        <f>'3F. Revenue &amp; COGS Assumptions'!BL51</f>
        <v/>
      </c>
      <c r="AA21" s="932" t="n"/>
      <c r="AB21" s="135">
        <f>'3F. Revenue &amp; COGS Assumptions'!BM51</f>
        <v/>
      </c>
      <c r="AC21" s="932" t="n"/>
      <c r="AD21" s="135">
        <f>'3F. Revenue &amp; COGS Assumptions'!BN51</f>
        <v/>
      </c>
      <c r="AE21" s="932" t="n"/>
      <c r="AF21" s="136">
        <f>((H21)+(J21)+(L21)+(N21)+(P21)+(R21)+(T21)+(V21)+(X21)+(Z21)+(AB21)+(AD21))</f>
        <v/>
      </c>
    </row>
    <row r="22" ht="13" customHeight="1" s="1883">
      <c r="B22" s="626" t="n"/>
      <c r="C22" s="626" t="n"/>
      <c r="D22" s="626" t="n"/>
      <c r="E22" s="626" t="n"/>
      <c r="F22" s="626" t="n"/>
      <c r="G22" s="626" t="n"/>
      <c r="H22" s="932" t="n"/>
      <c r="I22" s="932" t="n"/>
      <c r="J22" s="932" t="n"/>
      <c r="K22" s="932" t="n"/>
      <c r="L22" s="932" t="n"/>
      <c r="M22" s="932" t="n"/>
      <c r="N22" s="932" t="n"/>
      <c r="O22" s="932" t="n"/>
      <c r="P22" s="932" t="n"/>
      <c r="Q22" s="932" t="n"/>
      <c r="R22" s="932" t="n"/>
      <c r="S22" s="932" t="n"/>
      <c r="T22" s="932" t="n"/>
      <c r="U22" s="932" t="n"/>
      <c r="V22" s="932" t="n"/>
      <c r="W22" s="932" t="n"/>
      <c r="X22" s="932" t="n"/>
      <c r="Y22" s="932" t="n"/>
      <c r="Z22" s="932" t="n"/>
      <c r="AA22" s="932" t="n"/>
      <c r="AB22" s="932" t="n"/>
      <c r="AC22" s="932" t="n"/>
      <c r="AD22" s="932" t="n"/>
      <c r="AE22" s="932" t="n"/>
      <c r="AF22" s="932" t="n"/>
    </row>
    <row r="23" ht="13" customHeight="1" s="1883">
      <c r="B23" s="626" t="n"/>
      <c r="C23" s="626" t="n"/>
      <c r="D23" s="626" t="n"/>
      <c r="E23" s="626" t="n"/>
      <c r="F23" s="626" t="n"/>
      <c r="G23" s="626" t="n"/>
      <c r="H23" s="932" t="n"/>
      <c r="I23" s="932" t="n"/>
      <c r="J23" s="932" t="n"/>
      <c r="K23" s="932" t="n"/>
      <c r="L23" s="932" t="n"/>
      <c r="M23" s="932" t="n"/>
      <c r="N23" s="932" t="n"/>
      <c r="O23" s="932" t="n"/>
      <c r="P23" s="932" t="n"/>
      <c r="Q23" s="932" t="n"/>
      <c r="R23" s="932" t="n"/>
      <c r="S23" s="932" t="n"/>
      <c r="T23" s="932" t="n"/>
      <c r="U23" s="932" t="n"/>
      <c r="V23" s="932" t="n"/>
      <c r="W23" s="932" t="n"/>
      <c r="X23" s="932" t="n"/>
      <c r="Y23" s="932" t="n"/>
      <c r="Z23" s="932" t="n"/>
      <c r="AA23" s="932" t="n"/>
      <c r="AB23" s="932" t="n"/>
      <c r="AC23" s="932" t="n"/>
      <c r="AD23" s="932" t="n"/>
      <c r="AE23" s="932" t="n"/>
      <c r="AF23" s="932" t="n"/>
    </row>
    <row r="24" ht="13" customHeight="1" s="1883">
      <c r="B24" s="626" t="n"/>
      <c r="C24" s="626" t="n"/>
      <c r="D24" s="626" t="n"/>
      <c r="E24" s="626" t="n"/>
      <c r="F24" s="626" t="n"/>
      <c r="G24" s="626" t="n"/>
      <c r="H24" s="932" t="n"/>
      <c r="I24" s="932" t="n"/>
      <c r="J24" s="932" t="n"/>
      <c r="K24" s="932" t="n"/>
      <c r="L24" s="932" t="n"/>
      <c r="M24" s="932" t="n"/>
      <c r="N24" s="932" t="n"/>
      <c r="O24" s="932" t="n"/>
      <c r="P24" s="932" t="n"/>
      <c r="Q24" s="932" t="n"/>
      <c r="R24" s="932" t="n"/>
      <c r="S24" s="932" t="n"/>
      <c r="T24" s="932" t="n"/>
      <c r="U24" s="932" t="n"/>
      <c r="V24" s="932" t="n"/>
      <c r="W24" s="932" t="n"/>
      <c r="X24" s="932" t="n"/>
      <c r="Y24" s="932" t="n"/>
      <c r="Z24" s="932" t="n"/>
      <c r="AA24" s="932" t="n"/>
      <c r="AB24" s="932" t="n"/>
      <c r="AC24" s="932" t="n"/>
      <c r="AD24" s="932" t="n"/>
      <c r="AE24" s="932" t="n"/>
      <c r="AF24" s="932" t="n"/>
    </row>
    <row r="25" ht="13" customHeight="1" s="1883">
      <c r="B25" s="626" t="n"/>
      <c r="C25" s="626" t="n"/>
      <c r="D25" s="626" t="n"/>
      <c r="E25" s="626" t="n"/>
      <c r="F25" s="626" t="n"/>
      <c r="G25" s="626" t="n"/>
      <c r="H25" s="932" t="n"/>
      <c r="I25" s="932" t="n"/>
      <c r="J25" s="932" t="n"/>
      <c r="K25" s="932" t="n"/>
      <c r="L25" s="932" t="n"/>
      <c r="M25" s="932" t="n"/>
      <c r="N25" s="932" t="n"/>
      <c r="O25" s="932" t="n"/>
      <c r="P25" s="932" t="n"/>
      <c r="Q25" s="932" t="n"/>
      <c r="R25" s="932" t="n"/>
      <c r="S25" s="932" t="n"/>
      <c r="T25" s="932" t="n"/>
      <c r="U25" s="932" t="n"/>
      <c r="V25" s="932" t="n"/>
      <c r="W25" s="932" t="n"/>
      <c r="X25" s="932" t="n"/>
      <c r="Y25" s="932" t="n"/>
      <c r="Z25" s="932" t="n"/>
      <c r="AA25" s="932" t="n"/>
      <c r="AB25" s="932" t="n"/>
      <c r="AC25" s="932" t="n"/>
      <c r="AD25" s="932" t="n"/>
      <c r="AE25" s="932" t="n"/>
      <c r="AF25" s="932" t="n"/>
    </row>
    <row r="26" ht="13" customHeight="1" s="1883">
      <c r="B26" s="626" t="n"/>
      <c r="C26" s="626" t="n"/>
      <c r="D26" s="626" t="n"/>
      <c r="E26" s="626" t="n"/>
      <c r="F26" s="626" t="n"/>
      <c r="G26" s="626" t="n"/>
      <c r="H26" s="932" t="n"/>
      <c r="I26" s="932" t="n"/>
      <c r="J26" s="932" t="n"/>
      <c r="K26" s="932" t="n"/>
      <c r="L26" s="932" t="n"/>
      <c r="M26" s="932" t="n"/>
      <c r="N26" s="932" t="n"/>
      <c r="O26" s="932" t="n"/>
      <c r="P26" s="932" t="n"/>
      <c r="Q26" s="932" t="n"/>
      <c r="R26" s="932" t="n"/>
      <c r="S26" s="932" t="n"/>
      <c r="T26" s="932" t="n"/>
      <c r="U26" s="932" t="n"/>
      <c r="V26" s="932" t="n"/>
      <c r="W26" s="932" t="n"/>
      <c r="X26" s="932" t="n"/>
      <c r="Y26" s="932" t="n"/>
      <c r="Z26" s="932" t="n"/>
      <c r="AA26" s="932" t="n"/>
      <c r="AB26" s="932" t="n"/>
      <c r="AC26" s="932" t="n"/>
      <c r="AD26" s="932" t="n"/>
      <c r="AE26" s="932" t="n"/>
      <c r="AF26" s="932" t="n"/>
    </row>
    <row r="27">
      <c r="B27" s="118" t="inlineStr">
        <is>
          <t>II.</t>
        </is>
      </c>
      <c r="C27" s="626" t="n"/>
      <c r="D27" s="118" t="inlineStr">
        <is>
          <t>Customer Attrition</t>
        </is>
      </c>
      <c r="E27" s="118" t="n"/>
      <c r="F27" s="626" t="n"/>
      <c r="G27" s="626" t="n"/>
      <c r="H27" s="1904" t="inlineStr">
        <is>
          <t>Fiscal Year</t>
        </is>
      </c>
    </row>
    <row r="28" ht="3" customHeight="1" s="1883">
      <c r="B28" s="926" t="n"/>
      <c r="C28" s="926" t="n"/>
      <c r="D28" s="926" t="n"/>
      <c r="E28" s="926" t="n"/>
      <c r="F28" s="926" t="n"/>
      <c r="G28" s="626" t="n"/>
      <c r="H28" s="933" t="n"/>
      <c r="I28" s="933" t="n"/>
      <c r="J28" s="933" t="n"/>
      <c r="K28" s="933" t="n"/>
      <c r="L28" s="933" t="n"/>
      <c r="M28" s="933" t="n"/>
      <c r="N28" s="933" t="n"/>
      <c r="O28" s="933" t="n"/>
      <c r="P28" s="933" t="n"/>
      <c r="Q28" s="933" t="n"/>
      <c r="R28" s="933" t="n"/>
      <c r="S28" s="933" t="n"/>
      <c r="T28" s="933" t="n"/>
      <c r="U28" s="933" t="n"/>
      <c r="V28" s="933" t="n"/>
      <c r="W28" s="933" t="n"/>
      <c r="X28" s="933" t="n"/>
      <c r="Y28" s="933" t="n"/>
      <c r="Z28" s="933" t="n"/>
      <c r="AA28" s="933" t="n"/>
      <c r="AB28" s="933" t="n"/>
      <c r="AC28" s="933" t="n"/>
      <c r="AD28" s="933" t="n"/>
      <c r="AE28" s="933" t="n"/>
      <c r="AF28" s="933" t="n"/>
    </row>
    <row r="29" ht="3" customHeight="1" s="1883">
      <c r="B29" s="626" t="n"/>
      <c r="C29" s="626" t="n"/>
      <c r="D29" s="626" t="n"/>
      <c r="E29" s="626" t="n"/>
      <c r="F29" s="626" t="n"/>
      <c r="G29" s="626" t="n"/>
      <c r="H29" s="932" t="n"/>
      <c r="I29" s="932" t="n"/>
      <c r="J29" s="932" t="n"/>
      <c r="K29" s="932" t="n"/>
      <c r="L29" s="932" t="n"/>
      <c r="M29" s="932" t="n"/>
      <c r="N29" s="932" t="n"/>
      <c r="O29" s="932" t="n"/>
      <c r="P29" s="932" t="n"/>
      <c r="Q29" s="932" t="n"/>
      <c r="R29" s="932" t="n"/>
      <c r="S29" s="932" t="n"/>
      <c r="T29" s="932" t="n"/>
      <c r="U29" s="932" t="n"/>
      <c r="V29" s="932" t="n"/>
      <c r="W29" s="932" t="n"/>
      <c r="X29" s="932" t="n"/>
      <c r="Y29" s="932" t="n"/>
      <c r="Z29" s="932" t="n"/>
      <c r="AA29" s="932" t="n"/>
      <c r="AB29" s="932" t="n"/>
      <c r="AC29" s="932" t="n"/>
      <c r="AD29" s="932" t="n"/>
      <c r="AE29" s="932" t="n"/>
      <c r="AF29" s="932" t="n"/>
    </row>
    <row r="30">
      <c r="B30" s="626" t="n"/>
      <c r="C30" s="626" t="n"/>
      <c r="D30" s="117" t="inlineStr">
        <is>
          <t>Year</t>
        </is>
      </c>
      <c r="E30" s="117" t="n"/>
      <c r="F30" s="117" t="inlineStr">
        <is>
          <t>Months</t>
        </is>
      </c>
      <c r="G30" s="626" t="n"/>
      <c r="H30" s="138" t="inlineStr">
        <is>
          <t>Month 1</t>
        </is>
      </c>
      <c r="I30" s="138" t="n"/>
      <c r="J30" s="138" t="inlineStr">
        <is>
          <t>Month 2</t>
        </is>
      </c>
      <c r="K30" s="138" t="n"/>
      <c r="L30" s="138" t="inlineStr">
        <is>
          <t>Month 3</t>
        </is>
      </c>
      <c r="M30" s="138" t="n"/>
      <c r="N30" s="138" t="inlineStr">
        <is>
          <t>Month 4</t>
        </is>
      </c>
      <c r="O30" s="138" t="n"/>
      <c r="P30" s="138" t="inlineStr">
        <is>
          <t>Month 5</t>
        </is>
      </c>
      <c r="Q30" s="138" t="n"/>
      <c r="R30" s="138" t="inlineStr">
        <is>
          <t>Month 6</t>
        </is>
      </c>
      <c r="S30" s="138" t="n"/>
      <c r="T30" s="138" t="inlineStr">
        <is>
          <t>Month 7</t>
        </is>
      </c>
      <c r="U30" s="138" t="n"/>
      <c r="V30" s="138" t="inlineStr">
        <is>
          <t>Month 8</t>
        </is>
      </c>
      <c r="W30" s="138" t="n"/>
      <c r="X30" s="138" t="inlineStr">
        <is>
          <t>Month 9</t>
        </is>
      </c>
      <c r="Y30" s="138" t="n"/>
      <c r="Z30" s="138" t="inlineStr">
        <is>
          <t>Month 10</t>
        </is>
      </c>
      <c r="AA30" s="138" t="n"/>
      <c r="AB30" s="138" t="inlineStr">
        <is>
          <t>Month 11</t>
        </is>
      </c>
      <c r="AC30" s="138" t="n"/>
      <c r="AD30" s="138" t="inlineStr">
        <is>
          <t>Month 12</t>
        </is>
      </c>
      <c r="AE30" s="932" t="n"/>
      <c r="AF30" s="138" t="inlineStr">
        <is>
          <t>Ʃ, Full-Year</t>
        </is>
      </c>
    </row>
    <row r="33">
      <c r="B33" s="626" t="n"/>
      <c r="C33" s="626" t="n"/>
      <c r="D33" s="117" t="inlineStr">
        <is>
          <t>Year 0</t>
        </is>
      </c>
      <c r="E33" s="117" t="n"/>
      <c r="F33" s="133" t="inlineStr">
        <is>
          <t>-12 - -1</t>
        </is>
      </c>
      <c r="G33" s="1968" t="n"/>
      <c r="H33" s="978" t="n"/>
      <c r="I33" s="978" t="n"/>
      <c r="J33" s="978" t="n"/>
      <c r="K33" s="978" t="n"/>
      <c r="L33" s="978" t="n"/>
      <c r="M33" s="978" t="n"/>
      <c r="N33" s="978" t="n"/>
      <c r="O33" s="978" t="n"/>
      <c r="P33" s="978" t="n"/>
      <c r="Q33" s="978" t="n"/>
      <c r="R33" s="978" t="n"/>
      <c r="S33" s="978" t="n"/>
      <c r="T33" s="978" t="n"/>
      <c r="U33" s="978" t="n"/>
      <c r="V33" s="978" t="n"/>
      <c r="W33" s="978" t="n"/>
      <c r="X33" s="978" t="n"/>
      <c r="Y33" s="978" t="n"/>
      <c r="Z33" s="978" t="n"/>
      <c r="AA33" s="978" t="n"/>
      <c r="AB33" s="978" t="n"/>
      <c r="AC33" s="978" t="n"/>
      <c r="AD33" s="978" t="n"/>
      <c r="AE33" s="978" t="n"/>
      <c r="AF33" s="978" t="n"/>
    </row>
    <row r="34">
      <c r="B34" s="626" t="n"/>
      <c r="C34" s="626" t="n"/>
      <c r="D34" s="117" t="inlineStr">
        <is>
          <t>Year 1</t>
        </is>
      </c>
      <c r="E34" s="117" t="n"/>
      <c r="F34" s="134" t="inlineStr">
        <is>
          <t>1 - 12</t>
        </is>
      </c>
      <c r="G34" s="626" t="n"/>
      <c r="H34" s="139">
        <f>'Attrition Wedge (Computer App)'!G74</f>
        <v/>
      </c>
      <c r="I34" s="139" t="n"/>
      <c r="J34" s="139">
        <f>'Attrition Wedge (Computer App)'!H74</f>
        <v/>
      </c>
      <c r="K34" s="139" t="n"/>
      <c r="L34" s="139">
        <f>'Attrition Wedge (Computer App)'!I74</f>
        <v/>
      </c>
      <c r="M34" s="139" t="n"/>
      <c r="N34" s="139">
        <f>'Attrition Wedge (Computer App)'!J74</f>
        <v/>
      </c>
      <c r="O34" s="139" t="n"/>
      <c r="P34" s="139">
        <f>'Attrition Wedge (Computer App)'!K74</f>
        <v/>
      </c>
      <c r="Q34" s="139" t="n"/>
      <c r="R34" s="139">
        <f>'Attrition Wedge (Computer App)'!L74</f>
        <v/>
      </c>
      <c r="S34" s="139" t="n"/>
      <c r="T34" s="139">
        <f>'Attrition Wedge (Computer App)'!M74</f>
        <v/>
      </c>
      <c r="U34" s="139" t="n"/>
      <c r="V34" s="139">
        <f>'Attrition Wedge (Computer App)'!N74</f>
        <v/>
      </c>
      <c r="W34" s="139" t="n"/>
      <c r="X34" s="139">
        <f>'Attrition Wedge (Computer App)'!O74</f>
        <v/>
      </c>
      <c r="Y34" s="139" t="n"/>
      <c r="Z34" s="139">
        <f>'Attrition Wedge (Computer App)'!P74</f>
        <v/>
      </c>
      <c r="AA34" s="139" t="n"/>
      <c r="AB34" s="139">
        <f>'Attrition Wedge (Computer App)'!Q74</f>
        <v/>
      </c>
      <c r="AC34" s="139" t="n"/>
      <c r="AD34" s="139">
        <f>'Attrition Wedge (Computer App)'!R74</f>
        <v/>
      </c>
      <c r="AE34" s="139" t="n"/>
      <c r="AF34" s="136">
        <f>((H34)+(J34)+(L34)+(N34)+(P34)+(R34)+(T34)+(V34)+(X34)+(Z34)+(AB34)+(AD34))</f>
        <v/>
      </c>
    </row>
    <row r="35">
      <c r="B35" s="626" t="n"/>
      <c r="C35" s="626" t="n"/>
      <c r="D35" s="117" t="inlineStr">
        <is>
          <t>Year 2</t>
        </is>
      </c>
      <c r="E35" s="117" t="n"/>
      <c r="F35" s="137" t="inlineStr">
        <is>
          <t>13 - 24</t>
        </is>
      </c>
      <c r="G35" s="626" t="n"/>
      <c r="H35" s="139">
        <f>'Attrition Wedge (Computer App)'!S74</f>
        <v/>
      </c>
      <c r="I35" s="139" t="n"/>
      <c r="J35" s="139">
        <f>'Attrition Wedge (Computer App)'!T74</f>
        <v/>
      </c>
      <c r="K35" s="139" t="n"/>
      <c r="L35" s="139">
        <f>'Attrition Wedge (Computer App)'!U74</f>
        <v/>
      </c>
      <c r="M35" s="139" t="n"/>
      <c r="N35" s="139">
        <f>'Attrition Wedge (Computer App)'!V74</f>
        <v/>
      </c>
      <c r="O35" s="139" t="n"/>
      <c r="P35" s="139">
        <f>'Attrition Wedge (Computer App)'!W74</f>
        <v/>
      </c>
      <c r="Q35" s="139" t="n"/>
      <c r="R35" s="139">
        <f>'Attrition Wedge (Computer App)'!X74</f>
        <v/>
      </c>
      <c r="S35" s="139" t="n"/>
      <c r="T35" s="139">
        <f>'Attrition Wedge (Computer App)'!Y74</f>
        <v/>
      </c>
      <c r="U35" s="139" t="n"/>
      <c r="V35" s="139">
        <f>'Attrition Wedge (Computer App)'!Z74</f>
        <v/>
      </c>
      <c r="W35" s="139" t="n"/>
      <c r="X35" s="139">
        <f>'Attrition Wedge (Computer App)'!AA74</f>
        <v/>
      </c>
      <c r="Y35" s="139" t="n"/>
      <c r="Z35" s="139">
        <f>'Attrition Wedge (Computer App)'!AB74</f>
        <v/>
      </c>
      <c r="AA35" s="139" t="n"/>
      <c r="AB35" s="139">
        <f>'Attrition Wedge (Computer App)'!AC74</f>
        <v/>
      </c>
      <c r="AC35" s="139" t="n"/>
      <c r="AD35" s="139">
        <f>'Attrition Wedge (Computer App)'!AD74</f>
        <v/>
      </c>
      <c r="AE35" s="139" t="n"/>
      <c r="AF35" s="136">
        <f>((H35)+(J35)+(L35)+(N35)+(P35)+(R35)+(T35)+(V35)+(X35)+(Z35)+(AB35)+(AD35))</f>
        <v/>
      </c>
    </row>
    <row r="36">
      <c r="B36" s="626" t="n"/>
      <c r="C36" s="626" t="n"/>
      <c r="D36" s="117" t="inlineStr">
        <is>
          <t>Year 3</t>
        </is>
      </c>
      <c r="E36" s="117" t="n"/>
      <c r="F36" s="137" t="inlineStr">
        <is>
          <t>25 - 36</t>
        </is>
      </c>
      <c r="G36" s="626" t="n"/>
      <c r="H36" s="139">
        <f>'Attrition Wedge (Computer App)'!AE74</f>
        <v/>
      </c>
      <c r="I36" s="139" t="n"/>
      <c r="J36" s="139">
        <f>'Attrition Wedge (Computer App)'!AF74</f>
        <v/>
      </c>
      <c r="K36" s="139" t="n"/>
      <c r="L36" s="139">
        <f>'Attrition Wedge (Computer App)'!AG74</f>
        <v/>
      </c>
      <c r="M36" s="139" t="n"/>
      <c r="N36" s="139">
        <f>'Attrition Wedge (Computer App)'!AH74</f>
        <v/>
      </c>
      <c r="O36" s="139" t="n"/>
      <c r="P36" s="139">
        <f>'Attrition Wedge (Computer App)'!AI74</f>
        <v/>
      </c>
      <c r="Q36" s="139" t="n"/>
      <c r="R36" s="139">
        <f>'Attrition Wedge (Computer App)'!AJ74</f>
        <v/>
      </c>
      <c r="S36" s="139" t="n"/>
      <c r="T36" s="139">
        <f>'Attrition Wedge (Computer App)'!AK74</f>
        <v/>
      </c>
      <c r="U36" s="139" t="n"/>
      <c r="V36" s="139">
        <f>'Attrition Wedge (Computer App)'!AL74</f>
        <v/>
      </c>
      <c r="W36" s="139" t="n"/>
      <c r="X36" s="139">
        <f>'Attrition Wedge (Computer App)'!AM74</f>
        <v/>
      </c>
      <c r="Y36" s="139" t="n"/>
      <c r="Z36" s="139">
        <f>'Attrition Wedge (Computer App)'!AN74</f>
        <v/>
      </c>
      <c r="AA36" s="139" t="n"/>
      <c r="AB36" s="139">
        <f>'Attrition Wedge (Computer App)'!AO74</f>
        <v/>
      </c>
      <c r="AC36" s="139" t="n"/>
      <c r="AD36" s="139">
        <f>'Attrition Wedge (Computer App)'!AP74</f>
        <v/>
      </c>
      <c r="AE36" s="139" t="n"/>
      <c r="AF36" s="136">
        <f>((H36)+(J36)+(L36)+(N36)+(P36)+(R36)+(T36)+(V36)+(X36)+(Z36)+(AB36)+(AD36))</f>
        <v/>
      </c>
    </row>
    <row r="37">
      <c r="B37" s="626" t="n"/>
      <c r="C37" s="626" t="n"/>
      <c r="D37" s="117" t="inlineStr">
        <is>
          <t>Year 4</t>
        </is>
      </c>
      <c r="E37" s="117" t="n"/>
      <c r="F37" s="137" t="inlineStr">
        <is>
          <t>37 - 48</t>
        </is>
      </c>
      <c r="G37" s="626" t="n"/>
      <c r="H37" s="139">
        <f>'Attrition Wedge (Computer App)'!AQ74</f>
        <v/>
      </c>
      <c r="I37" s="139" t="n"/>
      <c r="J37" s="139">
        <f>'Attrition Wedge (Computer App)'!AR74</f>
        <v/>
      </c>
      <c r="K37" s="139" t="n"/>
      <c r="L37" s="139">
        <f>'Attrition Wedge (Computer App)'!AS74</f>
        <v/>
      </c>
      <c r="M37" s="139" t="n"/>
      <c r="N37" s="139">
        <f>'Attrition Wedge (Computer App)'!AT74</f>
        <v/>
      </c>
      <c r="O37" s="139" t="n"/>
      <c r="P37" s="139">
        <f>'Attrition Wedge (Computer App)'!AU74</f>
        <v/>
      </c>
      <c r="Q37" s="139" t="n"/>
      <c r="R37" s="139">
        <f>'Attrition Wedge (Computer App)'!AV74</f>
        <v/>
      </c>
      <c r="S37" s="139" t="n"/>
      <c r="T37" s="139">
        <f>'Attrition Wedge (Computer App)'!AW74</f>
        <v/>
      </c>
      <c r="U37" s="139" t="n"/>
      <c r="V37" s="139">
        <f>'Attrition Wedge (Computer App)'!AX74</f>
        <v/>
      </c>
      <c r="W37" s="139" t="n"/>
      <c r="X37" s="139">
        <f>'Attrition Wedge (Computer App)'!AY74</f>
        <v/>
      </c>
      <c r="Y37" s="139" t="n"/>
      <c r="Z37" s="139">
        <f>'Attrition Wedge (Computer App)'!AZ74</f>
        <v/>
      </c>
      <c r="AA37" s="139" t="n"/>
      <c r="AB37" s="139">
        <f>'Attrition Wedge (Computer App)'!BA74</f>
        <v/>
      </c>
      <c r="AC37" s="139" t="n"/>
      <c r="AD37" s="139">
        <f>'Attrition Wedge (Computer App)'!BB74</f>
        <v/>
      </c>
      <c r="AE37" s="139" t="n"/>
      <c r="AF37" s="136">
        <f>((H37)+(J37)+(L37)+(N37)+(P37)+(R37)+(T37)+(V37)+(X37)+(Z37)+(AB37)+(AD37))</f>
        <v/>
      </c>
    </row>
    <row r="38">
      <c r="B38" s="626" t="n"/>
      <c r="C38" s="626" t="n"/>
      <c r="D38" s="117" t="inlineStr">
        <is>
          <t>Year 5</t>
        </is>
      </c>
      <c r="E38" s="117" t="n"/>
      <c r="F38" s="137" t="inlineStr">
        <is>
          <t>49 - 60</t>
        </is>
      </c>
      <c r="G38" s="626" t="n"/>
      <c r="H38" s="139">
        <f>'Attrition Wedge (Computer App)'!BC74</f>
        <v/>
      </c>
      <c r="I38" s="139" t="n"/>
      <c r="J38" s="139">
        <f>'Attrition Wedge (Computer App)'!BD74</f>
        <v/>
      </c>
      <c r="K38" s="139" t="n"/>
      <c r="L38" s="139">
        <f>'Attrition Wedge (Computer App)'!BE74</f>
        <v/>
      </c>
      <c r="M38" s="139" t="n"/>
      <c r="N38" s="139">
        <f>'Attrition Wedge (Computer App)'!BF74</f>
        <v/>
      </c>
      <c r="O38" s="139" t="n"/>
      <c r="P38" s="139">
        <f>'Attrition Wedge (Computer App)'!BG74</f>
        <v/>
      </c>
      <c r="Q38" s="139" t="n"/>
      <c r="R38" s="139">
        <f>'Attrition Wedge (Computer App)'!BH74</f>
        <v/>
      </c>
      <c r="S38" s="139" t="n"/>
      <c r="T38" s="139">
        <f>'Attrition Wedge (Computer App)'!BI74</f>
        <v/>
      </c>
      <c r="U38" s="139" t="n"/>
      <c r="V38" s="139">
        <f>'Attrition Wedge (Computer App)'!BJ74</f>
        <v/>
      </c>
      <c r="W38" s="139" t="n"/>
      <c r="X38" s="139">
        <f>'Attrition Wedge (Computer App)'!BK74</f>
        <v/>
      </c>
      <c r="Y38" s="139" t="n"/>
      <c r="Z38" s="139">
        <f>'Attrition Wedge (Computer App)'!BL74</f>
        <v/>
      </c>
      <c r="AA38" s="139" t="n"/>
      <c r="AB38" s="139">
        <f>'Attrition Wedge (Computer App)'!BM74</f>
        <v/>
      </c>
      <c r="AC38" s="139" t="n"/>
      <c r="AD38" s="139">
        <f>'Attrition Wedge (Computer App)'!BN74</f>
        <v/>
      </c>
      <c r="AE38" s="139" t="n"/>
      <c r="AF38" s="136">
        <f>((H38)+(J38)+(L38)+(N38)+(P38)+(R38)+(T38)+(V38)+(X38)+(Z38)+(AB38)+(AD38))</f>
        <v/>
      </c>
    </row>
    <row r="39" ht="13" customHeight="1" s="1883">
      <c r="B39" s="626" t="n"/>
      <c r="C39" s="626" t="n"/>
      <c r="D39" s="626" t="n"/>
      <c r="E39" s="626" t="n"/>
      <c r="F39" s="626" t="n"/>
      <c r="G39" s="626" t="n"/>
      <c r="H39" s="932" t="n"/>
      <c r="I39" s="932" t="n"/>
      <c r="J39" s="932" t="n"/>
      <c r="K39" s="932" t="n"/>
      <c r="L39" s="932" t="n"/>
      <c r="M39" s="932" t="n"/>
      <c r="N39" s="932" t="n"/>
      <c r="O39" s="932" t="n"/>
      <c r="P39" s="932" t="n"/>
      <c r="Q39" s="932" t="n"/>
      <c r="R39" s="932" t="n"/>
      <c r="S39" s="932" t="n"/>
      <c r="T39" s="932" t="n"/>
      <c r="U39" s="932" t="n"/>
      <c r="V39" s="932" t="n"/>
      <c r="W39" s="932" t="n"/>
      <c r="X39" s="932" t="n"/>
      <c r="Y39" s="932" t="n"/>
      <c r="Z39" s="932" t="n"/>
      <c r="AA39" s="932" t="n"/>
      <c r="AB39" s="932" t="n"/>
      <c r="AC39" s="932" t="n"/>
      <c r="AD39" s="932" t="n"/>
      <c r="AE39" s="932" t="n"/>
      <c r="AF39" s="932" t="n"/>
    </row>
    <row r="40" ht="13" customHeight="1" s="1883">
      <c r="B40" s="626" t="n"/>
      <c r="C40" s="626" t="n"/>
      <c r="D40" s="626" t="n"/>
      <c r="E40" s="626" t="n"/>
      <c r="F40" s="626" t="n"/>
      <c r="G40" s="626" t="n"/>
      <c r="H40" s="932" t="n"/>
      <c r="I40" s="932" t="n"/>
      <c r="J40" s="932" t="n"/>
      <c r="K40" s="932" t="n"/>
      <c r="L40" s="932" t="n"/>
      <c r="M40" s="932" t="n"/>
      <c r="N40" s="932" t="n"/>
      <c r="O40" s="932" t="n"/>
      <c r="P40" s="932" t="n"/>
      <c r="Q40" s="932" t="n"/>
      <c r="R40" s="932" t="n"/>
      <c r="S40" s="932" t="n"/>
      <c r="T40" s="932" t="n"/>
      <c r="U40" s="932" t="n"/>
      <c r="V40" s="932" t="n"/>
      <c r="W40" s="932" t="n"/>
      <c r="X40" s="932" t="n"/>
      <c r="Y40" s="932" t="n"/>
      <c r="Z40" s="932" t="n"/>
      <c r="AA40" s="932" t="n"/>
      <c r="AB40" s="932" t="n"/>
      <c r="AC40" s="932" t="n"/>
      <c r="AD40" s="932" t="n"/>
      <c r="AE40" s="932" t="n"/>
      <c r="AF40" s="932" t="n"/>
    </row>
    <row r="41" ht="13" customHeight="1" s="1883">
      <c r="B41" s="626" t="n"/>
      <c r="C41" s="626" t="n"/>
      <c r="D41" s="626" t="n"/>
      <c r="E41" s="626" t="n"/>
      <c r="F41" s="626" t="n"/>
      <c r="G41" s="626" t="n"/>
      <c r="H41" s="932" t="n"/>
      <c r="I41" s="932" t="n"/>
      <c r="J41" s="932" t="n"/>
      <c r="K41" s="932" t="n"/>
      <c r="L41" s="932" t="n"/>
      <c r="M41" s="932" t="n"/>
      <c r="N41" s="932" t="n"/>
      <c r="O41" s="932" t="n"/>
      <c r="P41" s="932" t="n"/>
      <c r="Q41" s="932" t="n"/>
      <c r="R41" s="932" t="n"/>
      <c r="S41" s="932" t="n"/>
      <c r="T41" s="932" t="n"/>
      <c r="U41" s="932" t="n"/>
      <c r="V41" s="932" t="n"/>
      <c r="W41" s="932" t="n"/>
      <c r="X41" s="932" t="n"/>
      <c r="Y41" s="932" t="n"/>
      <c r="Z41" s="932" t="n"/>
      <c r="AA41" s="932" t="n"/>
      <c r="AB41" s="932" t="n"/>
      <c r="AC41" s="932" t="n"/>
      <c r="AD41" s="932" t="n"/>
      <c r="AE41" s="932" t="n"/>
      <c r="AF41" s="932" t="n"/>
    </row>
    <row r="42" ht="13" customHeight="1" s="1883">
      <c r="B42" s="626" t="n"/>
      <c r="C42" s="626" t="n"/>
      <c r="D42" s="626" t="n"/>
      <c r="E42" s="626" t="n"/>
      <c r="F42" s="626" t="n"/>
      <c r="G42" s="626" t="n"/>
      <c r="H42" s="932" t="n"/>
      <c r="I42" s="932" t="n"/>
      <c r="J42" s="932" t="n"/>
      <c r="K42" s="932" t="n"/>
      <c r="L42" s="932" t="n"/>
      <c r="M42" s="932" t="n"/>
      <c r="N42" s="932" t="n"/>
      <c r="O42" s="932" t="n"/>
      <c r="P42" s="932" t="n"/>
      <c r="Q42" s="932" t="n"/>
      <c r="R42" s="932" t="n"/>
      <c r="S42" s="932" t="n"/>
      <c r="T42" s="932" t="n"/>
      <c r="U42" s="932" t="n"/>
      <c r="V42" s="932" t="n"/>
      <c r="W42" s="932" t="n"/>
      <c r="X42" s="932" t="n"/>
      <c r="Y42" s="932" t="n"/>
      <c r="Z42" s="932" t="n"/>
      <c r="AA42" s="932" t="n"/>
      <c r="AB42" s="932" t="n"/>
      <c r="AC42" s="932" t="n"/>
      <c r="AD42" s="932" t="n"/>
      <c r="AE42" s="932" t="n"/>
      <c r="AF42" s="932" t="n"/>
    </row>
    <row r="43" ht="13" customHeight="1" s="1883">
      <c r="B43" s="626" t="n"/>
      <c r="C43" s="626" t="n"/>
      <c r="D43" s="626" t="n"/>
      <c r="E43" s="626" t="n"/>
      <c r="F43" s="626" t="n"/>
      <c r="G43" s="626" t="n"/>
      <c r="H43" s="932" t="n"/>
      <c r="I43" s="932" t="n"/>
      <c r="J43" s="932" t="n"/>
      <c r="K43" s="932" t="n"/>
      <c r="L43" s="932" t="n"/>
      <c r="M43" s="932" t="n"/>
      <c r="N43" s="932" t="n"/>
      <c r="O43" s="932" t="n"/>
      <c r="P43" s="932" t="n"/>
      <c r="Q43" s="932" t="n"/>
      <c r="R43" s="932" t="n"/>
      <c r="S43" s="932" t="n"/>
      <c r="T43" s="932" t="n"/>
      <c r="U43" s="932" t="n"/>
      <c r="V43" s="932" t="n"/>
      <c r="W43" s="932" t="n"/>
      <c r="X43" s="932" t="n"/>
      <c r="Y43" s="932" t="n"/>
      <c r="Z43" s="932" t="n"/>
      <c r="AA43" s="932" t="n"/>
      <c r="AB43" s="932" t="n"/>
      <c r="AC43" s="932" t="n"/>
      <c r="AD43" s="932" t="n"/>
      <c r="AE43" s="932" t="n"/>
      <c r="AF43" s="932" t="n"/>
    </row>
    <row r="44">
      <c r="B44" s="118" t="inlineStr">
        <is>
          <t>III.</t>
        </is>
      </c>
      <c r="C44" s="626" t="n"/>
      <c r="D44" s="118" t="inlineStr">
        <is>
          <t>Active Apps</t>
        </is>
      </c>
      <c r="E44" s="118" t="n"/>
      <c r="F44" s="626" t="n"/>
      <c r="G44" s="626" t="n"/>
      <c r="H44" s="1904" t="inlineStr">
        <is>
          <t>Fiscal Year</t>
        </is>
      </c>
    </row>
    <row r="45" ht="3" customHeight="1" s="1883">
      <c r="B45" s="926" t="n"/>
      <c r="C45" s="926" t="n"/>
      <c r="D45" s="926" t="n"/>
      <c r="E45" s="926" t="n"/>
      <c r="F45" s="926" t="n"/>
      <c r="G45" s="626" t="n"/>
      <c r="H45" s="933" t="n"/>
      <c r="I45" s="933" t="n"/>
      <c r="J45" s="933" t="n"/>
      <c r="K45" s="933" t="n"/>
      <c r="L45" s="933" t="n"/>
      <c r="M45" s="933" t="n"/>
      <c r="N45" s="933" t="n"/>
      <c r="O45" s="933" t="n"/>
      <c r="P45" s="933" t="n"/>
      <c r="Q45" s="933" t="n"/>
      <c r="R45" s="933" t="n"/>
      <c r="S45" s="933" t="n"/>
      <c r="T45" s="933" t="n"/>
      <c r="U45" s="933" t="n"/>
      <c r="V45" s="933" t="n"/>
      <c r="W45" s="933" t="n"/>
      <c r="X45" s="933" t="n"/>
      <c r="Y45" s="933" t="n"/>
      <c r="Z45" s="933" t="n"/>
      <c r="AA45" s="933" t="n"/>
      <c r="AB45" s="933" t="n"/>
      <c r="AC45" s="933" t="n"/>
      <c r="AD45" s="933" t="n"/>
      <c r="AE45" s="933" t="n"/>
      <c r="AF45" s="933" t="n"/>
    </row>
    <row r="46" ht="3" customHeight="1" s="1883">
      <c r="B46" s="626" t="n"/>
      <c r="C46" s="626" t="n"/>
      <c r="D46" s="626" t="n"/>
      <c r="E46" s="626" t="n"/>
      <c r="F46" s="626" t="n"/>
      <c r="G46" s="626" t="n"/>
      <c r="H46" s="932" t="n"/>
      <c r="I46" s="932" t="n"/>
      <c r="J46" s="932" t="n"/>
      <c r="K46" s="932" t="n"/>
      <c r="L46" s="932" t="n"/>
      <c r="M46" s="932" t="n"/>
      <c r="N46" s="932" t="n"/>
      <c r="O46" s="932" t="n"/>
      <c r="P46" s="932" t="n"/>
      <c r="Q46" s="932" t="n"/>
      <c r="R46" s="932" t="n"/>
      <c r="S46" s="932" t="n"/>
      <c r="T46" s="932" t="n"/>
      <c r="U46" s="932" t="n"/>
      <c r="V46" s="932" t="n"/>
      <c r="W46" s="932" t="n"/>
      <c r="X46" s="932" t="n"/>
      <c r="Y46" s="932" t="n"/>
      <c r="Z46" s="932" t="n"/>
      <c r="AA46" s="932" t="n"/>
      <c r="AB46" s="932" t="n"/>
      <c r="AC46" s="932" t="n"/>
      <c r="AD46" s="932" t="n"/>
      <c r="AE46" s="932" t="n"/>
      <c r="AF46" s="932" t="n"/>
    </row>
    <row r="47">
      <c r="B47" s="626" t="n"/>
      <c r="C47" s="626" t="n"/>
      <c r="D47" s="117" t="inlineStr">
        <is>
          <t>Year</t>
        </is>
      </c>
      <c r="E47" s="117" t="n"/>
      <c r="F47" s="117" t="inlineStr">
        <is>
          <t>Months</t>
        </is>
      </c>
      <c r="G47" s="626" t="n"/>
      <c r="H47" s="138" t="inlineStr">
        <is>
          <t>Month 1</t>
        </is>
      </c>
      <c r="I47" s="138" t="n"/>
      <c r="J47" s="138" t="inlineStr">
        <is>
          <t>Month 2</t>
        </is>
      </c>
      <c r="K47" s="138" t="n"/>
      <c r="L47" s="138" t="inlineStr">
        <is>
          <t>Month 3</t>
        </is>
      </c>
      <c r="M47" s="138" t="n"/>
      <c r="N47" s="138" t="inlineStr">
        <is>
          <t>Month 4</t>
        </is>
      </c>
      <c r="O47" s="138" t="n"/>
      <c r="P47" s="138" t="inlineStr">
        <is>
          <t>Month 5</t>
        </is>
      </c>
      <c r="Q47" s="138" t="n"/>
      <c r="R47" s="138" t="inlineStr">
        <is>
          <t>Month 6</t>
        </is>
      </c>
      <c r="S47" s="138" t="n"/>
      <c r="T47" s="138" t="inlineStr">
        <is>
          <t>Month 7</t>
        </is>
      </c>
      <c r="U47" s="138" t="n"/>
      <c r="V47" s="138" t="inlineStr">
        <is>
          <t>Month 8</t>
        </is>
      </c>
      <c r="W47" s="138" t="n"/>
      <c r="X47" s="138" t="inlineStr">
        <is>
          <t>Month 9</t>
        </is>
      </c>
      <c r="Y47" s="138" t="n"/>
      <c r="Z47" s="138" t="inlineStr">
        <is>
          <t>Month 10</t>
        </is>
      </c>
      <c r="AA47" s="138" t="n"/>
      <c r="AB47" s="138" t="inlineStr">
        <is>
          <t>Month 11</t>
        </is>
      </c>
      <c r="AC47" s="138" t="n"/>
      <c r="AD47" s="138" t="inlineStr">
        <is>
          <t>Month 12</t>
        </is>
      </c>
      <c r="AE47" s="932" t="n"/>
      <c r="AF47" s="138" t="inlineStr">
        <is>
          <t>Ʃ, Full-Year</t>
        </is>
      </c>
    </row>
    <row r="50">
      <c r="D50" s="117" t="inlineStr">
        <is>
          <t>Year 0</t>
        </is>
      </c>
      <c r="E50" s="117" t="n"/>
      <c r="F50" s="133" t="inlineStr">
        <is>
          <t>-12 - -1</t>
        </is>
      </c>
      <c r="G50" s="1968" t="n"/>
      <c r="H50" s="978" t="n"/>
      <c r="I50" s="978" t="n"/>
      <c r="J50" s="978" t="n"/>
      <c r="K50" s="978" t="n"/>
      <c r="L50" s="978" t="n"/>
      <c r="M50" s="978" t="n"/>
      <c r="N50" s="978" t="n"/>
      <c r="O50" s="978" t="n"/>
      <c r="P50" s="978" t="n"/>
      <c r="Q50" s="978" t="n"/>
      <c r="R50" s="978" t="n"/>
      <c r="S50" s="978" t="n"/>
      <c r="T50" s="978" t="n"/>
      <c r="U50" s="978" t="n"/>
      <c r="V50" s="978" t="n"/>
      <c r="W50" s="978" t="n"/>
      <c r="X50" s="978" t="n"/>
      <c r="Y50" s="978" t="n"/>
      <c r="Z50" s="978" t="n"/>
      <c r="AA50" s="978" t="n"/>
      <c r="AB50" s="978" t="n"/>
      <c r="AC50" s="978" t="n"/>
      <c r="AD50" s="978" t="n"/>
      <c r="AE50" s="978" t="n"/>
      <c r="AF50" s="978" t="n"/>
    </row>
    <row r="51" ht="13" customHeight="1" s="1883">
      <c r="D51" s="626" t="n"/>
      <c r="E51" s="626" t="n"/>
      <c r="F51" s="626" t="n"/>
      <c r="G51" s="626" t="n"/>
      <c r="H51" s="932" t="n"/>
      <c r="I51" s="932" t="n"/>
      <c r="J51" s="932" t="n"/>
      <c r="K51" s="932" t="n"/>
      <c r="L51" s="932" t="n"/>
      <c r="M51" s="932" t="n"/>
      <c r="N51" s="932" t="n"/>
      <c r="O51" s="932" t="n"/>
      <c r="P51" s="932" t="n"/>
      <c r="Q51" s="932" t="n"/>
      <c r="R51" s="932" t="n"/>
      <c r="S51" s="932" t="n"/>
      <c r="T51" s="932" t="n"/>
      <c r="U51" s="932" t="n"/>
      <c r="V51" s="932" t="n"/>
      <c r="W51" s="932" t="n"/>
      <c r="X51" s="932" t="n"/>
      <c r="Y51" s="932" t="n"/>
      <c r="Z51" s="932" t="n"/>
      <c r="AA51" s="932" t="n"/>
      <c r="AB51" s="932" t="n"/>
      <c r="AC51" s="932" t="n"/>
      <c r="AD51" s="932" t="n"/>
      <c r="AE51" s="932" t="n"/>
      <c r="AF51" s="932" t="n"/>
    </row>
    <row r="52" ht="13" customHeight="1" s="1883">
      <c r="D52" s="626" t="n"/>
      <c r="E52" s="626" t="n"/>
      <c r="F52" s="626" t="n"/>
      <c r="G52" s="626" t="n"/>
      <c r="H52" s="932" t="n"/>
      <c r="I52" s="932" t="n"/>
      <c r="J52" s="932" t="n"/>
      <c r="K52" s="932" t="n"/>
      <c r="L52" s="932" t="n"/>
      <c r="M52" s="932" t="n"/>
      <c r="N52" s="932" t="n"/>
      <c r="O52" s="932" t="n"/>
      <c r="P52" s="932" t="n"/>
      <c r="Q52" s="932" t="n"/>
      <c r="R52" s="932" t="n"/>
      <c r="S52" s="932" t="n"/>
      <c r="T52" s="932" t="n"/>
      <c r="U52" s="932" t="n"/>
      <c r="V52" s="932" t="n"/>
      <c r="W52" s="932" t="n"/>
      <c r="X52" s="932" t="n"/>
      <c r="Y52" s="932" t="n"/>
      <c r="Z52" s="932" t="n"/>
      <c r="AA52" s="932" t="n"/>
      <c r="AB52" s="932" t="n"/>
      <c r="AC52" s="932" t="n"/>
      <c r="AD52" s="932" t="n"/>
      <c r="AE52" s="932" t="n"/>
      <c r="AF52" s="932" t="n"/>
    </row>
    <row r="53">
      <c r="D53" s="117" t="inlineStr">
        <is>
          <t>Year 1</t>
        </is>
      </c>
      <c r="E53" s="117" t="n"/>
      <c r="F53" s="134" t="inlineStr">
        <is>
          <t>1 - 12</t>
        </is>
      </c>
      <c r="G53" s="626" t="n"/>
      <c r="H53" s="932" t="n"/>
      <c r="I53" s="932" t="n"/>
      <c r="J53" s="932" t="n"/>
      <c r="K53" s="932" t="n"/>
      <c r="L53" s="932" t="n"/>
      <c r="M53" s="932" t="n"/>
      <c r="N53" s="932" t="n"/>
      <c r="O53" s="932" t="n"/>
      <c r="P53" s="932" t="n"/>
      <c r="Q53" s="932" t="n"/>
      <c r="R53" s="932" t="n"/>
      <c r="S53" s="932" t="n"/>
      <c r="T53" s="932" t="n"/>
      <c r="U53" s="932" t="n"/>
      <c r="V53" s="932" t="n"/>
      <c r="W53" s="932" t="n"/>
      <c r="X53" s="932" t="n"/>
      <c r="Y53" s="932" t="n"/>
      <c r="Z53" s="932" t="n"/>
      <c r="AA53" s="932" t="n"/>
      <c r="AB53" s="932" t="n"/>
      <c r="AC53" s="932" t="n"/>
      <c r="AD53" s="932" t="n"/>
      <c r="AE53" s="932" t="n"/>
      <c r="AF53" s="932" t="n"/>
    </row>
    <row r="54">
      <c r="D54" s="1905" t="inlineStr">
        <is>
          <t xml:space="preserve">     Beginning of Month</t>
        </is>
      </c>
      <c r="G54" s="626" t="n"/>
      <c r="H54" s="140" t="n">
        <v>0</v>
      </c>
      <c r="I54" s="932" t="n"/>
      <c r="J54" s="135">
        <f>(H59)</f>
        <v/>
      </c>
      <c r="K54" s="932" t="n"/>
      <c r="L54" s="135">
        <f>(J59)</f>
        <v/>
      </c>
      <c r="M54" s="932" t="n"/>
      <c r="N54" s="135">
        <f>(L59)</f>
        <v/>
      </c>
      <c r="O54" s="932" t="n"/>
      <c r="P54" s="135">
        <f>(N59)</f>
        <v/>
      </c>
      <c r="Q54" s="932" t="n"/>
      <c r="R54" s="135">
        <f>(P59)</f>
        <v/>
      </c>
      <c r="S54" s="932" t="n"/>
      <c r="T54" s="135">
        <f>(R59)</f>
        <v/>
      </c>
      <c r="U54" s="932" t="n"/>
      <c r="V54" s="135">
        <f>(T59)</f>
        <v/>
      </c>
      <c r="W54" s="932" t="n"/>
      <c r="X54" s="135">
        <f>(V59)</f>
        <v/>
      </c>
      <c r="Y54" s="932" t="n"/>
      <c r="Z54" s="135">
        <f>(X59)</f>
        <v/>
      </c>
      <c r="AA54" s="932" t="n"/>
      <c r="AB54" s="135">
        <f>(Z59)</f>
        <v/>
      </c>
      <c r="AC54" s="932" t="n"/>
      <c r="AD54" s="135">
        <f>(AB59)</f>
        <v/>
      </c>
      <c r="AE54" s="932" t="n"/>
      <c r="AF54" s="140">
        <f>H54</f>
        <v/>
      </c>
    </row>
    <row r="55">
      <c r="D55" s="1905" t="inlineStr">
        <is>
          <t xml:space="preserve">     + Activated</t>
        </is>
      </c>
      <c r="G55" s="626" t="n"/>
      <c r="H55" s="135">
        <f>H17</f>
        <v/>
      </c>
      <c r="I55" s="932" t="n"/>
      <c r="J55" s="135">
        <f>J17</f>
        <v/>
      </c>
      <c r="K55" s="932" t="n"/>
      <c r="L55" s="135">
        <f>L17</f>
        <v/>
      </c>
      <c r="M55" s="932" t="n"/>
      <c r="N55" s="135">
        <f>N17</f>
        <v/>
      </c>
      <c r="O55" s="932" t="n"/>
      <c r="P55" s="135">
        <f>P17</f>
        <v/>
      </c>
      <c r="Q55" s="932" t="n"/>
      <c r="R55" s="135">
        <f>R17</f>
        <v/>
      </c>
      <c r="S55" s="932" t="n"/>
      <c r="T55" s="135">
        <f>T17</f>
        <v/>
      </c>
      <c r="U55" s="932" t="n"/>
      <c r="V55" s="135">
        <f>V17</f>
        <v/>
      </c>
      <c r="W55" s="932" t="n"/>
      <c r="X55" s="135">
        <f>X17</f>
        <v/>
      </c>
      <c r="Y55" s="932" t="n"/>
      <c r="Z55" s="135">
        <f>Z17</f>
        <v/>
      </c>
      <c r="AA55" s="932" t="n"/>
      <c r="AB55" s="135">
        <f>AB17</f>
        <v/>
      </c>
      <c r="AC55" s="932" t="n"/>
      <c r="AD55" s="135">
        <f>AD17</f>
        <v/>
      </c>
      <c r="AE55" s="932" t="n"/>
      <c r="AF55" s="136">
        <f>((H55)+(J55)+(L55)+(N55)+(P55)+(R55)+(T55)+(V55)+(X55)+(Z55)+(AB55)+(AD55))</f>
        <v/>
      </c>
    </row>
    <row r="56">
      <c r="D56" s="1905" t="inlineStr">
        <is>
          <t xml:space="preserve">     - Attrition</t>
        </is>
      </c>
      <c r="G56" s="626" t="n"/>
      <c r="H56" s="135">
        <f>((H34)*(-1))</f>
        <v/>
      </c>
      <c r="I56" s="932" t="n"/>
      <c r="J56" s="135">
        <f>'Attrition Wedge (Computer App)'!H74</f>
        <v/>
      </c>
      <c r="K56" s="932" t="n"/>
      <c r="L56" s="135">
        <f>'Attrition Wedge (Computer App)'!I74</f>
        <v/>
      </c>
      <c r="M56" s="932" t="n"/>
      <c r="N56" s="135">
        <f>'Attrition Wedge (Computer App)'!J74</f>
        <v/>
      </c>
      <c r="O56" s="932" t="n"/>
      <c r="P56" s="135">
        <f>'Attrition Wedge (Computer App)'!K74</f>
        <v/>
      </c>
      <c r="Q56" s="932" t="n"/>
      <c r="R56" s="135">
        <f>'Attrition Wedge (Computer App)'!L74</f>
        <v/>
      </c>
      <c r="S56" s="932" t="n"/>
      <c r="T56" s="135">
        <f>'Attrition Wedge (Computer App)'!M74</f>
        <v/>
      </c>
      <c r="U56" s="932" t="n"/>
      <c r="V56" s="135">
        <f>'Attrition Wedge (Computer App)'!N74</f>
        <v/>
      </c>
      <c r="W56" s="932" t="n"/>
      <c r="X56" s="135">
        <f>'Attrition Wedge (Computer App)'!O74</f>
        <v/>
      </c>
      <c r="Y56" s="932" t="n"/>
      <c r="Z56" s="135">
        <f>'Attrition Wedge (Computer App)'!P74</f>
        <v/>
      </c>
      <c r="AA56" s="932" t="n"/>
      <c r="AB56" s="135">
        <f>'Attrition Wedge (Computer App)'!Q74</f>
        <v/>
      </c>
      <c r="AC56" s="932" t="n"/>
      <c r="AD56" s="135">
        <f>'Attrition Wedge (Computer App)'!R74</f>
        <v/>
      </c>
      <c r="AE56" s="932" t="n"/>
      <c r="AF56" s="136">
        <f>((H56)+(J56)+(L56)+(N56)+(P56)+(R56)+(T56)+(V56)+(X56)+(Z56)+(AB56)+(AD56))</f>
        <v/>
      </c>
    </row>
    <row r="57" ht="3" customHeight="1" s="1883">
      <c r="D57" s="626" t="n"/>
      <c r="E57" s="626" t="n"/>
      <c r="F57" s="937" t="n"/>
      <c r="G57" s="626" t="n"/>
      <c r="H57" s="933" t="n"/>
      <c r="I57" s="932" t="n"/>
      <c r="J57" s="933" t="n"/>
      <c r="K57" s="932" t="n"/>
      <c r="L57" s="933" t="n"/>
      <c r="M57" s="932" t="n"/>
      <c r="N57" s="933" t="n"/>
      <c r="O57" s="932" t="n"/>
      <c r="P57" s="933" t="n"/>
      <c r="Q57" s="932" t="n"/>
      <c r="R57" s="933" t="n"/>
      <c r="S57" s="932" t="n"/>
      <c r="T57" s="933" t="n"/>
      <c r="U57" s="932" t="n"/>
      <c r="V57" s="933" t="n"/>
      <c r="W57" s="932" t="n"/>
      <c r="X57" s="933" t="n"/>
      <c r="Y57" s="932" t="n"/>
      <c r="Z57" s="933" t="n"/>
      <c r="AA57" s="932" t="n"/>
      <c r="AB57" s="933" t="n"/>
      <c r="AC57" s="932" t="n"/>
      <c r="AD57" s="933" t="n"/>
      <c r="AE57" s="932" t="n"/>
      <c r="AF57" s="933" t="n"/>
    </row>
    <row r="58" ht="3" customHeight="1" s="1883">
      <c r="D58" s="626" t="n"/>
      <c r="E58" s="626" t="n"/>
      <c r="F58" s="937" t="n"/>
      <c r="G58" s="626" t="n"/>
      <c r="H58" s="932" t="n"/>
      <c r="I58" s="932" t="n"/>
      <c r="J58" s="932" t="n"/>
      <c r="K58" s="932" t="n"/>
      <c r="L58" s="932" t="n"/>
      <c r="M58" s="932" t="n"/>
      <c r="N58" s="932" t="n"/>
      <c r="O58" s="932" t="n"/>
      <c r="P58" s="932" t="n"/>
      <c r="Q58" s="932" t="n"/>
      <c r="R58" s="932" t="n"/>
      <c r="S58" s="932" t="n"/>
      <c r="T58" s="932" t="n"/>
      <c r="U58" s="932" t="n"/>
      <c r="V58" s="932" t="n"/>
      <c r="W58" s="932" t="n"/>
      <c r="X58" s="932" t="n"/>
      <c r="Y58" s="932" t="n"/>
      <c r="Z58" s="932" t="n"/>
      <c r="AA58" s="932" t="n"/>
      <c r="AB58" s="932" t="n"/>
      <c r="AC58" s="932" t="n"/>
      <c r="AD58" s="932" t="n"/>
      <c r="AE58" s="932" t="n"/>
      <c r="AF58" s="932" t="n"/>
    </row>
    <row r="59">
      <c r="D59" s="1908" t="inlineStr">
        <is>
          <t xml:space="preserve">          End of Month</t>
        </is>
      </c>
      <c r="G59" s="626" t="n"/>
      <c r="H59" s="136">
        <f>((H54)+(H55)-(H56))</f>
        <v/>
      </c>
      <c r="I59" s="932" t="n"/>
      <c r="J59" s="136">
        <f>((J54)+(J55)-(J56))</f>
        <v/>
      </c>
      <c r="K59" s="932" t="n"/>
      <c r="L59" s="136">
        <f>((L54)+(L55)-(L56))</f>
        <v/>
      </c>
      <c r="M59" s="932" t="n"/>
      <c r="N59" s="136">
        <f>((N54)+(N55)-(N56))</f>
        <v/>
      </c>
      <c r="O59" s="932" t="n"/>
      <c r="P59" s="136">
        <f>((P54)+(P55)-(P56))</f>
        <v/>
      </c>
      <c r="Q59" s="932" t="n"/>
      <c r="R59" s="136">
        <f>((R54)+(R55)-(R56))</f>
        <v/>
      </c>
      <c r="S59" s="932" t="n"/>
      <c r="T59" s="136">
        <f>((T54)+(T55)-(T56))</f>
        <v/>
      </c>
      <c r="U59" s="932" t="n"/>
      <c r="V59" s="136">
        <f>((V54)+(V55)-(V56))</f>
        <v/>
      </c>
      <c r="W59" s="932" t="n"/>
      <c r="X59" s="136">
        <f>((X54)+(X55)-(X56))</f>
        <v/>
      </c>
      <c r="Y59" s="932" t="n"/>
      <c r="Z59" s="136">
        <f>((Z54)+(Z55)-(Z56))</f>
        <v/>
      </c>
      <c r="AA59" s="932" t="n"/>
      <c r="AB59" s="136">
        <f>((AB54)+(AB55)-(AB56))</f>
        <v/>
      </c>
      <c r="AC59" s="932" t="n"/>
      <c r="AD59" s="140">
        <f>((AD54)+(AD55)-(AD56))</f>
        <v/>
      </c>
      <c r="AE59" s="932" t="n"/>
      <c r="AF59" s="140">
        <f>((AF54)+(AF55)-(AF56))</f>
        <v/>
      </c>
    </row>
    <row r="60" ht="3" customHeight="1" s="1883">
      <c r="D60" s="116" t="n"/>
      <c r="E60" s="116" t="n"/>
      <c r="F60" s="116" t="n"/>
      <c r="G60" s="626" t="n"/>
      <c r="H60" s="933" t="n"/>
      <c r="I60" s="932" t="n"/>
      <c r="J60" s="933" t="n"/>
      <c r="K60" s="932" t="n"/>
      <c r="L60" s="933" t="n"/>
      <c r="M60" s="932" t="n"/>
      <c r="N60" s="933" t="n"/>
      <c r="O60" s="932" t="n"/>
      <c r="P60" s="933" t="n"/>
      <c r="Q60" s="932" t="n"/>
      <c r="R60" s="933" t="n"/>
      <c r="S60" s="932" t="n"/>
      <c r="T60" s="933" t="n"/>
      <c r="U60" s="932" t="n"/>
      <c r="V60" s="933" t="n"/>
      <c r="W60" s="932" t="n"/>
      <c r="X60" s="933" t="n"/>
      <c r="Y60" s="932" t="n"/>
      <c r="Z60" s="933" t="n"/>
      <c r="AA60" s="932" t="n"/>
      <c r="AB60" s="933" t="n"/>
      <c r="AC60" s="932" t="n"/>
      <c r="AD60" s="933" t="n"/>
      <c r="AE60" s="932" t="n"/>
      <c r="AF60" s="933" t="n"/>
    </row>
    <row r="61" ht="3" customHeight="1" s="1883">
      <c r="D61" s="116" t="n"/>
      <c r="E61" s="116" t="n"/>
      <c r="F61" s="116" t="n"/>
      <c r="G61" s="626" t="n"/>
      <c r="H61" s="932" t="n"/>
      <c r="I61" s="932" t="n"/>
      <c r="J61" s="932" t="n"/>
      <c r="K61" s="932" t="n"/>
      <c r="L61" s="932" t="n"/>
      <c r="M61" s="932" t="n"/>
      <c r="N61" s="932" t="n"/>
      <c r="O61" s="932" t="n"/>
      <c r="P61" s="932" t="n"/>
      <c r="Q61" s="932" t="n"/>
      <c r="R61" s="932" t="n"/>
      <c r="S61" s="932" t="n"/>
      <c r="T61" s="932" t="n"/>
      <c r="U61" s="932" t="n"/>
      <c r="V61" s="932" t="n"/>
      <c r="W61" s="932" t="n"/>
      <c r="X61" s="932" t="n"/>
      <c r="Y61" s="932" t="n"/>
      <c r="Z61" s="932" t="n"/>
      <c r="AA61" s="932" t="n"/>
      <c r="AB61" s="932" t="n"/>
      <c r="AC61" s="932" t="n"/>
      <c r="AD61" s="932" t="n"/>
      <c r="AE61" s="932" t="n"/>
      <c r="AF61" s="932" t="n"/>
    </row>
    <row r="62" ht="13" customHeight="1" s="1883">
      <c r="D62" s="626" t="n"/>
      <c r="E62" s="626" t="n"/>
      <c r="F62" s="937" t="n"/>
      <c r="G62" s="626" t="n"/>
      <c r="H62" s="932" t="n"/>
      <c r="I62" s="932" t="n"/>
      <c r="J62" s="932" t="n"/>
      <c r="K62" s="932" t="n"/>
      <c r="L62" s="932" t="n"/>
      <c r="M62" s="932" t="n"/>
      <c r="N62" s="932" t="n"/>
      <c r="O62" s="932" t="n"/>
      <c r="P62" s="932" t="n"/>
      <c r="Q62" s="932" t="n"/>
      <c r="R62" s="932" t="n"/>
      <c r="S62" s="932" t="n"/>
      <c r="T62" s="932" t="n"/>
      <c r="U62" s="932" t="n"/>
      <c r="V62" s="932" t="n"/>
      <c r="W62" s="932" t="n"/>
      <c r="X62" s="932" t="n"/>
      <c r="Y62" s="932" t="n"/>
      <c r="Z62" s="932" t="n"/>
      <c r="AA62" s="932" t="n"/>
      <c r="AB62" s="932" t="n"/>
      <c r="AC62" s="932" t="n"/>
      <c r="AD62" s="932" t="n"/>
      <c r="AE62" s="932" t="n"/>
      <c r="AF62" s="932" t="n"/>
    </row>
    <row r="63">
      <c r="D63" s="1908" t="inlineStr">
        <is>
          <t xml:space="preserve">          Average (Beginning + Ending/1.42)</t>
        </is>
      </c>
      <c r="G63" s="626" t="n"/>
      <c r="H63" s="136">
        <f>(((H54)+(H55))/(1.42))</f>
        <v/>
      </c>
      <c r="I63" s="932" t="n"/>
      <c r="J63" s="136">
        <f>(((J54)+(J55))/(1.42))</f>
        <v/>
      </c>
      <c r="K63" s="136" t="n"/>
      <c r="L63" s="136">
        <f>(((L54)+(L55))/(1.42))</f>
        <v/>
      </c>
      <c r="M63" s="932" t="n"/>
      <c r="N63" s="136">
        <f>(((N54)+(N55))/(1.42))</f>
        <v/>
      </c>
      <c r="O63" s="932" t="n"/>
      <c r="P63" s="136">
        <f>(((P54)+(P55))/(1.42))</f>
        <v/>
      </c>
      <c r="Q63" s="932" t="n"/>
      <c r="R63" s="136">
        <f>(((R54)+(R55))/(1.42))</f>
        <v/>
      </c>
      <c r="S63" s="932" t="n"/>
      <c r="T63" s="136">
        <f>(((T54)+(T55))/(1.42))</f>
        <v/>
      </c>
      <c r="U63" s="932" t="n"/>
      <c r="V63" s="136">
        <f>(((V54)+(V55))/(1.42))</f>
        <v/>
      </c>
      <c r="W63" s="932" t="n"/>
      <c r="X63" s="136">
        <f>(((X54)+(X55))/(1.42))</f>
        <v/>
      </c>
      <c r="Y63" s="932" t="n"/>
      <c r="Z63" s="136">
        <f>(((Z54)+(Z55))/(1.42))</f>
        <v/>
      </c>
      <c r="AA63" s="932" t="n"/>
      <c r="AB63" s="136">
        <f>(((AB54)+(AB55))/(1.42))</f>
        <v/>
      </c>
      <c r="AC63" s="932" t="n"/>
      <c r="AD63" s="136">
        <f>(((AD54)+(AD55))/(1.42))</f>
        <v/>
      </c>
      <c r="AE63" s="932" t="n"/>
      <c r="AF63" s="136">
        <f>AVERAGE(H63:AE63)</f>
        <v/>
      </c>
    </row>
    <row r="68">
      <c r="D68" s="117" t="inlineStr">
        <is>
          <t>Year 2</t>
        </is>
      </c>
      <c r="E68" s="117" t="n"/>
      <c r="F68" s="137" t="inlineStr">
        <is>
          <t>13 - 24</t>
        </is>
      </c>
      <c r="G68" s="626" t="n"/>
      <c r="H68" s="932" t="n"/>
      <c r="I68" s="932" t="n"/>
      <c r="J68" s="932" t="n"/>
      <c r="K68" s="932" t="n"/>
      <c r="L68" s="932" t="n"/>
      <c r="M68" s="932" t="n"/>
      <c r="N68" s="932" t="n"/>
      <c r="O68" s="932" t="n"/>
      <c r="P68" s="932" t="n"/>
      <c r="Q68" s="932" t="n"/>
      <c r="R68" s="932" t="n"/>
      <c r="S68" s="932" t="n"/>
      <c r="T68" s="932" t="n"/>
      <c r="U68" s="932" t="n"/>
      <c r="V68" s="932" t="n"/>
      <c r="W68" s="932" t="n"/>
      <c r="X68" s="932" t="n"/>
      <c r="Y68" s="932" t="n"/>
      <c r="Z68" s="932" t="n"/>
      <c r="AA68" s="932" t="n"/>
      <c r="AB68" s="932" t="n"/>
      <c r="AC68" s="932" t="n"/>
      <c r="AD68" s="932" t="n"/>
      <c r="AE68" s="932" t="n"/>
      <c r="AF68" s="932" t="n"/>
    </row>
    <row r="69">
      <c r="D69" s="1905" t="inlineStr">
        <is>
          <t xml:space="preserve">     Beginning of Month</t>
        </is>
      </c>
      <c r="G69" s="626" t="n"/>
      <c r="H69" s="140">
        <f>(AF59)</f>
        <v/>
      </c>
      <c r="I69" s="932" t="n"/>
      <c r="J69" s="135">
        <f>(H74)</f>
        <v/>
      </c>
      <c r="K69" s="932" t="n"/>
      <c r="L69" s="135">
        <f>(J74)</f>
        <v/>
      </c>
      <c r="M69" s="932" t="n"/>
      <c r="N69" s="135">
        <f>(L74)</f>
        <v/>
      </c>
      <c r="O69" s="932" t="n"/>
      <c r="P69" s="135">
        <f>(N74)</f>
        <v/>
      </c>
      <c r="Q69" s="932" t="n"/>
      <c r="R69" s="135">
        <f>(P74)</f>
        <v/>
      </c>
      <c r="S69" s="932" t="n"/>
      <c r="T69" s="135">
        <f>(R74)</f>
        <v/>
      </c>
      <c r="U69" s="932" t="n"/>
      <c r="V69" s="135">
        <f>(T74)</f>
        <v/>
      </c>
      <c r="W69" s="932" t="n"/>
      <c r="X69" s="135">
        <f>(V74)</f>
        <v/>
      </c>
      <c r="Y69" s="932" t="n"/>
      <c r="Z69" s="135">
        <f>(X74)</f>
        <v/>
      </c>
      <c r="AA69" s="932" t="n"/>
      <c r="AB69" s="135">
        <f>(Z74)</f>
        <v/>
      </c>
      <c r="AC69" s="932" t="n"/>
      <c r="AD69" s="135">
        <f>(AB74)</f>
        <v/>
      </c>
      <c r="AE69" s="932" t="n"/>
      <c r="AF69" s="140">
        <f>H69</f>
        <v/>
      </c>
    </row>
    <row r="70">
      <c r="D70" s="1905" t="inlineStr">
        <is>
          <t xml:space="preserve">     + Activated</t>
        </is>
      </c>
      <c r="G70" s="626" t="n"/>
      <c r="H70" s="135">
        <f>(H18)</f>
        <v/>
      </c>
      <c r="I70" s="932" t="n"/>
      <c r="J70" s="135">
        <f>(J18)</f>
        <v/>
      </c>
      <c r="K70" s="932" t="n"/>
      <c r="L70" s="135">
        <f>(L18)</f>
        <v/>
      </c>
      <c r="M70" s="932" t="n"/>
      <c r="N70" s="135">
        <f>(N18)</f>
        <v/>
      </c>
      <c r="O70" s="932" t="n"/>
      <c r="P70" s="135">
        <f>(P18)</f>
        <v/>
      </c>
      <c r="Q70" s="932" t="n"/>
      <c r="R70" s="135">
        <f>(R18)</f>
        <v/>
      </c>
      <c r="S70" s="932" t="n"/>
      <c r="T70" s="135">
        <f>(T18)</f>
        <v/>
      </c>
      <c r="U70" s="932" t="n"/>
      <c r="V70" s="135">
        <f>(V18)</f>
        <v/>
      </c>
      <c r="W70" s="932" t="n"/>
      <c r="X70" s="135">
        <f>(X18)</f>
        <v/>
      </c>
      <c r="Y70" s="932" t="n"/>
      <c r="Z70" s="135">
        <f>(Z18)</f>
        <v/>
      </c>
      <c r="AA70" s="932" t="n"/>
      <c r="AB70" s="135">
        <f>(AB18)</f>
        <v/>
      </c>
      <c r="AC70" s="932" t="n"/>
      <c r="AD70" s="135">
        <f>(AD18)</f>
        <v/>
      </c>
      <c r="AE70" s="932" t="n"/>
      <c r="AF70" s="136">
        <f>((H70)+(J70)+(L70)+(N70)+(P70)+(R70)+(T70)+(V70)+(X70)+(Z70)+(AB70)+(AD70))</f>
        <v/>
      </c>
    </row>
    <row r="71">
      <c r="D71" s="1905" t="inlineStr">
        <is>
          <t xml:space="preserve">     - Attrition</t>
        </is>
      </c>
      <c r="G71" s="626" t="n"/>
      <c r="H71" s="135">
        <f>'Attrition Wedge (Computer App)'!S74</f>
        <v/>
      </c>
      <c r="I71" s="932" t="n"/>
      <c r="J71" s="135">
        <f>'Attrition Wedge (Computer App)'!T74</f>
        <v/>
      </c>
      <c r="K71" s="932" t="n"/>
      <c r="L71" s="135">
        <f>'Attrition Wedge (Computer App)'!U74</f>
        <v/>
      </c>
      <c r="M71" s="932" t="n"/>
      <c r="N71" s="135">
        <f>'Attrition Wedge (Computer App)'!V74</f>
        <v/>
      </c>
      <c r="O71" s="932" t="n"/>
      <c r="P71" s="135">
        <f>'Attrition Wedge (Computer App)'!W74</f>
        <v/>
      </c>
      <c r="Q71" s="932" t="n"/>
      <c r="R71" s="135">
        <f>'Attrition Wedge (Computer App)'!X74</f>
        <v/>
      </c>
      <c r="S71" s="932" t="n"/>
      <c r="T71" s="135">
        <f>'Attrition Wedge (Computer App)'!Y74</f>
        <v/>
      </c>
      <c r="U71" s="932" t="n"/>
      <c r="V71" s="135">
        <f>'Attrition Wedge (Computer App)'!Z74</f>
        <v/>
      </c>
      <c r="W71" s="932" t="n"/>
      <c r="X71" s="135">
        <f>'Attrition Wedge (Computer App)'!AA74</f>
        <v/>
      </c>
      <c r="Y71" s="932" t="n"/>
      <c r="Z71" s="135">
        <f>'Attrition Wedge (Computer App)'!AB74</f>
        <v/>
      </c>
      <c r="AA71" s="932" t="n"/>
      <c r="AB71" s="135">
        <f>'Attrition Wedge (Computer App)'!AC74</f>
        <v/>
      </c>
      <c r="AC71" s="932" t="n"/>
      <c r="AD71" s="135">
        <f>'Attrition Wedge (Computer App)'!AD74</f>
        <v/>
      </c>
      <c r="AE71" s="932" t="n"/>
      <c r="AF71" s="136">
        <f>((H71)+(J71)+(L71)+(N71)+(P71)+(R71)+(T71)+(V71)+(X71)+(Z71)+(AB71)+(AD71))</f>
        <v/>
      </c>
    </row>
    <row r="72" ht="3" customHeight="1" s="1883">
      <c r="D72" s="626" t="n"/>
      <c r="E72" s="626" t="n"/>
      <c r="F72" s="937" t="n"/>
      <c r="G72" s="626" t="n"/>
      <c r="H72" s="933" t="n"/>
      <c r="I72" s="932" t="n"/>
      <c r="J72" s="933" t="n"/>
      <c r="K72" s="932" t="n"/>
      <c r="L72" s="933" t="n"/>
      <c r="M72" s="932" t="n"/>
      <c r="N72" s="933" t="n"/>
      <c r="O72" s="932" t="n"/>
      <c r="P72" s="933" t="n"/>
      <c r="Q72" s="932" t="n"/>
      <c r="R72" s="933" t="n"/>
      <c r="S72" s="932" t="n"/>
      <c r="T72" s="933" t="n"/>
      <c r="U72" s="932" t="n"/>
      <c r="V72" s="933" t="n"/>
      <c r="W72" s="932" t="n"/>
      <c r="X72" s="933" t="n"/>
      <c r="Y72" s="932" t="n"/>
      <c r="Z72" s="933" t="n"/>
      <c r="AA72" s="932" t="n"/>
      <c r="AB72" s="933" t="n"/>
      <c r="AC72" s="932" t="n"/>
      <c r="AD72" s="933" t="n"/>
      <c r="AE72" s="932" t="n"/>
      <c r="AF72" s="933" t="n"/>
    </row>
    <row r="73" ht="3" customHeight="1" s="1883">
      <c r="D73" s="626" t="n"/>
      <c r="E73" s="626" t="n"/>
      <c r="F73" s="937" t="n"/>
      <c r="G73" s="626" t="n"/>
      <c r="H73" s="932" t="n"/>
      <c r="I73" s="932" t="n"/>
      <c r="J73" s="932" t="n"/>
      <c r="K73" s="932" t="n"/>
      <c r="L73" s="932" t="n"/>
      <c r="M73" s="932" t="n"/>
      <c r="N73" s="932" t="n"/>
      <c r="O73" s="932" t="n"/>
      <c r="P73" s="932" t="n"/>
      <c r="Q73" s="932" t="n"/>
      <c r="R73" s="932" t="n"/>
      <c r="S73" s="932" t="n"/>
      <c r="T73" s="932" t="n"/>
      <c r="U73" s="932" t="n"/>
      <c r="V73" s="932" t="n"/>
      <c r="W73" s="932" t="n"/>
      <c r="X73" s="932" t="n"/>
      <c r="Y73" s="932" t="n"/>
      <c r="Z73" s="932" t="n"/>
      <c r="AA73" s="932" t="n"/>
      <c r="AB73" s="932" t="n"/>
      <c r="AC73" s="932" t="n"/>
      <c r="AD73" s="932" t="n"/>
      <c r="AE73" s="932" t="n"/>
      <c r="AF73" s="932" t="n"/>
    </row>
    <row r="74">
      <c r="D74" s="1908" t="inlineStr">
        <is>
          <t xml:space="preserve">          End of Month</t>
        </is>
      </c>
      <c r="G74" s="626" t="n"/>
      <c r="H74" s="136">
        <f>((H69)+(H70)-(H71))</f>
        <v/>
      </c>
      <c r="I74" s="932" t="n"/>
      <c r="J74" s="136">
        <f>((J69)+(J70)-(J71))</f>
        <v/>
      </c>
      <c r="K74" s="932" t="n"/>
      <c r="L74" s="136">
        <f>((L69)+(L70)-(L71))</f>
        <v/>
      </c>
      <c r="M74" s="932" t="n"/>
      <c r="N74" s="136">
        <f>((N69)+(N70)-(N71))</f>
        <v/>
      </c>
      <c r="O74" s="932" t="n"/>
      <c r="P74" s="136">
        <f>((P69)+(P70)-(P71))</f>
        <v/>
      </c>
      <c r="Q74" s="932" t="n"/>
      <c r="R74" s="136">
        <f>((R69)+(R70)-(R71))</f>
        <v/>
      </c>
      <c r="S74" s="932" t="n"/>
      <c r="T74" s="136">
        <f>((T69)+(T70)-(T71))</f>
        <v/>
      </c>
      <c r="U74" s="932" t="n"/>
      <c r="V74" s="136">
        <f>((V69)+(V70)-(V71))</f>
        <v/>
      </c>
      <c r="W74" s="932" t="n"/>
      <c r="X74" s="136">
        <f>((X69)+(X70)-(X71))</f>
        <v/>
      </c>
      <c r="Y74" s="932" t="n"/>
      <c r="Z74" s="136">
        <f>((Z69)+(Z70)-(Z71))</f>
        <v/>
      </c>
      <c r="AA74" s="932" t="n"/>
      <c r="AB74" s="136">
        <f>((AB69)+(AB70)-(AB71))</f>
        <v/>
      </c>
      <c r="AC74" s="932" t="n"/>
      <c r="AD74" s="140">
        <f>((AD69)+(AD70)-(AD71))</f>
        <v/>
      </c>
      <c r="AE74" s="932" t="n"/>
      <c r="AF74" s="140">
        <f>((AF69)+(AF70)-(AF71))</f>
        <v/>
      </c>
    </row>
    <row r="75" ht="3" customHeight="1" s="1883">
      <c r="D75" s="116" t="n"/>
      <c r="E75" s="116" t="n"/>
      <c r="F75" s="116" t="n"/>
      <c r="G75" s="626" t="n"/>
      <c r="H75" s="933" t="n"/>
      <c r="I75" s="932" t="n"/>
      <c r="J75" s="933" t="n"/>
      <c r="K75" s="932" t="n"/>
      <c r="L75" s="933" t="n"/>
      <c r="M75" s="932" t="n"/>
      <c r="N75" s="933" t="n"/>
      <c r="O75" s="932" t="n"/>
      <c r="P75" s="933" t="n"/>
      <c r="Q75" s="932" t="n"/>
      <c r="R75" s="933" t="n"/>
      <c r="S75" s="932" t="n"/>
      <c r="T75" s="933" t="n"/>
      <c r="U75" s="932" t="n"/>
      <c r="V75" s="933" t="n"/>
      <c r="W75" s="932" t="n"/>
      <c r="X75" s="933" t="n"/>
      <c r="Y75" s="932" t="n"/>
      <c r="Z75" s="933" t="n"/>
      <c r="AA75" s="932" t="n"/>
      <c r="AB75" s="933" t="n"/>
      <c r="AC75" s="932" t="n"/>
      <c r="AD75" s="933" t="n"/>
      <c r="AE75" s="932" t="n"/>
      <c r="AF75" s="933" t="n"/>
    </row>
    <row r="76" ht="3" customHeight="1" s="1883">
      <c r="D76" s="116" t="n"/>
      <c r="E76" s="116" t="n"/>
      <c r="F76" s="116" t="n"/>
      <c r="G76" s="626" t="n"/>
      <c r="H76" s="932" t="n"/>
      <c r="I76" s="932" t="n"/>
      <c r="J76" s="932" t="n"/>
      <c r="K76" s="932" t="n"/>
      <c r="L76" s="932" t="n"/>
      <c r="M76" s="932" t="n"/>
      <c r="N76" s="932" t="n"/>
      <c r="O76" s="932" t="n"/>
      <c r="P76" s="932" t="n"/>
      <c r="Q76" s="932" t="n"/>
      <c r="R76" s="932" t="n"/>
      <c r="S76" s="932" t="n"/>
      <c r="T76" s="932" t="n"/>
      <c r="U76" s="932" t="n"/>
      <c r="V76" s="932" t="n"/>
      <c r="W76" s="932" t="n"/>
      <c r="X76" s="932" t="n"/>
      <c r="Y76" s="932" t="n"/>
      <c r="Z76" s="932" t="n"/>
      <c r="AA76" s="932" t="n"/>
      <c r="AB76" s="932" t="n"/>
      <c r="AC76" s="932" t="n"/>
      <c r="AD76" s="932" t="n"/>
      <c r="AE76" s="932" t="n"/>
      <c r="AF76" s="932" t="n"/>
    </row>
    <row r="77" ht="13" customHeight="1" s="1883">
      <c r="D77" s="626" t="n"/>
      <c r="E77" s="626" t="n"/>
      <c r="F77" s="937" t="n"/>
      <c r="G77" s="626" t="n"/>
      <c r="H77" s="932" t="n"/>
      <c r="I77" s="932" t="n"/>
      <c r="J77" s="932" t="n"/>
      <c r="K77" s="932" t="n"/>
      <c r="L77" s="932" t="n"/>
      <c r="M77" s="932" t="n"/>
      <c r="N77" s="932" t="n"/>
      <c r="O77" s="932" t="n"/>
      <c r="P77" s="932" t="n"/>
      <c r="Q77" s="932" t="n"/>
      <c r="R77" s="932" t="n"/>
      <c r="S77" s="932" t="n"/>
      <c r="T77" s="932" t="n"/>
      <c r="U77" s="932" t="n"/>
      <c r="V77" s="932" t="n"/>
      <c r="W77" s="932" t="n"/>
      <c r="X77" s="932" t="n"/>
      <c r="Y77" s="932" t="n"/>
      <c r="Z77" s="932" t="n"/>
      <c r="AA77" s="932" t="n"/>
      <c r="AB77" s="932" t="n"/>
      <c r="AC77" s="932" t="n"/>
      <c r="AD77" s="932" t="n"/>
      <c r="AE77" s="932" t="n"/>
      <c r="AF77" s="932" t="n"/>
    </row>
    <row r="78">
      <c r="D78" s="1908" t="inlineStr">
        <is>
          <t xml:space="preserve">          Average (Beginning + Ending/1.42)</t>
        </is>
      </c>
      <c r="G78" s="626" t="n"/>
      <c r="H78" s="136">
        <f>(((H69)+(H70))/(1.42))</f>
        <v/>
      </c>
      <c r="I78" s="932" t="n"/>
      <c r="J78" s="136">
        <f>(((J69)+(J70))/(1.42))</f>
        <v/>
      </c>
      <c r="K78" s="932" t="n"/>
      <c r="L78" s="136">
        <f>(((L69)+(L70))/(1.42))</f>
        <v/>
      </c>
      <c r="M78" s="932" t="n"/>
      <c r="N78" s="136">
        <f>(((N69)+(N70))/(1.42))</f>
        <v/>
      </c>
      <c r="O78" s="932" t="n"/>
      <c r="P78" s="136">
        <f>(((P69)+(P70))/(1.42))</f>
        <v/>
      </c>
      <c r="Q78" s="932" t="n"/>
      <c r="R78" s="136">
        <f>(((R69)+(R70))/(1.42))</f>
        <v/>
      </c>
      <c r="S78" s="932" t="n"/>
      <c r="T78" s="136">
        <f>(((T69)+(T70))/(1.42))</f>
        <v/>
      </c>
      <c r="U78" s="932" t="n"/>
      <c r="V78" s="136">
        <f>(((V69)+(V70))/(1.42))</f>
        <v/>
      </c>
      <c r="W78" s="932" t="n"/>
      <c r="X78" s="136">
        <f>(((X69)+(X70))/(1.42))</f>
        <v/>
      </c>
      <c r="Y78" s="932" t="n"/>
      <c r="Z78" s="136">
        <f>(((Z69)+(Z70))/(1.42))</f>
        <v/>
      </c>
      <c r="AA78" s="932" t="n"/>
      <c r="AB78" s="136">
        <f>(((AB69)+(AB70))/(1.42))</f>
        <v/>
      </c>
      <c r="AC78" s="932" t="n"/>
      <c r="AD78" s="136">
        <f>(((AD69)+(AD70))/(1.42))</f>
        <v/>
      </c>
      <c r="AE78" s="932" t="n"/>
      <c r="AF78" s="136">
        <f>AVERAGE(H78:AE78)</f>
        <v/>
      </c>
    </row>
    <row r="83">
      <c r="D83" s="117" t="inlineStr">
        <is>
          <t>Year 3</t>
        </is>
      </c>
      <c r="E83" s="117" t="n"/>
      <c r="F83" s="137" t="inlineStr">
        <is>
          <t>25 - 36</t>
        </is>
      </c>
      <c r="G83" s="626" t="n"/>
      <c r="H83" s="932" t="n"/>
      <c r="I83" s="932" t="n"/>
      <c r="J83" s="932" t="n"/>
      <c r="K83" s="932" t="n"/>
      <c r="L83" s="932" t="n"/>
      <c r="M83" s="932" t="n"/>
      <c r="N83" s="932" t="n"/>
      <c r="O83" s="932" t="n"/>
      <c r="P83" s="932" t="n"/>
      <c r="Q83" s="932" t="n"/>
      <c r="R83" s="932" t="n"/>
      <c r="S83" s="932" t="n"/>
      <c r="T83" s="932" t="n"/>
      <c r="U83" s="932" t="n"/>
      <c r="V83" s="932" t="n"/>
      <c r="W83" s="932" t="n"/>
      <c r="X83" s="932" t="n"/>
      <c r="Y83" s="932" t="n"/>
      <c r="Z83" s="932" t="n"/>
      <c r="AA83" s="932" t="n"/>
      <c r="AB83" s="932" t="n"/>
      <c r="AC83" s="932" t="n"/>
      <c r="AD83" s="932" t="n"/>
      <c r="AE83" s="932" t="n"/>
      <c r="AF83" s="932" t="n"/>
    </row>
    <row r="84">
      <c r="D84" s="1905" t="inlineStr">
        <is>
          <t xml:space="preserve">     Beginning of Month</t>
        </is>
      </c>
      <c r="G84" s="626" t="n"/>
      <c r="H84" s="140">
        <f>(AF74)</f>
        <v/>
      </c>
      <c r="I84" s="932" t="n"/>
      <c r="J84" s="135">
        <f>(H89)</f>
        <v/>
      </c>
      <c r="K84" s="932" t="n"/>
      <c r="L84" s="135">
        <f>(J89)</f>
        <v/>
      </c>
      <c r="M84" s="932" t="n"/>
      <c r="N84" s="135">
        <f>(L89)</f>
        <v/>
      </c>
      <c r="O84" s="932" t="n"/>
      <c r="P84" s="135">
        <f>(N89)</f>
        <v/>
      </c>
      <c r="Q84" s="932" t="n"/>
      <c r="R84" s="135">
        <f>(P89)</f>
        <v/>
      </c>
      <c r="S84" s="932" t="n"/>
      <c r="T84" s="135">
        <f>(R89)</f>
        <v/>
      </c>
      <c r="U84" s="932" t="n"/>
      <c r="V84" s="135">
        <f>(T89)</f>
        <v/>
      </c>
      <c r="W84" s="932" t="n"/>
      <c r="X84" s="135">
        <f>(V89)</f>
        <v/>
      </c>
      <c r="Y84" s="932" t="n"/>
      <c r="Z84" s="135">
        <f>(X89)</f>
        <v/>
      </c>
      <c r="AA84" s="932" t="n"/>
      <c r="AB84" s="135">
        <f>(Z89)</f>
        <v/>
      </c>
      <c r="AC84" s="932" t="n"/>
      <c r="AD84" s="135">
        <f>(AB89)</f>
        <v/>
      </c>
      <c r="AE84" s="932" t="n"/>
      <c r="AF84" s="140">
        <f>H84</f>
        <v/>
      </c>
    </row>
    <row r="85">
      <c r="D85" s="1905" t="inlineStr">
        <is>
          <t xml:space="preserve">     + Activated</t>
        </is>
      </c>
      <c r="G85" s="626" t="n"/>
      <c r="H85" s="135">
        <f>(H19)</f>
        <v/>
      </c>
      <c r="I85" s="932" t="n"/>
      <c r="J85" s="135">
        <f>(J19)</f>
        <v/>
      </c>
      <c r="K85" s="932" t="n"/>
      <c r="L85" s="135">
        <f>(L19)</f>
        <v/>
      </c>
      <c r="M85" s="932" t="n"/>
      <c r="N85" s="135">
        <f>(N19)</f>
        <v/>
      </c>
      <c r="O85" s="932" t="n"/>
      <c r="P85" s="135">
        <f>(P19)</f>
        <v/>
      </c>
      <c r="Q85" s="932" t="n"/>
      <c r="R85" s="135">
        <f>(R19)</f>
        <v/>
      </c>
      <c r="S85" s="932" t="n"/>
      <c r="T85" s="135">
        <f>(T19)</f>
        <v/>
      </c>
      <c r="U85" s="932" t="n"/>
      <c r="V85" s="135">
        <f>(V19)</f>
        <v/>
      </c>
      <c r="W85" s="932" t="n"/>
      <c r="X85" s="135">
        <f>(X19)</f>
        <v/>
      </c>
      <c r="Y85" s="932" t="n"/>
      <c r="Z85" s="135">
        <f>(Z19)</f>
        <v/>
      </c>
      <c r="AA85" s="932" t="n"/>
      <c r="AB85" s="135">
        <f>(AB19)</f>
        <v/>
      </c>
      <c r="AC85" s="932">
        <f>(AC19)</f>
        <v/>
      </c>
      <c r="AD85" s="135">
        <f>(AD19)</f>
        <v/>
      </c>
      <c r="AE85" s="932" t="n"/>
      <c r="AF85" s="136">
        <f>((H85)+(J85)+(L85)+(N85)+(P85)+(R85)+(T85)+(V85)+(X85)+(Z85)+(AB85)+(AD85))</f>
        <v/>
      </c>
    </row>
    <row r="86">
      <c r="D86" s="1905" t="inlineStr">
        <is>
          <t xml:space="preserve">     - Attrition</t>
        </is>
      </c>
      <c r="G86" s="626" t="n"/>
      <c r="H86" s="135">
        <f>'Attrition Wedge (Computer App)'!AE74</f>
        <v/>
      </c>
      <c r="I86" s="932" t="n"/>
      <c r="J86" s="135">
        <f>'Attrition Wedge (Computer App)'!AF74</f>
        <v/>
      </c>
      <c r="K86" s="932" t="n"/>
      <c r="L86" s="135">
        <f>'Attrition Wedge (Computer App)'!AG74</f>
        <v/>
      </c>
      <c r="M86" s="932" t="n"/>
      <c r="N86" s="135">
        <f>'Attrition Wedge (Computer App)'!AH74</f>
        <v/>
      </c>
      <c r="O86" s="932" t="n"/>
      <c r="P86" s="135">
        <f>'Attrition Wedge (Computer App)'!AI74</f>
        <v/>
      </c>
      <c r="Q86" s="932" t="n"/>
      <c r="R86" s="135">
        <f>'Attrition Wedge (Computer App)'!AJ74</f>
        <v/>
      </c>
      <c r="S86" s="932" t="n"/>
      <c r="T86" s="135">
        <f>'Attrition Wedge (Computer App)'!AK74</f>
        <v/>
      </c>
      <c r="U86" s="932" t="n"/>
      <c r="V86" s="135">
        <f>'Attrition Wedge (Computer App)'!AL74</f>
        <v/>
      </c>
      <c r="W86" s="932" t="n"/>
      <c r="X86" s="135">
        <f>'Attrition Wedge (Computer App)'!AM74</f>
        <v/>
      </c>
      <c r="Y86" s="932" t="n"/>
      <c r="Z86" s="135">
        <f>'Attrition Wedge (Computer App)'!AN74</f>
        <v/>
      </c>
      <c r="AA86" s="932" t="n"/>
      <c r="AB86" s="135">
        <f>'Attrition Wedge (Computer App)'!AO74</f>
        <v/>
      </c>
      <c r="AC86" s="932" t="n"/>
      <c r="AD86" s="135">
        <f>'Attrition Wedge (Computer App)'!AP74</f>
        <v/>
      </c>
      <c r="AE86" s="932" t="n"/>
      <c r="AF86" s="136">
        <f>((H86)+(J86)+(L86)+(N86)+(P86)+(R86)+(T86)+(V86)+(X86)+(Z86)+(AB86)+(AD86))</f>
        <v/>
      </c>
    </row>
    <row r="87" ht="3" customHeight="1" s="1883">
      <c r="D87" s="626" t="n"/>
      <c r="E87" s="626" t="n"/>
      <c r="F87" s="937" t="n"/>
      <c r="G87" s="626" t="n"/>
      <c r="H87" s="933" t="n"/>
      <c r="I87" s="932" t="n"/>
      <c r="J87" s="933" t="n"/>
      <c r="K87" s="932" t="n"/>
      <c r="L87" s="933" t="n"/>
      <c r="M87" s="932" t="n"/>
      <c r="N87" s="933" t="n"/>
      <c r="O87" s="932" t="n"/>
      <c r="P87" s="933" t="n"/>
      <c r="Q87" s="932" t="n"/>
      <c r="R87" s="933" t="n"/>
      <c r="S87" s="932" t="n"/>
      <c r="T87" s="933" t="n"/>
      <c r="U87" s="932" t="n"/>
      <c r="V87" s="933" t="n"/>
      <c r="W87" s="932" t="n"/>
      <c r="X87" s="933" t="n"/>
      <c r="Y87" s="932" t="n"/>
      <c r="Z87" s="933" t="n"/>
      <c r="AA87" s="932" t="n"/>
      <c r="AB87" s="933" t="n"/>
      <c r="AC87" s="932" t="n"/>
      <c r="AD87" s="933" t="n"/>
      <c r="AE87" s="932" t="n"/>
      <c r="AF87" s="933" t="n"/>
    </row>
    <row r="88" ht="3" customHeight="1" s="1883">
      <c r="D88" s="626" t="n"/>
      <c r="E88" s="626" t="n"/>
      <c r="F88" s="937" t="n"/>
      <c r="G88" s="626" t="n"/>
      <c r="H88" s="932" t="n"/>
      <c r="I88" s="932" t="n"/>
      <c r="J88" s="932" t="n"/>
      <c r="K88" s="932" t="n"/>
      <c r="L88" s="932" t="n"/>
      <c r="M88" s="932" t="n"/>
      <c r="N88" s="932" t="n"/>
      <c r="O88" s="932" t="n"/>
      <c r="P88" s="932" t="n"/>
      <c r="Q88" s="932" t="n"/>
      <c r="R88" s="932" t="n"/>
      <c r="S88" s="932" t="n"/>
      <c r="T88" s="932" t="n"/>
      <c r="U88" s="932" t="n"/>
      <c r="V88" s="932" t="n"/>
      <c r="W88" s="932" t="n"/>
      <c r="X88" s="932" t="n"/>
      <c r="Y88" s="932" t="n"/>
      <c r="Z88" s="932" t="n"/>
      <c r="AA88" s="932" t="n"/>
      <c r="AB88" s="932" t="n"/>
      <c r="AC88" s="932" t="n"/>
      <c r="AD88" s="932" t="n"/>
      <c r="AE88" s="932" t="n"/>
      <c r="AF88" s="932" t="n"/>
    </row>
    <row r="89">
      <c r="D89" s="1908" t="inlineStr">
        <is>
          <t xml:space="preserve">          End of Month</t>
        </is>
      </c>
      <c r="G89" s="626" t="n"/>
      <c r="H89" s="136">
        <f>((H84)+(H85)-(H86))</f>
        <v/>
      </c>
      <c r="I89" s="932" t="n"/>
      <c r="J89" s="136">
        <f>((J84)+(J85)-(J86))</f>
        <v/>
      </c>
      <c r="K89" s="932" t="n"/>
      <c r="L89" s="136">
        <f>((L84)+(L85)-(L86))</f>
        <v/>
      </c>
      <c r="M89" s="932" t="n"/>
      <c r="N89" s="136">
        <f>((N84)+(N85)-(N86))</f>
        <v/>
      </c>
      <c r="O89" s="932" t="n"/>
      <c r="P89" s="136">
        <f>((P84)+(P85)-(P86))</f>
        <v/>
      </c>
      <c r="Q89" s="932" t="n"/>
      <c r="R89" s="136">
        <f>((R84)+(R85)-(R86))</f>
        <v/>
      </c>
      <c r="S89" s="932" t="n"/>
      <c r="T89" s="136">
        <f>((T84)+(T85)-(T86))</f>
        <v/>
      </c>
      <c r="U89" s="932" t="n"/>
      <c r="V89" s="136">
        <f>((V84)+(V85)-(V86))</f>
        <v/>
      </c>
      <c r="W89" s="932" t="n"/>
      <c r="X89" s="136">
        <f>((X84)+(X85)-(X86))</f>
        <v/>
      </c>
      <c r="Y89" s="932" t="n"/>
      <c r="Z89" s="136">
        <f>((Z84)+(Z85)-(Z86))</f>
        <v/>
      </c>
      <c r="AA89" s="932" t="n"/>
      <c r="AB89" s="136">
        <f>((AB84)+(AB85)-(AB86))</f>
        <v/>
      </c>
      <c r="AC89" s="932" t="n"/>
      <c r="AD89" s="140">
        <f>((AD84)+(AD85)-(AD86))</f>
        <v/>
      </c>
      <c r="AE89" s="932" t="n"/>
      <c r="AF89" s="140">
        <f>((AF84)+(AF85)-(AF86))</f>
        <v/>
      </c>
    </row>
    <row r="90" ht="3" customHeight="1" s="1883">
      <c r="D90" s="626" t="n"/>
      <c r="E90" s="626" t="n"/>
      <c r="F90" s="626" t="n"/>
      <c r="G90" s="626" t="n"/>
      <c r="H90" s="933" t="n"/>
      <c r="I90" s="932" t="n"/>
      <c r="J90" s="933" t="n"/>
      <c r="K90" s="932" t="n"/>
      <c r="L90" s="933" t="n"/>
      <c r="M90" s="932" t="n"/>
      <c r="N90" s="933" t="n"/>
      <c r="O90" s="932" t="n"/>
      <c r="P90" s="933" t="n"/>
      <c r="Q90" s="932" t="n"/>
      <c r="R90" s="933" t="n"/>
      <c r="S90" s="932" t="n"/>
      <c r="T90" s="933" t="n"/>
      <c r="U90" s="932" t="n"/>
      <c r="V90" s="933" t="n"/>
      <c r="W90" s="932" t="n"/>
      <c r="X90" s="933" t="n"/>
      <c r="Y90" s="932" t="n"/>
      <c r="Z90" s="933" t="n"/>
      <c r="AA90" s="932" t="n"/>
      <c r="AB90" s="933" t="n"/>
      <c r="AC90" s="932" t="n"/>
      <c r="AD90" s="933" t="n"/>
      <c r="AE90" s="932" t="n"/>
      <c r="AF90" s="933" t="n"/>
    </row>
    <row r="91" ht="3" customHeight="1" s="1883">
      <c r="D91" s="626" t="n"/>
      <c r="E91" s="626" t="n"/>
      <c r="F91" s="626" t="n"/>
      <c r="G91" s="626" t="n"/>
      <c r="H91" s="932" t="n"/>
      <c r="I91" s="932" t="n"/>
      <c r="J91" s="932" t="n"/>
      <c r="K91" s="932" t="n"/>
      <c r="L91" s="932" t="n"/>
      <c r="M91" s="932" t="n"/>
      <c r="N91" s="932" t="n"/>
      <c r="O91" s="932" t="n"/>
      <c r="P91" s="932" t="n"/>
      <c r="Q91" s="932" t="n"/>
      <c r="R91" s="932" t="n"/>
      <c r="S91" s="932" t="n"/>
      <c r="T91" s="932" t="n"/>
      <c r="U91" s="932" t="n"/>
      <c r="V91" s="932" t="n"/>
      <c r="W91" s="932" t="n"/>
      <c r="X91" s="932" t="n"/>
      <c r="Y91" s="932" t="n"/>
      <c r="Z91" s="932" t="n"/>
      <c r="AA91" s="932" t="n"/>
      <c r="AB91" s="932" t="n"/>
      <c r="AC91" s="932" t="n"/>
      <c r="AD91" s="932" t="n"/>
      <c r="AE91" s="932" t="n"/>
      <c r="AF91" s="932" t="n"/>
    </row>
    <row r="92" ht="13" customHeight="1" s="1883">
      <c r="D92" s="626" t="n"/>
      <c r="E92" s="626" t="n"/>
      <c r="F92" s="937" t="n"/>
      <c r="G92" s="626" t="n"/>
      <c r="H92" s="932" t="n"/>
      <c r="I92" s="932" t="n"/>
      <c r="J92" s="932" t="n"/>
      <c r="K92" s="932" t="n"/>
      <c r="L92" s="932" t="n"/>
      <c r="M92" s="932" t="n"/>
      <c r="N92" s="932" t="n"/>
      <c r="O92" s="932" t="n"/>
      <c r="P92" s="932" t="n"/>
      <c r="Q92" s="932" t="n"/>
      <c r="R92" s="932" t="n"/>
      <c r="S92" s="932" t="n"/>
      <c r="T92" s="932" t="n"/>
      <c r="U92" s="932" t="n"/>
      <c r="V92" s="932" t="n"/>
      <c r="W92" s="932" t="n"/>
      <c r="X92" s="932" t="n"/>
      <c r="Y92" s="932" t="n"/>
      <c r="Z92" s="932" t="n"/>
      <c r="AA92" s="932" t="n"/>
      <c r="AB92" s="932" t="n"/>
      <c r="AC92" s="932" t="n"/>
      <c r="AD92" s="932" t="n"/>
      <c r="AE92" s="932" t="n"/>
      <c r="AF92" s="932" t="n"/>
    </row>
    <row r="93">
      <c r="D93" s="1908" t="inlineStr">
        <is>
          <t xml:space="preserve">          Average (Beginning + Ending/1.42)</t>
        </is>
      </c>
      <c r="G93" s="626" t="n"/>
      <c r="H93" s="136">
        <f>(((H84)+(H85))/(1.42))</f>
        <v/>
      </c>
      <c r="I93" s="932" t="n"/>
      <c r="J93" s="136">
        <f>(((J84)+(J85))/(1.42))</f>
        <v/>
      </c>
      <c r="K93" s="932" t="n"/>
      <c r="L93" s="136">
        <f>(((L84)+(L85))/(1.42))</f>
        <v/>
      </c>
      <c r="M93" s="932" t="n"/>
      <c r="N93" s="136">
        <f>(((N84)+(N85))/(1.42))</f>
        <v/>
      </c>
      <c r="O93" s="932" t="n"/>
      <c r="P93" s="136">
        <f>(((P84)+(P85))/(1.42))</f>
        <v/>
      </c>
      <c r="Q93" s="932" t="n"/>
      <c r="R93" s="136">
        <f>(((R84)+(R85))/(1.42))</f>
        <v/>
      </c>
      <c r="S93" s="932" t="n"/>
      <c r="T93" s="136">
        <f>(((T84)+(T85))/(1.42))</f>
        <v/>
      </c>
      <c r="U93" s="932" t="n"/>
      <c r="V93" s="136">
        <f>(((V84)+(V85))/(1.42))</f>
        <v/>
      </c>
      <c r="W93" s="932" t="n"/>
      <c r="X93" s="136">
        <f>(((X84)+(X85))/(1.42))</f>
        <v/>
      </c>
      <c r="Y93" s="932" t="n"/>
      <c r="Z93" s="136">
        <f>(((Z84)+(Z85))/(1.42))</f>
        <v/>
      </c>
      <c r="AA93" s="932" t="n"/>
      <c r="AB93" s="136">
        <f>(((AB84)+(AB85))/(1.42))</f>
        <v/>
      </c>
      <c r="AC93" s="932" t="n"/>
      <c r="AD93" s="136">
        <f>(((AD84)+(AD85))/(1.42))</f>
        <v/>
      </c>
      <c r="AE93" s="932" t="n"/>
      <c r="AF93" s="136">
        <f>AVERAGE(H93:AE93)</f>
        <v/>
      </c>
    </row>
    <row r="98">
      <c r="D98" s="117" t="inlineStr">
        <is>
          <t>Year 4</t>
        </is>
      </c>
      <c r="E98" s="117" t="n"/>
      <c r="F98" s="137" t="inlineStr">
        <is>
          <t>37 - 48</t>
        </is>
      </c>
      <c r="G98" s="626" t="n"/>
      <c r="H98" s="932" t="n"/>
      <c r="I98" s="932" t="n"/>
      <c r="J98" s="932" t="n"/>
      <c r="K98" s="932" t="n"/>
      <c r="L98" s="932" t="n"/>
      <c r="M98" s="932" t="n"/>
      <c r="N98" s="932" t="n"/>
      <c r="O98" s="932" t="n"/>
      <c r="P98" s="932" t="n"/>
      <c r="Q98" s="932" t="n"/>
      <c r="R98" s="932" t="n"/>
      <c r="S98" s="932" t="n"/>
      <c r="T98" s="932" t="n"/>
      <c r="U98" s="932" t="n"/>
      <c r="V98" s="932" t="n"/>
      <c r="W98" s="932" t="n"/>
      <c r="X98" s="932" t="n"/>
      <c r="Y98" s="932" t="n"/>
      <c r="Z98" s="932" t="n"/>
      <c r="AA98" s="932" t="n"/>
      <c r="AB98" s="932" t="n"/>
      <c r="AC98" s="932" t="n"/>
      <c r="AD98" s="932" t="n"/>
      <c r="AE98" s="932" t="n"/>
      <c r="AF98" s="932" t="n"/>
    </row>
    <row r="99">
      <c r="D99" s="1905" t="inlineStr">
        <is>
          <t xml:space="preserve">     Beginning of Month</t>
        </is>
      </c>
      <c r="G99" s="626" t="n"/>
      <c r="H99" s="140">
        <f>(AF89)</f>
        <v/>
      </c>
      <c r="I99" s="932" t="n"/>
      <c r="J99" s="135">
        <f>(H104)</f>
        <v/>
      </c>
      <c r="K99" s="932" t="n"/>
      <c r="L99" s="135">
        <f>(J104)</f>
        <v/>
      </c>
      <c r="M99" s="932" t="n"/>
      <c r="N99" s="135">
        <f>(L104)</f>
        <v/>
      </c>
      <c r="O99" s="932" t="n"/>
      <c r="P99" s="135">
        <f>(N104)</f>
        <v/>
      </c>
      <c r="Q99" s="932" t="n"/>
      <c r="R99" s="135">
        <f>(P104)</f>
        <v/>
      </c>
      <c r="S99" s="932" t="n"/>
      <c r="T99" s="135">
        <f>(R104)</f>
        <v/>
      </c>
      <c r="U99" s="932" t="n"/>
      <c r="V99" s="135">
        <f>(T104)</f>
        <v/>
      </c>
      <c r="W99" s="932" t="n"/>
      <c r="X99" s="135">
        <f>(V104)</f>
        <v/>
      </c>
      <c r="Y99" s="932" t="n"/>
      <c r="Z99" s="135">
        <f>(X104)</f>
        <v/>
      </c>
      <c r="AA99" s="932" t="n"/>
      <c r="AB99" s="135">
        <f>(Z104)</f>
        <v/>
      </c>
      <c r="AC99" s="932" t="n"/>
      <c r="AD99" s="135">
        <f>(AB104)</f>
        <v/>
      </c>
      <c r="AE99" s="932" t="n"/>
      <c r="AF99" s="140">
        <f>H99</f>
        <v/>
      </c>
    </row>
    <row r="100">
      <c r="D100" s="1905" t="inlineStr">
        <is>
          <t xml:space="preserve">     + Activated</t>
        </is>
      </c>
      <c r="G100" s="626" t="n"/>
      <c r="H100" s="135">
        <f>(H20)</f>
        <v/>
      </c>
      <c r="I100" s="932" t="n"/>
      <c r="J100" s="135">
        <f>(J20)</f>
        <v/>
      </c>
      <c r="K100" s="932" t="n"/>
      <c r="L100" s="135">
        <f>(L20)</f>
        <v/>
      </c>
      <c r="M100" s="932" t="n"/>
      <c r="N100" s="135">
        <f>(N20)</f>
        <v/>
      </c>
      <c r="O100" s="932" t="n"/>
      <c r="P100" s="135">
        <f>(P20)</f>
        <v/>
      </c>
      <c r="Q100" s="932" t="n"/>
      <c r="R100" s="135">
        <f>(R20)</f>
        <v/>
      </c>
      <c r="S100" s="932" t="n"/>
      <c r="T100" s="135">
        <f>(T20)</f>
        <v/>
      </c>
      <c r="U100" s="932" t="n"/>
      <c r="V100" s="135">
        <f>(V20)</f>
        <v/>
      </c>
      <c r="W100" s="932" t="n"/>
      <c r="X100" s="135">
        <f>(X20)</f>
        <v/>
      </c>
      <c r="Y100" s="932" t="n"/>
      <c r="Z100" s="135">
        <f>(Z20)</f>
        <v/>
      </c>
      <c r="AA100" s="932" t="n"/>
      <c r="AB100" s="135">
        <f>(AB20)</f>
        <v/>
      </c>
      <c r="AC100" s="932" t="n"/>
      <c r="AD100" s="135">
        <f>(AD20)</f>
        <v/>
      </c>
      <c r="AE100" s="932" t="n"/>
      <c r="AF100" s="136">
        <f>((H100)+(J100)+(L100)+(N100)+(P100)+(R100)+(T100)+(V100)+(X100)+(Z100)+(AB100)+(AD100))</f>
        <v/>
      </c>
    </row>
    <row r="101">
      <c r="D101" s="1905" t="inlineStr">
        <is>
          <t xml:space="preserve">     - Attrition</t>
        </is>
      </c>
      <c r="G101" s="626" t="n"/>
      <c r="H101" s="135">
        <f>'Attrition Wedge (Computer App)'!AQ74</f>
        <v/>
      </c>
      <c r="I101" s="932" t="n"/>
      <c r="J101" s="135">
        <f>'Attrition Wedge (Computer App)'!AR74</f>
        <v/>
      </c>
      <c r="K101" s="932" t="n"/>
      <c r="L101" s="135">
        <f>'Attrition Wedge (Computer App)'!AS74</f>
        <v/>
      </c>
      <c r="M101" s="932" t="n"/>
      <c r="N101" s="135">
        <f>'Attrition Wedge (Computer App)'!AT74</f>
        <v/>
      </c>
      <c r="O101" s="932" t="n"/>
      <c r="P101" s="135">
        <f>'Attrition Wedge (Computer App)'!AU74</f>
        <v/>
      </c>
      <c r="Q101" s="932" t="n"/>
      <c r="R101" s="135">
        <f>'Attrition Wedge (Computer App)'!AV74</f>
        <v/>
      </c>
      <c r="S101" s="932" t="n"/>
      <c r="T101" s="135">
        <f>'Attrition Wedge (Computer App)'!AW74</f>
        <v/>
      </c>
      <c r="U101" s="932" t="n"/>
      <c r="V101" s="135">
        <f>'Attrition Wedge (Computer App)'!AX74</f>
        <v/>
      </c>
      <c r="W101" s="932" t="n"/>
      <c r="X101" s="135">
        <f>'Attrition Wedge (Computer App)'!AY74</f>
        <v/>
      </c>
      <c r="Y101" s="932" t="n"/>
      <c r="Z101" s="135">
        <f>'Attrition Wedge (Computer App)'!AZ74</f>
        <v/>
      </c>
      <c r="AA101" s="932" t="n"/>
      <c r="AB101" s="135">
        <f>'Attrition Wedge (Computer App)'!BA74</f>
        <v/>
      </c>
      <c r="AC101" s="932" t="n"/>
      <c r="AD101" s="135">
        <f>'Attrition Wedge (Computer App)'!BB74</f>
        <v/>
      </c>
      <c r="AE101" s="932" t="n"/>
      <c r="AF101" s="136">
        <f>((H101)+(J101)+(L101)+(N101)+(P101)+(R101)+(T101)+(V101)+(X101)+(Z101)+(AB101)+(AD101))</f>
        <v/>
      </c>
    </row>
    <row r="102" ht="3" customHeight="1" s="1883">
      <c r="D102" s="626" t="n"/>
      <c r="E102" s="626" t="n"/>
      <c r="F102" s="937" t="n"/>
      <c r="G102" s="626" t="n"/>
      <c r="H102" s="933" t="n"/>
      <c r="I102" s="932" t="n"/>
      <c r="J102" s="933" t="n"/>
      <c r="K102" s="932" t="n"/>
      <c r="L102" s="933" t="n"/>
      <c r="M102" s="932" t="n"/>
      <c r="N102" s="933" t="n"/>
      <c r="O102" s="932" t="n"/>
      <c r="P102" s="933" t="n"/>
      <c r="Q102" s="932" t="n"/>
      <c r="R102" s="933" t="n"/>
      <c r="S102" s="932" t="n"/>
      <c r="T102" s="933" t="n"/>
      <c r="U102" s="932" t="n"/>
      <c r="V102" s="933" t="n"/>
      <c r="W102" s="932" t="n"/>
      <c r="X102" s="933" t="n"/>
      <c r="Y102" s="932" t="n"/>
      <c r="Z102" s="933" t="n"/>
      <c r="AA102" s="932" t="n"/>
      <c r="AB102" s="933" t="n"/>
      <c r="AC102" s="932" t="n"/>
      <c r="AD102" s="933" t="n"/>
      <c r="AE102" s="932" t="n"/>
      <c r="AF102" s="933" t="n"/>
    </row>
    <row r="103" ht="3" customHeight="1" s="1883">
      <c r="D103" s="626" t="n"/>
      <c r="E103" s="626" t="n"/>
      <c r="F103" s="937" t="n"/>
      <c r="G103" s="626" t="n"/>
      <c r="H103" s="932" t="n"/>
      <c r="I103" s="932" t="n"/>
      <c r="J103" s="932" t="n"/>
      <c r="K103" s="932" t="n"/>
      <c r="L103" s="932" t="n"/>
      <c r="M103" s="932" t="n"/>
      <c r="N103" s="932" t="n"/>
      <c r="O103" s="932" t="n"/>
      <c r="P103" s="932" t="n"/>
      <c r="Q103" s="932" t="n"/>
      <c r="R103" s="932" t="n"/>
      <c r="S103" s="932" t="n"/>
      <c r="T103" s="932" t="n"/>
      <c r="U103" s="932" t="n"/>
      <c r="V103" s="932" t="n"/>
      <c r="W103" s="932" t="n"/>
      <c r="X103" s="932" t="n"/>
      <c r="Y103" s="932" t="n"/>
      <c r="Z103" s="932" t="n"/>
      <c r="AA103" s="932" t="n"/>
      <c r="AB103" s="932" t="n"/>
      <c r="AC103" s="932" t="n"/>
      <c r="AD103" s="932" t="n"/>
      <c r="AE103" s="932" t="n"/>
      <c r="AF103" s="932" t="n"/>
    </row>
    <row r="104">
      <c r="D104" s="1908" t="inlineStr">
        <is>
          <t xml:space="preserve">          End of Month</t>
        </is>
      </c>
      <c r="G104" s="626" t="n"/>
      <c r="H104" s="136">
        <f>((H99)+(H100)-(H101))</f>
        <v/>
      </c>
      <c r="I104" s="932" t="n"/>
      <c r="J104" s="136">
        <f>((J99)+(J100)-(J101))</f>
        <v/>
      </c>
      <c r="K104" s="932" t="n"/>
      <c r="L104" s="136">
        <f>((L99)+(L100)-(L101))</f>
        <v/>
      </c>
      <c r="M104" s="932" t="n"/>
      <c r="N104" s="136">
        <f>((N99)+(N100)-(N101))</f>
        <v/>
      </c>
      <c r="O104" s="932" t="n"/>
      <c r="P104" s="136">
        <f>((P99)+(P100)-(P101))</f>
        <v/>
      </c>
      <c r="Q104" s="932" t="n"/>
      <c r="R104" s="136">
        <f>((R99)+(R100)-(R101))</f>
        <v/>
      </c>
      <c r="S104" s="932" t="n"/>
      <c r="T104" s="136">
        <f>((T99)+(T100)-(T101))</f>
        <v/>
      </c>
      <c r="U104" s="932" t="n"/>
      <c r="V104" s="136">
        <f>((V99)+(V100)-(V101))</f>
        <v/>
      </c>
      <c r="W104" s="932" t="n"/>
      <c r="X104" s="136">
        <f>((X99)+(X100)-(X101))</f>
        <v/>
      </c>
      <c r="Y104" s="932" t="n"/>
      <c r="Z104" s="136">
        <f>((Z99)+(Z100)-(Z101))</f>
        <v/>
      </c>
      <c r="AA104" s="932" t="n"/>
      <c r="AB104" s="136">
        <f>((AB99)+(AB100)-(AB101))</f>
        <v/>
      </c>
      <c r="AC104" s="932" t="n"/>
      <c r="AD104" s="140">
        <f>((AD99)+(AD100)-(AD101))</f>
        <v/>
      </c>
      <c r="AE104" s="932" t="n"/>
      <c r="AF104" s="140">
        <f>((AF99)+(AF100)-(AF101))</f>
        <v/>
      </c>
    </row>
    <row r="105" ht="3" customHeight="1" s="1883">
      <c r="D105" s="626" t="n"/>
      <c r="E105" s="626" t="n"/>
      <c r="F105" s="626" t="n"/>
      <c r="G105" s="626" t="n"/>
      <c r="H105" s="933" t="n"/>
      <c r="I105" s="932" t="n"/>
      <c r="J105" s="933" t="n"/>
      <c r="K105" s="932" t="n"/>
      <c r="L105" s="933" t="n"/>
      <c r="M105" s="932" t="n"/>
      <c r="N105" s="933" t="n"/>
      <c r="O105" s="932" t="n"/>
      <c r="P105" s="933" t="n"/>
      <c r="Q105" s="932" t="n"/>
      <c r="R105" s="933" t="n"/>
      <c r="S105" s="932" t="n"/>
      <c r="T105" s="933" t="n"/>
      <c r="U105" s="932" t="n"/>
      <c r="V105" s="933" t="n"/>
      <c r="W105" s="932" t="n"/>
      <c r="X105" s="933" t="n"/>
      <c r="Y105" s="932" t="n"/>
      <c r="Z105" s="933" t="n"/>
      <c r="AA105" s="932" t="n"/>
      <c r="AB105" s="933" t="n"/>
      <c r="AC105" s="932" t="n"/>
      <c r="AD105" s="933" t="n"/>
      <c r="AE105" s="932" t="n"/>
      <c r="AF105" s="933" t="n"/>
    </row>
    <row r="106" ht="3" customHeight="1" s="1883">
      <c r="D106" s="626" t="n"/>
      <c r="E106" s="626" t="n"/>
      <c r="F106" s="626" t="n"/>
      <c r="G106" s="626" t="n"/>
      <c r="H106" s="932" t="n"/>
      <c r="I106" s="932" t="n"/>
      <c r="J106" s="932" t="n"/>
      <c r="K106" s="932" t="n"/>
      <c r="L106" s="932" t="n"/>
      <c r="M106" s="932" t="n"/>
      <c r="N106" s="932" t="n"/>
      <c r="O106" s="932" t="n"/>
      <c r="P106" s="932" t="n"/>
      <c r="Q106" s="932" t="n"/>
      <c r="R106" s="932" t="n"/>
      <c r="S106" s="932" t="n"/>
      <c r="T106" s="932" t="n"/>
      <c r="U106" s="932" t="n"/>
      <c r="V106" s="932" t="n"/>
      <c r="W106" s="932" t="n"/>
      <c r="X106" s="932" t="n"/>
      <c r="Y106" s="932" t="n"/>
      <c r="Z106" s="932" t="n"/>
      <c r="AA106" s="932" t="n"/>
      <c r="AB106" s="932" t="n"/>
      <c r="AC106" s="932" t="n"/>
      <c r="AD106" s="932" t="n"/>
      <c r="AE106" s="932" t="n"/>
      <c r="AF106" s="932" t="n"/>
    </row>
    <row r="107" ht="13" customHeight="1" s="1883">
      <c r="D107" s="626" t="n"/>
      <c r="E107" s="626" t="n"/>
      <c r="F107" s="626" t="n"/>
      <c r="G107" s="626" t="n"/>
      <c r="H107" s="932" t="n"/>
      <c r="I107" s="932" t="n"/>
      <c r="J107" s="932" t="n"/>
      <c r="K107" s="932" t="n"/>
      <c r="L107" s="932" t="n"/>
      <c r="M107" s="932" t="n"/>
      <c r="N107" s="932" t="n"/>
      <c r="O107" s="932" t="n"/>
      <c r="P107" s="932" t="n"/>
      <c r="Q107" s="932" t="n"/>
      <c r="R107" s="932" t="n"/>
      <c r="S107" s="932" t="n"/>
      <c r="T107" s="932" t="n"/>
      <c r="U107" s="932" t="n"/>
      <c r="V107" s="932" t="n"/>
      <c r="W107" s="932" t="n"/>
      <c r="X107" s="932" t="n"/>
      <c r="Y107" s="932" t="n"/>
      <c r="Z107" s="932" t="n"/>
      <c r="AA107" s="932" t="n"/>
      <c r="AB107" s="932" t="n"/>
      <c r="AC107" s="932" t="n"/>
      <c r="AD107" s="932" t="n"/>
      <c r="AE107" s="932" t="n"/>
      <c r="AF107" s="932" t="n"/>
    </row>
    <row r="108">
      <c r="D108" s="1908" t="inlineStr">
        <is>
          <t xml:space="preserve">          Average (Beginning + Ending/1.42)</t>
        </is>
      </c>
      <c r="G108" s="626" t="n"/>
      <c r="H108" s="136">
        <f>(((H99)+(H100))/(1.42))</f>
        <v/>
      </c>
      <c r="I108" s="932" t="n"/>
      <c r="J108" s="136">
        <f>(((J99)+(J100))/(1.42))</f>
        <v/>
      </c>
      <c r="K108" s="932" t="n"/>
      <c r="L108" s="136">
        <f>(((L99)+(L100))/(1.42))</f>
        <v/>
      </c>
      <c r="M108" s="932" t="n"/>
      <c r="N108" s="136">
        <f>(((N99)+(N100))/(1.42))</f>
        <v/>
      </c>
      <c r="O108" s="932" t="n"/>
      <c r="P108" s="136">
        <f>(((P99)+(P100))/(1.42))</f>
        <v/>
      </c>
      <c r="Q108" s="932" t="n"/>
      <c r="R108" s="136">
        <f>(((R99)+(R100))/(1.42))</f>
        <v/>
      </c>
      <c r="S108" s="932" t="n"/>
      <c r="T108" s="136">
        <f>(((T99)+(T100))/(1.42))</f>
        <v/>
      </c>
      <c r="U108" s="932" t="n"/>
      <c r="V108" s="136">
        <f>(((V99)+(V100))/(1.42))</f>
        <v/>
      </c>
      <c r="W108" s="932" t="n"/>
      <c r="X108" s="136">
        <f>(((X99)+(X100))/(1.42))</f>
        <v/>
      </c>
      <c r="Y108" s="932" t="n"/>
      <c r="Z108" s="136">
        <f>(((Z99)+(Z100))/(1.42))</f>
        <v/>
      </c>
      <c r="AA108" s="932" t="n"/>
      <c r="AB108" s="136">
        <f>(((AB99)+(AB100))/(1.42))</f>
        <v/>
      </c>
      <c r="AC108" s="932" t="n"/>
      <c r="AD108" s="136">
        <f>(((AD99)+(AD100))/(1.42))</f>
        <v/>
      </c>
      <c r="AE108" s="932" t="n"/>
      <c r="AF108" s="136">
        <f>AVERAGE(H108:AE108)</f>
        <v/>
      </c>
    </row>
    <row r="113">
      <c r="D113" s="117" t="inlineStr">
        <is>
          <t>Year 5</t>
        </is>
      </c>
      <c r="E113" s="117" t="n"/>
      <c r="F113" s="137" t="inlineStr">
        <is>
          <t>49 - 60</t>
        </is>
      </c>
      <c r="G113" s="626" t="n"/>
      <c r="H113" s="932" t="n"/>
      <c r="I113" s="932" t="n"/>
      <c r="J113" s="932" t="n"/>
      <c r="K113" s="932" t="n"/>
      <c r="L113" s="932" t="n"/>
      <c r="M113" s="932" t="n"/>
      <c r="N113" s="932" t="n"/>
      <c r="O113" s="932" t="n"/>
      <c r="P113" s="932" t="n"/>
      <c r="Q113" s="932" t="n"/>
      <c r="R113" s="932" t="n"/>
      <c r="S113" s="932" t="n"/>
      <c r="T113" s="932" t="n"/>
      <c r="U113" s="932" t="n"/>
      <c r="V113" s="932" t="n"/>
      <c r="W113" s="932" t="n"/>
      <c r="X113" s="932" t="n"/>
      <c r="Y113" s="932" t="n"/>
      <c r="Z113" s="932" t="n"/>
      <c r="AA113" s="932" t="n"/>
      <c r="AB113" s="932" t="n"/>
      <c r="AC113" s="932" t="n"/>
      <c r="AD113" s="932" t="n"/>
      <c r="AE113" s="932" t="n"/>
      <c r="AF113" s="932" t="n"/>
    </row>
    <row r="114">
      <c r="D114" s="1905" t="inlineStr">
        <is>
          <t xml:space="preserve">     Beginning of Month</t>
        </is>
      </c>
      <c r="G114" s="626" t="n"/>
      <c r="H114" s="140">
        <f>(AF104)</f>
        <v/>
      </c>
      <c r="I114" s="932" t="n"/>
      <c r="J114" s="135">
        <f>(H119)</f>
        <v/>
      </c>
      <c r="K114" s="932" t="n"/>
      <c r="L114" s="135">
        <f>(J119)</f>
        <v/>
      </c>
      <c r="M114" s="932" t="n"/>
      <c r="N114" s="135">
        <f>(L119)</f>
        <v/>
      </c>
      <c r="O114" s="932" t="n"/>
      <c r="P114" s="135">
        <f>(N119)</f>
        <v/>
      </c>
      <c r="Q114" s="932" t="n"/>
      <c r="R114" s="135">
        <f>(P119)</f>
        <v/>
      </c>
      <c r="S114" s="932" t="n"/>
      <c r="T114" s="135">
        <f>(R119)</f>
        <v/>
      </c>
      <c r="U114" s="932" t="n"/>
      <c r="V114" s="135">
        <f>(T119)</f>
        <v/>
      </c>
      <c r="W114" s="932" t="n"/>
      <c r="X114" s="135">
        <f>(V119)</f>
        <v/>
      </c>
      <c r="Y114" s="932" t="n"/>
      <c r="Z114" s="135">
        <f>(X119)</f>
        <v/>
      </c>
      <c r="AA114" s="932" t="n"/>
      <c r="AB114" s="135">
        <f>(Z119)</f>
        <v/>
      </c>
      <c r="AC114" s="932" t="n"/>
      <c r="AD114" s="135">
        <f>(AB119)</f>
        <v/>
      </c>
      <c r="AE114" s="932" t="n"/>
      <c r="AF114" s="140">
        <f>H114</f>
        <v/>
      </c>
    </row>
    <row r="115">
      <c r="D115" s="1905" t="inlineStr">
        <is>
          <t xml:space="preserve">     + Activated</t>
        </is>
      </c>
      <c r="G115" s="626" t="n"/>
      <c r="H115" s="135">
        <f>(H21)</f>
        <v/>
      </c>
      <c r="I115" s="932">
        <f>(I21)</f>
        <v/>
      </c>
      <c r="J115" s="135">
        <f>(J21)</f>
        <v/>
      </c>
      <c r="K115" s="932">
        <f>(K21)</f>
        <v/>
      </c>
      <c r="L115" s="135">
        <f>(L21)</f>
        <v/>
      </c>
      <c r="M115" s="932">
        <f>(M21)</f>
        <v/>
      </c>
      <c r="N115" s="135">
        <f>(N21)</f>
        <v/>
      </c>
      <c r="O115" s="932">
        <f>(O21)</f>
        <v/>
      </c>
      <c r="P115" s="135">
        <f>(P21)</f>
        <v/>
      </c>
      <c r="Q115" s="932">
        <f>(Q21)</f>
        <v/>
      </c>
      <c r="R115" s="135">
        <f>(R21)</f>
        <v/>
      </c>
      <c r="S115" s="932">
        <f>(S21)</f>
        <v/>
      </c>
      <c r="T115" s="135">
        <f>(T21)</f>
        <v/>
      </c>
      <c r="U115" s="932">
        <f>(U21)</f>
        <v/>
      </c>
      <c r="V115" s="135">
        <f>(V21)</f>
        <v/>
      </c>
      <c r="W115" s="932">
        <f>(W21)</f>
        <v/>
      </c>
      <c r="X115" s="135">
        <f>(X21)</f>
        <v/>
      </c>
      <c r="Y115" s="932">
        <f>(Y21)</f>
        <v/>
      </c>
      <c r="Z115" s="135">
        <f>(Z21)</f>
        <v/>
      </c>
      <c r="AA115" s="932">
        <f>(AA21)</f>
        <v/>
      </c>
      <c r="AB115" s="135">
        <f>(AB21)</f>
        <v/>
      </c>
      <c r="AC115" s="932">
        <f>(AC21)</f>
        <v/>
      </c>
      <c r="AD115" s="135">
        <f>(AD21)</f>
        <v/>
      </c>
      <c r="AE115" s="932" t="n"/>
      <c r="AF115" s="136">
        <f>((H115)+(J115)+(L115)+(N115)+(P115)+(R115)+(T115)+(V115)+(X115)+(Z115)+(AB115)+(AD115))</f>
        <v/>
      </c>
    </row>
    <row r="116">
      <c r="D116" s="1905" t="inlineStr">
        <is>
          <t xml:space="preserve">     - Attrition</t>
        </is>
      </c>
      <c r="G116" s="626" t="n"/>
      <c r="H116" s="135">
        <f>'Attrition Wedge (Computer App)'!BC74</f>
        <v/>
      </c>
      <c r="I116" s="626" t="n"/>
      <c r="J116" s="135">
        <f>'Attrition Wedge (Computer App)'!BD74</f>
        <v/>
      </c>
      <c r="K116" s="626" t="n"/>
      <c r="L116" s="135">
        <f>'Attrition Wedge (Computer App)'!BE74</f>
        <v/>
      </c>
      <c r="M116" s="626" t="n"/>
      <c r="N116" s="135">
        <f>'Attrition Wedge (Computer App)'!BF74</f>
        <v/>
      </c>
      <c r="O116" s="626" t="n"/>
      <c r="P116" s="135">
        <f>'Attrition Wedge (Computer App)'!BG74</f>
        <v/>
      </c>
      <c r="Q116" s="626" t="n"/>
      <c r="R116" s="135">
        <f>'Attrition Wedge (Computer App)'!BH74</f>
        <v/>
      </c>
      <c r="S116" s="626" t="n"/>
      <c r="T116" s="135">
        <f>'Attrition Wedge (Computer App)'!BI74</f>
        <v/>
      </c>
      <c r="U116" s="626" t="n"/>
      <c r="V116" s="135">
        <f>'Attrition Wedge (Computer App)'!BJ74</f>
        <v/>
      </c>
      <c r="W116" s="626" t="n"/>
      <c r="X116" s="135">
        <f>'Attrition Wedge (Computer App)'!BK74</f>
        <v/>
      </c>
      <c r="Y116" s="626" t="n"/>
      <c r="Z116" s="135">
        <f>'Attrition Wedge (Computer App)'!BL74</f>
        <v/>
      </c>
      <c r="AA116" s="626" t="n"/>
      <c r="AB116" s="135">
        <f>'Attrition Wedge (Computer App)'!BM74</f>
        <v/>
      </c>
      <c r="AC116" s="626" t="n"/>
      <c r="AD116" s="135">
        <f>'Attrition Wedge (Computer App)'!BN74</f>
        <v/>
      </c>
      <c r="AE116" s="626" t="n"/>
      <c r="AF116" s="136">
        <f>((H116)+(J116)+(L116)+(N116)+(P116)+(R116)+(T116)+(V116)+(X116)+(Z116)+(AB116)+(AD116))</f>
        <v/>
      </c>
    </row>
    <row r="117" ht="3" customHeight="1" s="1883">
      <c r="D117" s="626" t="n"/>
      <c r="E117" s="626" t="n"/>
      <c r="F117" s="937" t="n"/>
      <c r="G117" s="626" t="n"/>
      <c r="H117" s="926" t="n"/>
      <c r="I117" s="626" t="n"/>
      <c r="J117" s="926" t="n"/>
      <c r="K117" s="626" t="n"/>
      <c r="L117" s="926" t="n"/>
      <c r="M117" s="626" t="n"/>
      <c r="N117" s="926" t="n"/>
      <c r="O117" s="626" t="n"/>
      <c r="P117" s="926" t="n"/>
      <c r="Q117" s="626" t="n"/>
      <c r="R117" s="926" t="n"/>
      <c r="S117" s="626" t="n"/>
      <c r="T117" s="926" t="n"/>
      <c r="U117" s="626" t="n"/>
      <c r="V117" s="926" t="n"/>
      <c r="W117" s="626" t="n"/>
      <c r="X117" s="926" t="n"/>
      <c r="Y117" s="626" t="n"/>
      <c r="Z117" s="926" t="n"/>
      <c r="AA117" s="626" t="n"/>
      <c r="AB117" s="926" t="n"/>
      <c r="AC117" s="626" t="n"/>
      <c r="AD117" s="926" t="n"/>
      <c r="AE117" s="626" t="n"/>
      <c r="AF117" s="926" t="n"/>
    </row>
    <row r="118" ht="3" customHeight="1" s="1883">
      <c r="D118" s="626" t="n"/>
      <c r="E118" s="626" t="n"/>
      <c r="F118" s="937" t="n"/>
      <c r="G118" s="626" t="n"/>
      <c r="H118" s="626" t="n"/>
      <c r="I118" s="626" t="n"/>
      <c r="J118" s="626" t="n"/>
      <c r="K118" s="626" t="n"/>
      <c r="L118" s="626" t="n"/>
      <c r="M118" s="626" t="n"/>
      <c r="N118" s="626" t="n"/>
      <c r="O118" s="626" t="n"/>
      <c r="P118" s="626" t="n"/>
      <c r="Q118" s="626" t="n"/>
      <c r="R118" s="626" t="n"/>
      <c r="S118" s="626" t="n"/>
      <c r="T118" s="626" t="n"/>
      <c r="U118" s="626" t="n"/>
      <c r="V118" s="626" t="n"/>
      <c r="W118" s="626" t="n"/>
      <c r="X118" s="626" t="n"/>
      <c r="Y118" s="626" t="n"/>
      <c r="Z118" s="626" t="n"/>
      <c r="AA118" s="626" t="n"/>
      <c r="AB118" s="626" t="n"/>
      <c r="AC118" s="626" t="n"/>
      <c r="AD118" s="626" t="n"/>
      <c r="AE118" s="626" t="n"/>
      <c r="AF118" s="626" t="n"/>
    </row>
    <row r="119">
      <c r="D119" s="1908" t="inlineStr">
        <is>
          <t xml:space="preserve">          End of Month</t>
        </is>
      </c>
      <c r="G119" s="626" t="n"/>
      <c r="H119" s="136">
        <f>((H114)+(H115)-(H116))</f>
        <v/>
      </c>
      <c r="I119" s="932" t="n"/>
      <c r="J119" s="136">
        <f>((J114)+(J115)-(J116))</f>
        <v/>
      </c>
      <c r="K119" s="932" t="n"/>
      <c r="L119" s="136">
        <f>((L114)+(L115)-(L116))</f>
        <v/>
      </c>
      <c r="M119" s="932" t="n"/>
      <c r="N119" s="136">
        <f>((N114)+(N115)-(N116))</f>
        <v/>
      </c>
      <c r="O119" s="932" t="n"/>
      <c r="P119" s="136">
        <f>((P114)+(P115)-(P116))</f>
        <v/>
      </c>
      <c r="Q119" s="932" t="n"/>
      <c r="R119" s="136">
        <f>((R114)+(R115)-(R116))</f>
        <v/>
      </c>
      <c r="S119" s="932" t="n"/>
      <c r="T119" s="136">
        <f>((T114)+(T115)-(T116))</f>
        <v/>
      </c>
      <c r="U119" s="932" t="n"/>
      <c r="V119" s="136">
        <f>((V114)+(V115)-(V116))</f>
        <v/>
      </c>
      <c r="W119" s="932" t="n"/>
      <c r="X119" s="136">
        <f>((X114)+(X115)-(X116))</f>
        <v/>
      </c>
      <c r="Y119" s="932" t="n"/>
      <c r="Z119" s="136">
        <f>((Z114)+(Z115)-(Z116))</f>
        <v/>
      </c>
      <c r="AA119" s="932" t="n"/>
      <c r="AB119" s="136">
        <f>((AB114)+(AB115)-(AB116))</f>
        <v/>
      </c>
      <c r="AC119" s="932" t="n"/>
      <c r="AD119" s="140">
        <f>((AD114)+(AD115)-(AD116))</f>
        <v/>
      </c>
      <c r="AE119" s="626" t="n"/>
      <c r="AF119" s="140">
        <f>((AF114)+(AF115)-(AF116))</f>
        <v/>
      </c>
    </row>
    <row r="120" ht="3" customHeight="1" s="1883">
      <c r="D120" s="626" t="n"/>
      <c r="E120" s="626" t="n"/>
      <c r="F120" s="626" t="n"/>
      <c r="G120" s="626" t="n"/>
      <c r="H120" s="933" t="n"/>
      <c r="I120" s="932" t="n"/>
      <c r="J120" s="933" t="n"/>
      <c r="K120" s="932" t="n"/>
      <c r="L120" s="933" t="n"/>
      <c r="M120" s="932" t="n"/>
      <c r="N120" s="933" t="n"/>
      <c r="O120" s="932" t="n"/>
      <c r="P120" s="933" t="n"/>
      <c r="Q120" s="932" t="n"/>
      <c r="R120" s="933" t="n"/>
      <c r="S120" s="932" t="n"/>
      <c r="T120" s="933" t="n"/>
      <c r="U120" s="932" t="n"/>
      <c r="V120" s="933" t="n"/>
      <c r="W120" s="932" t="n"/>
      <c r="X120" s="933" t="n"/>
      <c r="Y120" s="932" t="n"/>
      <c r="Z120" s="933" t="n"/>
      <c r="AA120" s="932" t="n"/>
      <c r="AB120" s="933" t="n"/>
      <c r="AC120" s="932" t="n"/>
      <c r="AD120" s="933" t="n"/>
      <c r="AE120" s="626" t="n"/>
      <c r="AF120" s="933" t="n"/>
    </row>
    <row r="121" ht="3" customHeight="1" s="1883">
      <c r="D121" s="626" t="n"/>
      <c r="E121" s="626" t="n"/>
      <c r="F121" s="626" t="n"/>
      <c r="G121" s="626" t="n"/>
      <c r="H121" s="932" t="n"/>
      <c r="I121" s="932" t="n"/>
      <c r="J121" s="932" t="n"/>
      <c r="K121" s="932" t="n"/>
      <c r="L121" s="932" t="n"/>
      <c r="M121" s="932" t="n"/>
      <c r="N121" s="932" t="n"/>
      <c r="O121" s="932" t="n"/>
      <c r="P121" s="932" t="n"/>
      <c r="Q121" s="932" t="n"/>
      <c r="R121" s="932" t="n"/>
      <c r="S121" s="932" t="n"/>
      <c r="T121" s="932" t="n"/>
      <c r="U121" s="932" t="n"/>
      <c r="V121" s="932" t="n"/>
      <c r="W121" s="932" t="n"/>
      <c r="X121" s="932" t="n"/>
      <c r="Y121" s="932" t="n"/>
      <c r="Z121" s="932" t="n"/>
      <c r="AA121" s="932" t="n"/>
      <c r="AB121" s="932" t="n"/>
      <c r="AC121" s="932" t="n"/>
      <c r="AD121" s="932" t="n"/>
      <c r="AE121" s="626" t="n"/>
      <c r="AF121" s="932" t="n"/>
    </row>
    <row r="122" ht="13" customHeight="1" s="1883">
      <c r="D122" s="626" t="n"/>
      <c r="E122" s="626" t="n"/>
      <c r="F122" s="626" t="n"/>
      <c r="G122" s="626" t="n"/>
      <c r="H122" s="932" t="n"/>
      <c r="I122" s="932" t="n"/>
      <c r="J122" s="932" t="n"/>
      <c r="K122" s="932" t="n"/>
      <c r="L122" s="932" t="n"/>
      <c r="M122" s="932" t="n"/>
      <c r="N122" s="932" t="n"/>
      <c r="O122" s="932" t="n"/>
      <c r="P122" s="932" t="n"/>
      <c r="Q122" s="932" t="n"/>
      <c r="R122" s="932" t="n"/>
      <c r="S122" s="932" t="n"/>
      <c r="T122" s="932" t="n"/>
      <c r="U122" s="932" t="n"/>
      <c r="V122" s="932" t="n"/>
      <c r="W122" s="932" t="n"/>
      <c r="X122" s="932" t="n"/>
      <c r="Y122" s="932" t="n"/>
      <c r="Z122" s="932" t="n"/>
      <c r="AA122" s="932" t="n"/>
      <c r="AB122" s="932" t="n"/>
      <c r="AC122" s="932" t="n"/>
      <c r="AD122" s="932" t="n"/>
      <c r="AE122" s="626" t="n"/>
      <c r="AF122" s="932" t="n"/>
    </row>
    <row r="123">
      <c r="D123" s="1908" t="inlineStr">
        <is>
          <t xml:space="preserve">          Average (Beginning + Ending/1.42)</t>
        </is>
      </c>
      <c r="G123" s="626" t="n"/>
      <c r="H123" s="136">
        <f>(((H114)+(H115))/(1.42))</f>
        <v/>
      </c>
      <c r="I123" s="932" t="n"/>
      <c r="J123" s="136">
        <f>(((J114)+(J115))/(1.42))</f>
        <v/>
      </c>
      <c r="K123" s="932" t="n"/>
      <c r="L123" s="136">
        <f>(((L114)+(L115))/(1.42))</f>
        <v/>
      </c>
      <c r="M123" s="932" t="n"/>
      <c r="N123" s="136">
        <f>(((N114)+(N115))/(1.42))</f>
        <v/>
      </c>
      <c r="O123" s="932" t="n"/>
      <c r="P123" s="136">
        <f>(((P114)+(P115))/(1.42))</f>
        <v/>
      </c>
      <c r="Q123" s="932" t="n"/>
      <c r="R123" s="136">
        <f>(((R114)+(R115))/(1.42))</f>
        <v/>
      </c>
      <c r="S123" s="932" t="n"/>
      <c r="T123" s="136">
        <f>(((T114)+(T115))/(1.42))</f>
        <v/>
      </c>
      <c r="U123" s="932" t="n"/>
      <c r="V123" s="136">
        <f>(((V114)+(V115))/(1.42))</f>
        <v/>
      </c>
      <c r="W123" s="932" t="n"/>
      <c r="X123" s="136">
        <f>(((X114)+(X115))/(1.42))</f>
        <v/>
      </c>
      <c r="Y123" s="932" t="n"/>
      <c r="Z123" s="136">
        <f>(((Z114)+(Z115))/(1.42))</f>
        <v/>
      </c>
      <c r="AA123" s="932" t="n"/>
      <c r="AB123" s="136">
        <f>(((AB114)+(AB115))/(1.42))</f>
        <v/>
      </c>
      <c r="AC123" s="136">
        <f>(((AC114)+(AC115))/(1.33))</f>
        <v/>
      </c>
      <c r="AD123" s="136">
        <f>(((AD114)+(AD115))/(1.42))</f>
        <v/>
      </c>
      <c r="AE123" s="932" t="n"/>
      <c r="AF123" s="136">
        <f>AVERAGE(H123:AE123)</f>
        <v/>
      </c>
    </row>
    <row r="131">
      <c r="B131" s="118" t="inlineStr">
        <is>
          <t>IV.</t>
        </is>
      </c>
      <c r="C131" s="626" t="n"/>
      <c r="D131" s="118" t="inlineStr">
        <is>
          <t>Billable Hours</t>
        </is>
      </c>
      <c r="E131" s="626" t="n"/>
      <c r="F131" s="626" t="n"/>
      <c r="G131" s="626" t="n"/>
      <c r="H131" s="1904" t="inlineStr">
        <is>
          <t>Fiscal Year</t>
        </is>
      </c>
    </row>
    <row r="132" ht="3" customHeight="1" s="1883">
      <c r="B132" s="926" t="n"/>
      <c r="C132" s="926" t="n"/>
      <c r="D132" s="926" t="n"/>
      <c r="E132" s="926" t="n"/>
      <c r="F132" s="926" t="n"/>
      <c r="G132" s="626" t="n"/>
      <c r="H132" s="933" t="n"/>
      <c r="I132" s="933" t="n"/>
      <c r="J132" s="933" t="n"/>
      <c r="K132" s="933" t="n"/>
      <c r="L132" s="933" t="n"/>
      <c r="M132" s="933" t="n"/>
      <c r="N132" s="933" t="n"/>
      <c r="O132" s="933" t="n"/>
      <c r="P132" s="933" t="n"/>
      <c r="Q132" s="933" t="n"/>
      <c r="R132" s="933" t="n"/>
      <c r="S132" s="933" t="n"/>
      <c r="T132" s="933" t="n"/>
      <c r="U132" s="933" t="n"/>
      <c r="V132" s="933" t="n"/>
      <c r="W132" s="933" t="n"/>
      <c r="X132" s="933" t="n"/>
      <c r="Y132" s="933" t="n"/>
      <c r="Z132" s="933" t="n"/>
      <c r="AA132" s="933" t="n"/>
      <c r="AB132" s="933" t="n"/>
      <c r="AC132" s="933" t="n"/>
      <c r="AD132" s="933" t="n"/>
      <c r="AE132" s="933" t="n"/>
      <c r="AF132" s="933" t="n"/>
    </row>
    <row r="133" ht="3" customHeight="1" s="1883">
      <c r="B133" s="626" t="n"/>
      <c r="C133" s="626" t="n"/>
      <c r="D133" s="626" t="n"/>
      <c r="E133" s="626" t="n"/>
      <c r="F133" s="626" t="n"/>
      <c r="G133" s="626" t="n"/>
      <c r="H133" s="932" t="n"/>
      <c r="I133" s="932" t="n"/>
      <c r="J133" s="932" t="n"/>
      <c r="K133" s="932" t="n"/>
      <c r="L133" s="932" t="n"/>
      <c r="M133" s="932" t="n"/>
      <c r="N133" s="932" t="n"/>
      <c r="O133" s="932" t="n"/>
      <c r="P133" s="932" t="n"/>
      <c r="Q133" s="932" t="n"/>
      <c r="R133" s="932" t="n"/>
      <c r="S133" s="932" t="n"/>
      <c r="T133" s="932" t="n"/>
      <c r="U133" s="932" t="n"/>
      <c r="V133" s="932" t="n"/>
      <c r="W133" s="932" t="n"/>
      <c r="X133" s="932" t="n"/>
      <c r="Y133" s="932" t="n"/>
      <c r="Z133" s="932" t="n"/>
      <c r="AA133" s="932" t="n"/>
      <c r="AB133" s="932" t="n"/>
      <c r="AC133" s="932" t="n"/>
      <c r="AD133" s="932" t="n"/>
      <c r="AE133" s="932" t="n"/>
      <c r="AF133" s="932" t="n"/>
    </row>
    <row r="134">
      <c r="B134" s="626" t="n"/>
      <c r="C134" s="626" t="n"/>
      <c r="D134" s="117" t="inlineStr">
        <is>
          <t>Year</t>
        </is>
      </c>
      <c r="E134" s="117" t="n"/>
      <c r="F134" s="117" t="inlineStr">
        <is>
          <t>Months</t>
        </is>
      </c>
      <c r="G134" s="626" t="n"/>
      <c r="H134" s="138" t="inlineStr">
        <is>
          <t>Month 1</t>
        </is>
      </c>
      <c r="I134" s="138" t="n"/>
      <c r="J134" s="138" t="inlineStr">
        <is>
          <t>Month 2</t>
        </is>
      </c>
      <c r="K134" s="138" t="n"/>
      <c r="L134" s="138" t="inlineStr">
        <is>
          <t>Month 3</t>
        </is>
      </c>
      <c r="M134" s="138" t="n"/>
      <c r="N134" s="138" t="inlineStr">
        <is>
          <t>Month 4</t>
        </is>
      </c>
      <c r="O134" s="138" t="n"/>
      <c r="P134" s="138" t="inlineStr">
        <is>
          <t>Month 5</t>
        </is>
      </c>
      <c r="Q134" s="138" t="n"/>
      <c r="R134" s="138" t="inlineStr">
        <is>
          <t>Month 6</t>
        </is>
      </c>
      <c r="S134" s="138" t="n"/>
      <c r="T134" s="138" t="inlineStr">
        <is>
          <t>Month 7</t>
        </is>
      </c>
      <c r="U134" s="138" t="n"/>
      <c r="V134" s="138" t="inlineStr">
        <is>
          <t>Month 8</t>
        </is>
      </c>
      <c r="W134" s="138" t="n"/>
      <c r="X134" s="138" t="inlineStr">
        <is>
          <t>Month 9</t>
        </is>
      </c>
      <c r="Y134" s="138" t="n"/>
      <c r="Z134" s="138" t="inlineStr">
        <is>
          <t>Month 10</t>
        </is>
      </c>
      <c r="AA134" s="138" t="n"/>
      <c r="AB134" s="138" t="inlineStr">
        <is>
          <t>Month 11</t>
        </is>
      </c>
      <c r="AC134" s="138" t="n"/>
      <c r="AD134" s="138" t="inlineStr">
        <is>
          <t>Month 12</t>
        </is>
      </c>
      <c r="AE134" s="932" t="n"/>
      <c r="AF134" s="138" t="inlineStr">
        <is>
          <t>Ʃ, Full-Year</t>
        </is>
      </c>
    </row>
    <row r="135" ht="3" customHeight="1" s="1883">
      <c r="B135" s="626" t="n"/>
      <c r="C135" s="626" t="n"/>
      <c r="D135" s="926" t="n"/>
      <c r="E135" s="626" t="n"/>
      <c r="F135" s="926" t="n"/>
      <c r="G135" s="626" t="n"/>
      <c r="H135" s="933" t="n"/>
      <c r="I135" s="932" t="n"/>
      <c r="J135" s="933" t="n"/>
      <c r="K135" s="932" t="n"/>
      <c r="L135" s="933" t="n"/>
      <c r="M135" s="932" t="n"/>
      <c r="N135" s="933" t="n"/>
      <c r="O135" s="932" t="n"/>
      <c r="P135" s="933" t="n"/>
      <c r="Q135" s="932" t="n"/>
      <c r="R135" s="933" t="n"/>
      <c r="S135" s="932" t="n"/>
      <c r="T135" s="933" t="n"/>
      <c r="U135" s="932" t="n"/>
      <c r="V135" s="933" t="n"/>
      <c r="W135" s="932" t="n"/>
      <c r="X135" s="933" t="n"/>
      <c r="Y135" s="932" t="n"/>
      <c r="Z135" s="933" t="n"/>
      <c r="AA135" s="932" t="n"/>
      <c r="AB135" s="933" t="n"/>
      <c r="AC135" s="932" t="n"/>
      <c r="AD135" s="933" t="n"/>
      <c r="AE135" s="932" t="n"/>
      <c r="AF135" s="933" t="n"/>
    </row>
    <row r="136" ht="3" customHeight="1" s="1883">
      <c r="B136" s="626" t="n"/>
      <c r="C136" s="626" t="n"/>
      <c r="D136" s="626" t="n"/>
      <c r="E136" s="626" t="n"/>
      <c r="F136" s="626" t="n"/>
      <c r="G136" s="626" t="n"/>
      <c r="H136" s="934" t="n"/>
      <c r="I136" s="934" t="n"/>
      <c r="J136" s="934" t="n"/>
      <c r="K136" s="934" t="n"/>
      <c r="L136" s="934" t="n"/>
      <c r="M136" s="934" t="n"/>
      <c r="N136" s="934" t="n"/>
      <c r="O136" s="934" t="n"/>
      <c r="P136" s="934" t="n"/>
      <c r="Q136" s="934" t="n"/>
      <c r="R136" s="934" t="n"/>
      <c r="S136" s="934" t="n"/>
      <c r="T136" s="934" t="n"/>
      <c r="U136" s="934" t="n"/>
      <c r="V136" s="934" t="n"/>
      <c r="W136" s="934" t="n"/>
      <c r="X136" s="934" t="n"/>
      <c r="Y136" s="934" t="n"/>
      <c r="Z136" s="934" t="n"/>
      <c r="AA136" s="934" t="n"/>
      <c r="AB136" s="934" t="n"/>
      <c r="AC136" s="934" t="n"/>
      <c r="AD136" s="934" t="n"/>
      <c r="AE136" s="934" t="n"/>
      <c r="AF136" s="934" t="n"/>
    </row>
    <row r="137">
      <c r="B137" s="626" t="n"/>
      <c r="C137" s="626" t="n"/>
      <c r="D137" s="117" t="inlineStr">
        <is>
          <t>Year 0</t>
        </is>
      </c>
      <c r="E137" s="117" t="n"/>
      <c r="F137" s="133" t="inlineStr">
        <is>
          <t>-12 - -1</t>
        </is>
      </c>
      <c r="G137" s="1968" t="n"/>
      <c r="H137" s="978" t="n"/>
      <c r="I137" s="978" t="n"/>
      <c r="J137" s="978" t="n"/>
      <c r="K137" s="978" t="n"/>
      <c r="L137" s="978" t="n"/>
      <c r="M137" s="978" t="n"/>
      <c r="N137" s="978" t="n"/>
      <c r="O137" s="978" t="n"/>
      <c r="P137" s="978" t="n"/>
      <c r="Q137" s="978" t="n"/>
      <c r="R137" s="978" t="n"/>
      <c r="S137" s="978" t="n"/>
      <c r="T137" s="978" t="n"/>
      <c r="U137" s="978" t="n"/>
      <c r="V137" s="978" t="n"/>
      <c r="W137" s="978" t="n"/>
      <c r="X137" s="978" t="n"/>
      <c r="Y137" s="978" t="n"/>
      <c r="Z137" s="978" t="n"/>
      <c r="AA137" s="978" t="n"/>
      <c r="AB137" s="978" t="n"/>
      <c r="AC137" s="978" t="n"/>
      <c r="AD137" s="978" t="n"/>
      <c r="AE137" s="978" t="n"/>
      <c r="AF137" s="978" t="n"/>
    </row>
    <row r="138" ht="13" customHeight="1" s="1883">
      <c r="B138" s="626" t="n"/>
      <c r="C138" s="626" t="n"/>
      <c r="D138" s="626" t="n"/>
      <c r="E138" s="626" t="n"/>
      <c r="F138" s="626" t="n"/>
      <c r="G138" s="626" t="n"/>
      <c r="H138" s="626" t="n"/>
      <c r="I138" s="626" t="n"/>
      <c r="J138" s="626" t="n"/>
      <c r="K138" s="626" t="n"/>
      <c r="L138" s="626" t="n"/>
      <c r="M138" s="626" t="n"/>
      <c r="N138" s="626" t="n"/>
      <c r="O138" s="626" t="n"/>
      <c r="P138" s="626" t="n"/>
      <c r="Q138" s="626" t="n"/>
      <c r="R138" s="626" t="n"/>
      <c r="S138" s="626" t="n"/>
      <c r="T138" s="626" t="n"/>
      <c r="U138" s="626" t="n"/>
      <c r="V138" s="626" t="n"/>
      <c r="W138" s="626" t="n"/>
      <c r="X138" s="626" t="n"/>
      <c r="Y138" s="626" t="n"/>
      <c r="Z138" s="626" t="n"/>
      <c r="AA138" s="626" t="n"/>
      <c r="AB138" s="626" t="n"/>
      <c r="AC138" s="626" t="n"/>
      <c r="AD138" s="626" t="n"/>
      <c r="AE138" s="626" t="n"/>
      <c r="AF138" s="626" t="n"/>
    </row>
    <row r="139" ht="13" customHeight="1" s="1883">
      <c r="B139" s="626" t="n"/>
      <c r="C139" s="626" t="n"/>
      <c r="D139" s="626" t="n"/>
      <c r="E139" s="626" t="n"/>
      <c r="F139" s="626" t="n"/>
      <c r="G139" s="626" t="n"/>
      <c r="H139" s="626" t="n"/>
      <c r="I139" s="626" t="n"/>
      <c r="J139" s="626" t="n"/>
      <c r="K139" s="626" t="n"/>
      <c r="L139" s="626" t="n"/>
      <c r="M139" s="626" t="n"/>
      <c r="N139" s="626" t="n"/>
      <c r="O139" s="626" t="n"/>
      <c r="P139" s="626" t="n"/>
      <c r="Q139" s="626" t="n"/>
      <c r="R139" s="626" t="n"/>
      <c r="S139" s="626" t="n"/>
      <c r="T139" s="626" t="n"/>
      <c r="U139" s="626" t="n"/>
      <c r="V139" s="626" t="n"/>
      <c r="W139" s="626" t="n"/>
      <c r="X139" s="626" t="n"/>
      <c r="Y139" s="626" t="n"/>
      <c r="Z139" s="626" t="n"/>
      <c r="AA139" s="626" t="n"/>
      <c r="AB139" s="626" t="n"/>
      <c r="AC139" s="626" t="n"/>
      <c r="AD139" s="626" t="n"/>
      <c r="AE139" s="626" t="n"/>
      <c r="AF139" s="626" t="n"/>
    </row>
    <row r="140">
      <c r="B140" s="626" t="n"/>
      <c r="C140" s="626" t="n"/>
      <c r="D140" s="117" t="inlineStr">
        <is>
          <t>Year 1</t>
        </is>
      </c>
      <c r="E140" s="117" t="n"/>
      <c r="F140" s="134" t="inlineStr">
        <is>
          <t>1 - 12</t>
        </is>
      </c>
      <c r="G140" s="626" t="n"/>
      <c r="H140" s="626" t="n"/>
      <c r="I140" s="626" t="n"/>
      <c r="J140" s="626" t="n"/>
      <c r="K140" s="626" t="n"/>
      <c r="L140" s="626" t="n"/>
      <c r="M140" s="626" t="n"/>
      <c r="N140" s="626" t="n"/>
      <c r="O140" s="626" t="n"/>
      <c r="P140" s="626" t="n"/>
      <c r="Q140" s="626" t="n"/>
      <c r="R140" s="626" t="n"/>
      <c r="S140" s="626" t="n"/>
      <c r="T140" s="626" t="n"/>
      <c r="U140" s="626" t="n"/>
      <c r="V140" s="626" t="n"/>
      <c r="W140" s="626" t="n"/>
      <c r="X140" s="626" t="n"/>
      <c r="Y140" s="626" t="n"/>
      <c r="Z140" s="626" t="n"/>
      <c r="AA140" s="626" t="n"/>
      <c r="AB140" s="626" t="n"/>
      <c r="AC140" s="626" t="n"/>
      <c r="AD140" s="626" t="n"/>
      <c r="AE140" s="626" t="n"/>
      <c r="AF140" s="626" t="n"/>
    </row>
    <row r="141" ht="13" customHeight="1" s="1883">
      <c r="B141" s="626" t="n"/>
      <c r="C141" s="626" t="n"/>
      <c r="D141" s="1968" t="inlineStr">
        <is>
          <t xml:space="preserve">Billable Minutes/Month/Active Apps </t>
        </is>
      </c>
      <c r="G141" s="626" t="n"/>
      <c r="H141" s="626" t="n">
        <v>60</v>
      </c>
      <c r="I141" s="626" t="n"/>
      <c r="J141" s="626">
        <f>($H$141)</f>
        <v/>
      </c>
      <c r="K141" s="626" t="n"/>
      <c r="L141" s="626">
        <f>($H$141)</f>
        <v/>
      </c>
      <c r="M141" s="626" t="n"/>
      <c r="N141" s="626">
        <f>($H$141)</f>
        <v/>
      </c>
      <c r="O141" s="626" t="n"/>
      <c r="P141" s="626">
        <f>($H$141)</f>
        <v/>
      </c>
      <c r="Q141" s="626" t="n"/>
      <c r="R141" s="626">
        <f>($H$141)</f>
        <v/>
      </c>
      <c r="S141" s="626" t="n"/>
      <c r="T141" s="626">
        <f>($H$141)</f>
        <v/>
      </c>
      <c r="U141" s="626" t="n"/>
      <c r="V141" s="626">
        <f>($H$141)</f>
        <v/>
      </c>
      <c r="W141" s="626" t="n"/>
      <c r="X141" s="626">
        <f>($H$141)</f>
        <v/>
      </c>
      <c r="Y141" s="626" t="n"/>
      <c r="Z141" s="626">
        <f>($H$141)</f>
        <v/>
      </c>
      <c r="AA141" s="626" t="n"/>
      <c r="AB141" s="626">
        <f>($H$141)</f>
        <v/>
      </c>
      <c r="AC141" s="626" t="n"/>
      <c r="AD141" s="626">
        <f>($H$141)</f>
        <v/>
      </c>
      <c r="AE141" s="626" t="n"/>
      <c r="AF141" s="626" t="n"/>
    </row>
    <row r="142">
      <c r="B142" s="626" t="n"/>
      <c r="C142" s="626" t="n"/>
      <c r="D142" s="1968" t="inlineStr">
        <is>
          <t>Average Number of Apps in Use</t>
        </is>
      </c>
      <c r="G142" s="626" t="n"/>
      <c r="H142" s="139">
        <f>H63</f>
        <v/>
      </c>
      <c r="I142" s="139" t="n"/>
      <c r="J142" s="139">
        <f>J63</f>
        <v/>
      </c>
      <c r="K142" s="139" t="n"/>
      <c r="L142" s="139">
        <f>L63</f>
        <v/>
      </c>
      <c r="M142" s="139" t="n"/>
      <c r="N142" s="139">
        <f>N63</f>
        <v/>
      </c>
      <c r="O142" s="139" t="n"/>
      <c r="P142" s="139">
        <f>P63</f>
        <v/>
      </c>
      <c r="Q142" s="139" t="n"/>
      <c r="R142" s="139">
        <f>R63</f>
        <v/>
      </c>
      <c r="S142" s="139" t="n"/>
      <c r="T142" s="139">
        <f>T63</f>
        <v/>
      </c>
      <c r="U142" s="139" t="n"/>
      <c r="V142" s="139">
        <f>V63</f>
        <v/>
      </c>
      <c r="W142" s="139" t="n"/>
      <c r="X142" s="139">
        <f>X63</f>
        <v/>
      </c>
      <c r="Y142" s="139" t="n"/>
      <c r="Z142" s="139">
        <f>Z63</f>
        <v/>
      </c>
      <c r="AA142" s="139" t="n"/>
      <c r="AB142" s="139">
        <f>AB63</f>
        <v/>
      </c>
      <c r="AC142" s="139" t="n"/>
      <c r="AD142" s="139">
        <f>AD63</f>
        <v/>
      </c>
      <c r="AE142" s="626" t="n"/>
      <c r="AF142" s="932" t="n"/>
    </row>
    <row r="143">
      <c r="B143" s="626" t="n"/>
      <c r="C143" s="626" t="n"/>
      <c r="D143" s="1915" t="inlineStr">
        <is>
          <t>Billable Hours, All Active Apps</t>
        </is>
      </c>
      <c r="G143" s="626" t="n"/>
      <c r="H143" s="138">
        <f>(((H141)*(H142))/(60))</f>
        <v/>
      </c>
      <c r="I143" s="138" t="n"/>
      <c r="J143" s="138">
        <f>(((J141)*(J142))/(60))</f>
        <v/>
      </c>
      <c r="K143" s="138" t="n"/>
      <c r="L143" s="138">
        <f>(((L141)*(L142))/(60))</f>
        <v/>
      </c>
      <c r="M143" s="138" t="n"/>
      <c r="N143" s="138">
        <f>(((N141)*(N142))/(60))</f>
        <v/>
      </c>
      <c r="O143" s="138" t="n"/>
      <c r="P143" s="138">
        <f>(((P141)*(P142))/(60))</f>
        <v/>
      </c>
      <c r="Q143" s="138" t="n"/>
      <c r="R143" s="138">
        <f>(((R141)*(R142))/(60))</f>
        <v/>
      </c>
      <c r="S143" s="138" t="n"/>
      <c r="T143" s="138">
        <f>(((T141)*(T142))/(60))</f>
        <v/>
      </c>
      <c r="U143" s="138" t="n"/>
      <c r="V143" s="138">
        <f>(((V141)*(V142))/(60))</f>
        <v/>
      </c>
      <c r="W143" s="138" t="n"/>
      <c r="X143" s="138">
        <f>(((X141)*(X142))/(60))</f>
        <v/>
      </c>
      <c r="Y143" s="138" t="n"/>
      <c r="Z143" s="138">
        <f>(((Z141)*(Z142))/(60))</f>
        <v/>
      </c>
      <c r="AA143" s="138" t="n"/>
      <c r="AB143" s="138">
        <f>(((AB141)*(AB142))/(60))</f>
        <v/>
      </c>
      <c r="AC143" s="138" t="n"/>
      <c r="AD143" s="138">
        <f>(((AD141)*(AD142))/(60))</f>
        <v/>
      </c>
      <c r="AE143" s="626" t="n"/>
      <c r="AF143" s="136">
        <f>((H143)+(J143)+(L143)+(N143)+(P143)+(R143)+(T143)+(V143)+(X143)+(Z143)+(AB143)+(AD143))</f>
        <v/>
      </c>
    </row>
    <row r="146">
      <c r="D146" s="117" t="inlineStr">
        <is>
          <t>Year 2</t>
        </is>
      </c>
      <c r="E146" s="117" t="n"/>
      <c r="F146" s="137" t="inlineStr">
        <is>
          <t>13 - 24</t>
        </is>
      </c>
      <c r="G146" s="626" t="n"/>
      <c r="H146" s="626" t="n"/>
      <c r="I146" s="626" t="n"/>
      <c r="J146" s="626" t="n"/>
      <c r="K146" s="626" t="n"/>
      <c r="L146" s="626" t="n"/>
      <c r="M146" s="626" t="n"/>
      <c r="N146" s="626" t="n"/>
      <c r="O146" s="626" t="n"/>
      <c r="P146" s="626" t="n"/>
      <c r="Q146" s="626" t="n"/>
      <c r="R146" s="626" t="n"/>
      <c r="S146" s="626" t="n"/>
      <c r="T146" s="626" t="n"/>
      <c r="U146" s="626" t="n"/>
      <c r="V146" s="626" t="n"/>
      <c r="W146" s="626" t="n"/>
      <c r="X146" s="626" t="n"/>
      <c r="Y146" s="626" t="n"/>
      <c r="Z146" s="626" t="n"/>
      <c r="AA146" s="626" t="n"/>
      <c r="AB146" s="626" t="n"/>
      <c r="AC146" s="626" t="n"/>
      <c r="AD146" s="626" t="n"/>
      <c r="AE146" s="626" t="n"/>
      <c r="AF146" s="626" t="n"/>
    </row>
    <row r="147" ht="13" customHeight="1" s="1883">
      <c r="D147" s="1968" t="inlineStr">
        <is>
          <t xml:space="preserve">Billable Minutes/Month/Active Apps </t>
        </is>
      </c>
      <c r="G147" s="626" t="n"/>
      <c r="H147" s="626" t="n">
        <v>75</v>
      </c>
      <c r="I147" s="626" t="n"/>
      <c r="J147" s="626">
        <f>($H$147)</f>
        <v/>
      </c>
      <c r="K147" s="626" t="n"/>
      <c r="L147" s="626">
        <f>($H$147)</f>
        <v/>
      </c>
      <c r="M147" s="626" t="n"/>
      <c r="N147" s="626">
        <f>($H$147)</f>
        <v/>
      </c>
      <c r="O147" s="626" t="n"/>
      <c r="P147" s="626">
        <f>($H$147)</f>
        <v/>
      </c>
      <c r="Q147" s="626" t="n"/>
      <c r="R147" s="626">
        <f>($H$147)</f>
        <v/>
      </c>
      <c r="S147" s="626" t="n"/>
      <c r="T147" s="626">
        <f>($H$147)</f>
        <v/>
      </c>
      <c r="U147" s="626" t="n"/>
      <c r="V147" s="626">
        <f>($H$147)</f>
        <v/>
      </c>
      <c r="W147" s="626" t="n"/>
      <c r="X147" s="626">
        <f>($H$147)</f>
        <v/>
      </c>
      <c r="Y147" s="626" t="n"/>
      <c r="Z147" s="626">
        <f>($H$147)</f>
        <v/>
      </c>
      <c r="AA147" s="626" t="n"/>
      <c r="AB147" s="626">
        <f>($H$147)</f>
        <v/>
      </c>
      <c r="AC147" s="626" t="n"/>
      <c r="AD147" s="626">
        <f>($H$147)</f>
        <v/>
      </c>
      <c r="AE147" s="626" t="n"/>
      <c r="AF147" s="626" t="n"/>
    </row>
    <row r="148">
      <c r="D148" s="1968" t="inlineStr">
        <is>
          <t>Average Number of Apps in Use</t>
        </is>
      </c>
      <c r="G148" s="626" t="n"/>
      <c r="H148" s="139">
        <f>(H78)</f>
        <v/>
      </c>
      <c r="I148" s="139" t="n"/>
      <c r="J148" s="139">
        <f>(J78)</f>
        <v/>
      </c>
      <c r="K148" s="139" t="n"/>
      <c r="L148" s="139">
        <f>(L78)</f>
        <v/>
      </c>
      <c r="M148" s="139" t="n"/>
      <c r="N148" s="139">
        <f>(N78)</f>
        <v/>
      </c>
      <c r="O148" s="139" t="n"/>
      <c r="P148" s="139">
        <f>(P78)</f>
        <v/>
      </c>
      <c r="Q148" s="139" t="n"/>
      <c r="R148" s="139">
        <f>(R78)</f>
        <v/>
      </c>
      <c r="S148" s="139" t="n"/>
      <c r="T148" s="139">
        <f>(T78)</f>
        <v/>
      </c>
      <c r="U148" s="139" t="n"/>
      <c r="V148" s="139">
        <f>(V78)</f>
        <v/>
      </c>
      <c r="W148" s="139" t="n"/>
      <c r="X148" s="139">
        <f>(X78)</f>
        <v/>
      </c>
      <c r="Y148" s="139" t="n"/>
      <c r="Z148" s="139">
        <f>(Z78)</f>
        <v/>
      </c>
      <c r="AA148" s="139" t="n"/>
      <c r="AB148" s="139">
        <f>(AB78)</f>
        <v/>
      </c>
      <c r="AC148" s="139" t="n"/>
      <c r="AD148" s="139">
        <f>(AD78)</f>
        <v/>
      </c>
      <c r="AE148" s="626" t="n"/>
      <c r="AF148" s="626" t="n"/>
    </row>
    <row r="149">
      <c r="D149" s="1915" t="inlineStr">
        <is>
          <t>Billable Hours, All Active Apps</t>
        </is>
      </c>
      <c r="G149" s="626" t="n"/>
      <c r="H149" s="138">
        <f>(((H147)*(H148))/(60))</f>
        <v/>
      </c>
      <c r="I149" s="138" t="n"/>
      <c r="J149" s="138">
        <f>(((J147)*(J148))/(60))</f>
        <v/>
      </c>
      <c r="K149" s="138" t="n"/>
      <c r="L149" s="138">
        <f>(((L147)*(L148))/(60))</f>
        <v/>
      </c>
      <c r="M149" s="138" t="n"/>
      <c r="N149" s="138">
        <f>(((N147)*(N148))/(60))</f>
        <v/>
      </c>
      <c r="O149" s="138" t="n"/>
      <c r="P149" s="138">
        <f>(((P147)*(P148))/(60))</f>
        <v/>
      </c>
      <c r="Q149" s="138" t="n"/>
      <c r="R149" s="138">
        <f>(((R147)*(R148))/(60))</f>
        <v/>
      </c>
      <c r="S149" s="138" t="n"/>
      <c r="T149" s="138">
        <f>(((T147)*(T148))/(60))</f>
        <v/>
      </c>
      <c r="U149" s="138" t="n"/>
      <c r="V149" s="138">
        <f>(((V147)*(V148))/(60))</f>
        <v/>
      </c>
      <c r="W149" s="138" t="n"/>
      <c r="X149" s="138">
        <f>(((X147)*(X148))/(60))</f>
        <v/>
      </c>
      <c r="Y149" s="138" t="n"/>
      <c r="Z149" s="138">
        <f>(((Z147)*(Z148))/(60))</f>
        <v/>
      </c>
      <c r="AA149" s="138" t="n"/>
      <c r="AB149" s="138">
        <f>(((AB147)*(AB148))/(60))</f>
        <v/>
      </c>
      <c r="AC149" s="138" t="n"/>
      <c r="AD149" s="138">
        <f>(((AD147)*(AD148))/(60))</f>
        <v/>
      </c>
      <c r="AE149" s="626" t="n"/>
      <c r="AF149" s="136">
        <f>((H149)+(J149)+(L149)+(N149)+(P149)+(R149)+(T149)+(V149)+(X149)+(Z149)+(AB149)+(AD149))</f>
        <v/>
      </c>
    </row>
    <row r="150" ht="13" customHeight="1" s="1883">
      <c r="D150" s="626" t="n"/>
      <c r="E150" s="626" t="n"/>
      <c r="F150" s="626" t="n"/>
      <c r="G150" s="626" t="n"/>
      <c r="H150" s="626" t="n"/>
      <c r="I150" s="626" t="n"/>
      <c r="J150" s="626" t="n"/>
      <c r="K150" s="626" t="n"/>
      <c r="L150" s="626" t="n"/>
      <c r="M150" s="626" t="n"/>
      <c r="N150" s="626" t="n"/>
      <c r="O150" s="626" t="n"/>
      <c r="P150" s="626" t="n"/>
      <c r="Q150" s="626" t="n"/>
      <c r="R150" s="626" t="n"/>
      <c r="S150" s="626" t="n"/>
      <c r="T150" s="626" t="n"/>
      <c r="U150" s="626" t="n"/>
      <c r="V150" s="626" t="n"/>
      <c r="W150" s="626" t="n"/>
      <c r="X150" s="626" t="n"/>
      <c r="Y150" s="626" t="n"/>
      <c r="Z150" s="626" t="n"/>
      <c r="AA150" s="626" t="n"/>
      <c r="AB150" s="626" t="n"/>
      <c r="AC150" s="626" t="n"/>
      <c r="AD150" s="626" t="n"/>
      <c r="AE150" s="626" t="n"/>
      <c r="AF150" s="626" t="n"/>
    </row>
    <row r="151" ht="13" customHeight="1" s="1883">
      <c r="D151" s="626" t="n"/>
      <c r="E151" s="626" t="n"/>
      <c r="F151" s="626" t="n"/>
      <c r="G151" s="626" t="n"/>
      <c r="H151" s="626" t="n"/>
      <c r="I151" s="626" t="n"/>
      <c r="J151" s="626" t="n"/>
      <c r="K151" s="626" t="n"/>
      <c r="L151" s="626" t="n"/>
      <c r="M151" s="626" t="n"/>
      <c r="N151" s="626" t="n"/>
      <c r="O151" s="626" t="n"/>
      <c r="P151" s="626" t="n"/>
      <c r="Q151" s="626" t="n"/>
      <c r="R151" s="626" t="n"/>
      <c r="S151" s="626" t="n"/>
      <c r="T151" s="626" t="n"/>
      <c r="U151" s="626" t="n"/>
      <c r="V151" s="626" t="n"/>
      <c r="W151" s="626" t="n"/>
      <c r="X151" s="626" t="n"/>
      <c r="Y151" s="626" t="n"/>
      <c r="Z151" s="626" t="n"/>
      <c r="AA151" s="626" t="n"/>
      <c r="AB151" s="626" t="n"/>
      <c r="AC151" s="626" t="n"/>
      <c r="AD151" s="626" t="n"/>
      <c r="AE151" s="626" t="n"/>
      <c r="AF151" s="626" t="n"/>
    </row>
    <row r="152">
      <c r="D152" s="117" t="inlineStr">
        <is>
          <t>Year 3</t>
        </is>
      </c>
      <c r="E152" s="117" t="n"/>
      <c r="F152" s="137" t="inlineStr">
        <is>
          <t>25 - 36</t>
        </is>
      </c>
      <c r="G152" s="626" t="n"/>
      <c r="H152" s="626" t="n"/>
      <c r="I152" s="626" t="n"/>
      <c r="J152" s="626" t="n"/>
      <c r="K152" s="626" t="n"/>
      <c r="L152" s="626" t="n"/>
      <c r="M152" s="626" t="n"/>
      <c r="N152" s="626" t="n"/>
      <c r="O152" s="626" t="n"/>
      <c r="P152" s="626" t="n"/>
      <c r="Q152" s="626" t="n"/>
      <c r="R152" s="626" t="n"/>
      <c r="S152" s="626" t="n"/>
      <c r="T152" s="626" t="n"/>
      <c r="U152" s="626" t="n"/>
      <c r="V152" s="626" t="n"/>
      <c r="W152" s="626" t="n"/>
      <c r="X152" s="626" t="n"/>
      <c r="Y152" s="626" t="n"/>
      <c r="Z152" s="626" t="n"/>
      <c r="AA152" s="626" t="n"/>
      <c r="AB152" s="626" t="n"/>
      <c r="AC152" s="626" t="n"/>
      <c r="AD152" s="626" t="n"/>
      <c r="AE152" s="626" t="n"/>
      <c r="AF152" s="626" t="n"/>
    </row>
    <row r="153" ht="13" customHeight="1" s="1883">
      <c r="D153" s="1968" t="inlineStr">
        <is>
          <t xml:space="preserve">Billable Minutes/Month/Active Apps </t>
        </is>
      </c>
      <c r="G153" s="626" t="n"/>
      <c r="H153" s="626" t="n">
        <v>90</v>
      </c>
      <c r="I153" s="626" t="n"/>
      <c r="J153" s="626">
        <f>($H$153)</f>
        <v/>
      </c>
      <c r="K153" s="626" t="n"/>
      <c r="L153" s="626">
        <f>($H$153)</f>
        <v/>
      </c>
      <c r="M153" s="626" t="n"/>
      <c r="N153" s="626">
        <f>($H$153)</f>
        <v/>
      </c>
      <c r="O153" s="626" t="n"/>
      <c r="P153" s="626">
        <f>($H$153)</f>
        <v/>
      </c>
      <c r="Q153" s="626" t="n"/>
      <c r="R153" s="626">
        <f>($H$153)</f>
        <v/>
      </c>
      <c r="S153" s="626" t="n"/>
      <c r="T153" s="626">
        <f>($H$153)</f>
        <v/>
      </c>
      <c r="U153" s="626" t="n"/>
      <c r="V153" s="626">
        <f>($H$153)</f>
        <v/>
      </c>
      <c r="W153" s="626" t="n"/>
      <c r="X153" s="626">
        <f>($H$153)</f>
        <v/>
      </c>
      <c r="Y153" s="626" t="n"/>
      <c r="Z153" s="626">
        <f>($H$153)</f>
        <v/>
      </c>
      <c r="AA153" s="626" t="n"/>
      <c r="AB153" s="626">
        <f>($H$153)</f>
        <v/>
      </c>
      <c r="AC153" s="626" t="n"/>
      <c r="AD153" s="626">
        <f>($H$153)</f>
        <v/>
      </c>
      <c r="AE153" s="626" t="n"/>
      <c r="AF153" s="626" t="n"/>
    </row>
    <row r="154">
      <c r="D154" s="1968" t="inlineStr">
        <is>
          <t>Average Number of Apps in Use</t>
        </is>
      </c>
      <c r="G154" s="626" t="n"/>
      <c r="H154" s="139">
        <f>(H93)</f>
        <v/>
      </c>
      <c r="I154" s="139" t="n"/>
      <c r="J154" s="139">
        <f>(J93)</f>
        <v/>
      </c>
      <c r="K154" s="139" t="n"/>
      <c r="L154" s="139">
        <f>(L93)</f>
        <v/>
      </c>
      <c r="M154" s="139" t="n"/>
      <c r="N154" s="139">
        <f>(N93)</f>
        <v/>
      </c>
      <c r="O154" s="139" t="n"/>
      <c r="P154" s="139">
        <f>(P93)</f>
        <v/>
      </c>
      <c r="Q154" s="139" t="n"/>
      <c r="R154" s="139">
        <f>(R93)</f>
        <v/>
      </c>
      <c r="S154" s="139" t="n"/>
      <c r="T154" s="139">
        <f>(T93)</f>
        <v/>
      </c>
      <c r="U154" s="139" t="n"/>
      <c r="V154" s="139">
        <f>(V93)</f>
        <v/>
      </c>
      <c r="W154" s="139" t="n"/>
      <c r="X154" s="139">
        <f>(X93)</f>
        <v/>
      </c>
      <c r="Y154" s="139" t="n"/>
      <c r="Z154" s="139">
        <f>(Z93)</f>
        <v/>
      </c>
      <c r="AA154" s="139" t="n"/>
      <c r="AB154" s="139">
        <f>(AB93)</f>
        <v/>
      </c>
      <c r="AC154" s="139" t="n"/>
      <c r="AD154" s="139">
        <f>(AD93)</f>
        <v/>
      </c>
      <c r="AE154" s="626" t="n"/>
      <c r="AF154" s="626" t="n"/>
    </row>
    <row r="155">
      <c r="D155" s="1915" t="inlineStr">
        <is>
          <t>Billable Hours, All Active Apps</t>
        </is>
      </c>
      <c r="G155" s="626" t="n"/>
      <c r="H155" s="138">
        <f>(((H153)*(H154))/(60))</f>
        <v/>
      </c>
      <c r="I155" s="138" t="n"/>
      <c r="J155" s="138">
        <f>(((J153)*(J154))/(60))</f>
        <v/>
      </c>
      <c r="K155" s="138" t="n"/>
      <c r="L155" s="138">
        <f>(((L153)*(L154))/(60))</f>
        <v/>
      </c>
      <c r="M155" s="138" t="n"/>
      <c r="N155" s="138">
        <f>(((N153)*(N154))/(60))</f>
        <v/>
      </c>
      <c r="O155" s="138" t="n"/>
      <c r="P155" s="138">
        <f>(((P153)*(P154))/(60))</f>
        <v/>
      </c>
      <c r="Q155" s="138" t="n"/>
      <c r="R155" s="138">
        <f>(((R153)*(R154))/(60))</f>
        <v/>
      </c>
      <c r="S155" s="138" t="n"/>
      <c r="T155" s="138">
        <f>(((T153)*(T154))/(60))</f>
        <v/>
      </c>
      <c r="U155" s="138" t="n"/>
      <c r="V155" s="138">
        <f>(((V153)*(V154))/(60))</f>
        <v/>
      </c>
      <c r="W155" s="138" t="n"/>
      <c r="X155" s="138">
        <f>(((X153)*(X154))/(60))</f>
        <v/>
      </c>
      <c r="Y155" s="138" t="n"/>
      <c r="Z155" s="138">
        <f>(((Z153)*(Z154))/(60))</f>
        <v/>
      </c>
      <c r="AA155" s="138" t="n"/>
      <c r="AB155" s="138">
        <f>(((AB153)*(AB154))/(60))</f>
        <v/>
      </c>
      <c r="AC155" s="138" t="n"/>
      <c r="AD155" s="138">
        <f>(((AD153)*(AD154))/(60))</f>
        <v/>
      </c>
      <c r="AE155" s="118" t="n"/>
      <c r="AF155" s="136">
        <f>((H155)+(J155)+(L155)+(N155)+(P155)+(R155)+(T155)+(V155)+(X155)+(Z155)+(AB155)+(AD155))</f>
        <v/>
      </c>
    </row>
    <row r="156" ht="13" customHeight="1" s="1883">
      <c r="D156" s="626" t="n"/>
      <c r="E156" s="626" t="n"/>
      <c r="F156" s="626" t="n"/>
      <c r="G156" s="626" t="n"/>
      <c r="H156" s="626" t="n"/>
      <c r="I156" s="626" t="n"/>
      <c r="J156" s="626" t="n"/>
      <c r="K156" s="626" t="n"/>
      <c r="L156" s="626" t="n"/>
      <c r="M156" s="626" t="n"/>
      <c r="N156" s="626" t="n"/>
      <c r="O156" s="626" t="n"/>
      <c r="P156" s="626" t="n"/>
      <c r="Q156" s="626" t="n"/>
      <c r="R156" s="626" t="n"/>
      <c r="S156" s="626" t="n"/>
      <c r="T156" s="626" t="n"/>
      <c r="U156" s="626" t="n"/>
      <c r="V156" s="626" t="n"/>
      <c r="W156" s="626" t="n"/>
      <c r="X156" s="626" t="n"/>
      <c r="Y156" s="626" t="n"/>
      <c r="Z156" s="626" t="n"/>
      <c r="AA156" s="626" t="n"/>
      <c r="AB156" s="626" t="n"/>
      <c r="AC156" s="626" t="n"/>
      <c r="AD156" s="626" t="n"/>
      <c r="AE156" s="626" t="n"/>
      <c r="AF156" s="626" t="n"/>
    </row>
    <row r="157" ht="13" customHeight="1" s="1883">
      <c r="D157" s="626" t="n"/>
      <c r="E157" s="626" t="n"/>
      <c r="F157" s="626" t="n"/>
      <c r="G157" s="626" t="n"/>
      <c r="H157" s="626" t="n"/>
      <c r="I157" s="626" t="n"/>
      <c r="J157" s="626" t="n"/>
      <c r="K157" s="626" t="n"/>
      <c r="L157" s="626" t="n"/>
      <c r="M157" s="626" t="n"/>
      <c r="N157" s="626" t="n"/>
      <c r="O157" s="626" t="n"/>
      <c r="P157" s="626" t="n"/>
      <c r="Q157" s="626" t="n"/>
      <c r="R157" s="626" t="n"/>
      <c r="S157" s="626" t="n"/>
      <c r="T157" s="626" t="n"/>
      <c r="U157" s="626" t="n"/>
      <c r="V157" s="626" t="n"/>
      <c r="W157" s="626" t="n"/>
      <c r="X157" s="626" t="n"/>
      <c r="Y157" s="626" t="n"/>
      <c r="Z157" s="626" t="n"/>
      <c r="AA157" s="626" t="n"/>
      <c r="AB157" s="626" t="n"/>
      <c r="AC157" s="626" t="n"/>
      <c r="AD157" s="626" t="n"/>
      <c r="AE157" s="626" t="n"/>
      <c r="AF157" s="626" t="n"/>
    </row>
    <row r="158">
      <c r="D158" s="117" t="inlineStr">
        <is>
          <t>Year 4</t>
        </is>
      </c>
      <c r="E158" s="117" t="n"/>
      <c r="F158" s="137" t="inlineStr">
        <is>
          <t>37 - 48</t>
        </is>
      </c>
      <c r="G158" s="626" t="n"/>
      <c r="H158" s="626" t="n"/>
      <c r="I158" s="626" t="n"/>
      <c r="J158" s="626" t="n"/>
      <c r="K158" s="626" t="n"/>
      <c r="L158" s="626" t="n"/>
      <c r="M158" s="626" t="n"/>
      <c r="N158" s="626" t="n"/>
      <c r="O158" s="626" t="n"/>
      <c r="P158" s="626" t="n"/>
      <c r="Q158" s="626" t="n"/>
      <c r="R158" s="626" t="n"/>
      <c r="S158" s="626" t="n"/>
      <c r="T158" s="626" t="n"/>
      <c r="U158" s="626" t="n"/>
      <c r="V158" s="626" t="n"/>
      <c r="W158" s="626" t="n"/>
      <c r="X158" s="626" t="n"/>
      <c r="Y158" s="626" t="n"/>
      <c r="Z158" s="626" t="n"/>
      <c r="AA158" s="626" t="n"/>
      <c r="AB158" s="626" t="n"/>
      <c r="AC158" s="626" t="n"/>
      <c r="AD158" s="626" t="n"/>
      <c r="AE158" s="626" t="n"/>
      <c r="AF158" s="626" t="n"/>
    </row>
    <row r="159" ht="13" customHeight="1" s="1883">
      <c r="D159" s="1968" t="inlineStr">
        <is>
          <t xml:space="preserve">Billable Minutes/Month/Active Apps </t>
        </is>
      </c>
      <c r="G159" s="626" t="n"/>
      <c r="H159" s="626" t="n">
        <v>105</v>
      </c>
      <c r="I159" s="626" t="n"/>
      <c r="J159" s="626">
        <f>($H$159)</f>
        <v/>
      </c>
      <c r="K159" s="626" t="n"/>
      <c r="L159" s="626">
        <f>($H$159)</f>
        <v/>
      </c>
      <c r="M159" s="626" t="n"/>
      <c r="N159" s="626">
        <f>($H$159)</f>
        <v/>
      </c>
      <c r="O159" s="626" t="n"/>
      <c r="P159" s="626">
        <f>($H$159)</f>
        <v/>
      </c>
      <c r="Q159" s="626" t="n"/>
      <c r="R159" s="626">
        <f>($H$159)</f>
        <v/>
      </c>
      <c r="S159" s="626" t="n"/>
      <c r="T159" s="626">
        <f>($H$159)</f>
        <v/>
      </c>
      <c r="U159" s="626" t="n"/>
      <c r="V159" s="626">
        <f>($H$159)</f>
        <v/>
      </c>
      <c r="W159" s="626" t="n"/>
      <c r="X159" s="626">
        <f>($H$159)</f>
        <v/>
      </c>
      <c r="Y159" s="626" t="n"/>
      <c r="Z159" s="626">
        <f>($H$159)</f>
        <v/>
      </c>
      <c r="AA159" s="626" t="n"/>
      <c r="AB159" s="626">
        <f>($H$159)</f>
        <v/>
      </c>
      <c r="AC159" s="626" t="n"/>
      <c r="AD159" s="626">
        <f>($H$159)</f>
        <v/>
      </c>
      <c r="AE159" s="626" t="n"/>
      <c r="AF159" s="626" t="n"/>
    </row>
    <row r="160">
      <c r="D160" s="1968" t="inlineStr">
        <is>
          <t>Average Number of Apps in Use</t>
        </is>
      </c>
      <c r="G160" s="626" t="n"/>
      <c r="H160" s="139">
        <f>(H108)</f>
        <v/>
      </c>
      <c r="I160" s="139" t="n"/>
      <c r="J160" s="139">
        <f>(J108)</f>
        <v/>
      </c>
      <c r="K160" s="139" t="n"/>
      <c r="L160" s="139">
        <f>(L108)</f>
        <v/>
      </c>
      <c r="M160" s="139" t="n"/>
      <c r="N160" s="139">
        <f>(N108)</f>
        <v/>
      </c>
      <c r="O160" s="139" t="n"/>
      <c r="P160" s="139">
        <f>(P108)</f>
        <v/>
      </c>
      <c r="Q160" s="139" t="n"/>
      <c r="R160" s="139">
        <f>(R108)</f>
        <v/>
      </c>
      <c r="S160" s="139" t="n"/>
      <c r="T160" s="139">
        <f>(T108)</f>
        <v/>
      </c>
      <c r="U160" s="139" t="n"/>
      <c r="V160" s="139">
        <f>(V108)</f>
        <v/>
      </c>
      <c r="W160" s="139" t="n"/>
      <c r="X160" s="139">
        <f>(X108)</f>
        <v/>
      </c>
      <c r="Y160" s="139" t="n"/>
      <c r="Z160" s="139">
        <f>(Z108)</f>
        <v/>
      </c>
      <c r="AA160" s="139">
        <f>(AA108)</f>
        <v/>
      </c>
      <c r="AB160" s="139">
        <f>(AB108)</f>
        <v/>
      </c>
      <c r="AC160" s="139">
        <f>(AC108)</f>
        <v/>
      </c>
      <c r="AD160" s="139">
        <f>(AD108)</f>
        <v/>
      </c>
      <c r="AE160" s="626" t="n"/>
      <c r="AF160" s="626" t="n"/>
    </row>
    <row r="161">
      <c r="B161" s="626" t="n"/>
      <c r="C161" s="626" t="n"/>
      <c r="D161" s="1915" t="inlineStr">
        <is>
          <t>Billable Hours, All Active Apps</t>
        </is>
      </c>
      <c r="G161" s="626" t="n"/>
      <c r="H161" s="138">
        <f>(((H159)*(H160))/(60))</f>
        <v/>
      </c>
      <c r="I161" s="138" t="n"/>
      <c r="J161" s="138">
        <f>(((J159)*(J160))/(60))</f>
        <v/>
      </c>
      <c r="K161" s="138" t="n"/>
      <c r="L161" s="138">
        <f>(((L159)*(L160))/(60))</f>
        <v/>
      </c>
      <c r="M161" s="138" t="n"/>
      <c r="N161" s="138">
        <f>(((N159)*(N160))/(60))</f>
        <v/>
      </c>
      <c r="O161" s="138" t="n"/>
      <c r="P161" s="138">
        <f>(((P159)*(P160))/(60))</f>
        <v/>
      </c>
      <c r="Q161" s="138" t="n"/>
      <c r="R161" s="138">
        <f>(((R159)*(R160))/(60))</f>
        <v/>
      </c>
      <c r="S161" s="138" t="n"/>
      <c r="T161" s="138">
        <f>(((T159)*(T160))/(60))</f>
        <v/>
      </c>
      <c r="U161" s="138" t="n"/>
      <c r="V161" s="138">
        <f>(((V159)*(V160))/(60))</f>
        <v/>
      </c>
      <c r="W161" s="138" t="n"/>
      <c r="X161" s="138">
        <f>(((X159)*(X160))/(60))</f>
        <v/>
      </c>
      <c r="Y161" s="138" t="n"/>
      <c r="Z161" s="138">
        <f>(((Z159)*(Z160))/(60))</f>
        <v/>
      </c>
      <c r="AA161" s="138" t="n"/>
      <c r="AB161" s="138">
        <f>(((AB159)*(AB160))/(60))</f>
        <v/>
      </c>
      <c r="AC161" s="138" t="n"/>
      <c r="AD161" s="138">
        <f>(((AD159)*(AD160))/(60))</f>
        <v/>
      </c>
      <c r="AE161" s="118" t="n"/>
      <c r="AF161" s="136">
        <f>((H161)+(J161)+(L161)+(N161)+(P161)+(R161)+(T161)+(V161)+(X161)+(Z161)+(AB161)+(AD161))</f>
        <v/>
      </c>
    </row>
    <row r="162" ht="13" customHeight="1" s="1883">
      <c r="B162" s="626" t="n"/>
      <c r="C162" s="626" t="n"/>
      <c r="D162" s="626" t="n"/>
      <c r="E162" s="626" t="n"/>
      <c r="F162" s="626" t="n"/>
      <c r="G162" s="626" t="n"/>
      <c r="H162" s="626" t="n"/>
      <c r="I162" s="626" t="n"/>
      <c r="J162" s="626" t="n"/>
      <c r="K162" s="626" t="n"/>
      <c r="L162" s="626" t="n"/>
      <c r="M162" s="626" t="n"/>
      <c r="N162" s="626" t="n"/>
      <c r="O162" s="626" t="n"/>
      <c r="P162" s="626" t="n"/>
      <c r="Q162" s="626" t="n"/>
      <c r="R162" s="626" t="n"/>
      <c r="S162" s="626" t="n"/>
      <c r="T162" s="626" t="n"/>
      <c r="U162" s="626" t="n"/>
      <c r="V162" s="626" t="n"/>
      <c r="W162" s="626" t="n"/>
      <c r="X162" s="626" t="n"/>
      <c r="Y162" s="626" t="n"/>
      <c r="Z162" s="626" t="n"/>
      <c r="AA162" s="626" t="n"/>
      <c r="AB162" s="626" t="n"/>
      <c r="AC162" s="626" t="n"/>
      <c r="AD162" s="626" t="n"/>
      <c r="AE162" s="626" t="n"/>
      <c r="AF162" s="626" t="n"/>
    </row>
    <row r="163" ht="13" customHeight="1" s="1883">
      <c r="B163" s="626" t="n"/>
      <c r="C163" s="626" t="n"/>
      <c r="D163" s="626" t="n"/>
      <c r="E163" s="626" t="n"/>
      <c r="F163" s="626" t="n"/>
      <c r="G163" s="626" t="n"/>
      <c r="H163" s="626" t="n"/>
      <c r="I163" s="626" t="n"/>
      <c r="J163" s="626" t="n"/>
      <c r="K163" s="626" t="n"/>
      <c r="L163" s="626" t="n"/>
      <c r="M163" s="626" t="n"/>
      <c r="N163" s="626" t="n"/>
      <c r="O163" s="626" t="n"/>
      <c r="P163" s="626" t="n"/>
      <c r="Q163" s="626" t="n"/>
      <c r="R163" s="626" t="n"/>
      <c r="S163" s="626" t="n"/>
      <c r="T163" s="626" t="n"/>
      <c r="U163" s="626" t="n"/>
      <c r="V163" s="626" t="n"/>
      <c r="W163" s="626" t="n"/>
      <c r="X163" s="626" t="n"/>
      <c r="Y163" s="626" t="n"/>
      <c r="Z163" s="626" t="n"/>
      <c r="AA163" s="626" t="n"/>
      <c r="AB163" s="626" t="n"/>
      <c r="AC163" s="626" t="n"/>
      <c r="AD163" s="626" t="n"/>
      <c r="AE163" s="626" t="n"/>
      <c r="AF163" s="626" t="n"/>
    </row>
    <row r="164">
      <c r="B164" s="626" t="n"/>
      <c r="C164" s="626" t="n"/>
      <c r="D164" s="117" t="inlineStr">
        <is>
          <t>Year 5</t>
        </is>
      </c>
      <c r="E164" s="117" t="n"/>
      <c r="F164" s="137" t="inlineStr">
        <is>
          <t>49 - 60</t>
        </is>
      </c>
      <c r="G164" s="626" t="n"/>
      <c r="H164" s="626" t="n"/>
      <c r="I164" s="626" t="n"/>
      <c r="J164" s="626" t="n"/>
      <c r="K164" s="626" t="n"/>
      <c r="L164" s="626" t="n"/>
      <c r="M164" s="626" t="n"/>
      <c r="N164" s="626" t="n"/>
      <c r="O164" s="626" t="n"/>
      <c r="P164" s="626" t="n"/>
      <c r="Q164" s="626" t="n"/>
      <c r="R164" s="626" t="n"/>
      <c r="S164" s="626" t="n"/>
      <c r="T164" s="626" t="n"/>
      <c r="U164" s="626" t="n"/>
      <c r="V164" s="626" t="n"/>
      <c r="W164" s="626" t="n"/>
      <c r="X164" s="626" t="n"/>
      <c r="Y164" s="626" t="n"/>
      <c r="Z164" s="626" t="n"/>
      <c r="AA164" s="626" t="n"/>
      <c r="AB164" s="626" t="n"/>
      <c r="AC164" s="626" t="n"/>
      <c r="AD164" s="626" t="n"/>
      <c r="AE164" s="626" t="n"/>
      <c r="AF164" s="626" t="n"/>
    </row>
    <row r="165" ht="13" customHeight="1" s="1883">
      <c r="B165" s="626" t="n"/>
      <c r="C165" s="626" t="n"/>
      <c r="D165" s="1968" t="inlineStr">
        <is>
          <t xml:space="preserve">Billable Minutes/Month/Active Apps </t>
        </is>
      </c>
      <c r="G165" s="626" t="n"/>
      <c r="H165" s="626" t="n">
        <v>120</v>
      </c>
      <c r="I165" s="626" t="n"/>
      <c r="J165" s="626">
        <f>($H$165)</f>
        <v/>
      </c>
      <c r="K165" s="626" t="n"/>
      <c r="L165" s="626">
        <f>($H$165)</f>
        <v/>
      </c>
      <c r="M165" s="626" t="n"/>
      <c r="N165" s="626">
        <f>($H$165)</f>
        <v/>
      </c>
      <c r="O165" s="626" t="n"/>
      <c r="P165" s="626">
        <f>($H$165)</f>
        <v/>
      </c>
      <c r="Q165" s="626" t="n"/>
      <c r="R165" s="626">
        <f>($H$165)</f>
        <v/>
      </c>
      <c r="S165" s="626" t="n"/>
      <c r="T165" s="626">
        <f>($H$165)</f>
        <v/>
      </c>
      <c r="U165" s="626" t="n"/>
      <c r="V165" s="626">
        <f>($H$165)</f>
        <v/>
      </c>
      <c r="W165" s="626" t="n"/>
      <c r="X165" s="626">
        <f>($H$165)</f>
        <v/>
      </c>
      <c r="Y165" s="626" t="n"/>
      <c r="Z165" s="626">
        <f>($H$165)</f>
        <v/>
      </c>
      <c r="AA165" s="626" t="n"/>
      <c r="AB165" s="626">
        <f>($H$165)</f>
        <v/>
      </c>
      <c r="AC165" s="626" t="n"/>
      <c r="AD165" s="626">
        <f>($H$165)</f>
        <v/>
      </c>
      <c r="AE165" s="626" t="n"/>
      <c r="AF165" s="626" t="n"/>
    </row>
    <row r="166">
      <c r="B166" s="626" t="n"/>
      <c r="C166" s="626" t="n"/>
      <c r="D166" s="1968" t="inlineStr">
        <is>
          <t>Average Number of Apps in Use</t>
        </is>
      </c>
      <c r="G166" s="626" t="n"/>
      <c r="H166" s="139">
        <f>(H123)</f>
        <v/>
      </c>
      <c r="I166" s="139" t="n"/>
      <c r="J166" s="139">
        <f>(J123)</f>
        <v/>
      </c>
      <c r="K166" s="139" t="n"/>
      <c r="L166" s="139">
        <f>(L123)</f>
        <v/>
      </c>
      <c r="M166" s="139" t="n"/>
      <c r="N166" s="139">
        <f>(N123)</f>
        <v/>
      </c>
      <c r="O166" s="139" t="n"/>
      <c r="P166" s="139">
        <f>(P123)</f>
        <v/>
      </c>
      <c r="Q166" s="139" t="n"/>
      <c r="R166" s="139">
        <f>(R123)</f>
        <v/>
      </c>
      <c r="S166" s="139" t="n"/>
      <c r="T166" s="139">
        <f>(T123)</f>
        <v/>
      </c>
      <c r="U166" s="139" t="n"/>
      <c r="V166" s="139">
        <f>(V123)</f>
        <v/>
      </c>
      <c r="W166" s="139" t="n"/>
      <c r="X166" s="139">
        <f>(X123)</f>
        <v/>
      </c>
      <c r="Y166" s="139" t="n"/>
      <c r="Z166" s="139">
        <f>(Z123)</f>
        <v/>
      </c>
      <c r="AA166" s="139" t="n"/>
      <c r="AB166" s="139">
        <f>(AB123)</f>
        <v/>
      </c>
      <c r="AC166" s="139" t="n"/>
      <c r="AD166" s="139">
        <f>(AD123)</f>
        <v/>
      </c>
      <c r="AE166" s="626" t="n"/>
      <c r="AF166" s="626" t="n"/>
    </row>
    <row r="167">
      <c r="B167" s="626" t="n"/>
      <c r="C167" s="626" t="n"/>
      <c r="D167" s="1915" t="inlineStr">
        <is>
          <t>Billable Hours, All Active Apps</t>
        </is>
      </c>
      <c r="G167" s="626" t="n"/>
      <c r="H167" s="138">
        <f>(((H165)*(H166))/(60))</f>
        <v/>
      </c>
      <c r="I167" s="138" t="n"/>
      <c r="J167" s="138">
        <f>(((J165)*(J166))/(60))</f>
        <v/>
      </c>
      <c r="K167" s="138" t="n"/>
      <c r="L167" s="138">
        <f>(((L165)*(L166))/(60))</f>
        <v/>
      </c>
      <c r="M167" s="138" t="n"/>
      <c r="N167" s="138">
        <f>(((N165)*(N166))/(60))</f>
        <v/>
      </c>
      <c r="O167" s="138" t="n"/>
      <c r="P167" s="138">
        <f>(((P165)*(P166))/(60))</f>
        <v/>
      </c>
      <c r="Q167" s="138" t="n"/>
      <c r="R167" s="138">
        <f>(((R165)*(R166))/(60))</f>
        <v/>
      </c>
      <c r="S167" s="138" t="n"/>
      <c r="T167" s="138">
        <f>(((T165)*(T166))/(60))</f>
        <v/>
      </c>
      <c r="U167" s="138" t="n"/>
      <c r="V167" s="138">
        <f>(((V165)*(V166))/(60))</f>
        <v/>
      </c>
      <c r="W167" s="138" t="n"/>
      <c r="X167" s="138">
        <f>(((X165)*(X166))/(60))</f>
        <v/>
      </c>
      <c r="Y167" s="138" t="n"/>
      <c r="Z167" s="138">
        <f>(((Z165)*(Z166))/(60))</f>
        <v/>
      </c>
      <c r="AA167" s="138" t="n"/>
      <c r="AB167" s="138">
        <f>(((AB165)*(AB166))/(60))</f>
        <v/>
      </c>
      <c r="AC167" s="138" t="n"/>
      <c r="AD167" s="138">
        <f>(((AD165)*(AD166))/(60))</f>
        <v/>
      </c>
      <c r="AE167" s="118" t="n"/>
      <c r="AF167" s="136">
        <f>((H167)+(J167)+(L167)+(N167)+(P167)+(R167)+(T167)+(V167)+(X167)+(Z167)+(AB167)+(AD167))</f>
        <v/>
      </c>
    </row>
    <row r="168" ht="13" customHeight="1" s="1883">
      <c r="B168" s="626" t="n"/>
      <c r="C168" s="626" t="n"/>
      <c r="D168" s="626" t="n"/>
      <c r="E168" s="626" t="n"/>
      <c r="F168" s="626" t="n"/>
      <c r="G168" s="626" t="n"/>
      <c r="H168" s="626" t="n"/>
      <c r="I168" s="626" t="n"/>
      <c r="J168" s="626" t="n"/>
      <c r="K168" s="626" t="n"/>
      <c r="L168" s="626" t="n"/>
      <c r="M168" s="626" t="n"/>
      <c r="N168" s="626" t="n"/>
      <c r="O168" s="626" t="n"/>
      <c r="P168" s="626" t="n"/>
      <c r="Q168" s="626" t="n"/>
      <c r="R168" s="626" t="n"/>
      <c r="S168" s="626" t="n"/>
      <c r="T168" s="626" t="n"/>
      <c r="U168" s="626" t="n"/>
      <c r="V168" s="626" t="n"/>
      <c r="W168" s="626" t="n"/>
      <c r="X168" s="626" t="n"/>
      <c r="Y168" s="626" t="n"/>
      <c r="Z168" s="626" t="n"/>
      <c r="AA168" s="626" t="n"/>
      <c r="AB168" s="626" t="n"/>
      <c r="AC168" s="626" t="n"/>
      <c r="AD168" s="626" t="n"/>
      <c r="AE168" s="626" t="n"/>
      <c r="AF168" s="626" t="n"/>
    </row>
    <row r="169" ht="13" customHeight="1" s="1883">
      <c r="B169" s="626" t="n"/>
      <c r="C169" s="626" t="n"/>
      <c r="D169" s="626" t="n"/>
      <c r="E169" s="626" t="n"/>
      <c r="F169" s="626" t="n"/>
      <c r="G169" s="626" t="n"/>
      <c r="H169" s="626" t="n"/>
      <c r="I169" s="626" t="n"/>
      <c r="J169" s="626" t="n"/>
      <c r="K169" s="626" t="n"/>
      <c r="L169" s="626" t="n"/>
      <c r="M169" s="626" t="n"/>
      <c r="N169" s="626" t="n"/>
      <c r="O169" s="626" t="n"/>
      <c r="P169" s="626" t="n"/>
      <c r="Q169" s="626" t="n"/>
      <c r="R169" s="626" t="n"/>
      <c r="S169" s="626" t="n"/>
      <c r="T169" s="626" t="n"/>
      <c r="U169" s="626" t="n"/>
      <c r="V169" s="626" t="n"/>
      <c r="W169" s="626" t="n"/>
      <c r="X169" s="626" t="n"/>
      <c r="Y169" s="626" t="n"/>
      <c r="Z169" s="626" t="n"/>
      <c r="AA169" s="626" t="n"/>
      <c r="AB169" s="626" t="n"/>
      <c r="AC169" s="626" t="n"/>
      <c r="AD169" s="626" t="n"/>
      <c r="AE169" s="626" t="n"/>
      <c r="AF169" s="626" t="n"/>
    </row>
    <row r="170" ht="13" customHeight="1" s="1883">
      <c r="B170" s="626" t="n"/>
      <c r="C170" s="626" t="n"/>
      <c r="D170" s="626" t="n"/>
      <c r="E170" s="626" t="n"/>
      <c r="F170" s="626" t="n"/>
      <c r="G170" s="626" t="n"/>
      <c r="H170" s="626" t="n"/>
      <c r="I170" s="626" t="n"/>
      <c r="J170" s="626" t="n"/>
      <c r="K170" s="626" t="n"/>
      <c r="L170" s="626" t="n"/>
      <c r="M170" s="626" t="n"/>
      <c r="N170" s="626" t="n"/>
      <c r="O170" s="626" t="n"/>
      <c r="P170" s="626" t="n"/>
      <c r="Q170" s="626" t="n"/>
      <c r="R170" s="626" t="n"/>
      <c r="S170" s="626" t="n"/>
      <c r="T170" s="626" t="n"/>
      <c r="U170" s="626" t="n"/>
      <c r="V170" s="626" t="n"/>
      <c r="W170" s="626" t="n"/>
      <c r="X170" s="626" t="n"/>
      <c r="Y170" s="626" t="n"/>
      <c r="Z170" s="626" t="n"/>
      <c r="AA170" s="626" t="n"/>
      <c r="AB170" s="626" t="n"/>
      <c r="AC170" s="626" t="n"/>
      <c r="AD170" s="626" t="n"/>
      <c r="AE170" s="626" t="n"/>
      <c r="AF170" s="626" t="n"/>
    </row>
    <row r="171" ht="13" customHeight="1" s="1883">
      <c r="B171" s="626" t="n"/>
      <c r="C171" s="626" t="n"/>
      <c r="D171" s="626" t="n"/>
      <c r="E171" s="626" t="n"/>
      <c r="F171" s="626" t="n"/>
      <c r="G171" s="626" t="n"/>
      <c r="H171" s="626" t="n"/>
      <c r="I171" s="626" t="n"/>
      <c r="J171" s="626" t="n"/>
      <c r="K171" s="626" t="n"/>
      <c r="L171" s="626" t="n"/>
      <c r="M171" s="626" t="n"/>
      <c r="N171" s="626" t="n"/>
      <c r="O171" s="626" t="n"/>
      <c r="P171" s="626" t="n"/>
      <c r="Q171" s="626" t="n"/>
      <c r="R171" s="626" t="n"/>
      <c r="S171" s="626" t="n"/>
      <c r="T171" s="626" t="n"/>
      <c r="U171" s="626" t="n"/>
      <c r="V171" s="626" t="n"/>
      <c r="W171" s="626" t="n"/>
      <c r="X171" s="626" t="n"/>
      <c r="Y171" s="626" t="n"/>
      <c r="Z171" s="626" t="n"/>
      <c r="AA171" s="626" t="n"/>
      <c r="AB171" s="626" t="n"/>
      <c r="AC171" s="626" t="n"/>
      <c r="AD171" s="626" t="n"/>
      <c r="AE171" s="626" t="n"/>
      <c r="AF171" s="626" t="n"/>
    </row>
    <row r="172" ht="13" customHeight="1" s="1883">
      <c r="B172" s="626" t="n"/>
      <c r="C172" s="626" t="n"/>
      <c r="D172" s="626" t="n"/>
      <c r="E172" s="626" t="n"/>
      <c r="F172" s="626" t="n"/>
      <c r="G172" s="626" t="n"/>
      <c r="H172" s="626" t="n"/>
      <c r="I172" s="626" t="n"/>
      <c r="J172" s="626" t="n"/>
      <c r="K172" s="626" t="n"/>
      <c r="L172" s="626" t="n"/>
      <c r="M172" s="626" t="n"/>
      <c r="N172" s="626" t="n"/>
      <c r="O172" s="626" t="n"/>
      <c r="P172" s="626" t="n"/>
      <c r="Q172" s="626" t="n"/>
      <c r="R172" s="626" t="n"/>
      <c r="S172" s="626" t="n"/>
      <c r="T172" s="626" t="n"/>
      <c r="U172" s="626" t="n"/>
      <c r="V172" s="626" t="n"/>
      <c r="W172" s="626" t="n"/>
      <c r="X172" s="626" t="n"/>
      <c r="Y172" s="626" t="n"/>
      <c r="Z172" s="626" t="n"/>
      <c r="AA172" s="626" t="n"/>
      <c r="AB172" s="626" t="n"/>
      <c r="AC172" s="626" t="n"/>
      <c r="AD172" s="626" t="n"/>
      <c r="AE172" s="626" t="n"/>
      <c r="AF172" s="626" t="n"/>
    </row>
    <row r="173">
      <c r="B173" s="118" t="inlineStr">
        <is>
          <t>V.</t>
        </is>
      </c>
      <c r="C173" s="626" t="n"/>
      <c r="D173" s="1908" t="inlineStr">
        <is>
          <t xml:space="preserve">Billable Hour Conversion </t>
        </is>
      </c>
      <c r="E173" s="1968" t="n"/>
      <c r="F173" s="626" t="n"/>
      <c r="G173" s="626" t="n"/>
      <c r="H173" s="1904" t="inlineStr">
        <is>
          <t>Fiscal Year</t>
        </is>
      </c>
    </row>
    <row r="174" ht="3" customHeight="1" s="1883">
      <c r="B174" s="926" t="n"/>
      <c r="C174" s="926" t="n"/>
      <c r="D174" s="926" t="n"/>
      <c r="E174" s="926" t="n"/>
      <c r="F174" s="926" t="n"/>
      <c r="G174" s="626" t="n"/>
      <c r="H174" s="933" t="n"/>
      <c r="I174" s="933" t="n"/>
      <c r="J174" s="933" t="n"/>
      <c r="K174" s="933" t="n"/>
      <c r="L174" s="933" t="n"/>
      <c r="M174" s="933" t="n"/>
      <c r="N174" s="933" t="n"/>
      <c r="O174" s="933" t="n"/>
      <c r="P174" s="933" t="n"/>
      <c r="Q174" s="933" t="n"/>
      <c r="R174" s="933" t="n"/>
      <c r="S174" s="933" t="n"/>
      <c r="T174" s="933" t="n"/>
      <c r="U174" s="933" t="n"/>
      <c r="V174" s="933" t="n"/>
      <c r="W174" s="933" t="n"/>
      <c r="X174" s="933" t="n"/>
      <c r="Y174" s="933" t="n"/>
      <c r="Z174" s="933" t="n"/>
      <c r="AA174" s="933" t="n"/>
      <c r="AB174" s="933" t="n"/>
      <c r="AC174" s="933" t="n"/>
      <c r="AD174" s="933" t="n"/>
      <c r="AE174" s="933" t="n"/>
      <c r="AF174" s="933" t="n"/>
    </row>
    <row r="175" ht="3" customHeight="1" s="1883">
      <c r="B175" s="626" t="n"/>
      <c r="C175" s="626" t="n"/>
      <c r="D175" s="626" t="n"/>
      <c r="E175" s="626" t="n"/>
      <c r="F175" s="626" t="n"/>
      <c r="G175" s="626" t="n"/>
      <c r="H175" s="932" t="n"/>
      <c r="I175" s="932" t="n"/>
      <c r="J175" s="932" t="n"/>
      <c r="K175" s="932" t="n"/>
      <c r="L175" s="932" t="n"/>
      <c r="M175" s="932" t="n"/>
      <c r="N175" s="932" t="n"/>
      <c r="O175" s="932" t="n"/>
      <c r="P175" s="932" t="n"/>
      <c r="Q175" s="932" t="n"/>
      <c r="R175" s="932" t="n"/>
      <c r="S175" s="932" t="n"/>
      <c r="T175" s="932" t="n"/>
      <c r="U175" s="932" t="n"/>
      <c r="V175" s="932" t="n"/>
      <c r="W175" s="932" t="n"/>
      <c r="X175" s="932" t="n"/>
      <c r="Y175" s="932" t="n"/>
      <c r="Z175" s="932" t="n"/>
      <c r="AA175" s="932" t="n"/>
      <c r="AB175" s="932" t="n"/>
      <c r="AC175" s="932" t="n"/>
      <c r="AD175" s="932" t="n"/>
      <c r="AE175" s="932" t="n"/>
      <c r="AF175" s="932" t="n"/>
    </row>
    <row r="176">
      <c r="B176" s="626" t="n"/>
      <c r="C176" s="626" t="n"/>
      <c r="D176" s="117" t="inlineStr">
        <is>
          <t>Year</t>
        </is>
      </c>
      <c r="E176" s="117" t="n"/>
      <c r="F176" s="117" t="inlineStr">
        <is>
          <t>Months</t>
        </is>
      </c>
      <c r="G176" s="626" t="n"/>
      <c r="H176" s="138" t="inlineStr">
        <is>
          <t>Month 1</t>
        </is>
      </c>
      <c r="I176" s="138" t="n"/>
      <c r="J176" s="138" t="inlineStr">
        <is>
          <t>Month 2</t>
        </is>
      </c>
      <c r="K176" s="138" t="n"/>
      <c r="L176" s="138" t="inlineStr">
        <is>
          <t>Month 3</t>
        </is>
      </c>
      <c r="M176" s="138" t="n"/>
      <c r="N176" s="138" t="inlineStr">
        <is>
          <t>Month 4</t>
        </is>
      </c>
      <c r="O176" s="138" t="n"/>
      <c r="P176" s="138" t="inlineStr">
        <is>
          <t>Month 5</t>
        </is>
      </c>
      <c r="Q176" s="138" t="n"/>
      <c r="R176" s="138" t="inlineStr">
        <is>
          <t>Month 6</t>
        </is>
      </c>
      <c r="S176" s="138" t="n"/>
      <c r="T176" s="138" t="inlineStr">
        <is>
          <t>Month 7</t>
        </is>
      </c>
      <c r="U176" s="138" t="n"/>
      <c r="V176" s="138" t="inlineStr">
        <is>
          <t>Month 8</t>
        </is>
      </c>
      <c r="W176" s="138" t="n"/>
      <c r="X176" s="138" t="inlineStr">
        <is>
          <t>Month 9</t>
        </is>
      </c>
      <c r="Y176" s="138" t="n"/>
      <c r="Z176" s="138" t="inlineStr">
        <is>
          <t>Month 10</t>
        </is>
      </c>
      <c r="AA176" s="138" t="n"/>
      <c r="AB176" s="138" t="inlineStr">
        <is>
          <t>Month 11</t>
        </is>
      </c>
      <c r="AC176" s="138" t="n"/>
      <c r="AD176" s="138" t="inlineStr">
        <is>
          <t>Month 12</t>
        </is>
      </c>
      <c r="AE176" s="932" t="n"/>
      <c r="AF176" s="138" t="inlineStr">
        <is>
          <t>Ʃ, Full-Year</t>
        </is>
      </c>
    </row>
    <row r="179">
      <c r="D179" s="117" t="inlineStr">
        <is>
          <t>Year 0</t>
        </is>
      </c>
      <c r="E179" s="117" t="n"/>
      <c r="F179" s="133" t="inlineStr">
        <is>
          <t>-12 - -1</t>
        </is>
      </c>
      <c r="G179" s="1968" t="n"/>
      <c r="H179" s="1273" t="n"/>
      <c r="I179" s="1273" t="n"/>
      <c r="J179" s="1273" t="n"/>
      <c r="K179" s="1273" t="n"/>
      <c r="L179" s="1273" t="n"/>
      <c r="M179" s="1273" t="n"/>
      <c r="N179" s="1273" t="n"/>
      <c r="O179" s="1273" t="n"/>
      <c r="P179" s="1273" t="n"/>
      <c r="Q179" s="1273" t="n"/>
      <c r="R179" s="1273" t="n"/>
      <c r="S179" s="1273" t="n"/>
      <c r="T179" s="1273" t="n"/>
      <c r="U179" s="1273" t="n"/>
      <c r="V179" s="1273" t="n"/>
      <c r="W179" s="1273" t="n"/>
      <c r="X179" s="1273" t="n"/>
      <c r="Y179" s="1273" t="n"/>
      <c r="Z179" s="1273" t="n"/>
      <c r="AA179" s="1273" t="n"/>
      <c r="AB179" s="1273" t="n"/>
      <c r="AC179" s="1273" t="n"/>
      <c r="AD179" s="1273" t="n"/>
    </row>
    <row r="180" ht="13" customHeight="1" s="1883">
      <c r="D180" s="626" t="n"/>
      <c r="E180" s="626" t="n"/>
      <c r="F180" s="626" t="n"/>
      <c r="G180" s="626" t="n"/>
      <c r="H180" s="1274" t="n"/>
      <c r="I180" s="1274" t="n"/>
      <c r="J180" s="1274" t="n"/>
      <c r="K180" s="1274" t="n"/>
      <c r="L180" s="1274" t="n"/>
      <c r="M180" s="1274" t="n"/>
      <c r="N180" s="1274" t="n"/>
      <c r="O180" s="1274" t="n"/>
      <c r="P180" s="1274" t="n"/>
      <c r="Q180" s="1274" t="n"/>
      <c r="R180" s="1274" t="n"/>
      <c r="S180" s="1274" t="n"/>
      <c r="T180" s="1274" t="n"/>
      <c r="U180" s="1274" t="n"/>
      <c r="V180" s="1274" t="n"/>
      <c r="W180" s="1274" t="n"/>
      <c r="X180" s="1274" t="n"/>
      <c r="Y180" s="1274" t="n"/>
      <c r="Z180" s="1274" t="n"/>
      <c r="AA180" s="1274" t="n"/>
      <c r="AB180" s="1274" t="n"/>
      <c r="AC180" s="1274" t="n"/>
      <c r="AD180" s="1274" t="n"/>
    </row>
    <row r="181">
      <c r="D181" s="117" t="inlineStr">
        <is>
          <t>Year 1</t>
        </is>
      </c>
      <c r="E181" s="117" t="n"/>
      <c r="F181" s="134" t="inlineStr">
        <is>
          <t>1 - 12</t>
        </is>
      </c>
      <c r="G181" s="626" t="n"/>
      <c r="H181" s="2109" t="n">
        <v>0.88</v>
      </c>
      <c r="I181" s="142" t="n"/>
      <c r="J181" s="2110">
        <f>($H$181)</f>
        <v/>
      </c>
      <c r="K181" s="2110" t="n"/>
      <c r="L181" s="2110">
        <f>($H$181)</f>
        <v/>
      </c>
      <c r="M181" s="2110" t="n"/>
      <c r="N181" s="2110">
        <f>($H$181)</f>
        <v/>
      </c>
      <c r="O181" s="2110" t="n"/>
      <c r="P181" s="2110">
        <f>($H$181)</f>
        <v/>
      </c>
      <c r="Q181" s="2110" t="n"/>
      <c r="R181" s="2110">
        <f>($H$181)</f>
        <v/>
      </c>
      <c r="S181" s="2110" t="n"/>
      <c r="T181" s="2110">
        <f>($H$181)</f>
        <v/>
      </c>
      <c r="U181" s="2110" t="n"/>
      <c r="V181" s="2110">
        <f>($H$181)</f>
        <v/>
      </c>
      <c r="W181" s="2110" t="n"/>
      <c r="X181" s="2110">
        <f>($H$181)</f>
        <v/>
      </c>
      <c r="Y181" s="2110" t="n"/>
      <c r="Z181" s="2110">
        <f>($H$181)</f>
        <v/>
      </c>
      <c r="AA181" s="2110" t="n"/>
      <c r="AB181" s="2110">
        <f>($H$181)</f>
        <v/>
      </c>
      <c r="AC181" s="2110" t="n"/>
      <c r="AD181" s="2110">
        <f>($H$181)</f>
        <v/>
      </c>
    </row>
    <row r="182">
      <c r="D182" s="626" t="n"/>
      <c r="E182" s="626" t="n"/>
      <c r="F182" s="626" t="n"/>
      <c r="G182" s="626" t="n"/>
      <c r="H182" s="2110" t="n"/>
      <c r="I182" s="142" t="n"/>
      <c r="J182" s="2110" t="n"/>
      <c r="K182" s="2110" t="n"/>
      <c r="L182" s="2110" t="n"/>
      <c r="M182" s="2110" t="n"/>
      <c r="N182" s="2110" t="n"/>
      <c r="O182" s="2110" t="n"/>
      <c r="P182" s="2110" t="n"/>
      <c r="Q182" s="2110" t="n"/>
      <c r="R182" s="2110" t="n"/>
      <c r="S182" s="2110" t="n"/>
      <c r="T182" s="2110" t="n"/>
      <c r="U182" s="2110" t="n"/>
      <c r="V182" s="2110" t="n"/>
      <c r="W182" s="2110" t="n"/>
      <c r="X182" s="2110" t="n"/>
      <c r="Y182" s="2110" t="n"/>
      <c r="Z182" s="2110" t="n"/>
      <c r="AA182" s="2110" t="n"/>
      <c r="AB182" s="2110" t="n"/>
      <c r="AC182" s="2110" t="n"/>
      <c r="AD182" s="2110" t="n"/>
    </row>
    <row r="183">
      <c r="D183" s="117" t="inlineStr">
        <is>
          <t>Year 2</t>
        </is>
      </c>
      <c r="E183" s="117" t="n"/>
      <c r="F183" s="137" t="inlineStr">
        <is>
          <t>13 - 24</t>
        </is>
      </c>
      <c r="G183" s="626" t="n"/>
      <c r="H183" s="2109" t="n">
        <v>0.7</v>
      </c>
      <c r="I183" s="142" t="n"/>
      <c r="J183" s="2110">
        <f>($H$183)</f>
        <v/>
      </c>
      <c r="K183" s="2110" t="n"/>
      <c r="L183" s="2110">
        <f>($H$183)</f>
        <v/>
      </c>
      <c r="M183" s="2110" t="n"/>
      <c r="N183" s="2110">
        <f>($H$183)</f>
        <v/>
      </c>
      <c r="O183" s="2110" t="n"/>
      <c r="P183" s="2110">
        <f>($H$183)</f>
        <v/>
      </c>
      <c r="Q183" s="2110" t="n"/>
      <c r="R183" s="2110">
        <f>($H$183)</f>
        <v/>
      </c>
      <c r="S183" s="2110" t="n"/>
      <c r="T183" s="2110">
        <f>($H$183)</f>
        <v/>
      </c>
      <c r="U183" s="2110" t="n"/>
      <c r="V183" s="2110">
        <f>($H$183)</f>
        <v/>
      </c>
      <c r="W183" s="2110" t="n"/>
      <c r="X183" s="2110">
        <f>($H$183)</f>
        <v/>
      </c>
      <c r="Y183" s="2110" t="n"/>
      <c r="Z183" s="2110">
        <f>($H$183)</f>
        <v/>
      </c>
      <c r="AA183" s="2110" t="n"/>
      <c r="AB183" s="2110">
        <f>($H$183)</f>
        <v/>
      </c>
      <c r="AC183" s="2110" t="n"/>
      <c r="AD183" s="2110">
        <f>($H$183)</f>
        <v/>
      </c>
    </row>
    <row r="184">
      <c r="D184" s="626" t="n"/>
      <c r="E184" s="626" t="n"/>
      <c r="F184" s="626" t="n"/>
      <c r="G184" s="626" t="n"/>
      <c r="H184" s="2110" t="n"/>
      <c r="I184" s="142" t="n"/>
      <c r="J184" s="2110" t="n"/>
      <c r="K184" s="2110" t="n"/>
      <c r="L184" s="2110" t="n"/>
      <c r="M184" s="2110" t="n"/>
      <c r="N184" s="2110" t="n"/>
      <c r="O184" s="2110" t="n"/>
      <c r="P184" s="2110" t="n"/>
      <c r="Q184" s="2110" t="n"/>
      <c r="R184" s="2110" t="n"/>
      <c r="S184" s="2110" t="n"/>
      <c r="T184" s="2110" t="n"/>
      <c r="U184" s="2110" t="n"/>
      <c r="V184" s="2110" t="n"/>
      <c r="W184" s="2110" t="n"/>
      <c r="X184" s="2110" t="n"/>
      <c r="Y184" s="2110" t="n"/>
      <c r="Z184" s="2110" t="n"/>
      <c r="AA184" s="2110" t="n"/>
      <c r="AB184" s="2110" t="n"/>
      <c r="AC184" s="2110" t="n"/>
      <c r="AD184" s="2110" t="n"/>
    </row>
    <row r="185">
      <c r="D185" s="117" t="inlineStr">
        <is>
          <t>Year 3</t>
        </is>
      </c>
      <c r="E185" s="117" t="n"/>
      <c r="F185" s="137" t="inlineStr">
        <is>
          <t>25 - 36</t>
        </is>
      </c>
      <c r="G185" s="626" t="n"/>
      <c r="H185" s="2109" t="n">
        <v>0.61</v>
      </c>
      <c r="I185" s="142" t="n"/>
      <c r="J185" s="2110">
        <f>($H$185)</f>
        <v/>
      </c>
      <c r="K185" s="2110" t="n"/>
      <c r="L185" s="2110">
        <f>($H$185)</f>
        <v/>
      </c>
      <c r="M185" s="2110" t="n"/>
      <c r="N185" s="2110">
        <f>($H$185)</f>
        <v/>
      </c>
      <c r="O185" s="2110" t="n"/>
      <c r="P185" s="2110">
        <f>($H$185)</f>
        <v/>
      </c>
      <c r="Q185" s="2110" t="n"/>
      <c r="R185" s="2110">
        <f>($H$185)</f>
        <v/>
      </c>
      <c r="S185" s="2110" t="n"/>
      <c r="T185" s="2110">
        <f>($H$185)</f>
        <v/>
      </c>
      <c r="U185" s="2110" t="n"/>
      <c r="V185" s="2110">
        <f>($H$185)</f>
        <v/>
      </c>
      <c r="W185" s="2110" t="n"/>
      <c r="X185" s="2110">
        <f>($H$185)</f>
        <v/>
      </c>
      <c r="Y185" s="2110" t="n"/>
      <c r="Z185" s="2110">
        <f>($H$185)</f>
        <v/>
      </c>
      <c r="AA185" s="2110" t="n"/>
      <c r="AB185" s="2110">
        <f>($H$185)</f>
        <v/>
      </c>
      <c r="AC185" s="2110" t="n"/>
      <c r="AD185" s="2110">
        <f>($H$185)</f>
        <v/>
      </c>
    </row>
    <row r="186">
      <c r="D186" s="626" t="n"/>
      <c r="E186" s="626" t="n"/>
      <c r="F186" s="626" t="n"/>
      <c r="G186" s="626" t="n"/>
      <c r="H186" s="2110" t="n"/>
      <c r="I186" s="142" t="n"/>
      <c r="J186" s="2110" t="n"/>
      <c r="K186" s="2110" t="n"/>
      <c r="L186" s="2110" t="n"/>
      <c r="M186" s="2110" t="n"/>
      <c r="N186" s="2110" t="n"/>
      <c r="O186" s="2110" t="n"/>
      <c r="P186" s="2110" t="n"/>
      <c r="Q186" s="2110" t="n"/>
      <c r="R186" s="2110" t="n"/>
      <c r="S186" s="2110" t="n"/>
      <c r="T186" s="2110" t="n"/>
      <c r="U186" s="2110" t="n"/>
      <c r="V186" s="2110" t="n"/>
      <c r="W186" s="2110" t="n"/>
      <c r="X186" s="2110" t="n"/>
      <c r="Y186" s="2110" t="n"/>
      <c r="Z186" s="2110" t="n"/>
      <c r="AA186" s="2110" t="n"/>
      <c r="AB186" s="2110" t="n"/>
      <c r="AC186" s="2110" t="n"/>
      <c r="AD186" s="2110" t="n"/>
    </row>
    <row r="187">
      <c r="D187" s="117" t="inlineStr">
        <is>
          <t>Year 4</t>
        </is>
      </c>
      <c r="E187" s="117" t="n"/>
      <c r="F187" s="137" t="inlineStr">
        <is>
          <t>37 - 48</t>
        </is>
      </c>
      <c r="G187" s="626" t="n"/>
      <c r="H187" s="2109" t="n">
        <v>0.556</v>
      </c>
      <c r="I187" s="142" t="n"/>
      <c r="J187" s="2110">
        <f>($H$187)</f>
        <v/>
      </c>
      <c r="K187" s="2110" t="n"/>
      <c r="L187" s="2110">
        <f>($H$187)</f>
        <v/>
      </c>
      <c r="M187" s="2110" t="n"/>
      <c r="N187" s="2110">
        <f>($H$187)</f>
        <v/>
      </c>
      <c r="O187" s="2110" t="n"/>
      <c r="P187" s="2110">
        <f>($H$187)</f>
        <v/>
      </c>
      <c r="Q187" s="2110" t="n"/>
      <c r="R187" s="2110">
        <f>($H$187)</f>
        <v/>
      </c>
      <c r="S187" s="2110" t="n"/>
      <c r="T187" s="2110">
        <f>($H$187)</f>
        <v/>
      </c>
      <c r="U187" s="2110" t="n"/>
      <c r="V187" s="2110">
        <f>($H$187)</f>
        <v/>
      </c>
      <c r="W187" s="2110" t="n"/>
      <c r="X187" s="2110">
        <f>($H$187)</f>
        <v/>
      </c>
      <c r="Y187" s="2110" t="n"/>
      <c r="Z187" s="2110">
        <f>($H$187)</f>
        <v/>
      </c>
      <c r="AA187" s="2110" t="n"/>
      <c r="AB187" s="2110">
        <f>($H$187)</f>
        <v/>
      </c>
      <c r="AC187" s="2110" t="n"/>
      <c r="AD187" s="2110">
        <f>($H$187)</f>
        <v/>
      </c>
    </row>
    <row r="188">
      <c r="D188" s="626" t="n"/>
      <c r="E188" s="626" t="n"/>
      <c r="F188" s="626" t="n"/>
      <c r="G188" s="626" t="n"/>
      <c r="H188" s="2110" t="n"/>
      <c r="I188" s="142" t="n"/>
      <c r="J188" s="2110" t="n"/>
      <c r="K188" s="2110" t="n"/>
      <c r="L188" s="2110" t="n"/>
      <c r="M188" s="2110" t="n"/>
      <c r="N188" s="2110" t="n"/>
      <c r="O188" s="2110" t="n"/>
      <c r="P188" s="2110" t="n"/>
      <c r="Q188" s="2110" t="n"/>
      <c r="R188" s="2110" t="n"/>
      <c r="S188" s="2110" t="n"/>
      <c r="T188" s="2110" t="n"/>
      <c r="U188" s="2110" t="n"/>
      <c r="V188" s="2110" t="n"/>
      <c r="W188" s="2110" t="n"/>
      <c r="X188" s="2110" t="n"/>
      <c r="Y188" s="2110" t="n"/>
      <c r="Z188" s="2110" t="n"/>
      <c r="AA188" s="2110" t="n"/>
      <c r="AB188" s="2110" t="n"/>
      <c r="AC188" s="2110" t="n"/>
      <c r="AD188" s="2110" t="n"/>
    </row>
    <row r="189">
      <c r="D189" s="117" t="inlineStr">
        <is>
          <t>Year 5</t>
        </is>
      </c>
      <c r="E189" s="117" t="n"/>
      <c r="F189" s="137" t="inlineStr">
        <is>
          <t>49 - 60</t>
        </is>
      </c>
      <c r="G189" s="626" t="n"/>
      <c r="H189" s="2109" t="n">
        <v>0.52</v>
      </c>
      <c r="I189" s="142" t="n"/>
      <c r="J189" s="2110">
        <f>($H$189)</f>
        <v/>
      </c>
      <c r="K189" s="2110" t="n"/>
      <c r="L189" s="2110">
        <f>($H$189)</f>
        <v/>
      </c>
      <c r="M189" s="2110" t="n"/>
      <c r="N189" s="2110">
        <f>($H$189)</f>
        <v/>
      </c>
      <c r="O189" s="2110" t="n"/>
      <c r="P189" s="2110">
        <f>($H$189)</f>
        <v/>
      </c>
      <c r="Q189" s="2110" t="n"/>
      <c r="R189" s="2110">
        <f>($H$189)</f>
        <v/>
      </c>
      <c r="S189" s="2110" t="n"/>
      <c r="T189" s="2110">
        <f>($H$189)</f>
        <v/>
      </c>
      <c r="U189" s="2110" t="n"/>
      <c r="V189" s="2110">
        <f>($H$189)</f>
        <v/>
      </c>
      <c r="W189" s="2110" t="n"/>
      <c r="X189" s="2110">
        <f>($H$189)</f>
        <v/>
      </c>
      <c r="Y189" s="2110" t="n"/>
      <c r="Z189" s="2110">
        <f>($H$189)</f>
        <v/>
      </c>
      <c r="AA189" s="2110" t="n"/>
      <c r="AB189" s="2110">
        <f>($H$189)</f>
        <v/>
      </c>
      <c r="AC189" s="2110" t="n"/>
      <c r="AD189" s="2110">
        <f>($H$189)</f>
        <v/>
      </c>
    </row>
    <row r="196">
      <c r="B196" s="118" t="inlineStr">
        <is>
          <t>VI.</t>
        </is>
      </c>
      <c r="C196" s="626" t="n"/>
      <c r="D196" s="118" t="inlineStr">
        <is>
          <t>Rate Per Hour</t>
        </is>
      </c>
      <c r="E196" s="118" t="n"/>
      <c r="F196" s="626" t="n"/>
      <c r="G196" s="626" t="n"/>
      <c r="H196" s="626" t="n"/>
      <c r="I196" s="626" t="n"/>
      <c r="J196" s="626" t="n"/>
      <c r="K196" s="626" t="n"/>
      <c r="L196" s="626" t="n"/>
      <c r="M196" s="626" t="n"/>
      <c r="N196" s="626" t="n"/>
      <c r="O196" s="626" t="n"/>
      <c r="P196" s="626" t="n"/>
      <c r="Q196" s="626" t="n"/>
      <c r="R196" s="626" t="n"/>
      <c r="S196" s="626" t="n"/>
      <c r="T196" s="626" t="n"/>
      <c r="U196" s="626" t="n"/>
      <c r="V196" s="626" t="n"/>
      <c r="W196" s="626" t="n"/>
      <c r="X196" s="626" t="n"/>
      <c r="Y196" s="626" t="n"/>
      <c r="Z196" s="626" t="n"/>
      <c r="AA196" s="626" t="n"/>
      <c r="AB196" s="626" t="n"/>
      <c r="AC196" s="626" t="n"/>
      <c r="AD196" s="626" t="n"/>
      <c r="AE196" s="626" t="n"/>
      <c r="AF196" s="626" t="n"/>
    </row>
    <row r="197" ht="3" customHeight="1" s="1883">
      <c r="B197" s="926" t="n"/>
      <c r="C197" s="926" t="n"/>
      <c r="D197" s="926" t="n"/>
      <c r="E197" s="926" t="n"/>
      <c r="F197" s="926" t="n"/>
      <c r="G197" s="626" t="n"/>
      <c r="H197" s="626" t="n"/>
      <c r="I197" s="626" t="n"/>
      <c r="J197" s="626" t="n"/>
      <c r="K197" s="626" t="n"/>
      <c r="L197" s="626" t="n"/>
      <c r="M197" s="626" t="n"/>
      <c r="N197" s="626" t="n"/>
      <c r="O197" s="626" t="n"/>
      <c r="P197" s="626" t="n"/>
      <c r="Q197" s="626" t="n"/>
      <c r="R197" s="626" t="n"/>
      <c r="S197" s="626" t="n"/>
      <c r="T197" s="626" t="n"/>
      <c r="U197" s="626" t="n"/>
      <c r="V197" s="626" t="n"/>
      <c r="W197" s="626" t="n"/>
      <c r="X197" s="626" t="n"/>
      <c r="Y197" s="626" t="n"/>
      <c r="Z197" s="626" t="n"/>
      <c r="AA197" s="626" t="n"/>
      <c r="AB197" s="626" t="n"/>
      <c r="AC197" s="626" t="n"/>
      <c r="AD197" s="626" t="n"/>
      <c r="AE197" s="626" t="n"/>
      <c r="AF197" s="626" t="n"/>
    </row>
    <row r="198" ht="3" customHeight="1" s="1883">
      <c r="B198" s="626" t="n"/>
      <c r="C198" s="626" t="n"/>
      <c r="D198" s="626" t="n"/>
      <c r="E198" s="626" t="n"/>
      <c r="F198" s="626" t="n"/>
      <c r="G198" s="626" t="n"/>
      <c r="H198" s="626" t="n"/>
      <c r="I198" s="626" t="n"/>
      <c r="J198" s="626" t="n"/>
      <c r="K198" s="626" t="n"/>
      <c r="L198" s="626" t="n"/>
      <c r="M198" s="626" t="n"/>
      <c r="N198" s="626" t="n"/>
      <c r="O198" s="626" t="n"/>
      <c r="P198" s="626" t="n"/>
      <c r="Q198" s="626" t="n"/>
      <c r="R198" s="626" t="n"/>
      <c r="S198" s="626" t="n"/>
      <c r="T198" s="626" t="n"/>
      <c r="U198" s="626" t="n"/>
      <c r="V198" s="626" t="n"/>
      <c r="W198" s="626" t="n"/>
      <c r="X198" s="626" t="n"/>
      <c r="Y198" s="626" t="n"/>
      <c r="Z198" s="626" t="n"/>
      <c r="AA198" s="626" t="n"/>
      <c r="AB198" s="626" t="n"/>
      <c r="AC198" s="626" t="n"/>
      <c r="AD198" s="626" t="n"/>
      <c r="AE198" s="626" t="n"/>
      <c r="AF198" s="626" t="n"/>
    </row>
    <row r="199">
      <c r="B199" s="626" t="n"/>
      <c r="C199" s="626" t="n"/>
      <c r="D199" s="117" t="inlineStr">
        <is>
          <t>Year</t>
        </is>
      </c>
      <c r="E199" s="117" t="n"/>
      <c r="F199" s="117" t="inlineStr">
        <is>
          <t>Months</t>
        </is>
      </c>
      <c r="G199" s="626" t="n"/>
      <c r="H199" s="138" t="inlineStr">
        <is>
          <t>Month 1</t>
        </is>
      </c>
      <c r="I199" s="138" t="n"/>
      <c r="J199" s="138" t="inlineStr">
        <is>
          <t>Month 2</t>
        </is>
      </c>
      <c r="K199" s="138" t="n"/>
      <c r="L199" s="138" t="inlineStr">
        <is>
          <t>Month 3</t>
        </is>
      </c>
      <c r="M199" s="138" t="n"/>
      <c r="N199" s="138" t="inlineStr">
        <is>
          <t>Month 4</t>
        </is>
      </c>
      <c r="O199" s="138" t="n"/>
      <c r="P199" s="138" t="inlineStr">
        <is>
          <t>Month 5</t>
        </is>
      </c>
      <c r="Q199" s="138" t="n"/>
      <c r="R199" s="138" t="inlineStr">
        <is>
          <t>Month 6</t>
        </is>
      </c>
      <c r="S199" s="138" t="n"/>
      <c r="T199" s="138" t="inlineStr">
        <is>
          <t>Month 7</t>
        </is>
      </c>
      <c r="U199" s="138" t="n"/>
      <c r="V199" s="138" t="inlineStr">
        <is>
          <t>Month 8</t>
        </is>
      </c>
      <c r="W199" s="138" t="n"/>
      <c r="X199" s="138" t="inlineStr">
        <is>
          <t>Month 9</t>
        </is>
      </c>
      <c r="Y199" s="138" t="n"/>
      <c r="Z199" s="138" t="inlineStr">
        <is>
          <t>Month 10</t>
        </is>
      </c>
      <c r="AA199" s="138" t="n"/>
      <c r="AB199" s="138" t="inlineStr">
        <is>
          <t>Month 11</t>
        </is>
      </c>
      <c r="AC199" s="138" t="n"/>
      <c r="AD199" s="138" t="inlineStr">
        <is>
          <t>Month 12</t>
        </is>
      </c>
      <c r="AE199" s="932" t="n"/>
      <c r="AF199" s="138" t="inlineStr">
        <is>
          <t>Ʃ, Full-Year</t>
        </is>
      </c>
    </row>
    <row r="200" ht="3" customHeight="1" s="1883">
      <c r="B200" s="626" t="n"/>
      <c r="C200" s="626" t="n"/>
      <c r="D200" s="926" t="n"/>
      <c r="E200" s="626" t="n"/>
      <c r="F200" s="926" t="n"/>
      <c r="G200" s="626" t="n"/>
      <c r="H200" s="933" t="n"/>
      <c r="I200" s="932" t="n"/>
      <c r="J200" s="933" t="n"/>
      <c r="K200" s="932" t="n"/>
      <c r="L200" s="933" t="n"/>
      <c r="M200" s="932" t="n"/>
      <c r="N200" s="933" t="n"/>
      <c r="O200" s="932" t="n"/>
      <c r="P200" s="933" t="n"/>
      <c r="Q200" s="932" t="n"/>
      <c r="R200" s="933" t="n"/>
      <c r="S200" s="932" t="n"/>
      <c r="T200" s="933" t="n"/>
      <c r="U200" s="932" t="n"/>
      <c r="V200" s="933" t="n"/>
      <c r="W200" s="932" t="n"/>
      <c r="X200" s="933" t="n"/>
      <c r="Y200" s="932" t="n"/>
      <c r="Z200" s="933" t="n"/>
      <c r="AA200" s="932" t="n"/>
      <c r="AB200" s="933" t="n"/>
      <c r="AC200" s="932" t="n"/>
      <c r="AD200" s="933" t="n"/>
      <c r="AE200" s="932" t="n"/>
      <c r="AF200" s="933" t="n"/>
    </row>
    <row r="201" ht="3" customHeight="1" s="1883">
      <c r="B201" s="626" t="n"/>
      <c r="C201" s="626" t="n"/>
      <c r="D201" s="626" t="n"/>
      <c r="E201" s="626" t="n"/>
      <c r="F201" s="626" t="n"/>
      <c r="G201" s="626" t="n"/>
      <c r="H201" s="934" t="n"/>
      <c r="I201" s="934" t="n"/>
      <c r="J201" s="934" t="n"/>
      <c r="K201" s="934" t="n"/>
      <c r="L201" s="934" t="n"/>
      <c r="M201" s="934" t="n"/>
      <c r="N201" s="934" t="n"/>
      <c r="O201" s="934" t="n"/>
      <c r="P201" s="934" t="n"/>
      <c r="Q201" s="934" t="n"/>
      <c r="R201" s="934" t="n"/>
      <c r="S201" s="934" t="n"/>
      <c r="T201" s="934" t="n"/>
      <c r="U201" s="934" t="n"/>
      <c r="V201" s="934" t="n"/>
      <c r="W201" s="934" t="n"/>
      <c r="X201" s="934" t="n"/>
      <c r="Y201" s="934" t="n"/>
      <c r="Z201" s="934" t="n"/>
      <c r="AA201" s="934" t="n"/>
      <c r="AB201" s="934" t="n"/>
      <c r="AC201" s="934" t="n"/>
      <c r="AD201" s="934" t="n"/>
      <c r="AE201" s="934" t="n"/>
      <c r="AF201" s="934" t="n"/>
    </row>
    <row r="202">
      <c r="B202" s="626" t="n"/>
      <c r="C202" s="626" t="n"/>
      <c r="D202" s="117" t="inlineStr">
        <is>
          <t>Year 0</t>
        </is>
      </c>
      <c r="E202" s="117" t="n"/>
      <c r="F202" s="133" t="inlineStr">
        <is>
          <t>-12 - -1</t>
        </is>
      </c>
      <c r="G202" s="1968" t="n"/>
      <c r="H202" s="978" t="n"/>
      <c r="I202" s="978" t="n"/>
      <c r="J202" s="978" t="n"/>
      <c r="K202" s="978" t="n"/>
      <c r="L202" s="978" t="n"/>
      <c r="M202" s="978" t="n"/>
      <c r="N202" s="978" t="n"/>
      <c r="O202" s="978" t="n"/>
      <c r="P202" s="978" t="n"/>
      <c r="Q202" s="978" t="n"/>
      <c r="R202" s="978" t="n"/>
      <c r="S202" s="978" t="n"/>
      <c r="T202" s="978" t="n"/>
      <c r="U202" s="978" t="n"/>
      <c r="V202" s="978" t="n"/>
      <c r="W202" s="978" t="n"/>
      <c r="X202" s="978" t="n"/>
      <c r="Y202" s="978" t="n"/>
      <c r="Z202" s="978" t="n"/>
      <c r="AA202" s="978" t="n"/>
      <c r="AB202" s="978" t="n"/>
      <c r="AC202" s="978" t="n"/>
      <c r="AD202" s="978" t="n"/>
      <c r="AE202" s="978" t="n"/>
      <c r="AF202" s="978" t="n"/>
    </row>
    <row r="203" ht="13" customHeight="1" s="1883">
      <c r="B203" s="626" t="n"/>
      <c r="C203" s="626" t="n"/>
      <c r="D203" s="626" t="n"/>
      <c r="E203" s="626" t="n"/>
      <c r="F203" s="626" t="n"/>
      <c r="G203" s="626" t="n"/>
      <c r="H203" s="626" t="n"/>
      <c r="I203" s="626" t="n"/>
      <c r="J203" s="626" t="n"/>
      <c r="K203" s="626" t="n"/>
      <c r="L203" s="626" t="n"/>
      <c r="M203" s="626" t="n"/>
      <c r="N203" s="626" t="n"/>
      <c r="O203" s="626" t="n"/>
      <c r="P203" s="626" t="n"/>
      <c r="Q203" s="626" t="n"/>
      <c r="R203" s="626" t="n"/>
      <c r="S203" s="626" t="n"/>
      <c r="T203" s="626" t="n"/>
      <c r="U203" s="626" t="n"/>
      <c r="V203" s="626" t="n"/>
      <c r="W203" s="626" t="n"/>
      <c r="X203" s="626" t="n"/>
      <c r="Y203" s="626" t="n"/>
      <c r="Z203" s="626" t="n"/>
      <c r="AA203" s="626" t="n"/>
      <c r="AB203" s="626" t="n"/>
      <c r="AC203" s="626" t="n"/>
      <c r="AD203" s="626" t="n"/>
      <c r="AE203" s="626" t="n"/>
      <c r="AF203" s="626" t="n"/>
    </row>
    <row r="204" ht="13" customHeight="1" s="1883">
      <c r="B204" s="626" t="n"/>
      <c r="C204" s="626" t="n"/>
      <c r="D204" s="626" t="n"/>
      <c r="E204" s="626" t="n"/>
      <c r="F204" s="626" t="n"/>
      <c r="G204" s="626" t="n"/>
      <c r="H204" s="626" t="n"/>
      <c r="I204" s="626" t="n"/>
      <c r="J204" s="626" t="n"/>
      <c r="K204" s="626" t="n"/>
      <c r="L204" s="626" t="n"/>
      <c r="M204" s="626" t="n"/>
      <c r="N204" s="626" t="n"/>
      <c r="O204" s="626" t="n"/>
      <c r="P204" s="626" t="n"/>
      <c r="Q204" s="626" t="n"/>
      <c r="R204" s="626" t="n"/>
      <c r="S204" s="626" t="n"/>
      <c r="T204" s="626" t="n"/>
      <c r="U204" s="626" t="n"/>
      <c r="V204" s="626" t="n"/>
      <c r="W204" s="626" t="n"/>
      <c r="X204" s="626" t="n"/>
      <c r="Y204" s="626" t="n"/>
      <c r="Z204" s="626" t="n"/>
      <c r="AA204" s="626" t="n"/>
      <c r="AB204" s="626" t="n"/>
      <c r="AC204" s="626" t="n"/>
      <c r="AD204" s="626" t="n"/>
      <c r="AE204" s="626" t="n"/>
      <c r="AF204" s="626" t="n"/>
    </row>
    <row r="205">
      <c r="B205" s="626" t="n"/>
      <c r="C205" s="626" t="n"/>
      <c r="D205" s="117" t="inlineStr">
        <is>
          <t>Year 1</t>
        </is>
      </c>
      <c r="E205" s="117" t="n"/>
      <c r="F205" s="134" t="inlineStr">
        <is>
          <t>1 - 12</t>
        </is>
      </c>
      <c r="G205" s="626" t="n"/>
      <c r="H205" s="626" t="n"/>
      <c r="I205" s="626" t="n"/>
      <c r="J205" s="626" t="n"/>
      <c r="K205" s="626" t="n"/>
      <c r="L205" s="626" t="n"/>
      <c r="M205" s="626" t="n"/>
      <c r="N205" s="626" t="n"/>
      <c r="O205" s="626" t="n"/>
      <c r="P205" s="626" t="n"/>
      <c r="Q205" s="626" t="n"/>
      <c r="R205" s="626" t="n"/>
      <c r="S205" s="626" t="n"/>
      <c r="T205" s="626" t="n"/>
      <c r="U205" s="626" t="n"/>
      <c r="V205" s="626" t="n"/>
      <c r="W205" s="626" t="n"/>
      <c r="X205" s="626" t="n"/>
      <c r="Y205" s="626" t="n"/>
      <c r="Z205" s="626" t="n"/>
      <c r="AA205" s="626" t="n"/>
      <c r="AB205" s="626" t="n"/>
      <c r="AC205" s="626" t="n"/>
      <c r="AD205" s="626" t="n"/>
      <c r="AE205" s="626" t="n"/>
      <c r="AF205" s="626" t="n"/>
    </row>
    <row r="206">
      <c r="B206" s="626" t="n"/>
      <c r="C206" s="626" t="n"/>
      <c r="D206" s="1968" t="inlineStr">
        <is>
          <t>Standard Rate Per App Per Month (1 HR)</t>
        </is>
      </c>
      <c r="G206" s="626" t="n"/>
      <c r="H206" s="2111" t="n">
        <v>50</v>
      </c>
      <c r="I206" s="2112" t="n"/>
      <c r="J206" s="2113">
        <f>($H$206)</f>
        <v/>
      </c>
      <c r="K206" s="2112" t="n"/>
      <c r="L206" s="2113">
        <f>($H$206)</f>
        <v/>
      </c>
      <c r="M206" s="2112" t="n"/>
      <c r="N206" s="2113">
        <f>($H$206)</f>
        <v/>
      </c>
      <c r="O206" s="2112" t="n"/>
      <c r="P206" s="2113">
        <f>($H$206)</f>
        <v/>
      </c>
      <c r="Q206" s="2112" t="n"/>
      <c r="R206" s="2113">
        <f>($H$206)</f>
        <v/>
      </c>
      <c r="S206" s="2112" t="n"/>
      <c r="T206" s="2113">
        <f>($H$206)</f>
        <v/>
      </c>
      <c r="U206" s="2112" t="n"/>
      <c r="V206" s="2113">
        <f>($H$206)</f>
        <v/>
      </c>
      <c r="W206" s="2112" t="n"/>
      <c r="X206" s="2113">
        <f>($H$206)</f>
        <v/>
      </c>
      <c r="Y206" s="2112" t="n"/>
      <c r="Z206" s="2113">
        <f>($H$206)</f>
        <v/>
      </c>
      <c r="AA206" s="2112" t="n"/>
      <c r="AB206" s="2113">
        <f>($H$206)</f>
        <v/>
      </c>
      <c r="AC206" s="2112" t="n"/>
      <c r="AD206" s="2113">
        <f>($H$206)</f>
        <v/>
      </c>
      <c r="AE206" s="2112" t="n"/>
      <c r="AF206" s="2112" t="n"/>
    </row>
    <row r="207">
      <c r="B207" s="626" t="n"/>
      <c r="C207" s="626" t="n"/>
      <c r="D207" s="1968" t="inlineStr">
        <is>
          <t>Discount</t>
        </is>
      </c>
      <c r="G207" s="626" t="n"/>
      <c r="H207" s="142">
        <f>($H$213)</f>
        <v/>
      </c>
      <c r="I207" s="151" t="n"/>
      <c r="J207" s="151">
        <f>($H$207)</f>
        <v/>
      </c>
      <c r="K207" s="151" t="n"/>
      <c r="L207" s="151">
        <f>($H$207)</f>
        <v/>
      </c>
      <c r="M207" s="151" t="n"/>
      <c r="N207" s="151">
        <f>($H$207)</f>
        <v/>
      </c>
      <c r="O207" s="151" t="n"/>
      <c r="P207" s="151">
        <f>($H$207)</f>
        <v/>
      </c>
      <c r="Q207" s="151" t="n"/>
      <c r="R207" s="151">
        <f>($H$207)</f>
        <v/>
      </c>
      <c r="S207" s="151" t="n"/>
      <c r="T207" s="151">
        <f>($H$207)</f>
        <v/>
      </c>
      <c r="U207" s="151" t="n"/>
      <c r="V207" s="151">
        <f>($H$207)</f>
        <v/>
      </c>
      <c r="W207" s="151" t="n"/>
      <c r="X207" s="151">
        <f>($H$207)</f>
        <v/>
      </c>
      <c r="Y207" s="151" t="n"/>
      <c r="Z207" s="151">
        <f>($H$207)</f>
        <v/>
      </c>
      <c r="AA207" s="151" t="n"/>
      <c r="AB207" s="151">
        <f>($H$207)</f>
        <v/>
      </c>
      <c r="AC207" s="151" t="n"/>
      <c r="AD207" s="151">
        <f>($H$207)</f>
        <v/>
      </c>
      <c r="AE207" s="626" t="n"/>
      <c r="AF207" s="626" t="n"/>
    </row>
    <row r="208">
      <c r="B208" s="626" t="n"/>
      <c r="C208" s="626" t="n"/>
      <c r="D208" s="1915" t="inlineStr">
        <is>
          <t>Rate Per Hour, Net (Realization)</t>
        </is>
      </c>
      <c r="G208" s="626" t="n"/>
      <c r="H208" s="2114">
        <f>(((1)-(H207))*(H206))</f>
        <v/>
      </c>
      <c r="I208" s="2112" t="n"/>
      <c r="J208" s="2114">
        <f>(((1)-(J207))*(J206))</f>
        <v/>
      </c>
      <c r="K208" s="2112" t="n"/>
      <c r="L208" s="2114">
        <f>(((1)-(L207))*(L206))</f>
        <v/>
      </c>
      <c r="M208" s="2112" t="n"/>
      <c r="N208" s="2114">
        <f>(((1)-(N207))*(N206))</f>
        <v/>
      </c>
      <c r="O208" s="2112" t="n"/>
      <c r="P208" s="2114">
        <f>(((1)-(P207))*(P206))</f>
        <v/>
      </c>
      <c r="Q208" s="2112" t="n"/>
      <c r="R208" s="2114">
        <f>(((1)-(R207))*(R206))</f>
        <v/>
      </c>
      <c r="S208" s="2112" t="n"/>
      <c r="T208" s="2114">
        <f>(((1)-(T207))*(T206))</f>
        <v/>
      </c>
      <c r="U208" s="2112" t="n"/>
      <c r="V208" s="2114">
        <f>(((1)-(V207))*(V206))</f>
        <v/>
      </c>
      <c r="W208" s="2112" t="n"/>
      <c r="X208" s="2114">
        <f>(((1)-(X207))*(X206))</f>
        <v/>
      </c>
      <c r="Y208" s="2112" t="n"/>
      <c r="Z208" s="2114">
        <f>(((1)-(Z207))*(Z206))</f>
        <v/>
      </c>
      <c r="AA208" s="2112" t="n"/>
      <c r="AB208" s="2114">
        <f>(((1)-(AB207))*(AB206))</f>
        <v/>
      </c>
      <c r="AC208" s="2112" t="n"/>
      <c r="AD208" s="2114">
        <f>(((1)-(AD207))*(AD206))</f>
        <v/>
      </c>
      <c r="AE208" s="626" t="n"/>
      <c r="AF208" s="2112">
        <f>SUM(H208:AE208)</f>
        <v/>
      </c>
    </row>
    <row r="211" ht="13" customHeight="1" s="1883">
      <c r="D211" s="626" t="inlineStr">
        <is>
          <t>Year 2</t>
        </is>
      </c>
      <c r="E211" s="626" t="n"/>
      <c r="F211" s="1276" t="inlineStr">
        <is>
          <t>13 - 24</t>
        </is>
      </c>
      <c r="G211" s="626" t="n"/>
      <c r="H211" s="626" t="n"/>
      <c r="I211" s="626" t="n"/>
      <c r="J211" s="626" t="n"/>
      <c r="K211" s="626" t="n"/>
      <c r="L211" s="626" t="n"/>
      <c r="M211" s="626" t="n"/>
      <c r="N211" s="626" t="n"/>
      <c r="O211" s="626" t="n"/>
      <c r="P211" s="626" t="n"/>
      <c r="Q211" s="626" t="n"/>
      <c r="R211" s="626" t="n"/>
      <c r="S211" s="626" t="n"/>
      <c r="T211" s="626" t="n"/>
      <c r="U211" s="626" t="n"/>
      <c r="V211" s="626" t="n"/>
      <c r="W211" s="626" t="n"/>
      <c r="X211" s="626" t="n"/>
      <c r="Y211" s="626" t="n"/>
      <c r="Z211" s="626" t="n"/>
      <c r="AA211" s="626" t="n"/>
      <c r="AB211" s="626" t="n"/>
      <c r="AC211" s="626" t="n"/>
      <c r="AD211" s="626" t="n"/>
      <c r="AE211" s="626" t="n"/>
      <c r="AF211" s="626" t="n"/>
    </row>
    <row r="212">
      <c r="D212" s="1969" t="inlineStr">
        <is>
          <t>Standard Rate Per App Per Month (1.25 HR)</t>
        </is>
      </c>
      <c r="G212" s="626" t="n"/>
      <c r="H212" s="2111" t="n">
        <v>61</v>
      </c>
      <c r="I212" s="2112" t="n"/>
      <c r="J212" s="2113">
        <f>($H$212)</f>
        <v/>
      </c>
      <c r="K212" s="2112" t="n"/>
      <c r="L212" s="2113">
        <f>($H$212)</f>
        <v/>
      </c>
      <c r="M212" s="2112" t="n"/>
      <c r="N212" s="2113">
        <f>($H$212)</f>
        <v/>
      </c>
      <c r="O212" s="2112" t="n"/>
      <c r="P212" s="2113">
        <f>($H$212)</f>
        <v/>
      </c>
      <c r="Q212" s="2112" t="n"/>
      <c r="R212" s="2113">
        <f>($H$212)</f>
        <v/>
      </c>
      <c r="S212" s="2112" t="n"/>
      <c r="T212" s="2113">
        <f>($H$212)</f>
        <v/>
      </c>
      <c r="U212" s="2112" t="n"/>
      <c r="V212" s="2113">
        <f>($H$212)</f>
        <v/>
      </c>
      <c r="W212" s="2112" t="n"/>
      <c r="X212" s="2113">
        <f>($H$212)</f>
        <v/>
      </c>
      <c r="Y212" s="2112" t="n"/>
      <c r="Z212" s="2113">
        <f>($H$212)</f>
        <v/>
      </c>
      <c r="AA212" s="2112" t="n"/>
      <c r="AB212" s="2113">
        <f>($H$212)</f>
        <v/>
      </c>
      <c r="AC212" s="2112" t="n"/>
      <c r="AD212" s="2113">
        <f>($H$212)</f>
        <v/>
      </c>
      <c r="AE212" s="626" t="n"/>
      <c r="AF212" s="626" t="n"/>
    </row>
    <row r="213">
      <c r="D213" s="1968" t="inlineStr">
        <is>
          <t>Discount</t>
        </is>
      </c>
      <c r="G213" s="626" t="n"/>
      <c r="H213" s="152" t="n">
        <v>0.25</v>
      </c>
      <c r="I213" s="142" t="n"/>
      <c r="J213" s="151">
        <f>($H$213)</f>
        <v/>
      </c>
      <c r="K213" s="151" t="n"/>
      <c r="L213" s="151">
        <f>($H$213)</f>
        <v/>
      </c>
      <c r="M213" s="151" t="n"/>
      <c r="N213" s="151">
        <f>($H$213)</f>
        <v/>
      </c>
      <c r="O213" s="151" t="n"/>
      <c r="P213" s="151">
        <f>($H$213)</f>
        <v/>
      </c>
      <c r="Q213" s="151" t="n"/>
      <c r="R213" s="151">
        <f>($H$213)</f>
        <v/>
      </c>
      <c r="S213" s="151" t="n"/>
      <c r="T213" s="151">
        <f>($H$213)</f>
        <v/>
      </c>
      <c r="U213" s="151" t="n"/>
      <c r="V213" s="151">
        <f>($H$213)</f>
        <v/>
      </c>
      <c r="W213" s="151" t="n"/>
      <c r="X213" s="151">
        <f>($H$213)</f>
        <v/>
      </c>
      <c r="Y213" s="151" t="n"/>
      <c r="Z213" s="151">
        <f>($H$213)</f>
        <v/>
      </c>
      <c r="AA213" s="151" t="n"/>
      <c r="AB213" s="151">
        <f>($H$213)</f>
        <v/>
      </c>
      <c r="AC213" s="151" t="n"/>
      <c r="AD213" s="151">
        <f>($H$213)</f>
        <v/>
      </c>
      <c r="AE213" s="626" t="n"/>
      <c r="AF213" s="626" t="n"/>
    </row>
    <row r="214">
      <c r="D214" s="1915" t="inlineStr">
        <is>
          <t>Rate Per Hour, Net (Realization)</t>
        </is>
      </c>
      <c r="G214" s="626" t="n"/>
      <c r="H214" s="2114">
        <f>(((1)-(H213))*(H212))</f>
        <v/>
      </c>
      <c r="I214" s="626" t="n"/>
      <c r="J214" s="2114">
        <f>(((1)-(J213))*(J212))</f>
        <v/>
      </c>
      <c r="K214" s="2112" t="n"/>
      <c r="L214" s="2114">
        <f>(((1)-(L213))*(L212))</f>
        <v/>
      </c>
      <c r="M214" s="2112" t="n"/>
      <c r="N214" s="2114">
        <f>(((1)-(N213))*(N212))</f>
        <v/>
      </c>
      <c r="O214" s="2112" t="n"/>
      <c r="P214" s="2114">
        <f>(((1)-(P213))*(P212))</f>
        <v/>
      </c>
      <c r="Q214" s="2112" t="n"/>
      <c r="R214" s="2114">
        <f>(((1)-(R213))*(R212))</f>
        <v/>
      </c>
      <c r="S214" s="2112" t="n"/>
      <c r="T214" s="2114">
        <f>(((1)-(T213))*(T212))</f>
        <v/>
      </c>
      <c r="U214" s="2112" t="n"/>
      <c r="V214" s="2114">
        <f>(((1)-(V213))*(V212))</f>
        <v/>
      </c>
      <c r="W214" s="2112" t="n"/>
      <c r="X214" s="2114">
        <f>(((1)-(X213))*(X212))</f>
        <v/>
      </c>
      <c r="Y214" s="2112" t="n"/>
      <c r="Z214" s="2114">
        <f>(((1)-(Z213))*(Z212))</f>
        <v/>
      </c>
      <c r="AA214" s="2112" t="n"/>
      <c r="AB214" s="2114">
        <f>(((1)-(AB213))*(AB212))</f>
        <v/>
      </c>
      <c r="AC214" s="2112" t="n"/>
      <c r="AD214" s="2114">
        <f>(((1)-(AD213))*(AD212))</f>
        <v/>
      </c>
      <c r="AE214" s="626" t="n"/>
      <c r="AF214" s="2112">
        <f>SUM(H214:AE214)</f>
        <v/>
      </c>
    </row>
    <row r="215" ht="13" customHeight="1" s="1883">
      <c r="D215" s="626" t="n"/>
      <c r="E215" s="626" t="n"/>
      <c r="F215" s="626" t="n"/>
      <c r="G215" s="626" t="n"/>
      <c r="H215" s="2112" t="n"/>
      <c r="I215" s="626" t="n"/>
      <c r="J215" s="2112" t="n"/>
      <c r="K215" s="2112" t="n"/>
      <c r="L215" s="2112" t="n"/>
      <c r="M215" s="2112" t="n"/>
      <c r="N215" s="2112" t="n"/>
      <c r="O215" s="2112" t="n"/>
      <c r="P215" s="2112" t="n"/>
      <c r="Q215" s="2112" t="n"/>
      <c r="R215" s="2112" t="n"/>
      <c r="S215" s="2112" t="n"/>
      <c r="T215" s="2112" t="n"/>
      <c r="U215" s="2112" t="n"/>
      <c r="V215" s="2112" t="n"/>
      <c r="W215" s="2112" t="n"/>
      <c r="X215" s="2112" t="n"/>
      <c r="Y215" s="2112" t="n"/>
      <c r="Z215" s="2112" t="n"/>
      <c r="AA215" s="2112" t="n"/>
      <c r="AB215" s="2112" t="n"/>
      <c r="AC215" s="2112" t="n"/>
      <c r="AD215" s="2112" t="n"/>
      <c r="AE215" s="626" t="n"/>
      <c r="AF215" s="626" t="n"/>
    </row>
    <row r="216" ht="13" customHeight="1" s="1883">
      <c r="D216" s="626" t="n"/>
      <c r="E216" s="626" t="n"/>
      <c r="F216" s="626" t="n"/>
      <c r="G216" s="626" t="n"/>
      <c r="H216" s="626" t="n"/>
      <c r="I216" s="626" t="n"/>
      <c r="J216" s="626" t="n"/>
      <c r="K216" s="626" t="n"/>
      <c r="L216" s="626" t="n"/>
      <c r="M216" s="626" t="n"/>
      <c r="N216" s="626" t="n"/>
      <c r="O216" s="626" t="n"/>
      <c r="P216" s="626" t="n"/>
      <c r="Q216" s="626" t="n"/>
      <c r="R216" s="626" t="n"/>
      <c r="S216" s="626" t="n"/>
      <c r="T216" s="626" t="n"/>
      <c r="U216" s="626" t="n"/>
      <c r="V216" s="626" t="n"/>
      <c r="W216" s="626" t="n"/>
      <c r="X216" s="626" t="n"/>
      <c r="Y216" s="626" t="n"/>
      <c r="Z216" s="626" t="n"/>
      <c r="AA216" s="626" t="n"/>
      <c r="AB216" s="626" t="n"/>
      <c r="AC216" s="626" t="n"/>
      <c r="AD216" s="626" t="n"/>
      <c r="AE216" s="626" t="n"/>
      <c r="AF216" s="626" t="n"/>
    </row>
    <row r="217">
      <c r="D217" s="117" t="inlineStr">
        <is>
          <t>Year 3</t>
        </is>
      </c>
      <c r="E217" s="117" t="n"/>
      <c r="F217" s="137" t="inlineStr">
        <is>
          <t>25 - 36</t>
        </is>
      </c>
      <c r="G217" s="626" t="n"/>
      <c r="H217" s="626" t="n"/>
      <c r="I217" s="626" t="n"/>
      <c r="J217" s="626" t="n"/>
      <c r="K217" s="626" t="n"/>
      <c r="L217" s="626" t="n"/>
      <c r="M217" s="626" t="n"/>
      <c r="N217" s="626" t="n"/>
      <c r="O217" s="626" t="n"/>
      <c r="P217" s="626" t="n"/>
      <c r="Q217" s="626" t="n"/>
      <c r="R217" s="626" t="n"/>
      <c r="S217" s="626" t="n"/>
      <c r="T217" s="626" t="n"/>
      <c r="U217" s="626" t="n"/>
      <c r="V217" s="626" t="n"/>
      <c r="W217" s="626" t="n"/>
      <c r="X217" s="626" t="n"/>
      <c r="Y217" s="626" t="n"/>
      <c r="Z217" s="626" t="n"/>
      <c r="AA217" s="626" t="n"/>
      <c r="AB217" s="626" t="n"/>
      <c r="AC217" s="626" t="n"/>
      <c r="AD217" s="626" t="n"/>
      <c r="AE217" s="626" t="n"/>
      <c r="AF217" s="626" t="n"/>
    </row>
    <row r="218">
      <c r="D218" s="1968" t="inlineStr">
        <is>
          <t>Standard Rate Per App Per Month (1.5 HR)</t>
        </is>
      </c>
      <c r="G218" s="626" t="n"/>
      <c r="H218" s="2111" t="n">
        <v>70</v>
      </c>
      <c r="I218" s="2112" t="n"/>
      <c r="J218" s="2113">
        <f>($H$218)</f>
        <v/>
      </c>
      <c r="K218" s="2112" t="n"/>
      <c r="L218" s="2113">
        <f>($H$218)</f>
        <v/>
      </c>
      <c r="M218" s="2112" t="n"/>
      <c r="N218" s="2113">
        <f>($H$218)</f>
        <v/>
      </c>
      <c r="O218" s="2112" t="n"/>
      <c r="P218" s="2113">
        <f>($H$218)</f>
        <v/>
      </c>
      <c r="Q218" s="2112" t="n"/>
      <c r="R218" s="2113">
        <f>($H$218)</f>
        <v/>
      </c>
      <c r="S218" s="2112" t="n"/>
      <c r="T218" s="2113">
        <f>($H$218)</f>
        <v/>
      </c>
      <c r="U218" s="2112" t="n"/>
      <c r="V218" s="2113">
        <f>($H$218)</f>
        <v/>
      </c>
      <c r="W218" s="2113" t="n">
        <v>825</v>
      </c>
      <c r="X218" s="2113">
        <f>($H$218)</f>
        <v/>
      </c>
      <c r="Y218" s="2112" t="n"/>
      <c r="Z218" s="2113">
        <f>($H$218)</f>
        <v/>
      </c>
      <c r="AA218" s="2112" t="n"/>
      <c r="AB218" s="2113">
        <f>($H$218)</f>
        <v/>
      </c>
      <c r="AC218" s="2112" t="n"/>
      <c r="AD218" s="2113">
        <f>($H$218)</f>
        <v/>
      </c>
      <c r="AE218" s="2112" t="n"/>
      <c r="AF218" s="2113" t="n"/>
    </row>
    <row r="219">
      <c r="D219" s="1968" t="inlineStr">
        <is>
          <t>Discount</t>
        </is>
      </c>
      <c r="G219" s="626" t="n"/>
      <c r="H219" s="142">
        <f>($H$213)</f>
        <v/>
      </c>
      <c r="I219" s="151" t="n"/>
      <c r="J219" s="151">
        <f>($H$213)</f>
        <v/>
      </c>
      <c r="K219" s="151" t="n"/>
      <c r="L219" s="151">
        <f>($H$213)</f>
        <v/>
      </c>
      <c r="M219" s="151" t="n"/>
      <c r="N219" s="151">
        <f>($H$213)</f>
        <v/>
      </c>
      <c r="O219" s="151" t="n"/>
      <c r="P219" s="151">
        <f>($H$213)</f>
        <v/>
      </c>
      <c r="Q219" s="151" t="n"/>
      <c r="R219" s="151">
        <f>($H$213)</f>
        <v/>
      </c>
      <c r="S219" s="151" t="n"/>
      <c r="T219" s="151">
        <f>($H$213)</f>
        <v/>
      </c>
      <c r="U219" s="151" t="n"/>
      <c r="V219" s="151">
        <f>($H$213)</f>
        <v/>
      </c>
      <c r="W219" s="151" t="n"/>
      <c r="X219" s="151">
        <f>($H$213)</f>
        <v/>
      </c>
      <c r="Y219" s="151" t="n"/>
      <c r="Z219" s="151">
        <f>($H$213)</f>
        <v/>
      </c>
      <c r="AA219" s="151" t="n"/>
      <c r="AB219" s="151">
        <f>($H$213)</f>
        <v/>
      </c>
      <c r="AC219" s="151" t="n"/>
      <c r="AD219" s="151">
        <f>($H$213)</f>
        <v/>
      </c>
      <c r="AE219" s="626" t="n"/>
      <c r="AF219" s="626" t="n"/>
    </row>
    <row r="220">
      <c r="D220" s="1915" t="inlineStr">
        <is>
          <t>Rate Per Hour, Net (Realization)</t>
        </is>
      </c>
      <c r="G220" s="626" t="n"/>
      <c r="H220" s="2114">
        <f>(((1)-(H219))*(H218))</f>
        <v/>
      </c>
      <c r="I220" s="626" t="n"/>
      <c r="J220" s="2114">
        <f>(((1)-(J219))*(J218))</f>
        <v/>
      </c>
      <c r="K220" s="2112" t="n"/>
      <c r="L220" s="2114">
        <f>(((1)-(L219))*(L218))</f>
        <v/>
      </c>
      <c r="M220" s="2112" t="n"/>
      <c r="N220" s="2114">
        <f>(((1)-(N219))*(N218))</f>
        <v/>
      </c>
      <c r="O220" s="2112" t="n"/>
      <c r="P220" s="2114">
        <f>(((1)-(P219))*(P218))</f>
        <v/>
      </c>
      <c r="Q220" s="2112" t="n"/>
      <c r="R220" s="2114">
        <f>(((1)-(R219))*(R218))</f>
        <v/>
      </c>
      <c r="S220" s="2112" t="n"/>
      <c r="T220" s="2114">
        <f>(((1)-(T219))*(T218))</f>
        <v/>
      </c>
      <c r="U220" s="2112" t="n"/>
      <c r="V220" s="2114">
        <f>(((1)-(V219))*(V218))</f>
        <v/>
      </c>
      <c r="W220" s="2112" t="n"/>
      <c r="X220" s="2114">
        <f>(((1)-(X219))*(X218))</f>
        <v/>
      </c>
      <c r="Y220" s="2112" t="n"/>
      <c r="Z220" s="2114">
        <f>(((1)-(Z219))*(Z218))</f>
        <v/>
      </c>
      <c r="AA220" s="2112" t="n"/>
      <c r="AB220" s="2114">
        <f>(((1)-(AB219))*(AB218))</f>
        <v/>
      </c>
      <c r="AC220" s="2112" t="n"/>
      <c r="AD220" s="2114">
        <f>(((1)-(AD219))*(AD218))</f>
        <v/>
      </c>
      <c r="AE220" s="626" t="n"/>
      <c r="AF220" s="2112">
        <f>SUM(H220:AE220)</f>
        <v/>
      </c>
    </row>
    <row r="221">
      <c r="D221" s="117" t="n"/>
      <c r="E221" s="117" t="n"/>
      <c r="F221" s="117" t="n"/>
      <c r="G221" s="626" t="n"/>
      <c r="H221" s="626" t="n"/>
      <c r="I221" s="626" t="n"/>
      <c r="J221" s="626" t="n"/>
      <c r="K221" s="626" t="n"/>
      <c r="L221" s="626" t="n"/>
      <c r="M221" s="626" t="n"/>
      <c r="N221" s="626" t="n"/>
      <c r="O221" s="626" t="n"/>
      <c r="P221" s="626" t="n"/>
      <c r="Q221" s="626" t="n"/>
      <c r="R221" s="626" t="n"/>
      <c r="S221" s="626" t="n"/>
      <c r="T221" s="626" t="n"/>
      <c r="U221" s="626" t="n"/>
      <c r="V221" s="626" t="n"/>
      <c r="W221" s="626" t="n"/>
      <c r="X221" s="626" t="n"/>
      <c r="Y221" s="626" t="n"/>
      <c r="Z221" s="626" t="n"/>
      <c r="AA221" s="626" t="n"/>
      <c r="AB221" s="626" t="n"/>
      <c r="AC221" s="626" t="n"/>
      <c r="AD221" s="626" t="n"/>
      <c r="AE221" s="626" t="n"/>
      <c r="AF221" s="626" t="n"/>
    </row>
    <row r="222" ht="13" customHeight="1" s="1883">
      <c r="D222" s="626" t="n"/>
      <c r="E222" s="626" t="n"/>
      <c r="F222" s="626" t="n"/>
      <c r="G222" s="626" t="n"/>
      <c r="H222" s="626" t="n"/>
      <c r="I222" s="626" t="n"/>
      <c r="J222" s="626" t="n"/>
      <c r="K222" s="626" t="n"/>
      <c r="L222" s="626" t="n"/>
      <c r="M222" s="626" t="n"/>
      <c r="N222" s="626" t="n"/>
      <c r="O222" s="626" t="n"/>
      <c r="P222" s="626" t="n"/>
      <c r="Q222" s="626" t="n"/>
      <c r="R222" s="626" t="n"/>
      <c r="S222" s="626" t="n"/>
      <c r="T222" s="626" t="n"/>
      <c r="U222" s="626" t="n"/>
      <c r="V222" s="626" t="n"/>
      <c r="W222" s="626" t="n"/>
      <c r="X222" s="626" t="n"/>
      <c r="Y222" s="626" t="n"/>
      <c r="Z222" s="626" t="n"/>
      <c r="AA222" s="626" t="n"/>
      <c r="AB222" s="626" t="n"/>
      <c r="AC222" s="626" t="n"/>
      <c r="AD222" s="626" t="n"/>
      <c r="AE222" s="626" t="n"/>
      <c r="AF222" s="626" t="n"/>
    </row>
    <row r="223">
      <c r="D223" s="117" t="inlineStr">
        <is>
          <t>Year 4</t>
        </is>
      </c>
      <c r="E223" s="117" t="n"/>
      <c r="F223" s="137" t="inlineStr">
        <is>
          <t>37 - 48</t>
        </is>
      </c>
      <c r="G223" s="626" t="n"/>
      <c r="H223" s="626" t="n"/>
      <c r="I223" s="626" t="n"/>
      <c r="J223" s="626" t="n"/>
      <c r="K223" s="626" t="n"/>
      <c r="L223" s="626" t="n"/>
      <c r="M223" s="626" t="n"/>
      <c r="N223" s="626" t="n"/>
      <c r="O223" s="626" t="n"/>
      <c r="P223" s="626" t="n"/>
      <c r="Q223" s="626" t="n"/>
      <c r="R223" s="626" t="n"/>
      <c r="S223" s="626" t="n"/>
      <c r="T223" s="626" t="n"/>
      <c r="U223" s="626" t="n"/>
      <c r="V223" s="626" t="n"/>
      <c r="W223" s="626" t="n"/>
      <c r="X223" s="626" t="n"/>
      <c r="Y223" s="626" t="n"/>
      <c r="Z223" s="626" t="n"/>
      <c r="AA223" s="626" t="n"/>
      <c r="AB223" s="626" t="n"/>
      <c r="AC223" s="626" t="n"/>
      <c r="AD223" s="626" t="n"/>
      <c r="AE223" s="626" t="n"/>
      <c r="AF223" s="626" t="n"/>
    </row>
    <row r="224">
      <c r="D224" s="1968" t="inlineStr">
        <is>
          <t>Standard Rate Per App Per Month (1.75 HR)</t>
        </is>
      </c>
      <c r="G224" s="626" t="n"/>
      <c r="H224" s="2111" t="n">
        <v>88</v>
      </c>
      <c r="I224" s="2112" t="n"/>
      <c r="J224" s="2113">
        <f>($H$224)</f>
        <v/>
      </c>
      <c r="K224" s="2112" t="n"/>
      <c r="L224" s="2113">
        <f>($H$224)</f>
        <v/>
      </c>
      <c r="M224" s="2112" t="n"/>
      <c r="N224" s="2113">
        <f>($H$224)</f>
        <v/>
      </c>
      <c r="O224" s="2112" t="n"/>
      <c r="P224" s="2113">
        <f>($H$224)</f>
        <v/>
      </c>
      <c r="Q224" s="2112" t="n"/>
      <c r="R224" s="2113">
        <f>($H$224)</f>
        <v/>
      </c>
      <c r="S224" s="2112" t="n"/>
      <c r="T224" s="2113">
        <f>($H$224)</f>
        <v/>
      </c>
      <c r="U224" s="2112" t="n"/>
      <c r="V224" s="2113">
        <f>($H$224)</f>
        <v/>
      </c>
      <c r="W224" s="2112" t="n"/>
      <c r="X224" s="2113">
        <f>($H$224)</f>
        <v/>
      </c>
      <c r="Y224" s="2112" t="n"/>
      <c r="Z224" s="2113">
        <f>($H$224)</f>
        <v/>
      </c>
      <c r="AA224" s="2112" t="n"/>
      <c r="AB224" s="2113">
        <f>($H$224)</f>
        <v/>
      </c>
      <c r="AC224" s="2112" t="n"/>
      <c r="AD224" s="2113">
        <f>($H$224)</f>
        <v/>
      </c>
      <c r="AE224" s="626" t="n"/>
      <c r="AF224" s="626" t="n"/>
    </row>
    <row r="225">
      <c r="B225" s="626" t="n"/>
      <c r="C225" s="626" t="n"/>
      <c r="D225" s="1968" t="inlineStr">
        <is>
          <t>Discount</t>
        </is>
      </c>
      <c r="G225" s="626" t="n"/>
      <c r="H225" s="142">
        <f>($H$213)</f>
        <v/>
      </c>
      <c r="I225" s="151" t="n"/>
      <c r="J225" s="151">
        <f>($H$213)</f>
        <v/>
      </c>
      <c r="K225" s="151" t="n"/>
      <c r="L225" s="151">
        <f>($H$213)</f>
        <v/>
      </c>
      <c r="M225" s="151" t="n"/>
      <c r="N225" s="151">
        <f>($H$213)</f>
        <v/>
      </c>
      <c r="O225" s="151" t="n"/>
      <c r="P225" s="151">
        <f>($H$213)</f>
        <v/>
      </c>
      <c r="Q225" s="151" t="n"/>
      <c r="R225" s="151">
        <f>($H$213)</f>
        <v/>
      </c>
      <c r="S225" s="151" t="n"/>
      <c r="T225" s="151">
        <f>($H$213)</f>
        <v/>
      </c>
      <c r="U225" s="151" t="n"/>
      <c r="V225" s="151">
        <f>($H$213)</f>
        <v/>
      </c>
      <c r="W225" s="151" t="n"/>
      <c r="X225" s="151">
        <f>($H$213)</f>
        <v/>
      </c>
      <c r="Y225" s="151" t="n"/>
      <c r="Z225" s="151">
        <f>($H$213)</f>
        <v/>
      </c>
      <c r="AA225" s="151" t="n"/>
      <c r="AB225" s="151">
        <f>($H$213)</f>
        <v/>
      </c>
      <c r="AC225" s="151" t="n"/>
      <c r="AD225" s="151">
        <f>($H$213)</f>
        <v/>
      </c>
      <c r="AE225" s="626" t="n"/>
      <c r="AF225" s="626" t="n"/>
    </row>
    <row r="226">
      <c r="B226" s="626" t="n"/>
      <c r="C226" s="626" t="n"/>
      <c r="D226" s="1915" t="inlineStr">
        <is>
          <t>Rate Per Hour, Net (Realization)</t>
        </is>
      </c>
      <c r="G226" s="626" t="n"/>
      <c r="H226" s="2114">
        <f>(((1)-(H225))*(H224))</f>
        <v/>
      </c>
      <c r="I226" s="626" t="n"/>
      <c r="J226" s="2114">
        <f>(((1)-(J225))*(J224))</f>
        <v/>
      </c>
      <c r="K226" s="2112" t="n"/>
      <c r="L226" s="2114">
        <f>(((1)-(L225))*(L224))</f>
        <v/>
      </c>
      <c r="M226" s="2112" t="n"/>
      <c r="N226" s="2114">
        <f>(((1)-(N225))*(N224))</f>
        <v/>
      </c>
      <c r="O226" s="2112" t="n"/>
      <c r="P226" s="2114">
        <f>(((1)-(P225))*(P224))</f>
        <v/>
      </c>
      <c r="Q226" s="2112" t="n"/>
      <c r="R226" s="2114">
        <f>(((1)-(R225))*(R224))</f>
        <v/>
      </c>
      <c r="S226" s="2112" t="n"/>
      <c r="T226" s="2114">
        <f>(((1)-(T225))*(T224))</f>
        <v/>
      </c>
      <c r="U226" s="2112" t="n"/>
      <c r="V226" s="2114">
        <f>(((1)-(V225))*(V224))</f>
        <v/>
      </c>
      <c r="W226" s="2112" t="n"/>
      <c r="X226" s="2114">
        <f>(((1)-(X225))*(X224))</f>
        <v/>
      </c>
      <c r="Y226" s="2112" t="n"/>
      <c r="Z226" s="2114">
        <f>(((1)-(Z225))*(Z224))</f>
        <v/>
      </c>
      <c r="AA226" s="2112" t="n"/>
      <c r="AB226" s="2114">
        <f>(((1)-(AB225))*(AB224))</f>
        <v/>
      </c>
      <c r="AC226" s="2112" t="n"/>
      <c r="AD226" s="2114">
        <f>(((1)-(AD225))*(AD224))</f>
        <v/>
      </c>
      <c r="AE226" s="626" t="n"/>
      <c r="AF226" s="2112">
        <f>SUM(H226:AE226)</f>
        <v/>
      </c>
    </row>
    <row r="227">
      <c r="B227" s="626" t="n"/>
      <c r="C227" s="626" t="n"/>
      <c r="D227" s="117" t="n"/>
      <c r="E227" s="117" t="n"/>
      <c r="F227" s="117" t="n"/>
      <c r="G227" s="626" t="n"/>
      <c r="H227" s="626" t="n"/>
      <c r="I227" s="626" t="n"/>
      <c r="J227" s="626" t="n"/>
      <c r="K227" s="626" t="n"/>
      <c r="L227" s="626" t="n"/>
      <c r="M227" s="626" t="n"/>
      <c r="N227" s="626" t="n"/>
      <c r="O227" s="626" t="n"/>
      <c r="P227" s="626" t="n"/>
      <c r="Q227" s="626" t="n"/>
      <c r="R227" s="626" t="n"/>
      <c r="S227" s="626" t="n"/>
      <c r="T227" s="626" t="n"/>
      <c r="U227" s="626" t="n"/>
      <c r="V227" s="626" t="n"/>
      <c r="W227" s="626" t="n"/>
      <c r="X227" s="626" t="n"/>
      <c r="Y227" s="626" t="n"/>
      <c r="Z227" s="626" t="n"/>
      <c r="AA227" s="626" t="n"/>
      <c r="AB227" s="626" t="n"/>
      <c r="AC227" s="626" t="n"/>
      <c r="AD227" s="626" t="n"/>
      <c r="AE227" s="626" t="n"/>
      <c r="AF227" s="626" t="n"/>
    </row>
    <row r="228" ht="13" customHeight="1" s="1883">
      <c r="B228" s="626" t="n"/>
      <c r="C228" s="626" t="n"/>
      <c r="D228" s="626" t="n"/>
      <c r="E228" s="626" t="n"/>
      <c r="F228" s="626" t="n"/>
      <c r="G228" s="626" t="n"/>
      <c r="H228" s="626" t="n"/>
      <c r="I228" s="626" t="n"/>
      <c r="J228" s="626" t="n"/>
      <c r="K228" s="626" t="n"/>
      <c r="L228" s="626" t="n"/>
      <c r="M228" s="626" t="n"/>
      <c r="N228" s="626" t="n"/>
      <c r="O228" s="626" t="n"/>
      <c r="P228" s="626" t="n"/>
      <c r="Q228" s="626" t="n"/>
      <c r="R228" s="626" t="n"/>
      <c r="S228" s="626" t="n"/>
      <c r="T228" s="626" t="n"/>
      <c r="U228" s="626" t="n"/>
      <c r="V228" s="626" t="n"/>
      <c r="W228" s="626" t="n"/>
      <c r="X228" s="626" t="n"/>
      <c r="Y228" s="626" t="n"/>
      <c r="Z228" s="626" t="n"/>
      <c r="AA228" s="626" t="n"/>
      <c r="AB228" s="626" t="n"/>
      <c r="AC228" s="626" t="n"/>
      <c r="AD228" s="626" t="n"/>
      <c r="AE228" s="626" t="n"/>
      <c r="AF228" s="626" t="n"/>
    </row>
    <row r="229">
      <c r="B229" s="626" t="n"/>
      <c r="C229" s="626" t="n"/>
      <c r="D229" s="117" t="inlineStr">
        <is>
          <t>Year 5</t>
        </is>
      </c>
      <c r="E229" s="117" t="n"/>
      <c r="F229" s="137" t="inlineStr">
        <is>
          <t>49 - 60</t>
        </is>
      </c>
      <c r="G229" s="626" t="n"/>
      <c r="H229" s="626" t="n"/>
      <c r="I229" s="626" t="n"/>
      <c r="J229" s="626" t="n"/>
      <c r="K229" s="626" t="n"/>
      <c r="L229" s="626" t="n"/>
      <c r="M229" s="626" t="n"/>
      <c r="N229" s="626" t="n"/>
      <c r="O229" s="626" t="n"/>
      <c r="P229" s="626" t="n"/>
      <c r="Q229" s="626" t="n"/>
      <c r="R229" s="626" t="n"/>
      <c r="S229" s="626" t="n"/>
      <c r="T229" s="626" t="n"/>
      <c r="U229" s="626" t="n"/>
      <c r="V229" s="626" t="n"/>
      <c r="W229" s="626" t="n"/>
      <c r="X229" s="626" t="n"/>
      <c r="Y229" s="626" t="n"/>
      <c r="Z229" s="626" t="n"/>
      <c r="AA229" s="626" t="n"/>
      <c r="AB229" s="626" t="n"/>
      <c r="AC229" s="626" t="n"/>
      <c r="AD229" s="626" t="n"/>
      <c r="AE229" s="626" t="n"/>
      <c r="AF229" s="626" t="n"/>
    </row>
    <row r="230">
      <c r="B230" s="626" t="n"/>
      <c r="C230" s="626" t="n"/>
      <c r="D230" s="1968" t="inlineStr">
        <is>
          <t>Standard Rate Per App Per Month (2 HR)</t>
        </is>
      </c>
      <c r="G230" s="626" t="n"/>
      <c r="H230" s="2111" t="n">
        <v>97</v>
      </c>
      <c r="I230" s="2112" t="n"/>
      <c r="J230" s="2113">
        <f>($H$230)</f>
        <v/>
      </c>
      <c r="K230" s="2112" t="n"/>
      <c r="L230" s="2113">
        <f>($H$230)</f>
        <v/>
      </c>
      <c r="M230" s="2112" t="n"/>
      <c r="N230" s="2113">
        <f>($H$230)</f>
        <v/>
      </c>
      <c r="O230" s="2112" t="n"/>
      <c r="P230" s="2113">
        <f>($H$230)</f>
        <v/>
      </c>
      <c r="Q230" s="2112" t="n"/>
      <c r="R230" s="2113">
        <f>($H$230)</f>
        <v/>
      </c>
      <c r="S230" s="2112" t="n"/>
      <c r="T230" s="2113">
        <f>($H$230)</f>
        <v/>
      </c>
      <c r="U230" s="2112" t="n"/>
      <c r="V230" s="2113">
        <f>($H$230)</f>
        <v/>
      </c>
      <c r="W230" s="2112" t="n"/>
      <c r="X230" s="2113">
        <f>($H$230)</f>
        <v/>
      </c>
      <c r="Y230" s="2112" t="n"/>
      <c r="Z230" s="2113">
        <f>($H$230)</f>
        <v/>
      </c>
      <c r="AA230" s="2112" t="n"/>
      <c r="AB230" s="2113">
        <f>($H$230)</f>
        <v/>
      </c>
      <c r="AC230" s="2112" t="n"/>
      <c r="AD230" s="2113">
        <f>($H$230)</f>
        <v/>
      </c>
      <c r="AE230" s="626" t="n"/>
      <c r="AF230" s="626" t="n"/>
    </row>
    <row r="231">
      <c r="B231" s="626" t="n"/>
      <c r="C231" s="626" t="n"/>
      <c r="D231" s="1968" t="inlineStr">
        <is>
          <t>Discount</t>
        </is>
      </c>
      <c r="G231" s="626" t="n"/>
      <c r="H231" s="142">
        <f>($H$213)</f>
        <v/>
      </c>
      <c r="I231" s="151" t="n"/>
      <c r="J231" s="151">
        <f>J207</f>
        <v/>
      </c>
      <c r="K231" s="151" t="n"/>
      <c r="L231" s="151">
        <f>L207</f>
        <v/>
      </c>
      <c r="M231" s="151">
        <f>M207</f>
        <v/>
      </c>
      <c r="N231" s="151">
        <f>N207</f>
        <v/>
      </c>
      <c r="O231" s="151" t="n"/>
      <c r="P231" s="151">
        <f>P207</f>
        <v/>
      </c>
      <c r="Q231" s="151" t="n"/>
      <c r="R231" s="151">
        <f>R207</f>
        <v/>
      </c>
      <c r="S231" s="151" t="n"/>
      <c r="T231" s="151">
        <f>T207</f>
        <v/>
      </c>
      <c r="U231" s="151" t="n"/>
      <c r="V231" s="151">
        <f>V207</f>
        <v/>
      </c>
      <c r="W231" s="151" t="n"/>
      <c r="X231" s="151">
        <f>X207</f>
        <v/>
      </c>
      <c r="Y231" s="151" t="n"/>
      <c r="Z231" s="151">
        <f>Z207</f>
        <v/>
      </c>
      <c r="AA231" s="151" t="n"/>
      <c r="AB231" s="151">
        <f>AB207</f>
        <v/>
      </c>
      <c r="AC231" s="151" t="n"/>
      <c r="AD231" s="151">
        <f>AD207</f>
        <v/>
      </c>
      <c r="AE231" s="626" t="n"/>
      <c r="AF231" s="626" t="n"/>
    </row>
    <row r="232">
      <c r="B232" s="626" t="n"/>
      <c r="C232" s="626" t="n"/>
      <c r="D232" s="1915" t="inlineStr">
        <is>
          <t>Rate Per Hour, Net (Realization)</t>
        </is>
      </c>
      <c r="G232" s="626" t="n"/>
      <c r="H232" s="2114">
        <f>(((1)-(H231))*(H230))</f>
        <v/>
      </c>
      <c r="I232" s="626" t="n"/>
      <c r="J232" s="2114">
        <f>(((1)-(J231))*(J230))</f>
        <v/>
      </c>
      <c r="K232" s="2112" t="n"/>
      <c r="L232" s="2114">
        <f>(((1)-(L231))*(L230))</f>
        <v/>
      </c>
      <c r="M232" s="2112" t="n"/>
      <c r="N232" s="2114">
        <f>(((1)-(N231))*(N230))</f>
        <v/>
      </c>
      <c r="O232" s="2112" t="n"/>
      <c r="P232" s="2114">
        <f>(((1)-(P231))*(P230))</f>
        <v/>
      </c>
      <c r="Q232" s="2112" t="n"/>
      <c r="R232" s="2114">
        <f>(((1)-(R231))*(R230))</f>
        <v/>
      </c>
      <c r="S232" s="2112" t="n"/>
      <c r="T232" s="2114">
        <f>(((1)-(T231))*(T230))</f>
        <v/>
      </c>
      <c r="U232" s="2112" t="n"/>
      <c r="V232" s="2114">
        <f>(((1)-(V231))*(V230))</f>
        <v/>
      </c>
      <c r="W232" s="2112" t="n"/>
      <c r="X232" s="2114">
        <f>(((1)-(X231))*(X230))</f>
        <v/>
      </c>
      <c r="Y232" s="2112" t="n"/>
      <c r="Z232" s="2114">
        <f>(((1)-(Z231))*(Z230))</f>
        <v/>
      </c>
      <c r="AA232" s="2112" t="n"/>
      <c r="AB232" s="2114">
        <f>(((1)-(AB231))*(AB230))</f>
        <v/>
      </c>
      <c r="AC232" s="626" t="n"/>
      <c r="AD232" s="2114">
        <f>(((1)-(AD231))*(AD230))</f>
        <v/>
      </c>
      <c r="AE232" s="626" t="n"/>
      <c r="AF232" s="2112">
        <f>SUM(H232:AE232)</f>
        <v/>
      </c>
    </row>
    <row r="233">
      <c r="B233" s="626" t="n"/>
      <c r="C233" s="626" t="n"/>
      <c r="D233" s="117" t="n"/>
      <c r="E233" s="117" t="n"/>
      <c r="F233" s="117" t="n"/>
      <c r="G233" s="626" t="n"/>
      <c r="H233" s="2112" t="n"/>
      <c r="I233" s="626" t="n"/>
      <c r="J233" s="2112" t="n"/>
      <c r="K233" s="2112" t="n"/>
      <c r="L233" s="2112" t="n"/>
      <c r="M233" s="2112" t="n"/>
      <c r="N233" s="2112" t="n"/>
      <c r="O233" s="2112" t="n"/>
      <c r="P233" s="2112" t="n"/>
      <c r="Q233" s="2112" t="n"/>
      <c r="R233" s="2112" t="n"/>
      <c r="S233" s="2112" t="n"/>
      <c r="T233" s="2112" t="n"/>
      <c r="U233" s="2112" t="n"/>
      <c r="V233" s="2112" t="n"/>
      <c r="W233" s="2112" t="n"/>
      <c r="X233" s="2112" t="n"/>
      <c r="Y233" s="2112" t="n"/>
      <c r="Z233" s="2112" t="n"/>
      <c r="AA233" s="2112" t="n"/>
      <c r="AB233" s="2112" t="n"/>
      <c r="AC233" s="626" t="n"/>
      <c r="AD233" s="2112" t="n"/>
      <c r="AE233" s="626" t="n"/>
      <c r="AF233" s="626" t="n"/>
    </row>
    <row r="234">
      <c r="B234" s="626" t="n"/>
      <c r="C234" s="626" t="n"/>
      <c r="D234" s="117" t="n"/>
      <c r="E234" s="117" t="n"/>
      <c r="F234" s="117" t="n"/>
      <c r="G234" s="626" t="n"/>
      <c r="H234" s="2112" t="n"/>
      <c r="I234" s="626" t="n"/>
      <c r="J234" s="2112" t="n"/>
      <c r="K234" s="2112" t="n"/>
      <c r="L234" s="2112" t="n"/>
      <c r="M234" s="2112" t="n"/>
      <c r="N234" s="2112" t="n"/>
      <c r="O234" s="2112" t="n"/>
      <c r="P234" s="2112" t="n"/>
      <c r="Q234" s="2112" t="n"/>
      <c r="R234" s="2112" t="n"/>
      <c r="S234" s="2112" t="n"/>
      <c r="T234" s="2112" t="n"/>
      <c r="U234" s="2112" t="n"/>
      <c r="V234" s="2112" t="n"/>
      <c r="W234" s="2112" t="n"/>
      <c r="X234" s="2112" t="n"/>
      <c r="Y234" s="2112" t="n"/>
      <c r="Z234" s="2112" t="n"/>
      <c r="AA234" s="2112" t="n"/>
      <c r="AB234" s="2112" t="n"/>
      <c r="AC234" s="626" t="n"/>
      <c r="AD234" s="2112" t="n"/>
      <c r="AE234" s="626" t="n"/>
      <c r="AF234" s="626" t="n"/>
    </row>
    <row r="235">
      <c r="B235" s="626" t="n"/>
      <c r="C235" s="626" t="n"/>
      <c r="D235" s="117" t="n"/>
      <c r="E235" s="117" t="n"/>
      <c r="F235" s="117" t="n"/>
      <c r="G235" s="626" t="n"/>
      <c r="H235" s="2112" t="n"/>
      <c r="I235" s="626" t="n"/>
      <c r="J235" s="2112" t="n"/>
      <c r="K235" s="2112" t="n"/>
      <c r="L235" s="2112" t="n"/>
      <c r="M235" s="2112" t="n"/>
      <c r="N235" s="2112" t="n"/>
      <c r="O235" s="2112" t="n"/>
      <c r="P235" s="2112" t="n"/>
      <c r="Q235" s="2112" t="n"/>
      <c r="R235" s="2112" t="n"/>
      <c r="S235" s="2112" t="n"/>
      <c r="T235" s="2112" t="n"/>
      <c r="U235" s="2112" t="n"/>
      <c r="V235" s="2112" t="n"/>
      <c r="W235" s="2112" t="n"/>
      <c r="X235" s="2112" t="n"/>
      <c r="Y235" s="2112" t="n"/>
      <c r="Z235" s="2112" t="n"/>
      <c r="AA235" s="2112" t="n"/>
      <c r="AB235" s="2112" t="n"/>
      <c r="AC235" s="626" t="n"/>
      <c r="AD235" s="2112" t="n"/>
      <c r="AE235" s="626" t="n"/>
      <c r="AF235" s="626" t="n"/>
    </row>
    <row r="236" ht="13" customHeight="1" s="1883">
      <c r="B236" s="626" t="n"/>
      <c r="C236" s="626" t="n"/>
      <c r="D236" s="626" t="n"/>
      <c r="E236" s="626" t="n"/>
      <c r="F236" s="626" t="n"/>
      <c r="G236" s="626" t="n"/>
      <c r="H236" s="626" t="n"/>
      <c r="I236" s="626" t="n"/>
      <c r="J236" s="626" t="n"/>
      <c r="K236" s="626" t="n"/>
      <c r="L236" s="626" t="n"/>
      <c r="M236" s="626" t="n"/>
      <c r="N236" s="626" t="n"/>
      <c r="O236" s="626" t="n"/>
      <c r="P236" s="626" t="n"/>
      <c r="Q236" s="626" t="n"/>
      <c r="R236" s="626" t="n"/>
      <c r="S236" s="626" t="n"/>
      <c r="T236" s="626" t="n"/>
      <c r="U236" s="626" t="n"/>
      <c r="V236" s="626" t="n"/>
      <c r="W236" s="626" t="n"/>
      <c r="X236" s="626" t="n"/>
      <c r="Y236" s="626" t="n"/>
      <c r="Z236" s="626" t="n"/>
      <c r="AA236" s="626" t="n"/>
      <c r="AB236" s="626" t="n"/>
      <c r="AC236" s="626" t="n"/>
      <c r="AD236" s="626" t="n"/>
      <c r="AE236" s="626" t="n"/>
      <c r="AF236" s="626" t="n"/>
    </row>
    <row r="237" ht="13" customHeight="1" s="1883">
      <c r="B237" s="626" t="n"/>
      <c r="C237" s="626" t="n"/>
      <c r="D237" s="626" t="n"/>
      <c r="E237" s="626" t="n"/>
      <c r="F237" s="626" t="n"/>
      <c r="G237" s="626" t="n"/>
      <c r="H237" s="626" t="n"/>
      <c r="I237" s="626" t="n"/>
      <c r="J237" s="626" t="n"/>
      <c r="K237" s="626" t="n"/>
      <c r="L237" s="626" t="n"/>
      <c r="M237" s="626" t="n"/>
      <c r="N237" s="626" t="n"/>
      <c r="O237" s="626" t="n"/>
      <c r="P237" s="626" t="n"/>
      <c r="Q237" s="626" t="n"/>
      <c r="R237" s="626" t="n"/>
      <c r="S237" s="626" t="n"/>
      <c r="T237" s="626" t="n"/>
      <c r="U237" s="626" t="n"/>
      <c r="V237" s="626" t="n"/>
      <c r="W237" s="626" t="n"/>
      <c r="X237" s="626" t="n"/>
      <c r="Y237" s="626" t="n"/>
      <c r="Z237" s="626" t="n"/>
      <c r="AA237" s="626" t="n"/>
      <c r="AB237" s="626" t="n"/>
      <c r="AC237" s="626" t="n"/>
      <c r="AD237" s="626" t="n"/>
      <c r="AE237" s="626" t="n"/>
      <c r="AF237" s="626" t="n"/>
    </row>
    <row r="238">
      <c r="B238" s="118" t="inlineStr">
        <is>
          <t>VII.</t>
        </is>
      </c>
      <c r="C238" s="626" t="n"/>
      <c r="D238" s="118" t="inlineStr">
        <is>
          <t>Net Revenue</t>
        </is>
      </c>
      <c r="E238" s="118" t="n"/>
      <c r="F238" s="626" t="n"/>
      <c r="G238" s="626" t="n"/>
      <c r="H238" s="626" t="n"/>
      <c r="I238" s="626" t="n"/>
      <c r="J238" s="626" t="n"/>
      <c r="K238" s="626" t="n"/>
      <c r="L238" s="626" t="n"/>
      <c r="M238" s="626" t="n"/>
      <c r="N238" s="626" t="n"/>
      <c r="O238" s="626" t="n"/>
      <c r="P238" s="626" t="n"/>
      <c r="Q238" s="626" t="n"/>
      <c r="R238" s="626" t="n"/>
      <c r="S238" s="626" t="n"/>
      <c r="T238" s="626" t="n"/>
      <c r="U238" s="626" t="n"/>
      <c r="V238" s="626" t="n"/>
      <c r="W238" s="626" t="n"/>
      <c r="X238" s="626" t="n"/>
      <c r="Y238" s="626" t="n"/>
      <c r="Z238" s="626" t="n"/>
      <c r="AA238" s="626" t="n"/>
      <c r="AB238" s="626" t="n"/>
      <c r="AC238" s="626" t="n"/>
      <c r="AD238" s="626" t="n"/>
      <c r="AE238" s="626" t="n"/>
      <c r="AF238" s="626" t="n"/>
    </row>
    <row r="241">
      <c r="D241" s="117" t="inlineStr">
        <is>
          <t>Year</t>
        </is>
      </c>
      <c r="E241" s="117" t="n"/>
      <c r="F241" s="117" t="inlineStr">
        <is>
          <t>Months</t>
        </is>
      </c>
      <c r="G241" s="626" t="n"/>
      <c r="H241" s="138" t="inlineStr">
        <is>
          <t>Month 1</t>
        </is>
      </c>
      <c r="I241" s="138" t="n"/>
      <c r="J241" s="138" t="inlineStr">
        <is>
          <t>Month 2</t>
        </is>
      </c>
      <c r="K241" s="138" t="n"/>
      <c r="L241" s="138" t="inlineStr">
        <is>
          <t>Month 3</t>
        </is>
      </c>
      <c r="M241" s="138" t="n"/>
      <c r="N241" s="138" t="inlineStr">
        <is>
          <t>Month 4</t>
        </is>
      </c>
      <c r="O241" s="138" t="n"/>
      <c r="P241" s="138" t="inlineStr">
        <is>
          <t>Month 5</t>
        </is>
      </c>
      <c r="Q241" s="138" t="n"/>
      <c r="R241" s="138" t="inlineStr">
        <is>
          <t>Month 6</t>
        </is>
      </c>
      <c r="S241" s="138" t="n"/>
      <c r="T241" s="138" t="inlineStr">
        <is>
          <t>Month 7</t>
        </is>
      </c>
      <c r="U241" s="138" t="n"/>
      <c r="V241" s="138" t="inlineStr">
        <is>
          <t>Month 8</t>
        </is>
      </c>
      <c r="W241" s="138" t="n"/>
      <c r="X241" s="138" t="inlineStr">
        <is>
          <t>Month 9</t>
        </is>
      </c>
      <c r="Y241" s="138" t="n"/>
      <c r="Z241" s="138" t="inlineStr">
        <is>
          <t>Month 10</t>
        </is>
      </c>
      <c r="AA241" s="138" t="n"/>
      <c r="AB241" s="138" t="inlineStr">
        <is>
          <t>Month 11</t>
        </is>
      </c>
      <c r="AC241" s="138" t="n"/>
      <c r="AD241" s="138" t="inlineStr">
        <is>
          <t>Month 12</t>
        </is>
      </c>
      <c r="AE241" s="932" t="n"/>
      <c r="AF241" s="138" t="inlineStr">
        <is>
          <t>Ʃ, Full-Year</t>
        </is>
      </c>
    </row>
    <row r="242" ht="3" customHeight="1" s="1883">
      <c r="D242" s="926" t="n"/>
      <c r="E242" s="626" t="n"/>
      <c r="F242" s="926" t="n"/>
      <c r="G242" s="626" t="n"/>
      <c r="H242" s="933" t="n"/>
      <c r="I242" s="932" t="n"/>
      <c r="J242" s="933" t="n"/>
      <c r="K242" s="932" t="n"/>
      <c r="L242" s="933" t="n"/>
      <c r="M242" s="932" t="n"/>
      <c r="N242" s="933" t="n"/>
      <c r="O242" s="932" t="n"/>
      <c r="P242" s="933" t="n"/>
      <c r="Q242" s="932" t="n"/>
      <c r="R242" s="933" t="n"/>
      <c r="S242" s="932" t="n"/>
      <c r="T242" s="933" t="n"/>
      <c r="U242" s="932" t="n"/>
      <c r="V242" s="933" t="n"/>
      <c r="W242" s="932" t="n"/>
      <c r="X242" s="933" t="n"/>
      <c r="Y242" s="932" t="n"/>
      <c r="Z242" s="933" t="n"/>
      <c r="AA242" s="932" t="n"/>
      <c r="AB242" s="933" t="n"/>
      <c r="AC242" s="932" t="n"/>
      <c r="AD242" s="933" t="n"/>
      <c r="AE242" s="932" t="n"/>
      <c r="AF242" s="933" t="n"/>
    </row>
    <row r="243" ht="3" customHeight="1" s="1883">
      <c r="D243" s="626" t="n"/>
      <c r="E243" s="626" t="n"/>
      <c r="F243" s="626" t="n"/>
      <c r="G243" s="626" t="n"/>
      <c r="H243" s="934" t="n"/>
      <c r="I243" s="934" t="n"/>
      <c r="J243" s="934" t="n"/>
      <c r="K243" s="934" t="n"/>
      <c r="L243" s="934" t="n"/>
      <c r="M243" s="934" t="n"/>
      <c r="N243" s="934" t="n"/>
      <c r="O243" s="934" t="n"/>
      <c r="P243" s="934" t="n"/>
      <c r="Q243" s="934" t="n"/>
      <c r="R243" s="934" t="n"/>
      <c r="S243" s="934" t="n"/>
      <c r="T243" s="934" t="n"/>
      <c r="U243" s="934" t="n"/>
      <c r="V243" s="934" t="n"/>
      <c r="W243" s="934" t="n"/>
      <c r="X243" s="934" t="n"/>
      <c r="Y243" s="934" t="n"/>
      <c r="Z243" s="934" t="n"/>
      <c r="AA243" s="934" t="n"/>
      <c r="AB243" s="934" t="n"/>
      <c r="AC243" s="934" t="n"/>
      <c r="AD243" s="934" t="n"/>
      <c r="AE243" s="934" t="n"/>
      <c r="AF243" s="934" t="n"/>
    </row>
    <row r="244">
      <c r="D244" s="117" t="inlineStr">
        <is>
          <t>Year 0</t>
        </is>
      </c>
      <c r="E244" s="117" t="n"/>
      <c r="F244" s="133" t="inlineStr">
        <is>
          <t>-12 - -1</t>
        </is>
      </c>
      <c r="G244" s="1968" t="n"/>
      <c r="H244" s="1277">
        <f>((H137)*(H202))</f>
        <v/>
      </c>
      <c r="I244" s="1278" t="n"/>
      <c r="J244" s="1277">
        <f>((J137)*(J202))</f>
        <v/>
      </c>
      <c r="K244" s="1278" t="n"/>
      <c r="L244" s="1277">
        <f>((L137)*(L202))</f>
        <v/>
      </c>
      <c r="M244" s="1278" t="n"/>
      <c r="N244" s="1277">
        <f>((N137)*(N202))</f>
        <v/>
      </c>
      <c r="O244" s="1278" t="n"/>
      <c r="P244" s="1277">
        <f>((P137)*(P202))</f>
        <v/>
      </c>
      <c r="Q244" s="1278" t="n"/>
      <c r="R244" s="1277">
        <f>((R137)*(R202))</f>
        <v/>
      </c>
      <c r="S244" s="1278" t="n"/>
      <c r="T244" s="1277">
        <f>((T137)*(T202))</f>
        <v/>
      </c>
      <c r="U244" s="1278" t="n"/>
      <c r="V244" s="1277">
        <f>((V137)*(V202))</f>
        <v/>
      </c>
      <c r="W244" s="1278" t="n"/>
      <c r="X244" s="1277">
        <f>((X137)*(X202))</f>
        <v/>
      </c>
      <c r="Y244" s="1278" t="n"/>
      <c r="Z244" s="1277">
        <f>((Z137)*(Z202))</f>
        <v/>
      </c>
      <c r="AA244" s="1278" t="n"/>
      <c r="AB244" s="1277">
        <f>((AB137)*(AB202))</f>
        <v/>
      </c>
      <c r="AC244" s="1278" t="n"/>
      <c r="AD244" s="1277">
        <f>((AD137)*(AD202))</f>
        <v/>
      </c>
      <c r="AE244" s="1279" t="n"/>
      <c r="AF244" s="1277">
        <f>((H244)+(J244)+(L244)+(N244)+(P244)+(R244)+(T244)+(V244)+(X244)+(Z244)+(AB244)+(AD244))</f>
        <v/>
      </c>
    </row>
    <row r="245">
      <c r="D245" s="117" t="inlineStr">
        <is>
          <t>Year 1</t>
        </is>
      </c>
      <c r="E245" s="117" t="n"/>
      <c r="F245" s="134" t="inlineStr">
        <is>
          <t>1 - 12</t>
        </is>
      </c>
      <c r="G245" s="626" t="n"/>
      <c r="H245" s="146">
        <f>((H143)*(H181)*(H208))</f>
        <v/>
      </c>
      <c r="I245" s="1280" t="n"/>
      <c r="J245" s="146">
        <f>((J143)*(J181)*(J208))</f>
        <v/>
      </c>
      <c r="K245" s="1280" t="n"/>
      <c r="L245" s="146">
        <f>((L143)*(L181)*(L208))</f>
        <v/>
      </c>
      <c r="M245" s="1280" t="n"/>
      <c r="N245" s="146">
        <f>((N143)*(N181)*(N208))</f>
        <v/>
      </c>
      <c r="O245" s="1280" t="n"/>
      <c r="P245" s="146">
        <f>((P143)*(P181)*(P208))</f>
        <v/>
      </c>
      <c r="Q245" s="1280" t="n"/>
      <c r="R245" s="146">
        <f>((R143)*(R181)*(R208))</f>
        <v/>
      </c>
      <c r="S245" s="1280" t="n"/>
      <c r="T245" s="146">
        <f>((T143)*(T181)*(T208))</f>
        <v/>
      </c>
      <c r="U245" s="1280" t="n"/>
      <c r="V245" s="146">
        <f>((V143)*(V181)*(V208))</f>
        <v/>
      </c>
      <c r="W245" s="1280" t="n"/>
      <c r="X245" s="146">
        <f>((X143)*(X181)*(X208))</f>
        <v/>
      </c>
      <c r="Y245" s="1280" t="n"/>
      <c r="Z245" s="146">
        <f>((Z143)*(Z181)*(Z208))</f>
        <v/>
      </c>
      <c r="AA245" s="1280" t="n"/>
      <c r="AB245" s="146">
        <f>((AB143)*(AB181)*(AB208))</f>
        <v/>
      </c>
      <c r="AC245" s="1280" t="n"/>
      <c r="AD245" s="146">
        <f>((AD143)*(AD181)*(AD208))</f>
        <v/>
      </c>
      <c r="AE245" s="1280" t="n"/>
      <c r="AF245" s="147">
        <f>((H245)+(J245)+(L245)+(N245)+(P245)+(R245)+(T245)+(V245)+(X245)+(Z245)+(AB245)+(AD245))</f>
        <v/>
      </c>
    </row>
    <row r="246">
      <c r="D246" s="117" t="inlineStr">
        <is>
          <t>Year 2</t>
        </is>
      </c>
      <c r="E246" s="117" t="n"/>
      <c r="F246" s="137" t="inlineStr">
        <is>
          <t>13 - 24</t>
        </is>
      </c>
      <c r="G246" s="626" t="n"/>
      <c r="H246" s="146">
        <f>((H149)*(H183)*(H214))</f>
        <v/>
      </c>
      <c r="I246" s="1280" t="n"/>
      <c r="J246" s="146">
        <f>((J149)*(J183)*(J214))</f>
        <v/>
      </c>
      <c r="K246" s="1280" t="n"/>
      <c r="L246" s="146">
        <f>((L149)*(L183)*(L214))</f>
        <v/>
      </c>
      <c r="M246" s="1280" t="n"/>
      <c r="N246" s="146">
        <f>((N149)*(N183)*(N214))</f>
        <v/>
      </c>
      <c r="O246" s="1280" t="n"/>
      <c r="P246" s="146">
        <f>((P149)*(P183)*(P214))</f>
        <v/>
      </c>
      <c r="Q246" s="1280" t="n"/>
      <c r="R246" s="146">
        <f>((R149)*(R183)*(R214))</f>
        <v/>
      </c>
      <c r="S246" s="1280" t="n"/>
      <c r="T246" s="146">
        <f>((T149)*(T183)*(T214))</f>
        <v/>
      </c>
      <c r="U246" s="1280" t="n"/>
      <c r="V246" s="146">
        <f>((V149)*(V183)*(V214))</f>
        <v/>
      </c>
      <c r="W246" s="1280" t="n"/>
      <c r="X246" s="146">
        <f>((X149)*(X183)*(X214))</f>
        <v/>
      </c>
      <c r="Y246" s="1280" t="n"/>
      <c r="Z246" s="146">
        <f>((Z149)*(Z183)*(Z214))</f>
        <v/>
      </c>
      <c r="AA246" s="1280" t="n"/>
      <c r="AB246" s="146">
        <f>((AB149)*(AB183)*(AB214))</f>
        <v/>
      </c>
      <c r="AC246" s="1280" t="n"/>
      <c r="AD246" s="146">
        <f>((AD149)*(AD183)*(AD214))</f>
        <v/>
      </c>
      <c r="AE246" s="1280" t="n"/>
      <c r="AF246" s="147">
        <f>((H246)+(J246)+(L246)+(N246)+(P246)+(R246)+(T246)+(V246)+(X246)+(Z246)+(AB246)+(AD246))</f>
        <v/>
      </c>
    </row>
    <row r="247">
      <c r="D247" s="117" t="inlineStr">
        <is>
          <t>Year 3</t>
        </is>
      </c>
      <c r="E247" s="117" t="n"/>
      <c r="F247" s="137" t="inlineStr">
        <is>
          <t>25 - 36</t>
        </is>
      </c>
      <c r="G247" s="626" t="n"/>
      <c r="H247" s="146">
        <f>((H155)*(H185)*(H220))</f>
        <v/>
      </c>
      <c r="I247" s="1280" t="n"/>
      <c r="J247" s="146">
        <f>((J155)*(J185)*(J220))</f>
        <v/>
      </c>
      <c r="K247" s="1280" t="n"/>
      <c r="L247" s="146">
        <f>((L155)*(L185)*(L220))</f>
        <v/>
      </c>
      <c r="M247" s="1280" t="n"/>
      <c r="N247" s="146">
        <f>((N155)*(N185)*(N220))</f>
        <v/>
      </c>
      <c r="O247" s="1280" t="n"/>
      <c r="P247" s="146">
        <f>((P155)*(P185)*(P220))</f>
        <v/>
      </c>
      <c r="Q247" s="1280" t="n"/>
      <c r="R247" s="146">
        <f>((R155)*(R185)*(R220))</f>
        <v/>
      </c>
      <c r="S247" s="1280" t="n"/>
      <c r="T247" s="146">
        <f>((T155)*(T185)*(T220))</f>
        <v/>
      </c>
      <c r="U247" s="1280" t="n"/>
      <c r="V247" s="146">
        <f>((V155)*(V185)*(V220))</f>
        <v/>
      </c>
      <c r="W247" s="1280" t="n"/>
      <c r="X247" s="146">
        <f>((X155)*(X185)*(X220))</f>
        <v/>
      </c>
      <c r="Y247" s="1280" t="n"/>
      <c r="Z247" s="146">
        <f>((Z155)*(Z185)*(Z220))</f>
        <v/>
      </c>
      <c r="AA247" s="1280" t="n"/>
      <c r="AB247" s="146">
        <f>((AB155)*(AB185)*(AB220))</f>
        <v/>
      </c>
      <c r="AC247" s="1280" t="n"/>
      <c r="AD247" s="146">
        <f>((AD155)*(AD185)*(AD220))</f>
        <v/>
      </c>
      <c r="AE247" s="1280" t="n"/>
      <c r="AF247" s="147">
        <f>((H247)+(J247)+(L247)+(N247)+(P247)+(R247)+(T247)+(V247)+(X247)+(Z247)+(AB247)+(AD247))</f>
        <v/>
      </c>
    </row>
    <row r="248">
      <c r="D248" s="117" t="inlineStr">
        <is>
          <t>Year 4</t>
        </is>
      </c>
      <c r="E248" s="117" t="n"/>
      <c r="F248" s="137" t="inlineStr">
        <is>
          <t>37 - 48</t>
        </is>
      </c>
      <c r="G248" s="626" t="n"/>
      <c r="H248" s="146">
        <f>((H161)*(H187)*(H226))</f>
        <v/>
      </c>
      <c r="I248" s="1280" t="n"/>
      <c r="J248" s="146">
        <f>((J161)*(J187)*(J226))</f>
        <v/>
      </c>
      <c r="K248" s="1280" t="n"/>
      <c r="L248" s="146">
        <f>((L161)*(L187)*(L226))</f>
        <v/>
      </c>
      <c r="M248" s="1280" t="n"/>
      <c r="N248" s="146">
        <f>((N161)*(N187)*(N226))</f>
        <v/>
      </c>
      <c r="O248" s="1280" t="n"/>
      <c r="P248" s="146">
        <f>((P161)*(P187)*(P226))</f>
        <v/>
      </c>
      <c r="Q248" s="1280" t="n"/>
      <c r="R248" s="146">
        <f>((R161)*(R187)*(R226))</f>
        <v/>
      </c>
      <c r="S248" s="1280" t="n"/>
      <c r="T248" s="146">
        <f>((T161)*(T187)*(T226))</f>
        <v/>
      </c>
      <c r="U248" s="1280" t="n"/>
      <c r="V248" s="146">
        <f>((V161)*(V187)*(V226))</f>
        <v/>
      </c>
      <c r="W248" s="1280" t="n"/>
      <c r="X248" s="146">
        <f>((X161)*(X187)*(X226))</f>
        <v/>
      </c>
      <c r="Y248" s="1280" t="n"/>
      <c r="Z248" s="146">
        <f>((Z161)*(Z187)*(Z226))</f>
        <v/>
      </c>
      <c r="AA248" s="1280" t="n"/>
      <c r="AB248" s="146">
        <f>((AB161)*(AB187)*(AB226))</f>
        <v/>
      </c>
      <c r="AC248" s="1280" t="n"/>
      <c r="AD248" s="146">
        <f>((AD161)*(AD187)*(AD226))</f>
        <v/>
      </c>
      <c r="AE248" s="1280" t="n"/>
      <c r="AF248" s="147">
        <f>((H248)+(J248)+(L248)+(N248)+(P248)+(R248)+(T248)+(V248)+(X248)+(Z248)+(AB248)+(AD248))</f>
        <v/>
      </c>
    </row>
    <row r="249">
      <c r="D249" s="117" t="inlineStr">
        <is>
          <t>Year 5</t>
        </is>
      </c>
      <c r="E249" s="117" t="n"/>
      <c r="F249" s="137" t="inlineStr">
        <is>
          <t>49 - 60</t>
        </is>
      </c>
      <c r="G249" s="626" t="n"/>
      <c r="H249" s="146">
        <f>((H167)*(H189)*(H232))</f>
        <v/>
      </c>
      <c r="I249" s="1280" t="n"/>
      <c r="J249" s="146">
        <f>((J167)*(J189)*(J232))</f>
        <v/>
      </c>
      <c r="K249" s="1280" t="n"/>
      <c r="L249" s="146">
        <f>((L167)*(L189)*(L232))</f>
        <v/>
      </c>
      <c r="M249" s="1280" t="n"/>
      <c r="N249" s="146">
        <f>((N167)*(N189)*(N232))</f>
        <v/>
      </c>
      <c r="O249" s="1280" t="n"/>
      <c r="P249" s="146">
        <f>((P167)*(P189)*(P232))</f>
        <v/>
      </c>
      <c r="Q249" s="1280" t="n"/>
      <c r="R249" s="146">
        <f>((R167)*(R189)*(R232))</f>
        <v/>
      </c>
      <c r="S249" s="1280" t="n"/>
      <c r="T249" s="146">
        <f>((T167)*(T189)*(T232))</f>
        <v/>
      </c>
      <c r="U249" s="1280" t="n"/>
      <c r="V249" s="146">
        <f>((V167)*(V189)*(V232))</f>
        <v/>
      </c>
      <c r="W249" s="1280" t="n"/>
      <c r="X249" s="146">
        <f>((X167)*(X189)*(X232))</f>
        <v/>
      </c>
      <c r="Y249" s="1280" t="n"/>
      <c r="Z249" s="146">
        <f>((Z167)*(Z189)*(Z232))</f>
        <v/>
      </c>
      <c r="AA249" s="1280" t="n"/>
      <c r="AB249" s="146">
        <f>((AB167)*(AB189)*(AB232))</f>
        <v/>
      </c>
      <c r="AC249" s="1280" t="n"/>
      <c r="AD249" s="146">
        <f>((AD167)*(AD189)*(AD232))</f>
        <v/>
      </c>
      <c r="AE249" s="1280" t="n"/>
      <c r="AF249" s="147">
        <f>((H249)+(J249)+(L249)+(N249)+(P249)+(R249)+(T249)+(V249)+(X249)+(Z249)+(AB249)+(AD249))</f>
        <v/>
      </c>
    </row>
    <row r="262">
      <c r="B262" s="118" t="inlineStr">
        <is>
          <t>VII.</t>
        </is>
      </c>
      <c r="C262" s="626" t="n"/>
      <c r="D262" s="118" t="inlineStr">
        <is>
          <t>Net Revenue</t>
        </is>
      </c>
      <c r="E262" s="118" t="n"/>
      <c r="F262" s="626" t="n"/>
      <c r="G262" s="626" t="n"/>
      <c r="H262" s="626" t="n"/>
      <c r="I262" s="626" t="n"/>
      <c r="J262" s="626" t="n"/>
      <c r="K262" s="626" t="n"/>
      <c r="L262" s="626" t="n"/>
      <c r="M262" s="626" t="n"/>
      <c r="N262" s="626" t="n"/>
      <c r="O262" s="626" t="n"/>
      <c r="P262" s="626" t="n"/>
      <c r="Q262" s="626" t="n"/>
      <c r="R262" s="626" t="n"/>
      <c r="S262" s="626" t="n"/>
      <c r="T262" s="626" t="n"/>
      <c r="U262" s="626" t="n"/>
      <c r="V262" s="626" t="n"/>
      <c r="W262" s="626" t="n"/>
      <c r="X262" s="626" t="n"/>
      <c r="Y262" s="626" t="n"/>
      <c r="Z262" s="626" t="n"/>
      <c r="AA262" s="626" t="n"/>
      <c r="AB262" s="626" t="n"/>
      <c r="AC262" s="626" t="n"/>
      <c r="AD262" s="626" t="n"/>
      <c r="AE262" s="626" t="n"/>
      <c r="AF262" s="626" t="n"/>
    </row>
    <row r="263" ht="3" customHeight="1" s="1883">
      <c r="B263" s="926" t="n"/>
      <c r="C263" s="926" t="n"/>
      <c r="D263" s="926" t="n"/>
      <c r="E263" s="926" t="n"/>
      <c r="F263" s="926" t="n"/>
      <c r="G263" s="626" t="n"/>
      <c r="H263" s="626" t="n"/>
      <c r="I263" s="626" t="n"/>
      <c r="J263" s="626" t="n"/>
      <c r="K263" s="626" t="n"/>
      <c r="L263" s="626" t="n"/>
      <c r="M263" s="626" t="n"/>
      <c r="N263" s="626" t="n"/>
      <c r="O263" s="626" t="n"/>
      <c r="P263" s="626" t="n"/>
      <c r="Q263" s="626" t="n"/>
      <c r="R263" s="626" t="n"/>
      <c r="S263" s="626" t="n"/>
      <c r="T263" s="626" t="n"/>
      <c r="U263" s="626" t="n"/>
      <c r="V263" s="626" t="n"/>
      <c r="W263" s="626" t="n"/>
      <c r="X263" s="626" t="n"/>
      <c r="Y263" s="626" t="n"/>
      <c r="Z263" s="626" t="n"/>
      <c r="AA263" s="626" t="n"/>
      <c r="AB263" s="626" t="n"/>
      <c r="AC263" s="626" t="n"/>
      <c r="AD263" s="626" t="n"/>
      <c r="AE263" s="626" t="n"/>
      <c r="AF263" s="626" t="n"/>
    </row>
    <row r="264" ht="13" customHeight="1" s="1883">
      <c r="B264" s="626" t="n"/>
      <c r="C264" s="626" t="n"/>
      <c r="D264" s="626" t="n"/>
      <c r="E264" s="626" t="n"/>
      <c r="F264" s="626" t="n"/>
      <c r="G264" s="626" t="n"/>
      <c r="H264" s="626" t="n"/>
      <c r="I264" s="626" t="n"/>
      <c r="J264" s="626" t="n"/>
      <c r="K264" s="626" t="n"/>
      <c r="L264" s="626" t="n"/>
      <c r="M264" s="626" t="n"/>
      <c r="N264" s="626" t="n"/>
      <c r="O264" s="626" t="n"/>
      <c r="P264" s="626" t="n"/>
      <c r="Q264" s="626" t="n"/>
      <c r="R264" s="626" t="n"/>
      <c r="S264" s="626" t="n"/>
      <c r="T264" s="626" t="n"/>
      <c r="U264" s="626" t="n"/>
      <c r="V264" s="626" t="n"/>
      <c r="W264" s="626" t="n"/>
      <c r="X264" s="626" t="n"/>
      <c r="Y264" s="626" t="n"/>
      <c r="Z264" s="626" t="n"/>
      <c r="AA264" s="626" t="n"/>
      <c r="AB264" s="626" t="n"/>
      <c r="AC264" s="626" t="n"/>
      <c r="AD264" s="626" t="n"/>
      <c r="AE264" s="626" t="n"/>
      <c r="AF264" s="626" t="n"/>
    </row>
    <row r="265">
      <c r="B265" s="626" t="n"/>
      <c r="C265" s="626" t="n"/>
      <c r="D265" s="117" t="inlineStr">
        <is>
          <t>Year</t>
        </is>
      </c>
      <c r="E265" s="117" t="n"/>
      <c r="F265" s="117" t="inlineStr">
        <is>
          <t>Months</t>
        </is>
      </c>
      <c r="G265" s="626" t="n"/>
      <c r="H265" s="138" t="inlineStr">
        <is>
          <t>Month 1</t>
        </is>
      </c>
      <c r="I265" s="138" t="n"/>
      <c r="J265" s="138" t="inlineStr">
        <is>
          <t>Month 2</t>
        </is>
      </c>
      <c r="K265" s="138" t="n"/>
      <c r="L265" s="138" t="inlineStr">
        <is>
          <t>Month 3</t>
        </is>
      </c>
      <c r="M265" s="138" t="n"/>
      <c r="N265" s="138" t="inlineStr">
        <is>
          <t>Month 4</t>
        </is>
      </c>
      <c r="O265" s="138" t="n"/>
      <c r="P265" s="138" t="inlineStr">
        <is>
          <t>Month 5</t>
        </is>
      </c>
      <c r="Q265" s="138" t="n"/>
      <c r="R265" s="138" t="inlineStr">
        <is>
          <t>Month 6</t>
        </is>
      </c>
      <c r="S265" s="138" t="n"/>
      <c r="T265" s="138" t="inlineStr">
        <is>
          <t>Month 7</t>
        </is>
      </c>
      <c r="U265" s="138" t="n"/>
      <c r="V265" s="138" t="inlineStr">
        <is>
          <t>Month 8</t>
        </is>
      </c>
      <c r="W265" s="138" t="n"/>
      <c r="X265" s="138" t="inlineStr">
        <is>
          <t>Month 9</t>
        </is>
      </c>
      <c r="Y265" s="138" t="n"/>
      <c r="Z265" s="138" t="inlineStr">
        <is>
          <t>Month 10</t>
        </is>
      </c>
      <c r="AA265" s="138" t="n"/>
      <c r="AB265" s="138" t="inlineStr">
        <is>
          <t>Month 11</t>
        </is>
      </c>
      <c r="AC265" s="138" t="n"/>
      <c r="AD265" s="138" t="inlineStr">
        <is>
          <t>Month 12</t>
        </is>
      </c>
      <c r="AE265" s="932" t="n"/>
      <c r="AF265" s="138" t="inlineStr">
        <is>
          <t>Ʃ, Full-Year</t>
        </is>
      </c>
    </row>
    <row r="266" ht="3" customHeight="1" s="1883">
      <c r="B266" s="626" t="n"/>
      <c r="C266" s="626" t="n"/>
      <c r="D266" s="926" t="n"/>
      <c r="E266" s="626" t="n"/>
      <c r="F266" s="926" t="n"/>
      <c r="G266" s="626" t="n"/>
      <c r="H266" s="933" t="n"/>
      <c r="I266" s="932" t="n"/>
      <c r="J266" s="933" t="n"/>
      <c r="K266" s="932" t="n"/>
      <c r="L266" s="933" t="n"/>
      <c r="M266" s="932" t="n"/>
      <c r="N266" s="933" t="n"/>
      <c r="O266" s="932" t="n"/>
      <c r="P266" s="933" t="n"/>
      <c r="Q266" s="932" t="n"/>
      <c r="R266" s="933" t="n"/>
      <c r="S266" s="932" t="n"/>
      <c r="T266" s="933" t="n"/>
      <c r="U266" s="932" t="n"/>
      <c r="V266" s="933" t="n"/>
      <c r="W266" s="932" t="n"/>
      <c r="X266" s="933" t="n"/>
      <c r="Y266" s="932" t="n"/>
      <c r="Z266" s="933" t="n"/>
      <c r="AA266" s="932" t="n"/>
      <c r="AB266" s="933" t="n"/>
      <c r="AC266" s="932" t="n"/>
      <c r="AD266" s="933" t="n"/>
      <c r="AE266" s="932" t="n"/>
      <c r="AF266" s="933" t="n"/>
    </row>
    <row r="267" ht="3" customHeight="1" s="1883">
      <c r="B267" s="626" t="n"/>
      <c r="C267" s="626" t="n"/>
      <c r="D267" s="626" t="n"/>
      <c r="E267" s="626" t="n"/>
      <c r="F267" s="626" t="n"/>
      <c r="G267" s="626" t="n"/>
      <c r="H267" s="934" t="n"/>
      <c r="I267" s="934" t="n"/>
      <c r="J267" s="934" t="n"/>
      <c r="K267" s="934" t="n"/>
      <c r="L267" s="934" t="n"/>
      <c r="M267" s="934" t="n"/>
      <c r="N267" s="934" t="n"/>
      <c r="O267" s="934" t="n"/>
      <c r="P267" s="934" t="n"/>
      <c r="Q267" s="934" t="n"/>
      <c r="R267" s="934" t="n"/>
      <c r="S267" s="934" t="n"/>
      <c r="T267" s="934" t="n"/>
      <c r="U267" s="934" t="n"/>
      <c r="V267" s="934" t="n"/>
      <c r="W267" s="934" t="n"/>
      <c r="X267" s="934" t="n"/>
      <c r="Y267" s="934" t="n"/>
      <c r="Z267" s="934" t="n"/>
      <c r="AA267" s="934" t="n"/>
      <c r="AB267" s="934" t="n"/>
      <c r="AC267" s="934" t="n"/>
      <c r="AD267" s="934" t="n"/>
      <c r="AE267" s="934" t="n"/>
      <c r="AF267" s="934" t="n"/>
    </row>
    <row r="268">
      <c r="B268" s="626" t="n"/>
      <c r="C268" s="626" t="n"/>
      <c r="D268" s="117" t="inlineStr">
        <is>
          <t>Year 0</t>
        </is>
      </c>
      <c r="E268" s="117" t="n"/>
      <c r="F268" s="133" t="inlineStr">
        <is>
          <t>-12 - -1</t>
        </is>
      </c>
      <c r="G268" s="1968" t="n"/>
      <c r="H268" s="1277" t="n">
        <v>0</v>
      </c>
      <c r="I268" s="1278" t="n"/>
      <c r="J268" s="1277" t="n">
        <v>0</v>
      </c>
      <c r="K268" s="1278" t="n"/>
      <c r="L268" s="1277" t="n">
        <v>0</v>
      </c>
      <c r="M268" s="1278" t="n"/>
      <c r="N268" s="1277" t="n">
        <v>0</v>
      </c>
      <c r="O268" s="1278" t="n"/>
      <c r="P268" s="1277" t="n">
        <v>0</v>
      </c>
      <c r="Q268" s="1278" t="n"/>
      <c r="R268" s="1277" t="n">
        <v>0</v>
      </c>
      <c r="S268" s="1278" t="n"/>
      <c r="T268" s="1277" t="n">
        <v>0</v>
      </c>
      <c r="U268" s="1278" t="n"/>
      <c r="V268" s="1277" t="n">
        <v>0</v>
      </c>
      <c r="W268" s="1278" t="n"/>
      <c r="X268" s="1277" t="n">
        <v>0</v>
      </c>
      <c r="Y268" s="1278" t="n"/>
      <c r="Z268" s="1277" t="n">
        <v>0</v>
      </c>
      <c r="AA268" s="1278" t="n"/>
      <c r="AB268" s="1277" t="n">
        <v>0</v>
      </c>
      <c r="AC268" s="1278" t="n"/>
      <c r="AD268" s="1277" t="n">
        <v>0</v>
      </c>
      <c r="AE268" s="1279" t="n"/>
      <c r="AF268" s="1277" t="n">
        <v>0</v>
      </c>
    </row>
    <row r="269">
      <c r="B269" s="626" t="n"/>
      <c r="C269" s="626" t="n"/>
      <c r="D269" s="117" t="inlineStr">
        <is>
          <t>Year 1</t>
        </is>
      </c>
      <c r="E269" s="117" t="n"/>
      <c r="F269" s="134" t="inlineStr">
        <is>
          <t>1 - 12</t>
        </is>
      </c>
      <c r="G269" s="626" t="n"/>
      <c r="H269" s="146" t="n">
        <v>1538915.492957746</v>
      </c>
      <c r="I269" s="1280" t="n"/>
      <c r="J269" s="146" t="n">
        <v>4179554.577464788</v>
      </c>
      <c r="K269" s="1280" t="n"/>
      <c r="L269" s="146" t="n">
        <v>6911409.38028169</v>
      </c>
      <c r="M269" s="1280" t="n"/>
      <c r="N269" s="146" t="n">
        <v>8585382.195422534</v>
      </c>
      <c r="O269" s="1280" t="n"/>
      <c r="P269" s="146" t="n">
        <v>9964163.038732393</v>
      </c>
      <c r="Q269" s="1280" t="n"/>
      <c r="R269" s="146" t="n">
        <v>11123333.64612676</v>
      </c>
      <c r="S269" s="1280" t="n"/>
      <c r="T269" s="146" t="n">
        <v>11580758.78873239</v>
      </c>
      <c r="U269" s="1280" t="n"/>
      <c r="V269" s="146" t="n">
        <v>11814621.4806338</v>
      </c>
      <c r="W269" s="1280" t="n"/>
      <c r="X269" s="146" t="n">
        <v>12009381.72887324</v>
      </c>
      <c r="Y269" s="1280" t="n"/>
      <c r="Z269" s="146" t="n">
        <v>12171807.2640845</v>
      </c>
      <c r="AA269" s="1280" t="n"/>
      <c r="AB269" s="146" t="n">
        <v>12774065.33978873</v>
      </c>
      <c r="AC269" s="1280" t="n"/>
      <c r="AD269" s="146" t="n">
        <v>13169111.9419014</v>
      </c>
      <c r="AE269" s="1280" t="n"/>
      <c r="AF269" s="147" t="n">
        <v>115822504.875</v>
      </c>
    </row>
    <row r="270">
      <c r="B270" s="626" t="n"/>
      <c r="C270" s="626" t="n"/>
      <c r="D270" s="117" t="inlineStr">
        <is>
          <t>Year 2</t>
        </is>
      </c>
      <c r="E270" s="117" t="n"/>
      <c r="F270" s="137" t="inlineStr">
        <is>
          <t>13 - 24</t>
        </is>
      </c>
      <c r="G270" s="626" t="n"/>
      <c r="H270" s="146" t="n">
        <v>37171566.71104752</v>
      </c>
      <c r="I270" s="1280" t="n"/>
      <c r="J270" s="146" t="n">
        <v>61831259.71280809</v>
      </c>
      <c r="K270" s="1280" t="n"/>
      <c r="L270" s="146" t="n">
        <v>76572533.13710386</v>
      </c>
      <c r="M270" s="1280" t="n"/>
      <c r="N270" s="146" t="n">
        <v>83837354.44872357</v>
      </c>
      <c r="O270" s="1280" t="n"/>
      <c r="P270" s="146" t="n">
        <v>89113133.29555458</v>
      </c>
      <c r="Q270" s="1280" t="n"/>
      <c r="R270" s="146" t="n">
        <v>92674176.36773767</v>
      </c>
      <c r="S270" s="1280" t="n"/>
      <c r="T270" s="146" t="n">
        <v>93299499.93287849</v>
      </c>
      <c r="U270" s="1280" t="n"/>
      <c r="V270" s="146" t="n">
        <v>92319810.3994278</v>
      </c>
      <c r="W270" s="1280" t="n"/>
      <c r="X270" s="146" t="n">
        <v>92396520.58428696</v>
      </c>
      <c r="Y270" s="1280" t="n"/>
      <c r="Z270" s="146" t="n">
        <v>92308646.75506161</v>
      </c>
      <c r="AA270" s="1280" t="n"/>
      <c r="AB270" s="146" t="n">
        <v>95904297.12477991</v>
      </c>
      <c r="AC270" s="1280" t="n"/>
      <c r="AD270" s="146" t="n">
        <v>98134095.54137322</v>
      </c>
      <c r="AE270" s="1280" t="n"/>
      <c r="AF270" s="147" t="n">
        <v>1005562894.010783</v>
      </c>
    </row>
    <row r="271">
      <c r="B271" s="626" t="n"/>
      <c r="C271" s="626" t="n"/>
      <c r="D271" s="117" t="inlineStr">
        <is>
          <t>Year 3</t>
        </is>
      </c>
      <c r="E271" s="117" t="n"/>
      <c r="F271" s="137" t="inlineStr">
        <is>
          <t>25 - 36</t>
        </is>
      </c>
      <c r="G271" s="626" t="n"/>
      <c r="H271" s="146" t="n">
        <v>153716926.688081</v>
      </c>
      <c r="I271" s="1280" t="n"/>
      <c r="J271" s="146" t="n">
        <v>191416778.2666902</v>
      </c>
      <c r="K271" s="1280" t="n"/>
      <c r="L271" s="146" t="n">
        <v>210835323.4704401</v>
      </c>
      <c r="M271" s="1280" t="n"/>
      <c r="N271" s="146" t="n">
        <v>219017701.7115844</v>
      </c>
      <c r="O271" s="1280" t="n"/>
      <c r="P271" s="146" t="n">
        <v>223688419.2378697</v>
      </c>
      <c r="Q271" s="1280" t="n"/>
      <c r="R271" s="146" t="n">
        <v>225242762.4074472</v>
      </c>
      <c r="S271" s="1280" t="n"/>
      <c r="T271" s="146" t="n">
        <v>221430751.7713732</v>
      </c>
      <c r="U271" s="1280" t="n"/>
      <c r="V271" s="146" t="n">
        <v>214704559.2891549</v>
      </c>
      <c r="W271" s="1280" t="n"/>
      <c r="X271" s="146" t="n">
        <v>209995824.8687324</v>
      </c>
      <c r="Y271" s="1280" t="n"/>
      <c r="Z271" s="146" t="n">
        <v>207395535.1398591</v>
      </c>
      <c r="AA271" s="1280" t="n"/>
      <c r="AB271" s="146" t="n">
        <v>210257640.6591549</v>
      </c>
      <c r="AC271" s="1280" t="n"/>
      <c r="AD271" s="146" t="n">
        <v>211557221.2654225</v>
      </c>
      <c r="AE271" s="1280" t="n"/>
      <c r="AF271" s="147" t="n">
        <v>2499259444.77581</v>
      </c>
    </row>
    <row r="272">
      <c r="B272" s="626" t="n"/>
      <c r="C272" s="626" t="n"/>
      <c r="D272" s="117" t="inlineStr">
        <is>
          <t>Year 4</t>
        </is>
      </c>
      <c r="E272" s="117" t="n"/>
      <c r="F272" s="137" t="inlineStr">
        <is>
          <t>37 - 48</t>
        </is>
      </c>
      <c r="G272" s="626" t="n"/>
      <c r="H272" s="146" t="n">
        <v>302127675.0420423</v>
      </c>
      <c r="I272" s="1280" t="n"/>
      <c r="J272" s="146" t="n">
        <v>358667345.8569719</v>
      </c>
      <c r="K272" s="1280" t="n"/>
      <c r="L272" s="146" t="n">
        <v>386454763.8902112</v>
      </c>
      <c r="M272" s="1280" t="n"/>
      <c r="N272" s="146" t="n">
        <v>396553175.5396479</v>
      </c>
      <c r="O272" s="1280" t="n"/>
      <c r="P272" s="146" t="n">
        <v>401245498.874155</v>
      </c>
      <c r="Q272" s="1280" t="n"/>
      <c r="R272" s="146" t="n">
        <v>404870609.4965494</v>
      </c>
      <c r="S272" s="1280" t="n"/>
      <c r="T272" s="146" t="n">
        <v>396365261.0089437</v>
      </c>
      <c r="U272" s="1280" t="n"/>
      <c r="V272" s="146" t="n">
        <v>383263762.4254225</v>
      </c>
      <c r="W272" s="1280" t="n"/>
      <c r="X272" s="146" t="n">
        <v>373815074.1297888</v>
      </c>
      <c r="Y272" s="1280" t="n"/>
      <c r="Z272" s="146" t="n">
        <v>368104954.2864085</v>
      </c>
      <c r="AA272" s="1280" t="n"/>
      <c r="AB272" s="146" t="n">
        <v>371544255.5526761</v>
      </c>
      <c r="AC272" s="1280" t="n"/>
      <c r="AD272" s="146" t="n">
        <v>372669526.7636619</v>
      </c>
      <c r="AE272" s="1280" t="n"/>
      <c r="AF272" s="147" t="n">
        <v>4515681902.86648</v>
      </c>
    </row>
    <row r="273">
      <c r="B273" s="626" t="n"/>
      <c r="C273" s="626" t="n"/>
      <c r="D273" s="117" t="inlineStr">
        <is>
          <t>Year 5</t>
        </is>
      </c>
      <c r="E273" s="117" t="n"/>
      <c r="F273" s="137" t="inlineStr">
        <is>
          <t>49 - 60</t>
        </is>
      </c>
      <c r="G273" s="626" t="n"/>
      <c r="H273" s="146" t="n">
        <v>481129194.2197183</v>
      </c>
      <c r="I273" s="1280" t="n"/>
      <c r="J273" s="146" t="n">
        <v>552947782.1070423</v>
      </c>
      <c r="K273" s="1280" t="n"/>
      <c r="L273" s="146" t="n">
        <v>595318098.828169</v>
      </c>
      <c r="M273" s="1280" t="n"/>
      <c r="N273" s="146" t="n">
        <v>607879726.3774649</v>
      </c>
      <c r="O273" s="1280" t="n"/>
      <c r="P273" s="146" t="n">
        <v>612708267.5999999</v>
      </c>
      <c r="Q273" s="1280" t="n"/>
      <c r="R273" s="146" t="n">
        <v>616111037.5943662</v>
      </c>
      <c r="S273" s="1280" t="n"/>
      <c r="T273" s="146" t="n">
        <v>602547659.9999999</v>
      </c>
      <c r="U273" s="1280" t="n"/>
      <c r="V273" s="146" t="n">
        <v>588051435.8028169</v>
      </c>
      <c r="W273" s="1280" t="n"/>
      <c r="X273" s="146" t="n">
        <v>573571112.4</v>
      </c>
      <c r="Y273" s="1280" t="n"/>
      <c r="Z273" s="146" t="n">
        <v>564274447.9605634</v>
      </c>
      <c r="AA273" s="1280" t="n"/>
      <c r="AB273" s="146" t="n">
        <v>567910429.6056339</v>
      </c>
      <c r="AC273" s="1280" t="n"/>
      <c r="AD273" s="146" t="n">
        <v>568530560.5859156</v>
      </c>
      <c r="AE273" s="1280" t="n"/>
      <c r="AF273" s="147" t="n">
        <v>6930979753.08169</v>
      </c>
    </row>
    <row r="274" ht="12.75" customHeight="1" s="1883"/>
    <row r="275" ht="12.75" customHeight="1" s="1883"/>
    <row r="276" ht="12.75" customHeight="1" s="1883"/>
    <row r="277">
      <c r="B277" s="118" t="inlineStr">
        <is>
          <t>VII.</t>
        </is>
      </c>
      <c r="C277" s="626" t="n"/>
      <c r="D277" s="118" t="inlineStr">
        <is>
          <t>Net Revenue</t>
        </is>
      </c>
      <c r="E277" s="118" t="n"/>
      <c r="F277" s="626" t="n"/>
      <c r="G277" s="626" t="n"/>
      <c r="H277" s="626" t="n"/>
      <c r="I277" s="626" t="n"/>
      <c r="J277" s="626" t="n"/>
      <c r="K277" s="626" t="n"/>
      <c r="L277" s="626" t="n"/>
      <c r="M277" s="626" t="n"/>
      <c r="N277" s="626" t="n"/>
      <c r="O277" s="626" t="n"/>
      <c r="P277" s="626" t="n"/>
      <c r="Q277" s="626" t="n"/>
      <c r="R277" s="626" t="n"/>
      <c r="S277" s="626" t="n"/>
      <c r="T277" s="626" t="n"/>
      <c r="U277" s="626" t="n"/>
      <c r="V277" s="626" t="n"/>
      <c r="W277" s="626" t="n"/>
      <c r="X277" s="626" t="n"/>
      <c r="Y277" s="626" t="n"/>
      <c r="Z277" s="626" t="n"/>
      <c r="AA277" s="626" t="n"/>
      <c r="AB277" s="626" t="n"/>
      <c r="AC277" s="626" t="n"/>
      <c r="AD277" s="626" t="n"/>
      <c r="AE277" s="626" t="n"/>
      <c r="AF277" s="626" t="n"/>
    </row>
    <row r="278" ht="3" customHeight="1" s="1883">
      <c r="B278" s="926" t="n"/>
      <c r="C278" s="926" t="n"/>
      <c r="D278" s="926" t="n"/>
      <c r="E278" s="926" t="n"/>
      <c r="F278" s="926" t="n"/>
      <c r="G278" s="626" t="n"/>
      <c r="H278" s="626" t="n"/>
      <c r="I278" s="626" t="n"/>
      <c r="J278" s="626" t="n"/>
      <c r="K278" s="626" t="n"/>
      <c r="L278" s="626" t="n"/>
      <c r="M278" s="626" t="n"/>
      <c r="N278" s="626" t="n"/>
      <c r="O278" s="626" t="n"/>
      <c r="P278" s="626" t="n"/>
      <c r="Q278" s="626" t="n"/>
      <c r="R278" s="626" t="n"/>
      <c r="S278" s="626" t="n"/>
      <c r="T278" s="626" t="n"/>
      <c r="U278" s="626" t="n"/>
      <c r="V278" s="626" t="n"/>
      <c r="W278" s="626" t="n"/>
      <c r="X278" s="626" t="n"/>
      <c r="Y278" s="626" t="n"/>
      <c r="Z278" s="626" t="n"/>
      <c r="AA278" s="626" t="n"/>
      <c r="AB278" s="626" t="n"/>
      <c r="AC278" s="626" t="n"/>
      <c r="AD278" s="626" t="n"/>
      <c r="AE278" s="626" t="n"/>
      <c r="AF278" s="626" t="n"/>
    </row>
    <row r="279" ht="13" customHeight="1" s="1883">
      <c r="B279" s="626" t="n"/>
      <c r="C279" s="626" t="n"/>
      <c r="D279" s="626" t="n"/>
      <c r="E279" s="626" t="n"/>
      <c r="F279" s="626" t="n"/>
      <c r="G279" s="626" t="n"/>
      <c r="H279" s="626" t="n"/>
      <c r="I279" s="626" t="n"/>
      <c r="J279" s="626" t="n"/>
      <c r="K279" s="626" t="n"/>
      <c r="L279" s="626" t="n"/>
      <c r="M279" s="626" t="n"/>
      <c r="N279" s="626" t="n"/>
      <c r="O279" s="626" t="n"/>
      <c r="P279" s="626" t="n"/>
      <c r="Q279" s="626" t="n"/>
      <c r="R279" s="626" t="n"/>
      <c r="S279" s="626" t="n"/>
      <c r="T279" s="626" t="n"/>
      <c r="U279" s="626" t="n"/>
      <c r="V279" s="626" t="n"/>
      <c r="W279" s="626" t="n"/>
      <c r="X279" s="626" t="n"/>
      <c r="Y279" s="626" t="n"/>
      <c r="Z279" s="626" t="n"/>
      <c r="AA279" s="626" t="n"/>
      <c r="AB279" s="626" t="n"/>
      <c r="AC279" s="626" t="n"/>
      <c r="AD279" s="626" t="n"/>
      <c r="AE279" s="626" t="n"/>
      <c r="AF279" s="626" t="n"/>
    </row>
    <row r="280">
      <c r="B280" s="626" t="n"/>
      <c r="C280" s="626" t="n"/>
      <c r="D280" s="117" t="inlineStr">
        <is>
          <t>Year</t>
        </is>
      </c>
      <c r="E280" s="117" t="n"/>
      <c r="F280" s="117" t="inlineStr">
        <is>
          <t>Months</t>
        </is>
      </c>
      <c r="G280" s="626" t="n"/>
      <c r="H280" s="138" t="inlineStr">
        <is>
          <t>Month 1</t>
        </is>
      </c>
      <c r="I280" s="138" t="n"/>
      <c r="J280" s="138" t="inlineStr">
        <is>
          <t>Month 2</t>
        </is>
      </c>
      <c r="K280" s="138" t="n"/>
      <c r="L280" s="138" t="inlineStr">
        <is>
          <t>Month 3</t>
        </is>
      </c>
      <c r="M280" s="138" t="n"/>
      <c r="N280" s="138" t="inlineStr">
        <is>
          <t>Month 4</t>
        </is>
      </c>
      <c r="O280" s="138" t="n"/>
      <c r="P280" s="138" t="inlineStr">
        <is>
          <t>Month 5</t>
        </is>
      </c>
      <c r="Q280" s="138" t="n"/>
      <c r="R280" s="138" t="inlineStr">
        <is>
          <t>Month 6</t>
        </is>
      </c>
      <c r="S280" s="138" t="n"/>
      <c r="T280" s="138" t="inlineStr">
        <is>
          <t>Month 7</t>
        </is>
      </c>
      <c r="U280" s="138" t="n"/>
      <c r="V280" s="138" t="inlineStr">
        <is>
          <t>Month 8</t>
        </is>
      </c>
      <c r="W280" s="138" t="n"/>
      <c r="X280" s="138" t="inlineStr">
        <is>
          <t>Month 9</t>
        </is>
      </c>
      <c r="Y280" s="138" t="n"/>
      <c r="Z280" s="138" t="inlineStr">
        <is>
          <t>Month 10</t>
        </is>
      </c>
      <c r="AA280" s="138" t="n"/>
      <c r="AB280" s="138" t="inlineStr">
        <is>
          <t>Month 11</t>
        </is>
      </c>
      <c r="AC280" s="138" t="n"/>
      <c r="AD280" s="138" t="inlineStr">
        <is>
          <t>Month 12</t>
        </is>
      </c>
      <c r="AE280" s="932" t="n"/>
      <c r="AF280" s="138" t="inlineStr">
        <is>
          <t>Ʃ, Full-Year</t>
        </is>
      </c>
    </row>
    <row r="281" ht="3" customHeight="1" s="1883">
      <c r="B281" s="626" t="n"/>
      <c r="C281" s="626" t="n"/>
      <c r="D281" s="926" t="n"/>
      <c r="E281" s="626" t="n"/>
      <c r="F281" s="926" t="n"/>
      <c r="G281" s="626" t="n"/>
      <c r="H281" s="933" t="n"/>
      <c r="I281" s="932" t="n"/>
      <c r="J281" s="933" t="n"/>
      <c r="K281" s="932" t="n"/>
      <c r="L281" s="933" t="n"/>
      <c r="M281" s="932" t="n"/>
      <c r="N281" s="933" t="n"/>
      <c r="O281" s="932" t="n"/>
      <c r="P281" s="933" t="n"/>
      <c r="Q281" s="932" t="n"/>
      <c r="R281" s="933" t="n"/>
      <c r="S281" s="932" t="n"/>
      <c r="T281" s="933" t="n"/>
      <c r="U281" s="932" t="n"/>
      <c r="V281" s="933" t="n"/>
      <c r="W281" s="932" t="n"/>
      <c r="X281" s="933" t="n"/>
      <c r="Y281" s="932" t="n"/>
      <c r="Z281" s="933" t="n"/>
      <c r="AA281" s="932" t="n"/>
      <c r="AB281" s="933" t="n"/>
      <c r="AC281" s="932" t="n"/>
      <c r="AD281" s="933" t="n"/>
      <c r="AE281" s="932" t="n"/>
      <c r="AF281" s="933" t="n"/>
    </row>
    <row r="282" ht="3" customHeight="1" s="1883">
      <c r="B282" s="626" t="n"/>
      <c r="C282" s="626" t="n"/>
      <c r="D282" s="626" t="n"/>
      <c r="E282" s="626" t="n"/>
      <c r="F282" s="626" t="n"/>
      <c r="G282" s="626" t="n"/>
      <c r="H282" s="934" t="n"/>
      <c r="I282" s="934" t="n"/>
      <c r="J282" s="934" t="n"/>
      <c r="K282" s="934" t="n"/>
      <c r="L282" s="934" t="n"/>
      <c r="M282" s="934" t="n"/>
      <c r="N282" s="934" t="n"/>
      <c r="O282" s="934" t="n"/>
      <c r="P282" s="934" t="n"/>
      <c r="Q282" s="934" t="n"/>
      <c r="R282" s="934" t="n"/>
      <c r="S282" s="934" t="n"/>
      <c r="T282" s="934" t="n"/>
      <c r="U282" s="934" t="n"/>
      <c r="V282" s="934" t="n"/>
      <c r="W282" s="934" t="n"/>
      <c r="X282" s="934" t="n"/>
      <c r="Y282" s="934" t="n"/>
      <c r="Z282" s="934" t="n"/>
      <c r="AA282" s="934" t="n"/>
      <c r="AB282" s="934" t="n"/>
      <c r="AC282" s="934" t="n"/>
      <c r="AD282" s="934" t="n"/>
      <c r="AE282" s="934" t="n"/>
      <c r="AF282" s="934" t="n"/>
    </row>
    <row r="283">
      <c r="B283" s="626" t="n"/>
      <c r="C283" s="626" t="n"/>
      <c r="D283" s="117" t="inlineStr">
        <is>
          <t>Year 0</t>
        </is>
      </c>
      <c r="E283" s="117" t="n"/>
      <c r="F283" s="133" t="inlineStr">
        <is>
          <t>-12 - -1</t>
        </is>
      </c>
      <c r="G283" s="1968" t="n"/>
      <c r="H283" s="1277" t="n">
        <v>0</v>
      </c>
      <c r="I283" s="1278" t="n"/>
      <c r="J283" s="1277" t="n">
        <v>0</v>
      </c>
      <c r="K283" s="1278" t="n"/>
      <c r="L283" s="1277" t="n">
        <v>0</v>
      </c>
      <c r="M283" s="1278" t="n"/>
      <c r="N283" s="1277" t="n">
        <v>0</v>
      </c>
      <c r="O283" s="1278" t="n"/>
      <c r="P283" s="1277" t="n">
        <v>0</v>
      </c>
      <c r="Q283" s="1278" t="n"/>
      <c r="R283" s="1277" t="n">
        <v>0</v>
      </c>
      <c r="S283" s="1278" t="n"/>
      <c r="T283" s="1277" t="n">
        <v>0</v>
      </c>
      <c r="U283" s="1278" t="n"/>
      <c r="V283" s="1277" t="n">
        <v>0</v>
      </c>
      <c r="W283" s="1278" t="n"/>
      <c r="X283" s="1277" t="n">
        <v>0</v>
      </c>
      <c r="Y283" s="1278" t="n"/>
      <c r="Z283" s="1277" t="n">
        <v>0</v>
      </c>
      <c r="AA283" s="1278" t="n"/>
      <c r="AB283" s="1277" t="n">
        <v>0</v>
      </c>
      <c r="AC283" s="1278" t="n"/>
      <c r="AD283" s="1277" t="n">
        <v>0</v>
      </c>
      <c r="AE283" s="1279" t="n"/>
      <c r="AF283" s="1277" t="n">
        <v>0</v>
      </c>
    </row>
    <row r="284">
      <c r="B284" s="626" t="n"/>
      <c r="C284" s="626" t="n"/>
      <c r="D284" s="117" t="inlineStr">
        <is>
          <t>Year 1</t>
        </is>
      </c>
      <c r="E284" s="117" t="n"/>
      <c r="F284" s="134" t="inlineStr">
        <is>
          <t>1 - 12</t>
        </is>
      </c>
      <c r="G284" s="626" t="n"/>
      <c r="H284" s="146" t="n">
        <v>1030715.492957746</v>
      </c>
      <c r="I284" s="1280" t="n"/>
      <c r="J284" s="146" t="n">
        <v>2799329.577464788</v>
      </c>
      <c r="K284" s="1280" t="n"/>
      <c r="L284" s="146" t="n">
        <v>4629036.980281689</v>
      </c>
      <c r="M284" s="1280" t="n"/>
      <c r="N284" s="146" t="n">
        <v>5750209.470422534</v>
      </c>
      <c r="O284" s="1280" t="n"/>
      <c r="P284" s="146" t="n">
        <v>6673671.988732395</v>
      </c>
      <c r="Q284" s="1280" t="n"/>
      <c r="R284" s="146" t="n">
        <v>7450046.72112676</v>
      </c>
      <c r="S284" s="1280" t="n"/>
      <c r="T284" s="146" t="n">
        <v>7756415.188732392</v>
      </c>
      <c r="U284" s="1280" t="n"/>
      <c r="V284" s="146" t="n">
        <v>7913048.805633801</v>
      </c>
      <c r="W284" s="1280" t="n"/>
      <c r="X284" s="146" t="n">
        <v>8043492.878873237</v>
      </c>
      <c r="Y284" s="1280" t="n"/>
      <c r="Z284" s="146" t="n">
        <v>8152280.214084506</v>
      </c>
      <c r="AA284" s="1280" t="n"/>
      <c r="AB284" s="146" t="n">
        <v>8555653.064788731</v>
      </c>
      <c r="AC284" s="1280" t="n"/>
      <c r="AD284" s="146" t="n">
        <v>8820242.416901408</v>
      </c>
      <c r="AE284" s="1280" t="n"/>
      <c r="AF284" s="147" t="n">
        <v>77574142.79999998</v>
      </c>
    </row>
    <row r="285">
      <c r="B285" s="626" t="n"/>
      <c r="C285" s="626" t="n"/>
      <c r="D285" s="117" t="inlineStr">
        <is>
          <t>Year 2</t>
        </is>
      </c>
      <c r="E285" s="117" t="n"/>
      <c r="F285" s="137" t="inlineStr">
        <is>
          <t>13 - 24</t>
        </is>
      </c>
      <c r="G285" s="626" t="n"/>
      <c r="H285" s="146" t="n">
        <v>25772286.25299295</v>
      </c>
      <c r="I285" s="1280" t="n"/>
      <c r="J285" s="146" t="n">
        <v>42869673.40088028</v>
      </c>
      <c r="K285" s="1280" t="n"/>
      <c r="L285" s="146" t="n">
        <v>53090289.64172535</v>
      </c>
      <c r="M285" s="1280" t="n"/>
      <c r="N285" s="146" t="n">
        <v>58127232.41778169</v>
      </c>
      <c r="O285" s="1280" t="n"/>
      <c r="P285" s="146" t="n">
        <v>61785105.7515845</v>
      </c>
      <c r="Q285" s="1280" t="n"/>
      <c r="R285" s="146" t="n">
        <v>64254095.61496479</v>
      </c>
      <c r="S285" s="1280" t="n"/>
      <c r="T285" s="146" t="n">
        <v>64687653.28679579</v>
      </c>
      <c r="U285" s="1280" t="n"/>
      <c r="V285" s="146" t="n">
        <v>64008401.87693661</v>
      </c>
      <c r="W285" s="1280" t="n"/>
      <c r="X285" s="146" t="n">
        <v>64061587.60510562</v>
      </c>
      <c r="Y285" s="1280" t="n"/>
      <c r="Z285" s="146" t="n">
        <v>64000661.75017606</v>
      </c>
      <c r="AA285" s="1280" t="n"/>
      <c r="AB285" s="146" t="n">
        <v>66493646.00651407</v>
      </c>
      <c r="AC285" s="1280" t="n"/>
      <c r="AD285" s="146" t="n">
        <v>68039639.5753521</v>
      </c>
      <c r="AE285" s="1280" t="n"/>
      <c r="AF285" s="147" t="n">
        <v>697190273.1808099</v>
      </c>
    </row>
    <row r="286">
      <c r="B286" s="626" t="n"/>
      <c r="C286" s="626" t="n"/>
      <c r="D286" s="117" t="inlineStr">
        <is>
          <t>Year 3</t>
        </is>
      </c>
      <c r="E286" s="117" t="n"/>
      <c r="F286" s="137" t="inlineStr">
        <is>
          <t>25 - 36</t>
        </is>
      </c>
      <c r="G286" s="626" t="n"/>
      <c r="H286" s="146" t="n">
        <v>115060350.3139014</v>
      </c>
      <c r="I286" s="1280" t="n"/>
      <c r="J286" s="146" t="n">
        <v>143279481.5629859</v>
      </c>
      <c r="K286" s="1280" t="n"/>
      <c r="L286" s="146" t="n">
        <v>157814670.7699859</v>
      </c>
      <c r="M286" s="1280" t="n"/>
      <c r="N286" s="146" t="n">
        <v>163939352.8535493</v>
      </c>
      <c r="O286" s="1280" t="n"/>
      <c r="P286" s="146" t="n">
        <v>167435483.0870282</v>
      </c>
      <c r="Q286" s="1280" t="n"/>
      <c r="R286" s="146" t="n">
        <v>168598941.6172817</v>
      </c>
      <c r="S286" s="1280" t="n"/>
      <c r="T286" s="146" t="n">
        <v>165745571.5386761</v>
      </c>
      <c r="U286" s="1280" t="n"/>
      <c r="V286" s="146" t="n">
        <v>160710875.1005071</v>
      </c>
      <c r="W286" s="1280" t="n"/>
      <c r="X286" s="146" t="n">
        <v>157186288.4227605</v>
      </c>
      <c r="Y286" s="1280" t="n"/>
      <c r="Z286" s="146" t="n">
        <v>155239916.9100845</v>
      </c>
      <c r="AA286" s="1280" t="n"/>
      <c r="AB286" s="146" t="n">
        <v>157382263.0445071</v>
      </c>
      <c r="AC286" s="1280" t="n"/>
      <c r="AD286" s="146" t="n">
        <v>158355026.4417464</v>
      </c>
      <c r="AE286" s="1280" t="n"/>
      <c r="AF286" s="147" t="n">
        <v>1870748221.663014</v>
      </c>
    </row>
    <row r="287">
      <c r="B287" s="626" t="n"/>
      <c r="C287" s="626" t="n"/>
      <c r="D287" s="117" t="inlineStr">
        <is>
          <t>Year 4</t>
        </is>
      </c>
      <c r="E287" s="117" t="n"/>
      <c r="F287" s="137" t="inlineStr">
        <is>
          <t>37 - 48</t>
        </is>
      </c>
      <c r="G287" s="626" t="n"/>
      <c r="H287" s="146" t="n">
        <v>229157476.0339436</v>
      </c>
      <c r="I287" s="1280" t="n"/>
      <c r="J287" s="146" t="n">
        <v>272041625.1207041</v>
      </c>
      <c r="K287" s="1280" t="n"/>
      <c r="L287" s="146" t="n">
        <v>293117796.2497182</v>
      </c>
      <c r="M287" s="1280" t="n"/>
      <c r="N287" s="146" t="n">
        <v>300777228.7238027</v>
      </c>
      <c r="O287" s="1280" t="n"/>
      <c r="P287" s="146" t="n">
        <v>304336257.1111267</v>
      </c>
      <c r="Q287" s="1280" t="n"/>
      <c r="R287" s="146" t="n">
        <v>307085827.1412675</v>
      </c>
      <c r="S287" s="1280" t="n"/>
      <c r="T287" s="146" t="n">
        <v>300634699.5114083</v>
      </c>
      <c r="U287" s="1280" t="n"/>
      <c r="V287" s="146" t="n">
        <v>290697488.8694366</v>
      </c>
      <c r="W287" s="1280" t="n"/>
      <c r="X287" s="146" t="n">
        <v>283530857.8702816</v>
      </c>
      <c r="Y287" s="1280" t="n"/>
      <c r="Z287" s="146" t="n">
        <v>279199852.2747887</v>
      </c>
      <c r="AA287" s="1280" t="n"/>
      <c r="AB287" s="146" t="n">
        <v>281808489.8230985</v>
      </c>
      <c r="AC287" s="1280" t="n"/>
      <c r="AD287" s="146" t="n">
        <v>282661984.3284506</v>
      </c>
      <c r="AE287" s="1280" t="n"/>
      <c r="AF287" s="147" t="n">
        <v>3425049583.058028</v>
      </c>
    </row>
    <row r="288">
      <c r="B288" s="626" t="n"/>
      <c r="C288" s="626" t="n"/>
      <c r="D288" s="117" t="inlineStr">
        <is>
          <t>Year 5</t>
        </is>
      </c>
      <c r="E288" s="117" t="n"/>
      <c r="F288" s="137" t="inlineStr">
        <is>
          <t>49 - 60</t>
        </is>
      </c>
      <c r="G288" s="626" t="n"/>
      <c r="H288" s="146" t="n">
        <v>387341657.1745352</v>
      </c>
      <c r="I288" s="1280" t="n"/>
      <c r="J288" s="146" t="n">
        <v>445160494.9886197</v>
      </c>
      <c r="K288" s="1280" t="n"/>
      <c r="L288" s="146" t="n">
        <v>479271475.7624788</v>
      </c>
      <c r="M288" s="1280" t="n"/>
      <c r="N288" s="146" t="n">
        <v>489384438.5388169</v>
      </c>
      <c r="O288" s="1280" t="n"/>
      <c r="P288" s="146" t="n">
        <v>493271741.952</v>
      </c>
      <c r="Q288" s="1280" t="n"/>
      <c r="R288" s="146" t="n">
        <v>496011202.7547042</v>
      </c>
      <c r="S288" s="1280" t="n"/>
      <c r="T288" s="146" t="n">
        <v>485091763.2</v>
      </c>
      <c r="U288" s="1280" t="n"/>
      <c r="V288" s="146" t="n">
        <v>473421318.8146479</v>
      </c>
      <c r="W288" s="1280" t="n"/>
      <c r="X288" s="146" t="n">
        <v>461763675.6479999</v>
      </c>
      <c r="Y288" s="1280" t="n"/>
      <c r="Z288" s="146" t="n">
        <v>454279229.7789295</v>
      </c>
      <c r="AA288" s="1280" t="n"/>
      <c r="AB288" s="146" t="n">
        <v>457206441.7892958</v>
      </c>
      <c r="AC288" s="1280" t="n"/>
      <c r="AD288" s="146" t="n">
        <v>457705689.3187605</v>
      </c>
      <c r="AE288" s="1280" t="n"/>
      <c r="AF288" s="147" t="n">
        <v>5579909129.720788</v>
      </c>
    </row>
  </sheetData>
  <mergeCells count="60">
    <mergeCell ref="D104:F104"/>
    <mergeCell ref="D160:F160"/>
    <mergeCell ref="D213:F213"/>
    <mergeCell ref="D154:F154"/>
    <mergeCell ref="D116:F116"/>
    <mergeCell ref="D225:F225"/>
    <mergeCell ref="D141:F141"/>
    <mergeCell ref="D70:F70"/>
    <mergeCell ref="H131:AF131"/>
    <mergeCell ref="D206:F206"/>
    <mergeCell ref="H27:AF27"/>
    <mergeCell ref="D166:F166"/>
    <mergeCell ref="D147:F147"/>
    <mergeCell ref="D78:F78"/>
    <mergeCell ref="D214:F214"/>
    <mergeCell ref="D212:F212"/>
    <mergeCell ref="D230:F230"/>
    <mergeCell ref="D71:F71"/>
    <mergeCell ref="D93:F93"/>
    <mergeCell ref="D224:F224"/>
    <mergeCell ref="D220:F220"/>
    <mergeCell ref="D56:F56"/>
    <mergeCell ref="D167:F167"/>
    <mergeCell ref="D165:F165"/>
    <mergeCell ref="D143:F143"/>
    <mergeCell ref="D74:F74"/>
    <mergeCell ref="D161:F161"/>
    <mergeCell ref="D114:F114"/>
    <mergeCell ref="D226:F226"/>
    <mergeCell ref="D232:F232"/>
    <mergeCell ref="D55:F55"/>
    <mergeCell ref="D89:F89"/>
    <mergeCell ref="D142:F142"/>
    <mergeCell ref="D231:F231"/>
    <mergeCell ref="D207:F207"/>
    <mergeCell ref="H10:AF10"/>
    <mergeCell ref="D148:F148"/>
    <mergeCell ref="D85:F85"/>
    <mergeCell ref="D123:F123"/>
    <mergeCell ref="D54:F54"/>
    <mergeCell ref="H44:AF44"/>
    <mergeCell ref="D59:F59"/>
    <mergeCell ref="D153:F153"/>
    <mergeCell ref="D115:F115"/>
    <mergeCell ref="D69:F69"/>
    <mergeCell ref="D100:F100"/>
    <mergeCell ref="D63:F63"/>
    <mergeCell ref="D218:F218"/>
    <mergeCell ref="D119:F119"/>
    <mergeCell ref="D99:F99"/>
    <mergeCell ref="D219:F219"/>
    <mergeCell ref="D159:F159"/>
    <mergeCell ref="H173:AF173"/>
    <mergeCell ref="D208:F208"/>
    <mergeCell ref="D84:F84"/>
    <mergeCell ref="D155:F155"/>
    <mergeCell ref="D149:F149"/>
    <mergeCell ref="D101:F101"/>
    <mergeCell ref="D108:F108"/>
    <mergeCell ref="D86:F86"/>
  </mergeCells>
  <printOptions horizontalCentered="1" gridLines="1"/>
  <pageMargins left="0.7" right="0.7" top="0.75" bottom="0.75" header="0" footer="0"/>
  <pageSetup orientation="landscape" fitToHeight="0" pageOrder="overThenDown" cellComments="atEnd"/>
</worksheet>
</file>

<file path=xl/worksheets/sheet35.xml><?xml version="1.0" encoding="utf-8"?>
<worksheet xmlns="http://schemas.openxmlformats.org/spreadsheetml/2006/main">
  <sheetPr>
    <tabColor theme="5"/>
    <outlinePr summaryBelow="0" summaryRight="0"/>
    <pageSetUpPr fitToPage="1"/>
  </sheetPr>
  <dimension ref="D1:BS79"/>
  <sheetViews>
    <sheetView workbookViewId="0">
      <selection activeCell="Q67" sqref="Q67"/>
    </sheetView>
  </sheetViews>
  <sheetFormatPr baseColWidth="10" defaultColWidth="17.33203125" defaultRowHeight="15" customHeight="1"/>
  <cols>
    <col width="2.6640625" customWidth="1" style="1883" min="1" max="3"/>
    <col width="18.6640625" customWidth="1" style="1883" min="4" max="5"/>
    <col width="1.6640625" customWidth="1" style="1883" min="6" max="6"/>
    <col width="15.6640625" customWidth="1" style="1883" min="7" max="66"/>
    <col width="1.5" customWidth="1" style="1883" min="67" max="67"/>
    <col width="15.6640625" customWidth="1" style="1883" min="68" max="68"/>
    <col width="2.5" customWidth="1" style="1883" min="69" max="69"/>
    <col width="18.6640625" customWidth="1" style="1883" min="70" max="71"/>
    <col width="2.6640625" customWidth="1" style="1883" min="72" max="72"/>
    <col width="15.6640625" customWidth="1" style="1883" min="73" max="81"/>
  </cols>
  <sheetData>
    <row r="1" ht="13" customHeight="1" s="1883">
      <c r="D1" s="626" t="inlineStr">
        <is>
          <t>Computer App Attrition Wedge</t>
        </is>
      </c>
      <c r="E1" s="626" t="n"/>
      <c r="F1" s="626" t="n"/>
      <c r="G1" s="626" t="n"/>
      <c r="H1" s="626" t="n"/>
      <c r="I1" s="626" t="n"/>
      <c r="J1" s="626" t="n"/>
      <c r="K1" s="626" t="n"/>
      <c r="L1" s="626" t="n"/>
      <c r="M1" s="626" t="n"/>
      <c r="N1" s="626" t="n"/>
      <c r="O1" s="626" t="n"/>
      <c r="P1" s="626" t="n"/>
      <c r="Q1" s="626" t="n"/>
      <c r="R1" s="626" t="n"/>
      <c r="S1" s="626" t="n"/>
      <c r="T1" s="626" t="n"/>
      <c r="U1" s="626" t="n"/>
      <c r="V1" s="626" t="n"/>
      <c r="W1" s="626" t="n"/>
      <c r="X1" s="626" t="n"/>
      <c r="Y1" s="626" t="n"/>
      <c r="Z1" s="626" t="n"/>
      <c r="AA1" s="626" t="n"/>
      <c r="AB1" s="626" t="n"/>
      <c r="AC1" s="626" t="n"/>
      <c r="AD1" s="626" t="n"/>
      <c r="AE1" s="626" t="n"/>
      <c r="AF1" s="626" t="n"/>
      <c r="AG1" s="626" t="n"/>
      <c r="AH1" s="626" t="n"/>
      <c r="AI1" s="626" t="n"/>
      <c r="AJ1" s="626" t="n"/>
      <c r="AK1" s="626" t="n"/>
      <c r="AL1" s="626" t="n"/>
      <c r="AM1" s="626" t="n"/>
      <c r="AN1" s="626" t="n"/>
      <c r="AO1" s="626" t="n"/>
      <c r="AP1" s="626" t="n"/>
      <c r="AQ1" s="626" t="n"/>
      <c r="AR1" s="626" t="n"/>
      <c r="AS1" s="626" t="n"/>
      <c r="AT1" s="626" t="n"/>
      <c r="AU1" s="626" t="n"/>
      <c r="AV1" s="626" t="n"/>
      <c r="AW1" s="626" t="n"/>
      <c r="AX1" s="626" t="n"/>
      <c r="AY1" s="626" t="n"/>
      <c r="AZ1" s="626" t="n"/>
      <c r="BA1" s="626" t="n"/>
      <c r="BB1" s="626" t="n"/>
      <c r="BC1" s="626" t="n"/>
      <c r="BD1" s="626" t="n"/>
      <c r="BE1" s="626" t="n"/>
      <c r="BF1" s="626" t="n"/>
      <c r="BG1" s="626" t="n"/>
      <c r="BH1" s="626" t="n"/>
      <c r="BI1" s="626" t="n"/>
      <c r="BJ1" s="626" t="n"/>
      <c r="BK1" s="626" t="n"/>
      <c r="BL1" s="626" t="n"/>
      <c r="BM1" s="626" t="n"/>
      <c r="BN1" s="626" t="n"/>
      <c r="BO1" s="626" t="n"/>
      <c r="BP1" s="626" t="n"/>
      <c r="BQ1" s="626" t="n"/>
      <c r="BR1" s="626" t="n"/>
      <c r="BS1" s="626" t="n"/>
    </row>
    <row r="2" ht="13" customHeight="1" s="1883">
      <c r="D2" s="626" t="n"/>
      <c r="E2" s="626" t="n"/>
      <c r="F2" s="626" t="n"/>
      <c r="G2" s="626" t="n"/>
      <c r="H2" s="626" t="n"/>
      <c r="I2" s="626" t="n"/>
      <c r="J2" s="626" t="n"/>
      <c r="K2" s="626" t="n"/>
      <c r="L2" s="626" t="n"/>
      <c r="M2" s="626" t="n"/>
      <c r="N2" s="626" t="n"/>
      <c r="O2" s="626" t="n"/>
      <c r="P2" s="626" t="n"/>
      <c r="Q2" s="626" t="n"/>
      <c r="R2" s="626" t="n"/>
      <c r="S2" s="626" t="n"/>
      <c r="T2" s="626" t="n"/>
      <c r="U2" s="626" t="n"/>
      <c r="V2" s="626" t="n"/>
      <c r="W2" s="626" t="n"/>
      <c r="X2" s="626" t="n"/>
      <c r="Y2" s="626" t="n"/>
      <c r="Z2" s="626" t="n"/>
      <c r="AA2" s="626" t="n"/>
      <c r="AB2" s="626" t="n"/>
      <c r="AC2" s="626" t="n"/>
      <c r="AD2" s="626" t="n"/>
      <c r="AE2" s="626" t="n"/>
      <c r="AF2" s="626" t="n"/>
      <c r="AG2" s="626" t="n"/>
      <c r="AH2" s="626" t="n"/>
      <c r="AI2" s="626" t="n"/>
      <c r="AJ2" s="626" t="n"/>
      <c r="AK2" s="626" t="n"/>
      <c r="AL2" s="626" t="n"/>
      <c r="AM2" s="626" t="n"/>
      <c r="AN2" s="626" t="n"/>
      <c r="AO2" s="626" t="n"/>
      <c r="AP2" s="626" t="n"/>
      <c r="AQ2" s="626" t="n"/>
      <c r="AR2" s="626" t="n"/>
      <c r="AS2" s="626" t="n"/>
      <c r="AT2" s="626" t="n"/>
      <c r="AU2" s="626" t="n"/>
      <c r="AV2" s="626" t="n"/>
      <c r="AW2" s="626" t="n"/>
      <c r="AX2" s="626" t="n"/>
      <c r="AY2" s="626" t="n"/>
      <c r="AZ2" s="626" t="n"/>
      <c r="BA2" s="626" t="n"/>
      <c r="BB2" s="626" t="n"/>
      <c r="BC2" s="626" t="n"/>
      <c r="BD2" s="626" t="n"/>
      <c r="BE2" s="626" t="n"/>
      <c r="BF2" s="626" t="n"/>
      <c r="BG2" s="626" t="n"/>
      <c r="BH2" s="626" t="n"/>
      <c r="BI2" s="626" t="n"/>
      <c r="BJ2" s="626" t="n"/>
      <c r="BK2" s="626" t="n"/>
      <c r="BL2" s="626" t="n"/>
      <c r="BM2" s="626" t="n"/>
      <c r="BN2" s="626" t="n"/>
      <c r="BO2" s="626" t="n"/>
      <c r="BP2" s="626" t="n"/>
      <c r="BQ2" s="626" t="n"/>
      <c r="BR2" s="626" t="n"/>
      <c r="BS2" s="626" t="n"/>
    </row>
    <row r="3">
      <c r="D3" s="117" t="inlineStr">
        <is>
          <t>Monthly Attrition</t>
        </is>
      </c>
      <c r="E3" s="148" t="n">
        <v>0.034</v>
      </c>
      <c r="F3" s="626" t="n"/>
      <c r="G3" s="626" t="n"/>
      <c r="H3" s="626" t="n"/>
      <c r="I3" s="626" t="n"/>
      <c r="J3" s="626" t="n"/>
      <c r="K3" s="626" t="n"/>
      <c r="L3" s="626" t="n"/>
      <c r="M3" s="626" t="n"/>
      <c r="N3" s="626" t="n"/>
      <c r="O3" s="626" t="n"/>
      <c r="P3" s="626" t="n"/>
      <c r="Q3" s="626" t="n"/>
      <c r="R3" s="626" t="n"/>
      <c r="S3" s="626" t="n"/>
      <c r="T3" s="626" t="n"/>
      <c r="U3" s="626" t="n"/>
      <c r="V3" s="626" t="n"/>
      <c r="W3" s="626" t="n"/>
      <c r="X3" s="626" t="n"/>
      <c r="Y3" s="626" t="n"/>
      <c r="Z3" s="626" t="n"/>
      <c r="AA3" s="626" t="n"/>
      <c r="AB3" s="626" t="n"/>
      <c r="AC3" s="626" t="n"/>
      <c r="AD3" s="626" t="n"/>
      <c r="AE3" s="626" t="n"/>
      <c r="AF3" s="626" t="n"/>
      <c r="AG3" s="626" t="n"/>
      <c r="AH3" s="626" t="n"/>
      <c r="AI3" s="626" t="n"/>
      <c r="AJ3" s="626" t="n"/>
      <c r="AK3" s="626" t="n"/>
      <c r="AL3" s="626" t="n"/>
      <c r="AM3" s="626" t="n"/>
      <c r="AN3" s="626" t="n"/>
      <c r="AO3" s="626" t="n"/>
      <c r="AP3" s="626" t="n"/>
      <c r="AQ3" s="626" t="n"/>
      <c r="AR3" s="626" t="n"/>
      <c r="AS3" s="626" t="n"/>
      <c r="AT3" s="626" t="n"/>
      <c r="AU3" s="626" t="n"/>
      <c r="AV3" s="626" t="n"/>
      <c r="AW3" s="626" t="n"/>
      <c r="AX3" s="626" t="n"/>
      <c r="AY3" s="626" t="n"/>
      <c r="AZ3" s="626" t="n"/>
      <c r="BA3" s="626" t="n"/>
      <c r="BB3" s="626" t="n"/>
      <c r="BC3" s="626" t="n"/>
      <c r="BD3" s="626" t="n"/>
      <c r="BE3" s="626" t="n"/>
      <c r="BF3" s="626" t="n"/>
      <c r="BG3" s="626" t="n"/>
      <c r="BH3" s="626" t="n"/>
      <c r="BI3" s="626" t="n"/>
      <c r="BJ3" s="626" t="n"/>
      <c r="BK3" s="626" t="n"/>
      <c r="BL3" s="626" t="n"/>
      <c r="BM3" s="626" t="n"/>
      <c r="BN3" s="626" t="n"/>
      <c r="BO3" s="626" t="n"/>
      <c r="BP3" s="626" t="n"/>
      <c r="BQ3" s="626" t="n"/>
      <c r="BR3" s="626" t="n"/>
      <c r="BS3" s="626" t="n"/>
    </row>
    <row r="4" ht="13" customHeight="1" s="1883">
      <c r="D4" s="626" t="n"/>
      <c r="E4" s="626" t="n"/>
      <c r="F4" s="626" t="n"/>
      <c r="G4" s="626" t="n"/>
      <c r="H4" s="626" t="n"/>
      <c r="I4" s="626" t="n"/>
      <c r="J4" s="626" t="n"/>
      <c r="K4" s="626" t="n"/>
      <c r="L4" s="626" t="n"/>
      <c r="M4" s="626" t="n"/>
      <c r="N4" s="626" t="n"/>
      <c r="O4" s="626" t="n"/>
      <c r="P4" s="626" t="n"/>
      <c r="Q4" s="626" t="n"/>
      <c r="R4" s="626" t="n"/>
      <c r="S4" s="626" t="n"/>
      <c r="T4" s="626" t="n"/>
      <c r="U4" s="626" t="n"/>
      <c r="V4" s="626" t="n"/>
      <c r="W4" s="626" t="n"/>
      <c r="X4" s="626" t="n"/>
      <c r="Y4" s="626" t="n"/>
      <c r="Z4" s="626" t="n"/>
      <c r="AA4" s="626" t="n"/>
      <c r="AB4" s="626" t="n"/>
      <c r="AC4" s="626" t="n"/>
      <c r="AD4" s="626" t="n"/>
      <c r="AE4" s="626" t="n"/>
      <c r="AF4" s="626" t="n"/>
      <c r="AG4" s="626" t="n"/>
      <c r="AH4" s="626" t="n"/>
      <c r="AI4" s="626" t="n"/>
      <c r="AJ4" s="626" t="n"/>
      <c r="AK4" s="626" t="n"/>
      <c r="AL4" s="626" t="n"/>
      <c r="AM4" s="626" t="n"/>
      <c r="AN4" s="626" t="n"/>
      <c r="AO4" s="626" t="n"/>
      <c r="AP4" s="626" t="n"/>
      <c r="AQ4" s="626" t="n"/>
      <c r="AR4" s="626" t="n"/>
      <c r="AS4" s="626" t="n"/>
      <c r="AT4" s="626" t="n"/>
      <c r="AU4" s="626" t="n"/>
      <c r="AV4" s="626" t="n"/>
      <c r="AW4" s="626" t="n"/>
      <c r="AX4" s="626" t="n"/>
      <c r="AY4" s="626" t="n"/>
      <c r="AZ4" s="626" t="n"/>
      <c r="BA4" s="626" t="n"/>
      <c r="BB4" s="626" t="n"/>
      <c r="BC4" s="626" t="n"/>
      <c r="BD4" s="626" t="n"/>
      <c r="BE4" s="626" t="n"/>
      <c r="BF4" s="626" t="n"/>
      <c r="BG4" s="626" t="n"/>
      <c r="BH4" s="626" t="n"/>
      <c r="BI4" s="626" t="n"/>
      <c r="BJ4" s="626" t="n"/>
      <c r="BK4" s="626" t="n"/>
      <c r="BL4" s="626" t="n"/>
      <c r="BM4" s="626" t="n"/>
      <c r="BN4" s="626" t="n"/>
      <c r="BO4" s="626" t="n"/>
      <c r="BP4" s="626" t="n"/>
      <c r="BQ4" s="626" t="n"/>
      <c r="BR4" s="626" t="n"/>
      <c r="BS4" s="626" t="n"/>
    </row>
    <row r="5" ht="13" customHeight="1" s="1883">
      <c r="D5" s="626" t="n"/>
      <c r="E5" s="626" t="n"/>
      <c r="F5" s="626" t="n"/>
      <c r="G5" s="626" t="n"/>
      <c r="H5" s="626" t="n"/>
      <c r="I5" s="626" t="n"/>
      <c r="J5" s="626" t="n"/>
      <c r="K5" s="626" t="n"/>
      <c r="L5" s="626" t="n"/>
      <c r="M5" s="626" t="n"/>
      <c r="N5" s="626" t="n"/>
      <c r="O5" s="626" t="n"/>
      <c r="P5" s="626" t="n"/>
      <c r="Q5" s="626" t="n"/>
      <c r="R5" s="626" t="n"/>
      <c r="S5" s="626" t="n"/>
      <c r="T5" s="626" t="n"/>
      <c r="U5" s="626" t="n"/>
      <c r="V5" s="626" t="n"/>
      <c r="W5" s="626" t="n"/>
      <c r="X5" s="626" t="n"/>
      <c r="Y5" s="626" t="n"/>
      <c r="Z5" s="626" t="n"/>
      <c r="AA5" s="626" t="n"/>
      <c r="AB5" s="626" t="n"/>
      <c r="AC5" s="626" t="n"/>
      <c r="AD5" s="626" t="n"/>
      <c r="AE5" s="626" t="n"/>
      <c r="AF5" s="626" t="n"/>
      <c r="AG5" s="626" t="n"/>
      <c r="AH5" s="626" t="n"/>
      <c r="AI5" s="626" t="n"/>
      <c r="AJ5" s="626" t="n"/>
      <c r="AK5" s="626" t="n"/>
      <c r="AL5" s="626" t="n"/>
      <c r="AM5" s="626" t="n"/>
      <c r="AN5" s="626" t="n"/>
      <c r="AO5" s="626" t="n"/>
      <c r="AP5" s="626" t="n"/>
      <c r="AQ5" s="626" t="n"/>
      <c r="AR5" s="626" t="n"/>
      <c r="AS5" s="626" t="n"/>
      <c r="AT5" s="626" t="n"/>
      <c r="AU5" s="626" t="n"/>
      <c r="AV5" s="626" t="n"/>
      <c r="AW5" s="626" t="n"/>
      <c r="AX5" s="626" t="n"/>
      <c r="AY5" s="626" t="n"/>
      <c r="AZ5" s="626" t="n"/>
      <c r="BA5" s="626" t="n"/>
      <c r="BB5" s="626" t="n"/>
      <c r="BC5" s="626" t="n"/>
      <c r="BD5" s="626" t="n"/>
      <c r="BE5" s="626" t="n"/>
      <c r="BF5" s="626" t="n"/>
      <c r="BG5" s="626" t="n"/>
      <c r="BH5" s="626" t="n"/>
      <c r="BI5" s="626" t="n"/>
      <c r="BJ5" s="626" t="n"/>
      <c r="BK5" s="626" t="n"/>
      <c r="BL5" s="626" t="n"/>
      <c r="BM5" s="626" t="n"/>
      <c r="BN5" s="626" t="n"/>
      <c r="BO5" s="626" t="n"/>
      <c r="BP5" s="626" t="n"/>
      <c r="BQ5" s="626" t="n"/>
      <c r="BR5" s="626" t="n"/>
      <c r="BS5" s="626" t="n"/>
    </row>
    <row r="6">
      <c r="D6" s="626" t="n"/>
      <c r="E6" s="626" t="n"/>
      <c r="F6" s="626" t="n"/>
      <c r="G6" s="1915" t="inlineStr">
        <is>
          <t>Month of Attrition</t>
        </is>
      </c>
      <c r="BQ6" s="626" t="n"/>
      <c r="BR6" s="1915" t="inlineStr">
        <is>
          <t>Check</t>
        </is>
      </c>
    </row>
    <row r="7" ht="3" customHeight="1" s="1883">
      <c r="D7" s="626" t="n"/>
      <c r="E7" s="626" t="n"/>
      <c r="F7" s="626" t="n"/>
      <c r="G7" s="926" t="n"/>
      <c r="H7" s="926" t="n"/>
      <c r="I7" s="926" t="n"/>
      <c r="J7" s="926" t="n"/>
      <c r="K7" s="926" t="n"/>
      <c r="L7" s="926" t="n"/>
      <c r="M7" s="926" t="n"/>
      <c r="N7" s="926" t="n"/>
      <c r="O7" s="926" t="n"/>
      <c r="P7" s="926" t="n"/>
      <c r="Q7" s="926" t="n"/>
      <c r="R7" s="926" t="n"/>
      <c r="S7" s="926" t="n"/>
      <c r="T7" s="926" t="n"/>
      <c r="U7" s="926" t="n"/>
      <c r="V7" s="926" t="n"/>
      <c r="W7" s="926" t="n"/>
      <c r="X7" s="926" t="n"/>
      <c r="Y7" s="926" t="n"/>
      <c r="Z7" s="926" t="n"/>
      <c r="AA7" s="926" t="n"/>
      <c r="AB7" s="926" t="n"/>
      <c r="AC7" s="926" t="n"/>
      <c r="AD7" s="926" t="n"/>
      <c r="AE7" s="926" t="n"/>
      <c r="AF7" s="926" t="n"/>
      <c r="AG7" s="926" t="n"/>
      <c r="AH7" s="926" t="n"/>
      <c r="AI7" s="926" t="n"/>
      <c r="AJ7" s="926" t="n"/>
      <c r="AK7" s="926" t="n"/>
      <c r="AL7" s="926" t="n"/>
      <c r="AM7" s="926" t="n"/>
      <c r="AN7" s="926" t="n"/>
      <c r="AO7" s="926" t="n"/>
      <c r="AP7" s="926" t="n"/>
      <c r="AQ7" s="926" t="n"/>
      <c r="AR7" s="926" t="n"/>
      <c r="AS7" s="926" t="n"/>
      <c r="AT7" s="926" t="n"/>
      <c r="AU7" s="926" t="n"/>
      <c r="AV7" s="926" t="n"/>
      <c r="AW7" s="926" t="n"/>
      <c r="AX7" s="926" t="n"/>
      <c r="AY7" s="926" t="n"/>
      <c r="AZ7" s="926" t="n"/>
      <c r="BA7" s="926" t="n"/>
      <c r="BB7" s="926" t="n"/>
      <c r="BC7" s="926" t="n"/>
      <c r="BD7" s="926" t="n"/>
      <c r="BE7" s="926" t="n"/>
      <c r="BF7" s="926" t="n"/>
      <c r="BG7" s="926" t="n"/>
      <c r="BH7" s="926" t="n"/>
      <c r="BI7" s="926" t="n"/>
      <c r="BJ7" s="926" t="n"/>
      <c r="BK7" s="926" t="n"/>
      <c r="BL7" s="926" t="n"/>
      <c r="BM7" s="926" t="n"/>
      <c r="BN7" s="926" t="n"/>
      <c r="BO7" s="626" t="n"/>
      <c r="BP7" s="926" t="n"/>
      <c r="BQ7" s="626" t="n"/>
      <c r="BR7" s="926" t="n"/>
      <c r="BS7" s="926" t="n"/>
    </row>
    <row r="8" ht="3" customHeight="1" s="1883">
      <c r="D8" s="626" t="n"/>
      <c r="E8" s="626" t="n"/>
      <c r="F8" s="626" t="n"/>
      <c r="G8" s="626" t="n"/>
      <c r="H8" s="626" t="n"/>
      <c r="I8" s="626" t="n"/>
      <c r="J8" s="626" t="n"/>
      <c r="K8" s="626" t="n"/>
      <c r="L8" s="626" t="n"/>
      <c r="M8" s="626" t="n"/>
      <c r="N8" s="626" t="n"/>
      <c r="O8" s="626" t="n"/>
      <c r="P8" s="626" t="n"/>
      <c r="Q8" s="626" t="n"/>
      <c r="R8" s="626" t="n"/>
      <c r="S8" s="626" t="n"/>
      <c r="T8" s="626" t="n"/>
      <c r="U8" s="626" t="n"/>
      <c r="V8" s="626" t="n"/>
      <c r="W8" s="626" t="n"/>
      <c r="X8" s="626" t="n"/>
      <c r="Y8" s="626" t="n"/>
      <c r="Z8" s="626" t="n"/>
      <c r="AA8" s="626" t="n"/>
      <c r="AB8" s="626" t="n"/>
      <c r="AC8" s="626" t="n"/>
      <c r="AD8" s="626" t="n"/>
      <c r="AE8" s="626" t="n"/>
      <c r="AF8" s="626" t="n"/>
      <c r="AG8" s="626" t="n"/>
      <c r="AH8" s="626" t="n"/>
      <c r="AI8" s="626" t="n"/>
      <c r="AJ8" s="626" t="n"/>
      <c r="AK8" s="626" t="n"/>
      <c r="AL8" s="626" t="n"/>
      <c r="AM8" s="626" t="n"/>
      <c r="AN8" s="626" t="n"/>
      <c r="AO8" s="626" t="n"/>
      <c r="AP8" s="626" t="n"/>
      <c r="AQ8" s="626" t="n"/>
      <c r="AR8" s="626" t="n"/>
      <c r="AS8" s="626" t="n"/>
      <c r="AT8" s="626" t="n"/>
      <c r="AU8" s="626" t="n"/>
      <c r="AV8" s="626" t="n"/>
      <c r="AW8" s="626" t="n"/>
      <c r="AX8" s="626" t="n"/>
      <c r="AY8" s="626" t="n"/>
      <c r="AZ8" s="626" t="n"/>
      <c r="BA8" s="626" t="n"/>
      <c r="BB8" s="626" t="n"/>
      <c r="BC8" s="626" t="n"/>
      <c r="BD8" s="626" t="n"/>
      <c r="BE8" s="626" t="n"/>
      <c r="BF8" s="626" t="n"/>
      <c r="BG8" s="626" t="n"/>
      <c r="BH8" s="626" t="n"/>
      <c r="BI8" s="626" t="n"/>
      <c r="BJ8" s="626" t="n"/>
      <c r="BK8" s="626" t="n"/>
      <c r="BL8" s="626" t="n"/>
      <c r="BM8" s="626" t="n"/>
      <c r="BN8" s="626" t="n"/>
      <c r="BO8" s="626" t="n"/>
      <c r="BP8" s="626" t="n"/>
      <c r="BQ8" s="626" t="n"/>
      <c r="BR8" s="626" t="n"/>
      <c r="BS8" s="626" t="n"/>
    </row>
    <row r="9">
      <c r="D9" s="117" t="inlineStr">
        <is>
          <t>Sale Vintage</t>
        </is>
      </c>
      <c r="E9" s="117" t="inlineStr">
        <is>
          <t>Volume</t>
        </is>
      </c>
      <c r="F9" s="626" t="n"/>
      <c r="G9" s="117" t="inlineStr">
        <is>
          <t>Month 1</t>
        </is>
      </c>
      <c r="H9" s="117" t="inlineStr">
        <is>
          <t>Month 2</t>
        </is>
      </c>
      <c r="I9" s="117" t="inlineStr">
        <is>
          <t>Month 3</t>
        </is>
      </c>
      <c r="J9" s="117" t="inlineStr">
        <is>
          <t>Month 4</t>
        </is>
      </c>
      <c r="K9" s="117" t="inlineStr">
        <is>
          <t>Month 5</t>
        </is>
      </c>
      <c r="L9" s="117" t="inlineStr">
        <is>
          <t>Month 6</t>
        </is>
      </c>
      <c r="M9" s="117" t="inlineStr">
        <is>
          <t>Month 7</t>
        </is>
      </c>
      <c r="N9" s="117" t="inlineStr">
        <is>
          <t>Month 8</t>
        </is>
      </c>
      <c r="O9" s="117" t="inlineStr">
        <is>
          <t>Month 9</t>
        </is>
      </c>
      <c r="P9" s="117" t="inlineStr">
        <is>
          <t>Month 10</t>
        </is>
      </c>
      <c r="Q9" s="117" t="inlineStr">
        <is>
          <t>Month 11</t>
        </is>
      </c>
      <c r="R9" s="966" t="inlineStr">
        <is>
          <t>Month 12</t>
        </is>
      </c>
      <c r="S9" s="117" t="inlineStr">
        <is>
          <t>Month 13</t>
        </is>
      </c>
      <c r="T9" s="117" t="inlineStr">
        <is>
          <t>Month 14</t>
        </is>
      </c>
      <c r="U9" s="117" t="inlineStr">
        <is>
          <t>Month 15</t>
        </is>
      </c>
      <c r="V9" s="117" t="inlineStr">
        <is>
          <t>Month 16</t>
        </is>
      </c>
      <c r="W9" s="117" t="inlineStr">
        <is>
          <t>Month 17</t>
        </is>
      </c>
      <c r="X9" s="117" t="inlineStr">
        <is>
          <t>Month 18</t>
        </is>
      </c>
      <c r="Y9" s="117" t="inlineStr">
        <is>
          <t>Month 19</t>
        </is>
      </c>
      <c r="Z9" s="117" t="inlineStr">
        <is>
          <t>Month 20</t>
        </is>
      </c>
      <c r="AA9" s="117" t="inlineStr">
        <is>
          <t>Month 21</t>
        </is>
      </c>
      <c r="AB9" s="117" t="inlineStr">
        <is>
          <t>Month 22</t>
        </is>
      </c>
      <c r="AC9" s="117" t="inlineStr">
        <is>
          <t>Month 23</t>
        </is>
      </c>
      <c r="AD9" s="966" t="inlineStr">
        <is>
          <t>Month 24</t>
        </is>
      </c>
      <c r="AE9" s="117" t="inlineStr">
        <is>
          <t>Month 25</t>
        </is>
      </c>
      <c r="AF9" s="117" t="inlineStr">
        <is>
          <t>Month 26</t>
        </is>
      </c>
      <c r="AG9" s="117" t="inlineStr">
        <is>
          <t>Month 27</t>
        </is>
      </c>
      <c r="AH9" s="117" t="inlineStr">
        <is>
          <t>Month 28</t>
        </is>
      </c>
      <c r="AI9" s="117" t="inlineStr">
        <is>
          <t>Month 29</t>
        </is>
      </c>
      <c r="AJ9" s="117" t="inlineStr">
        <is>
          <t>Month 30</t>
        </is>
      </c>
      <c r="AK9" s="117" t="inlineStr">
        <is>
          <t>Month 31</t>
        </is>
      </c>
      <c r="AL9" s="117" t="inlineStr">
        <is>
          <t>Month 32</t>
        </is>
      </c>
      <c r="AM9" s="117" t="inlineStr">
        <is>
          <t>Month 33</t>
        </is>
      </c>
      <c r="AN9" s="117" t="inlineStr">
        <is>
          <t>Month 34</t>
        </is>
      </c>
      <c r="AO9" s="117" t="inlineStr">
        <is>
          <t>Month 35</t>
        </is>
      </c>
      <c r="AP9" s="966" t="inlineStr">
        <is>
          <t>Month 36</t>
        </is>
      </c>
      <c r="AQ9" s="117" t="inlineStr">
        <is>
          <t>Month 37</t>
        </is>
      </c>
      <c r="AR9" s="117" t="inlineStr">
        <is>
          <t>Month 38</t>
        </is>
      </c>
      <c r="AS9" s="117" t="inlineStr">
        <is>
          <t>Month 39</t>
        </is>
      </c>
      <c r="AT9" s="117" t="inlineStr">
        <is>
          <t>Month 40</t>
        </is>
      </c>
      <c r="AU9" s="117" t="inlineStr">
        <is>
          <t>Month 41</t>
        </is>
      </c>
      <c r="AV9" s="117" t="inlineStr">
        <is>
          <t>Month 42</t>
        </is>
      </c>
      <c r="AW9" s="117" t="inlineStr">
        <is>
          <t>Month 43</t>
        </is>
      </c>
      <c r="AX9" s="117" t="inlineStr">
        <is>
          <t>Month 44</t>
        </is>
      </c>
      <c r="AY9" s="117" t="inlineStr">
        <is>
          <t>Month 45</t>
        </is>
      </c>
      <c r="AZ9" s="117" t="inlineStr">
        <is>
          <t>Month 46</t>
        </is>
      </c>
      <c r="BA9" s="117" t="inlineStr">
        <is>
          <t>Month 47</t>
        </is>
      </c>
      <c r="BB9" s="966" t="inlineStr">
        <is>
          <t>Month 48</t>
        </is>
      </c>
      <c r="BC9" s="117" t="inlineStr">
        <is>
          <t>Month 49</t>
        </is>
      </c>
      <c r="BD9" s="117" t="inlineStr">
        <is>
          <t>Month 50</t>
        </is>
      </c>
      <c r="BE9" s="117" t="inlineStr">
        <is>
          <t>Month 51</t>
        </is>
      </c>
      <c r="BF9" s="117" t="inlineStr">
        <is>
          <t>Month 52</t>
        </is>
      </c>
      <c r="BG9" s="117" t="inlineStr">
        <is>
          <t>Month 53</t>
        </is>
      </c>
      <c r="BH9" s="117" t="inlineStr">
        <is>
          <t>Month 54</t>
        </is>
      </c>
      <c r="BI9" s="117" t="inlineStr">
        <is>
          <t>Month 55</t>
        </is>
      </c>
      <c r="BJ9" s="117" t="inlineStr">
        <is>
          <t>Month 56</t>
        </is>
      </c>
      <c r="BK9" s="117" t="inlineStr">
        <is>
          <t>Month 57</t>
        </is>
      </c>
      <c r="BL9" s="117" t="inlineStr">
        <is>
          <t>Month 58</t>
        </is>
      </c>
      <c r="BM9" s="117" t="inlineStr">
        <is>
          <t>Month 59</t>
        </is>
      </c>
      <c r="BN9" s="117" t="inlineStr">
        <is>
          <t>Month 60</t>
        </is>
      </c>
      <c r="BO9" s="626" t="n"/>
      <c r="BP9" s="117" t="inlineStr">
        <is>
          <t>Ʃ, Months 2 - 60</t>
        </is>
      </c>
      <c r="BQ9" s="626" t="n"/>
      <c r="BR9" s="117" t="inlineStr">
        <is>
          <t>Sales</t>
        </is>
      </c>
      <c r="BS9" s="924" t="inlineStr">
        <is>
          <t>Variance</t>
        </is>
      </c>
    </row>
    <row r="10" ht="3" customHeight="1" s="1883">
      <c r="D10" s="926" t="n"/>
      <c r="E10" s="926" t="n"/>
      <c r="F10" s="626" t="n"/>
      <c r="G10" s="926" t="n"/>
      <c r="H10" s="926" t="n"/>
      <c r="I10" s="926" t="n"/>
      <c r="J10" s="926" t="n"/>
      <c r="K10" s="926" t="n"/>
      <c r="L10" s="926" t="n"/>
      <c r="M10" s="926" t="n"/>
      <c r="N10" s="926" t="n"/>
      <c r="O10" s="926" t="n"/>
      <c r="P10" s="926" t="n"/>
      <c r="Q10" s="926" t="n"/>
      <c r="R10" s="967" t="n"/>
      <c r="S10" s="926" t="n"/>
      <c r="T10" s="926" t="n"/>
      <c r="U10" s="926" t="n"/>
      <c r="V10" s="926" t="n"/>
      <c r="W10" s="926" t="n"/>
      <c r="X10" s="926" t="n"/>
      <c r="Y10" s="926" t="n"/>
      <c r="Z10" s="926" t="n"/>
      <c r="AA10" s="926" t="n"/>
      <c r="AB10" s="926" t="n"/>
      <c r="AC10" s="926" t="n"/>
      <c r="AD10" s="967" t="n"/>
      <c r="AE10" s="926" t="n"/>
      <c r="AF10" s="926" t="n"/>
      <c r="AG10" s="926" t="n"/>
      <c r="AH10" s="926" t="n"/>
      <c r="AI10" s="926" t="n"/>
      <c r="AJ10" s="926" t="n"/>
      <c r="AK10" s="926" t="n"/>
      <c r="AL10" s="926" t="n"/>
      <c r="AM10" s="926" t="n"/>
      <c r="AN10" s="926" t="n"/>
      <c r="AO10" s="926" t="n"/>
      <c r="AP10" s="967" t="n"/>
      <c r="AQ10" s="926" t="n"/>
      <c r="AR10" s="926" t="n"/>
      <c r="AS10" s="926" t="n"/>
      <c r="AT10" s="926" t="n"/>
      <c r="AU10" s="926" t="n"/>
      <c r="AV10" s="926" t="n"/>
      <c r="AW10" s="926" t="n"/>
      <c r="AX10" s="926" t="n"/>
      <c r="AY10" s="926" t="n"/>
      <c r="AZ10" s="926" t="n"/>
      <c r="BA10" s="926" t="n"/>
      <c r="BB10" s="967" t="n"/>
      <c r="BC10" s="926" t="n"/>
      <c r="BD10" s="926" t="n"/>
      <c r="BE10" s="926" t="n"/>
      <c r="BF10" s="926" t="n"/>
      <c r="BG10" s="926" t="n"/>
      <c r="BH10" s="926" t="n"/>
      <c r="BI10" s="926" t="n"/>
      <c r="BJ10" s="926" t="n"/>
      <c r="BK10" s="926" t="n"/>
      <c r="BL10" s="926" t="n"/>
      <c r="BM10" s="926" t="n"/>
      <c r="BN10" s="926" t="n"/>
      <c r="BO10" s="626" t="n"/>
      <c r="BP10" s="926" t="n"/>
      <c r="BQ10" s="626" t="n"/>
      <c r="BR10" s="926" t="n"/>
      <c r="BS10" s="926" t="n"/>
    </row>
    <row r="11" ht="3" customHeight="1" s="1883">
      <c r="D11" s="626" t="n"/>
      <c r="E11" s="626" t="n"/>
      <c r="F11" s="626" t="n"/>
      <c r="G11" s="1968" t="n"/>
      <c r="H11" s="626" t="n"/>
      <c r="I11" s="626" t="n"/>
      <c r="J11" s="626" t="n"/>
      <c r="K11" s="626" t="n"/>
      <c r="L11" s="626" t="n"/>
      <c r="M11" s="626" t="n"/>
      <c r="N11" s="626" t="n"/>
      <c r="O11" s="626" t="n"/>
      <c r="P11" s="626" t="n"/>
      <c r="Q11" s="626" t="n"/>
      <c r="R11" s="969" t="n"/>
      <c r="S11" s="626" t="n"/>
      <c r="T11" s="626" t="n"/>
      <c r="U11" s="626" t="n"/>
      <c r="V11" s="626" t="n"/>
      <c r="W11" s="626" t="n"/>
      <c r="X11" s="626" t="n"/>
      <c r="Y11" s="626" t="n"/>
      <c r="Z11" s="626" t="n"/>
      <c r="AA11" s="626" t="n"/>
      <c r="AB11" s="1968" t="n"/>
      <c r="AC11" s="1968" t="n"/>
      <c r="AD11" s="969" t="n"/>
      <c r="AE11" s="1968" t="n"/>
      <c r="AF11" s="1968" t="n"/>
      <c r="AG11" s="1968" t="n"/>
      <c r="AH11" s="1968" t="n"/>
      <c r="AI11" s="1968" t="n"/>
      <c r="AJ11" s="1968" t="n"/>
      <c r="AK11" s="1968" t="n"/>
      <c r="AL11" s="1968" t="n"/>
      <c r="AM11" s="1968" t="n"/>
      <c r="AN11" s="1968" t="n"/>
      <c r="AO11" s="1968" t="n"/>
      <c r="AP11" s="969" t="n"/>
      <c r="AQ11" s="1968" t="n"/>
      <c r="AR11" s="1968" t="n"/>
      <c r="AS11" s="1968" t="n"/>
      <c r="AT11" s="1968" t="n"/>
      <c r="AU11" s="1968" t="n"/>
      <c r="AV11" s="1968" t="n"/>
      <c r="AW11" s="1968" t="n"/>
      <c r="AX11" s="1968" t="n"/>
      <c r="AY11" s="1968" t="n"/>
      <c r="AZ11" s="1968" t="n"/>
      <c r="BA11" s="1968" t="n"/>
      <c r="BB11" s="969" t="n"/>
      <c r="BC11" s="1968" t="n"/>
      <c r="BD11" s="1968" t="n"/>
      <c r="BE11" s="1968" t="n"/>
      <c r="BF11" s="1968" t="n"/>
      <c r="BG11" s="1968" t="n"/>
      <c r="BH11" s="1968" t="n"/>
      <c r="BI11" s="1968" t="n"/>
      <c r="BJ11" s="1968" t="n"/>
      <c r="BK11" s="1968" t="n"/>
      <c r="BL11" s="1968" t="n"/>
      <c r="BM11" s="1968" t="n"/>
      <c r="BN11" s="1968" t="n"/>
      <c r="BO11" s="626" t="n"/>
      <c r="BP11" s="626" t="n"/>
      <c r="BQ11" s="626" t="n"/>
      <c r="BR11" s="626" t="n"/>
      <c r="BS11" s="626" t="n"/>
    </row>
    <row r="12">
      <c r="D12" s="149" t="inlineStr">
        <is>
          <t>Month 1</t>
        </is>
      </c>
      <c r="E12" s="139">
        <f>'P&amp;L Assumptions (Computer App)'!H17</f>
        <v/>
      </c>
      <c r="F12" s="1968" t="n"/>
      <c r="G12" s="978" t="n"/>
      <c r="H12" s="412">
        <f>(($E$12)*($E$3))</f>
        <v/>
      </c>
      <c r="I12" s="135">
        <f>(($E$12)*($E$3))</f>
        <v/>
      </c>
      <c r="J12" s="135">
        <f>(($E$12)*($E$3))</f>
        <v/>
      </c>
      <c r="K12" s="135">
        <f>(($E$12)*($E$3))</f>
        <v/>
      </c>
      <c r="L12" s="135">
        <f>(($E$12)*($E$3))</f>
        <v/>
      </c>
      <c r="M12" s="135">
        <f>(($E$12)*($E$3))</f>
        <v/>
      </c>
      <c r="N12" s="135">
        <f>(($E$12)*($E$3))</f>
        <v/>
      </c>
      <c r="O12" s="135">
        <f>(($E$12)*($E$3))</f>
        <v/>
      </c>
      <c r="P12" s="135">
        <f>(($E$12)*($E$3))</f>
        <v/>
      </c>
      <c r="Q12" s="135">
        <f>(($E$12)*($E$3))</f>
        <v/>
      </c>
      <c r="R12" s="973">
        <f>(($E$12)*($E$3))</f>
        <v/>
      </c>
      <c r="S12" s="135">
        <f>(($E$12)*($E$3))</f>
        <v/>
      </c>
      <c r="T12" s="135">
        <f>(($E$12)*($E$3))</f>
        <v/>
      </c>
      <c r="U12" s="135">
        <f>(($E$12)*($E$3))</f>
        <v/>
      </c>
      <c r="V12" s="135">
        <f>(($E$12)*($E$3))</f>
        <v/>
      </c>
      <c r="W12" s="135">
        <f>(($E$12)*($E$3))</f>
        <v/>
      </c>
      <c r="X12" s="135">
        <f>(($E$12)*($E$3))</f>
        <v/>
      </c>
      <c r="Y12" s="135">
        <f>(($E$12)*($E$3))</f>
        <v/>
      </c>
      <c r="Z12" s="135">
        <f>(($E$12)*($E$3))</f>
        <v/>
      </c>
      <c r="AA12" s="412">
        <f>(($E$12)*($E$3))</f>
        <v/>
      </c>
      <c r="AB12" s="978" t="n"/>
      <c r="AC12" s="978" t="n"/>
      <c r="AD12" s="981" t="n"/>
      <c r="AE12" s="978" t="n"/>
      <c r="AF12" s="978" t="n"/>
      <c r="AG12" s="978" t="n"/>
      <c r="AH12" s="978" t="n"/>
      <c r="AI12" s="978" t="n"/>
      <c r="AJ12" s="978" t="n"/>
      <c r="AK12" s="978" t="n"/>
      <c r="AL12" s="978" t="n"/>
      <c r="AM12" s="978" t="n"/>
      <c r="AN12" s="978" t="n"/>
      <c r="AO12" s="978" t="n"/>
      <c r="AP12" s="981" t="n"/>
      <c r="AQ12" s="978" t="n"/>
      <c r="AR12" s="978" t="n"/>
      <c r="AS12" s="978" t="n"/>
      <c r="AT12" s="978" t="n"/>
      <c r="AU12" s="978" t="n"/>
      <c r="AV12" s="978" t="n"/>
      <c r="AW12" s="978" t="n"/>
      <c r="AX12" s="978" t="n"/>
      <c r="AY12" s="978" t="n"/>
      <c r="AZ12" s="978" t="n"/>
      <c r="BA12" s="978" t="n"/>
      <c r="BB12" s="981" t="n"/>
      <c r="BC12" s="978" t="n"/>
      <c r="BD12" s="978" t="n"/>
      <c r="BE12" s="978" t="n"/>
      <c r="BF12" s="978" t="n"/>
      <c r="BG12" s="978" t="n"/>
      <c r="BH12" s="978" t="n"/>
      <c r="BI12" s="978" t="n"/>
      <c r="BJ12" s="978" t="n"/>
      <c r="BK12" s="978" t="n"/>
      <c r="BL12" s="978" t="n"/>
      <c r="BM12" s="978" t="n"/>
      <c r="BN12" s="978" t="n"/>
      <c r="BO12" s="932" t="n"/>
      <c r="BP12" s="135">
        <f>SUM(G12:BN12)</f>
        <v/>
      </c>
      <c r="BQ12" s="932" t="n"/>
      <c r="BR12" s="135">
        <f>(E12)</f>
        <v/>
      </c>
      <c r="BS12" s="135">
        <f>((BP12)-(BR12))</f>
        <v/>
      </c>
    </row>
    <row r="13">
      <c r="D13" s="149" t="inlineStr">
        <is>
          <t>Month 2</t>
        </is>
      </c>
      <c r="E13" s="139">
        <f>'P&amp;L Assumptions (Computer App)'!J17</f>
        <v/>
      </c>
      <c r="F13" s="1968" t="n"/>
      <c r="G13" s="978" t="n"/>
      <c r="H13" s="978" t="n"/>
      <c r="I13" s="412">
        <f>(($E$13)*($E$3))</f>
        <v/>
      </c>
      <c r="J13" s="135">
        <f>(($E$13)*($E$3))</f>
        <v/>
      </c>
      <c r="K13" s="135">
        <f>(($E$13)*($E$3))</f>
        <v/>
      </c>
      <c r="L13" s="135">
        <f>(($E$13)*($E$3))</f>
        <v/>
      </c>
      <c r="M13" s="135">
        <f>(($E$13)*($E$3))</f>
        <v/>
      </c>
      <c r="N13" s="135">
        <f>(($E$13)*($E$3))</f>
        <v/>
      </c>
      <c r="O13" s="135">
        <f>(($E$13)*($E$3))</f>
        <v/>
      </c>
      <c r="P13" s="135">
        <f>(($E$13)*($E$3))</f>
        <v/>
      </c>
      <c r="Q13" s="135">
        <f>(($E$13)*($E$3))</f>
        <v/>
      </c>
      <c r="R13" s="973">
        <f>(($E$13)*($E$3))</f>
        <v/>
      </c>
      <c r="S13" s="135">
        <f>(($E$13)*($E$3))</f>
        <v/>
      </c>
      <c r="T13" s="135">
        <f>(($E$13)*($E$3))</f>
        <v/>
      </c>
      <c r="U13" s="135">
        <f>(($E$13)*($E$3))</f>
        <v/>
      </c>
      <c r="V13" s="135">
        <f>(($E$13)*($E$3))</f>
        <v/>
      </c>
      <c r="W13" s="135">
        <f>(($E$13)*($E$3))</f>
        <v/>
      </c>
      <c r="X13" s="135">
        <f>(($E$13)*($E$3))</f>
        <v/>
      </c>
      <c r="Y13" s="135">
        <f>(($E$13)*($E$3))</f>
        <v/>
      </c>
      <c r="Z13" s="135">
        <f>(($E$13)*($E$3))</f>
        <v/>
      </c>
      <c r="AA13" s="135">
        <f>(($E$13)*($E$3))</f>
        <v/>
      </c>
      <c r="AB13" s="412">
        <f>(($E$13)*($E$3))</f>
        <v/>
      </c>
      <c r="AC13" s="978" t="n"/>
      <c r="AD13" s="981" t="n"/>
      <c r="AE13" s="978" t="n"/>
      <c r="AF13" s="978" t="n"/>
      <c r="AG13" s="978" t="n"/>
      <c r="AH13" s="978" t="n"/>
      <c r="AI13" s="978" t="n"/>
      <c r="AJ13" s="978" t="n"/>
      <c r="AK13" s="978" t="n"/>
      <c r="AL13" s="978" t="n"/>
      <c r="AM13" s="978" t="n"/>
      <c r="AN13" s="978" t="n"/>
      <c r="AO13" s="978" t="n"/>
      <c r="AP13" s="981" t="n"/>
      <c r="AQ13" s="978" t="n"/>
      <c r="AR13" s="978" t="n"/>
      <c r="AS13" s="978" t="n"/>
      <c r="AT13" s="978" t="n"/>
      <c r="AU13" s="978" t="n"/>
      <c r="AV13" s="978" t="n"/>
      <c r="AW13" s="978" t="n"/>
      <c r="AX13" s="978" t="n"/>
      <c r="AY13" s="978" t="n"/>
      <c r="AZ13" s="978" t="n"/>
      <c r="BA13" s="978" t="n"/>
      <c r="BB13" s="981" t="n"/>
      <c r="BC13" s="978" t="n"/>
      <c r="BD13" s="978" t="n"/>
      <c r="BE13" s="978" t="n"/>
      <c r="BF13" s="978" t="n"/>
      <c r="BG13" s="978" t="n"/>
      <c r="BH13" s="978" t="n"/>
      <c r="BI13" s="978" t="n"/>
      <c r="BJ13" s="978" t="n"/>
      <c r="BK13" s="978" t="n"/>
      <c r="BL13" s="978" t="n"/>
      <c r="BM13" s="978" t="n"/>
      <c r="BN13" s="978" t="n"/>
      <c r="BO13" s="932" t="n"/>
      <c r="BP13" s="135">
        <f>SUM(G13:BN13)</f>
        <v/>
      </c>
      <c r="BQ13" s="932" t="n"/>
      <c r="BR13" s="135">
        <f>(E13)</f>
        <v/>
      </c>
      <c r="BS13" s="135">
        <f>((BP13)-(BR13))</f>
        <v/>
      </c>
    </row>
    <row r="14">
      <c r="D14" s="149" t="inlineStr">
        <is>
          <t>Month 3</t>
        </is>
      </c>
      <c r="E14" s="139">
        <f>'P&amp;L Assumptions (Computer App)'!L17</f>
        <v/>
      </c>
      <c r="F14" s="1968" t="n"/>
      <c r="G14" s="978" t="n"/>
      <c r="H14" s="978" t="n"/>
      <c r="I14" s="978" t="n"/>
      <c r="J14" s="412">
        <f>(($E$14)*($E$3))</f>
        <v/>
      </c>
      <c r="K14" s="135">
        <f>(($E$14)*($E$3))</f>
        <v/>
      </c>
      <c r="L14" s="135">
        <f>(($E$14)*($E$3))</f>
        <v/>
      </c>
      <c r="M14" s="135">
        <f>(($E$14)*($E$3))</f>
        <v/>
      </c>
      <c r="N14" s="135">
        <f>(($E$14)*($E$3))</f>
        <v/>
      </c>
      <c r="O14" s="135">
        <f>(($E$14)*($E$3))</f>
        <v/>
      </c>
      <c r="P14" s="135">
        <f>(($E$14)*($E$3))</f>
        <v/>
      </c>
      <c r="Q14" s="135">
        <f>(($E$14)*($E$3))</f>
        <v/>
      </c>
      <c r="R14" s="973">
        <f>(($E$14)*($E$3))</f>
        <v/>
      </c>
      <c r="S14" s="135">
        <f>(($E$14)*($E$3))</f>
        <v/>
      </c>
      <c r="T14" s="135">
        <f>(($E$14)*($E$3))</f>
        <v/>
      </c>
      <c r="U14" s="135">
        <f>(($E$14)*($E$3))</f>
        <v/>
      </c>
      <c r="V14" s="135">
        <f>(($E$14)*($E$3))</f>
        <v/>
      </c>
      <c r="W14" s="135">
        <f>(($E$14)*($E$3))</f>
        <v/>
      </c>
      <c r="X14" s="135">
        <f>(($E$14)*($E$3))</f>
        <v/>
      </c>
      <c r="Y14" s="135">
        <f>(($E$14)*($E$3))</f>
        <v/>
      </c>
      <c r="Z14" s="135">
        <f>(($E$14)*($E$3))</f>
        <v/>
      </c>
      <c r="AA14" s="135">
        <f>(($E$14)*($E$3))</f>
        <v/>
      </c>
      <c r="AB14" s="135">
        <f>(($E$14)*($E$3))</f>
        <v/>
      </c>
      <c r="AC14" s="412">
        <f>(($E$14)*($E$3))</f>
        <v/>
      </c>
      <c r="AD14" s="981" t="n"/>
      <c r="AE14" s="978" t="n"/>
      <c r="AF14" s="978" t="n"/>
      <c r="AG14" s="978" t="n"/>
      <c r="AH14" s="978" t="n"/>
      <c r="AI14" s="978" t="n"/>
      <c r="AJ14" s="978" t="n"/>
      <c r="AK14" s="978" t="n"/>
      <c r="AL14" s="978" t="n"/>
      <c r="AM14" s="978" t="n"/>
      <c r="AN14" s="978" t="n"/>
      <c r="AO14" s="978" t="n"/>
      <c r="AP14" s="981" t="n"/>
      <c r="AQ14" s="978" t="n"/>
      <c r="AR14" s="978" t="n"/>
      <c r="AS14" s="978" t="n"/>
      <c r="AT14" s="978" t="n"/>
      <c r="AU14" s="978" t="n"/>
      <c r="AV14" s="978" t="n"/>
      <c r="AW14" s="978" t="n"/>
      <c r="AX14" s="978" t="n"/>
      <c r="AY14" s="978" t="n"/>
      <c r="AZ14" s="978" t="n"/>
      <c r="BA14" s="978" t="n"/>
      <c r="BB14" s="981" t="n"/>
      <c r="BC14" s="978" t="n"/>
      <c r="BD14" s="978" t="n"/>
      <c r="BE14" s="978" t="n"/>
      <c r="BF14" s="978" t="n"/>
      <c r="BG14" s="978" t="n"/>
      <c r="BH14" s="978" t="n"/>
      <c r="BI14" s="978" t="n"/>
      <c r="BJ14" s="978" t="n"/>
      <c r="BK14" s="978" t="n"/>
      <c r="BL14" s="978" t="n"/>
      <c r="BM14" s="978" t="n"/>
      <c r="BN14" s="978" t="n"/>
      <c r="BO14" s="932" t="n"/>
      <c r="BP14" s="135">
        <f>SUM(G14:BN14)</f>
        <v/>
      </c>
      <c r="BQ14" s="932" t="n"/>
      <c r="BR14" s="135">
        <f>(E14)</f>
        <v/>
      </c>
      <c r="BS14" s="135">
        <f>((BP14)-(BR14))</f>
        <v/>
      </c>
    </row>
    <row r="15">
      <c r="D15" s="149" t="inlineStr">
        <is>
          <t>Month 4</t>
        </is>
      </c>
      <c r="E15" s="139">
        <f>'P&amp;L Assumptions (Computer App)'!N17</f>
        <v/>
      </c>
      <c r="F15" s="1968" t="n"/>
      <c r="G15" s="978" t="n"/>
      <c r="H15" s="978" t="n"/>
      <c r="I15" s="978" t="n"/>
      <c r="J15" s="978" t="n"/>
      <c r="K15" s="412">
        <f>(($E$15)*($E$3))</f>
        <v/>
      </c>
      <c r="L15" s="135">
        <f>(($E$15)*($E$3))</f>
        <v/>
      </c>
      <c r="M15" s="135">
        <f>(($E$15)*($E$3))</f>
        <v/>
      </c>
      <c r="N15" s="135">
        <f>(($E$15)*($E$3))</f>
        <v/>
      </c>
      <c r="O15" s="135">
        <f>(($E$15)*($E$3))</f>
        <v/>
      </c>
      <c r="P15" s="135">
        <f>(($E$15)*($E$3))</f>
        <v/>
      </c>
      <c r="Q15" s="135">
        <f>(($E$15)*($E$3))</f>
        <v/>
      </c>
      <c r="R15" s="973">
        <f>(($E$15)*($E$3))</f>
        <v/>
      </c>
      <c r="S15" s="135">
        <f>(($E$15)*($E$3))</f>
        <v/>
      </c>
      <c r="T15" s="135">
        <f>(($E$15)*($E$3))</f>
        <v/>
      </c>
      <c r="U15" s="135">
        <f>(($E$15)*($E$3))</f>
        <v/>
      </c>
      <c r="V15" s="135">
        <f>(($E$15)*($E$3))</f>
        <v/>
      </c>
      <c r="W15" s="135">
        <f>(($E$15)*($E$3))</f>
        <v/>
      </c>
      <c r="X15" s="135">
        <f>(($E$15)*($E$3))</f>
        <v/>
      </c>
      <c r="Y15" s="135">
        <f>(($E$15)*($E$3))</f>
        <v/>
      </c>
      <c r="Z15" s="135">
        <f>(($E$15)*($E$3))</f>
        <v/>
      </c>
      <c r="AA15" s="135">
        <f>(($E$15)*($E$3))</f>
        <v/>
      </c>
      <c r="AB15" s="135">
        <f>(($E$15)*($E$3))</f>
        <v/>
      </c>
      <c r="AC15" s="135">
        <f>(($E$15)*($E$3))</f>
        <v/>
      </c>
      <c r="AD15" s="973">
        <f>(($E$15)*($E$3))</f>
        <v/>
      </c>
      <c r="AE15" s="978" t="n"/>
      <c r="AF15" s="978" t="n"/>
      <c r="AG15" s="978" t="n"/>
      <c r="AH15" s="978" t="n"/>
      <c r="AI15" s="978" t="n"/>
      <c r="AJ15" s="978" t="n"/>
      <c r="AK15" s="978" t="n"/>
      <c r="AL15" s="978" t="n"/>
      <c r="AM15" s="978" t="n"/>
      <c r="AN15" s="978" t="n"/>
      <c r="AO15" s="978" t="n"/>
      <c r="AP15" s="981" t="n"/>
      <c r="AQ15" s="978" t="n"/>
      <c r="AR15" s="978" t="n"/>
      <c r="AS15" s="978" t="n"/>
      <c r="AT15" s="978" t="n"/>
      <c r="AU15" s="978" t="n"/>
      <c r="AV15" s="978" t="n"/>
      <c r="AW15" s="978" t="n"/>
      <c r="AX15" s="978" t="n"/>
      <c r="AY15" s="978" t="n"/>
      <c r="AZ15" s="978" t="n"/>
      <c r="BA15" s="978" t="n"/>
      <c r="BB15" s="981" t="n"/>
      <c r="BC15" s="978" t="n"/>
      <c r="BD15" s="978" t="n"/>
      <c r="BE15" s="978" t="n"/>
      <c r="BF15" s="978" t="n"/>
      <c r="BG15" s="978" t="n"/>
      <c r="BH15" s="978" t="n"/>
      <c r="BI15" s="978" t="n"/>
      <c r="BJ15" s="978" t="n"/>
      <c r="BK15" s="978" t="n"/>
      <c r="BL15" s="978" t="n"/>
      <c r="BM15" s="978" t="n"/>
      <c r="BN15" s="978" t="n"/>
      <c r="BO15" s="932" t="n"/>
      <c r="BP15" s="135">
        <f>SUM(G15:BN15)</f>
        <v/>
      </c>
      <c r="BQ15" s="932" t="n"/>
      <c r="BR15" s="135">
        <f>(E15)</f>
        <v/>
      </c>
      <c r="BS15" s="135">
        <f>((BP15)-(BR15))</f>
        <v/>
      </c>
    </row>
    <row r="16">
      <c r="D16" s="149" t="inlineStr">
        <is>
          <t>Month 5</t>
        </is>
      </c>
      <c r="E16" s="139">
        <f>'P&amp;L Assumptions (Computer App)'!P17</f>
        <v/>
      </c>
      <c r="F16" s="1968" t="n"/>
      <c r="G16" s="978" t="n"/>
      <c r="H16" s="978" t="n"/>
      <c r="I16" s="978" t="n"/>
      <c r="J16" s="978" t="n"/>
      <c r="K16" s="978" t="n"/>
      <c r="L16" s="412">
        <f>(($E$16)*($E$3))</f>
        <v/>
      </c>
      <c r="M16" s="135">
        <f>(($E$16)*($E$3))</f>
        <v/>
      </c>
      <c r="N16" s="135">
        <f>(($E$16)*($E$3))</f>
        <v/>
      </c>
      <c r="O16" s="135">
        <f>(($E$16)*($E$3))</f>
        <v/>
      </c>
      <c r="P16" s="135">
        <f>(($E$16)*($E$3))</f>
        <v/>
      </c>
      <c r="Q16" s="135">
        <f>(($E$16)*($E$3))</f>
        <v/>
      </c>
      <c r="R16" s="973">
        <f>(($E$16)*($E$3))</f>
        <v/>
      </c>
      <c r="S16" s="135">
        <f>(($E$16)*($E$3))</f>
        <v/>
      </c>
      <c r="T16" s="135">
        <f>(($E$16)*($E$3))</f>
        <v/>
      </c>
      <c r="U16" s="135">
        <f>(($E$16)*($E$3))</f>
        <v/>
      </c>
      <c r="V16" s="135">
        <f>(($E$16)*($E$3))</f>
        <v/>
      </c>
      <c r="W16" s="135">
        <f>(($E$16)*($E$3))</f>
        <v/>
      </c>
      <c r="X16" s="135">
        <f>(($E$16)*($E$3))</f>
        <v/>
      </c>
      <c r="Y16" s="135">
        <f>(($E$16)*($E$3))</f>
        <v/>
      </c>
      <c r="Z16" s="135">
        <f>(($E$16)*($E$3))</f>
        <v/>
      </c>
      <c r="AA16" s="135">
        <f>(($E$16)*($E$3))</f>
        <v/>
      </c>
      <c r="AB16" s="135">
        <f>(($E$16)*($E$3))</f>
        <v/>
      </c>
      <c r="AC16" s="135">
        <f>(($E$16)*($E$3))</f>
        <v/>
      </c>
      <c r="AD16" s="973">
        <f>(($E$16)*($E$3))</f>
        <v/>
      </c>
      <c r="AE16" s="412">
        <f>(($E$16)*($E$3))</f>
        <v/>
      </c>
      <c r="AF16" s="978" t="n"/>
      <c r="AG16" s="978" t="n"/>
      <c r="AH16" s="978" t="n"/>
      <c r="AI16" s="978" t="n"/>
      <c r="AJ16" s="978" t="n"/>
      <c r="AK16" s="978" t="n"/>
      <c r="AL16" s="978" t="n"/>
      <c r="AM16" s="978" t="n"/>
      <c r="AN16" s="978" t="n"/>
      <c r="AO16" s="978" t="n"/>
      <c r="AP16" s="981" t="n"/>
      <c r="AQ16" s="978" t="n"/>
      <c r="AR16" s="978" t="n"/>
      <c r="AS16" s="978" t="n"/>
      <c r="AT16" s="978" t="n"/>
      <c r="AU16" s="978" t="n"/>
      <c r="AV16" s="978" t="n"/>
      <c r="AW16" s="978" t="n"/>
      <c r="AX16" s="978" t="n"/>
      <c r="AY16" s="978" t="n"/>
      <c r="AZ16" s="978" t="n"/>
      <c r="BA16" s="978" t="n"/>
      <c r="BB16" s="981" t="n"/>
      <c r="BC16" s="978" t="n"/>
      <c r="BD16" s="978" t="n"/>
      <c r="BE16" s="978" t="n"/>
      <c r="BF16" s="978" t="n"/>
      <c r="BG16" s="978" t="n"/>
      <c r="BH16" s="978" t="n"/>
      <c r="BI16" s="978" t="n"/>
      <c r="BJ16" s="978" t="n"/>
      <c r="BK16" s="978" t="n"/>
      <c r="BL16" s="978" t="n"/>
      <c r="BM16" s="978" t="n"/>
      <c r="BN16" s="978" t="n"/>
      <c r="BO16" s="932" t="n"/>
      <c r="BP16" s="135">
        <f>SUM(G16:BN16)</f>
        <v/>
      </c>
      <c r="BQ16" s="932" t="n"/>
      <c r="BR16" s="135">
        <f>(E16)</f>
        <v/>
      </c>
      <c r="BS16" s="135">
        <f>((BP16)-(BR16))</f>
        <v/>
      </c>
    </row>
    <row r="17">
      <c r="D17" s="149" t="inlineStr">
        <is>
          <t>Month 6</t>
        </is>
      </c>
      <c r="E17" s="139">
        <f>'P&amp;L Assumptions (Computer App)'!R17</f>
        <v/>
      </c>
      <c r="F17" s="1968" t="n"/>
      <c r="G17" s="978" t="n"/>
      <c r="H17" s="978" t="n"/>
      <c r="I17" s="978" t="n"/>
      <c r="J17" s="978" t="n"/>
      <c r="K17" s="978" t="n"/>
      <c r="L17" s="978" t="n"/>
      <c r="M17" s="412">
        <f>(($E$17)*($E$3))</f>
        <v/>
      </c>
      <c r="N17" s="135">
        <f>(($E$17)*($E$3))</f>
        <v/>
      </c>
      <c r="O17" s="135">
        <f>(($E$17)*($E$3))</f>
        <v/>
      </c>
      <c r="P17" s="135">
        <f>(($E$17)*($E$3))</f>
        <v/>
      </c>
      <c r="Q17" s="135">
        <f>(($E$17)*($E$3))</f>
        <v/>
      </c>
      <c r="R17" s="973">
        <f>(($E$17)*($E$3))</f>
        <v/>
      </c>
      <c r="S17" s="135">
        <f>(($E$17)*($E$3))</f>
        <v/>
      </c>
      <c r="T17" s="135">
        <f>(($E$17)*($E$3))</f>
        <v/>
      </c>
      <c r="U17" s="135">
        <f>(($E$17)*($E$3))</f>
        <v/>
      </c>
      <c r="V17" s="135">
        <f>(($E$17)*($E$3))</f>
        <v/>
      </c>
      <c r="W17" s="135">
        <f>(($E$17)*($E$3))</f>
        <v/>
      </c>
      <c r="X17" s="135">
        <f>(($E$17)*($E$3))</f>
        <v/>
      </c>
      <c r="Y17" s="135">
        <f>(($E$17)*($E$3))</f>
        <v/>
      </c>
      <c r="Z17" s="135">
        <f>(($E$17)*($E$3))</f>
        <v/>
      </c>
      <c r="AA17" s="135">
        <f>(($E$17)*($E$3))</f>
        <v/>
      </c>
      <c r="AB17" s="135">
        <f>(($E$17)*($E$3))</f>
        <v/>
      </c>
      <c r="AC17" s="135">
        <f>(($E$17)*($E$3))</f>
        <v/>
      </c>
      <c r="AD17" s="973">
        <f>(($E$17)*($E$3))</f>
        <v/>
      </c>
      <c r="AE17" s="135">
        <f>(($E$17)*($E$3))</f>
        <v/>
      </c>
      <c r="AF17" s="412">
        <f>(($E$17)*($E$3))</f>
        <v/>
      </c>
      <c r="AG17" s="978" t="n"/>
      <c r="AH17" s="978" t="n"/>
      <c r="AI17" s="978" t="n"/>
      <c r="AJ17" s="978" t="n"/>
      <c r="AK17" s="978" t="n"/>
      <c r="AL17" s="978" t="n"/>
      <c r="AM17" s="978" t="n"/>
      <c r="AN17" s="978" t="n"/>
      <c r="AO17" s="978" t="n"/>
      <c r="AP17" s="981" t="n"/>
      <c r="AQ17" s="978" t="n"/>
      <c r="AR17" s="978" t="n"/>
      <c r="AS17" s="978" t="n"/>
      <c r="AT17" s="978" t="n"/>
      <c r="AU17" s="978" t="n"/>
      <c r="AV17" s="978" t="n"/>
      <c r="AW17" s="978" t="n"/>
      <c r="AX17" s="978" t="n"/>
      <c r="AY17" s="978" t="n"/>
      <c r="AZ17" s="978" t="n"/>
      <c r="BA17" s="978" t="n"/>
      <c r="BB17" s="981" t="n"/>
      <c r="BC17" s="978" t="n"/>
      <c r="BD17" s="978" t="n"/>
      <c r="BE17" s="978" t="n"/>
      <c r="BF17" s="978" t="n"/>
      <c r="BG17" s="978" t="n"/>
      <c r="BH17" s="978" t="n"/>
      <c r="BI17" s="978" t="n"/>
      <c r="BJ17" s="978" t="n"/>
      <c r="BK17" s="978" t="n"/>
      <c r="BL17" s="978" t="n"/>
      <c r="BM17" s="978" t="n"/>
      <c r="BN17" s="978" t="n"/>
      <c r="BO17" s="932" t="n"/>
      <c r="BP17" s="135">
        <f>SUM(G17:BN17)</f>
        <v/>
      </c>
      <c r="BQ17" s="932" t="n"/>
      <c r="BR17" s="135">
        <f>(E17)</f>
        <v/>
      </c>
      <c r="BS17" s="135">
        <f>((BP17)-(BR17))</f>
        <v/>
      </c>
    </row>
    <row r="18">
      <c r="D18" s="149" t="inlineStr">
        <is>
          <t>Month 7</t>
        </is>
      </c>
      <c r="E18" s="139">
        <f>'P&amp;L Assumptions (Computer App)'!T17</f>
        <v/>
      </c>
      <c r="F18" s="1968" t="n"/>
      <c r="G18" s="978" t="n"/>
      <c r="H18" s="978" t="n"/>
      <c r="I18" s="978" t="n"/>
      <c r="J18" s="978" t="n"/>
      <c r="K18" s="978" t="n"/>
      <c r="L18" s="978" t="n"/>
      <c r="M18" s="978" t="n"/>
      <c r="N18" s="412">
        <f>(($E$18)*($E$3))</f>
        <v/>
      </c>
      <c r="O18" s="135">
        <f>(($E$18)*($E$3))</f>
        <v/>
      </c>
      <c r="P18" s="135">
        <f>(($E$18)*($E$3))</f>
        <v/>
      </c>
      <c r="Q18" s="135">
        <f>(($E$18)*($E$3))</f>
        <v/>
      </c>
      <c r="R18" s="973">
        <f>(($E$18)*($E$3))</f>
        <v/>
      </c>
      <c r="S18" s="135">
        <f>(($E$18)*($E$3))</f>
        <v/>
      </c>
      <c r="T18" s="135">
        <f>(($E$18)*($E$3))</f>
        <v/>
      </c>
      <c r="U18" s="135">
        <f>(($E$18)*($E$3))</f>
        <v/>
      </c>
      <c r="V18" s="135">
        <f>(($E$18)*($E$3))</f>
        <v/>
      </c>
      <c r="W18" s="135">
        <f>(($E$18)*($E$3))</f>
        <v/>
      </c>
      <c r="X18" s="135">
        <f>(($E$18)*($E$3))</f>
        <v/>
      </c>
      <c r="Y18" s="135">
        <f>(($E$18)*($E$3))</f>
        <v/>
      </c>
      <c r="Z18" s="135">
        <f>(($E$18)*($E$3))</f>
        <v/>
      </c>
      <c r="AA18" s="135">
        <f>(($E$18)*($E$3))</f>
        <v/>
      </c>
      <c r="AB18" s="135">
        <f>(($E$18)*($E$3))</f>
        <v/>
      </c>
      <c r="AC18" s="135">
        <f>(($E$18)*($E$3))</f>
        <v/>
      </c>
      <c r="AD18" s="973">
        <f>(($E$18)*($E$3))</f>
        <v/>
      </c>
      <c r="AE18" s="135">
        <f>(($E$18)*($E$3))</f>
        <v/>
      </c>
      <c r="AF18" s="135">
        <f>(($E$18)*($E$3))</f>
        <v/>
      </c>
      <c r="AG18" s="412">
        <f>(($E$18)*($E$3))</f>
        <v/>
      </c>
      <c r="AH18" s="978" t="n"/>
      <c r="AI18" s="978" t="n"/>
      <c r="AJ18" s="978" t="n"/>
      <c r="AK18" s="978" t="n"/>
      <c r="AL18" s="978" t="n"/>
      <c r="AM18" s="978" t="n"/>
      <c r="AN18" s="978" t="n"/>
      <c r="AO18" s="978" t="n"/>
      <c r="AP18" s="981" t="n"/>
      <c r="AQ18" s="978" t="n"/>
      <c r="AR18" s="978" t="n"/>
      <c r="AS18" s="978" t="n"/>
      <c r="AT18" s="978" t="n"/>
      <c r="AU18" s="978" t="n"/>
      <c r="AV18" s="978" t="n"/>
      <c r="AW18" s="978" t="n"/>
      <c r="AX18" s="978" t="n"/>
      <c r="AY18" s="978" t="n"/>
      <c r="AZ18" s="978" t="n"/>
      <c r="BA18" s="978" t="n"/>
      <c r="BB18" s="981" t="n"/>
      <c r="BC18" s="978" t="n"/>
      <c r="BD18" s="978" t="n"/>
      <c r="BE18" s="978" t="n"/>
      <c r="BF18" s="978" t="n"/>
      <c r="BG18" s="978" t="n"/>
      <c r="BH18" s="978" t="n"/>
      <c r="BI18" s="978" t="n"/>
      <c r="BJ18" s="978" t="n"/>
      <c r="BK18" s="978" t="n"/>
      <c r="BL18" s="978" t="n"/>
      <c r="BM18" s="978" t="n"/>
      <c r="BN18" s="978" t="n"/>
      <c r="BO18" s="932" t="n"/>
      <c r="BP18" s="135">
        <f>SUM(G18:BN18)</f>
        <v/>
      </c>
      <c r="BQ18" s="932" t="n"/>
      <c r="BR18" s="135">
        <f>(E18)</f>
        <v/>
      </c>
      <c r="BS18" s="135">
        <f>((BP18)-(BR18))</f>
        <v/>
      </c>
    </row>
    <row r="19">
      <c r="D19" s="149" t="inlineStr">
        <is>
          <t>Month 8</t>
        </is>
      </c>
      <c r="E19" s="139">
        <f>'P&amp;L Assumptions (Computer App)'!V17</f>
        <v/>
      </c>
      <c r="F19" s="1968" t="n"/>
      <c r="G19" s="978" t="n"/>
      <c r="H19" s="978" t="n"/>
      <c r="I19" s="978" t="n"/>
      <c r="J19" s="978" t="n"/>
      <c r="K19" s="978" t="n"/>
      <c r="L19" s="978" t="n"/>
      <c r="M19" s="978" t="n"/>
      <c r="N19" s="978" t="n"/>
      <c r="O19" s="412">
        <f>(($E$19)*($E$3))</f>
        <v/>
      </c>
      <c r="P19" s="135">
        <f>(($E$19)*($E$3))</f>
        <v/>
      </c>
      <c r="Q19" s="135">
        <f>(($E$19)*($E$3))</f>
        <v/>
      </c>
      <c r="R19" s="973">
        <f>(($E$19)*($E$3))</f>
        <v/>
      </c>
      <c r="S19" s="135">
        <f>(($E$19)*($E$3))</f>
        <v/>
      </c>
      <c r="T19" s="135">
        <f>(($E$19)*($E$3))</f>
        <v/>
      </c>
      <c r="U19" s="135">
        <f>(($E$19)*($E$3))</f>
        <v/>
      </c>
      <c r="V19" s="135">
        <f>(($E$19)*($E$3))</f>
        <v/>
      </c>
      <c r="W19" s="135">
        <f>(($E$19)*($E$3))</f>
        <v/>
      </c>
      <c r="X19" s="135">
        <f>(($E$19)*($E$3))</f>
        <v/>
      </c>
      <c r="Y19" s="135">
        <f>(($E$19)*($E$3))</f>
        <v/>
      </c>
      <c r="Z19" s="135">
        <f>(($E$19)*($E$3))</f>
        <v/>
      </c>
      <c r="AA19" s="135">
        <f>(($E$19)*($E$3))</f>
        <v/>
      </c>
      <c r="AB19" s="135">
        <f>(($E$19)*($E$3))</f>
        <v/>
      </c>
      <c r="AC19" s="135">
        <f>(($E$19)*($E$3))</f>
        <v/>
      </c>
      <c r="AD19" s="973">
        <f>(($E$19)*($E$3))</f>
        <v/>
      </c>
      <c r="AE19" s="135">
        <f>(($E$19)*($E$3))</f>
        <v/>
      </c>
      <c r="AF19" s="135">
        <f>(($E$19)*($E$3))</f>
        <v/>
      </c>
      <c r="AG19" s="135">
        <f>(($E$19)*($E$3))</f>
        <v/>
      </c>
      <c r="AH19" s="412">
        <f>(($E$19)*($E$3))</f>
        <v/>
      </c>
      <c r="AI19" s="978" t="n"/>
      <c r="AJ19" s="978" t="n"/>
      <c r="AK19" s="978" t="n"/>
      <c r="AL19" s="978" t="n"/>
      <c r="AM19" s="978" t="n"/>
      <c r="AN19" s="978" t="n"/>
      <c r="AO19" s="978" t="n"/>
      <c r="AP19" s="981" t="n"/>
      <c r="AQ19" s="978" t="n"/>
      <c r="AR19" s="978" t="n"/>
      <c r="AS19" s="978" t="n"/>
      <c r="AT19" s="978" t="n"/>
      <c r="AU19" s="978" t="n"/>
      <c r="AV19" s="978" t="n"/>
      <c r="AW19" s="978" t="n"/>
      <c r="AX19" s="978" t="n"/>
      <c r="AY19" s="978" t="n"/>
      <c r="AZ19" s="978" t="n"/>
      <c r="BA19" s="978" t="n"/>
      <c r="BB19" s="981" t="n"/>
      <c r="BC19" s="978" t="n"/>
      <c r="BD19" s="978" t="n"/>
      <c r="BE19" s="978" t="n"/>
      <c r="BF19" s="978" t="n"/>
      <c r="BG19" s="978" t="n"/>
      <c r="BH19" s="978" t="n"/>
      <c r="BI19" s="978" t="n"/>
      <c r="BJ19" s="978" t="n"/>
      <c r="BK19" s="978" t="n"/>
      <c r="BL19" s="978" t="n"/>
      <c r="BM19" s="978" t="n"/>
      <c r="BN19" s="978" t="n"/>
      <c r="BO19" s="932" t="n"/>
      <c r="BP19" s="135">
        <f>SUM(G19:BN19)</f>
        <v/>
      </c>
      <c r="BQ19" s="932" t="n"/>
      <c r="BR19" s="135">
        <f>(E19)</f>
        <v/>
      </c>
      <c r="BS19" s="135">
        <f>((BP19)-(BR19))</f>
        <v/>
      </c>
    </row>
    <row r="20">
      <c r="D20" s="149" t="inlineStr">
        <is>
          <t>Month 9</t>
        </is>
      </c>
      <c r="E20" s="139">
        <f>'P&amp;L Assumptions (Computer App)'!X17</f>
        <v/>
      </c>
      <c r="F20" s="1968" t="n"/>
      <c r="G20" s="978" t="n"/>
      <c r="H20" s="978" t="n"/>
      <c r="I20" s="978" t="n"/>
      <c r="J20" s="978" t="n"/>
      <c r="K20" s="978" t="n"/>
      <c r="L20" s="978" t="n"/>
      <c r="M20" s="978" t="n"/>
      <c r="N20" s="978" t="n"/>
      <c r="O20" s="978" t="n"/>
      <c r="P20" s="412">
        <f>(($E$20)*($E$3))</f>
        <v/>
      </c>
      <c r="Q20" s="135">
        <f>(($E$20)*($E$3))</f>
        <v/>
      </c>
      <c r="R20" s="973">
        <f>(($E$20)*($E$3))</f>
        <v/>
      </c>
      <c r="S20" s="135">
        <f>(($E$20)*($E$3))</f>
        <v/>
      </c>
      <c r="T20" s="135">
        <f>(($E$20)*($E$3))</f>
        <v/>
      </c>
      <c r="U20" s="135">
        <f>(($E$20)*($E$3))</f>
        <v/>
      </c>
      <c r="V20" s="135">
        <f>(($E$20)*($E$3))</f>
        <v/>
      </c>
      <c r="W20" s="135">
        <f>(($E$20)*($E$3))</f>
        <v/>
      </c>
      <c r="X20" s="135">
        <f>(($E$20)*($E$3))</f>
        <v/>
      </c>
      <c r="Y20" s="135">
        <f>(($E$20)*($E$3))</f>
        <v/>
      </c>
      <c r="Z20" s="135">
        <f>(($E$20)*($E$3))</f>
        <v/>
      </c>
      <c r="AA20" s="135">
        <f>(($E$20)*($E$3))</f>
        <v/>
      </c>
      <c r="AB20" s="135">
        <f>(($E$20)*($E$3))</f>
        <v/>
      </c>
      <c r="AC20" s="135">
        <f>(($E$20)*($E$3))</f>
        <v/>
      </c>
      <c r="AD20" s="973">
        <f>(($E$20)*($E$3))</f>
        <v/>
      </c>
      <c r="AE20" s="135">
        <f>(($E$20)*($E$3))</f>
        <v/>
      </c>
      <c r="AF20" s="135">
        <f>(($E$20)*($E$3))</f>
        <v/>
      </c>
      <c r="AG20" s="135">
        <f>(($E$20)*($E$3))</f>
        <v/>
      </c>
      <c r="AH20" s="135">
        <f>(($E$20)*($E$3))</f>
        <v/>
      </c>
      <c r="AI20" s="412">
        <f>(($E$20)*($E$3))</f>
        <v/>
      </c>
      <c r="AJ20" s="978" t="n"/>
      <c r="AK20" s="978" t="n"/>
      <c r="AL20" s="978" t="n"/>
      <c r="AM20" s="978" t="n"/>
      <c r="AN20" s="978" t="n"/>
      <c r="AO20" s="978" t="n"/>
      <c r="AP20" s="981" t="n"/>
      <c r="AQ20" s="978" t="n"/>
      <c r="AR20" s="978" t="n"/>
      <c r="AS20" s="978" t="n"/>
      <c r="AT20" s="978" t="n"/>
      <c r="AU20" s="978" t="n"/>
      <c r="AV20" s="978" t="n"/>
      <c r="AW20" s="978" t="n"/>
      <c r="AX20" s="978" t="n"/>
      <c r="AY20" s="978" t="n"/>
      <c r="AZ20" s="978" t="n"/>
      <c r="BA20" s="978" t="n"/>
      <c r="BB20" s="981" t="n"/>
      <c r="BC20" s="978" t="n"/>
      <c r="BD20" s="978" t="n"/>
      <c r="BE20" s="978" t="n"/>
      <c r="BF20" s="978" t="n"/>
      <c r="BG20" s="978" t="n"/>
      <c r="BH20" s="978" t="n"/>
      <c r="BI20" s="978" t="n"/>
      <c r="BJ20" s="978" t="n"/>
      <c r="BK20" s="978" t="n"/>
      <c r="BL20" s="978" t="n"/>
      <c r="BM20" s="978" t="n"/>
      <c r="BN20" s="978" t="n"/>
      <c r="BO20" s="932" t="n"/>
      <c r="BP20" s="135">
        <f>SUM(G20:BN20)</f>
        <v/>
      </c>
      <c r="BQ20" s="932" t="n"/>
      <c r="BR20" s="135">
        <f>(E20)</f>
        <v/>
      </c>
      <c r="BS20" s="135">
        <f>((BP20)-(BR20))</f>
        <v/>
      </c>
    </row>
    <row r="21">
      <c r="D21" s="149" t="inlineStr">
        <is>
          <t>Month 10</t>
        </is>
      </c>
      <c r="E21" s="139">
        <f>'P&amp;L Assumptions (Computer App)'!Z17</f>
        <v/>
      </c>
      <c r="F21" s="1968" t="n"/>
      <c r="G21" s="978" t="n"/>
      <c r="H21" s="978" t="n"/>
      <c r="I21" s="978" t="n"/>
      <c r="J21" s="978" t="n"/>
      <c r="K21" s="978" t="n"/>
      <c r="L21" s="978" t="n"/>
      <c r="M21" s="978" t="n"/>
      <c r="N21" s="978" t="n"/>
      <c r="O21" s="978" t="n"/>
      <c r="P21" s="978" t="n"/>
      <c r="Q21" s="412">
        <f>(($E$21)*($E$3))</f>
        <v/>
      </c>
      <c r="R21" s="973">
        <f>(($E$21)*($E$3))</f>
        <v/>
      </c>
      <c r="S21" s="135">
        <f>(($E$21)*($E$3))</f>
        <v/>
      </c>
      <c r="T21" s="135">
        <f>(($E$21)*($E$3))</f>
        <v/>
      </c>
      <c r="U21" s="135">
        <f>(($E$21)*($E$3))</f>
        <v/>
      </c>
      <c r="V21" s="135">
        <f>(($E$21)*($E$3))</f>
        <v/>
      </c>
      <c r="W21" s="135">
        <f>(($E$21)*($E$3))</f>
        <v/>
      </c>
      <c r="X21" s="135">
        <f>(($E$21)*($E$3))</f>
        <v/>
      </c>
      <c r="Y21" s="135">
        <f>(($E$21)*($E$3))</f>
        <v/>
      </c>
      <c r="Z21" s="135">
        <f>(($E$21)*($E$3))</f>
        <v/>
      </c>
      <c r="AA21" s="135">
        <f>(($E$21)*($E$3))</f>
        <v/>
      </c>
      <c r="AB21" s="135">
        <f>(($E$21)*($E$3))</f>
        <v/>
      </c>
      <c r="AC21" s="135">
        <f>(($E$21)*($E$3))</f>
        <v/>
      </c>
      <c r="AD21" s="973">
        <f>(($E$21)*($E$3))</f>
        <v/>
      </c>
      <c r="AE21" s="135">
        <f>(($E$21)*($E$3))</f>
        <v/>
      </c>
      <c r="AF21" s="135">
        <f>(($E$21)*($E$3))</f>
        <v/>
      </c>
      <c r="AG21" s="135">
        <f>(($E$21)*($E$3))</f>
        <v/>
      </c>
      <c r="AH21" s="135">
        <f>(($E$21)*($E$3))</f>
        <v/>
      </c>
      <c r="AI21" s="135">
        <f>(($E$21)*($E$3))</f>
        <v/>
      </c>
      <c r="AJ21" s="412">
        <f>(($E$21)*($E$3))</f>
        <v/>
      </c>
      <c r="AK21" s="978" t="n"/>
      <c r="AL21" s="978" t="n"/>
      <c r="AM21" s="978" t="n"/>
      <c r="AN21" s="978" t="n"/>
      <c r="AO21" s="978" t="n"/>
      <c r="AP21" s="981" t="n"/>
      <c r="AQ21" s="978" t="n"/>
      <c r="AR21" s="978" t="n"/>
      <c r="AS21" s="978" t="n"/>
      <c r="AT21" s="978" t="n"/>
      <c r="AU21" s="978" t="n"/>
      <c r="AV21" s="978" t="n"/>
      <c r="AW21" s="978" t="n"/>
      <c r="AX21" s="978" t="n"/>
      <c r="AY21" s="978" t="n"/>
      <c r="AZ21" s="978" t="n"/>
      <c r="BA21" s="978" t="n"/>
      <c r="BB21" s="981" t="n"/>
      <c r="BC21" s="978" t="n"/>
      <c r="BD21" s="978" t="n"/>
      <c r="BE21" s="978" t="n"/>
      <c r="BF21" s="978" t="n"/>
      <c r="BG21" s="978" t="n"/>
      <c r="BH21" s="978" t="n"/>
      <c r="BI21" s="978" t="n"/>
      <c r="BJ21" s="978" t="n"/>
      <c r="BK21" s="978" t="n"/>
      <c r="BL21" s="978" t="n"/>
      <c r="BM21" s="978" t="n"/>
      <c r="BN21" s="978" t="n"/>
      <c r="BO21" s="932" t="n"/>
      <c r="BP21" s="135">
        <f>SUM(G21:BN21)</f>
        <v/>
      </c>
      <c r="BQ21" s="932" t="n"/>
      <c r="BR21" s="135">
        <f>(E21)</f>
        <v/>
      </c>
      <c r="BS21" s="135">
        <f>((BP21)-(BR21))</f>
        <v/>
      </c>
    </row>
    <row r="22">
      <c r="D22" s="149" t="inlineStr">
        <is>
          <t>Month 11</t>
        </is>
      </c>
      <c r="E22" s="139">
        <f>'P&amp;L Assumptions (Computer App)'!AB17</f>
        <v/>
      </c>
      <c r="F22" s="1968" t="n"/>
      <c r="G22" s="978" t="n"/>
      <c r="H22" s="978" t="n"/>
      <c r="I22" s="978" t="n"/>
      <c r="J22" s="978" t="n"/>
      <c r="K22" s="978" t="n"/>
      <c r="L22" s="978" t="n"/>
      <c r="M22" s="978" t="n"/>
      <c r="N22" s="978" t="n"/>
      <c r="O22" s="978" t="n"/>
      <c r="P22" s="978" t="n"/>
      <c r="Q22" s="978" t="n"/>
      <c r="R22" s="973">
        <f>(($E$22)*($E$3))</f>
        <v/>
      </c>
      <c r="S22" s="135">
        <f>(($E$22)*($E$3))</f>
        <v/>
      </c>
      <c r="T22" s="135">
        <f>(($E$22)*($E$3))</f>
        <v/>
      </c>
      <c r="U22" s="135">
        <f>(($E$22)*($E$3))</f>
        <v/>
      </c>
      <c r="V22" s="135">
        <f>(($E$22)*($E$3))</f>
        <v/>
      </c>
      <c r="W22" s="135">
        <f>(($E$22)*($E$3))</f>
        <v/>
      </c>
      <c r="X22" s="135">
        <f>(($E$22)*($E$3))</f>
        <v/>
      </c>
      <c r="Y22" s="135">
        <f>(($E$22)*($E$3))</f>
        <v/>
      </c>
      <c r="Z22" s="135">
        <f>(($E$22)*($E$3))</f>
        <v/>
      </c>
      <c r="AA22" s="135">
        <f>(($E$22)*($E$3))</f>
        <v/>
      </c>
      <c r="AB22" s="135">
        <f>(($E$22)*($E$3))</f>
        <v/>
      </c>
      <c r="AC22" s="135">
        <f>(($E$22)*($E$3))</f>
        <v/>
      </c>
      <c r="AD22" s="973">
        <f>(($E$22)*($E$3))</f>
        <v/>
      </c>
      <c r="AE22" s="135">
        <f>(($E$22)*($E$3))</f>
        <v/>
      </c>
      <c r="AF22" s="135">
        <f>(($E$22)*($E$3))</f>
        <v/>
      </c>
      <c r="AG22" s="135">
        <f>(($E$22)*($E$3))</f>
        <v/>
      </c>
      <c r="AH22" s="135">
        <f>(($E$22)*($E$3))</f>
        <v/>
      </c>
      <c r="AI22" s="135">
        <f>(($E$22)*($E$3))</f>
        <v/>
      </c>
      <c r="AJ22" s="135">
        <f>(($E$22)*($E$3))</f>
        <v/>
      </c>
      <c r="AK22" s="412">
        <f>(($E$22)*($E$3))</f>
        <v/>
      </c>
      <c r="AL22" s="978" t="n"/>
      <c r="AM22" s="978" t="n"/>
      <c r="AN22" s="978" t="n"/>
      <c r="AO22" s="978" t="n"/>
      <c r="AP22" s="981" t="n"/>
      <c r="AQ22" s="978" t="n"/>
      <c r="AR22" s="978" t="n"/>
      <c r="AS22" s="978" t="n"/>
      <c r="AT22" s="978" t="n"/>
      <c r="AU22" s="978" t="n"/>
      <c r="AV22" s="978" t="n"/>
      <c r="AW22" s="978" t="n"/>
      <c r="AX22" s="978" t="n"/>
      <c r="AY22" s="978" t="n"/>
      <c r="AZ22" s="978" t="n"/>
      <c r="BA22" s="978" t="n"/>
      <c r="BB22" s="981" t="n"/>
      <c r="BC22" s="978" t="n"/>
      <c r="BD22" s="978" t="n"/>
      <c r="BE22" s="978" t="n"/>
      <c r="BF22" s="978" t="n"/>
      <c r="BG22" s="978" t="n"/>
      <c r="BH22" s="978" t="n"/>
      <c r="BI22" s="978" t="n"/>
      <c r="BJ22" s="978" t="n"/>
      <c r="BK22" s="978" t="n"/>
      <c r="BL22" s="978" t="n"/>
      <c r="BM22" s="978" t="n"/>
      <c r="BN22" s="978" t="n"/>
      <c r="BO22" s="932" t="n"/>
      <c r="BP22" s="135">
        <f>SUM(G22:BN22)</f>
        <v/>
      </c>
      <c r="BQ22" s="932" t="n"/>
      <c r="BR22" s="135">
        <f>(E22)</f>
        <v/>
      </c>
      <c r="BS22" s="135">
        <f>((BP22)-(BR22))</f>
        <v/>
      </c>
    </row>
    <row r="23">
      <c r="D23" s="149" t="inlineStr">
        <is>
          <t>Month 12</t>
        </is>
      </c>
      <c r="E23" s="139">
        <f>'P&amp;L Assumptions (Computer App)'!AD17</f>
        <v/>
      </c>
      <c r="F23" s="1968" t="n"/>
      <c r="G23" s="978" t="n"/>
      <c r="H23" s="978" t="n"/>
      <c r="I23" s="978" t="n"/>
      <c r="J23" s="978" t="n"/>
      <c r="K23" s="978" t="n"/>
      <c r="L23" s="978" t="n"/>
      <c r="M23" s="978" t="n"/>
      <c r="N23" s="978" t="n"/>
      <c r="O23" s="978" t="n"/>
      <c r="P23" s="978" t="n"/>
      <c r="Q23" s="978" t="n"/>
      <c r="R23" s="981" t="n"/>
      <c r="S23" s="412">
        <f>(($E$23)*($E$3))</f>
        <v/>
      </c>
      <c r="T23" s="135">
        <f>(($E$23)*($E$3))</f>
        <v/>
      </c>
      <c r="U23" s="135">
        <f>(($E$23)*($E$3))</f>
        <v/>
      </c>
      <c r="V23" s="135">
        <f>(($E$23)*($E$3))</f>
        <v/>
      </c>
      <c r="W23" s="135">
        <f>(($E$23)*($E$3))</f>
        <v/>
      </c>
      <c r="X23" s="135">
        <f>(($E$23)*($E$3))</f>
        <v/>
      </c>
      <c r="Y23" s="135">
        <f>(($E$23)*($E$3))</f>
        <v/>
      </c>
      <c r="Z23" s="135">
        <f>(($E$23)*($E$3))</f>
        <v/>
      </c>
      <c r="AA23" s="135">
        <f>(($E$23)*($E$3))</f>
        <v/>
      </c>
      <c r="AB23" s="135">
        <f>(($E$23)*($E$3))</f>
        <v/>
      </c>
      <c r="AC23" s="135">
        <f>(($E$23)*($E$3))</f>
        <v/>
      </c>
      <c r="AD23" s="973">
        <f>(($E$23)*($E$3))</f>
        <v/>
      </c>
      <c r="AE23" s="135">
        <f>(($E$23)*($E$3))</f>
        <v/>
      </c>
      <c r="AF23" s="135">
        <f>(($E$23)*($E$3))</f>
        <v/>
      </c>
      <c r="AG23" s="135">
        <f>(($E$23)*($E$3))</f>
        <v/>
      </c>
      <c r="AH23" s="135">
        <f>(($E$23)*($E$3))</f>
        <v/>
      </c>
      <c r="AI23" s="135">
        <f>(($E$23)*($E$3))</f>
        <v/>
      </c>
      <c r="AJ23" s="135">
        <f>(($E$23)*($E$3))</f>
        <v/>
      </c>
      <c r="AK23" s="135">
        <f>(($E$23)*($E$3))</f>
        <v/>
      </c>
      <c r="AL23" s="412">
        <f>(($E$23)*($E$3))</f>
        <v/>
      </c>
      <c r="AM23" s="978" t="n"/>
      <c r="AN23" s="978" t="n"/>
      <c r="AO23" s="978" t="n"/>
      <c r="AP23" s="981" t="n"/>
      <c r="AQ23" s="978" t="n"/>
      <c r="AR23" s="978" t="n"/>
      <c r="AS23" s="978" t="n"/>
      <c r="AT23" s="978" t="n"/>
      <c r="AU23" s="978" t="n"/>
      <c r="AV23" s="978" t="n"/>
      <c r="AW23" s="978" t="n"/>
      <c r="AX23" s="978" t="n"/>
      <c r="AY23" s="978" t="n"/>
      <c r="AZ23" s="978" t="n"/>
      <c r="BA23" s="978" t="n"/>
      <c r="BB23" s="981" t="n"/>
      <c r="BC23" s="978" t="n"/>
      <c r="BD23" s="978" t="n"/>
      <c r="BE23" s="978" t="n"/>
      <c r="BF23" s="978" t="n"/>
      <c r="BG23" s="978" t="n"/>
      <c r="BH23" s="978" t="n"/>
      <c r="BI23" s="978" t="n"/>
      <c r="BJ23" s="978" t="n"/>
      <c r="BK23" s="978" t="n"/>
      <c r="BL23" s="978" t="n"/>
      <c r="BM23" s="978" t="n"/>
      <c r="BN23" s="978" t="n"/>
      <c r="BO23" s="932" t="n"/>
      <c r="BP23" s="135">
        <f>SUM(G23:BN23)</f>
        <v/>
      </c>
      <c r="BQ23" s="932" t="n"/>
      <c r="BR23" s="135">
        <f>(E23)</f>
        <v/>
      </c>
      <c r="BS23" s="135">
        <f>((BP23)-(BR23))</f>
        <v/>
      </c>
    </row>
    <row r="24">
      <c r="D24" s="149" t="inlineStr">
        <is>
          <t>Month 13</t>
        </is>
      </c>
      <c r="E24" s="139">
        <f>'P&amp;L Assumptions (Computer App)'!H18</f>
        <v/>
      </c>
      <c r="F24" s="1968" t="n"/>
      <c r="G24" s="978" t="n"/>
      <c r="H24" s="978" t="n"/>
      <c r="I24" s="978" t="n"/>
      <c r="J24" s="978" t="n"/>
      <c r="K24" s="978" t="n"/>
      <c r="L24" s="978" t="n"/>
      <c r="M24" s="978" t="n"/>
      <c r="N24" s="978" t="n"/>
      <c r="O24" s="978" t="n"/>
      <c r="P24" s="978" t="n"/>
      <c r="Q24" s="978" t="n"/>
      <c r="R24" s="981" t="n"/>
      <c r="S24" s="978" t="n"/>
      <c r="T24" s="412">
        <f>(($E$24)*($E$3))</f>
        <v/>
      </c>
      <c r="U24" s="135">
        <f>(($E$24)*($E$3))</f>
        <v/>
      </c>
      <c r="V24" s="135">
        <f>(($E$24)*($E$3))</f>
        <v/>
      </c>
      <c r="W24" s="135">
        <f>(($E$24)*($E$3))</f>
        <v/>
      </c>
      <c r="X24" s="135">
        <f>(($E$24)*($E$3))</f>
        <v/>
      </c>
      <c r="Y24" s="135">
        <f>(($E$24)*($E$3))</f>
        <v/>
      </c>
      <c r="Z24" s="135">
        <f>(($E$24)*($E$3))</f>
        <v/>
      </c>
      <c r="AA24" s="135">
        <f>(($E$24)*($E$3))</f>
        <v/>
      </c>
      <c r="AB24" s="135">
        <f>(($E$24)*($E$3))</f>
        <v/>
      </c>
      <c r="AC24" s="135">
        <f>(($E$24)*($E$3))</f>
        <v/>
      </c>
      <c r="AD24" s="973">
        <f>(($E$24)*($E$3))</f>
        <v/>
      </c>
      <c r="AE24" s="135">
        <f>(($E$24)*($E$3))</f>
        <v/>
      </c>
      <c r="AF24" s="135">
        <f>(($E$24)*($E$3))</f>
        <v/>
      </c>
      <c r="AG24" s="135">
        <f>(($E$24)*($E$3))</f>
        <v/>
      </c>
      <c r="AH24" s="135">
        <f>(($E$24)*($E$3))</f>
        <v/>
      </c>
      <c r="AI24" s="135">
        <f>(($E$24)*($E$3))</f>
        <v/>
      </c>
      <c r="AJ24" s="135">
        <f>(($E$24)*($E$3))</f>
        <v/>
      </c>
      <c r="AK24" s="135">
        <f>(($E$24)*($E$3))</f>
        <v/>
      </c>
      <c r="AL24" s="135">
        <f>(($E$24)*($E$3))</f>
        <v/>
      </c>
      <c r="AM24" s="412">
        <f>(($E$24)*($E$3))</f>
        <v/>
      </c>
      <c r="AN24" s="978" t="n"/>
      <c r="AO24" s="978" t="n"/>
      <c r="AP24" s="981" t="n"/>
      <c r="AQ24" s="978" t="n"/>
      <c r="AR24" s="978" t="n"/>
      <c r="AS24" s="978" t="n"/>
      <c r="AT24" s="978" t="n"/>
      <c r="AU24" s="978" t="n"/>
      <c r="AV24" s="978" t="n"/>
      <c r="AW24" s="978" t="n"/>
      <c r="AX24" s="978" t="n"/>
      <c r="AY24" s="978" t="n"/>
      <c r="AZ24" s="978" t="n"/>
      <c r="BA24" s="978" t="n"/>
      <c r="BB24" s="981" t="n"/>
      <c r="BC24" s="978" t="n"/>
      <c r="BD24" s="978" t="n"/>
      <c r="BE24" s="978" t="n"/>
      <c r="BF24" s="978" t="n"/>
      <c r="BG24" s="978" t="n"/>
      <c r="BH24" s="978" t="n"/>
      <c r="BI24" s="978" t="n"/>
      <c r="BJ24" s="978" t="n"/>
      <c r="BK24" s="978" t="n"/>
      <c r="BL24" s="978" t="n"/>
      <c r="BM24" s="978" t="n"/>
      <c r="BN24" s="978" t="n"/>
      <c r="BO24" s="932" t="n"/>
      <c r="BP24" s="135">
        <f>SUM(G24:BN24)</f>
        <v/>
      </c>
      <c r="BQ24" s="932" t="n"/>
      <c r="BR24" s="135">
        <f>(E24)</f>
        <v/>
      </c>
      <c r="BS24" s="135">
        <f>((BP24)-(BR24))</f>
        <v/>
      </c>
    </row>
    <row r="25">
      <c r="D25" s="149" t="inlineStr">
        <is>
          <t>Month 14</t>
        </is>
      </c>
      <c r="E25" s="139">
        <f>'P&amp;L Assumptions (Computer App)'!J18</f>
        <v/>
      </c>
      <c r="F25" s="1968" t="n"/>
      <c r="G25" s="978" t="n"/>
      <c r="H25" s="978" t="n"/>
      <c r="I25" s="978" t="n"/>
      <c r="J25" s="978" t="n"/>
      <c r="K25" s="978" t="n"/>
      <c r="L25" s="978" t="n"/>
      <c r="M25" s="978" t="n"/>
      <c r="N25" s="978" t="n"/>
      <c r="O25" s="978" t="n"/>
      <c r="P25" s="978" t="n"/>
      <c r="Q25" s="978" t="n"/>
      <c r="R25" s="981" t="n"/>
      <c r="S25" s="978" t="n"/>
      <c r="T25" s="978" t="n"/>
      <c r="U25" s="412">
        <f>(($E$25)*($E$3))</f>
        <v/>
      </c>
      <c r="V25" s="135">
        <f>(($E$25)*($E$3))</f>
        <v/>
      </c>
      <c r="W25" s="135">
        <f>(($E$25)*($E$3))</f>
        <v/>
      </c>
      <c r="X25" s="135">
        <f>(($E$25)*($E$3))</f>
        <v/>
      </c>
      <c r="Y25" s="135">
        <f>(($E$25)*($E$3))</f>
        <v/>
      </c>
      <c r="Z25" s="135">
        <f>(($E$25)*($E$3))</f>
        <v/>
      </c>
      <c r="AA25" s="135">
        <f>(($E$25)*($E$3))</f>
        <v/>
      </c>
      <c r="AB25" s="135">
        <f>(($E$25)*($E$3))</f>
        <v/>
      </c>
      <c r="AC25" s="135">
        <f>(($E$25)*($E$3))</f>
        <v/>
      </c>
      <c r="AD25" s="973">
        <f>(($E$25)*($E$3))</f>
        <v/>
      </c>
      <c r="AE25" s="135">
        <f>(($E$25)*($E$3))</f>
        <v/>
      </c>
      <c r="AF25" s="135">
        <f>(($E$25)*($E$3))</f>
        <v/>
      </c>
      <c r="AG25" s="135">
        <f>(($E$25)*($E$3))</f>
        <v/>
      </c>
      <c r="AH25" s="135">
        <f>(($E$25)*($E$3))</f>
        <v/>
      </c>
      <c r="AI25" s="135">
        <f>(($E$25)*($E$3))</f>
        <v/>
      </c>
      <c r="AJ25" s="135">
        <f>(($E$25)*($E$3))</f>
        <v/>
      </c>
      <c r="AK25" s="135">
        <f>(($E$25)*($E$3))</f>
        <v/>
      </c>
      <c r="AL25" s="135">
        <f>(($E$25)*($E$3))</f>
        <v/>
      </c>
      <c r="AM25" s="135">
        <f>(($E$25)*($E$3))</f>
        <v/>
      </c>
      <c r="AN25" s="412">
        <f>(($E$25)*($E$3))</f>
        <v/>
      </c>
      <c r="AO25" s="978" t="n"/>
      <c r="AP25" s="981" t="n"/>
      <c r="AQ25" s="978" t="n"/>
      <c r="AR25" s="978" t="n"/>
      <c r="AS25" s="978" t="n"/>
      <c r="AT25" s="978" t="n"/>
      <c r="AU25" s="978" t="n"/>
      <c r="AV25" s="978" t="n"/>
      <c r="AW25" s="978" t="n"/>
      <c r="AX25" s="978" t="n"/>
      <c r="AY25" s="978" t="n"/>
      <c r="AZ25" s="978" t="n"/>
      <c r="BA25" s="978" t="n"/>
      <c r="BB25" s="981" t="n"/>
      <c r="BC25" s="978" t="n"/>
      <c r="BD25" s="978" t="n"/>
      <c r="BE25" s="978" t="n"/>
      <c r="BF25" s="978" t="n"/>
      <c r="BG25" s="978" t="n"/>
      <c r="BH25" s="978" t="n"/>
      <c r="BI25" s="978" t="n"/>
      <c r="BJ25" s="978" t="n"/>
      <c r="BK25" s="978" t="n"/>
      <c r="BL25" s="978" t="n"/>
      <c r="BM25" s="978" t="n"/>
      <c r="BN25" s="978" t="n"/>
      <c r="BO25" s="932" t="n"/>
      <c r="BP25" s="135">
        <f>SUM(G25:BN25)</f>
        <v/>
      </c>
      <c r="BQ25" s="932" t="n"/>
      <c r="BR25" s="135">
        <f>(E25)</f>
        <v/>
      </c>
      <c r="BS25" s="135">
        <f>((BP25)-(BR25))</f>
        <v/>
      </c>
    </row>
    <row r="26">
      <c r="D26" s="149" t="inlineStr">
        <is>
          <t>Month 15</t>
        </is>
      </c>
      <c r="E26" s="139">
        <f>'P&amp;L Assumptions (Computer App)'!L18</f>
        <v/>
      </c>
      <c r="F26" s="1968" t="n"/>
      <c r="G26" s="978" t="n"/>
      <c r="H26" s="978" t="n"/>
      <c r="I26" s="978" t="n"/>
      <c r="J26" s="978" t="n"/>
      <c r="K26" s="978" t="n"/>
      <c r="L26" s="978" t="n"/>
      <c r="M26" s="978" t="n"/>
      <c r="N26" s="978" t="n"/>
      <c r="O26" s="978" t="n"/>
      <c r="P26" s="978" t="n"/>
      <c r="Q26" s="978" t="n"/>
      <c r="R26" s="981" t="n"/>
      <c r="S26" s="978" t="n"/>
      <c r="T26" s="978" t="n"/>
      <c r="U26" s="978" t="n"/>
      <c r="V26" s="412">
        <f>(($E$26)*($E$3))</f>
        <v/>
      </c>
      <c r="W26" s="135">
        <f>(($E$26)*($E$3))</f>
        <v/>
      </c>
      <c r="X26" s="135">
        <f>(($E$26)*($E$3))</f>
        <v/>
      </c>
      <c r="Y26" s="135">
        <f>(($E$26)*($E$3))</f>
        <v/>
      </c>
      <c r="Z26" s="135">
        <f>(($E$26)*($E$3))</f>
        <v/>
      </c>
      <c r="AA26" s="135">
        <f>(($E$26)*($E$3))</f>
        <v/>
      </c>
      <c r="AB26" s="135">
        <f>(($E$26)*($E$3))</f>
        <v/>
      </c>
      <c r="AC26" s="135">
        <f>(($E$26)*($E$3))</f>
        <v/>
      </c>
      <c r="AD26" s="973">
        <f>(($E$26)*($E$3))</f>
        <v/>
      </c>
      <c r="AE26" s="135">
        <f>(($E$26)*($E$3))</f>
        <v/>
      </c>
      <c r="AF26" s="135">
        <f>(($E$26)*($E$3))</f>
        <v/>
      </c>
      <c r="AG26" s="135">
        <f>(($E$26)*($E$3))</f>
        <v/>
      </c>
      <c r="AH26" s="135">
        <f>(($E$26)*($E$3))</f>
        <v/>
      </c>
      <c r="AI26" s="135">
        <f>(($E$26)*($E$3))</f>
        <v/>
      </c>
      <c r="AJ26" s="135">
        <f>(($E$26)*($E$3))</f>
        <v/>
      </c>
      <c r="AK26" s="135">
        <f>(($E$26)*($E$3))</f>
        <v/>
      </c>
      <c r="AL26" s="135">
        <f>(($E$26)*($E$3))</f>
        <v/>
      </c>
      <c r="AM26" s="135">
        <f>(($E$26)*($E$3))</f>
        <v/>
      </c>
      <c r="AN26" s="135">
        <f>(($E$26)*($E$3))</f>
        <v/>
      </c>
      <c r="AO26" s="412">
        <f>(($E$26)*($E$3))</f>
        <v/>
      </c>
      <c r="AP26" s="981" t="n"/>
      <c r="AQ26" s="978" t="n"/>
      <c r="AR26" s="978" t="n"/>
      <c r="AS26" s="978" t="n"/>
      <c r="AT26" s="978" t="n"/>
      <c r="AU26" s="978" t="n"/>
      <c r="AV26" s="978" t="n"/>
      <c r="AW26" s="978" t="n"/>
      <c r="AX26" s="978" t="n"/>
      <c r="AY26" s="978" t="n"/>
      <c r="AZ26" s="978" t="n"/>
      <c r="BA26" s="978" t="n"/>
      <c r="BB26" s="981" t="n"/>
      <c r="BC26" s="978" t="n"/>
      <c r="BD26" s="978" t="n"/>
      <c r="BE26" s="978" t="n"/>
      <c r="BF26" s="978" t="n"/>
      <c r="BG26" s="978" t="n"/>
      <c r="BH26" s="978" t="n"/>
      <c r="BI26" s="978" t="n"/>
      <c r="BJ26" s="978" t="n"/>
      <c r="BK26" s="978" t="n"/>
      <c r="BL26" s="978" t="n"/>
      <c r="BM26" s="978" t="n"/>
      <c r="BN26" s="978" t="n"/>
      <c r="BO26" s="932" t="n"/>
      <c r="BP26" s="135">
        <f>SUM(G26:BN26)</f>
        <v/>
      </c>
      <c r="BQ26" s="932" t="n"/>
      <c r="BR26" s="135">
        <f>(E26)</f>
        <v/>
      </c>
      <c r="BS26" s="135">
        <f>((BP26)-(BR26))</f>
        <v/>
      </c>
    </row>
    <row r="27">
      <c r="D27" s="149" t="inlineStr">
        <is>
          <t>Month 16</t>
        </is>
      </c>
      <c r="E27" s="139">
        <f>'P&amp;L Assumptions (Computer App)'!N18</f>
        <v/>
      </c>
      <c r="F27" s="1968" t="n"/>
      <c r="G27" s="978" t="n"/>
      <c r="H27" s="978" t="n"/>
      <c r="I27" s="978" t="n"/>
      <c r="J27" s="978" t="n"/>
      <c r="K27" s="978" t="n"/>
      <c r="L27" s="978" t="n"/>
      <c r="M27" s="978" t="n"/>
      <c r="N27" s="978" t="n"/>
      <c r="O27" s="978" t="n"/>
      <c r="P27" s="978" t="n"/>
      <c r="Q27" s="978" t="n"/>
      <c r="R27" s="981" t="n"/>
      <c r="S27" s="978" t="n"/>
      <c r="T27" s="978" t="n"/>
      <c r="U27" s="978" t="n"/>
      <c r="V27" s="978" t="n"/>
      <c r="W27" s="412">
        <f>(($E$27)*($E$3))</f>
        <v/>
      </c>
      <c r="X27" s="135">
        <f>(($E$27)*($E$3))</f>
        <v/>
      </c>
      <c r="Y27" s="135">
        <f>(($E$27)*($E$3))</f>
        <v/>
      </c>
      <c r="Z27" s="135">
        <f>(($E$27)*($E$3))</f>
        <v/>
      </c>
      <c r="AA27" s="135">
        <f>(($E$27)*($E$3))</f>
        <v/>
      </c>
      <c r="AB27" s="135">
        <f>(($E$27)*($E$3))</f>
        <v/>
      </c>
      <c r="AC27" s="135">
        <f>(($E$27)*($E$3))</f>
        <v/>
      </c>
      <c r="AD27" s="973">
        <f>(($E$27)*($E$3))</f>
        <v/>
      </c>
      <c r="AE27" s="135">
        <f>(($E$27)*($E$3))</f>
        <v/>
      </c>
      <c r="AF27" s="135">
        <f>(($E$27)*($E$3))</f>
        <v/>
      </c>
      <c r="AG27" s="135">
        <f>(($E$27)*($E$3))</f>
        <v/>
      </c>
      <c r="AH27" s="135">
        <f>(($E$27)*($E$3))</f>
        <v/>
      </c>
      <c r="AI27" s="135">
        <f>(($E$27)*($E$3))</f>
        <v/>
      </c>
      <c r="AJ27" s="135">
        <f>(($E$27)*($E$3))</f>
        <v/>
      </c>
      <c r="AK27" s="135">
        <f>(($E$27)*($E$3))</f>
        <v/>
      </c>
      <c r="AL27" s="135">
        <f>(($E$27)*($E$3))</f>
        <v/>
      </c>
      <c r="AM27" s="135">
        <f>(($E$27)*($E$3))</f>
        <v/>
      </c>
      <c r="AN27" s="135">
        <f>(($E$27)*($E$3))</f>
        <v/>
      </c>
      <c r="AO27" s="135">
        <f>(($E$27)*($E$3))</f>
        <v/>
      </c>
      <c r="AP27" s="973">
        <f>(($E$27)*($E$3))</f>
        <v/>
      </c>
      <c r="AQ27" s="978" t="n"/>
      <c r="AR27" s="978" t="n"/>
      <c r="AS27" s="978" t="n"/>
      <c r="AT27" s="978" t="n"/>
      <c r="AU27" s="978" t="n"/>
      <c r="AV27" s="978" t="n"/>
      <c r="AW27" s="978" t="n"/>
      <c r="AX27" s="978" t="n"/>
      <c r="AY27" s="978" t="n"/>
      <c r="AZ27" s="978" t="n"/>
      <c r="BA27" s="978" t="n"/>
      <c r="BB27" s="981" t="n"/>
      <c r="BC27" s="978" t="n"/>
      <c r="BD27" s="978" t="n"/>
      <c r="BE27" s="978" t="n"/>
      <c r="BF27" s="978" t="n"/>
      <c r="BG27" s="978" t="n"/>
      <c r="BH27" s="978" t="n"/>
      <c r="BI27" s="978" t="n"/>
      <c r="BJ27" s="978" t="n"/>
      <c r="BK27" s="978" t="n"/>
      <c r="BL27" s="978" t="n"/>
      <c r="BM27" s="978" t="n"/>
      <c r="BN27" s="978" t="n"/>
      <c r="BO27" s="932" t="n"/>
      <c r="BP27" s="135">
        <f>SUM(G27:BN27)</f>
        <v/>
      </c>
      <c r="BQ27" s="932" t="n"/>
      <c r="BR27" s="135">
        <f>(E27)</f>
        <v/>
      </c>
      <c r="BS27" s="135">
        <f>((BP27)-(BR27))</f>
        <v/>
      </c>
    </row>
    <row r="28">
      <c r="D28" s="149" t="inlineStr">
        <is>
          <t>Month 17</t>
        </is>
      </c>
      <c r="E28" s="139">
        <f>'P&amp;L Assumptions (Computer App)'!P18</f>
        <v/>
      </c>
      <c r="F28" s="1968" t="n"/>
      <c r="G28" s="978" t="n"/>
      <c r="H28" s="978" t="n"/>
      <c r="I28" s="978" t="n"/>
      <c r="J28" s="978" t="n"/>
      <c r="K28" s="978" t="n"/>
      <c r="L28" s="978" t="n"/>
      <c r="M28" s="978" t="n"/>
      <c r="N28" s="978" t="n"/>
      <c r="O28" s="978" t="n"/>
      <c r="P28" s="978" t="n"/>
      <c r="Q28" s="978" t="n"/>
      <c r="R28" s="981" t="n"/>
      <c r="S28" s="978" t="n"/>
      <c r="T28" s="978" t="n"/>
      <c r="U28" s="978" t="n"/>
      <c r="V28" s="978" t="n"/>
      <c r="W28" s="978" t="n"/>
      <c r="X28" s="412">
        <f>(($E$28)*($E$3))</f>
        <v/>
      </c>
      <c r="Y28" s="135">
        <f>(($E$28)*($E$3))</f>
        <v/>
      </c>
      <c r="Z28" s="135">
        <f>(($E$28)*($E$3))</f>
        <v/>
      </c>
      <c r="AA28" s="135">
        <f>(($E$28)*($E$3))</f>
        <v/>
      </c>
      <c r="AB28" s="135">
        <f>(($E$28)*($E$3))</f>
        <v/>
      </c>
      <c r="AC28" s="135">
        <f>(($E$28)*($E$3))</f>
        <v/>
      </c>
      <c r="AD28" s="973">
        <f>(($E$28)*($E$3))</f>
        <v/>
      </c>
      <c r="AE28" s="135">
        <f>(($E$28)*($E$3))</f>
        <v/>
      </c>
      <c r="AF28" s="135">
        <f>(($E$28)*($E$3))</f>
        <v/>
      </c>
      <c r="AG28" s="135">
        <f>(($E$28)*($E$3))</f>
        <v/>
      </c>
      <c r="AH28" s="135">
        <f>(($E$28)*($E$3))</f>
        <v/>
      </c>
      <c r="AI28" s="135">
        <f>(($E$28)*($E$3))</f>
        <v/>
      </c>
      <c r="AJ28" s="135">
        <f>(($E$28)*($E$3))</f>
        <v/>
      </c>
      <c r="AK28" s="135">
        <f>(($E$28)*($E$3))</f>
        <v/>
      </c>
      <c r="AL28" s="135">
        <f>(($E$28)*($E$3))</f>
        <v/>
      </c>
      <c r="AM28" s="135">
        <f>(($E$28)*($E$3))</f>
        <v/>
      </c>
      <c r="AN28" s="135">
        <f>(($E$28)*($E$3))</f>
        <v/>
      </c>
      <c r="AO28" s="135">
        <f>(($E$28)*($E$3))</f>
        <v/>
      </c>
      <c r="AP28" s="973">
        <f>(($E$28)*($E$3))</f>
        <v/>
      </c>
      <c r="AQ28" s="412">
        <f>(($E$28)*($E$3))</f>
        <v/>
      </c>
      <c r="AR28" s="978" t="n"/>
      <c r="AS28" s="978" t="n"/>
      <c r="AT28" s="978" t="n"/>
      <c r="AU28" s="978" t="n"/>
      <c r="AV28" s="978" t="n"/>
      <c r="AW28" s="978" t="n"/>
      <c r="AX28" s="978" t="n"/>
      <c r="AY28" s="978" t="n"/>
      <c r="AZ28" s="978" t="n"/>
      <c r="BA28" s="978" t="n"/>
      <c r="BB28" s="981" t="n"/>
      <c r="BC28" s="978" t="n"/>
      <c r="BD28" s="978" t="n"/>
      <c r="BE28" s="978" t="n"/>
      <c r="BF28" s="978" t="n"/>
      <c r="BG28" s="978" t="n"/>
      <c r="BH28" s="978" t="n"/>
      <c r="BI28" s="978" t="n"/>
      <c r="BJ28" s="978" t="n"/>
      <c r="BK28" s="978" t="n"/>
      <c r="BL28" s="978" t="n"/>
      <c r="BM28" s="978" t="n"/>
      <c r="BN28" s="978" t="n"/>
      <c r="BO28" s="932" t="n"/>
      <c r="BP28" s="135">
        <f>SUM(G28:BN28)</f>
        <v/>
      </c>
      <c r="BQ28" s="932" t="n"/>
      <c r="BR28" s="135">
        <f>(E28)</f>
        <v/>
      </c>
      <c r="BS28" s="135">
        <f>((BP28)-(BR28))</f>
        <v/>
      </c>
    </row>
    <row r="29">
      <c r="D29" s="149" t="inlineStr">
        <is>
          <t>Month 18</t>
        </is>
      </c>
      <c r="E29" s="139">
        <f>'P&amp;L Assumptions (Computer App)'!R18</f>
        <v/>
      </c>
      <c r="F29" s="1968" t="n"/>
      <c r="G29" s="978" t="n"/>
      <c r="H29" s="978" t="n"/>
      <c r="I29" s="978" t="n"/>
      <c r="J29" s="978" t="n"/>
      <c r="K29" s="978" t="n"/>
      <c r="L29" s="978" t="n"/>
      <c r="M29" s="978" t="n"/>
      <c r="N29" s="978" t="n"/>
      <c r="O29" s="978" t="n"/>
      <c r="P29" s="978" t="n"/>
      <c r="Q29" s="978" t="n"/>
      <c r="R29" s="981" t="n"/>
      <c r="S29" s="978" t="n"/>
      <c r="T29" s="978" t="n"/>
      <c r="U29" s="978" t="n"/>
      <c r="V29" s="978" t="n"/>
      <c r="W29" s="978" t="n"/>
      <c r="X29" s="978" t="n"/>
      <c r="Y29" s="412">
        <f>(($E$29)*($E$3))</f>
        <v/>
      </c>
      <c r="Z29" s="135">
        <f>(($E$29)*($E$3))</f>
        <v/>
      </c>
      <c r="AA29" s="135">
        <f>(($E$29)*($E$3))</f>
        <v/>
      </c>
      <c r="AB29" s="135">
        <f>(($E$29)*($E$3))</f>
        <v/>
      </c>
      <c r="AC29" s="135">
        <f>(($E$29)*($E$3))</f>
        <v/>
      </c>
      <c r="AD29" s="973">
        <f>(($E$29)*($E$3))</f>
        <v/>
      </c>
      <c r="AE29" s="135">
        <f>(($E$29)*($E$3))</f>
        <v/>
      </c>
      <c r="AF29" s="135">
        <f>(($E$29)*($E$3))</f>
        <v/>
      </c>
      <c r="AG29" s="135">
        <f>(($E$29)*($E$3))</f>
        <v/>
      </c>
      <c r="AH29" s="135">
        <f>(($E$29)*($E$3))</f>
        <v/>
      </c>
      <c r="AI29" s="135">
        <f>(($E$29)*($E$3))</f>
        <v/>
      </c>
      <c r="AJ29" s="135">
        <f>(($E$29)*($E$3))</f>
        <v/>
      </c>
      <c r="AK29" s="135">
        <f>(($E$29)*($E$3))</f>
        <v/>
      </c>
      <c r="AL29" s="135">
        <f>(($E$29)*($E$3))</f>
        <v/>
      </c>
      <c r="AM29" s="135">
        <f>(($E$29)*($E$3))</f>
        <v/>
      </c>
      <c r="AN29" s="135">
        <f>(($E$29)*($E$3))</f>
        <v/>
      </c>
      <c r="AO29" s="135">
        <f>(($E$29)*($E$3))</f>
        <v/>
      </c>
      <c r="AP29" s="973">
        <f>(($E$29)*($E$3))</f>
        <v/>
      </c>
      <c r="AQ29" s="135">
        <f>(($E$29)*($E$3))</f>
        <v/>
      </c>
      <c r="AR29" s="412">
        <f>(($E$29)*($E$3))</f>
        <v/>
      </c>
      <c r="AS29" s="978" t="n"/>
      <c r="AT29" s="978" t="n"/>
      <c r="AU29" s="978" t="n"/>
      <c r="AV29" s="978" t="n"/>
      <c r="AW29" s="978" t="n"/>
      <c r="AX29" s="978" t="n"/>
      <c r="AY29" s="978" t="n"/>
      <c r="AZ29" s="978" t="n"/>
      <c r="BA29" s="978" t="n"/>
      <c r="BB29" s="981" t="n"/>
      <c r="BC29" s="978" t="n"/>
      <c r="BD29" s="978" t="n"/>
      <c r="BE29" s="978" t="n"/>
      <c r="BF29" s="978" t="n"/>
      <c r="BG29" s="978" t="n"/>
      <c r="BH29" s="978" t="n"/>
      <c r="BI29" s="978" t="n"/>
      <c r="BJ29" s="978" t="n"/>
      <c r="BK29" s="978" t="n"/>
      <c r="BL29" s="978" t="n"/>
      <c r="BM29" s="978" t="n"/>
      <c r="BN29" s="978" t="n"/>
      <c r="BO29" s="932" t="n"/>
      <c r="BP29" s="135">
        <f>SUM(G29:BN29)</f>
        <v/>
      </c>
      <c r="BQ29" s="932" t="n"/>
      <c r="BR29" s="135">
        <f>(E29)</f>
        <v/>
      </c>
      <c r="BS29" s="135">
        <f>((BP29)-(BR29))</f>
        <v/>
      </c>
    </row>
    <row r="30">
      <c r="D30" s="149" t="inlineStr">
        <is>
          <t>Month 19</t>
        </is>
      </c>
      <c r="E30" s="139">
        <f>'P&amp;L Assumptions (Computer App)'!T18</f>
        <v/>
      </c>
      <c r="F30" s="1968" t="n"/>
      <c r="G30" s="978" t="n"/>
      <c r="H30" s="978" t="n"/>
      <c r="I30" s="978" t="n"/>
      <c r="J30" s="978" t="n"/>
      <c r="K30" s="978" t="n"/>
      <c r="L30" s="978" t="n"/>
      <c r="M30" s="978" t="n"/>
      <c r="N30" s="978" t="n"/>
      <c r="O30" s="978" t="n"/>
      <c r="P30" s="978" t="n"/>
      <c r="Q30" s="978" t="n"/>
      <c r="R30" s="981" t="n"/>
      <c r="S30" s="978" t="n"/>
      <c r="T30" s="978" t="n"/>
      <c r="U30" s="978" t="n"/>
      <c r="V30" s="978" t="n"/>
      <c r="W30" s="978" t="n"/>
      <c r="X30" s="978" t="n"/>
      <c r="Y30" s="978" t="n"/>
      <c r="Z30" s="412">
        <f>(($E$30)*($E$3))</f>
        <v/>
      </c>
      <c r="AA30" s="135">
        <f>(($E$30)*($E$3))</f>
        <v/>
      </c>
      <c r="AB30" s="135">
        <f>(($E$30)*($E$3))</f>
        <v/>
      </c>
      <c r="AC30" s="135">
        <f>(($E$30)*($E$3))</f>
        <v/>
      </c>
      <c r="AD30" s="973">
        <f>(($E$30)*($E$3))</f>
        <v/>
      </c>
      <c r="AE30" s="135">
        <f>(($E$30)*($E$3))</f>
        <v/>
      </c>
      <c r="AF30" s="135">
        <f>(($E$30)*($E$3))</f>
        <v/>
      </c>
      <c r="AG30" s="135">
        <f>(($E$30)*($E$3))</f>
        <v/>
      </c>
      <c r="AH30" s="135">
        <f>(($E$30)*($E$3))</f>
        <v/>
      </c>
      <c r="AI30" s="135">
        <f>(($E$30)*($E$3))</f>
        <v/>
      </c>
      <c r="AJ30" s="135">
        <f>(($E$30)*($E$3))</f>
        <v/>
      </c>
      <c r="AK30" s="135">
        <f>(($E$30)*($E$3))</f>
        <v/>
      </c>
      <c r="AL30" s="135">
        <f>(($E$30)*($E$3))</f>
        <v/>
      </c>
      <c r="AM30" s="135">
        <f>(($E$30)*($E$3))</f>
        <v/>
      </c>
      <c r="AN30" s="135">
        <f>(($E$30)*($E$3))</f>
        <v/>
      </c>
      <c r="AO30" s="135">
        <f>(($E$30)*($E$3))</f>
        <v/>
      </c>
      <c r="AP30" s="973">
        <f>(($E$30)*($E$3))</f>
        <v/>
      </c>
      <c r="AQ30" s="135">
        <f>(($E$30)*($E$3))</f>
        <v/>
      </c>
      <c r="AR30" s="135">
        <f>(($E$30)*($E$3))</f>
        <v/>
      </c>
      <c r="AS30" s="412">
        <f>(($E$30)*($E$3))</f>
        <v/>
      </c>
      <c r="AT30" s="978" t="n"/>
      <c r="AU30" s="978" t="n"/>
      <c r="AV30" s="978" t="n"/>
      <c r="AW30" s="978" t="n"/>
      <c r="AX30" s="978" t="n"/>
      <c r="AY30" s="978" t="n"/>
      <c r="AZ30" s="978" t="n"/>
      <c r="BA30" s="978" t="n"/>
      <c r="BB30" s="981" t="n"/>
      <c r="BC30" s="978" t="n"/>
      <c r="BD30" s="978" t="n"/>
      <c r="BE30" s="978" t="n"/>
      <c r="BF30" s="978" t="n"/>
      <c r="BG30" s="978" t="n"/>
      <c r="BH30" s="978" t="n"/>
      <c r="BI30" s="978" t="n"/>
      <c r="BJ30" s="978" t="n"/>
      <c r="BK30" s="978" t="n"/>
      <c r="BL30" s="978" t="n"/>
      <c r="BM30" s="978" t="n"/>
      <c r="BN30" s="978" t="n"/>
      <c r="BO30" s="932" t="n"/>
      <c r="BP30" s="135">
        <f>SUM(G30:BN30)</f>
        <v/>
      </c>
      <c r="BQ30" s="932" t="n"/>
      <c r="BR30" s="135">
        <f>(E30)</f>
        <v/>
      </c>
      <c r="BS30" s="135">
        <f>((BP30)-(BR30))</f>
        <v/>
      </c>
    </row>
    <row r="31">
      <c r="D31" s="149" t="inlineStr">
        <is>
          <t>Month 20</t>
        </is>
      </c>
      <c r="E31" s="139">
        <f>'P&amp;L Assumptions (Computer App)'!V18</f>
        <v/>
      </c>
      <c r="F31" s="1968" t="n"/>
      <c r="G31" s="978" t="n"/>
      <c r="H31" s="978" t="n"/>
      <c r="I31" s="978" t="n"/>
      <c r="J31" s="978" t="n"/>
      <c r="K31" s="978" t="n"/>
      <c r="L31" s="978" t="n"/>
      <c r="M31" s="978" t="n"/>
      <c r="N31" s="978" t="n"/>
      <c r="O31" s="978" t="n"/>
      <c r="P31" s="978" t="n"/>
      <c r="Q31" s="978" t="n"/>
      <c r="R31" s="981" t="n"/>
      <c r="S31" s="978" t="n"/>
      <c r="T31" s="978" t="n"/>
      <c r="U31" s="978" t="n"/>
      <c r="V31" s="978" t="n"/>
      <c r="W31" s="978" t="n"/>
      <c r="X31" s="978" t="n"/>
      <c r="Y31" s="978" t="n"/>
      <c r="Z31" s="978" t="n"/>
      <c r="AA31" s="412">
        <f>(($E$31)*($E$3))</f>
        <v/>
      </c>
      <c r="AB31" s="135">
        <f>(($E$31)*($E$3))</f>
        <v/>
      </c>
      <c r="AC31" s="135">
        <f>(($E$31)*($E$3))</f>
        <v/>
      </c>
      <c r="AD31" s="973">
        <f>(($E$31)*($E$3))</f>
        <v/>
      </c>
      <c r="AE31" s="135">
        <f>(($E$31)*($E$3))</f>
        <v/>
      </c>
      <c r="AF31" s="135">
        <f>(($E$31)*($E$3))</f>
        <v/>
      </c>
      <c r="AG31" s="135">
        <f>(($E$31)*($E$3))</f>
        <v/>
      </c>
      <c r="AH31" s="135">
        <f>(($E$31)*($E$3))</f>
        <v/>
      </c>
      <c r="AI31" s="135">
        <f>(($E$31)*($E$3))</f>
        <v/>
      </c>
      <c r="AJ31" s="135">
        <f>(($E$31)*($E$3))</f>
        <v/>
      </c>
      <c r="AK31" s="135">
        <f>(($E$31)*($E$3))</f>
        <v/>
      </c>
      <c r="AL31" s="135">
        <f>(($E$31)*($E$3))</f>
        <v/>
      </c>
      <c r="AM31" s="135">
        <f>(($E$31)*($E$3))</f>
        <v/>
      </c>
      <c r="AN31" s="135">
        <f>(($E$31)*($E$3))</f>
        <v/>
      </c>
      <c r="AO31" s="135">
        <f>(($E$31)*($E$3))</f>
        <v/>
      </c>
      <c r="AP31" s="973">
        <f>(($E$31)*($E$3))</f>
        <v/>
      </c>
      <c r="AQ31" s="135">
        <f>(($E$31)*($E$3))</f>
        <v/>
      </c>
      <c r="AR31" s="135">
        <f>(($E$31)*($E$3))</f>
        <v/>
      </c>
      <c r="AS31" s="135">
        <f>(($E$31)*($E$3))</f>
        <v/>
      </c>
      <c r="AT31" s="412">
        <f>(($E$31)*($E$3))</f>
        <v/>
      </c>
      <c r="AU31" s="978" t="n"/>
      <c r="AV31" s="978" t="n"/>
      <c r="AW31" s="978" t="n"/>
      <c r="AX31" s="978" t="n"/>
      <c r="AY31" s="978" t="n"/>
      <c r="AZ31" s="978" t="n"/>
      <c r="BA31" s="978" t="n"/>
      <c r="BB31" s="981" t="n"/>
      <c r="BC31" s="978" t="n"/>
      <c r="BD31" s="978" t="n"/>
      <c r="BE31" s="978" t="n"/>
      <c r="BF31" s="978" t="n"/>
      <c r="BG31" s="978" t="n"/>
      <c r="BH31" s="978" t="n"/>
      <c r="BI31" s="978" t="n"/>
      <c r="BJ31" s="978" t="n"/>
      <c r="BK31" s="978" t="n"/>
      <c r="BL31" s="978" t="n"/>
      <c r="BM31" s="978" t="n"/>
      <c r="BN31" s="978" t="n"/>
      <c r="BO31" s="932" t="n"/>
      <c r="BP31" s="135">
        <f>SUM(G31:BN31)</f>
        <v/>
      </c>
      <c r="BQ31" s="932" t="n"/>
      <c r="BR31" s="135">
        <f>(E31)</f>
        <v/>
      </c>
      <c r="BS31" s="135">
        <f>((BP31)-(BR31))</f>
        <v/>
      </c>
    </row>
    <row r="32">
      <c r="D32" s="149" t="inlineStr">
        <is>
          <t>Month 21</t>
        </is>
      </c>
      <c r="E32" s="139">
        <f>'P&amp;L Assumptions (Computer App)'!X18</f>
        <v/>
      </c>
      <c r="F32" s="1968" t="n"/>
      <c r="G32" s="978" t="n"/>
      <c r="H32" s="978" t="n"/>
      <c r="I32" s="978" t="n"/>
      <c r="J32" s="978" t="n"/>
      <c r="K32" s="978" t="n"/>
      <c r="L32" s="978" t="n"/>
      <c r="M32" s="978" t="n"/>
      <c r="N32" s="978" t="n"/>
      <c r="O32" s="978" t="n"/>
      <c r="P32" s="978" t="n"/>
      <c r="Q32" s="978" t="n"/>
      <c r="R32" s="981" t="n"/>
      <c r="S32" s="978" t="n"/>
      <c r="T32" s="978" t="n"/>
      <c r="U32" s="978" t="n"/>
      <c r="V32" s="978" t="n"/>
      <c r="W32" s="978" t="n"/>
      <c r="X32" s="978" t="n"/>
      <c r="Y32" s="978" t="n"/>
      <c r="Z32" s="978" t="n"/>
      <c r="AA32" s="978" t="n"/>
      <c r="AB32" s="412">
        <f>(($E$32)*($E$3))</f>
        <v/>
      </c>
      <c r="AC32" s="135">
        <f>(($E$32)*($E$3))</f>
        <v/>
      </c>
      <c r="AD32" s="973">
        <f>(($E$32)*($E$3))</f>
        <v/>
      </c>
      <c r="AE32" s="135">
        <f>(($E$32)*($E$3))</f>
        <v/>
      </c>
      <c r="AF32" s="135">
        <f>(($E$32)*($E$3))</f>
        <v/>
      </c>
      <c r="AG32" s="135">
        <f>(($E$32)*($E$3))</f>
        <v/>
      </c>
      <c r="AH32" s="135">
        <f>(($E$32)*($E$3))</f>
        <v/>
      </c>
      <c r="AI32" s="135">
        <f>(($E$32)*($E$3))</f>
        <v/>
      </c>
      <c r="AJ32" s="135">
        <f>(($E$32)*($E$3))</f>
        <v/>
      </c>
      <c r="AK32" s="135">
        <f>(($E$32)*($E$3))</f>
        <v/>
      </c>
      <c r="AL32" s="135">
        <f>(($E$32)*($E$3))</f>
        <v/>
      </c>
      <c r="AM32" s="135">
        <f>(($E$32)*($E$3))</f>
        <v/>
      </c>
      <c r="AN32" s="135">
        <f>(($E$32)*($E$3))</f>
        <v/>
      </c>
      <c r="AO32" s="135">
        <f>(($E$32)*($E$3))</f>
        <v/>
      </c>
      <c r="AP32" s="973">
        <f>(($E$32)*($E$3))</f>
        <v/>
      </c>
      <c r="AQ32" s="135">
        <f>(($E$32)*($E$3))</f>
        <v/>
      </c>
      <c r="AR32" s="135">
        <f>(($E$32)*($E$3))</f>
        <v/>
      </c>
      <c r="AS32" s="135">
        <f>(($E$32)*($E$3))</f>
        <v/>
      </c>
      <c r="AT32" s="135">
        <f>(($E$32)*($E$3))</f>
        <v/>
      </c>
      <c r="AU32" s="412">
        <f>(($E$32)*($E$3))</f>
        <v/>
      </c>
      <c r="AV32" s="978" t="n"/>
      <c r="AW32" s="978" t="n"/>
      <c r="AX32" s="978" t="n"/>
      <c r="AY32" s="978" t="n"/>
      <c r="AZ32" s="978" t="n"/>
      <c r="BA32" s="978" t="n"/>
      <c r="BB32" s="981" t="n"/>
      <c r="BC32" s="978" t="n"/>
      <c r="BD32" s="978" t="n"/>
      <c r="BE32" s="978" t="n"/>
      <c r="BF32" s="978" t="n"/>
      <c r="BG32" s="978" t="n"/>
      <c r="BH32" s="978" t="n"/>
      <c r="BI32" s="978" t="n"/>
      <c r="BJ32" s="978" t="n"/>
      <c r="BK32" s="978" t="n"/>
      <c r="BL32" s="978" t="n"/>
      <c r="BM32" s="978" t="n"/>
      <c r="BN32" s="978" t="n"/>
      <c r="BO32" s="932" t="n"/>
      <c r="BP32" s="135">
        <f>SUM(G32:BN32)</f>
        <v/>
      </c>
      <c r="BQ32" s="932" t="n"/>
      <c r="BR32" s="135">
        <f>(E32)</f>
        <v/>
      </c>
      <c r="BS32" s="135">
        <f>((BP32)-(BR32))</f>
        <v/>
      </c>
    </row>
    <row r="33">
      <c r="D33" s="149" t="inlineStr">
        <is>
          <t>Month 22</t>
        </is>
      </c>
      <c r="E33" s="139">
        <f>'P&amp;L Assumptions (Computer App)'!Z18</f>
        <v/>
      </c>
      <c r="F33" s="1968" t="n"/>
      <c r="G33" s="978" t="n"/>
      <c r="H33" s="978" t="n"/>
      <c r="I33" s="978" t="n"/>
      <c r="J33" s="978" t="n"/>
      <c r="K33" s="978" t="n"/>
      <c r="L33" s="978" t="n"/>
      <c r="M33" s="978" t="n"/>
      <c r="N33" s="978" t="n"/>
      <c r="O33" s="978" t="n"/>
      <c r="P33" s="978" t="n"/>
      <c r="Q33" s="978" t="n"/>
      <c r="R33" s="981" t="n"/>
      <c r="S33" s="978" t="n"/>
      <c r="T33" s="978" t="n"/>
      <c r="U33" s="978" t="n"/>
      <c r="V33" s="978" t="n"/>
      <c r="W33" s="978" t="n"/>
      <c r="X33" s="978" t="n"/>
      <c r="Y33" s="978" t="n"/>
      <c r="Z33" s="978" t="n"/>
      <c r="AA33" s="978" t="n"/>
      <c r="AB33" s="978" t="n"/>
      <c r="AC33" s="412">
        <f>(($E$33)*($E$3))</f>
        <v/>
      </c>
      <c r="AD33" s="973">
        <f>(($E$33)*($E$3))</f>
        <v/>
      </c>
      <c r="AE33" s="135">
        <f>(($E$33)*($E$3))</f>
        <v/>
      </c>
      <c r="AF33" s="135">
        <f>(($E$33)*($E$3))</f>
        <v/>
      </c>
      <c r="AG33" s="135">
        <f>(($E$33)*($E$3))</f>
        <v/>
      </c>
      <c r="AH33" s="135">
        <f>(($E$33)*($E$3))</f>
        <v/>
      </c>
      <c r="AI33" s="135">
        <f>(($E$33)*($E$3))</f>
        <v/>
      </c>
      <c r="AJ33" s="135">
        <f>(($E$33)*($E$3))</f>
        <v/>
      </c>
      <c r="AK33" s="135">
        <f>(($E$33)*($E$3))</f>
        <v/>
      </c>
      <c r="AL33" s="135">
        <f>(($E$33)*($E$3))</f>
        <v/>
      </c>
      <c r="AM33" s="135">
        <f>(($E$33)*($E$3))</f>
        <v/>
      </c>
      <c r="AN33" s="135">
        <f>(($E$33)*($E$3))</f>
        <v/>
      </c>
      <c r="AO33" s="135">
        <f>(($E$33)*($E$3))</f>
        <v/>
      </c>
      <c r="AP33" s="973">
        <f>(($E$33)*($E$3))</f>
        <v/>
      </c>
      <c r="AQ33" s="135">
        <f>(($E$33)*($E$3))</f>
        <v/>
      </c>
      <c r="AR33" s="135">
        <f>(($E$33)*($E$3))</f>
        <v/>
      </c>
      <c r="AS33" s="135">
        <f>(($E$33)*($E$3))</f>
        <v/>
      </c>
      <c r="AT33" s="135">
        <f>(($E$33)*($E$3))</f>
        <v/>
      </c>
      <c r="AU33" s="135">
        <f>(($E$33)*($E$3))</f>
        <v/>
      </c>
      <c r="AV33" s="412">
        <f>(($E$33)*($E$3))</f>
        <v/>
      </c>
      <c r="AW33" s="978" t="n"/>
      <c r="AX33" s="978" t="n"/>
      <c r="AY33" s="978" t="n"/>
      <c r="AZ33" s="978" t="n"/>
      <c r="BA33" s="978" t="n"/>
      <c r="BB33" s="981" t="n"/>
      <c r="BC33" s="978" t="n"/>
      <c r="BD33" s="978" t="n"/>
      <c r="BE33" s="978" t="n"/>
      <c r="BF33" s="978" t="n"/>
      <c r="BG33" s="978" t="n"/>
      <c r="BH33" s="978" t="n"/>
      <c r="BI33" s="978" t="n"/>
      <c r="BJ33" s="978" t="n"/>
      <c r="BK33" s="978" t="n"/>
      <c r="BL33" s="978" t="n"/>
      <c r="BM33" s="978" t="n"/>
      <c r="BN33" s="978" t="n"/>
      <c r="BO33" s="932" t="n"/>
      <c r="BP33" s="135">
        <f>SUM(G33:BN33)</f>
        <v/>
      </c>
      <c r="BQ33" s="932" t="n"/>
      <c r="BR33" s="135">
        <f>(E33)</f>
        <v/>
      </c>
      <c r="BS33" s="135">
        <f>((BP33)-(BR33))</f>
        <v/>
      </c>
    </row>
    <row r="34">
      <c r="D34" s="149" t="inlineStr">
        <is>
          <t>Month 23</t>
        </is>
      </c>
      <c r="E34" s="139">
        <f>'P&amp;L Assumptions (Computer App)'!AB18</f>
        <v/>
      </c>
      <c r="F34" s="1968" t="n"/>
      <c r="G34" s="978" t="n"/>
      <c r="H34" s="978" t="n"/>
      <c r="I34" s="978" t="n"/>
      <c r="J34" s="978" t="n"/>
      <c r="K34" s="978" t="n"/>
      <c r="L34" s="978" t="n"/>
      <c r="M34" s="978" t="n"/>
      <c r="N34" s="978" t="n"/>
      <c r="O34" s="978" t="n"/>
      <c r="P34" s="978" t="n"/>
      <c r="Q34" s="978" t="n"/>
      <c r="R34" s="981" t="n"/>
      <c r="S34" s="978" t="n"/>
      <c r="T34" s="978" t="n"/>
      <c r="U34" s="978" t="n"/>
      <c r="V34" s="978" t="n"/>
      <c r="W34" s="978" t="n"/>
      <c r="X34" s="978" t="n"/>
      <c r="Y34" s="978" t="n"/>
      <c r="Z34" s="978" t="n"/>
      <c r="AA34" s="978" t="n"/>
      <c r="AB34" s="978" t="n"/>
      <c r="AC34" s="978" t="n"/>
      <c r="AD34" s="973">
        <f>(($E$34)*($E$3))</f>
        <v/>
      </c>
      <c r="AE34" s="135">
        <f>(($E$34)*($E$3))</f>
        <v/>
      </c>
      <c r="AF34" s="135">
        <f>(($E$34)*($E$3))</f>
        <v/>
      </c>
      <c r="AG34" s="135">
        <f>(($E$34)*($E$3))</f>
        <v/>
      </c>
      <c r="AH34" s="135">
        <f>(($E$34)*($E$3))</f>
        <v/>
      </c>
      <c r="AI34" s="135">
        <f>(($E$34)*($E$3))</f>
        <v/>
      </c>
      <c r="AJ34" s="135">
        <f>(($E$34)*($E$3))</f>
        <v/>
      </c>
      <c r="AK34" s="135">
        <f>(($E$34)*($E$3))</f>
        <v/>
      </c>
      <c r="AL34" s="135">
        <f>(($E$34)*($E$3))</f>
        <v/>
      </c>
      <c r="AM34" s="135">
        <f>(($E$34)*($E$3))</f>
        <v/>
      </c>
      <c r="AN34" s="135">
        <f>(($E$34)*($E$3))</f>
        <v/>
      </c>
      <c r="AO34" s="135">
        <f>(($E$34)*($E$3))</f>
        <v/>
      </c>
      <c r="AP34" s="973">
        <f>(($E$34)*($E$3))</f>
        <v/>
      </c>
      <c r="AQ34" s="135">
        <f>(($E$34)*($E$3))</f>
        <v/>
      </c>
      <c r="AR34" s="135">
        <f>(($E$34)*($E$3))</f>
        <v/>
      </c>
      <c r="AS34" s="135">
        <f>(($E$34)*($E$3))</f>
        <v/>
      </c>
      <c r="AT34" s="135">
        <f>(($E$34)*($E$3))</f>
        <v/>
      </c>
      <c r="AU34" s="135">
        <f>(($E$34)*($E$3))</f>
        <v/>
      </c>
      <c r="AV34" s="135">
        <f>(($E$34)*($E$3))</f>
        <v/>
      </c>
      <c r="AW34" s="412">
        <f>(($E$34)*($E$3))</f>
        <v/>
      </c>
      <c r="AX34" s="978" t="n"/>
      <c r="AY34" s="978" t="n"/>
      <c r="AZ34" s="978" t="n"/>
      <c r="BA34" s="978" t="n"/>
      <c r="BB34" s="981" t="n"/>
      <c r="BC34" s="978" t="n"/>
      <c r="BD34" s="978" t="n"/>
      <c r="BE34" s="978" t="n"/>
      <c r="BF34" s="978" t="n"/>
      <c r="BG34" s="978" t="n"/>
      <c r="BH34" s="978" t="n"/>
      <c r="BI34" s="978" t="n"/>
      <c r="BJ34" s="978" t="n"/>
      <c r="BK34" s="978" t="n"/>
      <c r="BL34" s="978" t="n"/>
      <c r="BM34" s="978" t="n"/>
      <c r="BN34" s="978" t="n"/>
      <c r="BO34" s="932" t="n"/>
      <c r="BP34" s="135">
        <f>SUM(G34:BN34)</f>
        <v/>
      </c>
      <c r="BQ34" s="932" t="n"/>
      <c r="BR34" s="135">
        <f>(E34)</f>
        <v/>
      </c>
      <c r="BS34" s="135">
        <f>((BP34)-(BR34))</f>
        <v/>
      </c>
    </row>
    <row r="35">
      <c r="D35" s="149" t="inlineStr">
        <is>
          <t>Month 24</t>
        </is>
      </c>
      <c r="E35" s="139">
        <f>'P&amp;L Assumptions (Computer App)'!AD18</f>
        <v/>
      </c>
      <c r="F35" s="1968" t="n"/>
      <c r="G35" s="978" t="n"/>
      <c r="H35" s="978" t="n"/>
      <c r="I35" s="978" t="n"/>
      <c r="J35" s="978" t="n"/>
      <c r="K35" s="978" t="n"/>
      <c r="L35" s="978" t="n"/>
      <c r="M35" s="978" t="n"/>
      <c r="N35" s="978" t="n"/>
      <c r="O35" s="978" t="n"/>
      <c r="P35" s="978" t="n"/>
      <c r="Q35" s="978" t="n"/>
      <c r="R35" s="981" t="n"/>
      <c r="S35" s="978" t="n"/>
      <c r="T35" s="978" t="n"/>
      <c r="U35" s="978" t="n"/>
      <c r="V35" s="978" t="n"/>
      <c r="W35" s="978" t="n"/>
      <c r="X35" s="978" t="n"/>
      <c r="Y35" s="978" t="n"/>
      <c r="Z35" s="978" t="n"/>
      <c r="AA35" s="978" t="n"/>
      <c r="AB35" s="978" t="n"/>
      <c r="AC35" s="978" t="n"/>
      <c r="AD35" s="981" t="n"/>
      <c r="AE35" s="412">
        <f>(($E$35)*($E$3))</f>
        <v/>
      </c>
      <c r="AF35" s="135">
        <f>(($E$35)*($E$3))</f>
        <v/>
      </c>
      <c r="AG35" s="135">
        <f>(($E$35)*($E$3))</f>
        <v/>
      </c>
      <c r="AH35" s="135">
        <f>(($E$35)*($E$3))</f>
        <v/>
      </c>
      <c r="AI35" s="135">
        <f>(($E$35)*($E$3))</f>
        <v/>
      </c>
      <c r="AJ35" s="135">
        <f>(($E$35)*($E$3))</f>
        <v/>
      </c>
      <c r="AK35" s="135">
        <f>(($E$35)*($E$3))</f>
        <v/>
      </c>
      <c r="AL35" s="135">
        <f>(($E$35)*($E$3))</f>
        <v/>
      </c>
      <c r="AM35" s="135">
        <f>(($E$35)*($E$3))</f>
        <v/>
      </c>
      <c r="AN35" s="135">
        <f>(($E$35)*($E$3))</f>
        <v/>
      </c>
      <c r="AO35" s="135">
        <f>(($E$35)*($E$3))</f>
        <v/>
      </c>
      <c r="AP35" s="973">
        <f>(($E$35)*($E$3))</f>
        <v/>
      </c>
      <c r="AQ35" s="135">
        <f>(($E$35)*($E$3))</f>
        <v/>
      </c>
      <c r="AR35" s="135">
        <f>(($E$35)*($E$3))</f>
        <v/>
      </c>
      <c r="AS35" s="135">
        <f>(($E$35)*($E$3))</f>
        <v/>
      </c>
      <c r="AT35" s="135">
        <f>(($E$35)*($E$3))</f>
        <v/>
      </c>
      <c r="AU35" s="135">
        <f>(($E$35)*($E$3))</f>
        <v/>
      </c>
      <c r="AV35" s="135">
        <f>(($E$35)*($E$3))</f>
        <v/>
      </c>
      <c r="AW35" s="135">
        <f>(($E$35)*($E$3))</f>
        <v/>
      </c>
      <c r="AX35" s="412">
        <f>(($E$35)*($E$3))</f>
        <v/>
      </c>
      <c r="AY35" s="978" t="n"/>
      <c r="AZ35" s="978" t="n"/>
      <c r="BA35" s="978" t="n"/>
      <c r="BB35" s="981" t="n"/>
      <c r="BC35" s="978" t="n"/>
      <c r="BD35" s="978" t="n"/>
      <c r="BE35" s="978" t="n"/>
      <c r="BF35" s="978" t="n"/>
      <c r="BG35" s="978" t="n"/>
      <c r="BH35" s="978" t="n"/>
      <c r="BI35" s="978" t="n"/>
      <c r="BJ35" s="978" t="n"/>
      <c r="BK35" s="978" t="n"/>
      <c r="BL35" s="978" t="n"/>
      <c r="BM35" s="978" t="n"/>
      <c r="BN35" s="978" t="n"/>
      <c r="BO35" s="932" t="n"/>
      <c r="BP35" s="135">
        <f>SUM(G35:BN35)</f>
        <v/>
      </c>
      <c r="BQ35" s="932" t="n"/>
      <c r="BR35" s="135">
        <f>(E35)</f>
        <v/>
      </c>
      <c r="BS35" s="135">
        <f>((BP35)-(BR35))</f>
        <v/>
      </c>
    </row>
    <row r="36">
      <c r="D36" s="149" t="inlineStr">
        <is>
          <t>Month 25</t>
        </is>
      </c>
      <c r="E36" s="139">
        <f>'P&amp;L Assumptions (Computer App)'!H19</f>
        <v/>
      </c>
      <c r="F36" s="1968" t="n"/>
      <c r="G36" s="978" t="n"/>
      <c r="H36" s="978" t="n"/>
      <c r="I36" s="978" t="n"/>
      <c r="J36" s="978" t="n"/>
      <c r="K36" s="978" t="n"/>
      <c r="L36" s="978" t="n"/>
      <c r="M36" s="978" t="n"/>
      <c r="N36" s="978" t="n"/>
      <c r="O36" s="978" t="n"/>
      <c r="P36" s="978" t="n"/>
      <c r="Q36" s="978" t="n"/>
      <c r="R36" s="981" t="n"/>
      <c r="S36" s="978" t="n"/>
      <c r="T36" s="978" t="n"/>
      <c r="U36" s="978" t="n"/>
      <c r="V36" s="978" t="n"/>
      <c r="W36" s="978" t="n"/>
      <c r="X36" s="978" t="n"/>
      <c r="Y36" s="978" t="n"/>
      <c r="Z36" s="978" t="n"/>
      <c r="AA36" s="978" t="n"/>
      <c r="AB36" s="978" t="n"/>
      <c r="AC36" s="978" t="n"/>
      <c r="AD36" s="981" t="n"/>
      <c r="AE36" s="978" t="n"/>
      <c r="AF36" s="412">
        <f>(($E$36)*($E$3))</f>
        <v/>
      </c>
      <c r="AG36" s="135">
        <f>(($E$36)*($E$3))</f>
        <v/>
      </c>
      <c r="AH36" s="135">
        <f>(($E$36)*($E$3))</f>
        <v/>
      </c>
      <c r="AI36" s="135">
        <f>(($E$36)*($E$3))</f>
        <v/>
      </c>
      <c r="AJ36" s="135">
        <f>(($E$36)*($E$3))</f>
        <v/>
      </c>
      <c r="AK36" s="135">
        <f>(($E$36)*($E$3))</f>
        <v/>
      </c>
      <c r="AL36" s="135">
        <f>(($E$36)*($E$3))</f>
        <v/>
      </c>
      <c r="AM36" s="135">
        <f>(($E$36)*($E$3))</f>
        <v/>
      </c>
      <c r="AN36" s="135">
        <f>(($E$36)*($E$3))</f>
        <v/>
      </c>
      <c r="AO36" s="135">
        <f>(($E$36)*($E$3))</f>
        <v/>
      </c>
      <c r="AP36" s="973">
        <f>(($E$36)*($E$3))</f>
        <v/>
      </c>
      <c r="AQ36" s="135">
        <f>(($E$36)*($E$3))</f>
        <v/>
      </c>
      <c r="AR36" s="135">
        <f>(($E$36)*($E$3))</f>
        <v/>
      </c>
      <c r="AS36" s="135">
        <f>(($E$36)*($E$3))</f>
        <v/>
      </c>
      <c r="AT36" s="135">
        <f>(($E$36)*($E$3))</f>
        <v/>
      </c>
      <c r="AU36" s="135">
        <f>(($E$36)*($E$3))</f>
        <v/>
      </c>
      <c r="AV36" s="135">
        <f>(($E$36)*($E$3))</f>
        <v/>
      </c>
      <c r="AW36" s="135">
        <f>(($E$36)*($E$3))</f>
        <v/>
      </c>
      <c r="AX36" s="135">
        <f>(($E$36)*($E$3))</f>
        <v/>
      </c>
      <c r="AY36" s="412">
        <f>(($E$36)*($E$3))</f>
        <v/>
      </c>
      <c r="AZ36" s="978" t="n"/>
      <c r="BA36" s="978" t="n"/>
      <c r="BB36" s="981" t="n"/>
      <c r="BC36" s="978" t="n"/>
      <c r="BD36" s="978" t="n"/>
      <c r="BE36" s="978" t="n"/>
      <c r="BF36" s="978" t="n"/>
      <c r="BG36" s="978" t="n"/>
      <c r="BH36" s="978" t="n"/>
      <c r="BI36" s="978" t="n"/>
      <c r="BJ36" s="978" t="n"/>
      <c r="BK36" s="978" t="n"/>
      <c r="BL36" s="978" t="n"/>
      <c r="BM36" s="978" t="n"/>
      <c r="BN36" s="978" t="n"/>
      <c r="BO36" s="932" t="n"/>
      <c r="BP36" s="135">
        <f>SUM(G36:BN36)</f>
        <v/>
      </c>
      <c r="BQ36" s="932" t="n"/>
      <c r="BR36" s="135">
        <f>(E36)</f>
        <v/>
      </c>
      <c r="BS36" s="135">
        <f>((BP36)-(BR36))</f>
        <v/>
      </c>
    </row>
    <row r="37">
      <c r="D37" s="149" t="inlineStr">
        <is>
          <t>Month 26</t>
        </is>
      </c>
      <c r="E37" s="139">
        <f>'P&amp;L Assumptions (Computer App)'!J19</f>
        <v/>
      </c>
      <c r="F37" s="1968" t="n"/>
      <c r="G37" s="978" t="n"/>
      <c r="H37" s="978" t="n"/>
      <c r="I37" s="978" t="n"/>
      <c r="J37" s="978" t="n"/>
      <c r="K37" s="978" t="n"/>
      <c r="L37" s="978" t="n"/>
      <c r="M37" s="978" t="n"/>
      <c r="N37" s="978" t="n"/>
      <c r="O37" s="978" t="n"/>
      <c r="P37" s="978" t="n"/>
      <c r="Q37" s="978" t="n"/>
      <c r="R37" s="981" t="n"/>
      <c r="S37" s="978" t="n"/>
      <c r="T37" s="978" t="n"/>
      <c r="U37" s="978" t="n"/>
      <c r="V37" s="978" t="n"/>
      <c r="W37" s="978" t="n"/>
      <c r="X37" s="978" t="n"/>
      <c r="Y37" s="978" t="n"/>
      <c r="Z37" s="978" t="n"/>
      <c r="AA37" s="978" t="n"/>
      <c r="AB37" s="978" t="n"/>
      <c r="AC37" s="978" t="n"/>
      <c r="AD37" s="981" t="n"/>
      <c r="AE37" s="978" t="n"/>
      <c r="AF37" s="978" t="n"/>
      <c r="AG37" s="412">
        <f>(($E$37)*($E$3))</f>
        <v/>
      </c>
      <c r="AH37" s="135">
        <f>(($E$37)*($E$3))</f>
        <v/>
      </c>
      <c r="AI37" s="135">
        <f>(($E$37)*($E$3))</f>
        <v/>
      </c>
      <c r="AJ37" s="135">
        <f>(($E$37)*($E$3))</f>
        <v/>
      </c>
      <c r="AK37" s="135">
        <f>(($E$37)*($E$3))</f>
        <v/>
      </c>
      <c r="AL37" s="135">
        <f>(($E$37)*($E$3))</f>
        <v/>
      </c>
      <c r="AM37" s="135">
        <f>(($E$37)*($E$3))</f>
        <v/>
      </c>
      <c r="AN37" s="135">
        <f>(($E$37)*($E$3))</f>
        <v/>
      </c>
      <c r="AO37" s="135">
        <f>(($E$37)*($E$3))</f>
        <v/>
      </c>
      <c r="AP37" s="973">
        <f>(($E$37)*($E$3))</f>
        <v/>
      </c>
      <c r="AQ37" s="135">
        <f>(($E$37)*($E$3))</f>
        <v/>
      </c>
      <c r="AR37" s="135">
        <f>(($E$37)*($E$3))</f>
        <v/>
      </c>
      <c r="AS37" s="135">
        <f>(($E$37)*($E$3))</f>
        <v/>
      </c>
      <c r="AT37" s="135">
        <f>(($E$37)*($E$3))</f>
        <v/>
      </c>
      <c r="AU37" s="135">
        <f>(($E$37)*($E$3))</f>
        <v/>
      </c>
      <c r="AV37" s="135">
        <f>(($E$37)*($E$3))</f>
        <v/>
      </c>
      <c r="AW37" s="135">
        <f>(($E$37)*($E$3))</f>
        <v/>
      </c>
      <c r="AX37" s="135">
        <f>(($E$37)*($E$3))</f>
        <v/>
      </c>
      <c r="AY37" s="135">
        <f>(($E$37)*($E$3))</f>
        <v/>
      </c>
      <c r="AZ37" s="412">
        <f>(($E$37)*($E$3))</f>
        <v/>
      </c>
      <c r="BA37" s="978" t="n"/>
      <c r="BB37" s="981" t="n"/>
      <c r="BC37" s="978" t="n"/>
      <c r="BD37" s="978" t="n"/>
      <c r="BE37" s="978" t="n"/>
      <c r="BF37" s="978" t="n"/>
      <c r="BG37" s="978" t="n"/>
      <c r="BH37" s="978" t="n"/>
      <c r="BI37" s="978" t="n"/>
      <c r="BJ37" s="978" t="n"/>
      <c r="BK37" s="978" t="n"/>
      <c r="BL37" s="978" t="n"/>
      <c r="BM37" s="978" t="n"/>
      <c r="BN37" s="978" t="n"/>
      <c r="BO37" s="932" t="n"/>
      <c r="BP37" s="135">
        <f>SUM(G37:BN37)</f>
        <v/>
      </c>
      <c r="BQ37" s="932" t="n"/>
      <c r="BR37" s="135">
        <f>(E37)</f>
        <v/>
      </c>
      <c r="BS37" s="135">
        <f>((BP37)-(BR37))</f>
        <v/>
      </c>
    </row>
    <row r="38">
      <c r="D38" s="149" t="inlineStr">
        <is>
          <t>Month 27</t>
        </is>
      </c>
      <c r="E38" s="139">
        <f>'P&amp;L Assumptions (Computer App)'!L19</f>
        <v/>
      </c>
      <c r="F38" s="1968" t="n"/>
      <c r="G38" s="978" t="n"/>
      <c r="H38" s="978" t="n"/>
      <c r="I38" s="978" t="n"/>
      <c r="J38" s="978" t="n"/>
      <c r="K38" s="978" t="n"/>
      <c r="L38" s="978" t="n"/>
      <c r="M38" s="978" t="n"/>
      <c r="N38" s="978" t="n"/>
      <c r="O38" s="978" t="n"/>
      <c r="P38" s="978" t="n"/>
      <c r="Q38" s="978" t="n"/>
      <c r="R38" s="981" t="n"/>
      <c r="S38" s="978" t="n"/>
      <c r="T38" s="978" t="n"/>
      <c r="U38" s="978" t="n"/>
      <c r="V38" s="978" t="n"/>
      <c r="W38" s="978" t="n"/>
      <c r="X38" s="978" t="n"/>
      <c r="Y38" s="978" t="n"/>
      <c r="Z38" s="978" t="n"/>
      <c r="AA38" s="978" t="n"/>
      <c r="AB38" s="978" t="n"/>
      <c r="AC38" s="978" t="n"/>
      <c r="AD38" s="981" t="n"/>
      <c r="AE38" s="978" t="n"/>
      <c r="AF38" s="978" t="n"/>
      <c r="AG38" s="978" t="n"/>
      <c r="AH38" s="412">
        <f>(($E$38)*($E$3))</f>
        <v/>
      </c>
      <c r="AI38" s="135">
        <f>(($E$38)*($E$3))</f>
        <v/>
      </c>
      <c r="AJ38" s="135">
        <f>(($E$38)*($E$3))</f>
        <v/>
      </c>
      <c r="AK38" s="135">
        <f>(($E$38)*($E$3))</f>
        <v/>
      </c>
      <c r="AL38" s="135">
        <f>(($E$38)*($E$3))</f>
        <v/>
      </c>
      <c r="AM38" s="135">
        <f>(($E$38)*($E$3))</f>
        <v/>
      </c>
      <c r="AN38" s="135">
        <f>(($E$38)*($E$3))</f>
        <v/>
      </c>
      <c r="AO38" s="135">
        <f>(($E$38)*($E$3))</f>
        <v/>
      </c>
      <c r="AP38" s="973">
        <f>(($E$38)*($E$3))</f>
        <v/>
      </c>
      <c r="AQ38" s="135">
        <f>(($E$38)*($E$3))</f>
        <v/>
      </c>
      <c r="AR38" s="135">
        <f>(($E$38)*($E$3))</f>
        <v/>
      </c>
      <c r="AS38" s="135">
        <f>(($E$38)*($E$3))</f>
        <v/>
      </c>
      <c r="AT38" s="135">
        <f>(($E$38)*($E$3))</f>
        <v/>
      </c>
      <c r="AU38" s="135">
        <f>(($E$38)*($E$3))</f>
        <v/>
      </c>
      <c r="AV38" s="135">
        <f>(($E$38)*($E$3))</f>
        <v/>
      </c>
      <c r="AW38" s="135">
        <f>(($E$38)*($E$3))</f>
        <v/>
      </c>
      <c r="AX38" s="135">
        <f>(($E$38)*($E$3))</f>
        <v/>
      </c>
      <c r="AY38" s="135">
        <f>(($E$38)*($E$3))</f>
        <v/>
      </c>
      <c r="AZ38" s="135">
        <f>(($E$38)*($E$3))</f>
        <v/>
      </c>
      <c r="BA38" s="412">
        <f>(($E$38)*($E$3))</f>
        <v/>
      </c>
      <c r="BB38" s="981" t="n"/>
      <c r="BC38" s="978" t="n"/>
      <c r="BD38" s="978" t="n"/>
      <c r="BE38" s="978" t="n"/>
      <c r="BF38" s="978" t="n"/>
      <c r="BG38" s="978" t="n"/>
      <c r="BH38" s="978" t="n"/>
      <c r="BI38" s="978" t="n"/>
      <c r="BJ38" s="978" t="n"/>
      <c r="BK38" s="978" t="n"/>
      <c r="BL38" s="978" t="n"/>
      <c r="BM38" s="978" t="n"/>
      <c r="BN38" s="978" t="n"/>
      <c r="BO38" s="932" t="n"/>
      <c r="BP38" s="135">
        <f>SUM(G38:BN38)</f>
        <v/>
      </c>
      <c r="BQ38" s="932" t="n"/>
      <c r="BR38" s="135">
        <f>(E38)</f>
        <v/>
      </c>
      <c r="BS38" s="135">
        <f>((BP38)-(BR38))</f>
        <v/>
      </c>
    </row>
    <row r="39">
      <c r="D39" s="149" t="inlineStr">
        <is>
          <t>Month 28</t>
        </is>
      </c>
      <c r="E39" s="139">
        <f>'P&amp;L Assumptions (Computer App)'!N19</f>
        <v/>
      </c>
      <c r="F39" s="1968" t="n"/>
      <c r="G39" s="978" t="n"/>
      <c r="H39" s="978" t="n"/>
      <c r="I39" s="978" t="n"/>
      <c r="J39" s="978" t="n"/>
      <c r="K39" s="978" t="n"/>
      <c r="L39" s="978" t="n"/>
      <c r="M39" s="978" t="n"/>
      <c r="N39" s="978" t="n"/>
      <c r="O39" s="978" t="n"/>
      <c r="P39" s="978" t="n"/>
      <c r="Q39" s="978" t="n"/>
      <c r="R39" s="981" t="n"/>
      <c r="S39" s="978" t="n"/>
      <c r="T39" s="978" t="n"/>
      <c r="U39" s="978" t="n"/>
      <c r="V39" s="978" t="n"/>
      <c r="W39" s="978" t="n"/>
      <c r="X39" s="978" t="n"/>
      <c r="Y39" s="978" t="n"/>
      <c r="Z39" s="978" t="n"/>
      <c r="AA39" s="978" t="n"/>
      <c r="AB39" s="978" t="n"/>
      <c r="AC39" s="978" t="n"/>
      <c r="AD39" s="981" t="n"/>
      <c r="AE39" s="978" t="n"/>
      <c r="AF39" s="978" t="n"/>
      <c r="AG39" s="978" t="n"/>
      <c r="AH39" s="978" t="n"/>
      <c r="AI39" s="412">
        <f>(($E$39)*($E$3))</f>
        <v/>
      </c>
      <c r="AJ39" s="135">
        <f>(($E$39)*($E$3))</f>
        <v/>
      </c>
      <c r="AK39" s="135">
        <f>(($E$39)*($E$3))</f>
        <v/>
      </c>
      <c r="AL39" s="135">
        <f>(($E$39)*($E$3))</f>
        <v/>
      </c>
      <c r="AM39" s="135">
        <f>(($E$39)*($E$3))</f>
        <v/>
      </c>
      <c r="AN39" s="135">
        <f>(($E$39)*($E$3))</f>
        <v/>
      </c>
      <c r="AO39" s="135">
        <f>(($E$39)*($E$3))</f>
        <v/>
      </c>
      <c r="AP39" s="973">
        <f>(($E$39)*($E$3))</f>
        <v/>
      </c>
      <c r="AQ39" s="135">
        <f>(($E$39)*($E$3))</f>
        <v/>
      </c>
      <c r="AR39" s="135">
        <f>(($E$39)*($E$3))</f>
        <v/>
      </c>
      <c r="AS39" s="135">
        <f>(($E$39)*($E$3))</f>
        <v/>
      </c>
      <c r="AT39" s="135">
        <f>(($E$39)*($E$3))</f>
        <v/>
      </c>
      <c r="AU39" s="135">
        <f>(($E$39)*($E$3))</f>
        <v/>
      </c>
      <c r="AV39" s="135">
        <f>(($E$39)*($E$3))</f>
        <v/>
      </c>
      <c r="AW39" s="135">
        <f>(($E$39)*($E$3))</f>
        <v/>
      </c>
      <c r="AX39" s="135">
        <f>(($E$39)*($E$3))</f>
        <v/>
      </c>
      <c r="AY39" s="135">
        <f>(($E$39)*($E$3))</f>
        <v/>
      </c>
      <c r="AZ39" s="135">
        <f>(($E$39)*($E$3))</f>
        <v/>
      </c>
      <c r="BA39" s="135">
        <f>(($E$39)*($E$3))</f>
        <v/>
      </c>
      <c r="BB39" s="973">
        <f>(($E$39)*($E$3))</f>
        <v/>
      </c>
      <c r="BC39" s="978" t="n"/>
      <c r="BD39" s="978" t="n"/>
      <c r="BE39" s="978" t="n"/>
      <c r="BF39" s="978" t="n"/>
      <c r="BG39" s="978" t="n"/>
      <c r="BH39" s="978" t="n"/>
      <c r="BI39" s="978" t="n"/>
      <c r="BJ39" s="978" t="n"/>
      <c r="BK39" s="978" t="n"/>
      <c r="BL39" s="978" t="n"/>
      <c r="BM39" s="978" t="n"/>
      <c r="BN39" s="978" t="n"/>
      <c r="BO39" s="932" t="n"/>
      <c r="BP39" s="135">
        <f>SUM(G39:BN39)</f>
        <v/>
      </c>
      <c r="BQ39" s="932" t="n"/>
      <c r="BR39" s="135">
        <f>(E39)</f>
        <v/>
      </c>
      <c r="BS39" s="135">
        <f>((BP39)-(BR39))</f>
        <v/>
      </c>
    </row>
    <row r="40">
      <c r="D40" s="149" t="inlineStr">
        <is>
          <t>Month 29</t>
        </is>
      </c>
      <c r="E40" s="139">
        <f>'P&amp;L Assumptions (Computer App)'!P19</f>
        <v/>
      </c>
      <c r="F40" s="1968" t="n"/>
      <c r="G40" s="978" t="n"/>
      <c r="H40" s="978" t="n"/>
      <c r="I40" s="978" t="n"/>
      <c r="J40" s="978" t="n"/>
      <c r="K40" s="978" t="n"/>
      <c r="L40" s="978" t="n"/>
      <c r="M40" s="978" t="n"/>
      <c r="N40" s="978" t="n"/>
      <c r="O40" s="978" t="n"/>
      <c r="P40" s="978" t="n"/>
      <c r="Q40" s="978" t="n"/>
      <c r="R40" s="981" t="n"/>
      <c r="S40" s="978" t="n"/>
      <c r="T40" s="978" t="n"/>
      <c r="U40" s="978" t="n"/>
      <c r="V40" s="978" t="n"/>
      <c r="W40" s="978" t="n"/>
      <c r="X40" s="978" t="n"/>
      <c r="Y40" s="978" t="n"/>
      <c r="Z40" s="978" t="n"/>
      <c r="AA40" s="978" t="n"/>
      <c r="AB40" s="978" t="n"/>
      <c r="AC40" s="978" t="n"/>
      <c r="AD40" s="981" t="n"/>
      <c r="AE40" s="978" t="n"/>
      <c r="AF40" s="978" t="n"/>
      <c r="AG40" s="978" t="n"/>
      <c r="AH40" s="978" t="n"/>
      <c r="AI40" s="978" t="n"/>
      <c r="AJ40" s="412">
        <f>(($E$40)*($E$3))</f>
        <v/>
      </c>
      <c r="AK40" s="135">
        <f>(($E$40)*($E$3))</f>
        <v/>
      </c>
      <c r="AL40" s="135">
        <f>(($E$40)*($E$3))</f>
        <v/>
      </c>
      <c r="AM40" s="135">
        <f>(($E$40)*($E$3))</f>
        <v/>
      </c>
      <c r="AN40" s="135">
        <f>(($E$40)*($E$3))</f>
        <v/>
      </c>
      <c r="AO40" s="135">
        <f>(($E$40)*($E$3))</f>
        <v/>
      </c>
      <c r="AP40" s="973">
        <f>(($E$40)*($E$3))</f>
        <v/>
      </c>
      <c r="AQ40" s="135">
        <f>(($E$40)*($E$3))</f>
        <v/>
      </c>
      <c r="AR40" s="135">
        <f>(($E$40)*($E$3))</f>
        <v/>
      </c>
      <c r="AS40" s="135">
        <f>(($E$40)*($E$3))</f>
        <v/>
      </c>
      <c r="AT40" s="135">
        <f>(($E$40)*($E$3))</f>
        <v/>
      </c>
      <c r="AU40" s="135">
        <f>(($E$40)*($E$3))</f>
        <v/>
      </c>
      <c r="AV40" s="135">
        <f>(($E$40)*($E$3))</f>
        <v/>
      </c>
      <c r="AW40" s="135">
        <f>(($E$40)*($E$3))</f>
        <v/>
      </c>
      <c r="AX40" s="135">
        <f>(($E$40)*($E$3))</f>
        <v/>
      </c>
      <c r="AY40" s="135">
        <f>(($E$40)*($E$3))</f>
        <v/>
      </c>
      <c r="AZ40" s="135">
        <f>(($E$40)*($E$3))</f>
        <v/>
      </c>
      <c r="BA40" s="135">
        <f>(($E$40)*($E$3))</f>
        <v/>
      </c>
      <c r="BB40" s="973">
        <f>(($E$40)*($E$3))</f>
        <v/>
      </c>
      <c r="BC40" s="412">
        <f>(($E$40)*($E$3))</f>
        <v/>
      </c>
      <c r="BD40" s="978" t="n"/>
      <c r="BE40" s="978" t="n"/>
      <c r="BF40" s="978" t="n"/>
      <c r="BG40" s="978" t="n"/>
      <c r="BH40" s="978" t="n"/>
      <c r="BI40" s="978" t="n"/>
      <c r="BJ40" s="978" t="n"/>
      <c r="BK40" s="978" t="n"/>
      <c r="BL40" s="978" t="n"/>
      <c r="BM40" s="978" t="n"/>
      <c r="BN40" s="978" t="n"/>
      <c r="BO40" s="932" t="n"/>
      <c r="BP40" s="135">
        <f>SUM(G40:BN40)</f>
        <v/>
      </c>
      <c r="BQ40" s="932" t="n"/>
      <c r="BR40" s="135">
        <f>(E40)</f>
        <v/>
      </c>
      <c r="BS40" s="135">
        <f>((BP40)-(BR40))</f>
        <v/>
      </c>
    </row>
    <row r="41">
      <c r="D41" s="149" t="inlineStr">
        <is>
          <t>Month 30</t>
        </is>
      </c>
      <c r="E41" s="139">
        <f>'P&amp;L Assumptions (Computer App)'!R19</f>
        <v/>
      </c>
      <c r="F41" s="1968" t="n"/>
      <c r="G41" s="978" t="n"/>
      <c r="H41" s="978" t="n"/>
      <c r="I41" s="978" t="n"/>
      <c r="J41" s="978" t="n"/>
      <c r="K41" s="978" t="n"/>
      <c r="L41" s="978" t="n"/>
      <c r="M41" s="978" t="n"/>
      <c r="N41" s="978" t="n"/>
      <c r="O41" s="978" t="n"/>
      <c r="P41" s="978" t="n"/>
      <c r="Q41" s="978" t="n"/>
      <c r="R41" s="981" t="n"/>
      <c r="S41" s="978" t="n"/>
      <c r="T41" s="978" t="n"/>
      <c r="U41" s="978" t="n"/>
      <c r="V41" s="978" t="n"/>
      <c r="W41" s="978" t="n"/>
      <c r="X41" s="978" t="n"/>
      <c r="Y41" s="978" t="n"/>
      <c r="Z41" s="978" t="n"/>
      <c r="AA41" s="978" t="n"/>
      <c r="AB41" s="978" t="n"/>
      <c r="AC41" s="978" t="n"/>
      <c r="AD41" s="981" t="n"/>
      <c r="AE41" s="978" t="n"/>
      <c r="AF41" s="978" t="n"/>
      <c r="AG41" s="978" t="n"/>
      <c r="AH41" s="978" t="n"/>
      <c r="AI41" s="978" t="n"/>
      <c r="AJ41" s="978" t="n"/>
      <c r="AK41" s="412">
        <f>(($E$41)*($E$3))</f>
        <v/>
      </c>
      <c r="AL41" s="135">
        <f>(($E$41)*($E$3))</f>
        <v/>
      </c>
      <c r="AM41" s="135">
        <f>(($E$41)*($E$3))</f>
        <v/>
      </c>
      <c r="AN41" s="135">
        <f>(($E$41)*($E$3))</f>
        <v/>
      </c>
      <c r="AO41" s="135">
        <f>(($E$41)*($E$3))</f>
        <v/>
      </c>
      <c r="AP41" s="973">
        <f>(($E$41)*($E$3))</f>
        <v/>
      </c>
      <c r="AQ41" s="135">
        <f>(($E$41)*($E$3))</f>
        <v/>
      </c>
      <c r="AR41" s="135">
        <f>(($E$41)*($E$3))</f>
        <v/>
      </c>
      <c r="AS41" s="135">
        <f>(($E$41)*($E$3))</f>
        <v/>
      </c>
      <c r="AT41" s="135">
        <f>(($E$41)*($E$3))</f>
        <v/>
      </c>
      <c r="AU41" s="135">
        <f>(($E$41)*($E$3))</f>
        <v/>
      </c>
      <c r="AV41" s="135">
        <f>(($E$41)*($E$3))</f>
        <v/>
      </c>
      <c r="AW41" s="135">
        <f>(($E$41)*($E$3))</f>
        <v/>
      </c>
      <c r="AX41" s="135">
        <f>(($E$41)*($E$3))</f>
        <v/>
      </c>
      <c r="AY41" s="135">
        <f>(($E$41)*($E$3))</f>
        <v/>
      </c>
      <c r="AZ41" s="135">
        <f>(($E$41)*($E$3))</f>
        <v/>
      </c>
      <c r="BA41" s="135">
        <f>(($E$41)*($E$3))</f>
        <v/>
      </c>
      <c r="BB41" s="973">
        <f>(($E$41)*($E$3))</f>
        <v/>
      </c>
      <c r="BC41" s="135">
        <f>(($E$41)*($E$3))</f>
        <v/>
      </c>
      <c r="BD41" s="412">
        <f>(($E$41)*($E$3))</f>
        <v/>
      </c>
      <c r="BE41" s="978" t="n"/>
      <c r="BF41" s="978" t="n"/>
      <c r="BG41" s="978" t="n"/>
      <c r="BH41" s="978" t="n"/>
      <c r="BI41" s="978" t="n"/>
      <c r="BJ41" s="978" t="n"/>
      <c r="BK41" s="978" t="n"/>
      <c r="BL41" s="978" t="n"/>
      <c r="BM41" s="978" t="n"/>
      <c r="BN41" s="978" t="n"/>
      <c r="BO41" s="932" t="n"/>
      <c r="BP41" s="135">
        <f>SUM(G41:BN41)</f>
        <v/>
      </c>
      <c r="BQ41" s="932" t="n"/>
      <c r="BR41" s="135">
        <f>(E41)</f>
        <v/>
      </c>
      <c r="BS41" s="135">
        <f>((BP41)-(BR41))</f>
        <v/>
      </c>
    </row>
    <row r="42">
      <c r="D42" s="149" t="inlineStr">
        <is>
          <t>Month 31</t>
        </is>
      </c>
      <c r="E42" s="139">
        <f>'P&amp;L Assumptions (Computer App)'!T19</f>
        <v/>
      </c>
      <c r="F42" s="1968" t="n"/>
      <c r="G42" s="978" t="n"/>
      <c r="H42" s="978" t="n"/>
      <c r="I42" s="978" t="n"/>
      <c r="J42" s="978" t="n"/>
      <c r="K42" s="978" t="n"/>
      <c r="L42" s="978" t="n"/>
      <c r="M42" s="978" t="n"/>
      <c r="N42" s="978" t="n"/>
      <c r="O42" s="978" t="n"/>
      <c r="P42" s="978" t="n"/>
      <c r="Q42" s="978" t="n"/>
      <c r="R42" s="981" t="n"/>
      <c r="S42" s="978" t="n"/>
      <c r="T42" s="978" t="n"/>
      <c r="U42" s="978" t="n"/>
      <c r="V42" s="978" t="n"/>
      <c r="W42" s="978" t="n"/>
      <c r="X42" s="978" t="n"/>
      <c r="Y42" s="978" t="n"/>
      <c r="Z42" s="978" t="n"/>
      <c r="AA42" s="978" t="n"/>
      <c r="AB42" s="978" t="n"/>
      <c r="AC42" s="978" t="n"/>
      <c r="AD42" s="981" t="n"/>
      <c r="AE42" s="978" t="n"/>
      <c r="AF42" s="978" t="n"/>
      <c r="AG42" s="978" t="n"/>
      <c r="AH42" s="978" t="n"/>
      <c r="AI42" s="978" t="n"/>
      <c r="AJ42" s="978" t="n"/>
      <c r="AK42" s="978" t="n"/>
      <c r="AL42" s="412">
        <f>(($E$42)*($E$3))</f>
        <v/>
      </c>
      <c r="AM42" s="135">
        <f>(($E$42)*($E$3))</f>
        <v/>
      </c>
      <c r="AN42" s="135">
        <f>(($E$42)*($E$3))</f>
        <v/>
      </c>
      <c r="AO42" s="135">
        <f>(($E$42)*($E$3))</f>
        <v/>
      </c>
      <c r="AP42" s="973">
        <f>(($E$42)*($E$3))</f>
        <v/>
      </c>
      <c r="AQ42" s="135">
        <f>(($E$42)*($E$3))</f>
        <v/>
      </c>
      <c r="AR42" s="135">
        <f>(($E$42)*($E$3))</f>
        <v/>
      </c>
      <c r="AS42" s="135">
        <f>(($E$42)*($E$3))</f>
        <v/>
      </c>
      <c r="AT42" s="135">
        <f>(($E$42)*($E$3))</f>
        <v/>
      </c>
      <c r="AU42" s="135">
        <f>(($E$42)*($E$3))</f>
        <v/>
      </c>
      <c r="AV42" s="135">
        <f>(($E$42)*($E$3))</f>
        <v/>
      </c>
      <c r="AW42" s="135">
        <f>(($E$42)*($E$3))</f>
        <v/>
      </c>
      <c r="AX42" s="135">
        <f>(($E$42)*($E$3))</f>
        <v/>
      </c>
      <c r="AY42" s="135">
        <f>(($E$42)*($E$3))</f>
        <v/>
      </c>
      <c r="AZ42" s="135">
        <f>(($E$42)*($E$3))</f>
        <v/>
      </c>
      <c r="BA42" s="135">
        <f>(($E$42)*($E$3))</f>
        <v/>
      </c>
      <c r="BB42" s="135">
        <f>(($E$42)*($E$3))</f>
        <v/>
      </c>
      <c r="BC42" s="135">
        <f>(($E$42)*($E$3))</f>
        <v/>
      </c>
      <c r="BD42" s="135">
        <f>(($E$42)*($E$3))</f>
        <v/>
      </c>
      <c r="BE42" s="412">
        <f>(($E$42)*($E$3))</f>
        <v/>
      </c>
      <c r="BF42" s="978" t="n"/>
      <c r="BG42" s="978" t="n"/>
      <c r="BH42" s="978" t="n"/>
      <c r="BI42" s="978" t="n"/>
      <c r="BJ42" s="978" t="n"/>
      <c r="BK42" s="978" t="n"/>
      <c r="BL42" s="978" t="n"/>
      <c r="BM42" s="978" t="n"/>
      <c r="BN42" s="978" t="n"/>
      <c r="BO42" s="932" t="n"/>
      <c r="BP42" s="135">
        <f>SUM(G42:BN42)</f>
        <v/>
      </c>
      <c r="BQ42" s="932" t="n"/>
      <c r="BR42" s="135">
        <f>(E42)</f>
        <v/>
      </c>
      <c r="BS42" s="135">
        <f>((BP42)-(BR42))</f>
        <v/>
      </c>
    </row>
    <row r="43">
      <c r="D43" s="149" t="inlineStr">
        <is>
          <t>Month 32</t>
        </is>
      </c>
      <c r="E43" s="139">
        <f>'P&amp;L Assumptions (Computer App)'!V19</f>
        <v/>
      </c>
      <c r="F43" s="1968" t="n"/>
      <c r="G43" s="978" t="n"/>
      <c r="H43" s="978" t="n"/>
      <c r="I43" s="978" t="n"/>
      <c r="J43" s="978" t="n"/>
      <c r="K43" s="978" t="n"/>
      <c r="L43" s="978" t="n"/>
      <c r="M43" s="978" t="n"/>
      <c r="N43" s="978" t="n"/>
      <c r="O43" s="978" t="n"/>
      <c r="P43" s="978" t="n"/>
      <c r="Q43" s="978" t="n"/>
      <c r="R43" s="981" t="n"/>
      <c r="S43" s="978" t="n"/>
      <c r="T43" s="978" t="n"/>
      <c r="U43" s="978" t="n"/>
      <c r="V43" s="978" t="n"/>
      <c r="W43" s="978" t="n"/>
      <c r="X43" s="978" t="n"/>
      <c r="Y43" s="978" t="n"/>
      <c r="Z43" s="978" t="n"/>
      <c r="AA43" s="978" t="n"/>
      <c r="AB43" s="978" t="n"/>
      <c r="AC43" s="978" t="n"/>
      <c r="AD43" s="981" t="n"/>
      <c r="AE43" s="978" t="n"/>
      <c r="AF43" s="978" t="n"/>
      <c r="AG43" s="978" t="n"/>
      <c r="AH43" s="978" t="n"/>
      <c r="AI43" s="978" t="n"/>
      <c r="AJ43" s="978" t="n"/>
      <c r="AK43" s="978" t="n"/>
      <c r="AL43" s="978" t="n"/>
      <c r="AM43" s="412">
        <f>(($E$43)*($E$3))</f>
        <v/>
      </c>
      <c r="AN43" s="135">
        <f>(($E$43)*($E$3))</f>
        <v/>
      </c>
      <c r="AO43" s="135">
        <f>(($E$43)*($E$3))</f>
        <v/>
      </c>
      <c r="AP43" s="973">
        <f>(($E$43)*($E$3))</f>
        <v/>
      </c>
      <c r="AQ43" s="135">
        <f>(($E$43)*($E$3))</f>
        <v/>
      </c>
      <c r="AR43" s="135">
        <f>(($E$43)*($E$3))</f>
        <v/>
      </c>
      <c r="AS43" s="135">
        <f>(($E$43)*($E$3))</f>
        <v/>
      </c>
      <c r="AT43" s="135">
        <f>(($E$43)*($E$3))</f>
        <v/>
      </c>
      <c r="AU43" s="135">
        <f>(($E$43)*($E$3))</f>
        <v/>
      </c>
      <c r="AV43" s="135">
        <f>(($E$43)*($E$3))</f>
        <v/>
      </c>
      <c r="AW43" s="135">
        <f>(($E$43)*($E$3))</f>
        <v/>
      </c>
      <c r="AX43" s="135">
        <f>(($E$43)*($E$3))</f>
        <v/>
      </c>
      <c r="AY43" s="135">
        <f>(($E$43)*($E$3))</f>
        <v/>
      </c>
      <c r="AZ43" s="135">
        <f>(($E$43)*($E$3))</f>
        <v/>
      </c>
      <c r="BA43" s="135">
        <f>(($E$43)*($E$3))</f>
        <v/>
      </c>
      <c r="BB43" s="973">
        <f>(($E$43)*($E$3))</f>
        <v/>
      </c>
      <c r="BC43" s="135">
        <f>(($E$43)*($E$3))</f>
        <v/>
      </c>
      <c r="BD43" s="135">
        <f>(($E$43)*($E$3))</f>
        <v/>
      </c>
      <c r="BE43" s="135">
        <f>(($E$43)*($E$3))</f>
        <v/>
      </c>
      <c r="BF43" s="412">
        <f>(($E$43)*($E$3))</f>
        <v/>
      </c>
      <c r="BG43" s="978" t="n"/>
      <c r="BH43" s="978" t="n"/>
      <c r="BI43" s="978" t="n"/>
      <c r="BJ43" s="978" t="n"/>
      <c r="BK43" s="978" t="n"/>
      <c r="BL43" s="978" t="n"/>
      <c r="BM43" s="978" t="n"/>
      <c r="BN43" s="978" t="n"/>
      <c r="BO43" s="932" t="n"/>
      <c r="BP43" s="135">
        <f>SUM(G43:BN43)</f>
        <v/>
      </c>
      <c r="BQ43" s="932" t="n"/>
      <c r="BR43" s="135">
        <f>(E43)</f>
        <v/>
      </c>
      <c r="BS43" s="135">
        <f>((BP43)-(BR43))</f>
        <v/>
      </c>
    </row>
    <row r="44">
      <c r="D44" s="149" t="inlineStr">
        <is>
          <t>Month 33</t>
        </is>
      </c>
      <c r="E44" s="139">
        <f>'P&amp;L Assumptions (Computer App)'!X19</f>
        <v/>
      </c>
      <c r="F44" s="1968" t="n"/>
      <c r="G44" s="978" t="n"/>
      <c r="H44" s="978" t="n"/>
      <c r="I44" s="978" t="n"/>
      <c r="J44" s="978" t="n"/>
      <c r="K44" s="978" t="n"/>
      <c r="L44" s="978" t="n"/>
      <c r="M44" s="978" t="n"/>
      <c r="N44" s="978" t="n"/>
      <c r="O44" s="978" t="n"/>
      <c r="P44" s="978" t="n"/>
      <c r="Q44" s="978" t="n"/>
      <c r="R44" s="981" t="n"/>
      <c r="S44" s="978" t="n"/>
      <c r="T44" s="978" t="n"/>
      <c r="U44" s="978" t="n"/>
      <c r="V44" s="978" t="n"/>
      <c r="W44" s="978" t="n"/>
      <c r="X44" s="978" t="n"/>
      <c r="Y44" s="978" t="n"/>
      <c r="Z44" s="978" t="n"/>
      <c r="AA44" s="978" t="n"/>
      <c r="AB44" s="978" t="n"/>
      <c r="AC44" s="978" t="n"/>
      <c r="AD44" s="981" t="n"/>
      <c r="AE44" s="978" t="n"/>
      <c r="AF44" s="978" t="n"/>
      <c r="AG44" s="978" t="n"/>
      <c r="AH44" s="978" t="n"/>
      <c r="AI44" s="978" t="n"/>
      <c r="AJ44" s="978" t="n"/>
      <c r="AK44" s="978" t="n"/>
      <c r="AL44" s="978" t="n"/>
      <c r="AM44" s="978" t="n"/>
      <c r="AN44" s="412">
        <f>(($E$44)*($E$3))</f>
        <v/>
      </c>
      <c r="AO44" s="135">
        <f>(($E$44)*($E$3))</f>
        <v/>
      </c>
      <c r="AP44" s="973">
        <f>(($E$44)*($E$3))</f>
        <v/>
      </c>
      <c r="AQ44" s="135">
        <f>(($E$44)*($E$3))</f>
        <v/>
      </c>
      <c r="AR44" s="135">
        <f>(($E$44)*($E$3))</f>
        <v/>
      </c>
      <c r="AS44" s="135">
        <f>(($E$44)*($E$3))</f>
        <v/>
      </c>
      <c r="AT44" s="135">
        <f>(($E$44)*($E$3))</f>
        <v/>
      </c>
      <c r="AU44" s="135">
        <f>(($E$44)*($E$3))</f>
        <v/>
      </c>
      <c r="AV44" s="135">
        <f>(($E$44)*($E$3))</f>
        <v/>
      </c>
      <c r="AW44" s="135">
        <f>(($E$44)*($E$3))</f>
        <v/>
      </c>
      <c r="AX44" s="135">
        <f>(($E$44)*($E$3))</f>
        <v/>
      </c>
      <c r="AY44" s="135">
        <f>(($E$44)*($E$3))</f>
        <v/>
      </c>
      <c r="AZ44" s="135">
        <f>(($E$44)*($E$3))</f>
        <v/>
      </c>
      <c r="BA44" s="135">
        <f>(($E$44)*($E$3))</f>
        <v/>
      </c>
      <c r="BB44" s="973">
        <f>(($E$44)*($E$3))</f>
        <v/>
      </c>
      <c r="BC44" s="135">
        <f>(($E$44)*($E$3))</f>
        <v/>
      </c>
      <c r="BD44" s="135">
        <f>(($E$44)*($E$3))</f>
        <v/>
      </c>
      <c r="BE44" s="135">
        <f>(($E$44)*($E$3))</f>
        <v/>
      </c>
      <c r="BF44" s="135">
        <f>(($E$44)*($E$3))</f>
        <v/>
      </c>
      <c r="BG44" s="412">
        <f>(($E$44)*($E$3))</f>
        <v/>
      </c>
      <c r="BH44" s="978" t="n"/>
      <c r="BI44" s="978" t="n"/>
      <c r="BJ44" s="978" t="n"/>
      <c r="BK44" s="978" t="n"/>
      <c r="BL44" s="978" t="n"/>
      <c r="BM44" s="978" t="n"/>
      <c r="BN44" s="978" t="n"/>
      <c r="BO44" s="932" t="n"/>
      <c r="BP44" s="135">
        <f>SUM(G44:BN44)</f>
        <v/>
      </c>
      <c r="BQ44" s="932" t="n"/>
      <c r="BR44" s="135">
        <f>(E44)</f>
        <v/>
      </c>
      <c r="BS44" s="135">
        <f>((BP44)-(BR44))</f>
        <v/>
      </c>
    </row>
    <row r="45">
      <c r="D45" s="149" t="inlineStr">
        <is>
          <t>Month 34</t>
        </is>
      </c>
      <c r="E45" s="139">
        <f>'P&amp;L Assumptions (Computer App)'!Z19</f>
        <v/>
      </c>
      <c r="F45" s="1968" t="n"/>
      <c r="G45" s="978" t="n"/>
      <c r="H45" s="978" t="n"/>
      <c r="I45" s="978" t="n"/>
      <c r="J45" s="978" t="n"/>
      <c r="K45" s="978" t="n"/>
      <c r="L45" s="978" t="n"/>
      <c r="M45" s="978" t="n"/>
      <c r="N45" s="978" t="n"/>
      <c r="O45" s="978" t="n"/>
      <c r="P45" s="978" t="n"/>
      <c r="Q45" s="978" t="n"/>
      <c r="R45" s="981" t="n"/>
      <c r="S45" s="978" t="n"/>
      <c r="T45" s="978" t="n"/>
      <c r="U45" s="978" t="n"/>
      <c r="V45" s="978" t="n"/>
      <c r="W45" s="978" t="n"/>
      <c r="X45" s="978" t="n"/>
      <c r="Y45" s="978" t="n"/>
      <c r="Z45" s="978" t="n"/>
      <c r="AA45" s="978" t="n"/>
      <c r="AB45" s="978" t="n"/>
      <c r="AC45" s="978" t="n"/>
      <c r="AD45" s="981" t="n"/>
      <c r="AE45" s="978" t="n"/>
      <c r="AF45" s="978" t="n"/>
      <c r="AG45" s="978" t="n"/>
      <c r="AH45" s="978" t="n"/>
      <c r="AI45" s="978" t="n"/>
      <c r="AJ45" s="978" t="n"/>
      <c r="AK45" s="978" t="n"/>
      <c r="AL45" s="978" t="n"/>
      <c r="AM45" s="978" t="n"/>
      <c r="AN45" s="978" t="n"/>
      <c r="AO45" s="412">
        <f>(($E$45)*($E$3))</f>
        <v/>
      </c>
      <c r="AP45" s="973">
        <f>(($E$45)*($E$3))</f>
        <v/>
      </c>
      <c r="AQ45" s="135">
        <f>(($E$45)*($E$3))</f>
        <v/>
      </c>
      <c r="AR45" s="135">
        <f>(($E$45)*($E$3))</f>
        <v/>
      </c>
      <c r="AS45" s="135">
        <f>(($E$45)*($E$3))</f>
        <v/>
      </c>
      <c r="AT45" s="135">
        <f>(($E$45)*($E$3))</f>
        <v/>
      </c>
      <c r="AU45" s="135">
        <f>(($E$45)*($E$3))</f>
        <v/>
      </c>
      <c r="AV45" s="135">
        <f>(($E$45)*($E$3))</f>
        <v/>
      </c>
      <c r="AW45" s="135">
        <f>(($E$45)*($E$3))</f>
        <v/>
      </c>
      <c r="AX45" s="135">
        <f>(($E$45)*($E$3))</f>
        <v/>
      </c>
      <c r="AY45" s="135">
        <f>(($E$45)*($E$3))</f>
        <v/>
      </c>
      <c r="AZ45" s="135">
        <f>(($E$45)*($E$3))</f>
        <v/>
      </c>
      <c r="BA45" s="135">
        <f>(($E$45)*($E$3))</f>
        <v/>
      </c>
      <c r="BB45" s="973">
        <f>(($E$45)*($E$3))</f>
        <v/>
      </c>
      <c r="BC45" s="135">
        <f>(($E$45)*($E$3))</f>
        <v/>
      </c>
      <c r="BD45" s="135">
        <f>(($E$45)*($E$3))</f>
        <v/>
      </c>
      <c r="BE45" s="135">
        <f>(($E$45)*($E$3))</f>
        <v/>
      </c>
      <c r="BF45" s="135">
        <f>(($E$45)*($E$3))</f>
        <v/>
      </c>
      <c r="BG45" s="135">
        <f>(($E$45)*($E$3))</f>
        <v/>
      </c>
      <c r="BH45" s="412">
        <f>(($E$45)*($E$3))</f>
        <v/>
      </c>
      <c r="BI45" s="978" t="n"/>
      <c r="BJ45" s="978" t="n"/>
      <c r="BK45" s="978" t="n"/>
      <c r="BL45" s="978" t="n"/>
      <c r="BM45" s="978" t="n"/>
      <c r="BN45" s="978" t="n"/>
      <c r="BO45" s="932" t="n"/>
      <c r="BP45" s="135">
        <f>SUM(G45:BN45)</f>
        <v/>
      </c>
      <c r="BQ45" s="932" t="n"/>
      <c r="BR45" s="135">
        <f>(E45)</f>
        <v/>
      </c>
      <c r="BS45" s="135">
        <f>((BP45)-(BR45))</f>
        <v/>
      </c>
    </row>
    <row r="46">
      <c r="D46" s="149" t="inlineStr">
        <is>
          <t>Month 35</t>
        </is>
      </c>
      <c r="E46" s="139">
        <f>'P&amp;L Assumptions (Computer App)'!AB19</f>
        <v/>
      </c>
      <c r="F46" s="1968" t="n"/>
      <c r="G46" s="978" t="n"/>
      <c r="H46" s="978" t="n"/>
      <c r="I46" s="978" t="n"/>
      <c r="J46" s="978" t="n"/>
      <c r="K46" s="978" t="n"/>
      <c r="L46" s="978" t="n"/>
      <c r="M46" s="978" t="n"/>
      <c r="N46" s="978" t="n"/>
      <c r="O46" s="978" t="n"/>
      <c r="P46" s="978" t="n"/>
      <c r="Q46" s="978" t="n"/>
      <c r="R46" s="981" t="n"/>
      <c r="S46" s="978" t="n"/>
      <c r="T46" s="978" t="n"/>
      <c r="U46" s="978" t="n"/>
      <c r="V46" s="978" t="n"/>
      <c r="W46" s="978" t="n"/>
      <c r="X46" s="978" t="n"/>
      <c r="Y46" s="978" t="n"/>
      <c r="Z46" s="978" t="n"/>
      <c r="AA46" s="978" t="n"/>
      <c r="AB46" s="978" t="n"/>
      <c r="AC46" s="978" t="n"/>
      <c r="AD46" s="981" t="n"/>
      <c r="AE46" s="978" t="n"/>
      <c r="AF46" s="978" t="n"/>
      <c r="AG46" s="978" t="n"/>
      <c r="AH46" s="978" t="n"/>
      <c r="AI46" s="978" t="n"/>
      <c r="AJ46" s="978" t="n"/>
      <c r="AK46" s="978" t="n"/>
      <c r="AL46" s="978" t="n"/>
      <c r="AM46" s="978" t="n"/>
      <c r="AN46" s="978" t="n"/>
      <c r="AO46" s="978" t="n"/>
      <c r="AP46" s="973">
        <f>(($E$46)*($E$3))</f>
        <v/>
      </c>
      <c r="AQ46" s="135">
        <f>(($E$46)*($E$3))</f>
        <v/>
      </c>
      <c r="AR46" s="135">
        <f>(($E$46)*($E$3))</f>
        <v/>
      </c>
      <c r="AS46" s="135">
        <f>(($E$46)*($E$3))</f>
        <v/>
      </c>
      <c r="AT46" s="135">
        <f>(($E$46)*($E$3))</f>
        <v/>
      </c>
      <c r="AU46" s="135">
        <f>(($E$46)*($E$3))</f>
        <v/>
      </c>
      <c r="AV46" s="135">
        <f>(($E$46)*($E$3))</f>
        <v/>
      </c>
      <c r="AW46" s="135">
        <f>(($E$46)*($E$3))</f>
        <v/>
      </c>
      <c r="AX46" s="135">
        <f>(($E$46)*($E$3))</f>
        <v/>
      </c>
      <c r="AY46" s="135">
        <f>(($E$46)*($E$3))</f>
        <v/>
      </c>
      <c r="AZ46" s="135">
        <f>(($E$46)*($E$3))</f>
        <v/>
      </c>
      <c r="BA46" s="135">
        <f>(($E$46)*($E$3))</f>
        <v/>
      </c>
      <c r="BB46" s="973">
        <f>(($E$46)*($E$3))</f>
        <v/>
      </c>
      <c r="BC46" s="135">
        <f>(($E$46)*($E$3))</f>
        <v/>
      </c>
      <c r="BD46" s="135">
        <f>(($E$46)*($E$3))</f>
        <v/>
      </c>
      <c r="BE46" s="135">
        <f>(($E$46)*($E$3))</f>
        <v/>
      </c>
      <c r="BF46" s="135">
        <f>(($E$46)*($E$3))</f>
        <v/>
      </c>
      <c r="BG46" s="135">
        <f>(($E$46)*($E$3))</f>
        <v/>
      </c>
      <c r="BH46" s="135">
        <f>(($E$46)*($E$3))</f>
        <v/>
      </c>
      <c r="BI46" s="412">
        <f>(($E$46)*($E$3))</f>
        <v/>
      </c>
      <c r="BJ46" s="978" t="n"/>
      <c r="BK46" s="978" t="n"/>
      <c r="BL46" s="978" t="n"/>
      <c r="BM46" s="978" t="n"/>
      <c r="BN46" s="978" t="n"/>
      <c r="BO46" s="932" t="n"/>
      <c r="BP46" s="135">
        <f>SUM(G46:BN46)</f>
        <v/>
      </c>
      <c r="BQ46" s="932" t="n"/>
      <c r="BR46" s="135">
        <f>(E46)</f>
        <v/>
      </c>
      <c r="BS46" s="135">
        <f>((BP46)-(BR46))</f>
        <v/>
      </c>
    </row>
    <row r="47">
      <c r="D47" s="149" t="inlineStr">
        <is>
          <t>Month 36</t>
        </is>
      </c>
      <c r="E47" s="139">
        <f>'P&amp;L Assumptions (Computer App)'!AD19</f>
        <v/>
      </c>
      <c r="F47" s="1968" t="n"/>
      <c r="G47" s="978" t="n"/>
      <c r="H47" s="978" t="n"/>
      <c r="I47" s="978" t="n"/>
      <c r="J47" s="978" t="n"/>
      <c r="K47" s="978" t="n"/>
      <c r="L47" s="978" t="n"/>
      <c r="M47" s="978" t="n"/>
      <c r="N47" s="978" t="n"/>
      <c r="O47" s="978" t="n"/>
      <c r="P47" s="978" t="n"/>
      <c r="Q47" s="978" t="n"/>
      <c r="R47" s="981" t="n"/>
      <c r="S47" s="978" t="n"/>
      <c r="T47" s="978" t="n"/>
      <c r="U47" s="978" t="n"/>
      <c r="V47" s="978" t="n"/>
      <c r="W47" s="978" t="n"/>
      <c r="X47" s="978" t="n"/>
      <c r="Y47" s="978" t="n"/>
      <c r="Z47" s="978" t="n"/>
      <c r="AA47" s="978" t="n"/>
      <c r="AB47" s="978" t="n"/>
      <c r="AC47" s="978" t="n"/>
      <c r="AD47" s="981" t="n"/>
      <c r="AE47" s="978" t="n"/>
      <c r="AF47" s="978" t="n"/>
      <c r="AG47" s="978" t="n"/>
      <c r="AH47" s="978" t="n"/>
      <c r="AI47" s="978" t="n"/>
      <c r="AJ47" s="978" t="n"/>
      <c r="AK47" s="978" t="n"/>
      <c r="AL47" s="978" t="n"/>
      <c r="AM47" s="978" t="n"/>
      <c r="AN47" s="978" t="n"/>
      <c r="AO47" s="978" t="n"/>
      <c r="AP47" s="981" t="n"/>
      <c r="AQ47" s="412">
        <f>(($E$47)*($E$3))</f>
        <v/>
      </c>
      <c r="AR47" s="135">
        <f>(($E$47)*($E$3))</f>
        <v/>
      </c>
      <c r="AS47" s="135">
        <f>(($E$47)*($E$3))</f>
        <v/>
      </c>
      <c r="AT47" s="135">
        <f>(($E$47)*($E$3))</f>
        <v/>
      </c>
      <c r="AU47" s="135">
        <f>(($E$47)*($E$3))</f>
        <v/>
      </c>
      <c r="AV47" s="135">
        <f>(($E$47)*($E$3))</f>
        <v/>
      </c>
      <c r="AW47" s="135">
        <f>(($E$47)*($E$3))</f>
        <v/>
      </c>
      <c r="AX47" s="135">
        <f>(($E$47)*($E$3))</f>
        <v/>
      </c>
      <c r="AY47" s="135">
        <f>(($E$47)*($E$3))</f>
        <v/>
      </c>
      <c r="AZ47" s="135">
        <f>(($E$47)*($E$3))</f>
        <v/>
      </c>
      <c r="BA47" s="135">
        <f>(($E$47)*($E$3))</f>
        <v/>
      </c>
      <c r="BB47" s="973">
        <f>(($E$47)*($E$3))</f>
        <v/>
      </c>
      <c r="BC47" s="135">
        <f>(($E$47)*($E$3))</f>
        <v/>
      </c>
      <c r="BD47" s="135">
        <f>(($E$47)*($E$3))</f>
        <v/>
      </c>
      <c r="BE47" s="135">
        <f>(($E$47)*($E$3))</f>
        <v/>
      </c>
      <c r="BF47" s="135">
        <f>(($E$47)*($E$3))</f>
        <v/>
      </c>
      <c r="BG47" s="135">
        <f>(($E$47)*($E$3))</f>
        <v/>
      </c>
      <c r="BH47" s="135">
        <f>(($E$47)*($E$3))</f>
        <v/>
      </c>
      <c r="BI47" s="135">
        <f>(($E$47)*($E$3))</f>
        <v/>
      </c>
      <c r="BJ47" s="412">
        <f>(($E$47)*($E$3))</f>
        <v/>
      </c>
      <c r="BK47" s="978" t="n"/>
      <c r="BL47" s="978" t="n"/>
      <c r="BM47" s="978" t="n"/>
      <c r="BN47" s="978" t="n"/>
      <c r="BO47" s="932" t="n"/>
      <c r="BP47" s="135">
        <f>SUM(G47:BN47)</f>
        <v/>
      </c>
      <c r="BQ47" s="932" t="n"/>
      <c r="BR47" s="135">
        <f>(E47)</f>
        <v/>
      </c>
      <c r="BS47" s="135">
        <f>((BP47)-(BR47))</f>
        <v/>
      </c>
    </row>
    <row r="48">
      <c r="D48" s="149" t="inlineStr">
        <is>
          <t>Month 37</t>
        </is>
      </c>
      <c r="E48" s="139">
        <f>'P&amp;L Assumptions (Computer App)'!H20</f>
        <v/>
      </c>
      <c r="F48" s="1968" t="n"/>
      <c r="G48" s="978" t="n"/>
      <c r="H48" s="978" t="n"/>
      <c r="I48" s="978" t="n"/>
      <c r="J48" s="978" t="n"/>
      <c r="K48" s="978" t="n"/>
      <c r="L48" s="978" t="n"/>
      <c r="M48" s="978" t="n"/>
      <c r="N48" s="978" t="n"/>
      <c r="O48" s="978" t="n"/>
      <c r="P48" s="978" t="n"/>
      <c r="Q48" s="978" t="n"/>
      <c r="R48" s="981" t="n"/>
      <c r="S48" s="978" t="n"/>
      <c r="T48" s="978" t="n"/>
      <c r="U48" s="978" t="n"/>
      <c r="V48" s="978" t="n"/>
      <c r="W48" s="978" t="n"/>
      <c r="X48" s="978" t="n"/>
      <c r="Y48" s="978" t="n"/>
      <c r="Z48" s="978" t="n"/>
      <c r="AA48" s="978" t="n"/>
      <c r="AB48" s="978" t="n"/>
      <c r="AC48" s="978" t="n"/>
      <c r="AD48" s="981" t="n"/>
      <c r="AE48" s="978" t="n"/>
      <c r="AF48" s="978" t="n"/>
      <c r="AG48" s="978" t="n"/>
      <c r="AH48" s="978" t="n"/>
      <c r="AI48" s="978" t="n"/>
      <c r="AJ48" s="978" t="n"/>
      <c r="AK48" s="978" t="n"/>
      <c r="AL48" s="978" t="n"/>
      <c r="AM48" s="978" t="n"/>
      <c r="AN48" s="978" t="n"/>
      <c r="AO48" s="978" t="n"/>
      <c r="AP48" s="981" t="n"/>
      <c r="AQ48" s="978" t="n"/>
      <c r="AR48" s="412">
        <f>(($E$48)*($E$3))</f>
        <v/>
      </c>
      <c r="AS48" s="135">
        <f>(($E$48)*($E$3))</f>
        <v/>
      </c>
      <c r="AT48" s="135">
        <f>(($E$48)*($E$3))</f>
        <v/>
      </c>
      <c r="AU48" s="135">
        <f>(($E$48)*($E$3))</f>
        <v/>
      </c>
      <c r="AV48" s="135">
        <f>(($E$48)*($E$3))</f>
        <v/>
      </c>
      <c r="AW48" s="135">
        <f>(($E$48)*($E$3))</f>
        <v/>
      </c>
      <c r="AX48" s="135">
        <f>(($E$48)*($E$3))</f>
        <v/>
      </c>
      <c r="AY48" s="135">
        <f>(($E$48)*($E$3))</f>
        <v/>
      </c>
      <c r="AZ48" s="135">
        <f>(($E$48)*($E$3))</f>
        <v/>
      </c>
      <c r="BA48" s="135">
        <f>(($E$48)*($E$3))</f>
        <v/>
      </c>
      <c r="BB48" s="973">
        <f>(($E$48)*($E$3))</f>
        <v/>
      </c>
      <c r="BC48" s="135">
        <f>(($E$48)*($E$3))</f>
        <v/>
      </c>
      <c r="BD48" s="135">
        <f>(($E$48)*($E$3))</f>
        <v/>
      </c>
      <c r="BE48" s="135">
        <f>(($E$48)*($E$3))</f>
        <v/>
      </c>
      <c r="BF48" s="135">
        <f>(($E$48)*($E$3))</f>
        <v/>
      </c>
      <c r="BG48" s="135">
        <f>(($E$48)*($E$3))</f>
        <v/>
      </c>
      <c r="BH48" s="135">
        <f>(($E$48)*($E$3))</f>
        <v/>
      </c>
      <c r="BI48" s="135">
        <f>(($E$48)*($E$3))</f>
        <v/>
      </c>
      <c r="BJ48" s="135">
        <f>(($E$48)*($E$3))</f>
        <v/>
      </c>
      <c r="BK48" s="412">
        <f>(($E$48)*($E$3))</f>
        <v/>
      </c>
      <c r="BL48" s="978" t="n"/>
      <c r="BM48" s="978" t="n"/>
      <c r="BN48" s="978" t="n"/>
      <c r="BO48" s="932" t="n"/>
      <c r="BP48" s="135">
        <f>SUM(G48:BN48)</f>
        <v/>
      </c>
      <c r="BQ48" s="932" t="n"/>
      <c r="BR48" s="135">
        <f>(E48)</f>
        <v/>
      </c>
      <c r="BS48" s="135">
        <f>((BP48)-(BR48))</f>
        <v/>
      </c>
    </row>
    <row r="49">
      <c r="D49" s="149" t="inlineStr">
        <is>
          <t>Month 38</t>
        </is>
      </c>
      <c r="E49" s="139">
        <f>'P&amp;L Assumptions (Computer App)'!J20</f>
        <v/>
      </c>
      <c r="F49" s="1968" t="n"/>
      <c r="G49" s="978" t="n"/>
      <c r="H49" s="978" t="n"/>
      <c r="I49" s="978" t="n"/>
      <c r="J49" s="978" t="n"/>
      <c r="K49" s="978" t="n"/>
      <c r="L49" s="978" t="n"/>
      <c r="M49" s="978" t="n"/>
      <c r="N49" s="978" t="n"/>
      <c r="O49" s="978" t="n"/>
      <c r="P49" s="978" t="n"/>
      <c r="Q49" s="978" t="n"/>
      <c r="R49" s="981" t="n"/>
      <c r="S49" s="978" t="n"/>
      <c r="T49" s="978" t="n"/>
      <c r="U49" s="978" t="n"/>
      <c r="V49" s="978" t="n"/>
      <c r="W49" s="978" t="n"/>
      <c r="X49" s="978" t="n"/>
      <c r="Y49" s="978" t="n"/>
      <c r="Z49" s="978" t="n"/>
      <c r="AA49" s="978" t="n"/>
      <c r="AB49" s="978" t="n"/>
      <c r="AC49" s="978" t="n"/>
      <c r="AD49" s="981" t="n"/>
      <c r="AE49" s="978" t="n"/>
      <c r="AF49" s="978" t="n"/>
      <c r="AG49" s="978" t="n"/>
      <c r="AH49" s="978" t="n"/>
      <c r="AI49" s="978" t="n"/>
      <c r="AJ49" s="978" t="n"/>
      <c r="AK49" s="978" t="n"/>
      <c r="AL49" s="978" t="n"/>
      <c r="AM49" s="978" t="n"/>
      <c r="AN49" s="978" t="n"/>
      <c r="AO49" s="978" t="n"/>
      <c r="AP49" s="981" t="n"/>
      <c r="AQ49" s="978" t="n"/>
      <c r="AR49" s="978" t="n"/>
      <c r="AS49" s="412">
        <f>(($E$49)*($E$3))</f>
        <v/>
      </c>
      <c r="AT49" s="135">
        <f>(($E$49)*($E$3))</f>
        <v/>
      </c>
      <c r="AU49" s="135">
        <f>(($E$49)*($E$3))</f>
        <v/>
      </c>
      <c r="AV49" s="135">
        <f>(($E$49)*($E$3))</f>
        <v/>
      </c>
      <c r="AW49" s="135">
        <f>(($E$49)*($E$3))</f>
        <v/>
      </c>
      <c r="AX49" s="135">
        <f>(($E$49)*($E$3))</f>
        <v/>
      </c>
      <c r="AY49" s="135">
        <f>(($E$49)*($E$3))</f>
        <v/>
      </c>
      <c r="AZ49" s="135">
        <f>(($E$49)*($E$3))</f>
        <v/>
      </c>
      <c r="BA49" s="135">
        <f>(($E$49)*($E$3))</f>
        <v/>
      </c>
      <c r="BB49" s="973">
        <f>(($E$49)*($E$3))</f>
        <v/>
      </c>
      <c r="BC49" s="135">
        <f>(($E$49)*($E$3))</f>
        <v/>
      </c>
      <c r="BD49" s="135">
        <f>(($E$49)*($E$3))</f>
        <v/>
      </c>
      <c r="BE49" s="135">
        <f>(($E$49)*($E$3))</f>
        <v/>
      </c>
      <c r="BF49" s="135">
        <f>(($E$49)*($E$3))</f>
        <v/>
      </c>
      <c r="BG49" s="135">
        <f>(($E$49)*($E$3))</f>
        <v/>
      </c>
      <c r="BH49" s="135">
        <f>(($E$49)*($E$3))</f>
        <v/>
      </c>
      <c r="BI49" s="135">
        <f>(($E$49)*($E$3))</f>
        <v/>
      </c>
      <c r="BJ49" s="135">
        <f>(($E$49)*($E$3))</f>
        <v/>
      </c>
      <c r="BK49" s="135">
        <f>(($E$49)*($E$3))</f>
        <v/>
      </c>
      <c r="BL49" s="412">
        <f>(($E$49)*($E$3))</f>
        <v/>
      </c>
      <c r="BM49" s="978" t="n"/>
      <c r="BN49" s="978" t="n"/>
      <c r="BO49" s="932" t="n"/>
      <c r="BP49" s="135">
        <f>SUM(G49:BN49)</f>
        <v/>
      </c>
      <c r="BQ49" s="932" t="n"/>
      <c r="BR49" s="135">
        <f>(E49)</f>
        <v/>
      </c>
      <c r="BS49" s="135">
        <f>((BP49)-(BR49))</f>
        <v/>
      </c>
    </row>
    <row r="50">
      <c r="D50" s="149" t="inlineStr">
        <is>
          <t>Month 39</t>
        </is>
      </c>
      <c r="E50" s="139">
        <f>'P&amp;L Assumptions (Computer App)'!L20</f>
        <v/>
      </c>
      <c r="F50" s="1968" t="n"/>
      <c r="G50" s="978" t="n"/>
      <c r="H50" s="978" t="n"/>
      <c r="I50" s="978" t="n"/>
      <c r="J50" s="978" t="n"/>
      <c r="K50" s="978" t="n"/>
      <c r="L50" s="978" t="n"/>
      <c r="M50" s="978" t="n"/>
      <c r="N50" s="978" t="n"/>
      <c r="O50" s="978" t="n"/>
      <c r="P50" s="978" t="n"/>
      <c r="Q50" s="978" t="n"/>
      <c r="R50" s="981" t="n"/>
      <c r="S50" s="978" t="n"/>
      <c r="T50" s="978" t="n"/>
      <c r="U50" s="978" t="n"/>
      <c r="V50" s="978" t="n"/>
      <c r="W50" s="978" t="n"/>
      <c r="X50" s="978" t="n"/>
      <c r="Y50" s="978" t="n"/>
      <c r="Z50" s="978" t="n"/>
      <c r="AA50" s="978" t="n"/>
      <c r="AB50" s="978" t="n"/>
      <c r="AC50" s="978" t="n"/>
      <c r="AD50" s="981" t="n"/>
      <c r="AE50" s="978" t="n"/>
      <c r="AF50" s="978" t="n"/>
      <c r="AG50" s="978" t="n"/>
      <c r="AH50" s="978" t="n"/>
      <c r="AI50" s="978" t="n"/>
      <c r="AJ50" s="978" t="n"/>
      <c r="AK50" s="978" t="n"/>
      <c r="AL50" s="978" t="n"/>
      <c r="AM50" s="978" t="n"/>
      <c r="AN50" s="978" t="n"/>
      <c r="AO50" s="978" t="n"/>
      <c r="AP50" s="981" t="n"/>
      <c r="AQ50" s="978" t="n"/>
      <c r="AR50" s="978" t="n"/>
      <c r="AS50" s="978" t="n"/>
      <c r="AT50" s="412">
        <f>(($E$50)*($E$3))</f>
        <v/>
      </c>
      <c r="AU50" s="135">
        <f>(($E$50)*($E$3))</f>
        <v/>
      </c>
      <c r="AV50" s="135">
        <f>(($E$50)*($E$3))</f>
        <v/>
      </c>
      <c r="AW50" s="135">
        <f>(($E$50)*($E$3))</f>
        <v/>
      </c>
      <c r="AX50" s="135">
        <f>(($E$50)*($E$3))</f>
        <v/>
      </c>
      <c r="AY50" s="135">
        <f>(($E$50)*($E$3))</f>
        <v/>
      </c>
      <c r="AZ50" s="135">
        <f>(($E$50)*($E$3))</f>
        <v/>
      </c>
      <c r="BA50" s="135">
        <f>(($E$50)*($E$3))</f>
        <v/>
      </c>
      <c r="BB50" s="973">
        <f>(($E$50)*($E$3))</f>
        <v/>
      </c>
      <c r="BC50" s="135">
        <f>(($E$50)*($E$3))</f>
        <v/>
      </c>
      <c r="BD50" s="135">
        <f>(($E$50)*($E$3))</f>
        <v/>
      </c>
      <c r="BE50" s="135">
        <f>(($E$50)*($E$3))</f>
        <v/>
      </c>
      <c r="BF50" s="135">
        <f>(($E$50)*($E$3))</f>
        <v/>
      </c>
      <c r="BG50" s="135">
        <f>(($E$50)*($E$3))</f>
        <v/>
      </c>
      <c r="BH50" s="135">
        <f>(($E$50)*($E$3))</f>
        <v/>
      </c>
      <c r="BI50" s="135">
        <f>(($E$50)*($E$3))</f>
        <v/>
      </c>
      <c r="BJ50" s="135">
        <f>(($E$50)*($E$3))</f>
        <v/>
      </c>
      <c r="BK50" s="135">
        <f>(($E$50)*($E$3))</f>
        <v/>
      </c>
      <c r="BL50" s="135">
        <f>(($E$50)*($E$3))</f>
        <v/>
      </c>
      <c r="BM50" s="412">
        <f>(($E$50)*($E$3))</f>
        <v/>
      </c>
      <c r="BN50" s="978" t="n"/>
      <c r="BO50" s="932" t="n"/>
      <c r="BP50" s="135">
        <f>SUM(G50:BN50)</f>
        <v/>
      </c>
      <c r="BQ50" s="932" t="n"/>
      <c r="BR50" s="135">
        <f>(E50)</f>
        <v/>
      </c>
      <c r="BS50" s="135">
        <f>((BP50)-(BR50))</f>
        <v/>
      </c>
    </row>
    <row r="51">
      <c r="D51" s="149" t="inlineStr">
        <is>
          <t>Month 40</t>
        </is>
      </c>
      <c r="E51" s="139">
        <f>'P&amp;L Assumptions (Computer App)'!N20</f>
        <v/>
      </c>
      <c r="F51" s="1968" t="n"/>
      <c r="G51" s="978" t="n"/>
      <c r="H51" s="978" t="n"/>
      <c r="I51" s="978" t="n"/>
      <c r="J51" s="978" t="n"/>
      <c r="K51" s="978" t="n"/>
      <c r="L51" s="978" t="n"/>
      <c r="M51" s="978" t="n"/>
      <c r="N51" s="978" t="n"/>
      <c r="O51" s="978" t="n"/>
      <c r="P51" s="978" t="n"/>
      <c r="Q51" s="978" t="n"/>
      <c r="R51" s="981" t="n"/>
      <c r="S51" s="978" t="n"/>
      <c r="T51" s="978" t="n"/>
      <c r="U51" s="978" t="n"/>
      <c r="V51" s="978" t="n"/>
      <c r="W51" s="978" t="n"/>
      <c r="X51" s="978" t="n"/>
      <c r="Y51" s="978" t="n"/>
      <c r="Z51" s="978" t="n"/>
      <c r="AA51" s="978" t="n"/>
      <c r="AB51" s="978" t="n"/>
      <c r="AC51" s="978" t="n"/>
      <c r="AD51" s="981" t="n"/>
      <c r="AE51" s="978" t="n"/>
      <c r="AF51" s="978" t="n"/>
      <c r="AG51" s="978" t="n"/>
      <c r="AH51" s="978" t="n"/>
      <c r="AI51" s="978" t="n"/>
      <c r="AJ51" s="978" t="n"/>
      <c r="AK51" s="978" t="n"/>
      <c r="AL51" s="978" t="n"/>
      <c r="AM51" s="978" t="n"/>
      <c r="AN51" s="978" t="n"/>
      <c r="AO51" s="978" t="n"/>
      <c r="AP51" s="981" t="n"/>
      <c r="AQ51" s="978" t="n"/>
      <c r="AR51" s="978" t="n"/>
      <c r="AS51" s="978" t="n"/>
      <c r="AT51" s="978" t="n"/>
      <c r="AU51" s="412">
        <f>(($E$51)*($E$3))</f>
        <v/>
      </c>
      <c r="AV51" s="135">
        <f>(($E$51)*($E$3))</f>
        <v/>
      </c>
      <c r="AW51" s="135">
        <f>(($E$51)*($E$3))</f>
        <v/>
      </c>
      <c r="AX51" s="135">
        <f>(($E$51)*($E$3))</f>
        <v/>
      </c>
      <c r="AY51" s="135">
        <f>(($E$51)*($E$3))</f>
        <v/>
      </c>
      <c r="AZ51" s="135">
        <f>(($E$51)*($E$3))</f>
        <v/>
      </c>
      <c r="BA51" s="135">
        <f>(($E$51)*($E$3))</f>
        <v/>
      </c>
      <c r="BB51" s="973">
        <f>(($E$51)*($E$3))</f>
        <v/>
      </c>
      <c r="BC51" s="135">
        <f>(($E$51)*($E$3))</f>
        <v/>
      </c>
      <c r="BD51" s="135">
        <f>(($E$51)*($E$3))</f>
        <v/>
      </c>
      <c r="BE51" s="135">
        <f>(($E$51)*($E$3))</f>
        <v/>
      </c>
      <c r="BF51" s="135">
        <f>(($E$51)*($E$3))</f>
        <v/>
      </c>
      <c r="BG51" s="135">
        <f>(($E$51)*($E$3))</f>
        <v/>
      </c>
      <c r="BH51" s="135">
        <f>(($E$51)*($E$3))</f>
        <v/>
      </c>
      <c r="BI51" s="135">
        <f>(($E$51)*($E$3))</f>
        <v/>
      </c>
      <c r="BJ51" s="135">
        <f>(($E$51)*($E$3))</f>
        <v/>
      </c>
      <c r="BK51" s="135">
        <f>(($E$51)*($E$3))</f>
        <v/>
      </c>
      <c r="BL51" s="135">
        <f>(($E$51)*($E$3))</f>
        <v/>
      </c>
      <c r="BM51" s="135">
        <f>(($E$51)*($E$3))</f>
        <v/>
      </c>
      <c r="BN51" s="135">
        <f>(($E$51)*($E$3))</f>
        <v/>
      </c>
      <c r="BO51" s="932" t="n"/>
      <c r="BP51" s="135">
        <f>SUM(G51:BN51)</f>
        <v/>
      </c>
      <c r="BQ51" s="932" t="n"/>
      <c r="BR51" s="135">
        <f>(E51)</f>
        <v/>
      </c>
      <c r="BS51" s="135">
        <f>((BP51)-(BR51))</f>
        <v/>
      </c>
    </row>
    <row r="52">
      <c r="D52" s="149" t="inlineStr">
        <is>
          <t>Month 41</t>
        </is>
      </c>
      <c r="E52" s="139">
        <f>'P&amp;L Assumptions (Computer App)'!P20</f>
        <v/>
      </c>
      <c r="F52" s="1968" t="n"/>
      <c r="G52" s="978" t="n"/>
      <c r="H52" s="978" t="n"/>
      <c r="I52" s="978" t="n"/>
      <c r="J52" s="978" t="n"/>
      <c r="K52" s="978" t="n"/>
      <c r="L52" s="978" t="n"/>
      <c r="M52" s="978" t="n"/>
      <c r="N52" s="978" t="n"/>
      <c r="O52" s="978" t="n"/>
      <c r="P52" s="978" t="n"/>
      <c r="Q52" s="978" t="n"/>
      <c r="R52" s="981" t="n"/>
      <c r="S52" s="978" t="n"/>
      <c r="T52" s="978" t="n"/>
      <c r="U52" s="978" t="n"/>
      <c r="V52" s="978" t="n"/>
      <c r="W52" s="978" t="n"/>
      <c r="X52" s="978" t="n"/>
      <c r="Y52" s="978" t="n"/>
      <c r="Z52" s="978" t="n"/>
      <c r="AA52" s="978" t="n"/>
      <c r="AB52" s="978" t="n"/>
      <c r="AC52" s="978" t="n"/>
      <c r="AD52" s="981" t="n"/>
      <c r="AE52" s="978" t="n"/>
      <c r="AF52" s="978" t="n"/>
      <c r="AG52" s="978" t="n"/>
      <c r="AH52" s="978" t="n"/>
      <c r="AI52" s="978" t="n"/>
      <c r="AJ52" s="978" t="n"/>
      <c r="AK52" s="978" t="n"/>
      <c r="AL52" s="978" t="n"/>
      <c r="AM52" s="978" t="n"/>
      <c r="AN52" s="978" t="n"/>
      <c r="AO52" s="978" t="n"/>
      <c r="AP52" s="981" t="n"/>
      <c r="AQ52" s="978" t="n"/>
      <c r="AR52" s="978" t="n"/>
      <c r="AS52" s="978" t="n"/>
      <c r="AT52" s="978" t="n"/>
      <c r="AU52" s="978" t="n"/>
      <c r="AV52" s="412">
        <f>(($E$52)*($E$3))</f>
        <v/>
      </c>
      <c r="AW52" s="135">
        <f>(($E$52)*($E$3))</f>
        <v/>
      </c>
      <c r="AX52" s="135">
        <f>(($E$52)*($E$3))</f>
        <v/>
      </c>
      <c r="AY52" s="135">
        <f>(($E$52)*($E$3))</f>
        <v/>
      </c>
      <c r="AZ52" s="135">
        <f>(($E$52)*($E$3))</f>
        <v/>
      </c>
      <c r="BA52" s="135">
        <f>(($E$52)*($E$3))</f>
        <v/>
      </c>
      <c r="BB52" s="973">
        <f>(($E$52)*($E$3))</f>
        <v/>
      </c>
      <c r="BC52" s="135">
        <f>(($E$52)*($E$3))</f>
        <v/>
      </c>
      <c r="BD52" s="135">
        <f>(($E$52)*($E$3))</f>
        <v/>
      </c>
      <c r="BE52" s="135">
        <f>(($E$52)*($E$3))</f>
        <v/>
      </c>
      <c r="BF52" s="135">
        <f>(($E$52)*($E$3))</f>
        <v/>
      </c>
      <c r="BG52" s="135">
        <f>(($E$52)*($E$3))</f>
        <v/>
      </c>
      <c r="BH52" s="135">
        <f>(($E$52)*($E$3))</f>
        <v/>
      </c>
      <c r="BI52" s="135">
        <f>(($E$52)*($E$3))</f>
        <v/>
      </c>
      <c r="BJ52" s="135">
        <f>(($E$52)*($E$3))</f>
        <v/>
      </c>
      <c r="BK52" s="135">
        <f>(($E$52)*($E$3))</f>
        <v/>
      </c>
      <c r="BL52" s="135">
        <f>(($E$52)*($E$3))</f>
        <v/>
      </c>
      <c r="BM52" s="135">
        <f>(($E$52)*($E$3))</f>
        <v/>
      </c>
      <c r="BN52" s="135">
        <f>(($E$52)*($E$3))</f>
        <v/>
      </c>
      <c r="BO52" s="932" t="n"/>
      <c r="BP52" s="135">
        <f>SUM(G52:BN52)</f>
        <v/>
      </c>
      <c r="BQ52" s="932" t="n"/>
      <c r="BR52" s="135">
        <f>(E52)</f>
        <v/>
      </c>
      <c r="BS52" s="135">
        <f>((BP52)-(BR52))</f>
        <v/>
      </c>
    </row>
    <row r="53">
      <c r="D53" s="149" t="inlineStr">
        <is>
          <t>Month 42</t>
        </is>
      </c>
      <c r="E53" s="139">
        <f>'P&amp;L Assumptions (Computer App)'!R20</f>
        <v/>
      </c>
      <c r="F53" s="1968" t="n"/>
      <c r="G53" s="978" t="n"/>
      <c r="H53" s="978" t="n"/>
      <c r="I53" s="978" t="n"/>
      <c r="J53" s="978" t="n"/>
      <c r="K53" s="978" t="n"/>
      <c r="L53" s="978" t="n"/>
      <c r="M53" s="978" t="n"/>
      <c r="N53" s="978" t="n"/>
      <c r="O53" s="978" t="n"/>
      <c r="P53" s="978" t="n"/>
      <c r="Q53" s="978" t="n"/>
      <c r="R53" s="981" t="n"/>
      <c r="S53" s="978" t="n"/>
      <c r="T53" s="978" t="n"/>
      <c r="U53" s="978" t="n"/>
      <c r="V53" s="978" t="n"/>
      <c r="W53" s="978" t="n"/>
      <c r="X53" s="978" t="n"/>
      <c r="Y53" s="978" t="n"/>
      <c r="Z53" s="978" t="n"/>
      <c r="AA53" s="978" t="n"/>
      <c r="AB53" s="978" t="n"/>
      <c r="AC53" s="978" t="n"/>
      <c r="AD53" s="981" t="n"/>
      <c r="AE53" s="978" t="n"/>
      <c r="AF53" s="978" t="n"/>
      <c r="AG53" s="978" t="n"/>
      <c r="AH53" s="978" t="n"/>
      <c r="AI53" s="978" t="n"/>
      <c r="AJ53" s="978" t="n"/>
      <c r="AK53" s="978" t="n"/>
      <c r="AL53" s="978" t="n"/>
      <c r="AM53" s="978" t="n"/>
      <c r="AN53" s="978" t="n"/>
      <c r="AO53" s="978" t="n"/>
      <c r="AP53" s="981" t="n"/>
      <c r="AQ53" s="978" t="n"/>
      <c r="AR53" s="978" t="n"/>
      <c r="AS53" s="978" t="n"/>
      <c r="AT53" s="978" t="n"/>
      <c r="AU53" s="978" t="n"/>
      <c r="AV53" s="978" t="n"/>
      <c r="AW53" s="412">
        <f>(($E$53)*($E$3))</f>
        <v/>
      </c>
      <c r="AX53" s="135">
        <f>(($E$53)*($E$3))</f>
        <v/>
      </c>
      <c r="AY53" s="135">
        <f>(($E$53)*($E$3))</f>
        <v/>
      </c>
      <c r="AZ53" s="135">
        <f>(($E$53)*($E$3))</f>
        <v/>
      </c>
      <c r="BA53" s="135">
        <f>(($E$53)*($E$3))</f>
        <v/>
      </c>
      <c r="BB53" s="973">
        <f>(($E$53)*($E$3))</f>
        <v/>
      </c>
      <c r="BC53" s="135">
        <f>(($E$53)*($E$3))</f>
        <v/>
      </c>
      <c r="BD53" s="135">
        <f>(($E$53)*($E$3))</f>
        <v/>
      </c>
      <c r="BE53" s="135">
        <f>(($E$53)*($E$3))</f>
        <v/>
      </c>
      <c r="BF53" s="135">
        <f>(($E$53)*($E$3))</f>
        <v/>
      </c>
      <c r="BG53" s="135">
        <f>(($E$53)*($E$3))</f>
        <v/>
      </c>
      <c r="BH53" s="135">
        <f>(($E$53)*($E$3))</f>
        <v/>
      </c>
      <c r="BI53" s="135">
        <f>(($E$53)*($E$3))</f>
        <v/>
      </c>
      <c r="BJ53" s="135">
        <f>(($E$53)*($E$3))</f>
        <v/>
      </c>
      <c r="BK53" s="135">
        <f>(($E$53)*($E$3))</f>
        <v/>
      </c>
      <c r="BL53" s="135">
        <f>(($E$53)*($E$3))</f>
        <v/>
      </c>
      <c r="BM53" s="135">
        <f>(($E$53)*($E$3))</f>
        <v/>
      </c>
      <c r="BN53" s="135">
        <f>(($E$53)*($E$3))</f>
        <v/>
      </c>
      <c r="BO53" s="932" t="n"/>
      <c r="BP53" s="135">
        <f>SUM(G53:BN53)</f>
        <v/>
      </c>
      <c r="BQ53" s="932" t="n"/>
      <c r="BR53" s="135">
        <f>(E53)</f>
        <v/>
      </c>
      <c r="BS53" s="135">
        <f>((BP53)-(BR53))</f>
        <v/>
      </c>
    </row>
    <row r="54">
      <c r="D54" s="149" t="inlineStr">
        <is>
          <t>Month 43</t>
        </is>
      </c>
      <c r="E54" s="139">
        <f>'P&amp;L Assumptions (Computer App)'!T20</f>
        <v/>
      </c>
      <c r="F54" s="1968" t="n"/>
      <c r="G54" s="978" t="n"/>
      <c r="H54" s="978" t="n"/>
      <c r="I54" s="978" t="n"/>
      <c r="J54" s="978" t="n"/>
      <c r="K54" s="978" t="n"/>
      <c r="L54" s="978" t="n"/>
      <c r="M54" s="978" t="n"/>
      <c r="N54" s="978" t="n"/>
      <c r="O54" s="978" t="n"/>
      <c r="P54" s="978" t="n"/>
      <c r="Q54" s="978" t="n"/>
      <c r="R54" s="981" t="n"/>
      <c r="S54" s="978" t="n"/>
      <c r="T54" s="978" t="n"/>
      <c r="U54" s="978" t="n"/>
      <c r="V54" s="978" t="n"/>
      <c r="W54" s="978" t="n"/>
      <c r="X54" s="978" t="n"/>
      <c r="Y54" s="978" t="n"/>
      <c r="Z54" s="978" t="n"/>
      <c r="AA54" s="978" t="n"/>
      <c r="AB54" s="978" t="n"/>
      <c r="AC54" s="978" t="n"/>
      <c r="AD54" s="981" t="n"/>
      <c r="AE54" s="978" t="n"/>
      <c r="AF54" s="978" t="n"/>
      <c r="AG54" s="978" t="n"/>
      <c r="AH54" s="978" t="n"/>
      <c r="AI54" s="978" t="n"/>
      <c r="AJ54" s="978" t="n"/>
      <c r="AK54" s="978" t="n"/>
      <c r="AL54" s="978" t="n"/>
      <c r="AM54" s="978" t="n"/>
      <c r="AN54" s="978" t="n"/>
      <c r="AO54" s="978" t="n"/>
      <c r="AP54" s="981" t="n"/>
      <c r="AQ54" s="978" t="n"/>
      <c r="AR54" s="978" t="n"/>
      <c r="AS54" s="978" t="n"/>
      <c r="AT54" s="978" t="n"/>
      <c r="AU54" s="978" t="n"/>
      <c r="AV54" s="978" t="n"/>
      <c r="AW54" s="978" t="n"/>
      <c r="AX54" s="412">
        <f>(($E$54)*($E$3))</f>
        <v/>
      </c>
      <c r="AY54" s="135">
        <f>(($E$54)*($E$3))</f>
        <v/>
      </c>
      <c r="AZ54" s="135">
        <f>(($E$54)*($E$3))</f>
        <v/>
      </c>
      <c r="BA54" s="135">
        <f>(($E$54)*($E$3))</f>
        <v/>
      </c>
      <c r="BB54" s="973">
        <f>(($E$54)*($E$3))</f>
        <v/>
      </c>
      <c r="BC54" s="135">
        <f>(($E$54)*($E$3))</f>
        <v/>
      </c>
      <c r="BD54" s="135">
        <f>(($E$54)*($E$3))</f>
        <v/>
      </c>
      <c r="BE54" s="135">
        <f>(($E$54)*($E$3))</f>
        <v/>
      </c>
      <c r="BF54" s="135">
        <f>(($E$54)*($E$3))</f>
        <v/>
      </c>
      <c r="BG54" s="135">
        <f>(($E$54)*($E$3))</f>
        <v/>
      </c>
      <c r="BH54" s="135">
        <f>(($E$54)*($E$3))</f>
        <v/>
      </c>
      <c r="BI54" s="135">
        <f>(($E$54)*($E$3))</f>
        <v/>
      </c>
      <c r="BJ54" s="135">
        <f>(($E$54)*($E$3))</f>
        <v/>
      </c>
      <c r="BK54" s="135">
        <f>(($E$54)*($E$3))</f>
        <v/>
      </c>
      <c r="BL54" s="135">
        <f>(($E$54)*($E$3))</f>
        <v/>
      </c>
      <c r="BM54" s="135">
        <f>(($E$54)*($E$3))</f>
        <v/>
      </c>
      <c r="BN54" s="135">
        <f>(($E$54)*($E$3))</f>
        <v/>
      </c>
      <c r="BO54" s="932" t="n"/>
      <c r="BP54" s="135">
        <f>SUM(G54:BN54)</f>
        <v/>
      </c>
      <c r="BQ54" s="932" t="n"/>
      <c r="BR54" s="135">
        <f>(E54)</f>
        <v/>
      </c>
      <c r="BS54" s="135">
        <f>((BP54)-(BR54))</f>
        <v/>
      </c>
    </row>
    <row r="55">
      <c r="D55" s="149" t="inlineStr">
        <is>
          <t>Month 44</t>
        </is>
      </c>
      <c r="E55" s="139">
        <f>'P&amp;L Assumptions (Computer App)'!V20</f>
        <v/>
      </c>
      <c r="F55" s="1968" t="n"/>
      <c r="G55" s="978" t="n"/>
      <c r="H55" s="978" t="n"/>
      <c r="I55" s="978" t="n"/>
      <c r="J55" s="978" t="n"/>
      <c r="K55" s="978" t="n"/>
      <c r="L55" s="978" t="n"/>
      <c r="M55" s="978" t="n"/>
      <c r="N55" s="978" t="n"/>
      <c r="O55" s="978" t="n"/>
      <c r="P55" s="978" t="n"/>
      <c r="Q55" s="978" t="n"/>
      <c r="R55" s="981" t="n"/>
      <c r="S55" s="978" t="n"/>
      <c r="T55" s="978" t="n"/>
      <c r="U55" s="978" t="n"/>
      <c r="V55" s="978" t="n"/>
      <c r="W55" s="978" t="n"/>
      <c r="X55" s="978" t="n"/>
      <c r="Y55" s="978" t="n"/>
      <c r="Z55" s="978" t="n"/>
      <c r="AA55" s="978" t="n"/>
      <c r="AB55" s="978" t="n"/>
      <c r="AC55" s="978" t="n"/>
      <c r="AD55" s="981" t="n"/>
      <c r="AE55" s="978" t="n"/>
      <c r="AF55" s="978" t="n"/>
      <c r="AG55" s="978" t="n"/>
      <c r="AH55" s="978" t="n"/>
      <c r="AI55" s="978" t="n"/>
      <c r="AJ55" s="978" t="n"/>
      <c r="AK55" s="978" t="n"/>
      <c r="AL55" s="978" t="n"/>
      <c r="AM55" s="978" t="n"/>
      <c r="AN55" s="978" t="n"/>
      <c r="AO55" s="978" t="n"/>
      <c r="AP55" s="981" t="n"/>
      <c r="AQ55" s="978" t="n"/>
      <c r="AR55" s="978" t="n"/>
      <c r="AS55" s="978" t="n"/>
      <c r="AT55" s="978" t="n"/>
      <c r="AU55" s="978" t="n"/>
      <c r="AV55" s="978" t="n"/>
      <c r="AW55" s="978" t="n"/>
      <c r="AX55" s="978" t="n"/>
      <c r="AY55" s="412">
        <f>(($E$55)*($E$3))</f>
        <v/>
      </c>
      <c r="AZ55" s="135">
        <f>(($E$55)*($E$3))</f>
        <v/>
      </c>
      <c r="BA55" s="135">
        <f>(($E$55)*($E$3))</f>
        <v/>
      </c>
      <c r="BB55" s="973">
        <f>(($E$55)*($E$3))</f>
        <v/>
      </c>
      <c r="BC55" s="135">
        <f>(($E$55)*($E$3))</f>
        <v/>
      </c>
      <c r="BD55" s="135">
        <f>(($E$55)*($E$3))</f>
        <v/>
      </c>
      <c r="BE55" s="135">
        <f>(($E$55)*($E$3))</f>
        <v/>
      </c>
      <c r="BF55" s="135">
        <f>(($E$55)*($E$3))</f>
        <v/>
      </c>
      <c r="BG55" s="135">
        <f>(($E$55)*($E$3))</f>
        <v/>
      </c>
      <c r="BH55" s="135">
        <f>(($E$55)*($E$3))</f>
        <v/>
      </c>
      <c r="BI55" s="135">
        <f>(($E$55)*($E$3))</f>
        <v/>
      </c>
      <c r="BJ55" s="135">
        <f>(($E$55)*($E$3))</f>
        <v/>
      </c>
      <c r="BK55" s="135">
        <f>(($E$55)*($E$3))</f>
        <v/>
      </c>
      <c r="BL55" s="135">
        <f>(($E$55)*($E$3))</f>
        <v/>
      </c>
      <c r="BM55" s="135">
        <f>(($E$55)*($E$3))</f>
        <v/>
      </c>
      <c r="BN55" s="135">
        <f>(($E$55)*($E$3))</f>
        <v/>
      </c>
      <c r="BO55" s="932" t="n"/>
      <c r="BP55" s="135">
        <f>SUM(G55:BN55)</f>
        <v/>
      </c>
      <c r="BQ55" s="932" t="n"/>
      <c r="BR55" s="135">
        <f>(E55)</f>
        <v/>
      </c>
      <c r="BS55" s="135">
        <f>((BP55)-(BR55))</f>
        <v/>
      </c>
    </row>
    <row r="56">
      <c r="D56" s="149" t="inlineStr">
        <is>
          <t>Month 45</t>
        </is>
      </c>
      <c r="E56" s="139">
        <f>'P&amp;L Assumptions (Computer App)'!X20</f>
        <v/>
      </c>
      <c r="F56" s="1968" t="n"/>
      <c r="G56" s="978" t="n"/>
      <c r="H56" s="978" t="n"/>
      <c r="I56" s="978" t="n"/>
      <c r="J56" s="978" t="n"/>
      <c r="K56" s="978" t="n"/>
      <c r="L56" s="978" t="n"/>
      <c r="M56" s="978" t="n"/>
      <c r="N56" s="978" t="n"/>
      <c r="O56" s="978" t="n"/>
      <c r="P56" s="978" t="n"/>
      <c r="Q56" s="978" t="n"/>
      <c r="R56" s="981" t="n"/>
      <c r="S56" s="978" t="n"/>
      <c r="T56" s="978" t="n"/>
      <c r="U56" s="978" t="n"/>
      <c r="V56" s="978" t="n"/>
      <c r="W56" s="978" t="n"/>
      <c r="X56" s="978" t="n"/>
      <c r="Y56" s="978" t="n"/>
      <c r="Z56" s="978" t="n"/>
      <c r="AA56" s="978" t="n"/>
      <c r="AB56" s="978" t="n"/>
      <c r="AC56" s="978" t="n"/>
      <c r="AD56" s="981" t="n"/>
      <c r="AE56" s="978" t="n"/>
      <c r="AF56" s="978" t="n"/>
      <c r="AG56" s="978" t="n"/>
      <c r="AH56" s="978" t="n"/>
      <c r="AI56" s="978" t="n"/>
      <c r="AJ56" s="978" t="n"/>
      <c r="AK56" s="978" t="n"/>
      <c r="AL56" s="978" t="n"/>
      <c r="AM56" s="978" t="n"/>
      <c r="AN56" s="978" t="n"/>
      <c r="AO56" s="978" t="n"/>
      <c r="AP56" s="981" t="n"/>
      <c r="AQ56" s="978" t="n"/>
      <c r="AR56" s="978" t="n"/>
      <c r="AS56" s="978" t="n"/>
      <c r="AT56" s="978" t="n"/>
      <c r="AU56" s="978" t="n"/>
      <c r="AV56" s="978" t="n"/>
      <c r="AW56" s="978" t="n"/>
      <c r="AX56" s="978" t="n"/>
      <c r="AY56" s="978" t="n"/>
      <c r="AZ56" s="412">
        <f>(($E$56)*($E$3))</f>
        <v/>
      </c>
      <c r="BA56" s="135">
        <f>(($E$56)*($E$3))</f>
        <v/>
      </c>
      <c r="BB56" s="973">
        <f>(($E$56)*($E$3))</f>
        <v/>
      </c>
      <c r="BC56" s="135">
        <f>(($E$56)*($E$3))</f>
        <v/>
      </c>
      <c r="BD56" s="135">
        <f>(($E$56)*($E$3))</f>
        <v/>
      </c>
      <c r="BE56" s="135">
        <f>(($E$56)*($E$3))</f>
        <v/>
      </c>
      <c r="BF56" s="135">
        <f>(($E$56)*($E$3))</f>
        <v/>
      </c>
      <c r="BG56" s="135">
        <f>(($E$56)*($E$3))</f>
        <v/>
      </c>
      <c r="BH56" s="135">
        <f>(($E$56)*($E$3))</f>
        <v/>
      </c>
      <c r="BI56" s="135">
        <f>(($E$56)*($E$3))</f>
        <v/>
      </c>
      <c r="BJ56" s="135">
        <f>(($E$56)*($E$3))</f>
        <v/>
      </c>
      <c r="BK56" s="135">
        <f>(($E$56)*($E$3))</f>
        <v/>
      </c>
      <c r="BL56" s="135">
        <f>(($E$56)*($E$3))</f>
        <v/>
      </c>
      <c r="BM56" s="135">
        <f>(($E$56)*($E$3))</f>
        <v/>
      </c>
      <c r="BN56" s="135">
        <f>(($E$56)*($E$3))</f>
        <v/>
      </c>
      <c r="BO56" s="932" t="n"/>
      <c r="BP56" s="135">
        <f>SUM(G56:BN56)</f>
        <v/>
      </c>
      <c r="BQ56" s="932" t="n"/>
      <c r="BR56" s="135">
        <f>(E56)</f>
        <v/>
      </c>
      <c r="BS56" s="135">
        <f>((BP56)-(BR56))</f>
        <v/>
      </c>
    </row>
    <row r="57">
      <c r="D57" s="149" t="inlineStr">
        <is>
          <t>Month 46</t>
        </is>
      </c>
      <c r="E57" s="139">
        <f>'P&amp;L Assumptions (Computer App)'!Z20</f>
        <v/>
      </c>
      <c r="F57" s="1968" t="n"/>
      <c r="G57" s="978" t="n"/>
      <c r="H57" s="978" t="n"/>
      <c r="I57" s="978" t="n"/>
      <c r="J57" s="978" t="n"/>
      <c r="K57" s="978" t="n"/>
      <c r="L57" s="978" t="n"/>
      <c r="M57" s="978" t="n"/>
      <c r="N57" s="978" t="n"/>
      <c r="O57" s="978" t="n"/>
      <c r="P57" s="978" t="n"/>
      <c r="Q57" s="978" t="n"/>
      <c r="R57" s="981" t="n"/>
      <c r="S57" s="978" t="n"/>
      <c r="T57" s="978" t="n"/>
      <c r="U57" s="978" t="n"/>
      <c r="V57" s="978" t="n"/>
      <c r="W57" s="978" t="n"/>
      <c r="X57" s="978" t="n"/>
      <c r="Y57" s="978" t="n"/>
      <c r="Z57" s="978" t="n"/>
      <c r="AA57" s="978" t="n"/>
      <c r="AB57" s="978" t="n"/>
      <c r="AC57" s="978" t="n"/>
      <c r="AD57" s="981" t="n"/>
      <c r="AE57" s="978" t="n"/>
      <c r="AF57" s="978" t="n"/>
      <c r="AG57" s="978" t="n"/>
      <c r="AH57" s="978" t="n"/>
      <c r="AI57" s="978" t="n"/>
      <c r="AJ57" s="978" t="n"/>
      <c r="AK57" s="978" t="n"/>
      <c r="AL57" s="978" t="n"/>
      <c r="AM57" s="978" t="n"/>
      <c r="AN57" s="978" t="n"/>
      <c r="AO57" s="978" t="n"/>
      <c r="AP57" s="981" t="n"/>
      <c r="AQ57" s="978" t="n"/>
      <c r="AR57" s="978" t="n"/>
      <c r="AS57" s="978" t="n"/>
      <c r="AT57" s="978" t="n"/>
      <c r="AU57" s="978" t="n"/>
      <c r="AV57" s="978" t="n"/>
      <c r="AW57" s="978" t="n"/>
      <c r="AX57" s="978" t="n"/>
      <c r="AY57" s="978" t="n"/>
      <c r="AZ57" s="978" t="n"/>
      <c r="BA57" s="412">
        <f>(($E$57)*($E$3))</f>
        <v/>
      </c>
      <c r="BB57" s="973">
        <f>(($E$57)*($E$3))</f>
        <v/>
      </c>
      <c r="BC57" s="135">
        <f>(($E$57)*($E$3))</f>
        <v/>
      </c>
      <c r="BD57" s="135">
        <f>(($E$57)*($E$3))</f>
        <v/>
      </c>
      <c r="BE57" s="135">
        <f>(($E$57)*($E$3))</f>
        <v/>
      </c>
      <c r="BF57" s="135">
        <f>(($E$57)*($E$3))</f>
        <v/>
      </c>
      <c r="BG57" s="135">
        <f>(($E$57)*($E$3))</f>
        <v/>
      </c>
      <c r="BH57" s="135">
        <f>(($E$57)*($E$3))</f>
        <v/>
      </c>
      <c r="BI57" s="135">
        <f>(($E$57)*($E$3))</f>
        <v/>
      </c>
      <c r="BJ57" s="135">
        <f>(($E$57)*($E$3))</f>
        <v/>
      </c>
      <c r="BK57" s="135">
        <f>(($E$57)*($E$3))</f>
        <v/>
      </c>
      <c r="BL57" s="135">
        <f>(($E$57)*($E$3))</f>
        <v/>
      </c>
      <c r="BM57" s="135">
        <f>(($E$57)*($E$3))</f>
        <v/>
      </c>
      <c r="BN57" s="135">
        <f>(($E$57)*($E$3))</f>
        <v/>
      </c>
      <c r="BO57" s="932" t="n"/>
      <c r="BP57" s="135">
        <f>SUM(G57:BN57)</f>
        <v/>
      </c>
      <c r="BQ57" s="932" t="n"/>
      <c r="BR57" s="135">
        <f>(E57)</f>
        <v/>
      </c>
      <c r="BS57" s="135">
        <f>((BP57)-(BR57))</f>
        <v/>
      </c>
    </row>
    <row r="58">
      <c r="D58" s="149" t="inlineStr">
        <is>
          <t>Month 47</t>
        </is>
      </c>
      <c r="E58" s="139">
        <f>'P&amp;L Assumptions (Computer App)'!AB20</f>
        <v/>
      </c>
      <c r="F58" s="1968" t="n"/>
      <c r="G58" s="978" t="n"/>
      <c r="H58" s="978" t="n"/>
      <c r="I58" s="978" t="n"/>
      <c r="J58" s="978" t="n"/>
      <c r="K58" s="978" t="n"/>
      <c r="L58" s="978" t="n"/>
      <c r="M58" s="978" t="n"/>
      <c r="N58" s="978" t="n"/>
      <c r="O58" s="978" t="n"/>
      <c r="P58" s="978" t="n"/>
      <c r="Q58" s="978" t="n"/>
      <c r="R58" s="981" t="n"/>
      <c r="S58" s="978" t="n"/>
      <c r="T58" s="978" t="n"/>
      <c r="U58" s="978" t="n"/>
      <c r="V58" s="978" t="n"/>
      <c r="W58" s="978" t="n"/>
      <c r="X58" s="978" t="n"/>
      <c r="Y58" s="978" t="n"/>
      <c r="Z58" s="978" t="n"/>
      <c r="AA58" s="978" t="n"/>
      <c r="AB58" s="978" t="n"/>
      <c r="AC58" s="978" t="n"/>
      <c r="AD58" s="981" t="n"/>
      <c r="AE58" s="978" t="n"/>
      <c r="AF58" s="978" t="n"/>
      <c r="AG58" s="978" t="n"/>
      <c r="AH58" s="978" t="n"/>
      <c r="AI58" s="978" t="n"/>
      <c r="AJ58" s="978" t="n"/>
      <c r="AK58" s="978" t="n"/>
      <c r="AL58" s="978" t="n"/>
      <c r="AM58" s="978" t="n"/>
      <c r="AN58" s="978" t="n"/>
      <c r="AO58" s="978" t="n"/>
      <c r="AP58" s="981" t="n"/>
      <c r="AQ58" s="978" t="n"/>
      <c r="AR58" s="978" t="n"/>
      <c r="AS58" s="978" t="n"/>
      <c r="AT58" s="978" t="n"/>
      <c r="AU58" s="978" t="n"/>
      <c r="AV58" s="978" t="n"/>
      <c r="AW58" s="978" t="n"/>
      <c r="AX58" s="978" t="n"/>
      <c r="AY58" s="978" t="n"/>
      <c r="AZ58" s="978" t="n"/>
      <c r="BA58" s="978" t="n"/>
      <c r="BB58" s="973">
        <f>(($E$58)*($E$3))</f>
        <v/>
      </c>
      <c r="BC58" s="135">
        <f>(($E$58)*($E$3))</f>
        <v/>
      </c>
      <c r="BD58" s="135">
        <f>(($E$58)*($E$3))</f>
        <v/>
      </c>
      <c r="BE58" s="135">
        <f>(($E$58)*($E$3))</f>
        <v/>
      </c>
      <c r="BF58" s="135">
        <f>(($E$58)*($E$3))</f>
        <v/>
      </c>
      <c r="BG58" s="135">
        <f>(($E$58)*($E$3))</f>
        <v/>
      </c>
      <c r="BH58" s="135">
        <f>(($E$58)*($E$3))</f>
        <v/>
      </c>
      <c r="BI58" s="135">
        <f>(($E$58)*($E$3))</f>
        <v/>
      </c>
      <c r="BJ58" s="135">
        <f>(($E$58)*($E$3))</f>
        <v/>
      </c>
      <c r="BK58" s="135">
        <f>(($E$58)*($E$3))</f>
        <v/>
      </c>
      <c r="BL58" s="135">
        <f>(($E$58)*($E$3))</f>
        <v/>
      </c>
      <c r="BM58" s="135">
        <f>(($E$58)*($E$3))</f>
        <v/>
      </c>
      <c r="BN58" s="135">
        <f>(($E$58)*($E$3))</f>
        <v/>
      </c>
      <c r="BO58" s="932" t="n"/>
      <c r="BP58" s="135">
        <f>SUM(G58:BN58)</f>
        <v/>
      </c>
      <c r="BQ58" s="932" t="n"/>
      <c r="BR58" s="135">
        <f>(E58)</f>
        <v/>
      </c>
      <c r="BS58" s="135">
        <f>((BP58)-(BR58))</f>
        <v/>
      </c>
    </row>
    <row r="59">
      <c r="D59" s="149" t="inlineStr">
        <is>
          <t>Month 48</t>
        </is>
      </c>
      <c r="E59" s="139">
        <f>'P&amp;L Assumptions (Computer App)'!AD20</f>
        <v/>
      </c>
      <c r="F59" s="1968" t="n"/>
      <c r="G59" s="978" t="n"/>
      <c r="H59" s="978" t="n"/>
      <c r="I59" s="978" t="n"/>
      <c r="J59" s="978" t="n"/>
      <c r="K59" s="978" t="n"/>
      <c r="L59" s="978" t="n"/>
      <c r="M59" s="978" t="n"/>
      <c r="N59" s="978" t="n"/>
      <c r="O59" s="978" t="n"/>
      <c r="P59" s="978" t="n"/>
      <c r="Q59" s="978" t="n"/>
      <c r="R59" s="981" t="n"/>
      <c r="S59" s="978" t="n"/>
      <c r="T59" s="978" t="n"/>
      <c r="U59" s="978" t="n"/>
      <c r="V59" s="978" t="n"/>
      <c r="W59" s="978" t="n"/>
      <c r="X59" s="978" t="n"/>
      <c r="Y59" s="978" t="n"/>
      <c r="Z59" s="978" t="n"/>
      <c r="AA59" s="978" t="n"/>
      <c r="AB59" s="978" t="n"/>
      <c r="AC59" s="978" t="n"/>
      <c r="AD59" s="981" t="n"/>
      <c r="AE59" s="978" t="n"/>
      <c r="AF59" s="978" t="n"/>
      <c r="AG59" s="978" t="n"/>
      <c r="AH59" s="978" t="n"/>
      <c r="AI59" s="978" t="n"/>
      <c r="AJ59" s="978" t="n"/>
      <c r="AK59" s="978" t="n"/>
      <c r="AL59" s="978" t="n"/>
      <c r="AM59" s="978" t="n"/>
      <c r="AN59" s="978" t="n"/>
      <c r="AO59" s="978" t="n"/>
      <c r="AP59" s="981" t="n"/>
      <c r="AQ59" s="978" t="n"/>
      <c r="AR59" s="978" t="n"/>
      <c r="AS59" s="978" t="n"/>
      <c r="AT59" s="978" t="n"/>
      <c r="AU59" s="978" t="n"/>
      <c r="AV59" s="978" t="n"/>
      <c r="AW59" s="978" t="n"/>
      <c r="AX59" s="978" t="n"/>
      <c r="AY59" s="978" t="n"/>
      <c r="AZ59" s="978" t="n"/>
      <c r="BA59" s="978" t="n"/>
      <c r="BB59" s="981" t="n"/>
      <c r="BC59" s="412">
        <f>(($E$59)*($E$3))</f>
        <v/>
      </c>
      <c r="BD59" s="135">
        <f>(($E$59)*($E$3))</f>
        <v/>
      </c>
      <c r="BE59" s="135">
        <f>(($E$59)*($E$3))</f>
        <v/>
      </c>
      <c r="BF59" s="135">
        <f>(($E$59)*($E$3))</f>
        <v/>
      </c>
      <c r="BG59" s="135">
        <f>(($E$59)*($E$3))</f>
        <v/>
      </c>
      <c r="BH59" s="135">
        <f>(($E$59)*($E$3))</f>
        <v/>
      </c>
      <c r="BI59" s="135">
        <f>(($E$59)*($E$3))</f>
        <v/>
      </c>
      <c r="BJ59" s="135">
        <f>(($E$59)*($E$3))</f>
        <v/>
      </c>
      <c r="BK59" s="135">
        <f>(($E$59)*($E$3))</f>
        <v/>
      </c>
      <c r="BL59" s="135">
        <f>(($E$59)*($E$3))</f>
        <v/>
      </c>
      <c r="BM59" s="135">
        <f>(($E$59)*($E$3))</f>
        <v/>
      </c>
      <c r="BN59" s="135">
        <f>(($E$59)*($E$3))</f>
        <v/>
      </c>
      <c r="BO59" s="932" t="n"/>
      <c r="BP59" s="135">
        <f>SUM(G59:BN59)</f>
        <v/>
      </c>
      <c r="BQ59" s="932" t="n"/>
      <c r="BR59" s="135">
        <f>(E59)</f>
        <v/>
      </c>
      <c r="BS59" s="135">
        <f>((BP59)-(BR59))</f>
        <v/>
      </c>
    </row>
    <row r="60">
      <c r="D60" s="149" t="inlineStr">
        <is>
          <t>Month 49</t>
        </is>
      </c>
      <c r="E60" s="139">
        <f>'P&amp;L Assumptions (Computer App)'!H21</f>
        <v/>
      </c>
      <c r="F60" s="1968" t="n"/>
      <c r="G60" s="978" t="n"/>
      <c r="H60" s="978" t="n"/>
      <c r="I60" s="978" t="n"/>
      <c r="J60" s="978" t="n"/>
      <c r="K60" s="978" t="n"/>
      <c r="L60" s="978" t="n"/>
      <c r="M60" s="978" t="n"/>
      <c r="N60" s="978" t="n"/>
      <c r="O60" s="978" t="n"/>
      <c r="P60" s="978" t="n"/>
      <c r="Q60" s="978" t="n"/>
      <c r="R60" s="981" t="n"/>
      <c r="S60" s="978" t="n"/>
      <c r="T60" s="978" t="n"/>
      <c r="U60" s="978" t="n"/>
      <c r="V60" s="978" t="n"/>
      <c r="W60" s="978" t="n"/>
      <c r="X60" s="978" t="n"/>
      <c r="Y60" s="978" t="n"/>
      <c r="Z60" s="978" t="n"/>
      <c r="AA60" s="978" t="n"/>
      <c r="AB60" s="978" t="n"/>
      <c r="AC60" s="978" t="n"/>
      <c r="AD60" s="981" t="n"/>
      <c r="AE60" s="978" t="n"/>
      <c r="AF60" s="978" t="n"/>
      <c r="AG60" s="978" t="n"/>
      <c r="AH60" s="978" t="n"/>
      <c r="AI60" s="978" t="n"/>
      <c r="AJ60" s="978" t="n"/>
      <c r="AK60" s="978" t="n"/>
      <c r="AL60" s="978" t="n"/>
      <c r="AM60" s="978" t="n"/>
      <c r="AN60" s="978" t="n"/>
      <c r="AO60" s="978" t="n"/>
      <c r="AP60" s="981" t="n"/>
      <c r="AQ60" s="978" t="n"/>
      <c r="AR60" s="978" t="n"/>
      <c r="AS60" s="978" t="n"/>
      <c r="AT60" s="978" t="n"/>
      <c r="AU60" s="978" t="n"/>
      <c r="AV60" s="978" t="n"/>
      <c r="AW60" s="978" t="n"/>
      <c r="AX60" s="978" t="n"/>
      <c r="AY60" s="978" t="n"/>
      <c r="AZ60" s="978" t="n"/>
      <c r="BA60" s="978" t="n"/>
      <c r="BB60" s="981" t="n"/>
      <c r="BC60" s="978" t="n"/>
      <c r="BD60" s="412">
        <f>(($E$60)*($E$3))</f>
        <v/>
      </c>
      <c r="BE60" s="135">
        <f>(($E$60)*($E$3))</f>
        <v/>
      </c>
      <c r="BF60" s="135">
        <f>(($E$60)*($E$3))</f>
        <v/>
      </c>
      <c r="BG60" s="135">
        <f>(($E$60)*($E$3))</f>
        <v/>
      </c>
      <c r="BH60" s="135">
        <f>(($E$60)*($E$3))</f>
        <v/>
      </c>
      <c r="BI60" s="135">
        <f>(($E$60)*($E$3))</f>
        <v/>
      </c>
      <c r="BJ60" s="135">
        <f>(($E$60)*($E$3))</f>
        <v/>
      </c>
      <c r="BK60" s="135">
        <f>(($E$60)*($E$3))</f>
        <v/>
      </c>
      <c r="BL60" s="135">
        <f>(($E$60)*($E$3))</f>
        <v/>
      </c>
      <c r="BM60" s="135">
        <f>(($E$60)*($E$3))</f>
        <v/>
      </c>
      <c r="BN60" s="135">
        <f>(($E$60)*($E$3))</f>
        <v/>
      </c>
      <c r="BO60" s="932" t="n"/>
      <c r="BP60" s="135">
        <f>SUM(G60:BN60)</f>
        <v/>
      </c>
      <c r="BQ60" s="932" t="n"/>
      <c r="BR60" s="135">
        <f>(E60)</f>
        <v/>
      </c>
      <c r="BS60" s="135">
        <f>((BP60)-(BR60))</f>
        <v/>
      </c>
    </row>
    <row r="61">
      <c r="D61" s="149" t="inlineStr">
        <is>
          <t>Month 50</t>
        </is>
      </c>
      <c r="E61" s="139">
        <f>'P&amp;L Assumptions (Computer App)'!J21</f>
        <v/>
      </c>
      <c r="F61" s="1968" t="n"/>
      <c r="G61" s="978" t="n"/>
      <c r="H61" s="978" t="n"/>
      <c r="I61" s="978" t="n"/>
      <c r="J61" s="978" t="n"/>
      <c r="K61" s="978" t="n"/>
      <c r="L61" s="978" t="n"/>
      <c r="M61" s="978" t="n"/>
      <c r="N61" s="978" t="n"/>
      <c r="O61" s="978" t="n"/>
      <c r="P61" s="978" t="n"/>
      <c r="Q61" s="978" t="n"/>
      <c r="R61" s="981" t="n"/>
      <c r="S61" s="978" t="n"/>
      <c r="T61" s="978" t="n"/>
      <c r="U61" s="978" t="n"/>
      <c r="V61" s="978" t="n"/>
      <c r="W61" s="978" t="n"/>
      <c r="X61" s="978" t="n"/>
      <c r="Y61" s="978" t="n"/>
      <c r="Z61" s="978" t="n"/>
      <c r="AA61" s="978" t="n"/>
      <c r="AB61" s="978" t="n"/>
      <c r="AC61" s="978" t="n"/>
      <c r="AD61" s="981" t="n"/>
      <c r="AE61" s="978" t="n"/>
      <c r="AF61" s="978" t="n"/>
      <c r="AG61" s="978" t="n"/>
      <c r="AH61" s="978" t="n"/>
      <c r="AI61" s="978" t="n"/>
      <c r="AJ61" s="978" t="n"/>
      <c r="AK61" s="978" t="n"/>
      <c r="AL61" s="978" t="n"/>
      <c r="AM61" s="978" t="n"/>
      <c r="AN61" s="978" t="n"/>
      <c r="AO61" s="978" t="n"/>
      <c r="AP61" s="981" t="n"/>
      <c r="AQ61" s="978" t="n"/>
      <c r="AR61" s="978" t="n"/>
      <c r="AS61" s="978" t="n"/>
      <c r="AT61" s="978" t="n"/>
      <c r="AU61" s="978" t="n"/>
      <c r="AV61" s="978" t="n"/>
      <c r="AW61" s="978" t="n"/>
      <c r="AX61" s="978" t="n"/>
      <c r="AY61" s="978" t="n"/>
      <c r="AZ61" s="978" t="n"/>
      <c r="BA61" s="978" t="n"/>
      <c r="BB61" s="981" t="n"/>
      <c r="BC61" s="978" t="n"/>
      <c r="BD61" s="978" t="n"/>
      <c r="BE61" s="412">
        <f>(($E$61)*($E$3))</f>
        <v/>
      </c>
      <c r="BF61" s="135">
        <f>(($E$61)*($E$3))</f>
        <v/>
      </c>
      <c r="BG61" s="135">
        <f>(($E$61)*($E$3))</f>
        <v/>
      </c>
      <c r="BH61" s="135">
        <f>(($E$61)*($E$3))</f>
        <v/>
      </c>
      <c r="BI61" s="135">
        <f>(($E$61)*($E$3))</f>
        <v/>
      </c>
      <c r="BJ61" s="135">
        <f>(($E$61)*($E$3))</f>
        <v/>
      </c>
      <c r="BK61" s="135">
        <f>(($E$61)*($E$3))</f>
        <v/>
      </c>
      <c r="BL61" s="135">
        <f>(($E$61)*($E$3))</f>
        <v/>
      </c>
      <c r="BM61" s="135">
        <f>(($E$61)*($E$3))</f>
        <v/>
      </c>
      <c r="BN61" s="135">
        <f>(($E$61)*($E$3))</f>
        <v/>
      </c>
      <c r="BO61" s="932" t="n"/>
      <c r="BP61" s="135">
        <f>SUM(G61:BN61)</f>
        <v/>
      </c>
      <c r="BQ61" s="932" t="n"/>
      <c r="BR61" s="135">
        <f>(E61)</f>
        <v/>
      </c>
      <c r="BS61" s="135">
        <f>((BP61)-(BR61))</f>
        <v/>
      </c>
    </row>
    <row r="62">
      <c r="D62" s="149" t="inlineStr">
        <is>
          <t>Month 51</t>
        </is>
      </c>
      <c r="E62" s="139">
        <f>'P&amp;L Assumptions (Computer App)'!L21</f>
        <v/>
      </c>
      <c r="F62" s="1968" t="n"/>
      <c r="G62" s="978" t="n"/>
      <c r="H62" s="978" t="n"/>
      <c r="I62" s="978" t="n"/>
      <c r="J62" s="978" t="n"/>
      <c r="K62" s="978" t="n"/>
      <c r="L62" s="978" t="n"/>
      <c r="M62" s="978" t="n"/>
      <c r="N62" s="978" t="n"/>
      <c r="O62" s="978" t="n"/>
      <c r="P62" s="978" t="n"/>
      <c r="Q62" s="978" t="n"/>
      <c r="R62" s="981" t="n"/>
      <c r="S62" s="978" t="n"/>
      <c r="T62" s="978" t="n"/>
      <c r="U62" s="978" t="n"/>
      <c r="V62" s="978" t="n"/>
      <c r="W62" s="978" t="n"/>
      <c r="X62" s="978" t="n"/>
      <c r="Y62" s="978" t="n"/>
      <c r="Z62" s="978" t="n"/>
      <c r="AA62" s="978" t="n"/>
      <c r="AB62" s="978" t="n"/>
      <c r="AC62" s="978" t="n"/>
      <c r="AD62" s="981" t="n"/>
      <c r="AE62" s="978" t="n"/>
      <c r="AF62" s="978" t="n"/>
      <c r="AG62" s="978" t="n"/>
      <c r="AH62" s="978" t="n"/>
      <c r="AI62" s="978" t="n"/>
      <c r="AJ62" s="978" t="n"/>
      <c r="AK62" s="978" t="n"/>
      <c r="AL62" s="978" t="n"/>
      <c r="AM62" s="978" t="n"/>
      <c r="AN62" s="978" t="n"/>
      <c r="AO62" s="978" t="n"/>
      <c r="AP62" s="981" t="n"/>
      <c r="AQ62" s="978" t="n"/>
      <c r="AR62" s="978" t="n"/>
      <c r="AS62" s="978" t="n"/>
      <c r="AT62" s="978" t="n"/>
      <c r="AU62" s="978" t="n"/>
      <c r="AV62" s="978" t="n"/>
      <c r="AW62" s="978" t="n"/>
      <c r="AX62" s="978" t="n"/>
      <c r="AY62" s="978" t="n"/>
      <c r="AZ62" s="978" t="n"/>
      <c r="BA62" s="978" t="n"/>
      <c r="BB62" s="981" t="n"/>
      <c r="BC62" s="978" t="n"/>
      <c r="BD62" s="978" t="n"/>
      <c r="BE62" s="978" t="n"/>
      <c r="BF62" s="412">
        <f>(($E$62)*($E$3))</f>
        <v/>
      </c>
      <c r="BG62" s="135">
        <f>(($E$62)*($E$3))</f>
        <v/>
      </c>
      <c r="BH62" s="135">
        <f>(($E$62)*($E$3))</f>
        <v/>
      </c>
      <c r="BI62" s="135">
        <f>(($E$62)*($E$3))</f>
        <v/>
      </c>
      <c r="BJ62" s="135">
        <f>(($E$62)*($E$3))</f>
        <v/>
      </c>
      <c r="BK62" s="135">
        <f>(($E$62)*($E$3))</f>
        <v/>
      </c>
      <c r="BL62" s="135">
        <f>(($E$62)*($E$3))</f>
        <v/>
      </c>
      <c r="BM62" s="135">
        <f>(($E$62)*($E$3))</f>
        <v/>
      </c>
      <c r="BN62" s="135">
        <f>(($E$62)*($E$3))</f>
        <v/>
      </c>
      <c r="BO62" s="932" t="n"/>
      <c r="BP62" s="135">
        <f>SUM(G62:BN62)</f>
        <v/>
      </c>
      <c r="BQ62" s="932" t="n"/>
      <c r="BR62" s="135">
        <f>(E62)</f>
        <v/>
      </c>
      <c r="BS62" s="135">
        <f>((BP62)-(BR62))</f>
        <v/>
      </c>
    </row>
    <row r="63">
      <c r="D63" s="149" t="inlineStr">
        <is>
          <t>Month 52</t>
        </is>
      </c>
      <c r="E63" s="139">
        <f>'P&amp;L Assumptions (Computer App)'!N21</f>
        <v/>
      </c>
      <c r="F63" s="1968" t="n"/>
      <c r="G63" s="978" t="n"/>
      <c r="H63" s="978" t="n"/>
      <c r="I63" s="978" t="n"/>
      <c r="J63" s="978" t="n"/>
      <c r="K63" s="978" t="n"/>
      <c r="L63" s="978" t="n"/>
      <c r="M63" s="978" t="n"/>
      <c r="N63" s="978" t="n"/>
      <c r="O63" s="978" t="n"/>
      <c r="P63" s="978" t="n"/>
      <c r="Q63" s="978" t="n"/>
      <c r="R63" s="981" t="n"/>
      <c r="S63" s="978" t="n"/>
      <c r="T63" s="978" t="n"/>
      <c r="U63" s="978" t="n"/>
      <c r="V63" s="978" t="n"/>
      <c r="W63" s="978" t="n"/>
      <c r="X63" s="978" t="n"/>
      <c r="Y63" s="978" t="n"/>
      <c r="Z63" s="978" t="n"/>
      <c r="AA63" s="978" t="n"/>
      <c r="AB63" s="978" t="n"/>
      <c r="AC63" s="978" t="n"/>
      <c r="AD63" s="981" t="n"/>
      <c r="AE63" s="978" t="n"/>
      <c r="AF63" s="978" t="n"/>
      <c r="AG63" s="978" t="n"/>
      <c r="AH63" s="978" t="n"/>
      <c r="AI63" s="978" t="n"/>
      <c r="AJ63" s="978" t="n"/>
      <c r="AK63" s="978" t="n"/>
      <c r="AL63" s="978" t="n"/>
      <c r="AM63" s="978" t="n"/>
      <c r="AN63" s="978" t="n"/>
      <c r="AO63" s="978" t="n"/>
      <c r="AP63" s="981" t="n"/>
      <c r="AQ63" s="978" t="n"/>
      <c r="AR63" s="978" t="n"/>
      <c r="AS63" s="978" t="n"/>
      <c r="AT63" s="978" t="n"/>
      <c r="AU63" s="978" t="n"/>
      <c r="AV63" s="978" t="n"/>
      <c r="AW63" s="978" t="n"/>
      <c r="AX63" s="978" t="n"/>
      <c r="AY63" s="978" t="n"/>
      <c r="AZ63" s="978" t="n"/>
      <c r="BA63" s="978" t="n"/>
      <c r="BB63" s="981" t="n"/>
      <c r="BC63" s="978" t="n"/>
      <c r="BD63" s="978" t="n"/>
      <c r="BE63" s="978" t="n"/>
      <c r="BF63" s="978" t="n"/>
      <c r="BG63" s="412">
        <f>(($E$63)*($E$3))</f>
        <v/>
      </c>
      <c r="BH63" s="135">
        <f>(($E$63)*($E$3))</f>
        <v/>
      </c>
      <c r="BI63" s="135">
        <f>(($E$63)*($E$3))</f>
        <v/>
      </c>
      <c r="BJ63" s="135">
        <f>(($E$63)*($E$3))</f>
        <v/>
      </c>
      <c r="BK63" s="135">
        <f>(($E$63)*($E$3))</f>
        <v/>
      </c>
      <c r="BL63" s="135">
        <f>(($E$63)*($E$3))</f>
        <v/>
      </c>
      <c r="BM63" s="135">
        <f>(($E$63)*($E$3))</f>
        <v/>
      </c>
      <c r="BN63" s="135">
        <f>(($E$63)*($E$3))</f>
        <v/>
      </c>
      <c r="BO63" s="932" t="n"/>
      <c r="BP63" s="135">
        <f>SUM(G63:BN63)</f>
        <v/>
      </c>
      <c r="BQ63" s="932" t="n"/>
      <c r="BR63" s="135">
        <f>(E63)</f>
        <v/>
      </c>
      <c r="BS63" s="135">
        <f>((BP63)-(BR63))</f>
        <v/>
      </c>
    </row>
    <row r="64">
      <c r="D64" s="149" t="inlineStr">
        <is>
          <t>Month 53</t>
        </is>
      </c>
      <c r="E64" s="139">
        <f>'P&amp;L Assumptions (Computer App)'!P21</f>
        <v/>
      </c>
      <c r="F64" s="1968" t="n"/>
      <c r="G64" s="978" t="n"/>
      <c r="H64" s="978" t="n"/>
      <c r="I64" s="978" t="n"/>
      <c r="J64" s="978" t="n"/>
      <c r="K64" s="978" t="n"/>
      <c r="L64" s="978" t="n"/>
      <c r="M64" s="978" t="n"/>
      <c r="N64" s="978" t="n"/>
      <c r="O64" s="978" t="n"/>
      <c r="P64" s="978" t="n"/>
      <c r="Q64" s="978" t="n"/>
      <c r="R64" s="981" t="n"/>
      <c r="S64" s="978" t="n"/>
      <c r="T64" s="978" t="n"/>
      <c r="U64" s="978" t="n"/>
      <c r="V64" s="978" t="n"/>
      <c r="W64" s="978" t="n"/>
      <c r="X64" s="978" t="n"/>
      <c r="Y64" s="978" t="n"/>
      <c r="Z64" s="978" t="n"/>
      <c r="AA64" s="978" t="n"/>
      <c r="AB64" s="978" t="n"/>
      <c r="AC64" s="978" t="n"/>
      <c r="AD64" s="981" t="n"/>
      <c r="AE64" s="978" t="n"/>
      <c r="AF64" s="978" t="n"/>
      <c r="AG64" s="978" t="n"/>
      <c r="AH64" s="978" t="n"/>
      <c r="AI64" s="978" t="n"/>
      <c r="AJ64" s="978" t="n"/>
      <c r="AK64" s="978" t="n"/>
      <c r="AL64" s="978" t="n"/>
      <c r="AM64" s="978" t="n"/>
      <c r="AN64" s="978" t="n"/>
      <c r="AO64" s="978" t="n"/>
      <c r="AP64" s="981" t="n"/>
      <c r="AQ64" s="978" t="n"/>
      <c r="AR64" s="978" t="n"/>
      <c r="AS64" s="978" t="n"/>
      <c r="AT64" s="978" t="n"/>
      <c r="AU64" s="978" t="n"/>
      <c r="AV64" s="978" t="n"/>
      <c r="AW64" s="978" t="n"/>
      <c r="AX64" s="978" t="n"/>
      <c r="AY64" s="978" t="n"/>
      <c r="AZ64" s="978" t="n"/>
      <c r="BA64" s="978" t="n"/>
      <c r="BB64" s="981" t="n"/>
      <c r="BC64" s="978" t="n"/>
      <c r="BD64" s="978" t="n"/>
      <c r="BE64" s="978" t="n"/>
      <c r="BF64" s="978" t="n"/>
      <c r="BG64" s="978" t="n"/>
      <c r="BH64" s="412">
        <f>(($E$64)*($E$3))</f>
        <v/>
      </c>
      <c r="BI64" s="135">
        <f>(($E$64)*($E$3))</f>
        <v/>
      </c>
      <c r="BJ64" s="135">
        <f>(($E$64)*($E$3))</f>
        <v/>
      </c>
      <c r="BK64" s="135">
        <f>(($E$64)*($E$3))</f>
        <v/>
      </c>
      <c r="BL64" s="135">
        <f>(($E$64)*($E$3))</f>
        <v/>
      </c>
      <c r="BM64" s="135">
        <f>(($E$64)*($E$3))</f>
        <v/>
      </c>
      <c r="BN64" s="135">
        <f>(($E$64)*($E$3))</f>
        <v/>
      </c>
      <c r="BO64" s="932" t="n"/>
      <c r="BP64" s="135">
        <f>SUM(G64:BN64)</f>
        <v/>
      </c>
      <c r="BQ64" s="932" t="n"/>
      <c r="BR64" s="135">
        <f>(E64)</f>
        <v/>
      </c>
      <c r="BS64" s="135">
        <f>((BP64)-(BR64))</f>
        <v/>
      </c>
    </row>
    <row r="65">
      <c r="D65" s="149" t="inlineStr">
        <is>
          <t>Month 54</t>
        </is>
      </c>
      <c r="E65" s="139">
        <f>'P&amp;L Assumptions (Computer App)'!R21</f>
        <v/>
      </c>
      <c r="F65" s="1968" t="n"/>
      <c r="G65" s="978" t="n"/>
      <c r="H65" s="978" t="n"/>
      <c r="I65" s="978" t="n"/>
      <c r="J65" s="978" t="n"/>
      <c r="K65" s="978" t="n"/>
      <c r="L65" s="978" t="n"/>
      <c r="M65" s="978" t="n"/>
      <c r="N65" s="978" t="n"/>
      <c r="O65" s="978" t="n"/>
      <c r="P65" s="978" t="n"/>
      <c r="Q65" s="978" t="n"/>
      <c r="R65" s="981" t="n"/>
      <c r="S65" s="978" t="n"/>
      <c r="T65" s="978" t="n"/>
      <c r="U65" s="978" t="n"/>
      <c r="V65" s="978" t="n"/>
      <c r="W65" s="978" t="n"/>
      <c r="X65" s="978" t="n"/>
      <c r="Y65" s="978" t="n"/>
      <c r="Z65" s="978" t="n"/>
      <c r="AA65" s="978" t="n"/>
      <c r="AB65" s="978" t="n"/>
      <c r="AC65" s="978" t="n"/>
      <c r="AD65" s="981" t="n"/>
      <c r="AE65" s="978" t="n"/>
      <c r="AF65" s="978" t="n"/>
      <c r="AG65" s="978" t="n"/>
      <c r="AH65" s="978" t="n"/>
      <c r="AI65" s="978" t="n"/>
      <c r="AJ65" s="978" t="n"/>
      <c r="AK65" s="978" t="n"/>
      <c r="AL65" s="978" t="n"/>
      <c r="AM65" s="978" t="n"/>
      <c r="AN65" s="978" t="n"/>
      <c r="AO65" s="978" t="n"/>
      <c r="AP65" s="981" t="n"/>
      <c r="AQ65" s="978" t="n"/>
      <c r="AR65" s="978" t="n"/>
      <c r="AS65" s="978" t="n"/>
      <c r="AT65" s="978" t="n"/>
      <c r="AU65" s="978" t="n"/>
      <c r="AV65" s="978" t="n"/>
      <c r="AW65" s="978" t="n"/>
      <c r="AX65" s="978" t="n"/>
      <c r="AY65" s="978" t="n"/>
      <c r="AZ65" s="978" t="n"/>
      <c r="BA65" s="978" t="n"/>
      <c r="BB65" s="981" t="n"/>
      <c r="BC65" s="978" t="n"/>
      <c r="BD65" s="978" t="n"/>
      <c r="BE65" s="978" t="n"/>
      <c r="BF65" s="978" t="n"/>
      <c r="BG65" s="978" t="n"/>
      <c r="BH65" s="978" t="n"/>
      <c r="BI65" s="412">
        <f>(($E$65)*($E$3))</f>
        <v/>
      </c>
      <c r="BJ65" s="135">
        <f>(($E$65)*($E$3))</f>
        <v/>
      </c>
      <c r="BK65" s="135">
        <f>(($E$65)*($E$3))</f>
        <v/>
      </c>
      <c r="BL65" s="135">
        <f>(($E$65)*($E$3))</f>
        <v/>
      </c>
      <c r="BM65" s="135">
        <f>(($E$65)*($E$3))</f>
        <v/>
      </c>
      <c r="BN65" s="135">
        <f>(($E$65)*($E$3))</f>
        <v/>
      </c>
      <c r="BO65" s="932" t="n"/>
      <c r="BP65" s="135">
        <f>SUM(G65:BN65)</f>
        <v/>
      </c>
      <c r="BQ65" s="932" t="n"/>
      <c r="BR65" s="135">
        <f>(E65)</f>
        <v/>
      </c>
      <c r="BS65" s="135">
        <f>((BP65)-(BR65))</f>
        <v/>
      </c>
    </row>
    <row r="66">
      <c r="D66" s="149" t="inlineStr">
        <is>
          <t>Month 55</t>
        </is>
      </c>
      <c r="E66" s="139">
        <f>'P&amp;L Assumptions (Computer App)'!T21</f>
        <v/>
      </c>
      <c r="F66" s="1968" t="n"/>
      <c r="G66" s="978" t="n"/>
      <c r="H66" s="978" t="n"/>
      <c r="I66" s="978" t="n"/>
      <c r="J66" s="978" t="n"/>
      <c r="K66" s="978" t="n"/>
      <c r="L66" s="978" t="n"/>
      <c r="M66" s="978" t="n"/>
      <c r="N66" s="978" t="n"/>
      <c r="O66" s="978" t="n"/>
      <c r="P66" s="978" t="n"/>
      <c r="Q66" s="978" t="n"/>
      <c r="R66" s="981" t="n"/>
      <c r="S66" s="978" t="n"/>
      <c r="T66" s="978" t="n"/>
      <c r="U66" s="978" t="n"/>
      <c r="V66" s="978" t="n"/>
      <c r="W66" s="978" t="n"/>
      <c r="X66" s="978" t="n"/>
      <c r="Y66" s="978" t="n"/>
      <c r="Z66" s="978" t="n"/>
      <c r="AA66" s="978" t="n"/>
      <c r="AB66" s="978" t="n"/>
      <c r="AC66" s="978" t="n"/>
      <c r="AD66" s="981" t="n"/>
      <c r="AE66" s="978" t="n"/>
      <c r="AF66" s="978" t="n"/>
      <c r="AG66" s="978" t="n"/>
      <c r="AH66" s="978" t="n"/>
      <c r="AI66" s="978" t="n"/>
      <c r="AJ66" s="978" t="n"/>
      <c r="AK66" s="978" t="n"/>
      <c r="AL66" s="978" t="n"/>
      <c r="AM66" s="978" t="n"/>
      <c r="AN66" s="978" t="n"/>
      <c r="AO66" s="978" t="n"/>
      <c r="AP66" s="981" t="n"/>
      <c r="AQ66" s="978" t="n"/>
      <c r="AR66" s="978" t="n"/>
      <c r="AS66" s="978" t="n"/>
      <c r="AT66" s="978" t="n"/>
      <c r="AU66" s="978" t="n"/>
      <c r="AV66" s="978" t="n"/>
      <c r="AW66" s="978" t="n"/>
      <c r="AX66" s="978" t="n"/>
      <c r="AY66" s="978" t="n"/>
      <c r="AZ66" s="978" t="n"/>
      <c r="BA66" s="978" t="n"/>
      <c r="BB66" s="981" t="n"/>
      <c r="BC66" s="978" t="n"/>
      <c r="BD66" s="978" t="n"/>
      <c r="BE66" s="978" t="n"/>
      <c r="BF66" s="978" t="n"/>
      <c r="BG66" s="978" t="n"/>
      <c r="BH66" s="978" t="n"/>
      <c r="BI66" s="978" t="n"/>
      <c r="BJ66" s="412">
        <f>(($E$66)*($E$3))</f>
        <v/>
      </c>
      <c r="BK66" s="135">
        <f>(($E$66)*($E$3))</f>
        <v/>
      </c>
      <c r="BL66" s="135">
        <f>(($E$66)*($E$3))</f>
        <v/>
      </c>
      <c r="BM66" s="135">
        <f>(($E$66)*($E$3))</f>
        <v/>
      </c>
      <c r="BN66" s="135">
        <f>(($E$66)*($E$3))</f>
        <v/>
      </c>
      <c r="BO66" s="932" t="n"/>
      <c r="BP66" s="135">
        <f>SUM(G66:BN66)</f>
        <v/>
      </c>
      <c r="BQ66" s="932" t="n"/>
      <c r="BR66" s="135">
        <f>(E66)</f>
        <v/>
      </c>
      <c r="BS66" s="135">
        <f>((BP66)-(BR66))</f>
        <v/>
      </c>
    </row>
    <row r="67">
      <c r="D67" s="149" t="inlineStr">
        <is>
          <t>Month 56</t>
        </is>
      </c>
      <c r="E67" s="139">
        <f>'P&amp;L Assumptions (Computer App)'!V21</f>
        <v/>
      </c>
      <c r="F67" s="1968" t="n"/>
      <c r="G67" s="978" t="n"/>
      <c r="H67" s="978" t="n"/>
      <c r="I67" s="978" t="n"/>
      <c r="J67" s="978" t="n"/>
      <c r="K67" s="978" t="n"/>
      <c r="L67" s="978" t="n"/>
      <c r="M67" s="978" t="n"/>
      <c r="N67" s="978" t="n"/>
      <c r="O67" s="978" t="n"/>
      <c r="P67" s="978" t="n"/>
      <c r="Q67" s="978" t="n"/>
      <c r="R67" s="981" t="n"/>
      <c r="S67" s="978" t="n"/>
      <c r="T67" s="978" t="n"/>
      <c r="U67" s="978" t="n"/>
      <c r="V67" s="978" t="n"/>
      <c r="W67" s="978" t="n"/>
      <c r="X67" s="978" t="n"/>
      <c r="Y67" s="978" t="n"/>
      <c r="Z67" s="978" t="n"/>
      <c r="AA67" s="978" t="n"/>
      <c r="AB67" s="978" t="n"/>
      <c r="AC67" s="978" t="n"/>
      <c r="AD67" s="981" t="n"/>
      <c r="AE67" s="978" t="n"/>
      <c r="AF67" s="978" t="n"/>
      <c r="AG67" s="978" t="n"/>
      <c r="AH67" s="978" t="n"/>
      <c r="AI67" s="978" t="n"/>
      <c r="AJ67" s="978" t="n"/>
      <c r="AK67" s="978" t="n"/>
      <c r="AL67" s="978" t="n"/>
      <c r="AM67" s="978" t="n"/>
      <c r="AN67" s="978" t="n"/>
      <c r="AO67" s="978" t="n"/>
      <c r="AP67" s="981" t="n"/>
      <c r="AQ67" s="978" t="n"/>
      <c r="AR67" s="978" t="n"/>
      <c r="AS67" s="978" t="n"/>
      <c r="AT67" s="978" t="n"/>
      <c r="AU67" s="978" t="n"/>
      <c r="AV67" s="978" t="n"/>
      <c r="AW67" s="978" t="n"/>
      <c r="AX67" s="978" t="n"/>
      <c r="AY67" s="978" t="n"/>
      <c r="AZ67" s="978" t="n"/>
      <c r="BA67" s="978" t="n"/>
      <c r="BB67" s="981" t="n"/>
      <c r="BC67" s="978" t="n"/>
      <c r="BD67" s="978" t="n"/>
      <c r="BE67" s="978" t="n"/>
      <c r="BF67" s="978" t="n"/>
      <c r="BG67" s="978" t="n"/>
      <c r="BH67" s="978" t="n"/>
      <c r="BI67" s="978" t="n"/>
      <c r="BJ67" s="978" t="n"/>
      <c r="BK67" s="412">
        <f>(($E$67)*($E$3))</f>
        <v/>
      </c>
      <c r="BL67" s="135">
        <f>(($E$67)*($E$3))</f>
        <v/>
      </c>
      <c r="BM67" s="135">
        <f>(($E$67)*($E$3))</f>
        <v/>
      </c>
      <c r="BN67" s="135">
        <f>(($E$67)*($E$3))</f>
        <v/>
      </c>
      <c r="BO67" s="932" t="n"/>
      <c r="BP67" s="135">
        <f>SUM(G67:BN67)</f>
        <v/>
      </c>
      <c r="BQ67" s="932" t="n"/>
      <c r="BR67" s="135">
        <f>(E67)</f>
        <v/>
      </c>
      <c r="BS67" s="135">
        <f>((BP67)-(BR67))</f>
        <v/>
      </c>
    </row>
    <row r="68">
      <c r="D68" s="149" t="inlineStr">
        <is>
          <t>Month 57</t>
        </is>
      </c>
      <c r="E68" s="139">
        <f>'P&amp;L Assumptions (Computer App)'!X21</f>
        <v/>
      </c>
      <c r="F68" s="1968" t="n"/>
      <c r="G68" s="978" t="n"/>
      <c r="H68" s="978" t="n"/>
      <c r="I68" s="978" t="n"/>
      <c r="J68" s="978" t="n"/>
      <c r="K68" s="978" t="n"/>
      <c r="L68" s="978" t="n"/>
      <c r="M68" s="978" t="n"/>
      <c r="N68" s="978" t="n"/>
      <c r="O68" s="978" t="n"/>
      <c r="P68" s="978" t="n"/>
      <c r="Q68" s="978" t="n"/>
      <c r="R68" s="981" t="n"/>
      <c r="S68" s="978" t="n"/>
      <c r="T68" s="978" t="n"/>
      <c r="U68" s="978" t="n"/>
      <c r="V68" s="978" t="n"/>
      <c r="W68" s="978" t="n"/>
      <c r="X68" s="978" t="n"/>
      <c r="Y68" s="978" t="n"/>
      <c r="Z68" s="978" t="n"/>
      <c r="AA68" s="978" t="n"/>
      <c r="AB68" s="978" t="n"/>
      <c r="AC68" s="978" t="n"/>
      <c r="AD68" s="981" t="n"/>
      <c r="AE68" s="978" t="n"/>
      <c r="AF68" s="978" t="n"/>
      <c r="AG68" s="978" t="n"/>
      <c r="AH68" s="978" t="n"/>
      <c r="AI68" s="978" t="n"/>
      <c r="AJ68" s="978" t="n"/>
      <c r="AK68" s="978" t="n"/>
      <c r="AL68" s="978" t="n"/>
      <c r="AM68" s="978" t="n"/>
      <c r="AN68" s="978" t="n"/>
      <c r="AO68" s="978" t="n"/>
      <c r="AP68" s="981" t="n"/>
      <c r="AQ68" s="978" t="n"/>
      <c r="AR68" s="978" t="n"/>
      <c r="AS68" s="978" t="n"/>
      <c r="AT68" s="978" t="n"/>
      <c r="AU68" s="978" t="n"/>
      <c r="AV68" s="978" t="n"/>
      <c r="AW68" s="978" t="n"/>
      <c r="AX68" s="978" t="n"/>
      <c r="AY68" s="978" t="n"/>
      <c r="AZ68" s="978" t="n"/>
      <c r="BA68" s="978" t="n"/>
      <c r="BB68" s="981" t="n"/>
      <c r="BC68" s="978" t="n"/>
      <c r="BD68" s="978" t="n"/>
      <c r="BE68" s="978" t="n"/>
      <c r="BF68" s="978" t="n"/>
      <c r="BG68" s="978" t="n"/>
      <c r="BH68" s="978" t="n"/>
      <c r="BI68" s="978" t="n"/>
      <c r="BJ68" s="978" t="n"/>
      <c r="BK68" s="978" t="n"/>
      <c r="BL68" s="412">
        <f>(($E$68)*($E$3))</f>
        <v/>
      </c>
      <c r="BM68" s="135">
        <f>(($E$68)*($E$3))</f>
        <v/>
      </c>
      <c r="BN68" s="135">
        <f>(($E$68)*($E$3))</f>
        <v/>
      </c>
      <c r="BO68" s="932" t="n"/>
      <c r="BP68" s="135">
        <f>SUM(G68:BN68)</f>
        <v/>
      </c>
      <c r="BQ68" s="932" t="n"/>
      <c r="BR68" s="135">
        <f>(E68)</f>
        <v/>
      </c>
      <c r="BS68" s="135">
        <f>((BP68)-(BR68))</f>
        <v/>
      </c>
    </row>
    <row r="69">
      <c r="D69" s="149" t="inlineStr">
        <is>
          <t>Month 58</t>
        </is>
      </c>
      <c r="E69" s="139">
        <f>'P&amp;L Assumptions (Computer App)'!Z21</f>
        <v/>
      </c>
      <c r="F69" s="1968" t="n"/>
      <c r="G69" s="978" t="n"/>
      <c r="H69" s="978" t="n"/>
      <c r="I69" s="978" t="n"/>
      <c r="J69" s="978" t="n"/>
      <c r="K69" s="978" t="n"/>
      <c r="L69" s="978" t="n"/>
      <c r="M69" s="978" t="n"/>
      <c r="N69" s="978" t="n"/>
      <c r="O69" s="978" t="n"/>
      <c r="P69" s="978" t="n"/>
      <c r="Q69" s="978" t="n"/>
      <c r="R69" s="981" t="n"/>
      <c r="S69" s="978" t="n"/>
      <c r="T69" s="978" t="n"/>
      <c r="U69" s="978" t="n"/>
      <c r="V69" s="978" t="n"/>
      <c r="W69" s="978" t="n"/>
      <c r="X69" s="978" t="n"/>
      <c r="Y69" s="978" t="n"/>
      <c r="Z69" s="978" t="n"/>
      <c r="AA69" s="978" t="n"/>
      <c r="AB69" s="978" t="n"/>
      <c r="AC69" s="978" t="n"/>
      <c r="AD69" s="981" t="n"/>
      <c r="AE69" s="978" t="n"/>
      <c r="AF69" s="978" t="n"/>
      <c r="AG69" s="978" t="n"/>
      <c r="AH69" s="978" t="n"/>
      <c r="AI69" s="978" t="n"/>
      <c r="AJ69" s="978" t="n"/>
      <c r="AK69" s="978" t="n"/>
      <c r="AL69" s="978" t="n"/>
      <c r="AM69" s="978" t="n"/>
      <c r="AN69" s="978" t="n"/>
      <c r="AO69" s="978" t="n"/>
      <c r="AP69" s="981" t="n"/>
      <c r="AQ69" s="978" t="n"/>
      <c r="AR69" s="978" t="n"/>
      <c r="AS69" s="978" t="n"/>
      <c r="AT69" s="978" t="n"/>
      <c r="AU69" s="978" t="n"/>
      <c r="AV69" s="978" t="n"/>
      <c r="AW69" s="978" t="n"/>
      <c r="AX69" s="978" t="n"/>
      <c r="AY69" s="978" t="n"/>
      <c r="AZ69" s="978" t="n"/>
      <c r="BA69" s="978" t="n"/>
      <c r="BB69" s="981" t="n"/>
      <c r="BC69" s="978" t="n"/>
      <c r="BD69" s="978" t="n"/>
      <c r="BE69" s="978" t="n"/>
      <c r="BF69" s="978" t="n"/>
      <c r="BG69" s="978" t="n"/>
      <c r="BH69" s="978" t="n"/>
      <c r="BI69" s="978" t="n"/>
      <c r="BJ69" s="978" t="n"/>
      <c r="BK69" s="978" t="n"/>
      <c r="BL69" s="978" t="n"/>
      <c r="BM69" s="412">
        <f>(($E$69)*($E$3))</f>
        <v/>
      </c>
      <c r="BN69" s="135">
        <f>(($E$69)*($E$3))</f>
        <v/>
      </c>
      <c r="BO69" s="932" t="n"/>
      <c r="BP69" s="135">
        <f>SUM(G69:BN69)</f>
        <v/>
      </c>
      <c r="BQ69" s="932" t="n"/>
      <c r="BR69" s="135">
        <f>(E69)</f>
        <v/>
      </c>
      <c r="BS69" s="135">
        <f>((BP69)-(BR69))</f>
        <v/>
      </c>
    </row>
    <row r="70">
      <c r="D70" s="149" t="inlineStr">
        <is>
          <t>Month 59</t>
        </is>
      </c>
      <c r="E70" s="139">
        <f>'P&amp;L Assumptions (Computer App)'!AB21</f>
        <v/>
      </c>
      <c r="F70" s="1968" t="n"/>
      <c r="G70" s="978" t="n"/>
      <c r="H70" s="978" t="n"/>
      <c r="I70" s="978" t="n"/>
      <c r="J70" s="978" t="n"/>
      <c r="K70" s="978" t="n"/>
      <c r="L70" s="978" t="n"/>
      <c r="M70" s="978" t="n"/>
      <c r="N70" s="978" t="n"/>
      <c r="O70" s="978" t="n"/>
      <c r="P70" s="978" t="n"/>
      <c r="Q70" s="978" t="n"/>
      <c r="R70" s="981" t="n"/>
      <c r="S70" s="978" t="n"/>
      <c r="T70" s="978" t="n"/>
      <c r="U70" s="978" t="n"/>
      <c r="V70" s="978" t="n"/>
      <c r="W70" s="978" t="n"/>
      <c r="X70" s="978" t="n"/>
      <c r="Y70" s="978" t="n"/>
      <c r="Z70" s="978" t="n"/>
      <c r="AA70" s="978" t="n"/>
      <c r="AB70" s="978" t="n"/>
      <c r="AC70" s="978" t="n"/>
      <c r="AD70" s="981" t="n"/>
      <c r="AE70" s="978" t="n"/>
      <c r="AF70" s="978" t="n"/>
      <c r="AG70" s="978" t="n"/>
      <c r="AH70" s="978" t="n"/>
      <c r="AI70" s="978" t="n"/>
      <c r="AJ70" s="978" t="n"/>
      <c r="AK70" s="978" t="n"/>
      <c r="AL70" s="978" t="n"/>
      <c r="AM70" s="978" t="n"/>
      <c r="AN70" s="978" t="n"/>
      <c r="AO70" s="978" t="n"/>
      <c r="AP70" s="981" t="n"/>
      <c r="AQ70" s="978" t="n"/>
      <c r="AR70" s="978" t="n"/>
      <c r="AS70" s="978" t="n"/>
      <c r="AT70" s="978" t="n"/>
      <c r="AU70" s="978" t="n"/>
      <c r="AV70" s="978" t="n"/>
      <c r="AW70" s="978" t="n"/>
      <c r="AX70" s="978" t="n"/>
      <c r="AY70" s="978" t="n"/>
      <c r="AZ70" s="978" t="n"/>
      <c r="BA70" s="978" t="n"/>
      <c r="BB70" s="981" t="n"/>
      <c r="BC70" s="978" t="n"/>
      <c r="BD70" s="978" t="n"/>
      <c r="BE70" s="978" t="n"/>
      <c r="BF70" s="978" t="n"/>
      <c r="BG70" s="978" t="n"/>
      <c r="BH70" s="978" t="n"/>
      <c r="BI70" s="978" t="n"/>
      <c r="BJ70" s="978" t="n"/>
      <c r="BK70" s="978" t="n"/>
      <c r="BL70" s="978" t="n"/>
      <c r="BM70" s="978" t="n"/>
      <c r="BN70" s="412">
        <f>(($E$70)*($E$3))</f>
        <v/>
      </c>
      <c r="BO70" s="932" t="n"/>
      <c r="BP70" s="135">
        <f>SUM(G70:BN70)</f>
        <v/>
      </c>
      <c r="BQ70" s="932" t="n"/>
      <c r="BR70" s="135">
        <f>(E70)</f>
        <v/>
      </c>
      <c r="BS70" s="135">
        <f>((BP70)-(BR70))</f>
        <v/>
      </c>
    </row>
    <row r="71">
      <c r="D71" s="149" t="inlineStr">
        <is>
          <t>Month 60</t>
        </is>
      </c>
      <c r="E71" s="139">
        <f>'P&amp;L Assumptions (Computer App)'!AD21</f>
        <v/>
      </c>
      <c r="F71" s="1968" t="n"/>
      <c r="G71" s="978" t="n"/>
      <c r="H71" s="978" t="n"/>
      <c r="I71" s="978" t="n"/>
      <c r="J71" s="978" t="n"/>
      <c r="K71" s="978" t="n"/>
      <c r="L71" s="978" t="n"/>
      <c r="M71" s="978" t="n"/>
      <c r="N71" s="978" t="n"/>
      <c r="O71" s="978" t="n"/>
      <c r="P71" s="978" t="n"/>
      <c r="Q71" s="978" t="n"/>
      <c r="R71" s="981" t="n"/>
      <c r="S71" s="978" t="n"/>
      <c r="T71" s="978" t="n"/>
      <c r="U71" s="978" t="n"/>
      <c r="V71" s="978" t="n"/>
      <c r="W71" s="978" t="n"/>
      <c r="X71" s="978" t="n"/>
      <c r="Y71" s="978" t="n"/>
      <c r="Z71" s="978" t="n"/>
      <c r="AA71" s="978" t="n"/>
      <c r="AB71" s="978" t="n"/>
      <c r="AC71" s="978" t="n"/>
      <c r="AD71" s="981" t="n"/>
      <c r="AE71" s="978" t="n"/>
      <c r="AF71" s="978" t="n"/>
      <c r="AG71" s="978" t="n"/>
      <c r="AH71" s="978" t="n"/>
      <c r="AI71" s="978" t="n"/>
      <c r="AJ71" s="978" t="n"/>
      <c r="AK71" s="978" t="n"/>
      <c r="AL71" s="978" t="n"/>
      <c r="AM71" s="978" t="n"/>
      <c r="AN71" s="978" t="n"/>
      <c r="AO71" s="978" t="n"/>
      <c r="AP71" s="981" t="n"/>
      <c r="AQ71" s="978" t="n"/>
      <c r="AR71" s="978" t="n"/>
      <c r="AS71" s="978" t="n"/>
      <c r="AT71" s="978" t="n"/>
      <c r="AU71" s="978" t="n"/>
      <c r="AV71" s="978" t="n"/>
      <c r="AW71" s="978" t="n"/>
      <c r="AX71" s="978" t="n"/>
      <c r="AY71" s="978" t="n"/>
      <c r="AZ71" s="978" t="n"/>
      <c r="BA71" s="978" t="n"/>
      <c r="BB71" s="981" t="n"/>
      <c r="BC71" s="978" t="n"/>
      <c r="BD71" s="978" t="n"/>
      <c r="BE71" s="978" t="n"/>
      <c r="BF71" s="978" t="n"/>
      <c r="BG71" s="978" t="n"/>
      <c r="BH71" s="978" t="n"/>
      <c r="BI71" s="978" t="n"/>
      <c r="BJ71" s="978" t="n"/>
      <c r="BK71" s="978" t="n"/>
      <c r="BL71" s="978" t="n"/>
      <c r="BM71" s="978" t="n"/>
      <c r="BN71" s="978" t="n"/>
      <c r="BO71" s="932" t="n"/>
      <c r="BP71" s="135">
        <f>SUM(G71:BN71)</f>
        <v/>
      </c>
      <c r="BQ71" s="932" t="n"/>
      <c r="BR71" s="135">
        <f>(E71)</f>
        <v/>
      </c>
      <c r="BS71" s="135">
        <f>((BP71)-(BR71))</f>
        <v/>
      </c>
    </row>
    <row r="72" ht="3" customHeight="1" s="1883">
      <c r="D72" s="626" t="n"/>
      <c r="E72" s="926" t="n"/>
      <c r="F72" s="626" t="n"/>
      <c r="G72" s="933" t="n"/>
      <c r="H72" s="933" t="n"/>
      <c r="I72" s="933" t="n"/>
      <c r="J72" s="933" t="n"/>
      <c r="K72" s="933" t="n"/>
      <c r="L72" s="933" t="n"/>
      <c r="M72" s="933" t="n"/>
      <c r="N72" s="933" t="n"/>
      <c r="O72" s="933" t="n"/>
      <c r="P72" s="933" t="n"/>
      <c r="Q72" s="933" t="n"/>
      <c r="R72" s="983" t="n"/>
      <c r="S72" s="933" t="n"/>
      <c r="T72" s="933" t="n"/>
      <c r="U72" s="933" t="n"/>
      <c r="V72" s="933" t="n"/>
      <c r="W72" s="933" t="n"/>
      <c r="X72" s="933" t="n"/>
      <c r="Y72" s="933" t="n"/>
      <c r="Z72" s="933" t="n"/>
      <c r="AA72" s="933" t="n"/>
      <c r="AB72" s="933" t="n"/>
      <c r="AC72" s="933" t="n"/>
      <c r="AD72" s="983" t="n"/>
      <c r="AE72" s="933" t="n"/>
      <c r="AF72" s="933" t="n"/>
      <c r="AG72" s="933" t="n"/>
      <c r="AH72" s="933" t="n"/>
      <c r="AI72" s="933" t="n"/>
      <c r="AJ72" s="933" t="n"/>
      <c r="AK72" s="933" t="n"/>
      <c r="AL72" s="933" t="n"/>
      <c r="AM72" s="933" t="n"/>
      <c r="AN72" s="933" t="n"/>
      <c r="AO72" s="933" t="n"/>
      <c r="AP72" s="983" t="n"/>
      <c r="AQ72" s="933" t="n"/>
      <c r="AR72" s="933" t="n"/>
      <c r="AS72" s="933" t="n"/>
      <c r="AT72" s="933" t="n"/>
      <c r="AU72" s="933" t="n"/>
      <c r="AV72" s="933" t="n"/>
      <c r="AW72" s="933" t="n"/>
      <c r="AX72" s="933" t="n"/>
      <c r="AY72" s="933" t="n"/>
      <c r="AZ72" s="933" t="n"/>
      <c r="BA72" s="933" t="n"/>
      <c r="BB72" s="983" t="n"/>
      <c r="BC72" s="933" t="n"/>
      <c r="BD72" s="933" t="n"/>
      <c r="BE72" s="933" t="n"/>
      <c r="BF72" s="933" t="n"/>
      <c r="BG72" s="933" t="n"/>
      <c r="BH72" s="933" t="n"/>
      <c r="BI72" s="933" t="n"/>
      <c r="BJ72" s="933" t="n"/>
      <c r="BK72" s="933" t="n"/>
      <c r="BL72" s="933" t="n"/>
      <c r="BM72" s="933" t="n"/>
      <c r="BN72" s="933" t="n"/>
      <c r="BO72" s="932" t="n"/>
      <c r="BP72" s="933" t="n"/>
      <c r="BQ72" s="932" t="n"/>
      <c r="BR72" s="933" t="n"/>
      <c r="BS72" s="933" t="n"/>
    </row>
    <row r="73" ht="3" customHeight="1" s="1883">
      <c r="D73" s="626" t="n"/>
      <c r="E73" s="117" t="n"/>
      <c r="F73" s="626" t="n"/>
      <c r="G73" s="932" t="n"/>
      <c r="H73" s="932" t="n"/>
      <c r="I73" s="932" t="n"/>
      <c r="J73" s="932" t="n"/>
      <c r="K73" s="932" t="n"/>
      <c r="L73" s="932" t="n"/>
      <c r="M73" s="932" t="n"/>
      <c r="N73" s="932" t="n"/>
      <c r="O73" s="932" t="n"/>
      <c r="P73" s="932" t="n"/>
      <c r="Q73" s="932" t="n"/>
      <c r="R73" s="985" t="n"/>
      <c r="S73" s="932" t="n"/>
      <c r="T73" s="932" t="n"/>
      <c r="U73" s="932" t="n"/>
      <c r="V73" s="932" t="n"/>
      <c r="W73" s="932" t="n"/>
      <c r="X73" s="932" t="n"/>
      <c r="Y73" s="932" t="n"/>
      <c r="Z73" s="932" t="n"/>
      <c r="AA73" s="932" t="n"/>
      <c r="AB73" s="932" t="n"/>
      <c r="AC73" s="932" t="n"/>
      <c r="AD73" s="985" t="n"/>
      <c r="AE73" s="932" t="n"/>
      <c r="AF73" s="932" t="n"/>
      <c r="AG73" s="932" t="n"/>
      <c r="AH73" s="932" t="n"/>
      <c r="AI73" s="932" t="n"/>
      <c r="AJ73" s="932" t="n"/>
      <c r="AK73" s="932" t="n"/>
      <c r="AL73" s="932" t="n"/>
      <c r="AM73" s="932" t="n"/>
      <c r="AN73" s="932" t="n"/>
      <c r="AO73" s="932" t="n"/>
      <c r="AP73" s="985" t="n"/>
      <c r="AQ73" s="932" t="n"/>
      <c r="AR73" s="932" t="n"/>
      <c r="AS73" s="932" t="n"/>
      <c r="AT73" s="932" t="n"/>
      <c r="AU73" s="932" t="n"/>
      <c r="AV73" s="932" t="n"/>
      <c r="AW73" s="932" t="n"/>
      <c r="AX73" s="932" t="n"/>
      <c r="AY73" s="932" t="n"/>
      <c r="AZ73" s="932" t="n"/>
      <c r="BA73" s="932" t="n"/>
      <c r="BB73" s="985" t="n"/>
      <c r="BC73" s="932" t="n"/>
      <c r="BD73" s="932" t="n"/>
      <c r="BE73" s="932" t="n"/>
      <c r="BF73" s="932" t="n"/>
      <c r="BG73" s="932" t="n"/>
      <c r="BH73" s="932" t="n"/>
      <c r="BI73" s="932" t="n"/>
      <c r="BJ73" s="932" t="n"/>
      <c r="BK73" s="932" t="n"/>
      <c r="BL73" s="932" t="n"/>
      <c r="BM73" s="932" t="n"/>
      <c r="BN73" s="932" t="n"/>
      <c r="BO73" s="932" t="n"/>
      <c r="BP73" s="932" t="n"/>
      <c r="BQ73" s="932" t="n"/>
      <c r="BR73" s="932" t="n"/>
      <c r="BS73" s="932" t="n"/>
    </row>
    <row r="74">
      <c r="D74" s="626" t="n"/>
      <c r="E74" s="138">
        <f>SUM(E12:E71)</f>
        <v/>
      </c>
      <c r="F74" s="626" t="n"/>
      <c r="G74" s="136">
        <f>SUM(G12:G71)</f>
        <v/>
      </c>
      <c r="H74" s="136">
        <f>SUM(H12:H71)</f>
        <v/>
      </c>
      <c r="I74" s="136">
        <f>SUM(I12:I71)</f>
        <v/>
      </c>
      <c r="J74" s="136">
        <f>SUM(J12:J71)</f>
        <v/>
      </c>
      <c r="K74" s="136">
        <f>SUM(K12:K71)</f>
        <v/>
      </c>
      <c r="L74" s="136">
        <f>SUM(L12:L71)</f>
        <v/>
      </c>
      <c r="M74" s="136">
        <f>SUM(M12:M71)</f>
        <v/>
      </c>
      <c r="N74" s="136">
        <f>SUM(N12:N71)</f>
        <v/>
      </c>
      <c r="O74" s="136">
        <f>SUM(O12:O71)</f>
        <v/>
      </c>
      <c r="P74" s="136">
        <f>SUM(P12:P71)</f>
        <v/>
      </c>
      <c r="Q74" s="136">
        <f>SUM(Q12:Q71)</f>
        <v/>
      </c>
      <c r="R74" s="987">
        <f>SUM(R12:R71)</f>
        <v/>
      </c>
      <c r="S74" s="136">
        <f>SUM(S12:S71)</f>
        <v/>
      </c>
      <c r="T74" s="136">
        <f>SUM(T12:T71)</f>
        <v/>
      </c>
      <c r="U74" s="136">
        <f>SUM(U12:U71)</f>
        <v/>
      </c>
      <c r="V74" s="136">
        <f>SUM(V12:V71)</f>
        <v/>
      </c>
      <c r="W74" s="136">
        <f>SUM(W12:W71)</f>
        <v/>
      </c>
      <c r="X74" s="136">
        <f>SUM(X12:X71)</f>
        <v/>
      </c>
      <c r="Y74" s="136">
        <f>SUM(Y12:Y71)</f>
        <v/>
      </c>
      <c r="Z74" s="136">
        <f>SUM(Z12:Z71)</f>
        <v/>
      </c>
      <c r="AA74" s="136">
        <f>SUM(AA12:AA71)</f>
        <v/>
      </c>
      <c r="AB74" s="136">
        <f>SUM(AB12:AB71)</f>
        <v/>
      </c>
      <c r="AC74" s="136">
        <f>SUM(AC12:AC71)</f>
        <v/>
      </c>
      <c r="AD74" s="987">
        <f>SUM(AD12:AD71)</f>
        <v/>
      </c>
      <c r="AE74" s="136">
        <f>SUM(AE12:AE71)</f>
        <v/>
      </c>
      <c r="AF74" s="136">
        <f>SUM(AF12:AF71)</f>
        <v/>
      </c>
      <c r="AG74" s="136">
        <f>SUM(AG12:AG71)</f>
        <v/>
      </c>
      <c r="AH74" s="136">
        <f>SUM(AH12:AH71)</f>
        <v/>
      </c>
      <c r="AI74" s="136">
        <f>SUM(AI12:AI71)</f>
        <v/>
      </c>
      <c r="AJ74" s="136">
        <f>SUM(AJ12:AJ71)</f>
        <v/>
      </c>
      <c r="AK74" s="136">
        <f>SUM(AK12:AK71)</f>
        <v/>
      </c>
      <c r="AL74" s="136">
        <f>SUM(AL12:AL71)</f>
        <v/>
      </c>
      <c r="AM74" s="136">
        <f>SUM(AM12:AM71)</f>
        <v/>
      </c>
      <c r="AN74" s="136">
        <f>SUM(AN12:AN71)</f>
        <v/>
      </c>
      <c r="AO74" s="136">
        <f>SUM(AO12:AO71)</f>
        <v/>
      </c>
      <c r="AP74" s="987">
        <f>SUM(AP12:AP71)</f>
        <v/>
      </c>
      <c r="AQ74" s="136">
        <f>SUM(AQ12:AQ71)</f>
        <v/>
      </c>
      <c r="AR74" s="136">
        <f>SUM(AR12:AR71)</f>
        <v/>
      </c>
      <c r="AS74" s="136">
        <f>SUM(AS12:AS71)</f>
        <v/>
      </c>
      <c r="AT74" s="136">
        <f>SUM(AT12:AT71)</f>
        <v/>
      </c>
      <c r="AU74" s="136">
        <f>SUM(AU12:AU71)</f>
        <v/>
      </c>
      <c r="AV74" s="136">
        <f>SUM(AV12:AV71)</f>
        <v/>
      </c>
      <c r="AW74" s="136">
        <f>SUM(AW12:AW71)</f>
        <v/>
      </c>
      <c r="AX74" s="136">
        <f>SUM(AX12:AX71)</f>
        <v/>
      </c>
      <c r="AY74" s="136">
        <f>SUM(AY12:AY71)</f>
        <v/>
      </c>
      <c r="AZ74" s="136">
        <f>SUM(AZ12:AZ71)</f>
        <v/>
      </c>
      <c r="BA74" s="136">
        <f>SUM(BA12:BA71)</f>
        <v/>
      </c>
      <c r="BB74" s="987">
        <f>SUM(BB12:BB71)</f>
        <v/>
      </c>
      <c r="BC74" s="136">
        <f>SUM(BC12:BC71)</f>
        <v/>
      </c>
      <c r="BD74" s="136">
        <f>SUM(BD12:BD71)</f>
        <v/>
      </c>
      <c r="BE74" s="136">
        <f>SUM(BE12:BE71)</f>
        <v/>
      </c>
      <c r="BF74" s="136">
        <f>SUM(BF12:BF71)</f>
        <v/>
      </c>
      <c r="BG74" s="136">
        <f>SUM(BG12:BG71)</f>
        <v/>
      </c>
      <c r="BH74" s="136">
        <f>SUM(BH12:BH71)</f>
        <v/>
      </c>
      <c r="BI74" s="136">
        <f>SUM(BI12:BI71)</f>
        <v/>
      </c>
      <c r="BJ74" s="136">
        <f>SUM(BJ12:BJ71)</f>
        <v/>
      </c>
      <c r="BK74" s="136">
        <f>SUM(BK12:BK71)</f>
        <v/>
      </c>
      <c r="BL74" s="136">
        <f>SUM(BL12:BL71)</f>
        <v/>
      </c>
      <c r="BM74" s="136">
        <f>SUM(BM12:BM71)</f>
        <v/>
      </c>
      <c r="BN74" s="136">
        <f>SUM(BN12:BN71)</f>
        <v/>
      </c>
      <c r="BO74" s="932" t="n"/>
      <c r="BP74" s="136">
        <f>SUM(BP12:BP71)</f>
        <v/>
      </c>
      <c r="BQ74" s="932" t="n"/>
      <c r="BR74" s="932" t="n"/>
      <c r="BS74" s="932" t="n"/>
    </row>
    <row r="75" ht="3" customHeight="1" s="1883">
      <c r="D75" s="626" t="n"/>
      <c r="E75" s="988" t="n"/>
      <c r="F75" s="626" t="n"/>
      <c r="G75" s="989" t="n"/>
      <c r="H75" s="989" t="n"/>
      <c r="I75" s="989" t="n"/>
      <c r="J75" s="989" t="n"/>
      <c r="K75" s="989" t="n"/>
      <c r="L75" s="989" t="n"/>
      <c r="M75" s="989" t="n"/>
      <c r="N75" s="989" t="n"/>
      <c r="O75" s="989" t="n"/>
      <c r="P75" s="989" t="n"/>
      <c r="Q75" s="989" t="n"/>
      <c r="R75" s="990" t="n"/>
      <c r="S75" s="989" t="n"/>
      <c r="T75" s="989" t="n"/>
      <c r="U75" s="989" t="n"/>
      <c r="V75" s="989" t="n"/>
      <c r="W75" s="989" t="n"/>
      <c r="X75" s="989" t="n"/>
      <c r="Y75" s="989" t="n"/>
      <c r="Z75" s="989" t="n"/>
      <c r="AA75" s="989" t="n"/>
      <c r="AB75" s="989" t="n"/>
      <c r="AC75" s="989" t="n"/>
      <c r="AD75" s="990" t="n"/>
      <c r="AE75" s="989" t="n"/>
      <c r="AF75" s="989" t="n"/>
      <c r="AG75" s="989" t="n"/>
      <c r="AH75" s="989" t="n"/>
      <c r="AI75" s="989" t="n"/>
      <c r="AJ75" s="989" t="n"/>
      <c r="AK75" s="989" t="n"/>
      <c r="AL75" s="989" t="n"/>
      <c r="AM75" s="989" t="n"/>
      <c r="AN75" s="989" t="n"/>
      <c r="AO75" s="989" t="n"/>
      <c r="AP75" s="990" t="n"/>
      <c r="AQ75" s="989" t="n"/>
      <c r="AR75" s="989" t="n"/>
      <c r="AS75" s="989" t="n"/>
      <c r="AT75" s="989" t="n"/>
      <c r="AU75" s="989" t="n"/>
      <c r="AV75" s="989" t="n"/>
      <c r="AW75" s="989" t="n"/>
      <c r="AX75" s="989" t="n"/>
      <c r="AY75" s="989" t="n"/>
      <c r="AZ75" s="989" t="n"/>
      <c r="BA75" s="989" t="n"/>
      <c r="BB75" s="990" t="n"/>
      <c r="BC75" s="989" t="n"/>
      <c r="BD75" s="989" t="n"/>
      <c r="BE75" s="989" t="n"/>
      <c r="BF75" s="989" t="n"/>
      <c r="BG75" s="989" t="n"/>
      <c r="BH75" s="989" t="n"/>
      <c r="BI75" s="989" t="n"/>
      <c r="BJ75" s="989" t="n"/>
      <c r="BK75" s="989" t="n"/>
      <c r="BL75" s="989" t="n"/>
      <c r="BM75" s="989" t="n"/>
      <c r="BN75" s="989" t="n"/>
      <c r="BO75" s="932" t="n"/>
      <c r="BP75" s="989" t="n"/>
      <c r="BQ75" s="932" t="n"/>
      <c r="BR75" s="932" t="n"/>
      <c r="BS75" s="932" t="n"/>
    </row>
    <row r="76" ht="13" customHeight="1" s="1883">
      <c r="D76" s="626" t="n"/>
      <c r="E76" s="626" t="n"/>
      <c r="F76" s="626" t="n"/>
      <c r="G76" s="932" t="n"/>
      <c r="H76" s="932" t="n"/>
      <c r="I76" s="932" t="n"/>
      <c r="J76" s="932" t="n"/>
      <c r="K76" s="932" t="n"/>
      <c r="L76" s="932" t="n"/>
      <c r="M76" s="932" t="n"/>
      <c r="N76" s="932" t="n"/>
      <c r="O76" s="932" t="n"/>
      <c r="P76" s="932" t="n"/>
      <c r="Q76" s="932" t="n"/>
      <c r="R76" s="985" t="n"/>
      <c r="S76" s="932" t="n"/>
      <c r="T76" s="932" t="n"/>
      <c r="U76" s="932" t="n"/>
      <c r="V76" s="932" t="n"/>
      <c r="W76" s="932" t="n"/>
      <c r="X76" s="932" t="n"/>
      <c r="Y76" s="932" t="n"/>
      <c r="Z76" s="932" t="n"/>
      <c r="AA76" s="932" t="n"/>
      <c r="AB76" s="932" t="n"/>
      <c r="AC76" s="932" t="n"/>
      <c r="AD76" s="985" t="n"/>
      <c r="AE76" s="932" t="n"/>
      <c r="AF76" s="932" t="n"/>
      <c r="AG76" s="932" t="n"/>
      <c r="AH76" s="932" t="n"/>
      <c r="AI76" s="932" t="n"/>
      <c r="AJ76" s="932" t="n"/>
      <c r="AK76" s="932" t="n"/>
      <c r="AL76" s="932" t="n"/>
      <c r="AM76" s="932" t="n"/>
      <c r="AN76" s="932" t="n"/>
      <c r="AO76" s="932" t="n"/>
      <c r="AP76" s="985" t="n"/>
      <c r="AQ76" s="932" t="n"/>
      <c r="AR76" s="932" t="n"/>
      <c r="AS76" s="932" t="n"/>
      <c r="AT76" s="932" t="n"/>
      <c r="AU76" s="932" t="n"/>
      <c r="AV76" s="932" t="n"/>
      <c r="AW76" s="932" t="n"/>
      <c r="AX76" s="932" t="n"/>
      <c r="AY76" s="932" t="n"/>
      <c r="AZ76" s="932" t="n"/>
      <c r="BA76" s="932" t="n"/>
      <c r="BB76" s="985" t="n"/>
      <c r="BC76" s="932" t="n"/>
      <c r="BD76" s="932" t="n"/>
      <c r="BE76" s="932" t="n"/>
      <c r="BF76" s="932" t="n"/>
      <c r="BG76" s="932" t="n"/>
      <c r="BH76" s="932" t="n"/>
      <c r="BI76" s="932" t="n"/>
      <c r="BJ76" s="932" t="n"/>
      <c r="BK76" s="932" t="n"/>
      <c r="BL76" s="932" t="n"/>
      <c r="BM76" s="932" t="n"/>
      <c r="BN76" s="932" t="n"/>
      <c r="BO76" s="932" t="n"/>
      <c r="BP76" s="932" t="n"/>
      <c r="BQ76" s="932" t="n"/>
      <c r="BR76" s="932" t="n"/>
      <c r="BS76" s="932" t="n"/>
    </row>
    <row r="77">
      <c r="D77" s="626" t="n"/>
      <c r="E77" s="626" t="n"/>
      <c r="F77" s="626" t="n"/>
      <c r="G77" s="932" t="n"/>
      <c r="H77" s="932" t="n"/>
      <c r="I77" s="932" t="n"/>
      <c r="J77" s="932" t="n"/>
      <c r="K77" s="932" t="n"/>
      <c r="L77" s="932" t="n"/>
      <c r="M77" s="932" t="n"/>
      <c r="N77" s="932" t="n"/>
      <c r="O77" s="932" t="n"/>
      <c r="P77" s="932" t="n"/>
      <c r="Q77" s="138" t="inlineStr">
        <is>
          <t xml:space="preserve">Ʃ, Months 1 - 12 </t>
        </is>
      </c>
      <c r="R77" s="987">
        <f>SUM(G74:R74)</f>
        <v/>
      </c>
      <c r="S77" s="932" t="n"/>
      <c r="T77" s="932" t="n"/>
      <c r="U77" s="932" t="n"/>
      <c r="V77" s="932" t="n"/>
      <c r="W77" s="932" t="n"/>
      <c r="X77" s="932" t="n"/>
      <c r="Y77" s="932" t="n"/>
      <c r="Z77" s="932" t="n"/>
      <c r="AA77" s="932" t="n"/>
      <c r="AB77" s="932" t="n"/>
      <c r="AC77" s="138" t="inlineStr">
        <is>
          <t>Ʃ, Months 13 - 24</t>
        </is>
      </c>
      <c r="AD77" s="987">
        <f>SUM(S74:AD74)</f>
        <v/>
      </c>
      <c r="AE77" s="932" t="n"/>
      <c r="AF77" s="932" t="n"/>
      <c r="AG77" s="932" t="n"/>
      <c r="AH77" s="932" t="n"/>
      <c r="AI77" s="932" t="n"/>
      <c r="AJ77" s="932" t="n"/>
      <c r="AK77" s="932" t="n"/>
      <c r="AL77" s="932" t="n"/>
      <c r="AM77" s="932" t="n"/>
      <c r="AN77" s="932" t="n"/>
      <c r="AO77" s="138" t="inlineStr">
        <is>
          <t>Ʃ, Months 25 - 36</t>
        </is>
      </c>
      <c r="AP77" s="987">
        <f>SUM(AE74:AP74)</f>
        <v/>
      </c>
      <c r="AQ77" s="932" t="n"/>
      <c r="AR77" s="932" t="n"/>
      <c r="AS77" s="932" t="n"/>
      <c r="AT77" s="932" t="n"/>
      <c r="AU77" s="932" t="n"/>
      <c r="AV77" s="932" t="n"/>
      <c r="AW77" s="932" t="n"/>
      <c r="AX77" s="932" t="n"/>
      <c r="AY77" s="932" t="n"/>
      <c r="AZ77" s="932" t="n"/>
      <c r="BA77" s="138" t="inlineStr">
        <is>
          <t>Ʃ, Months 37 - 48</t>
        </is>
      </c>
      <c r="BB77" s="987">
        <f>SUM(AQ74:BB74)</f>
        <v/>
      </c>
      <c r="BC77" s="932" t="n"/>
      <c r="BD77" s="932" t="n"/>
      <c r="BE77" s="932" t="n"/>
      <c r="BF77" s="932" t="n"/>
      <c r="BG77" s="932" t="n"/>
      <c r="BH77" s="932" t="n"/>
      <c r="BI77" s="932" t="n"/>
      <c r="BJ77" s="932" t="n"/>
      <c r="BK77" s="932" t="n"/>
      <c r="BL77" s="932" t="n"/>
      <c r="BM77" s="138" t="inlineStr">
        <is>
          <t>Ʃ, Months 49 - 60</t>
        </is>
      </c>
      <c r="BN77" s="136">
        <f>SUM(BC74:BN74)</f>
        <v/>
      </c>
      <c r="BO77" s="932" t="n"/>
      <c r="BP77" s="136">
        <f>((R77)+(AD77)+(AP77)+(BB77)+(BN77))</f>
        <v/>
      </c>
      <c r="BQ77" s="932" t="n"/>
      <c r="BR77" s="932" t="n"/>
      <c r="BS77" s="932" t="n"/>
    </row>
    <row r="78" ht="13" customHeight="1" s="1883">
      <c r="D78" s="626" t="n"/>
      <c r="E78" s="626" t="n"/>
      <c r="F78" s="626" t="n"/>
      <c r="G78" s="932" t="n"/>
      <c r="H78" s="932" t="n"/>
      <c r="I78" s="932" t="n"/>
      <c r="J78" s="932" t="n"/>
      <c r="K78" s="932" t="n"/>
      <c r="L78" s="932" t="n"/>
      <c r="M78" s="932" t="n"/>
      <c r="N78" s="932" t="n"/>
      <c r="O78" s="932" t="n"/>
      <c r="P78" s="932" t="n"/>
      <c r="Q78" s="932" t="n"/>
      <c r="R78" s="985" t="n"/>
      <c r="S78" s="932" t="n"/>
      <c r="T78" s="932" t="n"/>
      <c r="U78" s="932" t="n"/>
      <c r="V78" s="932" t="n"/>
      <c r="W78" s="932" t="n"/>
      <c r="X78" s="932" t="n"/>
      <c r="Y78" s="932" t="n"/>
      <c r="Z78" s="932" t="n"/>
      <c r="AA78" s="932" t="n"/>
      <c r="AB78" s="932" t="n"/>
      <c r="AC78" s="932" t="n"/>
      <c r="AD78" s="985" t="n"/>
      <c r="AE78" s="932" t="n"/>
      <c r="AF78" s="932" t="n"/>
      <c r="AG78" s="932" t="n"/>
      <c r="AH78" s="932" t="n"/>
      <c r="AI78" s="932" t="n"/>
      <c r="AJ78" s="932" t="n"/>
      <c r="AK78" s="932" t="n"/>
      <c r="AL78" s="932" t="n"/>
      <c r="AM78" s="932" t="n"/>
      <c r="AN78" s="932" t="n"/>
      <c r="AO78" s="932" t="n"/>
      <c r="AP78" s="985" t="n"/>
      <c r="AQ78" s="932" t="n"/>
      <c r="AR78" s="932" t="n"/>
      <c r="AS78" s="932" t="n"/>
      <c r="AT78" s="932" t="n"/>
      <c r="AU78" s="932" t="n"/>
      <c r="AV78" s="932" t="n"/>
      <c r="AW78" s="932" t="n"/>
      <c r="AX78" s="932" t="n"/>
      <c r="AY78" s="932" t="n"/>
      <c r="AZ78" s="932" t="n"/>
      <c r="BA78" s="932" t="n"/>
      <c r="BB78" s="985" t="n"/>
      <c r="BC78" s="932" t="n"/>
      <c r="BD78" s="932" t="n"/>
      <c r="BE78" s="932" t="n"/>
      <c r="BF78" s="932" t="n"/>
      <c r="BG78" s="932" t="n"/>
      <c r="BH78" s="932" t="n"/>
      <c r="BI78" s="932" t="n"/>
      <c r="BJ78" s="932" t="n"/>
      <c r="BK78" s="932" t="n"/>
      <c r="BL78" s="932" t="n"/>
      <c r="BM78" s="932" t="n"/>
      <c r="BN78" s="932" t="n"/>
      <c r="BO78" s="932" t="n"/>
      <c r="BP78" s="932" t="n"/>
      <c r="BQ78" s="932" t="n"/>
      <c r="BR78" s="932" t="n"/>
      <c r="BS78" s="932" t="n"/>
    </row>
    <row r="79">
      <c r="D79" s="626" t="n"/>
      <c r="E79" s="626" t="n"/>
      <c r="F79" s="626" t="n"/>
      <c r="G79" s="117" t="inlineStr">
        <is>
          <t>Month 1</t>
        </is>
      </c>
      <c r="H79" s="117" t="inlineStr">
        <is>
          <t>Month 2</t>
        </is>
      </c>
      <c r="I79" s="117" t="inlineStr">
        <is>
          <t>Month 3</t>
        </is>
      </c>
      <c r="J79" s="117" t="inlineStr">
        <is>
          <t>Month 4</t>
        </is>
      </c>
      <c r="K79" s="117" t="inlineStr">
        <is>
          <t>Month 5</t>
        </is>
      </c>
      <c r="L79" s="117" t="inlineStr">
        <is>
          <t>Month 6</t>
        </is>
      </c>
      <c r="M79" s="117" t="inlineStr">
        <is>
          <t>Month 7</t>
        </is>
      </c>
      <c r="N79" s="117" t="inlineStr">
        <is>
          <t>Month 8</t>
        </is>
      </c>
      <c r="O79" s="117" t="inlineStr">
        <is>
          <t>Month 9</t>
        </is>
      </c>
      <c r="P79" s="117" t="inlineStr">
        <is>
          <t>Month 10</t>
        </is>
      </c>
      <c r="Q79" s="117" t="inlineStr">
        <is>
          <t>Month 11</t>
        </is>
      </c>
      <c r="R79" s="966" t="inlineStr">
        <is>
          <t>Month 12</t>
        </is>
      </c>
      <c r="S79" s="117" t="inlineStr">
        <is>
          <t>Month 13</t>
        </is>
      </c>
      <c r="T79" s="117" t="inlineStr">
        <is>
          <t>Month 14</t>
        </is>
      </c>
      <c r="U79" s="117" t="inlineStr">
        <is>
          <t>Month 15</t>
        </is>
      </c>
      <c r="V79" s="117" t="inlineStr">
        <is>
          <t>Month 16</t>
        </is>
      </c>
      <c r="W79" s="117" t="inlineStr">
        <is>
          <t>Month 17</t>
        </is>
      </c>
      <c r="X79" s="117" t="inlineStr">
        <is>
          <t>Month 18</t>
        </is>
      </c>
      <c r="Y79" s="117" t="inlineStr">
        <is>
          <t>Month 19</t>
        </is>
      </c>
      <c r="Z79" s="117" t="inlineStr">
        <is>
          <t>Month 20</t>
        </is>
      </c>
      <c r="AA79" s="117" t="inlineStr">
        <is>
          <t>Month 21</t>
        </is>
      </c>
      <c r="AB79" s="117" t="inlineStr">
        <is>
          <t>Month 22</t>
        </is>
      </c>
      <c r="AC79" s="117" t="inlineStr">
        <is>
          <t>Month 23</t>
        </is>
      </c>
      <c r="AD79" s="966" t="inlineStr">
        <is>
          <t>Month 24</t>
        </is>
      </c>
      <c r="AE79" s="117" t="inlineStr">
        <is>
          <t>Month 25</t>
        </is>
      </c>
      <c r="AF79" s="117" t="inlineStr">
        <is>
          <t>Month 26</t>
        </is>
      </c>
      <c r="AG79" s="117" t="inlineStr">
        <is>
          <t>Month 27</t>
        </is>
      </c>
      <c r="AH79" s="117" t="inlineStr">
        <is>
          <t>Month 28</t>
        </is>
      </c>
      <c r="AI79" s="117" t="inlineStr">
        <is>
          <t>Month 29</t>
        </is>
      </c>
      <c r="AJ79" s="117" t="inlineStr">
        <is>
          <t>Month 30</t>
        </is>
      </c>
      <c r="AK79" s="117" t="inlineStr">
        <is>
          <t>Month 31</t>
        </is>
      </c>
      <c r="AL79" s="117" t="inlineStr">
        <is>
          <t>Month 32</t>
        </is>
      </c>
      <c r="AM79" s="117" t="inlineStr">
        <is>
          <t>Month 33</t>
        </is>
      </c>
      <c r="AN79" s="117" t="inlineStr">
        <is>
          <t>Month 34</t>
        </is>
      </c>
      <c r="AO79" s="117" t="inlineStr">
        <is>
          <t>Month 35</t>
        </is>
      </c>
      <c r="AP79" s="966" t="inlineStr">
        <is>
          <t>Month 36</t>
        </is>
      </c>
      <c r="AQ79" s="117" t="inlineStr">
        <is>
          <t>Month 37</t>
        </is>
      </c>
      <c r="AR79" s="117" t="inlineStr">
        <is>
          <t>Month 38</t>
        </is>
      </c>
      <c r="AS79" s="117" t="inlineStr">
        <is>
          <t>Month 39</t>
        </is>
      </c>
      <c r="AT79" s="117" t="inlineStr">
        <is>
          <t>Month 40</t>
        </is>
      </c>
      <c r="AU79" s="117" t="inlineStr">
        <is>
          <t>Month 41</t>
        </is>
      </c>
      <c r="AV79" s="117" t="inlineStr">
        <is>
          <t>Month 42</t>
        </is>
      </c>
      <c r="AW79" s="117" t="inlineStr">
        <is>
          <t>Month 43</t>
        </is>
      </c>
      <c r="AX79" s="117" t="inlineStr">
        <is>
          <t>Month 44</t>
        </is>
      </c>
      <c r="AY79" s="117" t="inlineStr">
        <is>
          <t>Month 45</t>
        </is>
      </c>
      <c r="AZ79" s="117" t="inlineStr">
        <is>
          <t>Month 46</t>
        </is>
      </c>
      <c r="BA79" s="117" t="inlineStr">
        <is>
          <t>Month 47</t>
        </is>
      </c>
      <c r="BB79" s="966" t="inlineStr">
        <is>
          <t>Month 48</t>
        </is>
      </c>
      <c r="BC79" s="117" t="inlineStr">
        <is>
          <t>Month 49</t>
        </is>
      </c>
      <c r="BD79" s="117" t="inlineStr">
        <is>
          <t>Month 50</t>
        </is>
      </c>
      <c r="BE79" s="117" t="inlineStr">
        <is>
          <t>Month 51</t>
        </is>
      </c>
      <c r="BF79" s="117" t="inlineStr">
        <is>
          <t>Month 52</t>
        </is>
      </c>
      <c r="BG79" s="117" t="inlineStr">
        <is>
          <t>Month 53</t>
        </is>
      </c>
      <c r="BH79" s="117" t="inlineStr">
        <is>
          <t>Month 54</t>
        </is>
      </c>
      <c r="BI79" s="117" t="inlineStr">
        <is>
          <t>Month 55</t>
        </is>
      </c>
      <c r="BJ79" s="117" t="inlineStr">
        <is>
          <t>Month 56</t>
        </is>
      </c>
      <c r="BK79" s="117" t="inlineStr">
        <is>
          <t>Month 57</t>
        </is>
      </c>
      <c r="BL79" s="117" t="inlineStr">
        <is>
          <t>Month 58</t>
        </is>
      </c>
      <c r="BM79" s="117" t="inlineStr">
        <is>
          <t>Month 59</t>
        </is>
      </c>
      <c r="BN79" s="117" t="inlineStr">
        <is>
          <t>Month 60</t>
        </is>
      </c>
      <c r="BO79" s="626" t="n"/>
      <c r="BP79" s="117" t="inlineStr">
        <is>
          <t>Ʃ, Months 2 - 60</t>
        </is>
      </c>
      <c r="BQ79" s="932" t="n"/>
      <c r="BR79" s="932" t="n"/>
      <c r="BS79" s="932" t="n"/>
    </row>
  </sheetData>
  <mergeCells count="2">
    <mergeCell ref="G6:BP6"/>
    <mergeCell ref="BR6:BS6"/>
  </mergeCells>
  <printOptions horizontalCentered="1" gridLines="1"/>
  <pageMargins left="0.7" right="0.7" top="0.75" bottom="0.75" header="0" footer="0"/>
  <pageSetup orientation="landscape" fitToHeight="0" pageOrder="overThenDown" cellComments="atEnd"/>
</worksheet>
</file>

<file path=xl/worksheets/sheet36.xml><?xml version="1.0" encoding="utf-8"?>
<worksheet xmlns="http://schemas.openxmlformats.org/spreadsheetml/2006/main">
  <sheetPr>
    <tabColor rgb="FFF24208"/>
    <outlinePr summaryBelow="1" summaryRight="1"/>
    <pageSetUpPr/>
  </sheetPr>
  <dimension ref="B1:CP69"/>
  <sheetViews>
    <sheetView zoomScaleNormal="100" workbookViewId="0">
      <selection activeCell="I1" sqref="I1"/>
    </sheetView>
  </sheetViews>
  <sheetFormatPr baseColWidth="10" defaultColWidth="8.6640625" defaultRowHeight="13"/>
  <cols>
    <col width="2.6640625" customWidth="1" style="1883" min="1" max="6"/>
    <col width="39.6640625" customWidth="1" style="1883" min="7" max="7"/>
    <col width="1.5" customWidth="1" style="1883" min="8" max="8"/>
    <col width="15.6640625" customWidth="1" style="1883" min="9" max="17"/>
    <col width="1.6640625" customWidth="1" style="1883" min="18" max="18"/>
    <col width="15.6640625" customWidth="1" style="1883" min="19" max="19"/>
    <col width="4.5" customWidth="1" style="1883" min="20" max="20"/>
    <col width="15.6640625" customWidth="1" style="1883" min="21" max="32"/>
    <col width="1.6640625" customWidth="1" style="1883" min="33" max="33"/>
    <col width="15.6640625" customWidth="1" style="1883" min="34" max="34"/>
    <col width="4.6640625" customWidth="1" style="1883" min="35" max="35"/>
    <col width="15.6640625" customWidth="1" style="1883" min="36" max="47"/>
    <col width="1.6640625" customWidth="1" style="1883" min="48" max="48"/>
    <col width="15.6640625" customWidth="1" style="1883" min="49" max="49"/>
    <col width="4.6640625" customWidth="1" style="1883" min="50" max="50"/>
    <col width="15.6640625" customWidth="1" style="1883" min="51" max="62"/>
    <col width="1.6640625" customWidth="1" style="1883" min="63" max="63"/>
    <col width="15.6640625" customWidth="1" style="1883" min="64" max="64"/>
    <col width="4.6640625" customWidth="1" style="1883" min="65" max="65"/>
    <col width="15.6640625" customWidth="1" style="1883" min="66" max="77"/>
    <col width="2" customWidth="1" style="1883" min="78" max="78"/>
    <col width="15.6640625" customWidth="1" style="1883" min="79" max="79"/>
    <col width="4.6640625" customWidth="1" style="1883" min="80" max="80"/>
    <col width="15.6640625" customWidth="1" style="1883" min="81" max="92"/>
    <col width="1.6640625" customWidth="1" style="1883" min="93" max="93"/>
    <col width="15.6640625" customWidth="1" style="1883" min="94" max="94"/>
    <col width="2.5" customWidth="1" style="1883" min="95" max="95"/>
    <col width="15.6640625" customWidth="1" style="1883" min="96" max="104"/>
  </cols>
  <sheetData>
    <row r="1">
      <c r="I1" s="1619" t="inlineStr">
        <is>
          <t>THIS SHEET IS NO LONGER RELEVANT AS WE ARE NOT ACQUIRING ALL OF VSBLTY can be ignored</t>
        </is>
      </c>
    </row>
    <row r="2" ht="15" customHeight="1" s="1883">
      <c r="B2" s="385" t="inlineStr">
        <is>
          <t>PURE TECHNOLOGY INC.</t>
        </is>
      </c>
      <c r="C2" s="383" t="n"/>
      <c r="D2" s="383" t="n"/>
      <c r="E2" s="386" t="n"/>
      <c r="F2" s="386" t="n"/>
      <c r="G2" s="386" t="n"/>
      <c r="H2" s="386" t="n"/>
      <c r="I2" s="386" t="n"/>
      <c r="J2" s="386" t="n"/>
      <c r="K2" s="386" t="n"/>
      <c r="L2" s="386" t="n"/>
      <c r="M2" s="386" t="n"/>
      <c r="N2" s="386" t="n"/>
      <c r="O2" s="386" t="n"/>
      <c r="P2" s="386" t="n"/>
      <c r="Q2" s="386" t="n"/>
      <c r="R2" s="386" t="n"/>
      <c r="S2" s="386" t="n"/>
      <c r="T2" s="386" t="n"/>
      <c r="U2" s="386" t="n"/>
      <c r="V2" s="386" t="n"/>
      <c r="W2" s="386" t="n"/>
      <c r="X2" s="386" t="n"/>
      <c r="Y2" s="386" t="n"/>
      <c r="Z2" s="386" t="n"/>
      <c r="AA2" s="386" t="n"/>
      <c r="AB2" s="386" t="n"/>
      <c r="AC2" s="386" t="n"/>
      <c r="AD2" s="386" t="n"/>
      <c r="AE2" s="386" t="n"/>
      <c r="AF2" s="386" t="n"/>
      <c r="AG2" s="386" t="n"/>
      <c r="AH2" s="386" t="n"/>
      <c r="AI2" s="386" t="n"/>
      <c r="AJ2" s="386" t="n"/>
      <c r="AK2" s="386" t="n"/>
      <c r="AL2" s="386" t="n"/>
    </row>
    <row r="3" ht="4.5" customHeight="1" s="1883">
      <c r="B3" s="385" t="n"/>
      <c r="C3" s="383" t="n"/>
      <c r="D3" s="383" t="n"/>
      <c r="E3" s="386" t="n"/>
      <c r="F3" s="386" t="n"/>
      <c r="G3" s="386" t="n"/>
      <c r="H3" s="386" t="n"/>
      <c r="I3" s="386" t="n"/>
      <c r="J3" s="386" t="n"/>
      <c r="K3" s="386" t="n"/>
      <c r="L3" s="386" t="n"/>
      <c r="M3" s="386" t="n"/>
      <c r="N3" s="386" t="n"/>
      <c r="O3" s="386" t="n"/>
      <c r="P3" s="386" t="n"/>
      <c r="Q3" s="386" t="n"/>
      <c r="R3" s="386" t="n"/>
      <c r="S3" s="386" t="n"/>
      <c r="T3" s="386" t="n"/>
      <c r="U3" s="386" t="n"/>
      <c r="V3" s="386" t="n"/>
      <c r="W3" s="386" t="n"/>
      <c r="X3" s="386" t="n"/>
      <c r="Y3" s="386" t="n"/>
      <c r="Z3" s="386" t="n"/>
      <c r="AA3" s="386" t="n"/>
      <c r="AB3" s="386" t="n"/>
      <c r="AC3" s="386" t="n"/>
      <c r="AD3" s="386" t="n"/>
      <c r="AE3" s="386" t="n"/>
      <c r="AF3" s="386" t="n"/>
      <c r="AG3" s="386" t="n"/>
      <c r="AH3" s="386" t="n"/>
      <c r="AI3" s="386" t="n"/>
      <c r="AJ3" s="386" t="n"/>
      <c r="AK3" s="386" t="n"/>
      <c r="AL3" s="386" t="n"/>
    </row>
    <row r="4" ht="15" customHeight="1" s="1883">
      <c r="B4" s="385" t="inlineStr">
        <is>
          <t>CASH FORECAST</t>
        </is>
      </c>
      <c r="C4" s="383" t="n"/>
      <c r="D4" s="383" t="n"/>
      <c r="E4" s="386" t="n"/>
      <c r="F4" s="386" t="n"/>
      <c r="G4" s="386" t="n"/>
      <c r="H4" s="386" t="n"/>
      <c r="I4" s="386" t="n"/>
      <c r="J4" s="386" t="n"/>
      <c r="K4" s="386" t="n"/>
      <c r="L4" s="386" t="n"/>
      <c r="M4" s="386" t="n"/>
      <c r="N4" s="386" t="n"/>
      <c r="O4" s="386" t="n"/>
      <c r="P4" s="386" t="n"/>
      <c r="Q4" s="386" t="n"/>
      <c r="R4" s="386" t="n"/>
      <c r="S4" s="386" t="n"/>
      <c r="T4" s="386" t="n"/>
      <c r="U4" s="386" t="n"/>
      <c r="V4" s="386" t="n"/>
      <c r="W4" s="386" t="n"/>
      <c r="X4" s="386" t="n"/>
      <c r="Y4" s="386" t="n"/>
      <c r="Z4" s="386" t="n"/>
      <c r="AA4" s="386" t="n"/>
      <c r="AB4" s="386" t="n"/>
      <c r="AC4" s="386" t="n"/>
      <c r="AD4" s="386" t="n"/>
      <c r="AE4" s="386" t="n"/>
      <c r="AF4" s="386" t="n"/>
      <c r="AG4" s="386" t="n"/>
      <c r="AH4" s="386" t="n"/>
      <c r="AI4" s="386" t="n"/>
      <c r="AJ4" s="386" t="n"/>
      <c r="AK4" s="386" t="n"/>
      <c r="AL4" s="386" t="n"/>
    </row>
    <row r="5" ht="4.5" customHeight="1" s="1883">
      <c r="B5" s="385" t="n"/>
      <c r="C5" s="383" t="n"/>
      <c r="D5" s="383" t="n"/>
      <c r="E5" s="386" t="n"/>
      <c r="F5" s="386" t="n"/>
      <c r="G5" s="386" t="n"/>
      <c r="H5" s="386" t="n"/>
      <c r="I5" s="386" t="n"/>
      <c r="J5" s="386" t="n"/>
      <c r="K5" s="386" t="n"/>
      <c r="L5" s="386" t="n"/>
      <c r="M5" s="386" t="n"/>
      <c r="N5" s="386" t="n"/>
      <c r="O5" s="386" t="n"/>
      <c r="P5" s="386" t="n"/>
      <c r="Q5" s="386" t="n"/>
      <c r="R5" s="386" t="n"/>
      <c r="S5" s="386" t="n"/>
      <c r="T5" s="386" t="n"/>
      <c r="U5" s="386" t="n"/>
      <c r="V5" s="386" t="n"/>
      <c r="W5" s="386" t="n"/>
      <c r="X5" s="386" t="n"/>
      <c r="Y5" s="386" t="n"/>
      <c r="Z5" s="386" t="n"/>
      <c r="AA5" s="386" t="n"/>
      <c r="AB5" s="386" t="n"/>
      <c r="AC5" s="386" t="n"/>
      <c r="AD5" s="386" t="n"/>
      <c r="AE5" s="386" t="n"/>
      <c r="AF5" s="386" t="n"/>
      <c r="AG5" s="386" t="n"/>
      <c r="AH5" s="386" t="n"/>
      <c r="AI5" s="386" t="n"/>
      <c r="AJ5" s="386" t="n"/>
      <c r="AK5" s="386" t="n"/>
      <c r="AL5" s="386" t="n"/>
    </row>
    <row r="6" ht="15" customHeight="1" s="1883">
      <c r="B6" s="385" t="inlineStr">
        <is>
          <t>BY MONTH, MONTHS -9 THROUGH -1 AND MONTHS 1 - 60</t>
        </is>
      </c>
      <c r="C6" s="383" t="n"/>
      <c r="D6" s="383" t="n"/>
      <c r="E6" s="386" t="n"/>
      <c r="F6" s="386" t="n"/>
      <c r="G6" s="386" t="n"/>
      <c r="H6" s="386" t="n"/>
      <c r="I6" s="386" t="n"/>
      <c r="J6" s="386" t="n"/>
      <c r="K6" s="386" t="n"/>
      <c r="L6" s="386" t="n"/>
      <c r="M6" s="386" t="n"/>
      <c r="N6" s="386" t="n"/>
      <c r="O6" s="386" t="n"/>
      <c r="P6" s="386" t="n"/>
      <c r="Q6" s="386" t="n"/>
      <c r="R6" s="386" t="n"/>
      <c r="S6" s="386" t="n"/>
      <c r="T6" s="386" t="n"/>
      <c r="U6" s="386" t="n"/>
      <c r="V6" s="386" t="n"/>
      <c r="W6" s="386" t="n"/>
      <c r="X6" s="386" t="n"/>
      <c r="Y6" s="386" t="n"/>
      <c r="Z6" s="386" t="n"/>
      <c r="AA6" s="386" t="n"/>
      <c r="AB6" s="386" t="n"/>
      <c r="AC6" s="386" t="n"/>
      <c r="AD6" s="386" t="n"/>
      <c r="AE6" s="386" t="n"/>
      <c r="AF6" s="386" t="n"/>
      <c r="AG6" s="386" t="n"/>
      <c r="AH6" s="386" t="n"/>
      <c r="AI6" s="386" t="n"/>
      <c r="AJ6" s="386" t="n"/>
      <c r="AK6" s="386" t="n"/>
      <c r="AL6" s="386" t="n"/>
    </row>
    <row r="7" ht="4.5" customHeight="1" s="1883">
      <c r="B7" s="385" t="n"/>
      <c r="C7" s="383" t="n"/>
      <c r="D7" s="383" t="n"/>
      <c r="E7" s="386" t="n"/>
      <c r="F7" s="386" t="n"/>
      <c r="G7" s="386" t="n"/>
      <c r="H7" s="386" t="n"/>
      <c r="I7" s="386" t="n"/>
      <c r="J7" s="386" t="n"/>
      <c r="K7" s="386" t="n"/>
      <c r="L7" s="386" t="n"/>
      <c r="M7" s="386" t="n"/>
      <c r="N7" s="386" t="n"/>
      <c r="O7" s="386" t="n"/>
      <c r="P7" s="386" t="n"/>
      <c r="Q7" s="386" t="n"/>
      <c r="R7" s="386" t="n"/>
      <c r="S7" s="386" t="n"/>
      <c r="T7" s="386" t="n"/>
      <c r="U7" s="386" t="n"/>
      <c r="V7" s="386" t="n"/>
      <c r="W7" s="386" t="n"/>
      <c r="X7" s="386" t="n"/>
      <c r="Y7" s="386" t="n"/>
      <c r="Z7" s="386" t="n"/>
      <c r="AA7" s="386" t="n"/>
      <c r="AB7" s="386" t="n"/>
      <c r="AC7" s="386" t="n"/>
      <c r="AD7" s="386" t="n"/>
      <c r="AE7" s="386" t="n"/>
      <c r="AF7" s="386" t="n"/>
      <c r="AG7" s="386" t="n"/>
      <c r="AH7" s="386" t="n"/>
      <c r="AI7" s="386" t="n"/>
      <c r="AJ7" s="386" t="n"/>
      <c r="AK7" s="386" t="n"/>
      <c r="AL7" s="386" t="n"/>
    </row>
    <row r="8" ht="15" customHeight="1" s="1883">
      <c r="B8" s="385" t="inlineStr">
        <is>
          <t>AT January, 2025</t>
        </is>
      </c>
      <c r="C8" s="383" t="n"/>
      <c r="D8" s="383" t="n"/>
      <c r="E8" s="386" t="n"/>
      <c r="F8" s="386" t="n"/>
      <c r="G8" s="386" t="n"/>
      <c r="H8" s="386" t="n"/>
      <c r="I8" s="386" t="n"/>
      <c r="J8" s="386" t="n"/>
      <c r="K8" s="386" t="n"/>
      <c r="L8" s="386" t="n"/>
      <c r="M8" s="386" t="n"/>
      <c r="N8" s="386" t="n"/>
      <c r="O8" s="386" t="n"/>
      <c r="P8" s="386" t="n"/>
      <c r="Q8" s="386" t="n"/>
      <c r="R8" s="386" t="n"/>
      <c r="S8" s="386" t="n"/>
      <c r="T8" s="386" t="n"/>
      <c r="U8" s="386" t="n"/>
      <c r="V8" s="386" t="n"/>
      <c r="W8" s="386" t="n"/>
      <c r="X8" s="386" t="n"/>
      <c r="Y8" s="386" t="n"/>
      <c r="Z8" s="386" t="n"/>
      <c r="AA8" s="386" t="n"/>
      <c r="AB8" s="386" t="n"/>
      <c r="AC8" s="386" t="n"/>
      <c r="AD8" s="386" t="n"/>
      <c r="AE8" s="386" t="n"/>
      <c r="AF8" s="386" t="n"/>
      <c r="AG8" s="386" t="n"/>
      <c r="AH8" s="386" t="n"/>
      <c r="AI8" s="386" t="n"/>
      <c r="AJ8" s="386" t="n"/>
      <c r="AK8" s="386" t="n"/>
      <c r="AL8" s="386" t="n"/>
    </row>
    <row r="9" ht="15" customHeight="1" s="1883">
      <c r="B9" s="383" t="n"/>
      <c r="C9" s="383" t="n"/>
      <c r="D9" s="383" t="n"/>
      <c r="E9" s="386" t="n"/>
      <c r="F9" s="386" t="n"/>
      <c r="G9" s="386" t="n"/>
      <c r="H9" s="386" t="n"/>
      <c r="I9" s="386" t="n"/>
      <c r="J9" s="386" t="n"/>
      <c r="K9" s="386" t="n"/>
      <c r="L9" s="386" t="n"/>
      <c r="M9" s="386" t="n"/>
      <c r="N9" s="386" t="n"/>
      <c r="O9" s="386" t="n"/>
      <c r="P9" s="386" t="n"/>
      <c r="Q9" s="386" t="n"/>
      <c r="R9" s="386" t="n"/>
      <c r="S9" s="386" t="n"/>
      <c r="T9" s="386" t="n"/>
      <c r="U9" s="386" t="n"/>
      <c r="V9" s="386" t="n"/>
      <c r="W9" s="386" t="n"/>
      <c r="X9" s="386" t="n"/>
      <c r="Y9" s="386" t="n"/>
      <c r="Z9" s="386" t="n"/>
      <c r="AA9" s="386" t="n"/>
      <c r="AB9" s="386" t="n"/>
      <c r="AC9" s="386" t="n"/>
      <c r="AD9" s="386" t="n"/>
      <c r="AE9" s="386" t="n"/>
      <c r="AF9" s="386" t="n"/>
      <c r="AG9" s="386" t="n"/>
      <c r="AH9" s="386" t="n"/>
      <c r="AI9" s="386" t="n"/>
      <c r="AJ9" s="386" t="n"/>
      <c r="AK9" s="386" t="n"/>
      <c r="AL9" s="386" t="n"/>
    </row>
    <row r="10" ht="3" customHeight="1" s="1883" thickBot="1">
      <c r="B10" s="1885" t="n"/>
      <c r="C10" s="1885" t="n"/>
      <c r="D10" s="1885" t="n"/>
      <c r="E10" s="910" t="n"/>
      <c r="F10" s="910" t="n"/>
      <c r="G10" s="910" t="n"/>
      <c r="H10" s="386" t="n"/>
      <c r="I10" s="386" t="n"/>
      <c r="J10" s="386" t="n"/>
      <c r="K10" s="386" t="n"/>
      <c r="L10" s="386" t="n"/>
      <c r="M10" s="386" t="n"/>
      <c r="N10" s="386" t="n"/>
      <c r="O10" s="386" t="n"/>
      <c r="P10" s="386" t="n"/>
      <c r="Q10" s="386" t="n"/>
      <c r="R10" s="386" t="n"/>
      <c r="S10" s="386" t="n"/>
      <c r="T10" s="386" t="n"/>
      <c r="U10" s="386" t="n"/>
      <c r="V10" s="386" t="n"/>
      <c r="W10" s="386" t="n"/>
      <c r="X10" s="386" t="n"/>
      <c r="Y10" s="386" t="n"/>
      <c r="Z10" s="386" t="n"/>
      <c r="AA10" s="386" t="n"/>
      <c r="AB10" s="386" t="n"/>
      <c r="AC10" s="386" t="n"/>
      <c r="AD10" s="386" t="n"/>
      <c r="AE10" s="386" t="n"/>
      <c r="AF10" s="386" t="n"/>
      <c r="AG10" s="386" t="n"/>
      <c r="AH10" s="386" t="n"/>
      <c r="AI10" s="386" t="n"/>
      <c r="AJ10" s="386" t="n"/>
      <c r="AK10" s="386" t="n"/>
      <c r="AL10" s="386" t="n"/>
    </row>
    <row r="11" ht="3" customHeight="1" s="1883" thickTop="1">
      <c r="B11" s="383" t="n"/>
      <c r="C11" s="383" t="n"/>
      <c r="D11" s="383" t="n"/>
      <c r="E11" s="386" t="n"/>
      <c r="F11" s="386" t="n"/>
      <c r="G11" s="386" t="n"/>
      <c r="H11" s="386" t="n"/>
      <c r="I11" s="386" t="n"/>
      <c r="J11" s="386" t="n"/>
      <c r="K11" s="386" t="n"/>
      <c r="L11" s="386" t="n"/>
      <c r="M11" s="386" t="n"/>
      <c r="N11" s="386" t="n"/>
      <c r="O11" s="386" t="n"/>
      <c r="P11" s="386" t="n"/>
      <c r="Q11" s="386" t="n"/>
      <c r="R11" s="386" t="n"/>
      <c r="S11" s="386" t="n"/>
      <c r="T11" s="386" t="n"/>
      <c r="U11" s="386" t="n"/>
      <c r="V11" s="386" t="n"/>
      <c r="W11" s="386" t="n"/>
      <c r="X11" s="386" t="n"/>
      <c r="Y11" s="386" t="n"/>
      <c r="Z11" s="386" t="n"/>
      <c r="AA11" s="386" t="n"/>
      <c r="AB11" s="386" t="n"/>
      <c r="AC11" s="386" t="n"/>
      <c r="AD11" s="386" t="n"/>
      <c r="AE11" s="386" t="n"/>
      <c r="AF11" s="386" t="n"/>
      <c r="AG11" s="386" t="n"/>
      <c r="AH11" s="386" t="n"/>
      <c r="AI11" s="386" t="n"/>
      <c r="AJ11" s="386" t="n"/>
      <c r="AK11" s="386" t="n"/>
      <c r="AL11" s="386" t="n"/>
    </row>
    <row r="12" ht="15" customHeight="1" s="1883">
      <c r="B12" s="383" t="n"/>
      <c r="C12" s="383" t="n"/>
      <c r="D12" s="383" t="n"/>
      <c r="E12" s="386" t="n"/>
      <c r="F12" s="386" t="n"/>
      <c r="G12" s="386" t="n"/>
      <c r="H12" s="386" t="n"/>
      <c r="I12" s="1508" t="n"/>
      <c r="J12" s="1508" t="n"/>
      <c r="K12" s="1508" t="n"/>
      <c r="L12" s="1508" t="n"/>
      <c r="M12" s="1508" t="n"/>
      <c r="N12" s="1508" t="n"/>
      <c r="O12" s="1508" t="n"/>
      <c r="P12" s="1508" t="n"/>
      <c r="Q12" s="1508" t="n"/>
      <c r="R12" s="1508" t="n"/>
      <c r="S12" s="1508" t="n"/>
      <c r="T12" s="1508" t="n"/>
      <c r="U12" s="1508" t="n"/>
      <c r="V12" s="1508" t="n"/>
      <c r="W12" s="1508" t="n"/>
      <c r="X12" s="1508" t="n"/>
      <c r="Y12" s="1508" t="n"/>
      <c r="Z12" s="1508" t="n"/>
      <c r="AA12" s="1508" t="n"/>
      <c r="AB12" s="1508" t="n"/>
      <c r="AC12" s="1508" t="n"/>
      <c r="AD12" s="1508" t="n"/>
      <c r="AE12" s="1508" t="n"/>
      <c r="AF12" s="1508" t="n"/>
      <c r="AG12" s="1508" t="n"/>
      <c r="AH12" s="1508" t="n"/>
      <c r="AI12" s="1508" t="n"/>
      <c r="AJ12" s="1508" t="n"/>
      <c r="AK12" s="1508" t="n"/>
      <c r="AL12" s="1508" t="n"/>
      <c r="AM12" s="1508" t="n"/>
      <c r="AN12" s="1508" t="n"/>
      <c r="AO12" s="1508" t="n"/>
      <c r="AP12" s="1508" t="n"/>
      <c r="AQ12" s="1508" t="n"/>
      <c r="AR12" s="1508" t="n"/>
      <c r="AS12" s="1508" t="n"/>
      <c r="AT12" s="1508" t="n"/>
      <c r="AU12" s="1508" t="n"/>
      <c r="AV12" s="1508" t="n"/>
      <c r="AW12" s="1508" t="n"/>
      <c r="AX12" s="1508" t="n"/>
      <c r="AY12" s="1508" t="n"/>
      <c r="AZ12" s="1508" t="n"/>
      <c r="BA12" s="1508" t="n"/>
      <c r="BB12" s="1508" t="n"/>
      <c r="BC12" s="1508" t="n"/>
      <c r="BD12" s="1508" t="n"/>
      <c r="BE12" s="1508" t="n"/>
      <c r="BF12" s="1508" t="n"/>
      <c r="BG12" s="1508" t="n"/>
      <c r="BH12" s="1508" t="n"/>
      <c r="BI12" s="1508" t="n"/>
      <c r="BJ12" s="1508" t="n"/>
      <c r="BK12" s="1508" t="n"/>
      <c r="BL12" s="1508" t="n"/>
      <c r="BM12" s="1508" t="n"/>
      <c r="BN12" s="1508" t="n"/>
      <c r="BO12" s="1508" t="n"/>
      <c r="BP12" s="1508" t="n"/>
      <c r="BQ12" s="1508" t="n"/>
      <c r="BR12" s="1508" t="n"/>
      <c r="BS12" s="1508" t="n"/>
      <c r="BT12" s="1508" t="n"/>
      <c r="BU12" s="1508" t="n"/>
      <c r="BV12" s="1508" t="n"/>
      <c r="BW12" s="1508" t="n"/>
      <c r="BX12" s="1508" t="n"/>
      <c r="BY12" s="1508" t="n"/>
      <c r="BZ12" s="1508" t="n"/>
      <c r="CA12" s="1508" t="n"/>
      <c r="CB12" s="1508" t="n"/>
      <c r="CC12" s="1508" t="n"/>
      <c r="CD12" s="1508" t="n"/>
      <c r="CE12" s="1508" t="n"/>
      <c r="CF12" s="1508" t="n"/>
      <c r="CG12" s="1508" t="n"/>
      <c r="CH12" s="1508" t="n"/>
      <c r="CI12" s="1508" t="n"/>
      <c r="CJ12" s="1508" t="n"/>
      <c r="CK12" s="1508" t="n"/>
      <c r="CL12" s="1508" t="n"/>
      <c r="CM12" s="1508" t="n"/>
      <c r="CN12" s="1508" t="n"/>
      <c r="CO12" s="1508" t="n"/>
      <c r="CP12" s="1508" t="n"/>
    </row>
    <row r="13" ht="15" customHeight="1" s="1883">
      <c r="B13" s="383" t="n"/>
      <c r="C13" s="383" t="n"/>
      <c r="D13" s="383" t="n"/>
      <c r="E13" s="386" t="n"/>
      <c r="F13" s="386" t="n"/>
      <c r="G13" s="386" t="n"/>
      <c r="H13" s="386" t="n"/>
      <c r="I13" s="1882" t="inlineStr">
        <is>
          <t>Pre-Launch (Nine Months)</t>
        </is>
      </c>
      <c r="T13" s="386" t="n"/>
      <c r="U13" s="1882" t="inlineStr">
        <is>
          <t>Post-Launch</t>
        </is>
      </c>
      <c r="AI13" s="386" t="n"/>
      <c r="AJ13" s="1882" t="inlineStr">
        <is>
          <t>Post-Launch</t>
        </is>
      </c>
      <c r="AY13" s="1882" t="inlineStr">
        <is>
          <t>Post-Launch</t>
        </is>
      </c>
      <c r="BN13" s="1882" t="inlineStr">
        <is>
          <t>Post-Launch</t>
        </is>
      </c>
      <c r="CC13" s="1882" t="inlineStr">
        <is>
          <t>Post-Launch</t>
        </is>
      </c>
    </row>
    <row r="14" ht="3" customHeight="1" s="1883">
      <c r="B14" s="383" t="n"/>
      <c r="C14" s="383" t="n"/>
      <c r="D14" s="383" t="n"/>
      <c r="E14" s="386" t="n"/>
      <c r="F14" s="386" t="n"/>
      <c r="G14" s="386" t="n"/>
      <c r="H14" s="386" t="n"/>
      <c r="I14" s="646" t="n"/>
      <c r="J14" s="646" t="n"/>
      <c r="K14" s="646" t="n"/>
      <c r="L14" s="646" t="n"/>
      <c r="M14" s="646" t="n"/>
      <c r="N14" s="646" t="n"/>
      <c r="O14" s="646" t="n"/>
      <c r="P14" s="646" t="n"/>
      <c r="Q14" s="646" t="n"/>
      <c r="R14" s="646" t="n"/>
      <c r="S14" s="646" t="n"/>
      <c r="T14" s="386" t="n"/>
      <c r="U14" s="646" t="n"/>
      <c r="V14" s="646" t="n"/>
      <c r="W14" s="646" t="n"/>
      <c r="X14" s="646" t="n"/>
      <c r="Y14" s="646" t="n"/>
      <c r="Z14" s="646" t="n"/>
      <c r="AA14" s="646" t="n"/>
      <c r="AB14" s="646" t="n"/>
      <c r="AC14" s="646" t="n"/>
      <c r="AD14" s="646" t="n"/>
      <c r="AE14" s="646" t="n"/>
      <c r="AF14" s="646" t="n"/>
      <c r="AG14" s="646" t="n"/>
      <c r="AH14" s="646" t="n"/>
      <c r="AI14" s="386" t="n"/>
      <c r="AJ14" s="646" t="n"/>
      <c r="AK14" s="646" t="n"/>
      <c r="AL14" s="646" t="n"/>
      <c r="AM14" s="646" t="n"/>
      <c r="AN14" s="646" t="n"/>
      <c r="AO14" s="646" t="n"/>
      <c r="AP14" s="646" t="n"/>
      <c r="AQ14" s="646" t="n"/>
      <c r="AR14" s="646" t="n"/>
      <c r="AS14" s="646" t="n"/>
      <c r="AT14" s="646" t="n"/>
      <c r="AU14" s="646" t="n"/>
      <c r="AV14" s="646" t="n"/>
      <c r="AW14" s="646" t="n"/>
      <c r="AY14" s="646" t="n"/>
      <c r="AZ14" s="646" t="n"/>
      <c r="BA14" s="646" t="n"/>
      <c r="BB14" s="646" t="n"/>
      <c r="BC14" s="646" t="n"/>
      <c r="BD14" s="646" t="n"/>
      <c r="BE14" s="646" t="n"/>
      <c r="BF14" s="646" t="n"/>
      <c r="BG14" s="646" t="n"/>
      <c r="BH14" s="646" t="n"/>
      <c r="BI14" s="646" t="n"/>
      <c r="BJ14" s="646" t="n"/>
      <c r="BK14" s="646" t="n"/>
      <c r="BL14" s="646" t="n"/>
      <c r="BN14" s="646" t="n"/>
      <c r="BO14" s="646" t="n"/>
      <c r="BP14" s="646" t="n"/>
      <c r="BQ14" s="646" t="n"/>
      <c r="BR14" s="646" t="n"/>
      <c r="BS14" s="646" t="n"/>
      <c r="BT14" s="646" t="n"/>
      <c r="BU14" s="646" t="n"/>
      <c r="BV14" s="646" t="n"/>
      <c r="BW14" s="646" t="n"/>
      <c r="BX14" s="646" t="n"/>
      <c r="BY14" s="646" t="n"/>
      <c r="BZ14" s="646" t="n"/>
      <c r="CA14" s="646" t="n"/>
      <c r="CC14" s="646" t="n"/>
      <c r="CD14" s="646" t="n"/>
      <c r="CE14" s="646" t="n"/>
      <c r="CF14" s="646" t="n"/>
      <c r="CG14" s="646" t="n"/>
      <c r="CH14" s="646" t="n"/>
      <c r="CI14" s="646" t="n"/>
      <c r="CJ14" s="646" t="n"/>
      <c r="CK14" s="646" t="n"/>
      <c r="CL14" s="646" t="n"/>
      <c r="CM14" s="646" t="n"/>
      <c r="CN14" s="646" t="n"/>
      <c r="CO14" s="646" t="n"/>
      <c r="CP14" s="646" t="n"/>
    </row>
    <row r="15" ht="3" customHeight="1" s="1883">
      <c r="B15" s="383" t="n"/>
      <c r="C15" s="383" t="n"/>
      <c r="D15" s="383" t="n"/>
      <c r="E15" s="386" t="n"/>
      <c r="F15" s="386" t="n"/>
      <c r="G15" s="386" t="n"/>
      <c r="H15" s="386" t="n"/>
      <c r="I15" s="386" t="n"/>
      <c r="J15" s="386" t="n"/>
      <c r="K15" s="386" t="n"/>
      <c r="L15" s="386" t="n"/>
      <c r="M15" s="386" t="n"/>
      <c r="N15" s="386" t="n"/>
      <c r="O15" s="386" t="n"/>
      <c r="P15" s="386" t="n"/>
      <c r="Q15" s="386" t="n"/>
      <c r="R15" s="386" t="n"/>
      <c r="S15" s="386" t="n"/>
      <c r="T15" s="386" t="n"/>
      <c r="U15" s="386" t="n"/>
      <c r="V15" s="386" t="n"/>
      <c r="W15" s="386" t="n"/>
      <c r="X15" s="386" t="n"/>
      <c r="Y15" s="386" t="n"/>
      <c r="Z15" s="386" t="n"/>
      <c r="AA15" s="386" t="n"/>
      <c r="AB15" s="386" t="n"/>
      <c r="AC15" s="386" t="n"/>
      <c r="AD15" s="386" t="n"/>
      <c r="AE15" s="386" t="n"/>
      <c r="AF15" s="386" t="n"/>
      <c r="AG15" s="386" t="n"/>
      <c r="AH15" s="386" t="n"/>
      <c r="AI15" s="386" t="n"/>
      <c r="AJ15" s="386" t="n"/>
      <c r="AK15" s="386" t="n"/>
      <c r="AL15" s="386" t="n"/>
      <c r="AM15" s="386" t="n"/>
      <c r="AN15" s="386" t="n"/>
      <c r="AO15" s="386" t="n"/>
      <c r="AP15" s="386" t="n"/>
      <c r="AQ15" s="386" t="n"/>
      <c r="AR15" s="386" t="n"/>
      <c r="AS15" s="386" t="n"/>
      <c r="AT15" s="386" t="n"/>
      <c r="AU15" s="386" t="n"/>
      <c r="AV15" s="386" t="n"/>
      <c r="AW15" s="386" t="n"/>
      <c r="AY15" s="386" t="n"/>
      <c r="AZ15" s="386" t="n"/>
      <c r="BA15" s="386" t="n"/>
      <c r="BB15" s="386" t="n"/>
      <c r="BC15" s="386" t="n"/>
      <c r="BD15" s="386" t="n"/>
      <c r="BE15" s="386" t="n"/>
      <c r="BF15" s="386" t="n"/>
      <c r="BG15" s="386" t="n"/>
      <c r="BH15" s="386" t="n"/>
      <c r="BI15" s="386" t="n"/>
      <c r="BJ15" s="386" t="n"/>
      <c r="BK15" s="386" t="n"/>
      <c r="BL15" s="386" t="n"/>
      <c r="BN15" s="386" t="n"/>
      <c r="BO15" s="386" t="n"/>
      <c r="BP15" s="386" t="n"/>
      <c r="BQ15" s="386" t="n"/>
      <c r="BR15" s="386" t="n"/>
      <c r="BS15" s="386" t="n"/>
      <c r="BT15" s="386" t="n"/>
      <c r="BU15" s="386" t="n"/>
      <c r="BV15" s="386" t="n"/>
      <c r="BW15" s="386" t="n"/>
      <c r="BX15" s="386" t="n"/>
      <c r="BY15" s="386" t="n"/>
      <c r="BZ15" s="386" t="n"/>
      <c r="CA15" s="386" t="n"/>
      <c r="CC15" s="386" t="n"/>
      <c r="CD15" s="386" t="n"/>
      <c r="CE15" s="386" t="n"/>
      <c r="CF15" s="386" t="n"/>
      <c r="CG15" s="386" t="n"/>
      <c r="CH15" s="386" t="n"/>
      <c r="CI15" s="386" t="n"/>
      <c r="CJ15" s="386" t="n"/>
      <c r="CK15" s="386" t="n"/>
      <c r="CL15" s="386" t="n"/>
      <c r="CM15" s="386" t="n"/>
      <c r="CN15" s="386" t="n"/>
      <c r="CO15" s="386" t="n"/>
      <c r="CP15" s="386" t="n"/>
    </row>
    <row r="16" ht="15" customHeight="1" s="1883">
      <c r="B16" s="383" t="n"/>
      <c r="C16" s="383" t="n"/>
      <c r="D16" s="383" t="n"/>
      <c r="E16" s="386" t="n"/>
      <c r="F16" s="386" t="n"/>
      <c r="G16" s="386" t="n"/>
      <c r="H16" s="386" t="n"/>
      <c r="I16" s="386" t="inlineStr">
        <is>
          <t>Month</t>
        </is>
      </c>
      <c r="J16" s="386" t="inlineStr">
        <is>
          <t>Month</t>
        </is>
      </c>
      <c r="K16" s="386" t="inlineStr">
        <is>
          <t>Month</t>
        </is>
      </c>
      <c r="L16" s="386" t="inlineStr">
        <is>
          <t>Month</t>
        </is>
      </c>
      <c r="M16" s="386" t="inlineStr">
        <is>
          <t>Month</t>
        </is>
      </c>
      <c r="N16" s="386" t="inlineStr">
        <is>
          <t>Month</t>
        </is>
      </c>
      <c r="O16" s="386" t="inlineStr">
        <is>
          <t>Month</t>
        </is>
      </c>
      <c r="P16" s="386" t="inlineStr">
        <is>
          <t>Month</t>
        </is>
      </c>
      <c r="Q16" s="386" t="inlineStr">
        <is>
          <t>Month</t>
        </is>
      </c>
      <c r="R16" s="386" t="n"/>
      <c r="S16" s="386" t="inlineStr">
        <is>
          <t>Total</t>
        </is>
      </c>
      <c r="T16" s="386" t="n"/>
      <c r="U16" s="386" t="inlineStr">
        <is>
          <t>Month</t>
        </is>
      </c>
      <c r="V16" s="386" t="inlineStr">
        <is>
          <t>Month</t>
        </is>
      </c>
      <c r="W16" s="386" t="inlineStr">
        <is>
          <t>Month</t>
        </is>
      </c>
      <c r="X16" s="386" t="inlineStr">
        <is>
          <t>Month</t>
        </is>
      </c>
      <c r="Y16" s="386" t="inlineStr">
        <is>
          <t>Month</t>
        </is>
      </c>
      <c r="Z16" s="386" t="inlineStr">
        <is>
          <t>Month</t>
        </is>
      </c>
      <c r="AA16" s="386" t="inlineStr">
        <is>
          <t>Month</t>
        </is>
      </c>
      <c r="AB16" s="386" t="inlineStr">
        <is>
          <t>Month</t>
        </is>
      </c>
      <c r="AC16" s="386" t="inlineStr">
        <is>
          <t>Month</t>
        </is>
      </c>
      <c r="AD16" s="386" t="inlineStr">
        <is>
          <t>Month</t>
        </is>
      </c>
      <c r="AE16" s="386" t="inlineStr">
        <is>
          <t>Month</t>
        </is>
      </c>
      <c r="AF16" s="386" t="inlineStr">
        <is>
          <t>Month</t>
        </is>
      </c>
      <c r="AG16" s="386" t="n"/>
      <c r="AH16" s="386" t="inlineStr">
        <is>
          <t>Total</t>
        </is>
      </c>
      <c r="AI16" s="386" t="n"/>
      <c r="AJ16" s="386" t="inlineStr">
        <is>
          <t>Month</t>
        </is>
      </c>
      <c r="AK16" s="386" t="inlineStr">
        <is>
          <t>Month</t>
        </is>
      </c>
      <c r="AL16" s="386" t="inlineStr">
        <is>
          <t>Month</t>
        </is>
      </c>
      <c r="AM16" s="386" t="inlineStr">
        <is>
          <t>Month</t>
        </is>
      </c>
      <c r="AN16" s="386" t="inlineStr">
        <is>
          <t>Month</t>
        </is>
      </c>
      <c r="AO16" s="386" t="inlineStr">
        <is>
          <t>Month</t>
        </is>
      </c>
      <c r="AP16" s="386" t="inlineStr">
        <is>
          <t>Month</t>
        </is>
      </c>
      <c r="AQ16" s="386" t="inlineStr">
        <is>
          <t>Month</t>
        </is>
      </c>
      <c r="AR16" s="386" t="inlineStr">
        <is>
          <t>Month</t>
        </is>
      </c>
      <c r="AS16" s="386" t="inlineStr">
        <is>
          <t>Month</t>
        </is>
      </c>
      <c r="AT16" s="386" t="inlineStr">
        <is>
          <t>Month</t>
        </is>
      </c>
      <c r="AU16" s="386" t="inlineStr">
        <is>
          <t>Month</t>
        </is>
      </c>
      <c r="AV16" s="386" t="n"/>
      <c r="AW16" s="386" t="inlineStr">
        <is>
          <t>Total</t>
        </is>
      </c>
      <c r="AY16" s="386" t="inlineStr">
        <is>
          <t>Month</t>
        </is>
      </c>
      <c r="AZ16" s="386" t="inlineStr">
        <is>
          <t>Month</t>
        </is>
      </c>
      <c r="BA16" s="386" t="inlineStr">
        <is>
          <t>Month</t>
        </is>
      </c>
      <c r="BB16" s="386" t="inlineStr">
        <is>
          <t>Month</t>
        </is>
      </c>
      <c r="BC16" s="386" t="inlineStr">
        <is>
          <t>Month</t>
        </is>
      </c>
      <c r="BD16" s="386" t="inlineStr">
        <is>
          <t>Month</t>
        </is>
      </c>
      <c r="BE16" s="386" t="inlineStr">
        <is>
          <t>Month</t>
        </is>
      </c>
      <c r="BF16" s="386" t="inlineStr">
        <is>
          <t>Month</t>
        </is>
      </c>
      <c r="BG16" s="386" t="inlineStr">
        <is>
          <t>Month</t>
        </is>
      </c>
      <c r="BH16" s="386" t="inlineStr">
        <is>
          <t>Month</t>
        </is>
      </c>
      <c r="BI16" s="386" t="inlineStr">
        <is>
          <t>Month</t>
        </is>
      </c>
      <c r="BJ16" s="386" t="inlineStr">
        <is>
          <t>Month</t>
        </is>
      </c>
      <c r="BK16" s="386" t="n"/>
      <c r="BL16" s="386" t="inlineStr">
        <is>
          <t>Total</t>
        </is>
      </c>
      <c r="BN16" s="386" t="inlineStr">
        <is>
          <t>Month</t>
        </is>
      </c>
      <c r="BO16" s="386" t="inlineStr">
        <is>
          <t>Month</t>
        </is>
      </c>
      <c r="BP16" s="386" t="inlineStr">
        <is>
          <t>Month</t>
        </is>
      </c>
      <c r="BQ16" s="386" t="inlineStr">
        <is>
          <t>Month</t>
        </is>
      </c>
      <c r="BR16" s="386" t="inlineStr">
        <is>
          <t>Month</t>
        </is>
      </c>
      <c r="BS16" s="386" t="inlineStr">
        <is>
          <t>Month</t>
        </is>
      </c>
      <c r="BT16" s="386" t="inlineStr">
        <is>
          <t>Month</t>
        </is>
      </c>
      <c r="BU16" s="386" t="inlineStr">
        <is>
          <t>Month</t>
        </is>
      </c>
      <c r="BV16" s="386" t="inlineStr">
        <is>
          <t>Month</t>
        </is>
      </c>
      <c r="BW16" s="386" t="inlineStr">
        <is>
          <t>Month</t>
        </is>
      </c>
      <c r="BX16" s="386" t="inlineStr">
        <is>
          <t>Month</t>
        </is>
      </c>
      <c r="BY16" s="386" t="inlineStr">
        <is>
          <t>Month</t>
        </is>
      </c>
      <c r="BZ16" s="386" t="n"/>
      <c r="CA16" s="386" t="inlineStr">
        <is>
          <t>Total</t>
        </is>
      </c>
      <c r="CC16" s="386" t="inlineStr">
        <is>
          <t>Month</t>
        </is>
      </c>
      <c r="CD16" s="386" t="inlineStr">
        <is>
          <t>Month</t>
        </is>
      </c>
      <c r="CE16" s="386" t="inlineStr">
        <is>
          <t>Month</t>
        </is>
      </c>
      <c r="CF16" s="386" t="inlineStr">
        <is>
          <t>Month</t>
        </is>
      </c>
      <c r="CG16" s="386" t="inlineStr">
        <is>
          <t>Month</t>
        </is>
      </c>
      <c r="CH16" s="386" t="inlineStr">
        <is>
          <t>Month</t>
        </is>
      </c>
      <c r="CI16" s="386" t="inlineStr">
        <is>
          <t>Month</t>
        </is>
      </c>
      <c r="CJ16" s="386" t="inlineStr">
        <is>
          <t>Month</t>
        </is>
      </c>
      <c r="CK16" s="386" t="inlineStr">
        <is>
          <t>Month</t>
        </is>
      </c>
      <c r="CL16" s="386" t="inlineStr">
        <is>
          <t>Month</t>
        </is>
      </c>
      <c r="CM16" s="386" t="inlineStr">
        <is>
          <t>Month</t>
        </is>
      </c>
      <c r="CN16" s="386" t="inlineStr">
        <is>
          <t>Month</t>
        </is>
      </c>
      <c r="CO16" s="386" t="n"/>
      <c r="CP16" s="386" t="inlineStr">
        <is>
          <t>Total</t>
        </is>
      </c>
    </row>
    <row r="17" ht="15" customHeight="1" s="1883">
      <c r="B17" s="383" t="n"/>
      <c r="C17" s="383" t="n"/>
      <c r="D17" s="383" t="n"/>
      <c r="E17" s="386" t="n"/>
      <c r="F17" s="386" t="n"/>
      <c r="G17" s="386" t="n"/>
      <c r="H17" s="386" t="n"/>
      <c r="I17" s="456" t="n">
        <v>-9</v>
      </c>
      <c r="J17" s="386">
        <f>((I17)+(1))</f>
        <v/>
      </c>
      <c r="K17" s="386">
        <f>((J17)+(1))</f>
        <v/>
      </c>
      <c r="L17" s="386">
        <f>((K17)+(1))</f>
        <v/>
      </c>
      <c r="M17" s="386">
        <f>((L17)+(1))</f>
        <v/>
      </c>
      <c r="N17" s="386">
        <f>((M17)+(1))</f>
        <v/>
      </c>
      <c r="O17" s="386">
        <f>((N17)+(1))</f>
        <v/>
      </c>
      <c r="P17" s="386">
        <f>((O17)+(1))</f>
        <v/>
      </c>
      <c r="Q17" s="386">
        <f>((P17)+(1))</f>
        <v/>
      </c>
      <c r="R17" s="1882" t="n"/>
      <c r="S17" s="386" t="inlineStr">
        <is>
          <t>Months -9 to -1</t>
        </is>
      </c>
      <c r="T17" s="386" t="n"/>
      <c r="U17" s="386" t="n">
        <v>1</v>
      </c>
      <c r="V17" s="386">
        <f>((U17)+(1))</f>
        <v/>
      </c>
      <c r="W17" s="386">
        <f>((V17)+(1))</f>
        <v/>
      </c>
      <c r="X17" s="386">
        <f>((W17)+(1))</f>
        <v/>
      </c>
      <c r="Y17" s="386">
        <f>((X17)+(1))</f>
        <v/>
      </c>
      <c r="Z17" s="386">
        <f>((Y17)+(1))</f>
        <v/>
      </c>
      <c r="AA17" s="386">
        <f>((Z17)+(1))</f>
        <v/>
      </c>
      <c r="AB17" s="386">
        <f>((AA17)+(1))</f>
        <v/>
      </c>
      <c r="AC17" s="386">
        <f>((AB17)+(1))</f>
        <v/>
      </c>
      <c r="AD17" s="386">
        <f>((AC17)+(1))</f>
        <v/>
      </c>
      <c r="AE17" s="386">
        <f>((AD17)+(1))</f>
        <v/>
      </c>
      <c r="AF17" s="386">
        <f>((AE17)+(1))</f>
        <v/>
      </c>
      <c r="AG17" s="386" t="n"/>
      <c r="AH17" s="386" t="inlineStr">
        <is>
          <t>Months 1 - 12</t>
        </is>
      </c>
      <c r="AI17" s="386" t="n"/>
      <c r="AJ17" s="386" t="n">
        <v>13</v>
      </c>
      <c r="AK17" s="386">
        <f>((AJ17)+(1))</f>
        <v/>
      </c>
      <c r="AL17" s="386">
        <f>((AK17)+(1))</f>
        <v/>
      </c>
      <c r="AM17" s="386">
        <f>((AL17)+(1))</f>
        <v/>
      </c>
      <c r="AN17" s="386">
        <f>((AM17)+(1))</f>
        <v/>
      </c>
      <c r="AO17" s="386">
        <f>((AN17)+(1))</f>
        <v/>
      </c>
      <c r="AP17" s="386">
        <f>((AO17)+(1))</f>
        <v/>
      </c>
      <c r="AQ17" s="386">
        <f>((AP17)+(1))</f>
        <v/>
      </c>
      <c r="AR17" s="386">
        <f>((AQ17)+(1))</f>
        <v/>
      </c>
      <c r="AS17" s="386">
        <f>((AR17)+(1))</f>
        <v/>
      </c>
      <c r="AT17" s="386">
        <f>((AS17)+(1))</f>
        <v/>
      </c>
      <c r="AU17" s="386">
        <f>((AT17)+(1))</f>
        <v/>
      </c>
      <c r="AV17" s="386" t="n"/>
      <c r="AW17" s="386" t="inlineStr">
        <is>
          <t>Months 13 - 24</t>
        </is>
      </c>
      <c r="AY17" s="386" t="n">
        <v>25</v>
      </c>
      <c r="AZ17" s="386">
        <f>((AY17)+(1))</f>
        <v/>
      </c>
      <c r="BA17" s="386">
        <f>((AZ17)+(1))</f>
        <v/>
      </c>
      <c r="BB17" s="386">
        <f>((BA17)+(1))</f>
        <v/>
      </c>
      <c r="BC17" s="386">
        <f>((BB17)+(1))</f>
        <v/>
      </c>
      <c r="BD17" s="386">
        <f>((BC17)+(1))</f>
        <v/>
      </c>
      <c r="BE17" s="386">
        <f>((BD17)+(1))</f>
        <v/>
      </c>
      <c r="BF17" s="386">
        <f>((BE17)+(1))</f>
        <v/>
      </c>
      <c r="BG17" s="386">
        <f>((BF17)+(1))</f>
        <v/>
      </c>
      <c r="BH17" s="386">
        <f>((BG17)+(1))</f>
        <v/>
      </c>
      <c r="BI17" s="386">
        <f>((BH17)+(1))</f>
        <v/>
      </c>
      <c r="BJ17" s="386">
        <f>((BI17)+(1))</f>
        <v/>
      </c>
      <c r="BK17" s="386" t="n"/>
      <c r="BL17" s="386" t="inlineStr">
        <is>
          <t>Months 25 - 36</t>
        </is>
      </c>
      <c r="BN17" s="386" t="n">
        <v>37</v>
      </c>
      <c r="BO17" s="386">
        <f>((BN17)+(1))</f>
        <v/>
      </c>
      <c r="BP17" s="386">
        <f>((BO17)+(1))</f>
        <v/>
      </c>
      <c r="BQ17" s="386">
        <f>((BP17)+(1))</f>
        <v/>
      </c>
      <c r="BR17" s="386">
        <f>((BQ17)+(1))</f>
        <v/>
      </c>
      <c r="BS17" s="386">
        <f>((BR17)+(1))</f>
        <v/>
      </c>
      <c r="BT17" s="386">
        <f>((BS17)+(1))</f>
        <v/>
      </c>
      <c r="BU17" s="386">
        <f>((BT17)+(1))</f>
        <v/>
      </c>
      <c r="BV17" s="386">
        <f>((BU17)+(1))</f>
        <v/>
      </c>
      <c r="BW17" s="386">
        <f>((BV17)+(1))</f>
        <v/>
      </c>
      <c r="BX17" s="386">
        <f>((BW17)+(1))</f>
        <v/>
      </c>
      <c r="BY17" s="386">
        <f>((BX17)+(1))</f>
        <v/>
      </c>
      <c r="BZ17" s="386" t="n"/>
      <c r="CA17" s="386" t="inlineStr">
        <is>
          <t>Months 37 - 48</t>
        </is>
      </c>
      <c r="CC17" s="386" t="n">
        <v>49</v>
      </c>
      <c r="CD17" s="386">
        <f>((CC17)+(1))</f>
        <v/>
      </c>
      <c r="CE17" s="386">
        <f>((CD17)+(1))</f>
        <v/>
      </c>
      <c r="CF17" s="386">
        <f>((CE17)+(1))</f>
        <v/>
      </c>
      <c r="CG17" s="386">
        <f>((CF17)+(1))</f>
        <v/>
      </c>
      <c r="CH17" s="386">
        <f>((CG17)+(1))</f>
        <v/>
      </c>
      <c r="CI17" s="386">
        <f>((CH17)+(1))</f>
        <v/>
      </c>
      <c r="CJ17" s="386">
        <f>((CI17)+(1))</f>
        <v/>
      </c>
      <c r="CK17" s="386">
        <f>((CJ17)+(1))</f>
        <v/>
      </c>
      <c r="CL17" s="386">
        <f>((CK17)+(1))</f>
        <v/>
      </c>
      <c r="CM17" s="386">
        <f>((CL17)+(1))</f>
        <v/>
      </c>
      <c r="CN17" s="386">
        <f>((CM17)+(1))</f>
        <v/>
      </c>
      <c r="CO17" s="386" t="n"/>
      <c r="CP17" s="386" t="inlineStr">
        <is>
          <t>Months 49 - 60</t>
        </is>
      </c>
    </row>
    <row r="18" ht="3" customHeight="1" s="1883">
      <c r="B18" s="383" t="n"/>
      <c r="C18" s="383" t="n"/>
      <c r="D18" s="383" t="n"/>
      <c r="E18" s="386" t="n"/>
      <c r="F18" s="386" t="n"/>
      <c r="G18" s="386" t="n"/>
      <c r="H18" s="386" t="n"/>
      <c r="I18" s="646" t="n"/>
      <c r="J18" s="646" t="n"/>
      <c r="K18" s="646" t="n"/>
      <c r="L18" s="646" t="n"/>
      <c r="M18" s="646" t="n"/>
      <c r="N18" s="646" t="n"/>
      <c r="O18" s="646" t="n"/>
      <c r="P18" s="646" t="n"/>
      <c r="Q18" s="646" t="n"/>
      <c r="R18" s="1882" t="n"/>
      <c r="S18" s="646" t="n"/>
      <c r="T18" s="386" t="n"/>
      <c r="U18" s="646" t="n"/>
      <c r="V18" s="646" t="n"/>
      <c r="W18" s="646" t="n"/>
      <c r="X18" s="646" t="n"/>
      <c r="Y18" s="646" t="n"/>
      <c r="Z18" s="646" t="n"/>
      <c r="AA18" s="646" t="n"/>
      <c r="AB18" s="646" t="n"/>
      <c r="AC18" s="646" t="n"/>
      <c r="AD18" s="646" t="n"/>
      <c r="AE18" s="646" t="n"/>
      <c r="AF18" s="646" t="n"/>
      <c r="AG18" s="386" t="n"/>
      <c r="AH18" s="646" t="n"/>
      <c r="AI18" s="386" t="n"/>
      <c r="AJ18" s="646" t="n"/>
      <c r="AK18" s="646" t="n"/>
      <c r="AL18" s="646" t="n"/>
      <c r="AM18" s="646" t="n"/>
      <c r="AN18" s="646" t="n"/>
      <c r="AO18" s="646" t="n"/>
      <c r="AP18" s="646" t="n"/>
      <c r="AQ18" s="646" t="n"/>
      <c r="AR18" s="646" t="n"/>
      <c r="AS18" s="646" t="n"/>
      <c r="AT18" s="646" t="n"/>
      <c r="AU18" s="646" t="n"/>
      <c r="AV18" s="386" t="n"/>
      <c r="AW18" s="646" t="n"/>
      <c r="AY18" s="646" t="n"/>
      <c r="AZ18" s="646" t="n"/>
      <c r="BA18" s="646" t="n"/>
      <c r="BB18" s="646" t="n"/>
      <c r="BC18" s="646" t="n"/>
      <c r="BD18" s="646" t="n"/>
      <c r="BE18" s="646" t="n"/>
      <c r="BF18" s="646" t="n"/>
      <c r="BG18" s="646" t="n"/>
      <c r="BH18" s="646" t="n"/>
      <c r="BI18" s="646" t="n"/>
      <c r="BJ18" s="646" t="n"/>
      <c r="BK18" s="386" t="n"/>
      <c r="BL18" s="646" t="n"/>
      <c r="BN18" s="646" t="n"/>
      <c r="BO18" s="646" t="n"/>
      <c r="BP18" s="646" t="n"/>
      <c r="BQ18" s="646" t="n"/>
      <c r="BR18" s="646" t="n"/>
      <c r="BS18" s="646" t="n"/>
      <c r="BT18" s="646" t="n"/>
      <c r="BU18" s="646" t="n"/>
      <c r="BV18" s="646" t="n"/>
      <c r="BW18" s="646" t="n"/>
      <c r="BX18" s="646" t="n"/>
      <c r="BY18" s="646" t="n"/>
      <c r="BZ18" s="386" t="n"/>
      <c r="CA18" s="646" t="n"/>
      <c r="CC18" s="646" t="n"/>
      <c r="CD18" s="646" t="n"/>
      <c r="CE18" s="646" t="n"/>
      <c r="CF18" s="646" t="n"/>
      <c r="CG18" s="646" t="n"/>
      <c r="CH18" s="646" t="n"/>
      <c r="CI18" s="646" t="n"/>
      <c r="CJ18" s="646" t="n"/>
      <c r="CK18" s="646" t="n"/>
      <c r="CL18" s="646" t="n"/>
      <c r="CM18" s="646" t="n"/>
      <c r="CN18" s="646" t="n"/>
      <c r="CO18" s="386" t="n"/>
      <c r="CP18" s="646" t="n"/>
    </row>
    <row r="19" ht="3" customHeight="1" s="1883">
      <c r="B19" s="383" t="n"/>
      <c r="C19" s="383" t="n"/>
      <c r="D19" s="383" t="n"/>
      <c r="E19" s="386" t="n"/>
      <c r="F19" s="386" t="n"/>
      <c r="G19" s="386" t="n"/>
      <c r="H19" s="386" t="n"/>
      <c r="I19" s="386" t="n"/>
      <c r="J19" s="386" t="n"/>
      <c r="K19" s="386" t="n"/>
      <c r="L19" s="386" t="n"/>
      <c r="M19" s="386" t="n"/>
      <c r="N19" s="386" t="n"/>
      <c r="O19" s="386" t="n"/>
      <c r="P19" s="386" t="n"/>
      <c r="Q19" s="386" t="n"/>
      <c r="R19" s="1882" t="n"/>
      <c r="S19" s="386" t="n"/>
      <c r="T19" s="386" t="n"/>
      <c r="U19" s="386" t="n"/>
      <c r="V19" s="386" t="n"/>
      <c r="W19" s="386" t="n"/>
      <c r="X19" s="386" t="n"/>
      <c r="Y19" s="386" t="n"/>
      <c r="Z19" s="386" t="n"/>
      <c r="AA19" s="386" t="n"/>
      <c r="AB19" s="386" t="n"/>
      <c r="AC19" s="386" t="n"/>
      <c r="AD19" s="386" t="n"/>
      <c r="AE19" s="386" t="n"/>
      <c r="AF19" s="386" t="n"/>
      <c r="AG19" s="386" t="n"/>
      <c r="AH19" s="386" t="n"/>
      <c r="AI19" s="386" t="n"/>
      <c r="AJ19" s="386" t="n"/>
      <c r="AK19" s="386" t="n"/>
      <c r="AL19" s="386" t="n"/>
      <c r="AM19" s="386" t="n"/>
      <c r="AN19" s="386" t="n"/>
      <c r="AO19" s="386" t="n"/>
      <c r="AP19" s="386" t="n"/>
      <c r="AQ19" s="386" t="n"/>
      <c r="AR19" s="386" t="n"/>
      <c r="AS19" s="386" t="n"/>
      <c r="AT19" s="386" t="n"/>
      <c r="AU19" s="386" t="n"/>
      <c r="AV19" s="386" t="n"/>
      <c r="AW19" s="386" t="n"/>
      <c r="AY19" s="386" t="n"/>
      <c r="AZ19" s="386" t="n"/>
      <c r="BA19" s="386" t="n"/>
      <c r="BB19" s="386" t="n"/>
      <c r="BC19" s="386" t="n"/>
      <c r="BD19" s="386" t="n"/>
      <c r="BE19" s="386" t="n"/>
      <c r="BF19" s="386" t="n"/>
      <c r="BG19" s="386" t="n"/>
      <c r="BH19" s="386" t="n"/>
      <c r="BI19" s="386" t="n"/>
      <c r="BJ19" s="386" t="n"/>
      <c r="BK19" s="386" t="n"/>
      <c r="BL19" s="386" t="n"/>
      <c r="BN19" s="386" t="n"/>
      <c r="BO19" s="386" t="n"/>
      <c r="BP19" s="386" t="n"/>
      <c r="BQ19" s="386" t="n"/>
      <c r="BR19" s="386" t="n"/>
      <c r="BS19" s="386" t="n"/>
      <c r="BT19" s="386" t="n"/>
      <c r="BU19" s="386" t="n"/>
      <c r="BV19" s="386" t="n"/>
      <c r="BW19" s="386" t="n"/>
      <c r="BX19" s="386" t="n"/>
      <c r="BY19" s="386" t="n"/>
      <c r="BZ19" s="386" t="n"/>
      <c r="CA19" s="386" t="n"/>
      <c r="CC19" s="386" t="n"/>
      <c r="CD19" s="386" t="n"/>
      <c r="CE19" s="386" t="n"/>
      <c r="CF19" s="386" t="n"/>
      <c r="CG19" s="386" t="n"/>
      <c r="CH19" s="386" t="n"/>
      <c r="CI19" s="386" t="n"/>
      <c r="CJ19" s="386" t="n"/>
      <c r="CK19" s="386" t="n"/>
      <c r="CL19" s="386" t="n"/>
      <c r="CM19" s="386" t="n"/>
      <c r="CN19" s="386" t="n"/>
      <c r="CO19" s="386" t="n"/>
      <c r="CP19" s="386" t="n"/>
    </row>
    <row r="20" ht="15" customHeight="1" s="1883">
      <c r="B20" s="383" t="n"/>
      <c r="C20" s="383" t="n"/>
      <c r="D20" s="383" t="n"/>
      <c r="E20" s="386" t="n"/>
      <c r="F20" s="386" t="n"/>
      <c r="G20" s="386" t="n"/>
      <c r="H20" s="386" t="n"/>
      <c r="I20" s="831" t="n"/>
      <c r="J20" s="831" t="n"/>
      <c r="K20" s="831" t="n"/>
      <c r="L20" s="831" t="n"/>
      <c r="M20" s="831" t="n"/>
      <c r="N20" s="831" t="n"/>
      <c r="O20" s="831" t="n"/>
      <c r="P20" s="831" t="n"/>
      <c r="Q20" s="831" t="n"/>
      <c r="R20" s="1882" t="n"/>
      <c r="S20" s="386" t="n"/>
      <c r="T20" s="386" t="n"/>
      <c r="U20" s="386" t="n"/>
      <c r="V20" s="386" t="n"/>
      <c r="W20" s="386" t="n"/>
      <c r="X20" s="386" t="n"/>
      <c r="Y20" s="386" t="n"/>
      <c r="Z20" s="386" t="n"/>
      <c r="AA20" s="386" t="n"/>
      <c r="AB20" s="386" t="n"/>
      <c r="AC20" s="386" t="n"/>
      <c r="AD20" s="386" t="n"/>
      <c r="AE20" s="386" t="n"/>
      <c r="AF20" s="386" t="n"/>
      <c r="AG20" s="386" t="n"/>
      <c r="AH20" s="386" t="n"/>
      <c r="AI20" s="386" t="n"/>
      <c r="AJ20" s="386" t="n"/>
      <c r="AK20" s="386" t="n"/>
      <c r="AL20" s="386" t="n"/>
      <c r="AM20" s="386" t="n"/>
      <c r="AN20" s="386" t="n"/>
      <c r="AO20" s="386" t="n"/>
      <c r="AP20" s="386" t="n"/>
      <c r="AQ20" s="386" t="n"/>
      <c r="AR20" s="386" t="n"/>
      <c r="AS20" s="386" t="n"/>
      <c r="AT20" s="386" t="n"/>
      <c r="AU20" s="386" t="n"/>
      <c r="AV20" s="386" t="n"/>
      <c r="AW20" s="386" t="n"/>
      <c r="AY20" s="386" t="n"/>
      <c r="AZ20" s="386" t="n"/>
      <c r="BA20" s="386" t="n"/>
      <c r="BB20" s="386" t="n"/>
      <c r="BC20" s="386" t="n"/>
      <c r="BD20" s="386" t="n"/>
      <c r="BE20" s="386" t="n"/>
      <c r="BF20" s="386" t="n"/>
      <c r="BG20" s="386" t="n"/>
      <c r="BH20" s="386" t="n"/>
      <c r="BI20" s="386" t="n"/>
      <c r="BJ20" s="386" t="n"/>
      <c r="BK20" s="386" t="n"/>
      <c r="BL20" s="386" t="n"/>
      <c r="BN20" s="386" t="n"/>
      <c r="BO20" s="386" t="n"/>
      <c r="BP20" s="386" t="n"/>
      <c r="BQ20" s="386" t="n"/>
      <c r="BR20" s="386" t="n"/>
      <c r="BS20" s="386" t="n"/>
      <c r="BT20" s="386" t="n"/>
      <c r="BU20" s="386" t="n"/>
      <c r="BV20" s="386" t="n"/>
      <c r="BW20" s="386" t="n"/>
      <c r="BX20" s="386" t="n"/>
      <c r="BY20" s="386" t="n"/>
      <c r="BZ20" s="386" t="n"/>
      <c r="CA20" s="386" t="n"/>
      <c r="CC20" s="386" t="n"/>
      <c r="CD20" s="386" t="n"/>
      <c r="CE20" s="386" t="n"/>
      <c r="CF20" s="386" t="n"/>
      <c r="CG20" s="386" t="n"/>
      <c r="CH20" s="386" t="n"/>
      <c r="CI20" s="386" t="n"/>
      <c r="CJ20" s="386" t="n"/>
      <c r="CK20" s="386" t="n"/>
      <c r="CL20" s="386" t="n"/>
      <c r="CM20" s="386" t="n"/>
      <c r="CN20" s="386" t="n"/>
      <c r="CO20" s="386" t="n"/>
      <c r="CP20" s="386" t="n"/>
    </row>
    <row r="21" ht="15" customHeight="1" s="1883">
      <c r="B21" s="385" t="inlineStr">
        <is>
          <t>Beginning Balance</t>
        </is>
      </c>
      <c r="C21" s="383" t="n"/>
      <c r="D21" s="383" t="n"/>
      <c r="E21" s="386" t="n"/>
      <c r="F21" s="386" t="n"/>
      <c r="G21" s="386" t="n"/>
      <c r="H21" s="386" t="n"/>
      <c r="I21" s="831" t="n">
        <v>45000000</v>
      </c>
      <c r="J21" s="831">
        <f>(I69)</f>
        <v/>
      </c>
      <c r="K21" s="831">
        <f>(J69)</f>
        <v/>
      </c>
      <c r="L21" s="831">
        <f>(K69)</f>
        <v/>
      </c>
      <c r="M21" s="831">
        <f>(L69)</f>
        <v/>
      </c>
      <c r="N21" s="831">
        <f>(M69)</f>
        <v/>
      </c>
      <c r="O21" s="831">
        <f>(N69)</f>
        <v/>
      </c>
      <c r="P21" s="831">
        <f>(O69)</f>
        <v/>
      </c>
      <c r="Q21" s="831">
        <f>(P69)</f>
        <v/>
      </c>
      <c r="R21" s="386" t="n"/>
      <c r="S21" s="831">
        <f>(I21)</f>
        <v/>
      </c>
      <c r="T21" s="386" t="n"/>
      <c r="U21" s="831">
        <f>(Q69)</f>
        <v/>
      </c>
      <c r="V21" s="831">
        <f>(U69)</f>
        <v/>
      </c>
      <c r="W21" s="831">
        <f>(V69)</f>
        <v/>
      </c>
      <c r="X21" s="831">
        <f>(W69)</f>
        <v/>
      </c>
      <c r="Y21" s="831">
        <f>(X69)</f>
        <v/>
      </c>
      <c r="Z21" s="831">
        <f>(Y69)</f>
        <v/>
      </c>
      <c r="AA21" s="831">
        <f>(Z69)</f>
        <v/>
      </c>
      <c r="AB21" s="831">
        <f>(AA69)</f>
        <v/>
      </c>
      <c r="AC21" s="831">
        <f>(AB69)</f>
        <v/>
      </c>
      <c r="AD21" s="831">
        <f>(AC69)</f>
        <v/>
      </c>
      <c r="AE21" s="831">
        <f>(AD69)</f>
        <v/>
      </c>
      <c r="AF21" s="831">
        <f>(AE69)</f>
        <v/>
      </c>
      <c r="AG21" s="386" t="n"/>
      <c r="AH21" s="831">
        <f>(U21)</f>
        <v/>
      </c>
      <c r="AI21" s="386" t="n"/>
      <c r="AJ21" s="386" t="n"/>
      <c r="AK21" s="386" t="n"/>
      <c r="AL21" s="386" t="n"/>
    </row>
    <row r="22" ht="15" customHeight="1" s="1883">
      <c r="B22" s="383" t="n"/>
      <c r="C22" s="383" t="n"/>
      <c r="D22" s="383" t="n"/>
      <c r="E22" s="386" t="n"/>
      <c r="F22" s="386" t="n"/>
      <c r="G22" s="386" t="n"/>
      <c r="H22" s="386" t="n"/>
      <c r="I22" s="831" t="n"/>
      <c r="J22" s="831" t="n"/>
      <c r="K22" s="831" t="n"/>
      <c r="L22" s="831" t="n"/>
      <c r="M22" s="831" t="n"/>
      <c r="N22" s="831" t="n"/>
      <c r="O22" s="831" t="n"/>
      <c r="P22" s="831" t="n"/>
      <c r="Q22" s="831" t="n"/>
      <c r="R22" s="386" t="n"/>
      <c r="S22" s="386" t="n"/>
      <c r="T22" s="386" t="n"/>
      <c r="U22" s="386" t="n"/>
      <c r="V22" s="386" t="n"/>
      <c r="W22" s="386" t="n"/>
      <c r="X22" s="386" t="n"/>
      <c r="Y22" s="386" t="n"/>
      <c r="Z22" s="386" t="n"/>
      <c r="AA22" s="386" t="n"/>
      <c r="AB22" s="386" t="n"/>
      <c r="AC22" s="386" t="n"/>
      <c r="AD22" s="386" t="n"/>
      <c r="AE22" s="386" t="n"/>
      <c r="AF22" s="386" t="n"/>
      <c r="AG22" s="386" t="n"/>
      <c r="AH22" s="386" t="n"/>
      <c r="AI22" s="386" t="n"/>
      <c r="AJ22" s="386" t="n"/>
      <c r="AK22" s="386" t="n"/>
      <c r="AL22" s="386" t="n"/>
    </row>
    <row r="23" ht="15" customHeight="1" s="1883">
      <c r="B23" s="383" t="n"/>
      <c r="C23" s="383" t="n"/>
      <c r="D23" s="383" t="n"/>
      <c r="E23" s="386" t="n"/>
      <c r="F23" s="386" t="n"/>
      <c r="G23" s="386" t="n"/>
      <c r="H23" s="386" t="n"/>
      <c r="I23" s="831" t="n"/>
      <c r="J23" s="831" t="n"/>
      <c r="K23" s="831" t="n"/>
      <c r="L23" s="831" t="n"/>
      <c r="M23" s="831" t="n"/>
      <c r="N23" s="831" t="n"/>
      <c r="O23" s="831" t="n"/>
      <c r="P23" s="831" t="n"/>
      <c r="Q23" s="831" t="n"/>
      <c r="R23" s="386" t="n"/>
      <c r="S23" s="386" t="n"/>
      <c r="T23" s="386" t="n"/>
      <c r="U23" s="386" t="n"/>
      <c r="V23" s="386" t="n"/>
      <c r="W23" s="386" t="n"/>
      <c r="X23" s="386" t="n"/>
      <c r="Y23" s="386" t="n"/>
      <c r="Z23" s="386" t="n"/>
      <c r="AA23" s="386" t="n"/>
      <c r="AB23" s="386" t="n"/>
      <c r="AC23" s="386" t="n"/>
      <c r="AD23" s="386" t="n"/>
      <c r="AE23" s="386" t="n"/>
      <c r="AF23" s="386" t="n"/>
      <c r="AG23" s="386" t="n"/>
      <c r="AH23" s="386" t="n"/>
      <c r="AI23" s="386" t="n"/>
      <c r="AJ23" s="386" t="n"/>
      <c r="AK23" s="386" t="n"/>
      <c r="AL23" s="386" t="n"/>
    </row>
    <row r="24" ht="15" customHeight="1" s="1883">
      <c r="B24" s="385" t="inlineStr">
        <is>
          <t>Cash Receipts</t>
        </is>
      </c>
      <c r="C24" s="383" t="n"/>
      <c r="D24" s="383" t="n"/>
      <c r="E24" s="386" t="n"/>
      <c r="F24" s="386" t="n"/>
      <c r="G24" s="386" t="n"/>
      <c r="H24" s="386" t="n"/>
      <c r="I24" s="831" t="n"/>
      <c r="J24" s="831" t="n"/>
      <c r="K24" s="831" t="n"/>
      <c r="L24" s="831" t="n"/>
      <c r="M24" s="831" t="n"/>
      <c r="N24" s="831" t="n"/>
      <c r="O24" s="831" t="n"/>
      <c r="P24" s="831" t="n"/>
      <c r="Q24" s="831" t="n"/>
      <c r="R24" s="386" t="n"/>
      <c r="S24" s="386" t="n"/>
      <c r="T24" s="386" t="n"/>
      <c r="U24" s="386" t="n"/>
      <c r="V24" s="386" t="n"/>
      <c r="W24" s="386" t="n"/>
      <c r="X24" s="386" t="n"/>
      <c r="Y24" s="386" t="n"/>
      <c r="Z24" s="386" t="n"/>
      <c r="AA24" s="386" t="n"/>
      <c r="AB24" s="386" t="n"/>
      <c r="AC24" s="386" t="n"/>
      <c r="AD24" s="386" t="n"/>
      <c r="AE24" s="386" t="n"/>
      <c r="AF24" s="386" t="n"/>
      <c r="AG24" s="386" t="n"/>
      <c r="AH24" s="386" t="n"/>
      <c r="AI24" s="386" t="n"/>
      <c r="AJ24" s="386" t="n"/>
      <c r="AK24" s="386" t="n"/>
      <c r="AL24" s="386" t="n"/>
    </row>
    <row r="25" ht="15" customHeight="1" s="1883">
      <c r="B25" s="835" t="inlineStr">
        <is>
          <t>●</t>
        </is>
      </c>
      <c r="C25" s="383" t="inlineStr">
        <is>
          <t>Telephone Sales</t>
        </is>
      </c>
      <c r="D25" s="383" t="n"/>
      <c r="E25" s="386" t="n"/>
      <c r="F25" s="386" t="n"/>
      <c r="G25" s="386" t="n"/>
      <c r="H25" s="386" t="n"/>
      <c r="I25" s="547" t="n">
        <v>0</v>
      </c>
      <c r="J25" s="547" t="n">
        <v>0</v>
      </c>
      <c r="K25" s="547" t="n">
        <v>0</v>
      </c>
      <c r="L25" s="547" t="n">
        <v>0</v>
      </c>
      <c r="M25" s="547" t="n">
        <v>0</v>
      </c>
      <c r="N25" s="547" t="n">
        <v>0</v>
      </c>
      <c r="O25" s="547" t="n">
        <v>0</v>
      </c>
      <c r="P25" s="547" t="n">
        <v>0</v>
      </c>
      <c r="Q25" s="547" t="n">
        <v>0</v>
      </c>
      <c r="R25" s="386" t="n"/>
      <c r="S25" s="831">
        <f>SUM(I25:Q25)</f>
        <v/>
      </c>
      <c r="T25" s="386" t="n"/>
      <c r="U25" s="913">
        <f>'2B. Cash Collections'!X20</f>
        <v/>
      </c>
      <c r="V25" s="547">
        <f>'2B. Cash Collections'!Y20</f>
        <v/>
      </c>
      <c r="W25" s="547">
        <f>'2B. Cash Collections'!Z20</f>
        <v/>
      </c>
      <c r="X25" s="547">
        <f>'2B. Cash Collections'!AA20</f>
        <v/>
      </c>
      <c r="Y25" s="547">
        <f>'2B. Cash Collections'!AB20</f>
        <v/>
      </c>
      <c r="Z25" s="547">
        <f>'2B. Cash Collections'!AC20</f>
        <v/>
      </c>
      <c r="AA25" s="547">
        <f>'2B. Cash Collections'!AD20</f>
        <v/>
      </c>
      <c r="AB25" s="547">
        <f>'2B. Cash Collections'!AE20</f>
        <v/>
      </c>
      <c r="AC25" s="547">
        <f>'2B. Cash Collections'!AF20</f>
        <v/>
      </c>
      <c r="AD25" s="547">
        <f>'2B. Cash Collections'!AG20</f>
        <v/>
      </c>
      <c r="AE25" s="547">
        <f>'2B. Cash Collections'!AH20</f>
        <v/>
      </c>
      <c r="AF25" s="547">
        <f>'2B. Cash Collections'!AI20</f>
        <v/>
      </c>
      <c r="AG25" s="386" t="n"/>
      <c r="AH25" s="494">
        <f>SUM(U25:AF25)</f>
        <v/>
      </c>
      <c r="AI25" s="386" t="n"/>
      <c r="AJ25" s="547">
        <f>'2B. Cash Collections'!AM20</f>
        <v/>
      </c>
      <c r="AK25" s="547">
        <f>'2B. Cash Collections'!AN20</f>
        <v/>
      </c>
      <c r="AL25" s="547">
        <f>'2B. Cash Collections'!AO20</f>
        <v/>
      </c>
      <c r="AM25" s="547">
        <f>'2B. Cash Collections'!AP20</f>
        <v/>
      </c>
      <c r="AN25" s="547">
        <f>'2B. Cash Collections'!AQ20</f>
        <v/>
      </c>
      <c r="AO25" s="547">
        <f>'2B. Cash Collections'!AR20</f>
        <v/>
      </c>
      <c r="AP25" s="547">
        <f>'2B. Cash Collections'!AS20</f>
        <v/>
      </c>
      <c r="AQ25" s="547">
        <f>'2B. Cash Collections'!AT20</f>
        <v/>
      </c>
      <c r="AR25" s="547">
        <f>'2B. Cash Collections'!AU20</f>
        <v/>
      </c>
      <c r="AS25" s="547">
        <f>'2B. Cash Collections'!AV20</f>
        <v/>
      </c>
      <c r="AT25" s="547">
        <f>'2B. Cash Collections'!AW20</f>
        <v/>
      </c>
      <c r="AU25" s="547">
        <f>'2B. Cash Collections'!AX20</f>
        <v/>
      </c>
      <c r="AW25" s="494">
        <f>SUM(AJ25:AU25)</f>
        <v/>
      </c>
      <c r="AY25" s="462">
        <f>'2B. Cash Collections'!BB20</f>
        <v/>
      </c>
      <c r="AZ25" s="462">
        <f>'2B. Cash Collections'!BC20</f>
        <v/>
      </c>
      <c r="BA25" s="462">
        <f>'2B. Cash Collections'!BD20</f>
        <v/>
      </c>
      <c r="BB25" s="462">
        <f>'2B. Cash Collections'!BE20</f>
        <v/>
      </c>
      <c r="BC25" s="462">
        <f>'2B. Cash Collections'!BF20</f>
        <v/>
      </c>
      <c r="BD25" s="462">
        <f>'2B. Cash Collections'!BG20</f>
        <v/>
      </c>
      <c r="BE25" s="462">
        <f>'2B. Cash Collections'!BH20</f>
        <v/>
      </c>
      <c r="BF25" s="462">
        <f>'2B. Cash Collections'!BI20</f>
        <v/>
      </c>
      <c r="BG25" s="462">
        <f>'2B. Cash Collections'!BJ20</f>
        <v/>
      </c>
      <c r="BH25" s="462">
        <f>'2B. Cash Collections'!BK20</f>
        <v/>
      </c>
      <c r="BI25" s="462">
        <f>'2B. Cash Collections'!BL20</f>
        <v/>
      </c>
      <c r="BJ25" s="462">
        <f>'2B. Cash Collections'!BM20</f>
        <v/>
      </c>
      <c r="BL25" s="494">
        <f>SUM(AY25:BJ25)</f>
        <v/>
      </c>
      <c r="BN25" s="462">
        <f>'2B. Cash Collections'!BQ20</f>
        <v/>
      </c>
      <c r="BO25" s="462">
        <f>'2B. Cash Collections'!BR20</f>
        <v/>
      </c>
      <c r="BP25" s="462">
        <f>'2B. Cash Collections'!BS20</f>
        <v/>
      </c>
      <c r="BQ25" s="462">
        <f>'2B. Cash Collections'!BT20</f>
        <v/>
      </c>
      <c r="BR25" s="462">
        <f>'2B. Cash Collections'!BU20</f>
        <v/>
      </c>
      <c r="BS25" s="462">
        <f>'2B. Cash Collections'!BV20</f>
        <v/>
      </c>
      <c r="BT25" s="462">
        <f>'2B. Cash Collections'!BW20</f>
        <v/>
      </c>
      <c r="BU25" s="462">
        <f>'2B. Cash Collections'!BX20</f>
        <v/>
      </c>
      <c r="BV25" s="462">
        <f>'2B. Cash Collections'!BY20</f>
        <v/>
      </c>
      <c r="BW25" s="462">
        <f>'2B. Cash Collections'!BZ20</f>
        <v/>
      </c>
      <c r="BX25" s="462">
        <f>'2B. Cash Collections'!CA20</f>
        <v/>
      </c>
      <c r="BY25" s="462">
        <f>'2B. Cash Collections'!CB20</f>
        <v/>
      </c>
      <c r="CA25" s="494">
        <f>SUM(BN25:BY25)</f>
        <v/>
      </c>
      <c r="CC25" s="462">
        <f>'2B. Cash Collections'!CF20</f>
        <v/>
      </c>
      <c r="CD25" s="462">
        <f>'2B. Cash Collections'!CG20</f>
        <v/>
      </c>
      <c r="CE25" s="462">
        <f>'2B. Cash Collections'!CH20</f>
        <v/>
      </c>
      <c r="CF25" s="462">
        <f>'2B. Cash Collections'!CI20</f>
        <v/>
      </c>
      <c r="CG25" s="462">
        <f>'2B. Cash Collections'!CJ20</f>
        <v/>
      </c>
      <c r="CH25" s="462">
        <f>'2B. Cash Collections'!CK20</f>
        <v/>
      </c>
      <c r="CI25" s="462">
        <f>'2B. Cash Collections'!CL20</f>
        <v/>
      </c>
      <c r="CJ25" s="462">
        <f>'2B. Cash Collections'!CM20</f>
        <v/>
      </c>
      <c r="CK25" s="462">
        <f>'2B. Cash Collections'!CN20</f>
        <v/>
      </c>
      <c r="CL25" s="462">
        <f>'2B. Cash Collections'!CO20</f>
        <v/>
      </c>
      <c r="CM25" s="462">
        <f>'2B. Cash Collections'!CP20</f>
        <v/>
      </c>
      <c r="CN25" s="462">
        <f>'2B. Cash Collections'!CQ20</f>
        <v/>
      </c>
      <c r="CP25" s="494">
        <f>SUM(CC25:CN25)</f>
        <v/>
      </c>
    </row>
    <row r="26" ht="15" customHeight="1" s="1883">
      <c r="B26" s="835" t="inlineStr">
        <is>
          <t>●</t>
        </is>
      </c>
      <c r="C26" s="383" t="inlineStr">
        <is>
          <t>Market Research Services</t>
        </is>
      </c>
      <c r="D26" s="383" t="n"/>
      <c r="E26" s="386" t="n"/>
      <c r="F26" s="386" t="n"/>
      <c r="G26" s="386" t="n"/>
      <c r="H26" s="386" t="n"/>
      <c r="I26" s="547" t="n">
        <v>0</v>
      </c>
      <c r="J26" s="547" t="n">
        <v>0</v>
      </c>
      <c r="K26" s="547" t="n">
        <v>0</v>
      </c>
      <c r="L26" s="547" t="n">
        <v>0</v>
      </c>
      <c r="M26" s="547" t="n">
        <v>0</v>
      </c>
      <c r="N26" s="547" t="n">
        <v>0</v>
      </c>
      <c r="O26" s="547" t="n">
        <v>0</v>
      </c>
      <c r="P26" s="547" t="n">
        <v>0</v>
      </c>
      <c r="Q26" s="547" t="n">
        <v>0</v>
      </c>
      <c r="R26" s="386" t="n"/>
      <c r="S26" s="831">
        <f>SUM(I26:Q26)</f>
        <v/>
      </c>
      <c r="T26" s="386" t="n"/>
      <c r="U26" s="547">
        <f>'2B. Cash Collections'!X31</f>
        <v/>
      </c>
      <c r="V26" s="547">
        <f>'2B. Cash Collections'!Y31</f>
        <v/>
      </c>
      <c r="W26" s="547">
        <f>'2B. Cash Collections'!Z31</f>
        <v/>
      </c>
      <c r="X26" s="547">
        <f>'2B. Cash Collections'!AA31</f>
        <v/>
      </c>
      <c r="Y26" s="547">
        <f>'2B. Cash Collections'!AB31</f>
        <v/>
      </c>
      <c r="Z26" s="547">
        <f>'2B. Cash Collections'!AC31</f>
        <v/>
      </c>
      <c r="AA26" s="547">
        <f>'2B. Cash Collections'!AD31</f>
        <v/>
      </c>
      <c r="AB26" s="547">
        <f>'2B. Cash Collections'!AE31</f>
        <v/>
      </c>
      <c r="AC26" s="547">
        <f>'2B. Cash Collections'!AF31</f>
        <v/>
      </c>
      <c r="AD26" s="547">
        <f>'2B. Cash Collections'!AG31</f>
        <v/>
      </c>
      <c r="AE26" s="547">
        <f>'2B. Cash Collections'!AH31</f>
        <v/>
      </c>
      <c r="AF26" s="547">
        <f>'2B. Cash Collections'!AI31</f>
        <v/>
      </c>
      <c r="AG26" s="386" t="n"/>
      <c r="AH26" s="494">
        <f>SUM(U26:AF26)</f>
        <v/>
      </c>
      <c r="AI26" s="386" t="n"/>
      <c r="AJ26" s="547">
        <f>'2B. Cash Collections'!AM31</f>
        <v/>
      </c>
      <c r="AK26" s="547">
        <f>'2B. Cash Collections'!AN31</f>
        <v/>
      </c>
      <c r="AL26" s="547">
        <f>'2B. Cash Collections'!AO31</f>
        <v/>
      </c>
      <c r="AM26" s="547">
        <f>'2B. Cash Collections'!AP31</f>
        <v/>
      </c>
      <c r="AN26" s="547">
        <f>'2B. Cash Collections'!AQ31</f>
        <v/>
      </c>
      <c r="AO26" s="547">
        <f>'2B. Cash Collections'!AR31</f>
        <v/>
      </c>
      <c r="AP26" s="547">
        <f>'2B. Cash Collections'!AS31</f>
        <v/>
      </c>
      <c r="AQ26" s="547">
        <f>'2B. Cash Collections'!AT31</f>
        <v/>
      </c>
      <c r="AR26" s="547">
        <f>'2B. Cash Collections'!AU31</f>
        <v/>
      </c>
      <c r="AS26" s="547">
        <f>'2B. Cash Collections'!AV31</f>
        <v/>
      </c>
      <c r="AT26" s="547">
        <f>'2B. Cash Collections'!AW31</f>
        <v/>
      </c>
      <c r="AU26" s="547">
        <f>'2B. Cash Collections'!AX31</f>
        <v/>
      </c>
      <c r="AW26" s="494">
        <f>SUM(AJ26:AU26)</f>
        <v/>
      </c>
      <c r="AY26" s="462">
        <f>'2B. Cash Collections'!BB31</f>
        <v/>
      </c>
      <c r="AZ26" s="462">
        <f>'2B. Cash Collections'!BC31</f>
        <v/>
      </c>
      <c r="BA26" s="462">
        <f>'2B. Cash Collections'!BD31</f>
        <v/>
      </c>
      <c r="BB26" s="462">
        <f>'2B. Cash Collections'!BE31</f>
        <v/>
      </c>
      <c r="BC26" s="462">
        <f>'2B. Cash Collections'!BF31</f>
        <v/>
      </c>
      <c r="BD26" s="462">
        <f>'2B. Cash Collections'!BG31</f>
        <v/>
      </c>
      <c r="BE26" s="462">
        <f>'2B. Cash Collections'!BH31</f>
        <v/>
      </c>
      <c r="BF26" s="462">
        <f>'2B. Cash Collections'!BI31</f>
        <v/>
      </c>
      <c r="BG26" s="462">
        <f>'2B. Cash Collections'!BJ31</f>
        <v/>
      </c>
      <c r="BH26" s="462">
        <f>'2B. Cash Collections'!BK31</f>
        <v/>
      </c>
      <c r="BI26" s="462">
        <f>'2B. Cash Collections'!BL31</f>
        <v/>
      </c>
      <c r="BJ26" s="462">
        <f>'2B. Cash Collections'!BM31</f>
        <v/>
      </c>
      <c r="BL26" s="494">
        <f>SUM(AY26:BJ26)</f>
        <v/>
      </c>
      <c r="BN26" s="462">
        <f>'2B. Cash Collections'!BQ31</f>
        <v/>
      </c>
      <c r="BO26" s="462">
        <f>'2B. Cash Collections'!BR31</f>
        <v/>
      </c>
      <c r="BP26" s="462">
        <f>'2B. Cash Collections'!BS31</f>
        <v/>
      </c>
      <c r="BQ26" s="462">
        <f>'2B. Cash Collections'!BT31</f>
        <v/>
      </c>
      <c r="BR26" s="462">
        <f>'2B. Cash Collections'!BU31</f>
        <v/>
      </c>
      <c r="BS26" s="462">
        <f>'2B. Cash Collections'!BV31</f>
        <v/>
      </c>
      <c r="BT26" s="462">
        <f>'2B. Cash Collections'!BW31</f>
        <v/>
      </c>
      <c r="BU26" s="462">
        <f>'2B. Cash Collections'!BX31</f>
        <v/>
      </c>
      <c r="BV26" s="462">
        <f>'2B. Cash Collections'!BY31</f>
        <v/>
      </c>
      <c r="BW26" s="462">
        <f>'2B. Cash Collections'!BZ31</f>
        <v/>
      </c>
      <c r="BX26" s="462">
        <f>'2B. Cash Collections'!CA31</f>
        <v/>
      </c>
      <c r="BY26" s="462">
        <f>'2B. Cash Collections'!CB31</f>
        <v/>
      </c>
      <c r="CA26" s="494">
        <f>SUM(BN26:BY26)</f>
        <v/>
      </c>
      <c r="CC26" s="462">
        <f>'2B. Cash Collections'!CF31</f>
        <v/>
      </c>
      <c r="CD26" s="462">
        <f>'2B. Cash Collections'!CG31</f>
        <v/>
      </c>
      <c r="CE26" s="462">
        <f>'2B. Cash Collections'!CH31</f>
        <v/>
      </c>
      <c r="CF26" s="462">
        <f>'2B. Cash Collections'!CI31</f>
        <v/>
      </c>
      <c r="CG26" s="462">
        <f>'2B. Cash Collections'!CJ31</f>
        <v/>
      </c>
      <c r="CH26" s="462">
        <f>'2B. Cash Collections'!CK31</f>
        <v/>
      </c>
      <c r="CI26" s="462">
        <f>'2B. Cash Collections'!CL31</f>
        <v/>
      </c>
      <c r="CJ26" s="462">
        <f>'2B. Cash Collections'!CM31</f>
        <v/>
      </c>
      <c r="CK26" s="462">
        <f>'2B. Cash Collections'!CN31</f>
        <v/>
      </c>
      <c r="CL26" s="462">
        <f>'2B. Cash Collections'!CO31</f>
        <v/>
      </c>
      <c r="CM26" s="462">
        <f>'2B. Cash Collections'!CP31</f>
        <v/>
      </c>
      <c r="CN26" s="462">
        <f>'2B. Cash Collections'!CQ31</f>
        <v/>
      </c>
      <c r="CP26" s="494">
        <f>SUM(CC26:CN26)</f>
        <v/>
      </c>
    </row>
    <row r="27" ht="15" customHeight="1" s="1883">
      <c r="B27" s="835" t="inlineStr">
        <is>
          <t>●</t>
        </is>
      </c>
      <c r="C27" s="383" t="inlineStr">
        <is>
          <t>Pure Influence</t>
        </is>
      </c>
      <c r="D27" s="383" t="n"/>
      <c r="E27" s="386" t="n"/>
      <c r="F27" s="386" t="n"/>
      <c r="G27" s="386" t="n"/>
      <c r="H27" s="386" t="n"/>
      <c r="I27" s="547">
        <f>('7. Pure Influence'!J21)</f>
        <v/>
      </c>
      <c r="J27" s="547">
        <f>('7. Pure Influence'!K21)</f>
        <v/>
      </c>
      <c r="K27" s="547">
        <f>('7. Pure Influence'!L21)</f>
        <v/>
      </c>
      <c r="L27" s="547">
        <f>('7. Pure Influence'!M21)</f>
        <v/>
      </c>
      <c r="M27" s="547">
        <f>('7. Pure Influence'!N21)</f>
        <v/>
      </c>
      <c r="N27" s="547">
        <f>('7. Pure Influence'!O21)</f>
        <v/>
      </c>
      <c r="O27" s="547">
        <f>('7. Pure Influence'!P21)</f>
        <v/>
      </c>
      <c r="P27" s="547">
        <f>('7. Pure Influence'!Q21)</f>
        <v/>
      </c>
      <c r="Q27" s="547">
        <f>('7. Pure Influence'!R21)</f>
        <v/>
      </c>
      <c r="R27" s="386" t="n"/>
      <c r="S27" s="831">
        <f>SUM(I27:Q27)</f>
        <v/>
      </c>
      <c r="T27" s="386" t="n"/>
      <c r="U27" s="547">
        <f>'7. Pure Influence'!G38</f>
        <v/>
      </c>
      <c r="V27" s="547">
        <f>'7. Pure Influence'!H38</f>
        <v/>
      </c>
      <c r="W27" s="547">
        <f>'7. Pure Influence'!I38</f>
        <v/>
      </c>
      <c r="X27" s="547">
        <f>'7. Pure Influence'!J38</f>
        <v/>
      </c>
      <c r="Y27" s="547">
        <f>'7. Pure Influence'!K38</f>
        <v/>
      </c>
      <c r="Z27" s="547">
        <f>'7. Pure Influence'!L38</f>
        <v/>
      </c>
      <c r="AA27" s="547">
        <f>'7. Pure Influence'!M38</f>
        <v/>
      </c>
      <c r="AB27" s="547">
        <f>'7. Pure Influence'!N38</f>
        <v/>
      </c>
      <c r="AC27" s="547">
        <f>'7. Pure Influence'!O38</f>
        <v/>
      </c>
      <c r="AD27" s="547">
        <f>'7. Pure Influence'!P38</f>
        <v/>
      </c>
      <c r="AE27" s="547">
        <f>'7. Pure Influence'!Q38</f>
        <v/>
      </c>
      <c r="AF27" s="547">
        <f>'7. Pure Influence'!R38</f>
        <v/>
      </c>
      <c r="AG27" s="386" t="n"/>
      <c r="AH27" s="494">
        <f>SUM(U27:AF27)</f>
        <v/>
      </c>
      <c r="AI27" s="386" t="n"/>
      <c r="AJ27" s="547">
        <f>'7. Pure Influence'!G55</f>
        <v/>
      </c>
      <c r="AK27" s="547">
        <f>'7. Pure Influence'!H55</f>
        <v/>
      </c>
      <c r="AL27" s="547">
        <f>'7. Pure Influence'!I55</f>
        <v/>
      </c>
      <c r="AM27" s="547">
        <f>'7. Pure Influence'!J55</f>
        <v/>
      </c>
      <c r="AN27" s="547">
        <f>'7. Pure Influence'!K55</f>
        <v/>
      </c>
      <c r="AO27" s="547">
        <f>'7. Pure Influence'!L55</f>
        <v/>
      </c>
      <c r="AP27" s="547">
        <f>'7. Pure Influence'!M55</f>
        <v/>
      </c>
      <c r="AQ27" s="547">
        <f>'7. Pure Influence'!N55</f>
        <v/>
      </c>
      <c r="AR27" s="547">
        <f>'7. Pure Influence'!O55</f>
        <v/>
      </c>
      <c r="AS27" s="547">
        <f>'7. Pure Influence'!P55</f>
        <v/>
      </c>
      <c r="AT27" s="547">
        <f>'7. Pure Influence'!Q55</f>
        <v/>
      </c>
      <c r="AU27" s="547">
        <f>'7. Pure Influence'!R55</f>
        <v/>
      </c>
      <c r="AW27" s="494">
        <f>SUM(AJ27:AU27)</f>
        <v/>
      </c>
      <c r="AY27" s="462">
        <f>'7. Pure Influence'!G72</f>
        <v/>
      </c>
      <c r="AZ27" s="462">
        <f>'7. Pure Influence'!H72</f>
        <v/>
      </c>
      <c r="BA27" s="462">
        <f>'7. Pure Influence'!I72</f>
        <v/>
      </c>
      <c r="BB27" s="462">
        <f>'7. Pure Influence'!J72</f>
        <v/>
      </c>
      <c r="BC27" s="462">
        <f>'7. Pure Influence'!K72</f>
        <v/>
      </c>
      <c r="BD27" s="462">
        <f>'7. Pure Influence'!L72</f>
        <v/>
      </c>
      <c r="BE27" s="462">
        <f>'7. Pure Influence'!M72</f>
        <v/>
      </c>
      <c r="BF27" s="462">
        <f>'7. Pure Influence'!N72</f>
        <v/>
      </c>
      <c r="BG27" s="462">
        <f>'7. Pure Influence'!O72</f>
        <v/>
      </c>
      <c r="BH27" s="462">
        <f>'7. Pure Influence'!P72</f>
        <v/>
      </c>
      <c r="BI27" s="462">
        <f>'7. Pure Influence'!Q72</f>
        <v/>
      </c>
      <c r="BJ27" s="462">
        <f>'7. Pure Influence'!R72</f>
        <v/>
      </c>
      <c r="BL27" s="494">
        <f>SUM(AY27:BJ27)</f>
        <v/>
      </c>
      <c r="BN27" s="462">
        <f>'7. Pure Influence'!G89</f>
        <v/>
      </c>
      <c r="BO27" s="462">
        <f>'7. Pure Influence'!H89</f>
        <v/>
      </c>
      <c r="BP27" s="462">
        <f>'7. Pure Influence'!I89</f>
        <v/>
      </c>
      <c r="BQ27" s="462">
        <f>'7. Pure Influence'!J89</f>
        <v/>
      </c>
      <c r="BR27" s="462">
        <f>'7. Pure Influence'!K89</f>
        <v/>
      </c>
      <c r="BS27" s="462">
        <f>'7. Pure Influence'!L89</f>
        <v/>
      </c>
      <c r="BT27" s="462">
        <f>'7. Pure Influence'!M89</f>
        <v/>
      </c>
      <c r="BU27" s="462">
        <f>'7. Pure Influence'!N89</f>
        <v/>
      </c>
      <c r="BV27" s="462">
        <f>'7. Pure Influence'!O89</f>
        <v/>
      </c>
      <c r="BW27" s="462">
        <f>'7. Pure Influence'!P89</f>
        <v/>
      </c>
      <c r="BX27" s="462">
        <f>'7. Pure Influence'!Q89</f>
        <v/>
      </c>
      <c r="BY27" s="462">
        <f>'7. Pure Influence'!R89</f>
        <v/>
      </c>
      <c r="CA27" s="494">
        <f>SUM(BN27:BY27)</f>
        <v/>
      </c>
      <c r="CC27" s="462">
        <f>'7. Pure Influence'!G106</f>
        <v/>
      </c>
      <c r="CD27" s="462">
        <f>'7. Pure Influence'!H106</f>
        <v/>
      </c>
      <c r="CE27" s="462">
        <f>'7. Pure Influence'!I106</f>
        <v/>
      </c>
      <c r="CF27" s="462">
        <f>'7. Pure Influence'!J106</f>
        <v/>
      </c>
      <c r="CG27" s="462">
        <f>'7. Pure Influence'!K106</f>
        <v/>
      </c>
      <c r="CH27" s="462">
        <f>'7. Pure Influence'!L106</f>
        <v/>
      </c>
      <c r="CI27" s="462">
        <f>'7. Pure Influence'!M106</f>
        <v/>
      </c>
      <c r="CJ27" s="462">
        <f>'7. Pure Influence'!N106</f>
        <v/>
      </c>
      <c r="CK27" s="462">
        <f>'7. Pure Influence'!O106</f>
        <v/>
      </c>
      <c r="CL27" s="462">
        <f>'7. Pure Influence'!P106</f>
        <v/>
      </c>
      <c r="CM27" s="462">
        <f>'7. Pure Influence'!Q106</f>
        <v/>
      </c>
      <c r="CN27" s="462">
        <f>'7. Pure Influence'!R106</f>
        <v/>
      </c>
      <c r="CP27" s="494">
        <f>SUM(CC27:CN27)</f>
        <v/>
      </c>
    </row>
    <row r="28" ht="15" customHeight="1" s="1883">
      <c r="B28" s="835" t="inlineStr">
        <is>
          <t>●</t>
        </is>
      </c>
      <c r="C28" s="383" t="inlineStr">
        <is>
          <t>Pure Research</t>
        </is>
      </c>
      <c r="D28" s="383" t="n"/>
      <c r="E28" s="386" t="n"/>
      <c r="F28" s="386" t="n"/>
      <c r="G28" s="386" t="n"/>
      <c r="H28" s="386" t="n"/>
      <c r="I28" s="547">
        <f>('8. Pure Research - 1 of 2'!$I$40)</f>
        <v/>
      </c>
      <c r="J28" s="547">
        <f>('8. Pure Research - 1 of 2'!$I$40)</f>
        <v/>
      </c>
      <c r="K28" s="547">
        <f>('8. Pure Research - 1 of 2'!$I$40)</f>
        <v/>
      </c>
      <c r="L28" s="547">
        <f>('8. Pure Research - 1 of 2'!$I$40)</f>
        <v/>
      </c>
      <c r="M28" s="547">
        <f>('8. Pure Research - 1 of 2'!$I$40)</f>
        <v/>
      </c>
      <c r="N28" s="547">
        <f>('8. Pure Research - 1 of 2'!$I$40)</f>
        <v/>
      </c>
      <c r="O28" s="547">
        <f>('8. Pure Research - 1 of 2'!$I$40)</f>
        <v/>
      </c>
      <c r="P28" s="547">
        <f>('8. Pure Research - 1 of 2'!$I$40)</f>
        <v/>
      </c>
      <c r="Q28" s="547">
        <f>('8. Pure Research - 1 of 2'!$I$40)</f>
        <v/>
      </c>
      <c r="R28" s="386" t="n"/>
      <c r="S28" s="831">
        <f>SUM(I28:Q28)</f>
        <v/>
      </c>
      <c r="T28" s="386" t="n"/>
      <c r="U28" s="547">
        <f>'8. Pure Research - 1 of 2'!$N$40</f>
        <v/>
      </c>
      <c r="V28" s="547">
        <f>'8. Pure Research - 1 of 2'!$N$40</f>
        <v/>
      </c>
      <c r="W28" s="547">
        <f>'8. Pure Research - 1 of 2'!$N$40</f>
        <v/>
      </c>
      <c r="X28" s="547">
        <f>'8. Pure Research - 1 of 2'!$N$40</f>
        <v/>
      </c>
      <c r="Y28" s="547">
        <f>'8. Pure Research - 1 of 2'!$N$40</f>
        <v/>
      </c>
      <c r="Z28" s="547">
        <f>'8. Pure Research - 1 of 2'!$N$40</f>
        <v/>
      </c>
      <c r="AA28" s="547">
        <f>'8. Pure Research - 1 of 2'!$N$40</f>
        <v/>
      </c>
      <c r="AB28" s="547">
        <f>'8. Pure Research - 1 of 2'!$N$40</f>
        <v/>
      </c>
      <c r="AC28" s="547">
        <f>'8. Pure Research - 1 of 2'!$N$40</f>
        <v/>
      </c>
      <c r="AD28" s="547">
        <f>'8. Pure Research - 1 of 2'!$N$40</f>
        <v/>
      </c>
      <c r="AE28" s="547">
        <f>'8. Pure Research - 1 of 2'!$N$40</f>
        <v/>
      </c>
      <c r="AF28" s="547">
        <f>'8. Pure Research - 1 of 2'!$N$40</f>
        <v/>
      </c>
      <c r="AG28" s="386" t="n"/>
      <c r="AH28" s="494">
        <f>SUM(U28:AF28)</f>
        <v/>
      </c>
      <c r="AI28" s="386" t="n"/>
      <c r="AJ28" s="547">
        <f>'8. Pure Research - 1 of 2'!$S$40</f>
        <v/>
      </c>
      <c r="AK28" s="547">
        <f>'8. Pure Research - 1 of 2'!$S$40</f>
        <v/>
      </c>
      <c r="AL28" s="547">
        <f>'8. Pure Research - 1 of 2'!$S$40</f>
        <v/>
      </c>
      <c r="AM28" s="547">
        <f>'8. Pure Research - 1 of 2'!$S$40</f>
        <v/>
      </c>
      <c r="AN28" s="547">
        <f>'8. Pure Research - 1 of 2'!$S$40</f>
        <v/>
      </c>
      <c r="AO28" s="547">
        <f>'8. Pure Research - 1 of 2'!$S$40</f>
        <v/>
      </c>
      <c r="AP28" s="547">
        <f>'8. Pure Research - 1 of 2'!$S$40</f>
        <v/>
      </c>
      <c r="AQ28" s="547">
        <f>'8. Pure Research - 1 of 2'!$S$40</f>
        <v/>
      </c>
      <c r="AR28" s="547">
        <f>'8. Pure Research - 1 of 2'!$S$40</f>
        <v/>
      </c>
      <c r="AS28" s="547">
        <f>'8. Pure Research - 1 of 2'!$S$40</f>
        <v/>
      </c>
      <c r="AT28" s="547">
        <f>'8. Pure Research - 1 of 2'!$S$40</f>
        <v/>
      </c>
      <c r="AU28" s="547">
        <f>'8. Pure Research - 1 of 2'!$S$40</f>
        <v/>
      </c>
      <c r="AW28" s="494">
        <f>SUM(AJ28:AU28)</f>
        <v/>
      </c>
      <c r="AY28" s="462">
        <f>'8. Pure Research - 1 of 2'!$X$40</f>
        <v/>
      </c>
      <c r="AZ28" s="462">
        <f>'8. Pure Research - 1 of 2'!$X$40</f>
        <v/>
      </c>
      <c r="BA28" s="462">
        <f>'8. Pure Research - 1 of 2'!$X$40</f>
        <v/>
      </c>
      <c r="BB28" s="462">
        <f>'8. Pure Research - 1 of 2'!$X$40</f>
        <v/>
      </c>
      <c r="BC28" s="462">
        <f>'8. Pure Research - 1 of 2'!$X$40</f>
        <v/>
      </c>
      <c r="BD28" s="462">
        <f>'8. Pure Research - 1 of 2'!$X$40</f>
        <v/>
      </c>
      <c r="BE28" s="462">
        <f>'8. Pure Research - 1 of 2'!$X$40</f>
        <v/>
      </c>
      <c r="BF28" s="462">
        <f>'8. Pure Research - 1 of 2'!$X$40</f>
        <v/>
      </c>
      <c r="BG28" s="462">
        <f>'8. Pure Research - 1 of 2'!$X$40</f>
        <v/>
      </c>
      <c r="BH28" s="462">
        <f>'8. Pure Research - 1 of 2'!$X$40</f>
        <v/>
      </c>
      <c r="BI28" s="462">
        <f>'8. Pure Research - 1 of 2'!$X$40</f>
        <v/>
      </c>
      <c r="BJ28" s="462">
        <f>'8. Pure Research - 1 of 2'!$X$40</f>
        <v/>
      </c>
      <c r="BL28" s="494">
        <f>SUM(AY28:BJ28)</f>
        <v/>
      </c>
      <c r="BN28" s="462">
        <f>'8. Pure Research - 1 of 2'!$AC$40</f>
        <v/>
      </c>
      <c r="BO28" s="462">
        <f>'8. Pure Research - 1 of 2'!$AC$40</f>
        <v/>
      </c>
      <c r="BP28" s="462">
        <f>'8. Pure Research - 1 of 2'!$AC$40</f>
        <v/>
      </c>
      <c r="BQ28" s="462">
        <f>'8. Pure Research - 1 of 2'!$AC$40</f>
        <v/>
      </c>
      <c r="BR28" s="462">
        <f>'8. Pure Research - 1 of 2'!$AC$40</f>
        <v/>
      </c>
      <c r="BS28" s="462">
        <f>'8. Pure Research - 1 of 2'!$AC$40</f>
        <v/>
      </c>
      <c r="BT28" s="462">
        <f>'8. Pure Research - 1 of 2'!$AC$40</f>
        <v/>
      </c>
      <c r="BU28" s="462">
        <f>'8. Pure Research - 1 of 2'!$AC$40</f>
        <v/>
      </c>
      <c r="BV28" s="462">
        <f>'8. Pure Research - 1 of 2'!$AC$40</f>
        <v/>
      </c>
      <c r="BW28" s="462">
        <f>'8. Pure Research - 1 of 2'!$AC$40</f>
        <v/>
      </c>
      <c r="BX28" s="462">
        <f>'8. Pure Research - 1 of 2'!$AC$40</f>
        <v/>
      </c>
      <c r="BY28" s="462">
        <f>'8. Pure Research - 1 of 2'!$AC$40</f>
        <v/>
      </c>
      <c r="CA28" s="494">
        <f>SUM(BN28:BY28)</f>
        <v/>
      </c>
      <c r="CC28" s="462">
        <f>'8. Pure Research - 1 of 2'!$AH$40</f>
        <v/>
      </c>
      <c r="CD28" s="462">
        <f>'8. Pure Research - 1 of 2'!$AH$40</f>
        <v/>
      </c>
      <c r="CE28" s="462">
        <f>'8. Pure Research - 1 of 2'!$AH$40</f>
        <v/>
      </c>
      <c r="CF28" s="462">
        <f>'8. Pure Research - 1 of 2'!$AH$40</f>
        <v/>
      </c>
      <c r="CG28" s="462">
        <f>'8. Pure Research - 1 of 2'!$AH$40</f>
        <v/>
      </c>
      <c r="CH28" s="462">
        <f>'8. Pure Research - 1 of 2'!$AH$40</f>
        <v/>
      </c>
      <c r="CI28" s="462">
        <f>'8. Pure Research - 1 of 2'!$AH$40</f>
        <v/>
      </c>
      <c r="CJ28" s="462">
        <f>'8. Pure Research - 1 of 2'!$AH$40</f>
        <v/>
      </c>
      <c r="CK28" s="462">
        <f>'8. Pure Research - 1 of 2'!$AH$40</f>
        <v/>
      </c>
      <c r="CL28" s="462">
        <f>'8. Pure Research - 1 of 2'!$AH$40</f>
        <v/>
      </c>
      <c r="CM28" s="462">
        <f>'8. Pure Research - 1 of 2'!$AH$40</f>
        <v/>
      </c>
      <c r="CN28" s="462">
        <f>'8. Pure Research - 1 of 2'!$AH$40</f>
        <v/>
      </c>
      <c r="CP28" s="494">
        <f>SUM(CC28:CN28)</f>
        <v/>
      </c>
    </row>
    <row r="29" ht="15" customHeight="1" s="1883">
      <c r="B29" s="835" t="inlineStr">
        <is>
          <t>●</t>
        </is>
      </c>
      <c r="C29" s="383" t="inlineStr">
        <is>
          <t xml:space="preserve">Crowd Funding </t>
        </is>
      </c>
      <c r="D29" s="383" t="n"/>
      <c r="E29" s="386" t="n"/>
      <c r="F29" s="386" t="n"/>
      <c r="G29" s="386" t="n"/>
      <c r="H29" s="386" t="n"/>
      <c r="I29" s="547" t="n">
        <v>0</v>
      </c>
      <c r="J29" s="547" t="n">
        <v>0</v>
      </c>
      <c r="K29" s="547" t="n">
        <v>0</v>
      </c>
      <c r="L29" s="547" t="n">
        <v>0</v>
      </c>
      <c r="M29" s="547" t="n">
        <v>0</v>
      </c>
      <c r="N29" s="547" t="n">
        <v>0</v>
      </c>
      <c r="O29" s="914">
        <f>'2D. Crowd Funding'!G13</f>
        <v/>
      </c>
      <c r="P29" s="547" t="n">
        <v>0</v>
      </c>
      <c r="Q29" s="547" t="n">
        <v>0</v>
      </c>
      <c r="R29" s="386" t="n"/>
      <c r="S29" s="831">
        <f>SUM(I29:Q29)</f>
        <v/>
      </c>
      <c r="T29" s="386" t="n"/>
      <c r="U29" s="547" t="n">
        <v>0</v>
      </c>
      <c r="V29" s="547" t="n">
        <v>0</v>
      </c>
      <c r="W29" s="547" t="n">
        <v>0</v>
      </c>
      <c r="X29" s="547" t="n">
        <v>0</v>
      </c>
      <c r="Y29" s="547" t="n">
        <v>0</v>
      </c>
      <c r="Z29" s="547" t="n">
        <v>0</v>
      </c>
      <c r="AA29" s="547" t="n">
        <v>0</v>
      </c>
      <c r="AB29" s="547" t="n">
        <v>0</v>
      </c>
      <c r="AC29" s="547" t="n">
        <v>0</v>
      </c>
      <c r="AD29" s="547" t="n">
        <v>0</v>
      </c>
      <c r="AE29" s="547" t="n">
        <v>0</v>
      </c>
      <c r="AF29" s="547" t="n">
        <v>0</v>
      </c>
      <c r="AG29" s="831" t="n"/>
      <c r="AH29" s="494">
        <f>SUM(U29:AF29)</f>
        <v/>
      </c>
      <c r="AI29" s="831" t="n"/>
      <c r="AJ29" s="547" t="n">
        <v>0</v>
      </c>
      <c r="AK29" s="547" t="n">
        <v>0</v>
      </c>
      <c r="AL29" s="547" t="n">
        <v>0</v>
      </c>
      <c r="AM29" s="547" t="n">
        <v>0</v>
      </c>
      <c r="AN29" s="547" t="n">
        <v>0</v>
      </c>
      <c r="AO29" s="547" t="n">
        <v>0</v>
      </c>
      <c r="AP29" s="547" t="n">
        <v>0</v>
      </c>
      <c r="AQ29" s="547" t="n">
        <v>0</v>
      </c>
      <c r="AR29" s="547" t="n">
        <v>0</v>
      </c>
      <c r="AS29" s="547" t="n">
        <v>0</v>
      </c>
      <c r="AT29" s="547" t="n">
        <v>0</v>
      </c>
      <c r="AU29" s="547" t="n">
        <v>0</v>
      </c>
      <c r="AV29" s="831" t="n"/>
      <c r="AW29" s="494">
        <f>SUM(AJ29:AU29)</f>
        <v/>
      </c>
      <c r="AX29" s="507" t="n"/>
      <c r="AY29" s="547" t="n">
        <v>0</v>
      </c>
      <c r="AZ29" s="547" t="n">
        <v>0</v>
      </c>
      <c r="BA29" s="547" t="n">
        <v>0</v>
      </c>
      <c r="BB29" s="547" t="n">
        <v>0</v>
      </c>
      <c r="BC29" s="547" t="n">
        <v>0</v>
      </c>
      <c r="BD29" s="547" t="n">
        <v>0</v>
      </c>
      <c r="BE29" s="547" t="n">
        <v>0</v>
      </c>
      <c r="BF29" s="547" t="n">
        <v>0</v>
      </c>
      <c r="BG29" s="547" t="n">
        <v>0</v>
      </c>
      <c r="BH29" s="547" t="n">
        <v>0</v>
      </c>
      <c r="BI29" s="547" t="n">
        <v>0</v>
      </c>
      <c r="BJ29" s="547" t="n">
        <v>0</v>
      </c>
      <c r="BK29" s="831" t="n"/>
      <c r="BL29" s="494">
        <f>SUM(AY29:BJ29)</f>
        <v/>
      </c>
      <c r="BM29" s="507" t="n"/>
      <c r="BN29" s="547" t="n">
        <v>0</v>
      </c>
      <c r="BO29" s="547" t="n">
        <v>0</v>
      </c>
      <c r="BP29" s="547" t="n">
        <v>0</v>
      </c>
      <c r="BQ29" s="547" t="n">
        <v>0</v>
      </c>
      <c r="BR29" s="547" t="n">
        <v>0</v>
      </c>
      <c r="BS29" s="547" t="n">
        <v>0</v>
      </c>
      <c r="BT29" s="547" t="n">
        <v>0</v>
      </c>
      <c r="BU29" s="547" t="n">
        <v>0</v>
      </c>
      <c r="BV29" s="547" t="n">
        <v>0</v>
      </c>
      <c r="BW29" s="547" t="n">
        <v>0</v>
      </c>
      <c r="BX29" s="547" t="n">
        <v>0</v>
      </c>
      <c r="BY29" s="547" t="n">
        <v>0</v>
      </c>
      <c r="BZ29" s="831" t="n"/>
      <c r="CA29" s="494">
        <f>SUM(BN29:BY29)</f>
        <v/>
      </c>
      <c r="CB29" s="507" t="n"/>
      <c r="CC29" s="547" t="n">
        <v>0</v>
      </c>
      <c r="CD29" s="547" t="n">
        <v>0</v>
      </c>
      <c r="CE29" s="547" t="n">
        <v>0</v>
      </c>
      <c r="CF29" s="547" t="n">
        <v>0</v>
      </c>
      <c r="CG29" s="547" t="n">
        <v>0</v>
      </c>
      <c r="CH29" s="547" t="n">
        <v>0</v>
      </c>
      <c r="CI29" s="547" t="n">
        <v>0</v>
      </c>
      <c r="CJ29" s="547" t="n">
        <v>0</v>
      </c>
      <c r="CK29" s="547" t="n">
        <v>0</v>
      </c>
      <c r="CL29" s="547" t="n">
        <v>0</v>
      </c>
      <c r="CM29" s="547" t="n">
        <v>0</v>
      </c>
      <c r="CN29" s="547" t="n">
        <v>0</v>
      </c>
      <c r="CO29" s="831" t="n"/>
      <c r="CP29" s="494">
        <f>SUM(CC29:CN29)</f>
        <v/>
      </c>
    </row>
    <row r="30" ht="15" customHeight="1" s="1883">
      <c r="B30" s="835" t="inlineStr">
        <is>
          <t>●</t>
        </is>
      </c>
      <c r="C30" s="383" t="inlineStr">
        <is>
          <t>VSBLTY</t>
        </is>
      </c>
      <c r="D30" s="383" t="n"/>
      <c r="E30" s="386" t="n"/>
      <c r="F30" s="386" t="n"/>
      <c r="G30" s="386" t="n"/>
      <c r="H30" s="386" t="n"/>
      <c r="I30" s="547">
        <f>'[8]Monthly Projection P&amp;L CF'!$AE$6</f>
        <v/>
      </c>
      <c r="J30" s="547">
        <f>'[8]Monthly Projection P&amp;L CF'!$AF$6</f>
        <v/>
      </c>
      <c r="K30" s="547">
        <f>'[8]Monthly Projection P&amp;L CF'!$AG$6</f>
        <v/>
      </c>
      <c r="L30" s="547">
        <f>'[8]Monthly Projection P&amp;L CF'!$AH$6</f>
        <v/>
      </c>
      <c r="M30" s="547">
        <f>'[8]Monthly Projection P&amp;L CF'!$AI$6</f>
        <v/>
      </c>
      <c r="N30" s="547">
        <f>'[8]Monthly Projection P&amp;L CF'!$AK$6</f>
        <v/>
      </c>
      <c r="O30" s="914">
        <f>'[8]Monthly Projection P&amp;L CF'!$AL$6</f>
        <v/>
      </c>
      <c r="P30" s="547">
        <f>'[8]Monthly Projection P&amp;L CF'!$AM$6</f>
        <v/>
      </c>
      <c r="Q30" s="547">
        <f>'[8]Monthly Projection P&amp;L CF'!$AN$6</f>
        <v/>
      </c>
      <c r="R30" s="386" t="n"/>
      <c r="S30" s="831">
        <f>SUM(I30:Q30)</f>
        <v/>
      </c>
      <c r="T30" s="386" t="n"/>
      <c r="U30" s="547">
        <f>'[8]Monthly Projection P&amp;L CF'!$AO$6</f>
        <v/>
      </c>
      <c r="V30" s="547">
        <f>'[8]Monthly Projection P&amp;L CF'!$AP$6</f>
        <v/>
      </c>
      <c r="W30" s="547">
        <f>'[8]Monthly Projection P&amp;L CF'!$AQ$6</f>
        <v/>
      </c>
      <c r="X30" s="547">
        <f>'[8]Monthly Projection P&amp;L CF'!$AR$6</f>
        <v/>
      </c>
      <c r="Y30" s="547">
        <f>'[8]Monthly Projection P&amp;L CF'!$AS$6</f>
        <v/>
      </c>
      <c r="Z30" s="547">
        <f>'[8]Monthly Projection P&amp;L CF'!$AT$6</f>
        <v/>
      </c>
      <c r="AA30" s="547">
        <f>'[8]Monthly Projection P&amp;L CF'!$AU$6</f>
        <v/>
      </c>
      <c r="AB30" s="547">
        <f>'[8]Monthly Projection P&amp;L CF'!$AV$6</f>
        <v/>
      </c>
      <c r="AC30" s="547">
        <f>'[8]Monthly Projection P&amp;L CF'!$AX$6</f>
        <v/>
      </c>
      <c r="AD30" s="547">
        <f>'[8]Monthly Projection P&amp;L CF'!$AY$6</f>
        <v/>
      </c>
      <c r="AE30" s="547">
        <f>'[8]Monthly Projection P&amp;L CF'!$AZ$6</f>
        <v/>
      </c>
      <c r="AF30" s="547">
        <f>'[8]Monthly Projection P&amp;L CF'!$BA$6</f>
        <v/>
      </c>
      <c r="AG30" s="831" t="n"/>
      <c r="AH30" s="494">
        <f>SUM(U30:AF30)</f>
        <v/>
      </c>
      <c r="AI30" s="831" t="n"/>
      <c r="AJ30" s="547">
        <f>'[8]Monthly Projection P&amp;L CF'!$BB$6</f>
        <v/>
      </c>
      <c r="AK30" s="547">
        <f>'[8]Monthly Projection P&amp;L CF'!$BC$6</f>
        <v/>
      </c>
      <c r="AL30" s="547">
        <f>'[8]Monthly Projection P&amp;L CF'!$BD$6</f>
        <v/>
      </c>
      <c r="AM30" s="547">
        <f>'[8]Monthly Projection P&amp;L CF'!$BE$6</f>
        <v/>
      </c>
      <c r="AN30" s="547">
        <f>'[8]Monthly Projection P&amp;L CF'!$BF$6</f>
        <v/>
      </c>
      <c r="AO30" s="547">
        <f>'[8]Monthly Projection P&amp;L CF'!$BG$6</f>
        <v/>
      </c>
      <c r="AP30" s="547">
        <f>'[8]Monthly Projection P&amp;L CF'!$BH$6</f>
        <v/>
      </c>
      <c r="AQ30" s="547">
        <f>'[8]Monthly Projection P&amp;L CF'!$BI$6</f>
        <v/>
      </c>
      <c r="AR30" s="547">
        <f>AQ30*1.025</f>
        <v/>
      </c>
      <c r="AS30" s="547">
        <f>AR30*1.025</f>
        <v/>
      </c>
      <c r="AT30" s="547">
        <f>AS30*1.025</f>
        <v/>
      </c>
      <c r="AU30" s="547">
        <f>AT30*1.025</f>
        <v/>
      </c>
      <c r="AV30" s="831" t="n"/>
      <c r="AW30" s="494">
        <f>SUM(AJ30:AU30)</f>
        <v/>
      </c>
      <c r="AX30" s="507" t="n"/>
      <c r="AY30" s="547">
        <f>AU30*1.1</f>
        <v/>
      </c>
      <c r="AZ30" s="547">
        <f>AY30*1.1</f>
        <v/>
      </c>
      <c r="BA30" s="547">
        <f>AZ30*1.1</f>
        <v/>
      </c>
      <c r="BB30" s="547">
        <f>BA30*1.1</f>
        <v/>
      </c>
      <c r="BC30" s="547">
        <f>BB30*1.1</f>
        <v/>
      </c>
      <c r="BD30" s="547">
        <f>BC30*1.1</f>
        <v/>
      </c>
      <c r="BE30" s="547">
        <f>BD30*1.1</f>
        <v/>
      </c>
      <c r="BF30" s="547">
        <f>BE30*1.1</f>
        <v/>
      </c>
      <c r="BG30" s="547">
        <f>BF30*1.1</f>
        <v/>
      </c>
      <c r="BH30" s="547">
        <f>BG30*1.1</f>
        <v/>
      </c>
      <c r="BI30" s="547">
        <f>BH30*1.1</f>
        <v/>
      </c>
      <c r="BJ30" s="547">
        <f>BI30*1.1</f>
        <v/>
      </c>
      <c r="BK30" s="831" t="n"/>
      <c r="BL30" s="494">
        <f>SUM(AY30:BJ30)</f>
        <v/>
      </c>
      <c r="BM30" s="507" t="n"/>
      <c r="BN30" s="547">
        <f>BJ30*1.1</f>
        <v/>
      </c>
      <c r="BO30" s="547">
        <f>BN30*1.1</f>
        <v/>
      </c>
      <c r="BP30" s="547">
        <f>BO30*1.1</f>
        <v/>
      </c>
      <c r="BQ30" s="547">
        <f>BP30*1.1</f>
        <v/>
      </c>
      <c r="BR30" s="547">
        <f>BQ30*1.1</f>
        <v/>
      </c>
      <c r="BS30" s="547">
        <f>BR30*1.1</f>
        <v/>
      </c>
      <c r="BT30" s="547">
        <f>BS30*1.1</f>
        <v/>
      </c>
      <c r="BU30" s="547">
        <f>BT30*1.1</f>
        <v/>
      </c>
      <c r="BV30" s="547">
        <f>BU30*1.1</f>
        <v/>
      </c>
      <c r="BW30" s="547">
        <f>BV30*1.1</f>
        <v/>
      </c>
      <c r="BX30" s="547">
        <f>BW30*1.1</f>
        <v/>
      </c>
      <c r="BY30" s="547">
        <f>BX30*1.1</f>
        <v/>
      </c>
      <c r="BZ30" s="831" t="n"/>
      <c r="CA30" s="494">
        <f>SUM(BN30:BY30)</f>
        <v/>
      </c>
      <c r="CB30" s="507" t="n"/>
      <c r="CC30" s="547">
        <f>BY30*1.07</f>
        <v/>
      </c>
      <c r="CD30" s="547">
        <f>CC30*1.07</f>
        <v/>
      </c>
      <c r="CE30" s="547">
        <f>CD30*1.07</f>
        <v/>
      </c>
      <c r="CF30" s="547">
        <f>CE30*1.07</f>
        <v/>
      </c>
      <c r="CG30" s="547">
        <f>CF30*1.07</f>
        <v/>
      </c>
      <c r="CH30" s="547">
        <f>CG30*1.07</f>
        <v/>
      </c>
      <c r="CI30" s="547">
        <f>CH30*1.07</f>
        <v/>
      </c>
      <c r="CJ30" s="547">
        <f>CI30*1.07</f>
        <v/>
      </c>
      <c r="CK30" s="547">
        <f>CJ30*1.07</f>
        <v/>
      </c>
      <c r="CL30" s="547">
        <f>CK30*1.07</f>
        <v/>
      </c>
      <c r="CM30" s="547">
        <f>CL30*1.07</f>
        <v/>
      </c>
      <c r="CN30" s="547">
        <f>CM30*1.07</f>
        <v/>
      </c>
      <c r="CO30" s="831" t="n"/>
      <c r="CP30" s="494">
        <f>SUM(CC30:CN30)</f>
        <v/>
      </c>
    </row>
    <row r="31" ht="15" customHeight="1" s="1883">
      <c r="B31" s="835" t="inlineStr">
        <is>
          <t>●</t>
        </is>
      </c>
      <c r="C31" s="383" t="inlineStr">
        <is>
          <t>Capital Raises</t>
        </is>
      </c>
      <c r="D31" s="383" t="n"/>
      <c r="E31" s="386" t="n"/>
      <c r="F31" s="386" t="n"/>
      <c r="G31" s="386" t="n"/>
      <c r="H31" s="386" t="n"/>
      <c r="I31" s="547" t="n">
        <v>0</v>
      </c>
      <c r="J31" s="547" t="n">
        <v>0</v>
      </c>
      <c r="K31" s="547" t="n">
        <v>0</v>
      </c>
      <c r="L31" s="547" t="n">
        <v>0</v>
      </c>
      <c r="M31" s="547" t="n">
        <v>0</v>
      </c>
      <c r="N31" s="547" t="n">
        <v>0</v>
      </c>
      <c r="O31" s="547" t="n">
        <v>0</v>
      </c>
      <c r="P31" s="547" t="n">
        <v>0</v>
      </c>
      <c r="Q31" s="547" t="n">
        <v>0</v>
      </c>
      <c r="R31" s="386" t="n"/>
      <c r="S31" s="831">
        <f>SUM(I31:Q31)</f>
        <v/>
      </c>
      <c r="T31" s="386" t="n"/>
      <c r="U31" s="547" t="n">
        <v>0</v>
      </c>
      <c r="V31" s="547" t="n">
        <v>43000000</v>
      </c>
      <c r="W31" s="547" t="n">
        <v>0</v>
      </c>
      <c r="X31" s="547" t="n">
        <v>0</v>
      </c>
      <c r="Y31" s="547" t="n">
        <v>0</v>
      </c>
      <c r="Z31" s="914">
        <f>((100000000)/(4))</f>
        <v/>
      </c>
      <c r="AA31" s="914">
        <f>((100000000)/(4))</f>
        <v/>
      </c>
      <c r="AB31" s="914">
        <f>((100000000)/(4))</f>
        <v/>
      </c>
      <c r="AC31" s="914">
        <f>((100000000)/(4))</f>
        <v/>
      </c>
      <c r="AD31" s="547" t="n">
        <v>100000000</v>
      </c>
      <c r="AE31" s="547" t="n">
        <v>0</v>
      </c>
      <c r="AF31" s="547" t="n">
        <v>0</v>
      </c>
      <c r="AG31" s="831" t="n"/>
      <c r="AH31" s="494">
        <f>SUM(U31:AF31)</f>
        <v/>
      </c>
      <c r="AI31" s="831" t="n"/>
      <c r="AJ31" s="907" t="n">
        <v>0</v>
      </c>
      <c r="AK31" s="907" t="n">
        <v>0</v>
      </c>
      <c r="AL31" s="907" t="n">
        <v>0</v>
      </c>
      <c r="AM31" s="907" t="n">
        <v>0</v>
      </c>
      <c r="AN31" s="907" t="n">
        <v>0</v>
      </c>
      <c r="AO31" s="907" t="n">
        <v>0</v>
      </c>
      <c r="AP31" s="907" t="n">
        <v>0</v>
      </c>
      <c r="AQ31" s="907" t="n">
        <v>500000000</v>
      </c>
      <c r="AR31" s="907" t="n">
        <v>0</v>
      </c>
      <c r="AS31" s="907" t="n">
        <v>0</v>
      </c>
      <c r="AT31" s="907" t="n">
        <v>0</v>
      </c>
      <c r="AU31" s="907" t="n">
        <v>0</v>
      </c>
      <c r="AV31" s="908" t="n"/>
      <c r="AW31" s="909">
        <f>SUM(AJ31:AU31)</f>
        <v/>
      </c>
      <c r="AX31" s="507" t="n"/>
      <c r="AY31" s="907" t="n">
        <v>0</v>
      </c>
      <c r="AZ31" s="907" t="n">
        <v>0</v>
      </c>
      <c r="BA31" s="907" t="n">
        <v>0</v>
      </c>
      <c r="BB31" s="907" t="n">
        <v>0</v>
      </c>
      <c r="BC31" s="907" t="n">
        <v>0</v>
      </c>
      <c r="BD31" s="907" t="n">
        <v>0</v>
      </c>
      <c r="BE31" s="907" t="n">
        <v>0</v>
      </c>
      <c r="BF31" s="907" t="n">
        <v>0</v>
      </c>
      <c r="BG31" s="907" t="n">
        <v>0</v>
      </c>
      <c r="BH31" s="907" t="n">
        <v>0</v>
      </c>
      <c r="BI31" s="907" t="n">
        <v>0</v>
      </c>
      <c r="BJ31" s="907" t="n">
        <v>0</v>
      </c>
      <c r="BK31" s="908" t="n"/>
      <c r="BL31" s="909">
        <f>SUM(AY31:BJ31)</f>
        <v/>
      </c>
      <c r="BM31" s="507" t="n"/>
      <c r="BN31" s="907" t="n">
        <v>0</v>
      </c>
      <c r="BO31" s="907" t="n">
        <v>0</v>
      </c>
      <c r="BP31" s="907" t="n">
        <v>0</v>
      </c>
      <c r="BQ31" s="907" t="n">
        <v>0</v>
      </c>
      <c r="BR31" s="907" t="n">
        <v>0</v>
      </c>
      <c r="BS31" s="907" t="n">
        <v>0</v>
      </c>
      <c r="BT31" s="907" t="n">
        <v>0</v>
      </c>
      <c r="BU31" s="907" t="n">
        <v>0</v>
      </c>
      <c r="BV31" s="907" t="n">
        <v>0</v>
      </c>
      <c r="BW31" s="907" t="n">
        <v>0</v>
      </c>
      <c r="BX31" s="907" t="n">
        <v>0</v>
      </c>
      <c r="BY31" s="907" t="n">
        <v>0</v>
      </c>
      <c r="BZ31" s="908" t="n"/>
      <c r="CA31" s="909">
        <f>SUM(BN31:BY31)</f>
        <v/>
      </c>
      <c r="CB31" s="507" t="n"/>
      <c r="CC31" s="907" t="n">
        <v>0</v>
      </c>
      <c r="CD31" s="907" t="n">
        <v>0</v>
      </c>
      <c r="CE31" s="907" t="n">
        <v>0</v>
      </c>
      <c r="CF31" s="907" t="n">
        <v>0</v>
      </c>
      <c r="CG31" s="907" t="n">
        <v>0</v>
      </c>
      <c r="CH31" s="907" t="n">
        <v>0</v>
      </c>
      <c r="CI31" s="907" t="n">
        <v>0</v>
      </c>
      <c r="CJ31" s="907" t="n">
        <v>0</v>
      </c>
      <c r="CK31" s="907" t="n">
        <v>0</v>
      </c>
      <c r="CL31" s="907" t="n">
        <v>0</v>
      </c>
      <c r="CM31" s="907" t="n">
        <v>0</v>
      </c>
      <c r="CN31" s="907" t="n">
        <v>0</v>
      </c>
      <c r="CO31" s="908" t="n"/>
      <c r="CP31" s="909">
        <f>SUM(CC31:CN31)</f>
        <v/>
      </c>
    </row>
    <row r="32" ht="15" customHeight="1" s="1883">
      <c r="B32" s="835" t="inlineStr">
        <is>
          <t>●</t>
        </is>
      </c>
      <c r="C32" s="383" t="inlineStr">
        <is>
          <t>Working Capital Financing - Borrowings</t>
        </is>
      </c>
      <c r="D32" s="383" t="n"/>
      <c r="E32" s="386" t="n"/>
      <c r="F32" s="386" t="n"/>
      <c r="G32" s="386" t="n"/>
      <c r="H32" s="386" t="n"/>
      <c r="I32" s="547" t="n">
        <v>0</v>
      </c>
      <c r="J32" s="547" t="n">
        <v>0</v>
      </c>
      <c r="K32" s="547" t="n">
        <v>0</v>
      </c>
      <c r="L32" s="547" t="n">
        <v>0</v>
      </c>
      <c r="M32" s="547" t="n">
        <v>0</v>
      </c>
      <c r="N32" s="547" t="n">
        <v>0</v>
      </c>
      <c r="O32" s="547" t="n">
        <v>0</v>
      </c>
      <c r="P32" s="547" t="n">
        <v>0</v>
      </c>
      <c r="Q32" s="547" t="n">
        <v>0</v>
      </c>
      <c r="R32" s="386" t="n"/>
      <c r="S32" s="831">
        <f>SUM(I32:R32)</f>
        <v/>
      </c>
      <c r="T32" s="386" t="n"/>
      <c r="U32" s="547" t="n">
        <v>0</v>
      </c>
      <c r="V32" s="547" t="n"/>
      <c r="W32" s="547" t="n">
        <v>0</v>
      </c>
      <c r="X32" s="547" t="n">
        <v>0</v>
      </c>
      <c r="Y32" s="547" t="n">
        <v>0</v>
      </c>
      <c r="Z32" s="547" t="n">
        <v>0</v>
      </c>
      <c r="AA32" s="547" t="n">
        <v>0</v>
      </c>
      <c r="AB32" s="547" t="n">
        <v>0</v>
      </c>
      <c r="AC32" s="547" t="n">
        <v>0</v>
      </c>
      <c r="AD32" s="547" t="n">
        <v>0</v>
      </c>
      <c r="AE32" s="547" t="n">
        <v>0</v>
      </c>
      <c r="AF32" s="547" t="n">
        <v>0</v>
      </c>
      <c r="AG32" s="831" t="n"/>
      <c r="AH32" s="494">
        <f>SUM(U32:AF32)</f>
        <v/>
      </c>
      <c r="AI32" s="831" t="n"/>
      <c r="AJ32" s="547" t="n">
        <v>0</v>
      </c>
      <c r="AK32" s="547" t="n">
        <v>0</v>
      </c>
      <c r="AL32" s="547" t="n">
        <v>0</v>
      </c>
      <c r="AM32" s="547" t="n">
        <v>0</v>
      </c>
      <c r="AN32" s="547" t="n">
        <v>0</v>
      </c>
      <c r="AO32" s="547" t="n">
        <v>0</v>
      </c>
      <c r="AP32" s="547" t="n">
        <v>0</v>
      </c>
      <c r="AQ32" s="547" t="n">
        <v>0</v>
      </c>
      <c r="AR32" s="547" t="n">
        <v>0</v>
      </c>
      <c r="AS32" s="547" t="n">
        <v>0</v>
      </c>
      <c r="AT32" s="547" t="n">
        <v>0</v>
      </c>
      <c r="AU32" s="547" t="n">
        <v>0</v>
      </c>
      <c r="AV32" s="831" t="n"/>
      <c r="AW32" s="494">
        <f>SUM(AJ32:AU32)</f>
        <v/>
      </c>
      <c r="AX32" s="507" t="n"/>
      <c r="AY32" s="507" t="n"/>
      <c r="AZ32" s="507" t="n"/>
      <c r="BA32" s="507" t="n"/>
      <c r="BB32" s="507" t="n"/>
      <c r="BC32" s="507" t="n"/>
      <c r="BD32" s="507" t="n"/>
      <c r="BE32" s="507" t="n"/>
      <c r="BF32" s="507" t="n"/>
      <c r="BG32" s="507" t="n"/>
      <c r="BH32" s="507" t="n"/>
      <c r="BI32" s="507" t="n"/>
      <c r="BJ32" s="507" t="n"/>
      <c r="BK32" s="507" t="n"/>
      <c r="BL32" s="507" t="n"/>
      <c r="BM32" s="507" t="n"/>
      <c r="BN32" s="507" t="n"/>
      <c r="BO32" s="507" t="n"/>
      <c r="BP32" s="507" t="n"/>
      <c r="BQ32" s="507" t="n"/>
      <c r="BR32" s="507" t="n"/>
      <c r="BS32" s="507" t="n"/>
      <c r="BT32" s="507" t="n"/>
      <c r="BU32" s="507" t="n"/>
      <c r="BV32" s="507" t="n"/>
      <c r="BW32" s="507" t="n"/>
      <c r="BX32" s="507" t="n"/>
      <c r="BY32" s="507" t="n"/>
      <c r="BZ32" s="507" t="n"/>
      <c r="CA32" s="507" t="n"/>
      <c r="CB32" s="507" t="n"/>
      <c r="CC32" s="507" t="n"/>
      <c r="CD32" s="507" t="n"/>
      <c r="CE32" s="507" t="n"/>
      <c r="CF32" s="507" t="n"/>
      <c r="CG32" s="507" t="n"/>
      <c r="CH32" s="507" t="n"/>
      <c r="CI32" s="507" t="n"/>
      <c r="CJ32" s="507" t="n"/>
      <c r="CK32" s="507" t="n"/>
      <c r="CL32" s="507" t="n"/>
      <c r="CM32" s="507" t="n"/>
      <c r="CN32" s="507" t="n"/>
      <c r="CO32" s="507" t="n"/>
      <c r="CP32" s="507" t="n"/>
    </row>
    <row r="35" ht="15" customHeight="1" s="1883">
      <c r="B35" s="835" t="n"/>
      <c r="C35" s="383" t="n"/>
      <c r="D35" s="385" t="inlineStr">
        <is>
          <t>Total Cash Disbursements</t>
        </is>
      </c>
      <c r="E35" s="386" t="n"/>
      <c r="F35" s="386" t="n"/>
      <c r="G35" s="386" t="n"/>
      <c r="H35" s="386" t="n"/>
      <c r="I35" s="831">
        <f>SUM(I25:I32)</f>
        <v/>
      </c>
      <c r="J35" s="831">
        <f>SUM(J25:J32)</f>
        <v/>
      </c>
      <c r="K35" s="831">
        <f>SUM(K25:K32)</f>
        <v/>
      </c>
      <c r="L35" s="831">
        <f>SUM(L25:L32)</f>
        <v/>
      </c>
      <c r="M35" s="831">
        <f>SUM(M25:M32)</f>
        <v/>
      </c>
      <c r="N35" s="831">
        <f>SUM(N25:N32)</f>
        <v/>
      </c>
      <c r="O35" s="831">
        <f>SUM(O25:O32)</f>
        <v/>
      </c>
      <c r="P35" s="831">
        <f>SUM(P25:P32)</f>
        <v/>
      </c>
      <c r="Q35" s="831">
        <f>SUM(Q25:Q32)</f>
        <v/>
      </c>
      <c r="R35" s="831" t="n"/>
      <c r="S35" s="831">
        <f>SUM(S25:S32)</f>
        <v/>
      </c>
      <c r="T35" s="386" t="n"/>
      <c r="U35" s="831">
        <f>SUM(U25:U32)</f>
        <v/>
      </c>
      <c r="V35" s="831">
        <f>SUM(V25:V32)</f>
        <v/>
      </c>
      <c r="W35" s="831">
        <f>SUM(W25:W32)</f>
        <v/>
      </c>
      <c r="X35" s="831">
        <f>SUM(X25:X32)</f>
        <v/>
      </c>
      <c r="Y35" s="831">
        <f>SUM(Y25:Y32)</f>
        <v/>
      </c>
      <c r="Z35" s="831">
        <f>SUM(Z25:Z32)</f>
        <v/>
      </c>
      <c r="AA35" s="831">
        <f>SUM(AA25:AA32)</f>
        <v/>
      </c>
      <c r="AB35" s="831">
        <f>SUM(AB25:AB32)</f>
        <v/>
      </c>
      <c r="AC35" s="831">
        <f>SUM(AC25:AC32)</f>
        <v/>
      </c>
      <c r="AD35" s="831">
        <f>SUM(AD25:AD32)</f>
        <v/>
      </c>
      <c r="AE35" s="831">
        <f>SUM(AE25:AE32)</f>
        <v/>
      </c>
      <c r="AF35" s="831">
        <f>SUM(AF25:AF32)</f>
        <v/>
      </c>
      <c r="AG35" s="831" t="n"/>
      <c r="AH35" s="831">
        <f>SUM(AH25:AH32)</f>
        <v/>
      </c>
      <c r="AI35" s="831">
        <f>SUM(AI25:AI32)</f>
        <v/>
      </c>
      <c r="AJ35" s="831">
        <f>SUM(AJ25:AJ32)</f>
        <v/>
      </c>
      <c r="AK35" s="831">
        <f>SUM(AK25:AK32)</f>
        <v/>
      </c>
      <c r="AL35" s="831">
        <f>SUM(AL25:AL32)</f>
        <v/>
      </c>
      <c r="AM35" s="831">
        <f>SUM(AM25:AM32)</f>
        <v/>
      </c>
      <c r="AN35" s="831">
        <f>SUM(AN25:AN32)</f>
        <v/>
      </c>
      <c r="AO35" s="831">
        <f>SUM(AO25:AO32)</f>
        <v/>
      </c>
      <c r="AP35" s="831">
        <f>SUM(AP25:AP32)</f>
        <v/>
      </c>
      <c r="AQ35" s="831">
        <f>SUM(AQ25:AQ32)</f>
        <v/>
      </c>
      <c r="AR35" s="831">
        <f>SUM(AR25:AR32)</f>
        <v/>
      </c>
      <c r="AS35" s="831">
        <f>SUM(AS25:AS32)</f>
        <v/>
      </c>
      <c r="AT35" s="831">
        <f>SUM(AT25:AT32)</f>
        <v/>
      </c>
      <c r="AU35" s="831">
        <f>SUM(AU25:AU32)</f>
        <v/>
      </c>
      <c r="AV35" s="831">
        <f>SUM(AV25:AV32)</f>
        <v/>
      </c>
      <c r="AW35" s="831">
        <f>SUM(AW25:AW32)</f>
        <v/>
      </c>
      <c r="AX35" s="831">
        <f>SUM(AX25:AX32)</f>
        <v/>
      </c>
      <c r="AY35" s="831">
        <f>SUM(AY25:AY32)</f>
        <v/>
      </c>
      <c r="AZ35" s="831">
        <f>SUM(AZ25:AZ32)</f>
        <v/>
      </c>
      <c r="BA35" s="831">
        <f>SUM(BA25:BA32)</f>
        <v/>
      </c>
      <c r="BB35" s="831">
        <f>SUM(BB25:BB32)</f>
        <v/>
      </c>
      <c r="BC35" s="831">
        <f>SUM(BC25:BC32)</f>
        <v/>
      </c>
      <c r="BD35" s="831">
        <f>SUM(BD25:BD32)</f>
        <v/>
      </c>
      <c r="BE35" s="831">
        <f>SUM(BE25:BE32)</f>
        <v/>
      </c>
      <c r="BF35" s="831">
        <f>SUM(BF25:BF32)</f>
        <v/>
      </c>
      <c r="BG35" s="831">
        <f>SUM(BG25:BG32)</f>
        <v/>
      </c>
      <c r="BH35" s="831">
        <f>SUM(BH25:BH32)</f>
        <v/>
      </c>
      <c r="BI35" s="831">
        <f>SUM(BI25:BI32)</f>
        <v/>
      </c>
      <c r="BJ35" s="831">
        <f>SUM(BJ25:BJ32)</f>
        <v/>
      </c>
      <c r="BK35" s="831">
        <f>SUM(BK25:BK32)</f>
        <v/>
      </c>
      <c r="BL35" s="831">
        <f>SUM(BL25:BL32)</f>
        <v/>
      </c>
      <c r="BM35" s="831">
        <f>SUM(BM25:BM32)</f>
        <v/>
      </c>
      <c r="BN35" s="831">
        <f>SUM(BN25:BN32)</f>
        <v/>
      </c>
      <c r="BO35" s="831">
        <f>SUM(BO25:BO32)</f>
        <v/>
      </c>
      <c r="BP35" s="831">
        <f>SUM(BP25:BP32)</f>
        <v/>
      </c>
      <c r="BQ35" s="831">
        <f>SUM(BQ25:BQ32)</f>
        <v/>
      </c>
      <c r="BR35" s="831">
        <f>SUM(BR25:BR32)</f>
        <v/>
      </c>
      <c r="BS35" s="831">
        <f>SUM(BS25:BS32)</f>
        <v/>
      </c>
      <c r="BT35" s="831">
        <f>SUM(BT25:BT32)</f>
        <v/>
      </c>
      <c r="BU35" s="831">
        <f>SUM(BU25:BU32)</f>
        <v/>
      </c>
      <c r="BV35" s="831">
        <f>SUM(BV25:BV32)</f>
        <v/>
      </c>
      <c r="BW35" s="831">
        <f>SUM(BW25:BW32)</f>
        <v/>
      </c>
      <c r="BX35" s="831">
        <f>SUM(BX25:BX32)</f>
        <v/>
      </c>
      <c r="BY35" s="831">
        <f>SUM(BY25:BY32)</f>
        <v/>
      </c>
      <c r="BZ35" s="831">
        <f>SUM(BZ25:BZ32)</f>
        <v/>
      </c>
      <c r="CA35" s="831">
        <f>SUM(CA25:CA32)</f>
        <v/>
      </c>
      <c r="CB35" s="831">
        <f>SUM(CB25:CB32)</f>
        <v/>
      </c>
      <c r="CC35" s="831">
        <f>SUM(CC25:CC32)</f>
        <v/>
      </c>
      <c r="CD35" s="831">
        <f>SUM(CD25:CD32)</f>
        <v/>
      </c>
      <c r="CE35" s="831">
        <f>SUM(CE25:CE32)</f>
        <v/>
      </c>
      <c r="CF35" s="831">
        <f>SUM(CF25:CF32)</f>
        <v/>
      </c>
      <c r="CG35" s="831">
        <f>SUM(CG25:CG32)</f>
        <v/>
      </c>
      <c r="CH35" s="831">
        <f>SUM(CH25:CH32)</f>
        <v/>
      </c>
      <c r="CI35" s="831">
        <f>SUM(CI25:CI32)</f>
        <v/>
      </c>
      <c r="CJ35" s="831">
        <f>SUM(CJ25:CJ32)</f>
        <v/>
      </c>
      <c r="CK35" s="831">
        <f>SUM(CK25:CK32)</f>
        <v/>
      </c>
      <c r="CL35" s="831">
        <f>SUM(CL25:CL32)</f>
        <v/>
      </c>
      <c r="CM35" s="831">
        <f>SUM(CM25:CM32)</f>
        <v/>
      </c>
      <c r="CN35" s="831">
        <f>SUM(CN25:CN32)</f>
        <v/>
      </c>
      <c r="CO35" s="831">
        <f>SUM(CO25:CO32)</f>
        <v/>
      </c>
      <c r="CP35" s="831">
        <f>SUM(CP25:CP32)</f>
        <v/>
      </c>
    </row>
    <row r="36" ht="3" customHeight="1" s="1883">
      <c r="B36" s="835" t="n"/>
      <c r="C36" s="383" t="n"/>
      <c r="D36" s="385" t="n"/>
      <c r="E36" s="386" t="n"/>
      <c r="F36" s="386" t="n"/>
      <c r="G36" s="386" t="n"/>
      <c r="H36" s="386" t="n"/>
      <c r="I36" s="840" t="n"/>
      <c r="J36" s="840" t="n"/>
      <c r="K36" s="840" t="n"/>
      <c r="L36" s="840" t="n"/>
      <c r="M36" s="840" t="n"/>
      <c r="N36" s="840" t="n"/>
      <c r="O36" s="840" t="n"/>
      <c r="P36" s="840" t="n"/>
      <c r="Q36" s="840" t="n"/>
      <c r="R36" s="386" t="n"/>
      <c r="S36" s="840" t="n"/>
      <c r="T36" s="386" t="n"/>
      <c r="U36" s="840" t="n"/>
      <c r="V36" s="840" t="n"/>
      <c r="W36" s="840" t="n"/>
      <c r="X36" s="840" t="n"/>
      <c r="Y36" s="840" t="n"/>
      <c r="Z36" s="840" t="n"/>
      <c r="AA36" s="840" t="n"/>
      <c r="AB36" s="840" t="n"/>
      <c r="AC36" s="840" t="n"/>
      <c r="AD36" s="840" t="n"/>
      <c r="AE36" s="840" t="n"/>
      <c r="AF36" s="840" t="n"/>
      <c r="AG36" s="831" t="n"/>
      <c r="AH36" s="840" t="n"/>
      <c r="AI36" s="831" t="n"/>
      <c r="AJ36" s="831" t="n"/>
      <c r="AK36" s="831" t="n"/>
      <c r="AL36" s="831" t="n"/>
      <c r="AM36" s="507" t="n"/>
      <c r="AN36" s="507" t="n"/>
      <c r="AO36" s="507" t="n"/>
      <c r="AP36" s="507" t="n"/>
      <c r="AQ36" s="507" t="n"/>
      <c r="AR36" s="507" t="n"/>
      <c r="AS36" s="507" t="n"/>
      <c r="AT36" s="507" t="n"/>
      <c r="AU36" s="507" t="n"/>
      <c r="AV36" s="507" t="n"/>
      <c r="AW36" s="507" t="n"/>
      <c r="AX36" s="507" t="n"/>
      <c r="AY36" s="507" t="n"/>
      <c r="AZ36" s="507" t="n"/>
      <c r="BA36" s="507" t="n"/>
      <c r="BB36" s="507" t="n"/>
      <c r="BC36" s="507" t="n"/>
      <c r="BD36" s="507" t="n"/>
      <c r="BE36" s="507" t="n"/>
      <c r="BF36" s="507" t="n"/>
      <c r="BG36" s="507" t="n"/>
      <c r="BH36" s="507" t="n"/>
      <c r="BI36" s="507" t="n"/>
      <c r="BJ36" s="507" t="n"/>
      <c r="BK36" s="507" t="n"/>
      <c r="BL36" s="507" t="n"/>
      <c r="BM36" s="507" t="n"/>
      <c r="BN36" s="507" t="n"/>
      <c r="BO36" s="507" t="n"/>
      <c r="BP36" s="507" t="n"/>
      <c r="BQ36" s="507" t="n"/>
      <c r="BR36" s="507" t="n"/>
      <c r="BS36" s="507" t="n"/>
      <c r="BT36" s="507" t="n"/>
      <c r="BU36" s="507" t="n"/>
      <c r="BV36" s="507" t="n"/>
      <c r="BW36" s="507" t="n"/>
      <c r="BX36" s="507" t="n"/>
      <c r="BY36" s="507" t="n"/>
      <c r="BZ36" s="507" t="n"/>
      <c r="CA36" s="507" t="n"/>
      <c r="CB36" s="507" t="n"/>
      <c r="CC36" s="507" t="n"/>
      <c r="CD36" s="507" t="n"/>
      <c r="CE36" s="507" t="n"/>
      <c r="CF36" s="507" t="n"/>
      <c r="CG36" s="507" t="n"/>
      <c r="CH36" s="507" t="n"/>
      <c r="CI36" s="507" t="n"/>
      <c r="CJ36" s="507" t="n"/>
      <c r="CK36" s="507" t="n"/>
      <c r="CL36" s="507" t="n"/>
      <c r="CM36" s="507" t="n"/>
      <c r="CN36" s="507" t="n"/>
      <c r="CO36" s="507" t="n"/>
      <c r="CP36" s="507" t="n"/>
    </row>
    <row r="37" ht="3" customHeight="1" s="1883">
      <c r="B37" s="835" t="n"/>
      <c r="C37" s="383" t="n"/>
      <c r="D37" s="385" t="n"/>
      <c r="E37" s="386" t="n"/>
      <c r="F37" s="386" t="n"/>
      <c r="G37" s="386" t="n"/>
      <c r="H37" s="386" t="n"/>
      <c r="I37" s="831" t="n"/>
      <c r="J37" s="831" t="n"/>
      <c r="K37" s="831" t="n"/>
      <c r="L37" s="831" t="n"/>
      <c r="M37" s="831" t="n"/>
      <c r="N37" s="831" t="n"/>
      <c r="O37" s="831" t="n"/>
      <c r="P37" s="831" t="n"/>
      <c r="Q37" s="831" t="n"/>
      <c r="R37" s="386" t="n"/>
      <c r="S37" s="831" t="n"/>
      <c r="T37" s="386" t="n"/>
      <c r="U37" s="831" t="n"/>
      <c r="V37" s="831" t="n"/>
      <c r="W37" s="831" t="n"/>
      <c r="X37" s="831" t="n"/>
      <c r="Y37" s="831" t="n"/>
      <c r="Z37" s="831" t="n"/>
      <c r="AA37" s="831" t="n"/>
      <c r="AB37" s="831" t="n"/>
      <c r="AC37" s="831" t="n"/>
      <c r="AD37" s="831" t="n"/>
      <c r="AE37" s="831" t="n"/>
      <c r="AF37" s="831" t="n"/>
      <c r="AG37" s="831" t="n"/>
      <c r="AH37" s="831" t="n"/>
      <c r="AI37" s="831" t="n"/>
      <c r="AJ37" s="831" t="n"/>
      <c r="AK37" s="831" t="n"/>
      <c r="AL37" s="831" t="n"/>
      <c r="AM37" s="507" t="n"/>
      <c r="AN37" s="507" t="n"/>
      <c r="AO37" s="507" t="n"/>
      <c r="AP37" s="507" t="n"/>
      <c r="AQ37" s="507" t="n"/>
      <c r="AR37" s="507" t="n"/>
      <c r="AS37" s="507" t="n"/>
      <c r="AT37" s="507" t="n"/>
      <c r="AU37" s="507" t="n"/>
      <c r="AV37" s="507" t="n"/>
      <c r="AW37" s="507" t="n"/>
      <c r="AX37" s="507" t="n"/>
      <c r="AY37" s="507" t="n"/>
      <c r="AZ37" s="507" t="n"/>
      <c r="BA37" s="507" t="n"/>
      <c r="BB37" s="507" t="n"/>
      <c r="BC37" s="507" t="n"/>
      <c r="BD37" s="507" t="n"/>
      <c r="BE37" s="507" t="n"/>
      <c r="BF37" s="507" t="n"/>
      <c r="BG37" s="507" t="n"/>
      <c r="BH37" s="507" t="n"/>
      <c r="BI37" s="507" t="n"/>
      <c r="BJ37" s="507" t="n"/>
      <c r="BK37" s="507" t="n"/>
      <c r="BL37" s="507" t="n"/>
      <c r="BM37" s="507" t="n"/>
      <c r="BN37" s="507" t="n"/>
      <c r="BO37" s="507" t="n"/>
      <c r="BP37" s="507" t="n"/>
      <c r="BQ37" s="507" t="n"/>
      <c r="BR37" s="507" t="n"/>
      <c r="BS37" s="507" t="n"/>
      <c r="BT37" s="507" t="n"/>
      <c r="BU37" s="507" t="n"/>
      <c r="BV37" s="507" t="n"/>
      <c r="BW37" s="507" t="n"/>
      <c r="BX37" s="507" t="n"/>
      <c r="BY37" s="507" t="n"/>
      <c r="BZ37" s="507" t="n"/>
      <c r="CA37" s="507" t="n"/>
      <c r="CB37" s="507" t="n"/>
      <c r="CC37" s="507" t="n"/>
      <c r="CD37" s="507" t="n"/>
      <c r="CE37" s="507" t="n"/>
      <c r="CF37" s="507" t="n"/>
      <c r="CG37" s="507" t="n"/>
      <c r="CH37" s="507" t="n"/>
      <c r="CI37" s="507" t="n"/>
      <c r="CJ37" s="507" t="n"/>
      <c r="CK37" s="507" t="n"/>
      <c r="CL37" s="507" t="n"/>
      <c r="CM37" s="507" t="n"/>
      <c r="CN37" s="507" t="n"/>
      <c r="CO37" s="507" t="n"/>
      <c r="CP37" s="507" t="n"/>
    </row>
    <row r="38" ht="15" customHeight="1" s="1883">
      <c r="B38" s="835" t="n"/>
      <c r="C38" s="383" t="n"/>
      <c r="D38" s="383" t="n"/>
      <c r="E38" s="386" t="n"/>
      <c r="F38" s="386" t="n"/>
      <c r="G38" s="386" t="n"/>
      <c r="H38" s="386" t="n"/>
      <c r="I38" s="831" t="n"/>
      <c r="J38" s="831" t="n"/>
      <c r="K38" s="831" t="n"/>
      <c r="L38" s="831" t="n"/>
      <c r="M38" s="831" t="n"/>
      <c r="N38" s="831" t="n"/>
      <c r="O38" s="831" t="n"/>
      <c r="P38" s="831" t="n"/>
      <c r="Q38" s="831" t="n"/>
      <c r="R38" s="386" t="n"/>
      <c r="S38" s="831" t="n"/>
      <c r="T38" s="386" t="n"/>
      <c r="U38" s="831" t="n"/>
      <c r="V38" s="831" t="n"/>
      <c r="W38" s="831" t="n"/>
      <c r="X38" s="831" t="n"/>
      <c r="Y38" s="831" t="n"/>
      <c r="Z38" s="831" t="n"/>
      <c r="AA38" s="831" t="n"/>
      <c r="AB38" s="831" t="n"/>
      <c r="AC38" s="831" t="n"/>
      <c r="AD38" s="831" t="n"/>
      <c r="AE38" s="831" t="n"/>
      <c r="AF38" s="831" t="n"/>
      <c r="AG38" s="831" t="n"/>
      <c r="AH38" s="831" t="n"/>
      <c r="AI38" s="831" t="n"/>
      <c r="AJ38" s="831" t="n"/>
      <c r="AK38" s="831" t="n"/>
      <c r="AL38" s="831" t="n"/>
      <c r="AM38" s="507" t="n"/>
      <c r="AN38" s="507" t="n"/>
      <c r="AO38" s="507" t="n"/>
      <c r="AP38" s="507" t="n"/>
      <c r="AQ38" s="507" t="n"/>
      <c r="AR38" s="507" t="n"/>
      <c r="AS38" s="507" t="n"/>
      <c r="AT38" s="507" t="n"/>
      <c r="AU38" s="507" t="n"/>
      <c r="AV38" s="507" t="n"/>
      <c r="AW38" s="507" t="n"/>
      <c r="AX38" s="507" t="n"/>
      <c r="AY38" s="507" t="n"/>
      <c r="AZ38" s="507" t="n"/>
      <c r="BA38" s="507" t="n"/>
      <c r="BB38" s="507" t="n"/>
      <c r="BC38" s="507" t="n"/>
      <c r="BD38" s="507" t="n"/>
      <c r="BE38" s="507" t="n"/>
      <c r="BF38" s="507" t="n"/>
      <c r="BG38" s="507" t="n"/>
      <c r="BH38" s="507" t="n"/>
      <c r="BI38" s="507" t="n"/>
      <c r="BJ38" s="507" t="n"/>
      <c r="BK38" s="507" t="n"/>
      <c r="BL38" s="507" t="n"/>
      <c r="BM38" s="507" t="n"/>
      <c r="BN38" s="507" t="n"/>
      <c r="BO38" s="507" t="n"/>
      <c r="BP38" s="507" t="n"/>
      <c r="BQ38" s="507" t="n"/>
      <c r="BR38" s="507" t="n"/>
      <c r="BS38" s="507" t="n"/>
      <c r="BT38" s="507" t="n"/>
      <c r="BU38" s="507" t="n"/>
      <c r="BV38" s="507" t="n"/>
      <c r="BW38" s="507" t="n"/>
      <c r="BX38" s="507" t="n"/>
      <c r="BY38" s="507" t="n"/>
      <c r="BZ38" s="507" t="n"/>
      <c r="CA38" s="507" t="n"/>
      <c r="CB38" s="507" t="n"/>
      <c r="CC38" s="507" t="n"/>
      <c r="CD38" s="507" t="n"/>
      <c r="CE38" s="507" t="n"/>
      <c r="CF38" s="507" t="n"/>
      <c r="CG38" s="507" t="n"/>
      <c r="CH38" s="507" t="n"/>
      <c r="CI38" s="507" t="n"/>
      <c r="CJ38" s="507" t="n"/>
      <c r="CK38" s="507" t="n"/>
      <c r="CL38" s="507" t="n"/>
      <c r="CM38" s="507" t="n"/>
      <c r="CN38" s="507" t="n"/>
      <c r="CO38" s="507" t="n"/>
      <c r="CP38" s="507" t="n"/>
    </row>
    <row r="39" ht="15" customHeight="1" s="1883">
      <c r="B39" s="383" t="n"/>
      <c r="C39" s="383" t="n"/>
      <c r="D39" s="383" t="n"/>
      <c r="E39" s="386" t="n"/>
      <c r="F39" s="386" t="n"/>
      <c r="G39" s="386" t="n"/>
      <c r="H39" s="386" t="n"/>
      <c r="I39" s="831" t="n"/>
      <c r="J39" s="831" t="n"/>
      <c r="K39" s="831" t="n"/>
      <c r="L39" s="831" t="n"/>
      <c r="M39" s="831" t="n"/>
      <c r="N39" s="831" t="n"/>
      <c r="O39" s="831" t="n"/>
      <c r="P39" s="831" t="n"/>
      <c r="Q39" s="831" t="n"/>
      <c r="R39" s="386" t="n"/>
      <c r="S39" s="386" t="n"/>
      <c r="T39" s="386" t="n"/>
      <c r="U39" s="831" t="n"/>
      <c r="V39" s="831" t="n"/>
      <c r="W39" s="831" t="n"/>
      <c r="X39" s="831" t="n"/>
      <c r="Y39" s="831" t="n"/>
      <c r="Z39" s="831" t="n"/>
      <c r="AA39" s="831" t="n"/>
      <c r="AB39" s="831" t="n"/>
      <c r="AC39" s="831" t="n"/>
      <c r="AD39" s="831" t="n"/>
      <c r="AE39" s="831" t="n"/>
      <c r="AF39" s="831" t="n"/>
      <c r="AG39" s="831" t="n"/>
      <c r="AH39" s="831" t="n"/>
      <c r="AI39" s="831" t="n"/>
      <c r="AJ39" s="831" t="n"/>
      <c r="AK39" s="831" t="n"/>
      <c r="AL39" s="831" t="n"/>
      <c r="AM39" s="507" t="n"/>
      <c r="AN39" s="507" t="n"/>
      <c r="AO39" s="507" t="n"/>
      <c r="AP39" s="507" t="n"/>
      <c r="AQ39" s="507" t="n"/>
      <c r="AR39" s="507" t="n"/>
      <c r="AS39" s="507" t="n"/>
      <c r="AT39" s="507" t="n"/>
      <c r="AU39" s="507" t="n"/>
      <c r="AV39" s="507" t="n"/>
      <c r="AW39" s="507" t="n"/>
      <c r="AX39" s="507" t="n"/>
      <c r="AY39" s="507" t="n"/>
      <c r="AZ39" s="507" t="n"/>
      <c r="BA39" s="507" t="n"/>
      <c r="BB39" s="507" t="n"/>
      <c r="BC39" s="507" t="n"/>
      <c r="BD39" s="507" t="n"/>
      <c r="BE39" s="507" t="n"/>
      <c r="BF39" s="507" t="n"/>
      <c r="BG39" s="507" t="n"/>
      <c r="BH39" s="507" t="n"/>
      <c r="BI39" s="507" t="n"/>
      <c r="BJ39" s="507" t="n"/>
      <c r="BK39" s="507" t="n"/>
      <c r="BL39" s="507" t="n"/>
      <c r="BM39" s="507" t="n"/>
      <c r="BN39" s="507" t="n"/>
      <c r="BO39" s="507" t="n"/>
      <c r="BP39" s="507" t="n"/>
      <c r="BQ39" s="507" t="n"/>
      <c r="BR39" s="507" t="n"/>
      <c r="BS39" s="507" t="n"/>
      <c r="BT39" s="507" t="n"/>
      <c r="BU39" s="507" t="n"/>
      <c r="BV39" s="507" t="n"/>
      <c r="BW39" s="507" t="n"/>
      <c r="BX39" s="507" t="n"/>
      <c r="BY39" s="507" t="n"/>
      <c r="BZ39" s="507" t="n"/>
      <c r="CA39" s="507" t="n"/>
      <c r="CB39" s="507" t="n"/>
      <c r="CC39" s="507" t="n"/>
      <c r="CD39" s="507" t="n"/>
      <c r="CE39" s="507" t="n"/>
      <c r="CF39" s="507" t="n"/>
      <c r="CG39" s="507" t="n"/>
      <c r="CH39" s="507" t="n"/>
      <c r="CI39" s="507" t="n"/>
      <c r="CJ39" s="507" t="n"/>
      <c r="CK39" s="507" t="n"/>
      <c r="CL39" s="507" t="n"/>
      <c r="CM39" s="507" t="n"/>
      <c r="CN39" s="507" t="n"/>
      <c r="CO39" s="507" t="n"/>
      <c r="CP39" s="507" t="n"/>
    </row>
    <row r="40" ht="15" customHeight="1" s="1883">
      <c r="B40" s="385" t="inlineStr">
        <is>
          <t>Cash Disbursements</t>
        </is>
      </c>
      <c r="C40" s="383" t="n"/>
      <c r="D40" s="383" t="n"/>
      <c r="E40" s="386" t="n"/>
      <c r="F40" s="386" t="n"/>
      <c r="G40" s="386" t="n"/>
      <c r="H40" s="386" t="n"/>
      <c r="I40" s="831" t="n"/>
      <c r="J40" s="831" t="n"/>
      <c r="K40" s="831" t="n"/>
      <c r="L40" s="831" t="n"/>
      <c r="M40" s="831" t="n"/>
      <c r="N40" s="831" t="n"/>
      <c r="O40" s="831" t="n"/>
      <c r="P40" s="831" t="n"/>
      <c r="Q40" s="831" t="n"/>
      <c r="R40" s="386" t="n"/>
      <c r="S40" s="386" t="n"/>
      <c r="T40" s="386" t="n"/>
      <c r="U40" s="831" t="n"/>
      <c r="V40" s="831" t="n"/>
      <c r="W40" s="831" t="n"/>
      <c r="X40" s="831" t="n"/>
      <c r="Y40" s="831" t="n"/>
      <c r="Z40" s="831" t="n"/>
      <c r="AA40" s="831" t="n"/>
      <c r="AB40" s="831" t="n"/>
      <c r="AC40" s="831" t="n"/>
      <c r="AD40" s="831" t="n"/>
      <c r="AE40" s="831" t="n"/>
      <c r="AF40" s="831" t="n"/>
      <c r="AG40" s="831" t="n"/>
      <c r="AH40" s="831" t="n"/>
      <c r="AI40" s="831" t="n"/>
      <c r="AJ40" s="831" t="n"/>
      <c r="AK40" s="831" t="n"/>
      <c r="AL40" s="831" t="n"/>
      <c r="AM40" s="507" t="n"/>
      <c r="AN40" s="507" t="n"/>
      <c r="AO40" s="507" t="n"/>
      <c r="AP40" s="507" t="n"/>
      <c r="AQ40" s="507" t="n"/>
      <c r="AR40" s="507" t="n"/>
      <c r="AS40" s="507" t="n"/>
      <c r="AT40" s="507" t="n"/>
      <c r="AU40" s="507" t="n"/>
      <c r="AV40" s="507" t="n"/>
      <c r="AW40" s="507" t="n"/>
      <c r="AX40" s="507" t="n"/>
      <c r="AY40" s="507" t="n"/>
      <c r="AZ40" s="507" t="n"/>
      <c r="BA40" s="507" t="n"/>
      <c r="BB40" s="507" t="n"/>
      <c r="BC40" s="507" t="n"/>
      <c r="BD40" s="507" t="n"/>
      <c r="BE40" s="507" t="n"/>
      <c r="BF40" s="507" t="n"/>
      <c r="BG40" s="507" t="n"/>
      <c r="BH40" s="507" t="n"/>
      <c r="BI40" s="507" t="n"/>
      <c r="BJ40" s="507" t="n"/>
      <c r="BK40" s="507" t="n"/>
      <c r="BL40" s="507" t="n"/>
      <c r="BM40" s="507" t="n"/>
      <c r="BN40" s="507" t="n"/>
      <c r="BO40" s="507" t="n"/>
      <c r="BP40" s="507" t="n"/>
      <c r="BQ40" s="507" t="n"/>
      <c r="BR40" s="507" t="n"/>
      <c r="BS40" s="507" t="n"/>
      <c r="BT40" s="507" t="n"/>
      <c r="BU40" s="507" t="n"/>
      <c r="BV40" s="507" t="n"/>
      <c r="BW40" s="507" t="n"/>
      <c r="BX40" s="507" t="n"/>
      <c r="BY40" s="507" t="n"/>
      <c r="BZ40" s="507" t="n"/>
      <c r="CA40" s="507" t="n"/>
      <c r="CB40" s="507" t="n"/>
      <c r="CC40" s="507" t="n"/>
      <c r="CD40" s="507" t="n"/>
      <c r="CE40" s="507" t="n"/>
      <c r="CF40" s="507" t="n"/>
      <c r="CG40" s="507" t="n"/>
      <c r="CH40" s="507" t="n"/>
      <c r="CI40" s="507" t="n"/>
      <c r="CJ40" s="507" t="n"/>
      <c r="CK40" s="507" t="n"/>
      <c r="CL40" s="507" t="n"/>
      <c r="CM40" s="507" t="n"/>
      <c r="CN40" s="507" t="n"/>
      <c r="CO40" s="507" t="n"/>
      <c r="CP40" s="507" t="n"/>
    </row>
    <row r="41" ht="15" customHeight="1" s="1883">
      <c r="B41" s="835" t="inlineStr">
        <is>
          <t>●</t>
        </is>
      </c>
      <c r="C41" s="383" t="inlineStr">
        <is>
          <t>People Cost: Salaries, ER Payroll Taxes and EE Benefits</t>
        </is>
      </c>
      <c r="D41" s="383" t="n"/>
      <c r="E41" s="386" t="n"/>
      <c r="F41" s="386" t="n"/>
      <c r="G41" s="386" t="n"/>
      <c r="H41" s="386" t="n"/>
      <c r="I41" s="547">
        <f>'6A. Pre-Launch Exps. - Roll-Up'!N35</f>
        <v/>
      </c>
      <c r="J41" s="547">
        <f>'6A. Pre-Launch Exps. - Roll-Up'!O35</f>
        <v/>
      </c>
      <c r="K41" s="547">
        <f>'6A. Pre-Launch Exps. - Roll-Up'!P35</f>
        <v/>
      </c>
      <c r="L41" s="547">
        <f>'6A. Pre-Launch Exps. - Roll-Up'!Q35</f>
        <v/>
      </c>
      <c r="M41" s="547">
        <f>'6A. Pre-Launch Exps. - Roll-Up'!R35</f>
        <v/>
      </c>
      <c r="N41" s="547">
        <f>'6A. Pre-Launch Exps. - Roll-Up'!S35</f>
        <v/>
      </c>
      <c r="O41" s="547">
        <f>'6A. Pre-Launch Exps. - Roll-Up'!T35</f>
        <v/>
      </c>
      <c r="P41" s="547">
        <f>'6A. Pre-Launch Exps. - Roll-Up'!U35</f>
        <v/>
      </c>
      <c r="Q41" s="547">
        <f>'6A. Pre-Launch Exps. - Roll-Up'!V35</f>
        <v/>
      </c>
      <c r="R41" s="386" t="n"/>
      <c r="S41" s="831">
        <f>SUM(I41:Q41)</f>
        <v/>
      </c>
      <c r="T41" s="386" t="n"/>
      <c r="U41" s="547">
        <f>'4A. Tel. - Exps. &amp; OI x Month'!$L41</f>
        <v/>
      </c>
      <c r="V41" s="547">
        <f>'4A. Tel. - Exps. &amp; OI x Month'!$M41</f>
        <v/>
      </c>
      <c r="W41" s="547">
        <f>'4A. Tel. - Exps. &amp; OI x Month'!$N41</f>
        <v/>
      </c>
      <c r="X41" s="547">
        <f>'4A. Tel. - Exps. &amp; OI x Month'!$O41</f>
        <v/>
      </c>
      <c r="Y41" s="547">
        <f>'4A. Tel. - Exps. &amp; OI x Month'!$P41</f>
        <v/>
      </c>
      <c r="Z41" s="547">
        <f>'4A. Tel. - Exps. &amp; OI x Month'!$Q41</f>
        <v/>
      </c>
      <c r="AA41" s="547">
        <f>'4A. Tel. - Exps. &amp; OI x Month'!$R41</f>
        <v/>
      </c>
      <c r="AB41" s="547">
        <f>'4A. Tel. - Exps. &amp; OI x Month'!$S41</f>
        <v/>
      </c>
      <c r="AC41" s="547">
        <f>'4A. Tel. - Exps. &amp; OI x Month'!$T41</f>
        <v/>
      </c>
      <c r="AD41" s="547">
        <f>'4A. Tel. - Exps. &amp; OI x Month'!$U41</f>
        <v/>
      </c>
      <c r="AE41" s="547">
        <f>'4A. Tel. - Exps. &amp; OI x Month'!$V41</f>
        <v/>
      </c>
      <c r="AF41" s="547">
        <f>'4A. Tel. - Exps. &amp; OI x Month'!$W41</f>
        <v/>
      </c>
      <c r="AG41" s="386" t="n"/>
      <c r="AH41" s="494">
        <f>SUM(U41:AF41)</f>
        <v/>
      </c>
      <c r="AI41" s="386" t="n"/>
      <c r="AJ41" s="547">
        <f>'4A. Tel. - Exps. &amp; OI x Month'!$L133</f>
        <v/>
      </c>
      <c r="AK41" s="547">
        <f>'4A. Tel. - Exps. &amp; OI x Month'!$M133</f>
        <v/>
      </c>
      <c r="AL41" s="547">
        <f>'4A. Tel. - Exps. &amp; OI x Month'!$N133</f>
        <v/>
      </c>
      <c r="AM41" s="547">
        <f>'4A. Tel. - Exps. &amp; OI x Month'!$O133</f>
        <v/>
      </c>
      <c r="AN41" s="547">
        <f>'4A. Tel. - Exps. &amp; OI x Month'!$P133</f>
        <v/>
      </c>
      <c r="AO41" s="547">
        <f>'4A. Tel. - Exps. &amp; OI x Month'!$Q133</f>
        <v/>
      </c>
      <c r="AP41" s="547">
        <f>'4A. Tel. - Exps. &amp; OI x Month'!$R133</f>
        <v/>
      </c>
      <c r="AQ41" s="547">
        <f>'4A. Tel. - Exps. &amp; OI x Month'!$S133</f>
        <v/>
      </c>
      <c r="AR41" s="547">
        <f>'4A. Tel. - Exps. &amp; OI x Month'!$T133</f>
        <v/>
      </c>
      <c r="AS41" s="547">
        <f>'4A. Tel. - Exps. &amp; OI x Month'!$U133</f>
        <v/>
      </c>
      <c r="AT41" s="547">
        <f>'4A. Tel. - Exps. &amp; OI x Month'!$V133</f>
        <v/>
      </c>
      <c r="AU41" s="547">
        <f>'4A. Tel. - Exps. &amp; OI x Month'!$W133</f>
        <v/>
      </c>
      <c r="AW41" s="494">
        <f>SUM(AJ41:AU41)</f>
        <v/>
      </c>
      <c r="AY41" s="547">
        <f>'4A. Tel. - Exps. &amp; OI x Month'!$L225</f>
        <v/>
      </c>
      <c r="AZ41" s="547">
        <f>'4A. Tel. - Exps. &amp; OI x Month'!$M225</f>
        <v/>
      </c>
      <c r="BA41" s="547">
        <f>'4A. Tel. - Exps. &amp; OI x Month'!$N225</f>
        <v/>
      </c>
      <c r="BB41" s="547">
        <f>'4A. Tel. - Exps. &amp; OI x Month'!$O225</f>
        <v/>
      </c>
      <c r="BC41" s="547">
        <f>'4A. Tel. - Exps. &amp; OI x Month'!$P225</f>
        <v/>
      </c>
      <c r="BD41" s="547">
        <f>'4A. Tel. - Exps. &amp; OI x Month'!$Q225</f>
        <v/>
      </c>
      <c r="BE41" s="547">
        <f>'4A. Tel. - Exps. &amp; OI x Month'!$R225</f>
        <v/>
      </c>
      <c r="BF41" s="547">
        <f>'4A. Tel. - Exps. &amp; OI x Month'!$S225</f>
        <v/>
      </c>
      <c r="BG41" s="547">
        <f>'4A. Tel. - Exps. &amp; OI x Month'!$T225</f>
        <v/>
      </c>
      <c r="BH41" s="547">
        <f>'4A. Tel. - Exps. &amp; OI x Month'!$U225</f>
        <v/>
      </c>
      <c r="BI41" s="547">
        <f>'4A. Tel. - Exps. &amp; OI x Month'!$V225</f>
        <v/>
      </c>
      <c r="BJ41" s="547">
        <f>'4A. Tel. - Exps. &amp; OI x Month'!$W225</f>
        <v/>
      </c>
      <c r="BL41" s="494">
        <f>SUM(AY41:BJ41)</f>
        <v/>
      </c>
      <c r="BN41" s="547" t="n"/>
      <c r="BO41" s="547" t="n"/>
      <c r="BP41" s="547" t="n"/>
      <c r="BQ41" s="547" t="n"/>
      <c r="BR41" s="547" t="n"/>
      <c r="BS41" s="547" t="n"/>
      <c r="BT41" s="547" t="n"/>
      <c r="BU41" s="547" t="n"/>
      <c r="BV41" s="547" t="n"/>
      <c r="BW41" s="547" t="n"/>
      <c r="BX41" s="547" t="n"/>
      <c r="BY41" s="547" t="n"/>
      <c r="CA41" s="494" t="n"/>
    </row>
    <row r="42" ht="15" customHeight="1" s="1883">
      <c r="B42" s="835" t="inlineStr">
        <is>
          <t>●</t>
        </is>
      </c>
      <c r="C42" s="383" t="inlineStr">
        <is>
          <t>Legacy Accrued Payroll</t>
        </is>
      </c>
      <c r="D42" s="383" t="n"/>
      <c r="E42" s="386" t="n"/>
      <c r="F42" s="386" t="n"/>
      <c r="G42" s="386" t="n"/>
      <c r="H42" s="386" t="n"/>
      <c r="I42" s="547">
        <f>#REF!+#REF!</f>
        <v/>
      </c>
      <c r="J42" s="547">
        <f>#REF!+#REF!+#REF!+#REF!+#REF!+#REF!+#REF!+#REF!+#REF!+#REF!+#REF!+#REF!+#REF!+#REF!+#REF!</f>
        <v/>
      </c>
      <c r="K42" s="547" t="n">
        <v>0</v>
      </c>
      <c r="L42" s="547" t="n">
        <v>0</v>
      </c>
      <c r="M42" s="547" t="n">
        <v>0</v>
      </c>
      <c r="N42" s="547" t="n">
        <v>0</v>
      </c>
      <c r="O42" s="547" t="n">
        <v>0</v>
      </c>
      <c r="P42" s="547" t="n">
        <v>0</v>
      </c>
      <c r="Q42" s="547">
        <f>#REF!</f>
        <v/>
      </c>
      <c r="R42" s="386" t="n"/>
      <c r="S42" s="831">
        <f>SUM(I42:Q42)</f>
        <v/>
      </c>
      <c r="T42" s="386" t="n"/>
      <c r="U42" s="907" t="n">
        <v>0</v>
      </c>
      <c r="V42" s="907" t="n">
        <v>0</v>
      </c>
      <c r="W42" s="907" t="n">
        <v>0</v>
      </c>
      <c r="X42" s="907" t="n">
        <v>0</v>
      </c>
      <c r="Y42" s="907" t="n">
        <v>0</v>
      </c>
      <c r="Z42" s="907" t="n">
        <v>0</v>
      </c>
      <c r="AA42" s="907" t="n">
        <v>0</v>
      </c>
      <c r="AB42" s="907" t="n">
        <v>0</v>
      </c>
      <c r="AC42" s="907" t="n">
        <v>0</v>
      </c>
      <c r="AD42" s="907" t="n">
        <v>0</v>
      </c>
      <c r="AE42" s="907" t="n">
        <v>0</v>
      </c>
      <c r="AF42" s="907" t="n">
        <v>0</v>
      </c>
      <c r="AG42" s="908" t="n"/>
      <c r="AH42" s="909">
        <f>SUM(U42:AF42)</f>
        <v/>
      </c>
      <c r="AI42" s="831" t="n"/>
      <c r="AJ42" s="907" t="n">
        <v>0</v>
      </c>
      <c r="AK42" s="907" t="n">
        <v>0</v>
      </c>
      <c r="AL42" s="907" t="n">
        <v>0</v>
      </c>
      <c r="AM42" s="907" t="n">
        <v>0</v>
      </c>
      <c r="AN42" s="907" t="n">
        <v>0</v>
      </c>
      <c r="AO42" s="907" t="n">
        <v>0</v>
      </c>
      <c r="AP42" s="907" t="n">
        <v>0</v>
      </c>
      <c r="AQ42" s="907" t="n">
        <v>0</v>
      </c>
      <c r="AR42" s="907" t="n">
        <v>0</v>
      </c>
      <c r="AS42" s="907" t="n">
        <v>0</v>
      </c>
      <c r="AT42" s="907" t="n">
        <v>0</v>
      </c>
      <c r="AU42" s="907" t="n">
        <v>0</v>
      </c>
      <c r="AV42" s="908" t="n"/>
      <c r="AW42" s="909">
        <f>SUM(AJ42:AU42)</f>
        <v/>
      </c>
      <c r="AX42" s="507" t="n"/>
      <c r="AY42" s="907" t="n">
        <v>0</v>
      </c>
      <c r="AZ42" s="907" t="n">
        <v>0</v>
      </c>
      <c r="BA42" s="907" t="n">
        <v>0</v>
      </c>
      <c r="BB42" s="907" t="n">
        <v>0</v>
      </c>
      <c r="BC42" s="907" t="n">
        <v>0</v>
      </c>
      <c r="BD42" s="907" t="n">
        <v>0</v>
      </c>
      <c r="BE42" s="907" t="n">
        <v>0</v>
      </c>
      <c r="BF42" s="907" t="n">
        <v>0</v>
      </c>
      <c r="BG42" s="907" t="n">
        <v>0</v>
      </c>
      <c r="BH42" s="907" t="n">
        <v>0</v>
      </c>
      <c r="BI42" s="907" t="n">
        <v>0</v>
      </c>
      <c r="BJ42" s="907" t="n">
        <v>0</v>
      </c>
      <c r="BK42" s="908" t="n"/>
      <c r="BL42" s="909">
        <f>SUM(AY42:BJ42)</f>
        <v/>
      </c>
      <c r="BM42" s="507" t="n"/>
      <c r="BN42" s="907" t="n">
        <v>0</v>
      </c>
      <c r="BO42" s="907" t="n">
        <v>0</v>
      </c>
      <c r="BP42" s="907" t="n">
        <v>0</v>
      </c>
      <c r="BQ42" s="907" t="n">
        <v>0</v>
      </c>
      <c r="BR42" s="907" t="n">
        <v>0</v>
      </c>
      <c r="BS42" s="907" t="n">
        <v>0</v>
      </c>
      <c r="BT42" s="907" t="n">
        <v>0</v>
      </c>
      <c r="BU42" s="907" t="n">
        <v>0</v>
      </c>
      <c r="BV42" s="907" t="n">
        <v>0</v>
      </c>
      <c r="BW42" s="907" t="n">
        <v>0</v>
      </c>
      <c r="BX42" s="907" t="n">
        <v>0</v>
      </c>
      <c r="BY42" s="907" t="n">
        <v>0</v>
      </c>
      <c r="BZ42" s="908" t="n"/>
      <c r="CA42" s="909">
        <f>SUM(BN42:BY42)</f>
        <v/>
      </c>
      <c r="CB42" s="507" t="n"/>
      <c r="CC42" s="907" t="n">
        <v>0</v>
      </c>
      <c r="CD42" s="907" t="n">
        <v>0</v>
      </c>
      <c r="CE42" s="907" t="n">
        <v>0</v>
      </c>
      <c r="CF42" s="907" t="n">
        <v>0</v>
      </c>
      <c r="CG42" s="907" t="n">
        <v>0</v>
      </c>
      <c r="CH42" s="907" t="n">
        <v>0</v>
      </c>
      <c r="CI42" s="907" t="n">
        <v>0</v>
      </c>
      <c r="CJ42" s="907" t="n">
        <v>0</v>
      </c>
      <c r="CK42" s="907" t="n">
        <v>0</v>
      </c>
      <c r="CL42" s="907" t="n">
        <v>0</v>
      </c>
      <c r="CM42" s="907" t="n">
        <v>0</v>
      </c>
      <c r="CN42" s="907" t="n">
        <v>0</v>
      </c>
      <c r="CO42" s="908" t="n"/>
      <c r="CP42" s="909">
        <f>SUM(CC42:CN42)</f>
        <v/>
      </c>
    </row>
    <row r="43" ht="15" customHeight="1" s="1883">
      <c r="B43" s="835" t="inlineStr">
        <is>
          <t>●</t>
        </is>
      </c>
      <c r="C43" s="383" t="inlineStr">
        <is>
          <t>Other Legacy/Pre-Funding Liabilities, Estimate</t>
        </is>
      </c>
      <c r="D43" s="383" t="n"/>
      <c r="E43" s="386" t="n"/>
      <c r="F43" s="386" t="n"/>
      <c r="G43" s="386" t="n"/>
      <c r="H43" s="386" t="n"/>
      <c r="I43" s="547">
        <f>#REF!+#REF!</f>
        <v/>
      </c>
      <c r="J43" s="547">
        <f>#REF!+#REF!+#REF!+#REF!+#REF!+#REF!+#REF!+#REF!</f>
        <v/>
      </c>
      <c r="K43" s="547" t="n">
        <v>0</v>
      </c>
      <c r="L43" s="547" t="n">
        <v>0</v>
      </c>
      <c r="M43" s="547" t="n">
        <v>0</v>
      </c>
      <c r="N43" s="547" t="n">
        <v>0</v>
      </c>
      <c r="O43" s="547" t="n">
        <v>0</v>
      </c>
      <c r="P43" s="547" t="n">
        <v>0</v>
      </c>
      <c r="Q43" s="547" t="n">
        <v>0</v>
      </c>
      <c r="R43" s="386" t="n"/>
      <c r="S43" s="831">
        <f>SUM(I43:Q43)</f>
        <v/>
      </c>
      <c r="T43" s="386" t="n"/>
      <c r="U43" s="907" t="n">
        <v>0</v>
      </c>
      <c r="V43" s="907" t="n">
        <v>0</v>
      </c>
      <c r="W43" s="907" t="n">
        <v>0</v>
      </c>
      <c r="X43" s="907" t="n">
        <v>0</v>
      </c>
      <c r="Y43" s="907" t="n">
        <v>0</v>
      </c>
      <c r="Z43" s="907" t="n">
        <v>0</v>
      </c>
      <c r="AA43" s="907" t="n">
        <v>0</v>
      </c>
      <c r="AB43" s="907" t="n">
        <v>0</v>
      </c>
      <c r="AC43" s="907" t="n">
        <v>0</v>
      </c>
      <c r="AD43" s="907" t="n">
        <v>0</v>
      </c>
      <c r="AE43" s="907" t="n">
        <v>0</v>
      </c>
      <c r="AF43" s="907" t="n">
        <v>0</v>
      </c>
      <c r="AG43" s="908" t="n"/>
      <c r="AH43" s="909">
        <f>SUM(U43:AF43)</f>
        <v/>
      </c>
      <c r="AI43" s="831" t="n"/>
      <c r="AJ43" s="907" t="n">
        <v>0</v>
      </c>
      <c r="AK43" s="907" t="n">
        <v>0</v>
      </c>
      <c r="AL43" s="907" t="n">
        <v>0</v>
      </c>
      <c r="AM43" s="907" t="n">
        <v>0</v>
      </c>
      <c r="AN43" s="907" t="n">
        <v>0</v>
      </c>
      <c r="AO43" s="907" t="n">
        <v>0</v>
      </c>
      <c r="AP43" s="907" t="n">
        <v>0</v>
      </c>
      <c r="AQ43" s="907" t="n">
        <v>0</v>
      </c>
      <c r="AR43" s="907" t="n">
        <v>0</v>
      </c>
      <c r="AS43" s="907" t="n">
        <v>0</v>
      </c>
      <c r="AT43" s="907" t="n">
        <v>0</v>
      </c>
      <c r="AU43" s="907" t="n">
        <v>0</v>
      </c>
      <c r="AV43" s="908" t="n"/>
      <c r="AW43" s="909">
        <f>SUM(AJ43:AU43)</f>
        <v/>
      </c>
      <c r="AX43" s="507" t="n"/>
      <c r="AY43" s="907" t="n">
        <v>0</v>
      </c>
      <c r="AZ43" s="907" t="n">
        <v>0</v>
      </c>
      <c r="BA43" s="907" t="n">
        <v>0</v>
      </c>
      <c r="BB43" s="907" t="n">
        <v>0</v>
      </c>
      <c r="BC43" s="907" t="n">
        <v>0</v>
      </c>
      <c r="BD43" s="907" t="n">
        <v>0</v>
      </c>
      <c r="BE43" s="907" t="n">
        <v>0</v>
      </c>
      <c r="BF43" s="907" t="n">
        <v>0</v>
      </c>
      <c r="BG43" s="907" t="n">
        <v>0</v>
      </c>
      <c r="BH43" s="907" t="n">
        <v>0</v>
      </c>
      <c r="BI43" s="907" t="n">
        <v>0</v>
      </c>
      <c r="BJ43" s="907" t="n">
        <v>0</v>
      </c>
      <c r="BK43" s="908" t="n"/>
      <c r="BL43" s="909">
        <f>SUM(AY43:BJ43)</f>
        <v/>
      </c>
      <c r="BM43" s="507" t="n"/>
      <c r="BN43" s="907" t="n">
        <v>0</v>
      </c>
      <c r="BO43" s="907" t="n">
        <v>0</v>
      </c>
      <c r="BP43" s="907" t="n">
        <v>0</v>
      </c>
      <c r="BQ43" s="907" t="n">
        <v>0</v>
      </c>
      <c r="BR43" s="907" t="n">
        <v>0</v>
      </c>
      <c r="BS43" s="907" t="n">
        <v>0</v>
      </c>
      <c r="BT43" s="907" t="n">
        <v>0</v>
      </c>
      <c r="BU43" s="907" t="n">
        <v>0</v>
      </c>
      <c r="BV43" s="907" t="n">
        <v>0</v>
      </c>
      <c r="BW43" s="907" t="n">
        <v>0</v>
      </c>
      <c r="BX43" s="907" t="n">
        <v>0</v>
      </c>
      <c r="BY43" s="907" t="n">
        <v>0</v>
      </c>
      <c r="BZ43" s="908" t="n"/>
      <c r="CA43" s="909">
        <f>SUM(BN43:BY43)</f>
        <v/>
      </c>
      <c r="CB43" s="507" t="n"/>
      <c r="CC43" s="907" t="n">
        <v>0</v>
      </c>
      <c r="CD43" s="907" t="n">
        <v>0</v>
      </c>
      <c r="CE43" s="907" t="n">
        <v>0</v>
      </c>
      <c r="CF43" s="907" t="n">
        <v>0</v>
      </c>
      <c r="CG43" s="907" t="n">
        <v>0</v>
      </c>
      <c r="CH43" s="907" t="n">
        <v>0</v>
      </c>
      <c r="CI43" s="907" t="n">
        <v>0</v>
      </c>
      <c r="CJ43" s="907" t="n">
        <v>0</v>
      </c>
      <c r="CK43" s="907" t="n">
        <v>0</v>
      </c>
      <c r="CL43" s="907" t="n">
        <v>0</v>
      </c>
      <c r="CM43" s="907" t="n">
        <v>0</v>
      </c>
      <c r="CN43" s="907" t="n">
        <v>0</v>
      </c>
      <c r="CO43" s="908" t="n"/>
      <c r="CP43" s="909">
        <f>SUM(CC43:CN43)</f>
        <v/>
      </c>
    </row>
    <row r="44" ht="15" customHeight="1" s="1883">
      <c r="B44" s="835" t="inlineStr">
        <is>
          <t>●</t>
        </is>
      </c>
      <c r="C44" s="383" t="inlineStr">
        <is>
          <t>Research and Development</t>
        </is>
      </c>
      <c r="D44" s="383" t="n"/>
      <c r="E44" s="386" t="n"/>
      <c r="F44" s="386" t="n"/>
      <c r="G44" s="386" t="n"/>
      <c r="H44" s="386" t="n"/>
      <c r="I44" s="547">
        <f>'6A. Pre-Launch Exps. - Roll-Up'!N39</f>
        <v/>
      </c>
      <c r="J44" s="547">
        <f>'6A. Pre-Launch Exps. - Roll-Up'!O39</f>
        <v/>
      </c>
      <c r="K44" s="547">
        <f>'6A. Pre-Launch Exps. - Roll-Up'!P39</f>
        <v/>
      </c>
      <c r="L44" s="547">
        <f>'6A. Pre-Launch Exps. - Roll-Up'!Q39</f>
        <v/>
      </c>
      <c r="M44" s="547">
        <f>'6A. Pre-Launch Exps. - Roll-Up'!R39</f>
        <v/>
      </c>
      <c r="N44" s="547">
        <f>'6A. Pre-Launch Exps. - Roll-Up'!S39</f>
        <v/>
      </c>
      <c r="O44" s="547">
        <f>'6A. Pre-Launch Exps. - Roll-Up'!T39</f>
        <v/>
      </c>
      <c r="P44" s="547">
        <f>'6A. Pre-Launch Exps. - Roll-Up'!U39</f>
        <v/>
      </c>
      <c r="Q44" s="547">
        <f>'6A. Pre-Launch Exps. - Roll-Up'!V39</f>
        <v/>
      </c>
      <c r="R44" s="386" t="n"/>
      <c r="S44" s="831">
        <f>SUM(I44:Q44)</f>
        <v/>
      </c>
      <c r="T44" s="386" t="n"/>
      <c r="U44" s="547">
        <f>'4A. Tel. - Exps. &amp; OI x Month'!$L45</f>
        <v/>
      </c>
      <c r="V44" s="547">
        <f>'4A. Tel. - Exps. &amp; OI x Month'!$M45</f>
        <v/>
      </c>
      <c r="W44" s="547">
        <f>'4A. Tel. - Exps. &amp; OI x Month'!$N45</f>
        <v/>
      </c>
      <c r="X44" s="547">
        <f>'4A. Tel. - Exps. &amp; OI x Month'!$O45</f>
        <v/>
      </c>
      <c r="Y44" s="547">
        <f>'4A. Tel. - Exps. &amp; OI x Month'!$P45</f>
        <v/>
      </c>
      <c r="Z44" s="547">
        <f>'4A. Tel. - Exps. &amp; OI x Month'!$Q45</f>
        <v/>
      </c>
      <c r="AA44" s="547">
        <f>'4A. Tel. - Exps. &amp; OI x Month'!$R45</f>
        <v/>
      </c>
      <c r="AB44" s="547">
        <f>'4A. Tel. - Exps. &amp; OI x Month'!$S45</f>
        <v/>
      </c>
      <c r="AC44" s="547">
        <f>'4A. Tel. - Exps. &amp; OI x Month'!T45</f>
        <v/>
      </c>
      <c r="AD44" s="547">
        <f>'4A. Tel. - Exps. &amp; OI x Month'!$U45</f>
        <v/>
      </c>
      <c r="AE44" s="547">
        <f>'4A. Tel. - Exps. &amp; OI x Month'!$V45</f>
        <v/>
      </c>
      <c r="AF44" s="547">
        <f>'4A. Tel. - Exps. &amp; OI x Month'!$W45</f>
        <v/>
      </c>
      <c r="AG44" s="831" t="n"/>
      <c r="AH44" s="494">
        <f>SUM(U44:AF44)</f>
        <v/>
      </c>
      <c r="AI44" s="831" t="n"/>
      <c r="AJ44" s="831" t="n"/>
      <c r="AK44" s="831" t="n"/>
      <c r="AL44" s="831" t="n"/>
      <c r="AM44" s="507" t="n"/>
      <c r="AN44" s="507" t="n"/>
      <c r="AO44" s="507" t="n"/>
      <c r="AP44" s="507" t="n"/>
      <c r="AQ44" s="507" t="n"/>
      <c r="AR44" s="507" t="n"/>
      <c r="AS44" s="507" t="n"/>
      <c r="AT44" s="507" t="n"/>
      <c r="AU44" s="507" t="n"/>
      <c r="AV44" s="507" t="n"/>
      <c r="AW44" s="507" t="n"/>
      <c r="AX44" s="507" t="n"/>
      <c r="AY44" s="507" t="n"/>
      <c r="AZ44" s="507" t="n"/>
      <c r="BA44" s="507" t="n"/>
      <c r="BB44" s="507" t="n"/>
      <c r="BC44" s="507" t="n"/>
      <c r="BD44" s="507" t="n"/>
      <c r="BE44" s="507" t="n"/>
      <c r="BF44" s="507" t="n"/>
      <c r="BG44" s="507" t="n"/>
      <c r="BH44" s="507" t="n"/>
      <c r="BI44" s="507" t="n"/>
      <c r="BJ44" s="507" t="n"/>
      <c r="BK44" s="507" t="n"/>
      <c r="BL44" s="507" t="n"/>
      <c r="BM44" s="507" t="n"/>
      <c r="BN44" s="507" t="n"/>
      <c r="BO44" s="507" t="n"/>
      <c r="BP44" s="507" t="n"/>
      <c r="BQ44" s="507" t="n"/>
      <c r="BR44" s="507" t="n"/>
      <c r="BS44" s="507" t="n"/>
      <c r="BT44" s="507" t="n"/>
      <c r="BU44" s="507" t="n"/>
      <c r="BV44" s="507" t="n"/>
      <c r="BW44" s="507" t="n"/>
      <c r="BX44" s="507" t="n"/>
      <c r="BY44" s="507" t="n"/>
      <c r="BZ44" s="507" t="n"/>
      <c r="CA44" s="507" t="n"/>
      <c r="CB44" s="507" t="n"/>
      <c r="CC44" s="507" t="n"/>
      <c r="CD44" s="507" t="n"/>
      <c r="CE44" s="507" t="n"/>
      <c r="CF44" s="507" t="n"/>
      <c r="CG44" s="507" t="n"/>
      <c r="CH44" s="507" t="n"/>
      <c r="CI44" s="507" t="n"/>
      <c r="CJ44" s="507" t="n"/>
    </row>
    <row r="45" ht="15" customHeight="1" s="1883">
      <c r="B45" s="835" t="inlineStr">
        <is>
          <t>●</t>
        </is>
      </c>
      <c r="C45" s="383" t="inlineStr">
        <is>
          <t>Pre-Launch Telephone Inventory Investment</t>
        </is>
      </c>
      <c r="D45" s="383" t="n"/>
      <c r="E45" s="386" t="n"/>
      <c r="F45" s="386" t="n"/>
      <c r="G45" s="386" t="n"/>
      <c r="H45" s="386" t="n"/>
      <c r="I45" s="547">
        <f>'6A. Pre-Launch Exps. - Roll-Up'!N41</f>
        <v/>
      </c>
      <c r="J45" s="547">
        <f>'6A. Pre-Launch Exps. - Roll-Up'!O41</f>
        <v/>
      </c>
      <c r="K45" s="547">
        <f>'6A. Pre-Launch Exps. - Roll-Up'!P41</f>
        <v/>
      </c>
      <c r="L45" s="547">
        <f>'6A. Pre-Launch Exps. - Roll-Up'!Q41</f>
        <v/>
      </c>
      <c r="M45" s="547">
        <f>'6A. Pre-Launch Exps. - Roll-Up'!R41</f>
        <v/>
      </c>
      <c r="N45" s="547">
        <f>'6A. Pre-Launch Exps. - Roll-Up'!S41</f>
        <v/>
      </c>
      <c r="O45" s="547">
        <f>'6A. Pre-Launch Exps. - Roll-Up'!T41</f>
        <v/>
      </c>
      <c r="P45" s="547">
        <f>'6A. Pre-Launch Exps. - Roll-Up'!U41</f>
        <v/>
      </c>
      <c r="Q45" s="547">
        <f>'6A. Pre-Launch Exps. - Roll-Up'!V41</f>
        <v/>
      </c>
      <c r="R45" s="386" t="n"/>
      <c r="S45" s="831">
        <f>SUM(I45:Q45)</f>
        <v/>
      </c>
      <c r="T45" s="386" t="n"/>
      <c r="U45" s="907" t="n">
        <v>0</v>
      </c>
      <c r="V45" s="907" t="n">
        <v>0</v>
      </c>
      <c r="W45" s="907" t="n">
        <v>0</v>
      </c>
      <c r="X45" s="907" t="n">
        <v>0</v>
      </c>
      <c r="Y45" s="907" t="n">
        <v>0</v>
      </c>
      <c r="Z45" s="907" t="n">
        <v>0</v>
      </c>
      <c r="AA45" s="907" t="n">
        <v>0</v>
      </c>
      <c r="AB45" s="907" t="n">
        <v>0</v>
      </c>
      <c r="AC45" s="907" t="n">
        <v>0</v>
      </c>
      <c r="AD45" s="907" t="n">
        <v>0</v>
      </c>
      <c r="AE45" s="907" t="n">
        <v>0</v>
      </c>
      <c r="AF45" s="907" t="n">
        <v>0</v>
      </c>
      <c r="AG45" s="908" t="n"/>
      <c r="AH45" s="909">
        <f>SUM(U45:AF45)</f>
        <v/>
      </c>
      <c r="AI45" s="831" t="n"/>
      <c r="AJ45" s="907" t="n">
        <v>0</v>
      </c>
      <c r="AK45" s="907" t="n">
        <v>0</v>
      </c>
      <c r="AL45" s="907" t="n">
        <v>0</v>
      </c>
      <c r="AM45" s="907" t="n">
        <v>0</v>
      </c>
      <c r="AN45" s="907" t="n">
        <v>0</v>
      </c>
      <c r="AO45" s="907" t="n">
        <v>0</v>
      </c>
      <c r="AP45" s="907" t="n">
        <v>0</v>
      </c>
      <c r="AQ45" s="907" t="n">
        <v>0</v>
      </c>
      <c r="AR45" s="907" t="n">
        <v>0</v>
      </c>
      <c r="AS45" s="907" t="n">
        <v>0</v>
      </c>
      <c r="AT45" s="907" t="n">
        <v>0</v>
      </c>
      <c r="AU45" s="907" t="n">
        <v>0</v>
      </c>
      <c r="AV45" s="908" t="n"/>
      <c r="AW45" s="909">
        <f>SUM(AJ45:AU45)</f>
        <v/>
      </c>
      <c r="AX45" s="507" t="n"/>
      <c r="AY45" s="907" t="n">
        <v>0</v>
      </c>
      <c r="AZ45" s="907" t="n">
        <v>0</v>
      </c>
      <c r="BA45" s="907" t="n">
        <v>0</v>
      </c>
      <c r="BB45" s="907" t="n">
        <v>0</v>
      </c>
      <c r="BC45" s="907" t="n">
        <v>0</v>
      </c>
      <c r="BD45" s="907" t="n">
        <v>0</v>
      </c>
      <c r="BE45" s="907" t="n">
        <v>0</v>
      </c>
      <c r="BF45" s="907" t="n">
        <v>0</v>
      </c>
      <c r="BG45" s="907" t="n">
        <v>0</v>
      </c>
      <c r="BH45" s="907" t="n">
        <v>0</v>
      </c>
      <c r="BI45" s="907" t="n">
        <v>0</v>
      </c>
      <c r="BJ45" s="907" t="n">
        <v>0</v>
      </c>
      <c r="BK45" s="908" t="n"/>
      <c r="BL45" s="909">
        <f>SUM(AY45:BJ45)</f>
        <v/>
      </c>
      <c r="BM45" s="507" t="n"/>
      <c r="BN45" s="907" t="n">
        <v>0</v>
      </c>
      <c r="BO45" s="907" t="n">
        <v>0</v>
      </c>
      <c r="BP45" s="907" t="n">
        <v>0</v>
      </c>
      <c r="BQ45" s="907" t="n">
        <v>0</v>
      </c>
      <c r="BR45" s="907" t="n">
        <v>0</v>
      </c>
      <c r="BS45" s="907" t="n">
        <v>0</v>
      </c>
      <c r="BT45" s="907" t="n">
        <v>0</v>
      </c>
      <c r="BU45" s="907" t="n">
        <v>0</v>
      </c>
      <c r="BV45" s="907" t="n">
        <v>0</v>
      </c>
      <c r="BW45" s="907" t="n">
        <v>0</v>
      </c>
      <c r="BX45" s="907" t="n">
        <v>0</v>
      </c>
      <c r="BY45" s="907" t="n">
        <v>0</v>
      </c>
      <c r="BZ45" s="908" t="n"/>
      <c r="CA45" s="909">
        <f>SUM(BN45:BY45)</f>
        <v/>
      </c>
      <c r="CB45" s="507" t="n"/>
      <c r="CC45" s="907" t="n">
        <v>0</v>
      </c>
      <c r="CD45" s="907" t="n">
        <v>0</v>
      </c>
      <c r="CE45" s="907" t="n">
        <v>0</v>
      </c>
      <c r="CF45" s="907" t="n">
        <v>0</v>
      </c>
      <c r="CG45" s="907" t="n">
        <v>0</v>
      </c>
      <c r="CH45" s="907" t="n">
        <v>0</v>
      </c>
      <c r="CI45" s="907" t="n">
        <v>0</v>
      </c>
      <c r="CJ45" s="907" t="n">
        <v>0</v>
      </c>
      <c r="CK45" s="907" t="n">
        <v>0</v>
      </c>
      <c r="CL45" s="907" t="n">
        <v>0</v>
      </c>
      <c r="CM45" s="907" t="n">
        <v>0</v>
      </c>
      <c r="CN45" s="907" t="n">
        <v>0</v>
      </c>
      <c r="CO45" s="908" t="n"/>
      <c r="CP45" s="909">
        <f>SUM(CC45:CN45)</f>
        <v/>
      </c>
    </row>
    <row r="46" ht="15" customHeight="1" s="1883">
      <c r="B46" s="835" t="inlineStr">
        <is>
          <t>●</t>
        </is>
      </c>
      <c r="C46" s="383" t="inlineStr">
        <is>
          <t>Acquisitions (VSBLTY &amp; Pure Cast)</t>
        </is>
      </c>
      <c r="D46" s="383" t="n"/>
      <c r="E46" s="386" t="n"/>
      <c r="F46" s="386" t="n"/>
      <c r="G46" s="386" t="n"/>
      <c r="H46" s="386" t="n"/>
      <c r="I46" s="547" t="n"/>
      <c r="J46" s="547">
        <f>#REF!+#REF!+#REF!+#REF!</f>
        <v/>
      </c>
      <c r="K46" s="547">
        <f>#REF!+#REF!</f>
        <v/>
      </c>
      <c r="L46" s="547">
        <f>#REF!+#REF!+#REF!</f>
        <v/>
      </c>
      <c r="M46" s="547">
        <f>#REF!+#REF!</f>
        <v/>
      </c>
      <c r="N46" s="547">
        <f>#REF!+#REF!</f>
        <v/>
      </c>
      <c r="O46" s="547">
        <f>#REF!</f>
        <v/>
      </c>
      <c r="P46" s="547">
        <f>#REF!</f>
        <v/>
      </c>
      <c r="Q46" s="547">
        <f>#REF!</f>
        <v/>
      </c>
      <c r="R46" s="386" t="n"/>
      <c r="S46" s="831">
        <f>SUM(I46:Q46)</f>
        <v/>
      </c>
      <c r="T46" s="386" t="n"/>
      <c r="U46" s="907">
        <f>50000</f>
        <v/>
      </c>
      <c r="V46" s="907" t="n"/>
      <c r="W46" s="907" t="n"/>
      <c r="X46" s="907" t="n"/>
      <c r="Y46" s="907" t="n"/>
      <c r="Z46" s="907" t="n"/>
      <c r="AA46" s="907" t="n"/>
      <c r="AB46" s="907" t="n"/>
      <c r="AC46" s="907" t="n"/>
      <c r="AD46" s="907" t="n"/>
      <c r="AE46" s="907" t="n"/>
      <c r="AF46" s="907" t="n"/>
      <c r="AG46" s="908" t="n"/>
      <c r="AH46" s="909" t="n"/>
      <c r="AI46" s="831" t="n"/>
      <c r="AJ46" s="907" t="n"/>
      <c r="AK46" s="907" t="n"/>
      <c r="AL46" s="907" t="n"/>
      <c r="AM46" s="907" t="n"/>
      <c r="AN46" s="907" t="n"/>
      <c r="AO46" s="907" t="n"/>
      <c r="AP46" s="907" t="n"/>
      <c r="AQ46" s="907" t="n"/>
      <c r="AR46" s="907" t="n"/>
      <c r="AS46" s="907" t="n"/>
      <c r="AT46" s="907" t="n"/>
      <c r="AU46" s="907" t="n"/>
      <c r="AV46" s="908" t="n"/>
      <c r="AW46" s="909" t="n"/>
      <c r="AX46" s="507" t="n"/>
      <c r="AY46" s="907" t="n"/>
      <c r="AZ46" s="907" t="n"/>
      <c r="BA46" s="907" t="n"/>
      <c r="BB46" s="907" t="n"/>
      <c r="BC46" s="907" t="n"/>
      <c r="BD46" s="907" t="n"/>
      <c r="BE46" s="907" t="n"/>
      <c r="BF46" s="907" t="n"/>
      <c r="BG46" s="907" t="n"/>
      <c r="BH46" s="907" t="n"/>
      <c r="BI46" s="907" t="n"/>
      <c r="BJ46" s="907" t="n"/>
      <c r="BK46" s="908" t="n"/>
      <c r="BL46" s="909" t="n"/>
      <c r="BM46" s="507" t="n"/>
      <c r="BN46" s="907" t="n"/>
      <c r="BO46" s="907" t="n"/>
      <c r="BP46" s="907" t="n"/>
      <c r="BQ46" s="907" t="n"/>
      <c r="BR46" s="907" t="n"/>
      <c r="BS46" s="907" t="n"/>
      <c r="BT46" s="907" t="n"/>
      <c r="BU46" s="907" t="n"/>
      <c r="BV46" s="907" t="n"/>
      <c r="BW46" s="907" t="n"/>
      <c r="BX46" s="907" t="n"/>
      <c r="BY46" s="907" t="n"/>
      <c r="BZ46" s="908" t="n"/>
      <c r="CA46" s="909" t="n"/>
      <c r="CB46" s="507" t="n"/>
      <c r="CC46" s="907" t="n"/>
      <c r="CD46" s="907" t="n"/>
      <c r="CE46" s="907" t="n"/>
      <c r="CF46" s="907" t="n"/>
      <c r="CG46" s="907" t="n"/>
      <c r="CH46" s="907" t="n"/>
      <c r="CI46" s="907" t="n"/>
      <c r="CJ46" s="907" t="n"/>
      <c r="CK46" s="907" t="n"/>
      <c r="CL46" s="907" t="n"/>
      <c r="CM46" s="907" t="n"/>
      <c r="CN46" s="907" t="n"/>
      <c r="CO46" s="908" t="n"/>
      <c r="CP46" s="909" t="n"/>
    </row>
    <row r="47" ht="15" customHeight="1" s="1883">
      <c r="B47" s="835" t="inlineStr">
        <is>
          <t>●</t>
        </is>
      </c>
      <c r="C47" s="383" t="inlineStr">
        <is>
          <t>VSBLTY / Pure Vision Operating Expenses</t>
        </is>
      </c>
      <c r="D47" s="383" t="n"/>
      <c r="E47" s="386" t="n"/>
      <c r="F47" s="386" t="n"/>
      <c r="G47" s="386" t="n"/>
      <c r="H47" s="386" t="n"/>
      <c r="I47" s="547">
        <f>'[8]Monthly Projection P&amp;L CF'!$AE$115</f>
        <v/>
      </c>
      <c r="J47" s="547">
        <f>'[8]Monthly Projection P&amp;L CF'!$AF$115</f>
        <v/>
      </c>
      <c r="K47" s="547">
        <f>'[8]Monthly Projection P&amp;L CF'!$AG$115</f>
        <v/>
      </c>
      <c r="L47" s="547">
        <f>'[8]Monthly Projection P&amp;L CF'!$AH$115</f>
        <v/>
      </c>
      <c r="M47" s="547">
        <f>'[8]Monthly Projection P&amp;L CF'!$AI$115</f>
        <v/>
      </c>
      <c r="N47" s="547">
        <f>'[8]Monthly Projection P&amp;L CF'!$AK$115</f>
        <v/>
      </c>
      <c r="O47" s="914">
        <f>'[8]Monthly Projection P&amp;L CF'!$AL$115</f>
        <v/>
      </c>
      <c r="P47" s="547">
        <f>'[8]Monthly Projection P&amp;L CF'!$AM$115</f>
        <v/>
      </c>
      <c r="Q47" s="547">
        <f>'[8]Monthly Projection P&amp;L CF'!$AN$115</f>
        <v/>
      </c>
      <c r="R47" s="386" t="n"/>
      <c r="S47" s="831">
        <f>SUM(I47:Q47)</f>
        <v/>
      </c>
      <c r="T47" s="386" t="n"/>
      <c r="U47" s="547">
        <f>'[8]Monthly Projection P&amp;L CF'!$AO$115</f>
        <v/>
      </c>
      <c r="V47" s="547">
        <f>'[8]Monthly Projection P&amp;L CF'!$AP$115</f>
        <v/>
      </c>
      <c r="W47" s="547">
        <f>'[8]Monthly Projection P&amp;L CF'!$AQ$115</f>
        <v/>
      </c>
      <c r="X47" s="547">
        <f>'[8]Monthly Projection P&amp;L CF'!$AR$115</f>
        <v/>
      </c>
      <c r="Y47" s="547">
        <f>'[8]Monthly Projection P&amp;L CF'!$AS$115</f>
        <v/>
      </c>
      <c r="Z47" s="547">
        <f>'[8]Monthly Projection P&amp;L CF'!$AT$115</f>
        <v/>
      </c>
      <c r="AA47" s="547">
        <f>'[8]Monthly Projection P&amp;L CF'!$AU$115</f>
        <v/>
      </c>
      <c r="AB47" s="547">
        <f>'[8]Monthly Projection P&amp;L CF'!$AV$115</f>
        <v/>
      </c>
      <c r="AC47" s="547">
        <f>'[8]Monthly Projection P&amp;L CF'!$AX$115</f>
        <v/>
      </c>
      <c r="AD47" s="547">
        <f>'[8]Monthly Projection P&amp;L CF'!$AY$115</f>
        <v/>
      </c>
      <c r="AE47" s="547">
        <f>'[8]Monthly Projection P&amp;L CF'!$AZ$115</f>
        <v/>
      </c>
      <c r="AF47" s="547">
        <f>'[8]Monthly Projection P&amp;L CF'!$BA$115</f>
        <v/>
      </c>
      <c r="AG47" s="831" t="n"/>
      <c r="AH47" s="494">
        <f>SUM(U47:AF47)</f>
        <v/>
      </c>
      <c r="AI47" s="831" t="n"/>
      <c r="AJ47" s="547">
        <f>'[8]Monthly Projection P&amp;L CF'!$BB$115</f>
        <v/>
      </c>
      <c r="AK47" s="547">
        <f>'[8]Monthly Projection P&amp;L CF'!$BC$115</f>
        <v/>
      </c>
      <c r="AL47" s="547">
        <f>'[8]Monthly Projection P&amp;L CF'!$BD$115</f>
        <v/>
      </c>
      <c r="AM47" s="547">
        <f>'[8]Monthly Projection P&amp;L CF'!$BE$115</f>
        <v/>
      </c>
      <c r="AN47" s="547">
        <f>'[8]Monthly Projection P&amp;L CF'!$BF$115</f>
        <v/>
      </c>
      <c r="AO47" s="547">
        <f>'[8]Monthly Projection P&amp;L CF'!$BG$115</f>
        <v/>
      </c>
      <c r="AP47" s="547">
        <f>'[8]Monthly Projection P&amp;L CF'!$BH$115</f>
        <v/>
      </c>
      <c r="AQ47" s="547">
        <f>'[8]Monthly Projection P&amp;L CF'!$BI$115</f>
        <v/>
      </c>
      <c r="AR47" s="547">
        <f>AQ47*1.025</f>
        <v/>
      </c>
      <c r="AS47" s="547">
        <f>AR47*1.025</f>
        <v/>
      </c>
      <c r="AT47" s="547">
        <f>AS47*1.025</f>
        <v/>
      </c>
      <c r="AU47" s="547">
        <f>AT47*1.025</f>
        <v/>
      </c>
      <c r="AV47" s="831" t="n"/>
      <c r="AW47" s="494">
        <f>SUM(AJ47:AU47)</f>
        <v/>
      </c>
      <c r="AX47" s="507" t="n"/>
      <c r="AY47" s="547">
        <f>AU47*1.1</f>
        <v/>
      </c>
      <c r="AZ47" s="547">
        <f>AY47*1.1</f>
        <v/>
      </c>
      <c r="BA47" s="547">
        <f>AZ47*1.1</f>
        <v/>
      </c>
      <c r="BB47" s="547">
        <f>BA47*1.1</f>
        <v/>
      </c>
      <c r="BC47" s="547">
        <f>BB47*1.1</f>
        <v/>
      </c>
      <c r="BD47" s="547">
        <f>BC47*1.1</f>
        <v/>
      </c>
      <c r="BE47" s="547">
        <f>BD47*1.1</f>
        <v/>
      </c>
      <c r="BF47" s="547">
        <f>BE47*1.1</f>
        <v/>
      </c>
      <c r="BG47" s="547">
        <f>BF47*1.1</f>
        <v/>
      </c>
      <c r="BH47" s="547">
        <f>BG47*1.1</f>
        <v/>
      </c>
      <c r="BI47" s="547">
        <f>BH47*1.1</f>
        <v/>
      </c>
      <c r="BJ47" s="547">
        <f>BI47*1.1</f>
        <v/>
      </c>
      <c r="BK47" s="831" t="n"/>
      <c r="BL47" s="494">
        <f>SUM(AY47:BJ47)</f>
        <v/>
      </c>
      <c r="BM47" s="507" t="n"/>
      <c r="BN47" s="547">
        <f>BJ47*1.1</f>
        <v/>
      </c>
      <c r="BO47" s="547">
        <f>BN47*1.1</f>
        <v/>
      </c>
      <c r="BP47" s="547">
        <f>BO47*1.1</f>
        <v/>
      </c>
      <c r="BQ47" s="547">
        <f>BP47*1.1</f>
        <v/>
      </c>
      <c r="BR47" s="547">
        <f>BQ47*1.1</f>
        <v/>
      </c>
      <c r="BS47" s="547">
        <f>BR47*1.1</f>
        <v/>
      </c>
      <c r="BT47" s="547">
        <f>BS47*1.1</f>
        <v/>
      </c>
      <c r="BU47" s="547">
        <f>BT47*1.1</f>
        <v/>
      </c>
      <c r="BV47" s="547">
        <f>BU47*1.1</f>
        <v/>
      </c>
      <c r="BW47" s="547">
        <f>BV47*1.1</f>
        <v/>
      </c>
      <c r="BX47" s="547">
        <f>BW47*1.1</f>
        <v/>
      </c>
      <c r="BY47" s="547">
        <f>BX47*1.1</f>
        <v/>
      </c>
      <c r="BZ47" s="831" t="n"/>
      <c r="CA47" s="494">
        <f>SUM(BN47:BY47)</f>
        <v/>
      </c>
      <c r="CB47" s="507" t="n"/>
      <c r="CC47" s="547">
        <f>BY47*1.07</f>
        <v/>
      </c>
      <c r="CD47" s="547">
        <f>CC47*1.07</f>
        <v/>
      </c>
      <c r="CE47" s="547">
        <f>CD47*1.07</f>
        <v/>
      </c>
      <c r="CF47" s="547">
        <f>CE47*1.07</f>
        <v/>
      </c>
      <c r="CG47" s="547">
        <f>CF47*1.07</f>
        <v/>
      </c>
      <c r="CH47" s="547">
        <f>CG47*1.07</f>
        <v/>
      </c>
      <c r="CI47" s="547">
        <f>CH47*1.07</f>
        <v/>
      </c>
      <c r="CJ47" s="547">
        <f>CI47*1.07</f>
        <v/>
      </c>
      <c r="CK47" s="547">
        <f>CJ47*1.07</f>
        <v/>
      </c>
      <c r="CL47" s="547">
        <f>CK47*1.07</f>
        <v/>
      </c>
      <c r="CM47" s="547">
        <f>CL47*1.07</f>
        <v/>
      </c>
      <c r="CN47" s="547">
        <f>CM47*1.07</f>
        <v/>
      </c>
      <c r="CO47" s="831" t="n"/>
      <c r="CP47" s="494">
        <f>SUM(CC47:CN47)</f>
        <v/>
      </c>
    </row>
    <row r="48" ht="15" customHeight="1" s="1883">
      <c r="B48" s="835" t="inlineStr">
        <is>
          <t>●</t>
        </is>
      </c>
      <c r="C48" s="383" t="inlineStr">
        <is>
          <t>Post-Lauch Telephone Inventory Purchases</t>
        </is>
      </c>
      <c r="D48" s="383" t="n"/>
      <c r="E48" s="386" t="n"/>
      <c r="F48" s="386" t="n"/>
      <c r="G48" s="386" t="n"/>
      <c r="H48" s="386" t="n"/>
      <c r="I48" s="547">
        <f>'2C. Inventory Cash Disburse.'!M40</f>
        <v/>
      </c>
      <c r="J48" s="547">
        <f>'2C. Inventory Cash Disburse.'!N40</f>
        <v/>
      </c>
      <c r="K48" s="547">
        <f>'2C. Inventory Cash Disburse.'!O40</f>
        <v/>
      </c>
      <c r="L48" s="547">
        <f>'2C. Inventory Cash Disburse.'!P40</f>
        <v/>
      </c>
      <c r="M48" s="547">
        <f>'2C. Inventory Cash Disburse.'!Q40</f>
        <v/>
      </c>
      <c r="N48" s="1507" t="n">
        <v>0</v>
      </c>
      <c r="O48" s="1507" t="n">
        <v>0</v>
      </c>
      <c r="P48" s="1507" t="n">
        <v>0</v>
      </c>
      <c r="Q48" s="845" t="n">
        <v>10000000</v>
      </c>
      <c r="R48" s="386" t="n"/>
      <c r="S48" s="831">
        <f>SUM(I48:Q48)</f>
        <v/>
      </c>
      <c r="T48" s="386" t="n"/>
      <c r="U48" s="547">
        <f>'2C. Inventory Cash Disburse.'!Y40</f>
        <v/>
      </c>
      <c r="V48" s="547">
        <f>'2C. Inventory Cash Disburse.'!Z40</f>
        <v/>
      </c>
      <c r="W48" s="547">
        <f>'2C. Inventory Cash Disburse.'!AA40</f>
        <v/>
      </c>
      <c r="X48" s="547">
        <f>'2C. Inventory Cash Disburse.'!AB40</f>
        <v/>
      </c>
      <c r="Y48" s="547">
        <f>'2C. Inventory Cash Disburse.'!AC40</f>
        <v/>
      </c>
      <c r="Z48" s="547">
        <f>'2C. Inventory Cash Disburse.'!AD40</f>
        <v/>
      </c>
      <c r="AA48" s="547">
        <f>'2C. Inventory Cash Disburse.'!AE40</f>
        <v/>
      </c>
      <c r="AB48" s="547">
        <f>'2C. Inventory Cash Disburse.'!AF40</f>
        <v/>
      </c>
      <c r="AC48" s="547">
        <f>'2C. Inventory Cash Disburse.'!AG40</f>
        <v/>
      </c>
      <c r="AD48" s="547">
        <f>'2C. Inventory Cash Disburse.'!AH40</f>
        <v/>
      </c>
      <c r="AE48" s="547">
        <f>'2C. Inventory Cash Disburse.'!AI40</f>
        <v/>
      </c>
      <c r="AF48" s="547">
        <f>'2C. Inventory Cash Disburse.'!AJ40</f>
        <v/>
      </c>
      <c r="AG48" s="831" t="n"/>
      <c r="AH48" s="494">
        <f>SUM(U48:AF48)</f>
        <v/>
      </c>
      <c r="AI48" s="831" t="n"/>
      <c r="AJ48" s="547">
        <f>'2C. Inventory Cash Disburse.'!AN40</f>
        <v/>
      </c>
      <c r="AK48" s="547">
        <f>'2C. Inventory Cash Disburse.'!AO40</f>
        <v/>
      </c>
      <c r="AL48" s="547">
        <f>'2C. Inventory Cash Disburse.'!AP40</f>
        <v/>
      </c>
      <c r="AM48" s="547">
        <f>'2C. Inventory Cash Disburse.'!AQ40</f>
        <v/>
      </c>
      <c r="AN48" s="547">
        <f>'2C. Inventory Cash Disburse.'!AR40</f>
        <v/>
      </c>
      <c r="AO48" s="547">
        <f>'2C. Inventory Cash Disburse.'!AS40</f>
        <v/>
      </c>
      <c r="AP48" s="547">
        <f>'2C. Inventory Cash Disburse.'!AT40</f>
        <v/>
      </c>
      <c r="AQ48" s="547">
        <f>'2C. Inventory Cash Disburse.'!AU40</f>
        <v/>
      </c>
      <c r="AR48" s="547">
        <f>'2C. Inventory Cash Disburse.'!AV40</f>
        <v/>
      </c>
      <c r="AS48" s="547">
        <f>'2C. Inventory Cash Disburse.'!AW40</f>
        <v/>
      </c>
      <c r="AT48" s="547">
        <f>'2C. Inventory Cash Disburse.'!AX40</f>
        <v/>
      </c>
      <c r="AU48" s="547">
        <f>'2C. Inventory Cash Disburse.'!AY40</f>
        <v/>
      </c>
      <c r="AV48" s="507" t="n"/>
      <c r="AW48" s="494">
        <f>SUM(AJ48:AU48)</f>
        <v/>
      </c>
      <c r="AX48" s="507" t="n"/>
      <c r="AY48" s="462">
        <f>'2C. Inventory Cash Disburse.'!BC40</f>
        <v/>
      </c>
      <c r="AZ48" s="462">
        <f>'2C. Inventory Cash Disburse.'!BD40</f>
        <v/>
      </c>
      <c r="BA48" s="462">
        <f>'2C. Inventory Cash Disburse.'!BE40</f>
        <v/>
      </c>
      <c r="BB48" s="462">
        <f>'2C. Inventory Cash Disburse.'!BF40</f>
        <v/>
      </c>
      <c r="BC48" s="462">
        <f>'2C. Inventory Cash Disburse.'!BG40</f>
        <v/>
      </c>
      <c r="BD48" s="462">
        <f>'2C. Inventory Cash Disburse.'!BH40</f>
        <v/>
      </c>
      <c r="BE48" s="462">
        <f>'2C. Inventory Cash Disburse.'!BI40</f>
        <v/>
      </c>
      <c r="BF48" s="462">
        <f>'2C. Inventory Cash Disburse.'!BJ40</f>
        <v/>
      </c>
      <c r="BG48" s="462">
        <f>'2C. Inventory Cash Disburse.'!BK40</f>
        <v/>
      </c>
      <c r="BH48" s="462">
        <f>'2C. Inventory Cash Disburse.'!BL40</f>
        <v/>
      </c>
      <c r="BI48" s="462">
        <f>'2C. Inventory Cash Disburse.'!BM40</f>
        <v/>
      </c>
      <c r="BJ48" s="462">
        <f>'2C. Inventory Cash Disburse.'!BN40</f>
        <v/>
      </c>
      <c r="BK48" s="507" t="n"/>
      <c r="BL48" s="494">
        <f>SUM(AY48:BJ48)</f>
        <v/>
      </c>
      <c r="BM48" s="507" t="n"/>
      <c r="BN48" s="462">
        <f>'2C. Inventory Cash Disburse.'!BR40</f>
        <v/>
      </c>
      <c r="BO48" s="462">
        <f>'2C. Inventory Cash Disburse.'!BS40</f>
        <v/>
      </c>
      <c r="BP48" s="462">
        <f>'2C. Inventory Cash Disburse.'!BT40</f>
        <v/>
      </c>
      <c r="BQ48" s="462">
        <f>'2C. Inventory Cash Disburse.'!BU40</f>
        <v/>
      </c>
      <c r="BR48" s="462">
        <f>'2C. Inventory Cash Disburse.'!BV40</f>
        <v/>
      </c>
      <c r="BS48" s="462">
        <f>'2C. Inventory Cash Disburse.'!BW40</f>
        <v/>
      </c>
      <c r="BT48" s="462">
        <f>'2C. Inventory Cash Disburse.'!BX40</f>
        <v/>
      </c>
      <c r="BU48" s="462">
        <f>'2C. Inventory Cash Disburse.'!BY40</f>
        <v/>
      </c>
      <c r="BV48" s="462">
        <f>'2C. Inventory Cash Disburse.'!BZ40</f>
        <v/>
      </c>
      <c r="BW48" s="462">
        <f>'2C. Inventory Cash Disburse.'!CA40</f>
        <v/>
      </c>
      <c r="BX48" s="462">
        <f>'2C. Inventory Cash Disburse.'!CB40</f>
        <v/>
      </c>
      <c r="BY48" s="462">
        <f>'2C. Inventory Cash Disburse.'!CC40</f>
        <v/>
      </c>
      <c r="BZ48" s="507" t="n"/>
      <c r="CA48" s="494">
        <f>SUM(BN48:BY48)</f>
        <v/>
      </c>
      <c r="CB48" s="507" t="n"/>
      <c r="CC48" s="462">
        <f>'2C. Inventory Cash Disburse.'!CG40</f>
        <v/>
      </c>
      <c r="CD48" s="462">
        <f>'2C. Inventory Cash Disburse.'!CH40</f>
        <v/>
      </c>
      <c r="CE48" s="462">
        <f>'2C. Inventory Cash Disburse.'!CI40</f>
        <v/>
      </c>
      <c r="CF48" s="462">
        <f>'2C. Inventory Cash Disburse.'!CJ40</f>
        <v/>
      </c>
      <c r="CG48" s="462">
        <f>'2C. Inventory Cash Disburse.'!CK40</f>
        <v/>
      </c>
      <c r="CH48" s="462">
        <f>'2C. Inventory Cash Disburse.'!CL40</f>
        <v/>
      </c>
      <c r="CI48" s="462">
        <f>'2C. Inventory Cash Disburse.'!CM40</f>
        <v/>
      </c>
      <c r="CJ48" s="462">
        <f>'2C. Inventory Cash Disburse.'!CN40</f>
        <v/>
      </c>
      <c r="CK48" s="462">
        <f>'2C. Inventory Cash Disburse.'!CO40</f>
        <v/>
      </c>
      <c r="CL48" s="462">
        <f>'2C. Inventory Cash Disburse.'!CP40</f>
        <v/>
      </c>
      <c r="CM48" s="462">
        <f>'2C. Inventory Cash Disburse.'!CQ40</f>
        <v/>
      </c>
      <c r="CN48" s="462">
        <f>'2C. Inventory Cash Disburse.'!CR40</f>
        <v/>
      </c>
      <c r="CP48" s="494">
        <f>SUM(CC48:CN48)</f>
        <v/>
      </c>
    </row>
    <row r="49" ht="15" customHeight="1" s="1883">
      <c r="B49" s="835" t="inlineStr">
        <is>
          <t>●</t>
        </is>
      </c>
      <c r="C49" s="383" t="inlineStr">
        <is>
          <t>Sales and Marketing</t>
        </is>
      </c>
      <c r="D49" s="383" t="n"/>
      <c r="E49" s="386" t="n"/>
      <c r="F49" s="386" t="n"/>
      <c r="G49" s="386" t="n"/>
      <c r="H49" s="386" t="n"/>
      <c r="I49" s="547">
        <f>'6A. Pre-Launch Exps. - Roll-Up'!N53</f>
        <v/>
      </c>
      <c r="J49" s="547">
        <f>'6A. Pre-Launch Exps. - Roll-Up'!O53</f>
        <v/>
      </c>
      <c r="K49" s="547">
        <f>'6A. Pre-Launch Exps. - Roll-Up'!P53</f>
        <v/>
      </c>
      <c r="L49" s="547">
        <f>'6A. Pre-Launch Exps. - Roll-Up'!Q53</f>
        <v/>
      </c>
      <c r="M49" s="547">
        <f>'6A. Pre-Launch Exps. - Roll-Up'!R53</f>
        <v/>
      </c>
      <c r="N49" s="547">
        <f>'6A. Pre-Launch Exps. - Roll-Up'!S53</f>
        <v/>
      </c>
      <c r="O49" s="547">
        <f>'6A. Pre-Launch Exps. - Roll-Up'!T53</f>
        <v/>
      </c>
      <c r="P49" s="547">
        <f>'6A. Pre-Launch Exps. - Roll-Up'!U53</f>
        <v/>
      </c>
      <c r="Q49" s="547">
        <f>'6A. Pre-Launch Exps. - Roll-Up'!V53</f>
        <v/>
      </c>
      <c r="R49" s="386" t="n"/>
      <c r="S49" s="831">
        <f>SUM(I49:Q49)</f>
        <v/>
      </c>
      <c r="T49" s="386" t="n"/>
      <c r="U49" s="547">
        <f>'4A. Tel. - Exps. &amp; OI x Month'!$L54</f>
        <v/>
      </c>
      <c r="V49" s="547">
        <f>'4A. Tel. - Exps. &amp; OI x Month'!$M54</f>
        <v/>
      </c>
      <c r="W49" s="547">
        <f>'4A. Tel. - Exps. &amp; OI x Month'!$N54</f>
        <v/>
      </c>
      <c r="X49" s="547">
        <f>'4A. Tel. - Exps. &amp; OI x Month'!$O54</f>
        <v/>
      </c>
      <c r="Y49" s="547">
        <f>'4A. Tel. - Exps. &amp; OI x Month'!$P54</f>
        <v/>
      </c>
      <c r="Z49" s="547">
        <f>'4A. Tel. - Exps. &amp; OI x Month'!$Q54</f>
        <v/>
      </c>
      <c r="AA49" s="547">
        <f>'4A. Tel. - Exps. &amp; OI x Month'!$R54</f>
        <v/>
      </c>
      <c r="AB49" s="547">
        <f>'4A. Tel. - Exps. &amp; OI x Month'!$S54</f>
        <v/>
      </c>
      <c r="AC49" s="547">
        <f>'4A. Tel. - Exps. &amp; OI x Month'!$T54</f>
        <v/>
      </c>
      <c r="AD49" s="547">
        <f>'4A. Tel. - Exps. &amp; OI x Month'!$U54</f>
        <v/>
      </c>
      <c r="AE49" s="547">
        <f>'4A. Tel. - Exps. &amp; OI x Month'!$V54</f>
        <v/>
      </c>
      <c r="AF49" s="547">
        <f>'4A. Tel. - Exps. &amp; OI x Month'!$W54</f>
        <v/>
      </c>
      <c r="AG49" s="831" t="n"/>
      <c r="AH49" s="494">
        <f>SUM(U49:AF49)</f>
        <v/>
      </c>
      <c r="AI49" s="831" t="n"/>
      <c r="AJ49" s="547">
        <f>'4A. Tel. - Exps. &amp; OI x Month'!L146</f>
        <v/>
      </c>
      <c r="AK49" s="547">
        <f>'4A. Tel. - Exps. &amp; OI x Month'!M146</f>
        <v/>
      </c>
      <c r="AL49" s="547">
        <f>'4A. Tel. - Exps. &amp; OI x Month'!N146</f>
        <v/>
      </c>
      <c r="AM49" s="547">
        <f>'4A. Tel. - Exps. &amp; OI x Month'!O146</f>
        <v/>
      </c>
      <c r="AN49" s="547">
        <f>'4A. Tel. - Exps. &amp; OI x Month'!P146</f>
        <v/>
      </c>
      <c r="AO49" s="547">
        <f>'4A. Tel. - Exps. &amp; OI x Month'!Q146</f>
        <v/>
      </c>
      <c r="AP49" s="547">
        <f>'4A. Tel. - Exps. &amp; OI x Month'!R146</f>
        <v/>
      </c>
      <c r="AQ49" s="547">
        <f>'4A. Tel. - Exps. &amp; OI x Month'!S146</f>
        <v/>
      </c>
      <c r="AR49" s="547">
        <f>'4A. Tel. - Exps. &amp; OI x Month'!T146</f>
        <v/>
      </c>
      <c r="AS49" s="547">
        <f>'4A. Tel. - Exps. &amp; OI x Month'!U146</f>
        <v/>
      </c>
      <c r="AT49" s="547">
        <f>'4A. Tel. - Exps. &amp; OI x Month'!V146</f>
        <v/>
      </c>
      <c r="AU49" s="547">
        <f>'4A. Tel. - Exps. &amp; OI x Month'!W146</f>
        <v/>
      </c>
      <c r="AV49" s="507" t="n"/>
      <c r="AW49" s="494">
        <f>SUM(AJ49:AU49)</f>
        <v/>
      </c>
      <c r="AX49" s="507" t="n"/>
      <c r="AY49" s="547">
        <f>'4A. Tel. - Exps. &amp; OI x Month'!L238</f>
        <v/>
      </c>
      <c r="AZ49" s="547">
        <f>'4A. Tel. - Exps. &amp; OI x Month'!M238</f>
        <v/>
      </c>
      <c r="BA49" s="547">
        <f>'4A. Tel. - Exps. &amp; OI x Month'!N238</f>
        <v/>
      </c>
      <c r="BB49" s="547">
        <f>'4A. Tel. - Exps. &amp; OI x Month'!O238</f>
        <v/>
      </c>
      <c r="BC49" s="547">
        <f>'4A. Tel. - Exps. &amp; OI x Month'!P238</f>
        <v/>
      </c>
      <c r="BD49" s="547">
        <f>'4A. Tel. - Exps. &amp; OI x Month'!Q238</f>
        <v/>
      </c>
      <c r="BE49" s="547">
        <f>'4A. Tel. - Exps. &amp; OI x Month'!R238</f>
        <v/>
      </c>
      <c r="BF49" s="547">
        <f>'4A. Tel. - Exps. &amp; OI x Month'!S238</f>
        <v/>
      </c>
      <c r="BG49" s="547">
        <f>'4A. Tel. - Exps. &amp; OI x Month'!T238</f>
        <v/>
      </c>
      <c r="BH49" s="547">
        <f>'4A. Tel. - Exps. &amp; OI x Month'!U238</f>
        <v/>
      </c>
      <c r="BI49" s="547">
        <f>'4A. Tel. - Exps. &amp; OI x Month'!V238</f>
        <v/>
      </c>
      <c r="BJ49" s="547">
        <f>'4A. Tel. - Exps. &amp; OI x Month'!W238</f>
        <v/>
      </c>
      <c r="BK49" s="507" t="n"/>
      <c r="BL49" s="494">
        <f>SUM(AY49:BJ49)</f>
        <v/>
      </c>
      <c r="BM49" s="507" t="n"/>
      <c r="BN49" s="547">
        <f>'4A. Tel. - Exps. &amp; OI x Month'!L330</f>
        <v/>
      </c>
      <c r="BO49" s="547">
        <f>'4A. Tel. - Exps. &amp; OI x Month'!M330</f>
        <v/>
      </c>
      <c r="BP49" s="547">
        <f>'4A. Tel. - Exps. &amp; OI x Month'!N330</f>
        <v/>
      </c>
      <c r="BQ49" s="547">
        <f>'4A. Tel. - Exps. &amp; OI x Month'!O330</f>
        <v/>
      </c>
      <c r="BR49" s="547">
        <f>'4A. Tel. - Exps. &amp; OI x Month'!P330</f>
        <v/>
      </c>
      <c r="BS49" s="547">
        <f>'4A. Tel. - Exps. &amp; OI x Month'!Q330</f>
        <v/>
      </c>
      <c r="BT49" s="547">
        <f>'4A. Tel. - Exps. &amp; OI x Month'!R330</f>
        <v/>
      </c>
      <c r="BU49" s="547">
        <f>'4A. Tel. - Exps. &amp; OI x Month'!S330</f>
        <v/>
      </c>
      <c r="BV49" s="547">
        <f>'4A. Tel. - Exps. &amp; OI x Month'!T330</f>
        <v/>
      </c>
      <c r="BW49" s="547">
        <f>'4A. Tel. - Exps. &amp; OI x Month'!U330</f>
        <v/>
      </c>
      <c r="BX49" s="547">
        <f>'4A. Tel. - Exps. &amp; OI x Month'!V330</f>
        <v/>
      </c>
      <c r="BY49" s="547">
        <f>'4A. Tel. - Exps. &amp; OI x Month'!W330</f>
        <v/>
      </c>
      <c r="BZ49" s="507" t="n"/>
      <c r="CA49" s="494">
        <f>SUM(BN49:BY49)</f>
        <v/>
      </c>
      <c r="CB49" s="507" t="n"/>
      <c r="CC49" s="547">
        <f>'4A. Tel. - Exps. &amp; OI x Month'!L422</f>
        <v/>
      </c>
      <c r="CD49" s="547">
        <f>'4A. Tel. - Exps. &amp; OI x Month'!M422</f>
        <v/>
      </c>
      <c r="CE49" s="547">
        <f>'4A. Tel. - Exps. &amp; OI x Month'!N422</f>
        <v/>
      </c>
      <c r="CF49" s="547">
        <f>'4A. Tel. - Exps. &amp; OI x Month'!O422</f>
        <v/>
      </c>
      <c r="CG49" s="547">
        <f>'4A. Tel. - Exps. &amp; OI x Month'!P422</f>
        <v/>
      </c>
      <c r="CH49" s="547">
        <f>'4A. Tel. - Exps. &amp; OI x Month'!Q422</f>
        <v/>
      </c>
      <c r="CI49" s="547">
        <f>'4A. Tel. - Exps. &amp; OI x Month'!R422</f>
        <v/>
      </c>
      <c r="CJ49" s="547">
        <f>'4A. Tel. - Exps. &amp; OI x Month'!S422</f>
        <v/>
      </c>
      <c r="CK49" s="547">
        <f>'4A. Tel. - Exps. &amp; OI x Month'!T422</f>
        <v/>
      </c>
      <c r="CL49" s="547">
        <f>'4A. Tel. - Exps. &amp; OI x Month'!U422</f>
        <v/>
      </c>
      <c r="CM49" s="547">
        <f>'4A. Tel. - Exps. &amp; OI x Month'!V422</f>
        <v/>
      </c>
      <c r="CN49" s="547">
        <f>'4A. Tel. - Exps. &amp; OI x Month'!W422</f>
        <v/>
      </c>
      <c r="CP49" s="494">
        <f>SUM(CC49:CN49)</f>
        <v/>
      </c>
    </row>
    <row r="50" ht="15" customHeight="1" s="1883">
      <c r="B50" s="835" t="inlineStr">
        <is>
          <t>●</t>
        </is>
      </c>
      <c r="C50" s="383" t="inlineStr">
        <is>
          <t>Occupancy</t>
        </is>
      </c>
      <c r="D50" s="383" t="n"/>
      <c r="E50" s="386" t="n"/>
      <c r="F50" s="386" t="n"/>
      <c r="G50" s="386" t="n"/>
      <c r="H50" s="386" t="n"/>
      <c r="I50" s="547">
        <f>'6A. Pre-Launch Exps. - Roll-Up'!N62</f>
        <v/>
      </c>
      <c r="J50" s="547">
        <f>'6A. Pre-Launch Exps. - Roll-Up'!O62</f>
        <v/>
      </c>
      <c r="K50" s="547">
        <f>'6A. Pre-Launch Exps. - Roll-Up'!P62</f>
        <v/>
      </c>
      <c r="L50" s="547">
        <f>'6A. Pre-Launch Exps. - Roll-Up'!Q62</f>
        <v/>
      </c>
      <c r="M50" s="547">
        <f>'6A. Pre-Launch Exps. - Roll-Up'!R62</f>
        <v/>
      </c>
      <c r="N50" s="547">
        <f>'6A. Pre-Launch Exps. - Roll-Up'!S62</f>
        <v/>
      </c>
      <c r="O50" s="547">
        <f>'6A. Pre-Launch Exps. - Roll-Up'!T62</f>
        <v/>
      </c>
      <c r="P50" s="547">
        <f>'6A. Pre-Launch Exps. - Roll-Up'!U62</f>
        <v/>
      </c>
      <c r="Q50" s="547">
        <f>'6A. Pre-Launch Exps. - Roll-Up'!V62</f>
        <v/>
      </c>
      <c r="R50" s="386" t="n"/>
      <c r="S50" s="831">
        <f>SUM(I50:Q50)</f>
        <v/>
      </c>
      <c r="T50" s="386" t="n"/>
      <c r="U50" s="547">
        <f>'4A. Tel. - Exps. &amp; OI x Month'!$L63</f>
        <v/>
      </c>
      <c r="V50" s="547">
        <f>'4A. Tel. - Exps. &amp; OI x Month'!$M63</f>
        <v/>
      </c>
      <c r="W50" s="547">
        <f>'4A. Tel. - Exps. &amp; OI x Month'!$N63</f>
        <v/>
      </c>
      <c r="X50" s="547">
        <f>'4A. Tel. - Exps. &amp; OI x Month'!$O63</f>
        <v/>
      </c>
      <c r="Y50" s="547">
        <f>'4A. Tel. - Exps. &amp; OI x Month'!$P63</f>
        <v/>
      </c>
      <c r="Z50" s="547">
        <f>'4A. Tel. - Exps. &amp; OI x Month'!$Q63</f>
        <v/>
      </c>
      <c r="AA50" s="547">
        <f>'4A. Tel. - Exps. &amp; OI x Month'!$R63</f>
        <v/>
      </c>
      <c r="AB50" s="547">
        <f>'4A. Tel. - Exps. &amp; OI x Month'!$S63</f>
        <v/>
      </c>
      <c r="AC50" s="547">
        <f>'4A. Tel. - Exps. &amp; OI x Month'!$T63</f>
        <v/>
      </c>
      <c r="AD50" s="547">
        <f>'4A. Tel. - Exps. &amp; OI x Month'!$U63</f>
        <v/>
      </c>
      <c r="AE50" s="547">
        <f>'4A. Tel. - Exps. &amp; OI x Month'!$V63</f>
        <v/>
      </c>
      <c r="AF50" s="547">
        <f>'4A. Tel. - Exps. &amp; OI x Month'!$W63</f>
        <v/>
      </c>
      <c r="AG50" s="831" t="n"/>
      <c r="AH50" s="494">
        <f>SUM(U50:AF50)</f>
        <v/>
      </c>
      <c r="AI50" s="831" t="n"/>
      <c r="AJ50" s="547">
        <f>'4A. Tel. - Exps. &amp; OI x Month'!L155</f>
        <v/>
      </c>
      <c r="AK50" s="547">
        <f>'4A. Tel. - Exps. &amp; OI x Month'!M155</f>
        <v/>
      </c>
      <c r="AL50" s="547">
        <f>'4A. Tel. - Exps. &amp; OI x Month'!N155</f>
        <v/>
      </c>
      <c r="AM50" s="547">
        <f>'4A. Tel. - Exps. &amp; OI x Month'!O155</f>
        <v/>
      </c>
      <c r="AN50" s="547">
        <f>'4A. Tel. - Exps. &amp; OI x Month'!P155</f>
        <v/>
      </c>
      <c r="AO50" s="547">
        <f>'4A. Tel. - Exps. &amp; OI x Month'!Q155</f>
        <v/>
      </c>
      <c r="AP50" s="547">
        <f>'4A. Tel. - Exps. &amp; OI x Month'!R155</f>
        <v/>
      </c>
      <c r="AQ50" s="547">
        <f>'4A. Tel. - Exps. &amp; OI x Month'!S155</f>
        <v/>
      </c>
      <c r="AR50" s="547">
        <f>'4A. Tel. - Exps. &amp; OI x Month'!T155</f>
        <v/>
      </c>
      <c r="AS50" s="547">
        <f>'4A. Tel. - Exps. &amp; OI x Month'!U155</f>
        <v/>
      </c>
      <c r="AT50" s="547">
        <f>'4A. Tel. - Exps. &amp; OI x Month'!V155</f>
        <v/>
      </c>
      <c r="AU50" s="547">
        <f>'4A. Tel. - Exps. &amp; OI x Month'!W155</f>
        <v/>
      </c>
      <c r="AV50" s="507" t="n"/>
      <c r="AW50" s="494">
        <f>SUM(AJ50:AU50)</f>
        <v/>
      </c>
      <c r="AX50" s="507" t="n"/>
      <c r="AY50" s="547">
        <f>'4A. Tel. - Exps. &amp; OI x Month'!L247</f>
        <v/>
      </c>
      <c r="AZ50" s="547">
        <f>'4A. Tel. - Exps. &amp; OI x Month'!M247</f>
        <v/>
      </c>
      <c r="BA50" s="547">
        <f>'4A. Tel. - Exps. &amp; OI x Month'!N247</f>
        <v/>
      </c>
      <c r="BB50" s="547">
        <f>'4A. Tel. - Exps. &amp; OI x Month'!O247</f>
        <v/>
      </c>
      <c r="BC50" s="547">
        <f>'4A. Tel. - Exps. &amp; OI x Month'!P247</f>
        <v/>
      </c>
      <c r="BD50" s="547">
        <f>'4A. Tel. - Exps. &amp; OI x Month'!Q247</f>
        <v/>
      </c>
      <c r="BE50" s="547">
        <f>'4A. Tel. - Exps. &amp; OI x Month'!R247</f>
        <v/>
      </c>
      <c r="BF50" s="547">
        <f>'4A. Tel. - Exps. &amp; OI x Month'!S247</f>
        <v/>
      </c>
      <c r="BG50" s="547">
        <f>'4A. Tel. - Exps. &amp; OI x Month'!T247</f>
        <v/>
      </c>
      <c r="BH50" s="547">
        <f>'4A. Tel. - Exps. &amp; OI x Month'!U247</f>
        <v/>
      </c>
      <c r="BI50" s="547">
        <f>'4A. Tel. - Exps. &amp; OI x Month'!V247</f>
        <v/>
      </c>
      <c r="BJ50" s="547">
        <f>'4A. Tel. - Exps. &amp; OI x Month'!W247</f>
        <v/>
      </c>
      <c r="BK50" s="507" t="n"/>
      <c r="BL50" s="494">
        <f>SUM(AY50:BJ50)</f>
        <v/>
      </c>
      <c r="BM50" s="507" t="n"/>
      <c r="BN50" s="547">
        <f>'4A. Tel. - Exps. &amp; OI x Month'!L339</f>
        <v/>
      </c>
      <c r="BO50" s="547">
        <f>'4A. Tel. - Exps. &amp; OI x Month'!M339</f>
        <v/>
      </c>
      <c r="BP50" s="547">
        <f>'4A. Tel. - Exps. &amp; OI x Month'!N339</f>
        <v/>
      </c>
      <c r="BQ50" s="547">
        <f>'4A. Tel. - Exps. &amp; OI x Month'!O339</f>
        <v/>
      </c>
      <c r="BR50" s="547">
        <f>'4A. Tel. - Exps. &amp; OI x Month'!P339</f>
        <v/>
      </c>
      <c r="BS50" s="547">
        <f>'4A. Tel. - Exps. &amp; OI x Month'!Q339</f>
        <v/>
      </c>
      <c r="BT50" s="547">
        <f>'4A. Tel. - Exps. &amp; OI x Month'!R339</f>
        <v/>
      </c>
      <c r="BU50" s="547">
        <f>'4A. Tel. - Exps. &amp; OI x Month'!S339</f>
        <v/>
      </c>
      <c r="BV50" s="547">
        <f>'4A. Tel. - Exps. &amp; OI x Month'!T339</f>
        <v/>
      </c>
      <c r="BW50" s="547">
        <f>'4A. Tel. - Exps. &amp; OI x Month'!U339</f>
        <v/>
      </c>
      <c r="BX50" s="547">
        <f>'4A. Tel. - Exps. &amp; OI x Month'!V339</f>
        <v/>
      </c>
      <c r="BY50" s="547">
        <f>'4A. Tel. - Exps. &amp; OI x Month'!W339</f>
        <v/>
      </c>
      <c r="BZ50" s="507" t="n"/>
      <c r="CA50" s="494">
        <f>SUM(BN50:BY50)</f>
        <v/>
      </c>
      <c r="CB50" s="507" t="n"/>
      <c r="CC50" s="547">
        <f>'4A. Tel. - Exps. &amp; OI x Month'!L431</f>
        <v/>
      </c>
      <c r="CD50" s="547">
        <f>'4A. Tel. - Exps. &amp; OI x Month'!M431</f>
        <v/>
      </c>
      <c r="CE50" s="547">
        <f>'4A. Tel. - Exps. &amp; OI x Month'!N431</f>
        <v/>
      </c>
      <c r="CF50" s="547">
        <f>'4A. Tel. - Exps. &amp; OI x Month'!O431</f>
        <v/>
      </c>
      <c r="CG50" s="547">
        <f>'4A. Tel. - Exps. &amp; OI x Month'!P431</f>
        <v/>
      </c>
      <c r="CH50" s="547">
        <f>'4A. Tel. - Exps. &amp; OI x Month'!Q431</f>
        <v/>
      </c>
      <c r="CI50" s="547">
        <f>'4A. Tel. - Exps. &amp; OI x Month'!R431</f>
        <v/>
      </c>
      <c r="CJ50" s="547">
        <f>'4A. Tel. - Exps. &amp; OI x Month'!S431</f>
        <v/>
      </c>
      <c r="CK50" s="547">
        <f>'4A. Tel. - Exps. &amp; OI x Month'!T431</f>
        <v/>
      </c>
      <c r="CL50" s="547">
        <f>'4A. Tel. - Exps. &amp; OI x Month'!U431</f>
        <v/>
      </c>
      <c r="CM50" s="547">
        <f>'4A. Tel. - Exps. &amp; OI x Month'!V431</f>
        <v/>
      </c>
      <c r="CN50" s="547">
        <f>'4A. Tel. - Exps. &amp; OI x Month'!W431</f>
        <v/>
      </c>
      <c r="CP50" s="494">
        <f>SUM(CC50:CN50)</f>
        <v/>
      </c>
    </row>
    <row r="51" ht="15" customHeight="1" s="1883">
      <c r="B51" s="835" t="inlineStr">
        <is>
          <t>●</t>
        </is>
      </c>
      <c r="C51" s="383" t="inlineStr">
        <is>
          <t>General and Administrative</t>
        </is>
      </c>
      <c r="D51" s="383" t="n"/>
      <c r="E51" s="386" t="n"/>
      <c r="F51" s="386" t="n"/>
      <c r="G51" s="386" t="n"/>
      <c r="H51" s="386" t="n"/>
      <c r="I51" s="547">
        <f>'6A. Pre-Launch Exps. - Roll-Up'!N87</f>
        <v/>
      </c>
      <c r="J51" s="547">
        <f>'6A. Pre-Launch Exps. - Roll-Up'!O87</f>
        <v/>
      </c>
      <c r="K51" s="547">
        <f>'6A. Pre-Launch Exps. - Roll-Up'!P87</f>
        <v/>
      </c>
      <c r="L51" s="547">
        <f>'6A. Pre-Launch Exps. - Roll-Up'!Q87</f>
        <v/>
      </c>
      <c r="M51" s="547">
        <f>'6A. Pre-Launch Exps. - Roll-Up'!R87</f>
        <v/>
      </c>
      <c r="N51" s="547">
        <f>'6A. Pre-Launch Exps. - Roll-Up'!S87</f>
        <v/>
      </c>
      <c r="O51" s="547">
        <f>'6A. Pre-Launch Exps. - Roll-Up'!T87</f>
        <v/>
      </c>
      <c r="P51" s="547">
        <f>'6A. Pre-Launch Exps. - Roll-Up'!U87</f>
        <v/>
      </c>
      <c r="Q51" s="547">
        <f>'6A. Pre-Launch Exps. - Roll-Up'!V87</f>
        <v/>
      </c>
      <c r="R51" s="386" t="n"/>
      <c r="S51" s="831">
        <f>SUM(I51:Q51)</f>
        <v/>
      </c>
      <c r="T51" s="386" t="n"/>
      <c r="U51" s="547">
        <f>'4A. Tel. - Exps. &amp; OI x Month'!$L84</f>
        <v/>
      </c>
      <c r="V51" s="547">
        <f>'4A. Tel. - Exps. &amp; OI x Month'!$M84</f>
        <v/>
      </c>
      <c r="W51" s="547">
        <f>'4A. Tel. - Exps. &amp; OI x Month'!$N84</f>
        <v/>
      </c>
      <c r="X51" s="547">
        <f>'4A. Tel. - Exps. &amp; OI x Month'!$O84</f>
        <v/>
      </c>
      <c r="Y51" s="547">
        <f>'4A. Tel. - Exps. &amp; OI x Month'!$P84</f>
        <v/>
      </c>
      <c r="Z51" s="547">
        <f>'4A. Tel. - Exps. &amp; OI x Month'!$Q84</f>
        <v/>
      </c>
      <c r="AA51" s="547">
        <f>'4A. Tel. - Exps. &amp; OI x Month'!$R84</f>
        <v/>
      </c>
      <c r="AB51" s="547">
        <f>'4A. Tel. - Exps. &amp; OI x Month'!$S84</f>
        <v/>
      </c>
      <c r="AC51" s="547">
        <f>'4A. Tel. - Exps. &amp; OI x Month'!$T84</f>
        <v/>
      </c>
      <c r="AD51" s="547">
        <f>'4A. Tel. - Exps. &amp; OI x Month'!$U84</f>
        <v/>
      </c>
      <c r="AE51" s="547">
        <f>'4A. Tel. - Exps. &amp; OI x Month'!$V84</f>
        <v/>
      </c>
      <c r="AF51" s="547">
        <f>'4A. Tel. - Exps. &amp; OI x Month'!$W84</f>
        <v/>
      </c>
      <c r="AG51" s="831" t="n"/>
      <c r="AH51" s="494">
        <f>SUM(U51:AF51)</f>
        <v/>
      </c>
      <c r="AI51" s="831" t="n"/>
      <c r="AJ51" s="547">
        <f>'4A. Tel. - Exps. &amp; OI x Month'!L176</f>
        <v/>
      </c>
      <c r="AK51" s="547">
        <f>'4A. Tel. - Exps. &amp; OI x Month'!M176</f>
        <v/>
      </c>
      <c r="AL51" s="547">
        <f>'4A. Tel. - Exps. &amp; OI x Month'!N176</f>
        <v/>
      </c>
      <c r="AM51" s="547">
        <f>'4A. Tel. - Exps. &amp; OI x Month'!O176</f>
        <v/>
      </c>
      <c r="AN51" s="547">
        <f>'4A. Tel. - Exps. &amp; OI x Month'!P176</f>
        <v/>
      </c>
      <c r="AO51" s="547">
        <f>'4A. Tel. - Exps. &amp; OI x Month'!Q176</f>
        <v/>
      </c>
      <c r="AP51" s="547">
        <f>'4A. Tel. - Exps. &amp; OI x Month'!R176</f>
        <v/>
      </c>
      <c r="AQ51" s="547">
        <f>'4A. Tel. - Exps. &amp; OI x Month'!S176</f>
        <v/>
      </c>
      <c r="AR51" s="547">
        <f>'4A. Tel. - Exps. &amp; OI x Month'!T176</f>
        <v/>
      </c>
      <c r="AS51" s="547">
        <f>'4A. Tel. - Exps. &amp; OI x Month'!U176</f>
        <v/>
      </c>
      <c r="AT51" s="547">
        <f>'4A. Tel. - Exps. &amp; OI x Month'!V176</f>
        <v/>
      </c>
      <c r="AU51" s="547">
        <f>'4A. Tel. - Exps. &amp; OI x Month'!W176</f>
        <v/>
      </c>
      <c r="AV51" s="507" t="n"/>
      <c r="AW51" s="494">
        <f>SUM(AJ51:AU51)</f>
        <v/>
      </c>
      <c r="AX51" s="507" t="n"/>
      <c r="AY51" s="547">
        <f>'4A. Tel. - Exps. &amp; OI x Month'!L268</f>
        <v/>
      </c>
      <c r="AZ51" s="547">
        <f>'4A. Tel. - Exps. &amp; OI x Month'!M268</f>
        <v/>
      </c>
      <c r="BA51" s="547">
        <f>'4A. Tel. - Exps. &amp; OI x Month'!N268</f>
        <v/>
      </c>
      <c r="BB51" s="547">
        <f>'4A. Tel. - Exps. &amp; OI x Month'!O268</f>
        <v/>
      </c>
      <c r="BC51" s="547">
        <f>'4A. Tel. - Exps. &amp; OI x Month'!P268</f>
        <v/>
      </c>
      <c r="BD51" s="547">
        <f>'4A. Tel. - Exps. &amp; OI x Month'!Q268</f>
        <v/>
      </c>
      <c r="BE51" s="547">
        <f>'4A. Tel. - Exps. &amp; OI x Month'!R268</f>
        <v/>
      </c>
      <c r="BF51" s="547">
        <f>'4A. Tel. - Exps. &amp; OI x Month'!S268</f>
        <v/>
      </c>
      <c r="BG51" s="547">
        <f>'4A. Tel. - Exps. &amp; OI x Month'!T268</f>
        <v/>
      </c>
      <c r="BH51" s="547">
        <f>'4A. Tel. - Exps. &amp; OI x Month'!U268</f>
        <v/>
      </c>
      <c r="BI51" s="547">
        <f>'4A. Tel. - Exps. &amp; OI x Month'!V268</f>
        <v/>
      </c>
      <c r="BJ51" s="547">
        <f>'4A. Tel. - Exps. &amp; OI x Month'!W268</f>
        <v/>
      </c>
      <c r="BK51" s="507" t="n"/>
      <c r="BL51" s="494">
        <f>SUM(AY51:BJ51)</f>
        <v/>
      </c>
      <c r="BM51" s="507" t="n"/>
      <c r="BN51" s="547">
        <f>'4A. Tel. - Exps. &amp; OI x Month'!L360</f>
        <v/>
      </c>
      <c r="BO51" s="547">
        <f>'4A. Tel. - Exps. &amp; OI x Month'!M360</f>
        <v/>
      </c>
      <c r="BP51" s="547">
        <f>'4A. Tel. - Exps. &amp; OI x Month'!N360</f>
        <v/>
      </c>
      <c r="BQ51" s="547">
        <f>'4A. Tel. - Exps. &amp; OI x Month'!O360</f>
        <v/>
      </c>
      <c r="BR51" s="547">
        <f>'4A. Tel. - Exps. &amp; OI x Month'!P360</f>
        <v/>
      </c>
      <c r="BS51" s="547">
        <f>'4A. Tel. - Exps. &amp; OI x Month'!Q360</f>
        <v/>
      </c>
      <c r="BT51" s="547">
        <f>'4A. Tel. - Exps. &amp; OI x Month'!R360</f>
        <v/>
      </c>
      <c r="BU51" s="547">
        <f>'4A. Tel. - Exps. &amp; OI x Month'!S360</f>
        <v/>
      </c>
      <c r="BV51" s="547">
        <f>'4A. Tel. - Exps. &amp; OI x Month'!T360</f>
        <v/>
      </c>
      <c r="BW51" s="547">
        <f>'4A. Tel. - Exps. &amp; OI x Month'!U360</f>
        <v/>
      </c>
      <c r="BX51" s="547">
        <f>'4A. Tel. - Exps. &amp; OI x Month'!V360</f>
        <v/>
      </c>
      <c r="BY51" s="547">
        <f>'4A. Tel. - Exps. &amp; OI x Month'!W360</f>
        <v/>
      </c>
      <c r="BZ51" s="507" t="n"/>
      <c r="CA51" s="494">
        <f>SUM(BN51:BY51)</f>
        <v/>
      </c>
      <c r="CB51" s="507" t="n"/>
      <c r="CC51" s="547">
        <f>'4A. Tel. - Exps. &amp; OI x Month'!L452</f>
        <v/>
      </c>
      <c r="CD51" s="547">
        <f>'4A. Tel. - Exps. &amp; OI x Month'!M452</f>
        <v/>
      </c>
      <c r="CE51" s="547">
        <f>'4A. Tel. - Exps. &amp; OI x Month'!N452</f>
        <v/>
      </c>
      <c r="CF51" s="547">
        <f>'4A. Tel. - Exps. &amp; OI x Month'!O452</f>
        <v/>
      </c>
      <c r="CG51" s="547">
        <f>'4A. Tel. - Exps. &amp; OI x Month'!P452</f>
        <v/>
      </c>
      <c r="CH51" s="547">
        <f>'4A. Tel. - Exps. &amp; OI x Month'!Q452</f>
        <v/>
      </c>
      <c r="CI51" s="547">
        <f>'4A. Tel. - Exps. &amp; OI x Month'!R452</f>
        <v/>
      </c>
      <c r="CJ51" s="547">
        <f>'4A. Tel. - Exps. &amp; OI x Month'!S452</f>
        <v/>
      </c>
      <c r="CK51" s="547">
        <f>'4A. Tel. - Exps. &amp; OI x Month'!T452</f>
        <v/>
      </c>
      <c r="CL51" s="547">
        <f>'4A. Tel. - Exps. &amp; OI x Month'!U452</f>
        <v/>
      </c>
      <c r="CM51" s="547">
        <f>'4A. Tel. - Exps. &amp; OI x Month'!V452</f>
        <v/>
      </c>
      <c r="CN51" s="547">
        <f>'4A. Tel. - Exps. &amp; OI x Month'!W452</f>
        <v/>
      </c>
      <c r="CP51" s="494">
        <f>SUM(CC51:CN51)</f>
        <v/>
      </c>
    </row>
    <row r="52" ht="15" customHeight="1" s="1883">
      <c r="B52" s="835" t="inlineStr">
        <is>
          <t>●</t>
        </is>
      </c>
      <c r="C52" s="383" t="inlineStr">
        <is>
          <t>Customer Rewards</t>
        </is>
      </c>
      <c r="D52" s="383" t="n"/>
      <c r="E52" s="386" t="n"/>
      <c r="F52" s="386" t="n"/>
      <c r="G52" s="386" t="n"/>
      <c r="H52" s="386" t="n"/>
      <c r="I52" s="547" t="n">
        <v>0</v>
      </c>
      <c r="J52" s="547" t="n">
        <v>0</v>
      </c>
      <c r="K52" s="547" t="n">
        <v>0</v>
      </c>
      <c r="L52" s="547" t="n">
        <v>0</v>
      </c>
      <c r="M52" s="547" t="n">
        <v>0</v>
      </c>
      <c r="N52" s="547" t="n">
        <v>0</v>
      </c>
      <c r="O52" s="547" t="n">
        <v>0</v>
      </c>
      <c r="P52" s="547" t="n">
        <v>0</v>
      </c>
      <c r="Q52" s="547" t="n">
        <v>0</v>
      </c>
      <c r="R52" s="386" t="n"/>
      <c r="S52" s="831">
        <f>SUM(I52:Q52)</f>
        <v/>
      </c>
      <c r="T52" s="386" t="n"/>
      <c r="U52" s="547">
        <f>'3B. Tel. - Rev. Detail x Month'!$J300</f>
        <v/>
      </c>
      <c r="V52" s="547">
        <f>'3B. Tel. - Rev. Detail x Month'!$K300</f>
        <v/>
      </c>
      <c r="W52" s="547">
        <f>'3B. Tel. - Rev. Detail x Month'!$L300</f>
        <v/>
      </c>
      <c r="X52" s="547">
        <f>'3B. Tel. - Rev. Detail x Month'!$M300</f>
        <v/>
      </c>
      <c r="Y52" s="547">
        <f>'3B. Tel. - Rev. Detail x Month'!$N300</f>
        <v/>
      </c>
      <c r="Z52" s="547">
        <f>'3B. Tel. - Rev. Detail x Month'!$O300</f>
        <v/>
      </c>
      <c r="AA52" s="547">
        <f>'3B. Tel. - Rev. Detail x Month'!$P300</f>
        <v/>
      </c>
      <c r="AB52" s="547">
        <f>'3B. Tel. - Rev. Detail x Month'!$Q300</f>
        <v/>
      </c>
      <c r="AC52" s="547">
        <f>'3B. Tel. - Rev. Detail x Month'!$R300</f>
        <v/>
      </c>
      <c r="AD52" s="547">
        <f>'3B. Tel. - Rev. Detail x Month'!$S300</f>
        <v/>
      </c>
      <c r="AE52" s="547">
        <f>'3B. Tel. - Rev. Detail x Month'!$T300</f>
        <v/>
      </c>
      <c r="AF52" s="547">
        <f>'3B. Tel. - Rev. Detail x Month'!$U300</f>
        <v/>
      </c>
      <c r="AG52" s="831" t="n"/>
      <c r="AH52" s="494">
        <f>SUM(U52:AF52)</f>
        <v/>
      </c>
      <c r="AI52" s="831" t="n"/>
      <c r="AJ52" s="547">
        <f>'3B. Tel. - Rev. Detail x Month'!J332</f>
        <v/>
      </c>
      <c r="AK52" s="547">
        <f>'3B. Tel. - Rev. Detail x Month'!K332</f>
        <v/>
      </c>
      <c r="AL52" s="547">
        <f>'3B. Tel. - Rev. Detail x Month'!L332</f>
        <v/>
      </c>
      <c r="AM52" s="547">
        <f>'3B. Tel. - Rev. Detail x Month'!M332</f>
        <v/>
      </c>
      <c r="AN52" s="547">
        <f>'3B. Tel. - Rev. Detail x Month'!N332</f>
        <v/>
      </c>
      <c r="AO52" s="547">
        <f>'3B. Tel. - Rev. Detail x Month'!O332</f>
        <v/>
      </c>
      <c r="AP52" s="547">
        <f>'3B. Tel. - Rev. Detail x Month'!P332</f>
        <v/>
      </c>
      <c r="AQ52" s="547">
        <f>'3B. Tel. - Rev. Detail x Month'!Q332</f>
        <v/>
      </c>
      <c r="AR52" s="547">
        <f>'3B. Tel. - Rev. Detail x Month'!R332</f>
        <v/>
      </c>
      <c r="AS52" s="547">
        <f>'3B. Tel. - Rev. Detail x Month'!S332</f>
        <v/>
      </c>
      <c r="AT52" s="547">
        <f>'3B. Tel. - Rev. Detail x Month'!T332</f>
        <v/>
      </c>
      <c r="AU52" s="547">
        <f>'3B. Tel. - Rev. Detail x Month'!U332</f>
        <v/>
      </c>
      <c r="AV52" s="507" t="n"/>
      <c r="AW52" s="494">
        <f>SUM(AJ52:AU52)</f>
        <v/>
      </c>
      <c r="AX52" s="507" t="n"/>
      <c r="AY52" s="547">
        <f>'3B. Tel. - Rev. Detail x Month'!J364</f>
        <v/>
      </c>
      <c r="AZ52" s="547">
        <f>'3B. Tel. - Rev. Detail x Month'!K364</f>
        <v/>
      </c>
      <c r="BA52" s="547">
        <f>'3B. Tel. - Rev. Detail x Month'!L364</f>
        <v/>
      </c>
      <c r="BB52" s="547">
        <f>'3B. Tel. - Rev. Detail x Month'!M364</f>
        <v/>
      </c>
      <c r="BC52" s="547">
        <f>'3B. Tel. - Rev. Detail x Month'!N364</f>
        <v/>
      </c>
      <c r="BD52" s="547">
        <f>'3B. Tel. - Rev. Detail x Month'!O364</f>
        <v/>
      </c>
      <c r="BE52" s="547">
        <f>'3B. Tel. - Rev. Detail x Month'!P364</f>
        <v/>
      </c>
      <c r="BF52" s="547">
        <f>'3B. Tel. - Rev. Detail x Month'!Q364</f>
        <v/>
      </c>
      <c r="BG52" s="547">
        <f>'3B. Tel. - Rev. Detail x Month'!R364</f>
        <v/>
      </c>
      <c r="BH52" s="547">
        <f>'3B. Tel. - Rev. Detail x Month'!S364</f>
        <v/>
      </c>
      <c r="BI52" s="547">
        <f>'3B. Tel. - Rev. Detail x Month'!T364</f>
        <v/>
      </c>
      <c r="BJ52" s="547">
        <f>'3B. Tel. - Rev. Detail x Month'!U364</f>
        <v/>
      </c>
      <c r="BK52" s="507" t="n"/>
      <c r="BL52" s="494">
        <f>SUM(AY52:BJ52)</f>
        <v/>
      </c>
      <c r="BM52" s="507" t="n"/>
      <c r="BN52" s="547">
        <f>'3B. Tel. - Rev. Detail x Month'!J396</f>
        <v/>
      </c>
      <c r="BO52" s="547">
        <f>'3B. Tel. - Rev. Detail x Month'!K396</f>
        <v/>
      </c>
      <c r="BP52" s="547">
        <f>'3B. Tel. - Rev. Detail x Month'!L396</f>
        <v/>
      </c>
      <c r="BQ52" s="547">
        <f>'3B. Tel. - Rev. Detail x Month'!M396</f>
        <v/>
      </c>
      <c r="BR52" s="547">
        <f>'3B. Tel. - Rev. Detail x Month'!N396</f>
        <v/>
      </c>
      <c r="BS52" s="547">
        <f>'3B. Tel. - Rev. Detail x Month'!O396</f>
        <v/>
      </c>
      <c r="BT52" s="547">
        <f>'3B. Tel. - Rev. Detail x Month'!P396</f>
        <v/>
      </c>
      <c r="BU52" s="547">
        <f>'3B. Tel. - Rev. Detail x Month'!Q396</f>
        <v/>
      </c>
      <c r="BV52" s="547">
        <f>'3B. Tel. - Rev. Detail x Month'!R396</f>
        <v/>
      </c>
      <c r="BW52" s="547">
        <f>'3B. Tel. - Rev. Detail x Month'!S396</f>
        <v/>
      </c>
      <c r="BX52" s="547">
        <f>'3B. Tel. - Rev. Detail x Month'!T396</f>
        <v/>
      </c>
      <c r="BY52" s="547">
        <f>'3B. Tel. - Rev. Detail x Month'!U396</f>
        <v/>
      </c>
      <c r="BZ52" s="507" t="n"/>
      <c r="CA52" s="494">
        <f>SUM(BN52:BY52)</f>
        <v/>
      </c>
      <c r="CB52" s="507" t="n"/>
      <c r="CC52" s="547">
        <f>'3B. Tel. - Rev. Detail x Month'!J428</f>
        <v/>
      </c>
      <c r="CD52" s="547">
        <f>'3B. Tel. - Rev. Detail x Month'!K428</f>
        <v/>
      </c>
      <c r="CE52" s="547">
        <f>'3B. Tel. - Rev. Detail x Month'!L428</f>
        <v/>
      </c>
      <c r="CF52" s="547">
        <f>'3B. Tel. - Rev. Detail x Month'!M428</f>
        <v/>
      </c>
      <c r="CG52" s="547">
        <f>'3B. Tel. - Rev. Detail x Month'!N428</f>
        <v/>
      </c>
      <c r="CH52" s="547">
        <f>'3B. Tel. - Rev. Detail x Month'!O428</f>
        <v/>
      </c>
      <c r="CI52" s="547">
        <f>'3B. Tel. - Rev. Detail x Month'!P428</f>
        <v/>
      </c>
      <c r="CJ52" s="547">
        <f>'3B. Tel. - Rev. Detail x Month'!Q428</f>
        <v/>
      </c>
      <c r="CK52" s="547">
        <f>'3B. Tel. - Rev. Detail x Month'!R428</f>
        <v/>
      </c>
      <c r="CL52" s="547">
        <f>'3B. Tel. - Rev. Detail x Month'!S428</f>
        <v/>
      </c>
      <c r="CM52" s="547">
        <f>'3B. Tel. - Rev. Detail x Month'!T428</f>
        <v/>
      </c>
      <c r="CN52" s="547">
        <f>'3B. Tel. - Rev. Detail x Month'!U428</f>
        <v/>
      </c>
      <c r="CP52" s="494">
        <f>SUM(CC52:CN52)</f>
        <v/>
      </c>
    </row>
    <row r="53" ht="15" customHeight="1" s="1883">
      <c r="B53" s="835" t="inlineStr">
        <is>
          <t>●</t>
        </is>
      </c>
      <c r="C53" s="383" t="inlineStr">
        <is>
          <t>Melanie Salvador Commission (paid over five months)</t>
        </is>
      </c>
      <c r="D53" s="383" t="n"/>
      <c r="E53" s="386" t="n"/>
      <c r="F53" s="386" t="n"/>
      <c r="G53" s="386" t="n"/>
      <c r="H53" s="386" t="n"/>
      <c r="I53" s="547">
        <f>(((0.05)*(25000000))/(5))</f>
        <v/>
      </c>
      <c r="J53" s="547">
        <f>(((0.05)*(25000000))/(5))</f>
        <v/>
      </c>
      <c r="K53" s="547">
        <f>(((0.05)*(25000000))/(5))</f>
        <v/>
      </c>
      <c r="L53" s="547">
        <f>(((0.05)*(25000000))/(5))</f>
        <v/>
      </c>
      <c r="M53" s="547">
        <f>(((0.05)*(25000000))/(5))</f>
        <v/>
      </c>
      <c r="N53" s="547" t="n">
        <v>0</v>
      </c>
      <c r="O53" s="547" t="n">
        <v>0</v>
      </c>
      <c r="P53" s="547" t="n">
        <v>0</v>
      </c>
      <c r="Q53" s="547" t="n">
        <v>0</v>
      </c>
      <c r="R53" s="386" t="n"/>
      <c r="S53" s="831">
        <f>SUM(I53:Q53)</f>
        <v/>
      </c>
      <c r="T53" s="386" t="n"/>
      <c r="U53" s="907" t="n">
        <v>0</v>
      </c>
      <c r="V53" s="907" t="n">
        <v>0</v>
      </c>
      <c r="W53" s="907" t="n">
        <v>0</v>
      </c>
      <c r="X53" s="907" t="n">
        <v>0</v>
      </c>
      <c r="Y53" s="907" t="n">
        <v>0</v>
      </c>
      <c r="Z53" s="907" t="n">
        <v>0</v>
      </c>
      <c r="AA53" s="907" t="n">
        <v>0</v>
      </c>
      <c r="AB53" s="907" t="n">
        <v>0</v>
      </c>
      <c r="AC53" s="907" t="n">
        <v>0</v>
      </c>
      <c r="AD53" s="907" t="n">
        <v>0</v>
      </c>
      <c r="AE53" s="907" t="n">
        <v>0</v>
      </c>
      <c r="AF53" s="907" t="n">
        <v>0</v>
      </c>
      <c r="AG53" s="908" t="n"/>
      <c r="AH53" s="909">
        <f>SUM(U53:AF53)</f>
        <v/>
      </c>
      <c r="AI53" s="831" t="n"/>
      <c r="AJ53" s="907" t="n">
        <v>0</v>
      </c>
      <c r="AK53" s="907" t="n">
        <v>0</v>
      </c>
      <c r="AL53" s="907" t="n">
        <v>0</v>
      </c>
      <c r="AM53" s="907" t="n">
        <v>0</v>
      </c>
      <c r="AN53" s="907" t="n">
        <v>0</v>
      </c>
      <c r="AO53" s="907" t="n">
        <v>0</v>
      </c>
      <c r="AP53" s="907" t="n">
        <v>0</v>
      </c>
      <c r="AQ53" s="907" t="n">
        <v>0</v>
      </c>
      <c r="AR53" s="907" t="n">
        <v>0</v>
      </c>
      <c r="AS53" s="907" t="n">
        <v>0</v>
      </c>
      <c r="AT53" s="907" t="n">
        <v>0</v>
      </c>
      <c r="AU53" s="907" t="n">
        <v>0</v>
      </c>
      <c r="AV53" s="908" t="n"/>
      <c r="AW53" s="909">
        <f>SUM(AJ53:AU53)</f>
        <v/>
      </c>
      <c r="AX53" s="507" t="n"/>
      <c r="AY53" s="907" t="n">
        <v>0</v>
      </c>
      <c r="AZ53" s="907" t="n">
        <v>0</v>
      </c>
      <c r="BA53" s="907" t="n">
        <v>0</v>
      </c>
      <c r="BB53" s="907" t="n">
        <v>0</v>
      </c>
      <c r="BC53" s="907" t="n">
        <v>0</v>
      </c>
      <c r="BD53" s="907" t="n">
        <v>0</v>
      </c>
      <c r="BE53" s="907" t="n">
        <v>0</v>
      </c>
      <c r="BF53" s="907" t="n">
        <v>0</v>
      </c>
      <c r="BG53" s="907" t="n">
        <v>0</v>
      </c>
      <c r="BH53" s="907" t="n">
        <v>0</v>
      </c>
      <c r="BI53" s="907" t="n">
        <v>0</v>
      </c>
      <c r="BJ53" s="907" t="n">
        <v>0</v>
      </c>
      <c r="BK53" s="908" t="n"/>
      <c r="BL53" s="909">
        <f>SUM(AY53:BJ53)</f>
        <v/>
      </c>
      <c r="BM53" s="507" t="n"/>
      <c r="BN53" s="907" t="n">
        <v>0</v>
      </c>
      <c r="BO53" s="907" t="n">
        <v>0</v>
      </c>
      <c r="BP53" s="907" t="n">
        <v>0</v>
      </c>
      <c r="BQ53" s="907" t="n">
        <v>0</v>
      </c>
      <c r="BR53" s="907" t="n">
        <v>0</v>
      </c>
      <c r="BS53" s="907" t="n">
        <v>0</v>
      </c>
      <c r="BT53" s="907" t="n">
        <v>0</v>
      </c>
      <c r="BU53" s="907" t="n">
        <v>0</v>
      </c>
      <c r="BV53" s="907" t="n">
        <v>0</v>
      </c>
      <c r="BW53" s="907" t="n">
        <v>0</v>
      </c>
      <c r="BX53" s="907" t="n">
        <v>0</v>
      </c>
      <c r="BY53" s="907" t="n">
        <v>0</v>
      </c>
      <c r="BZ53" s="908" t="n"/>
      <c r="CA53" s="909">
        <f>SUM(BN53:BY53)</f>
        <v/>
      </c>
      <c r="CB53" s="507" t="n"/>
      <c r="CC53" s="907" t="n">
        <v>0</v>
      </c>
      <c r="CD53" s="907" t="n">
        <v>0</v>
      </c>
      <c r="CE53" s="907" t="n">
        <v>0</v>
      </c>
      <c r="CF53" s="907" t="n">
        <v>0</v>
      </c>
      <c r="CG53" s="907" t="n">
        <v>0</v>
      </c>
      <c r="CH53" s="907" t="n">
        <v>0</v>
      </c>
      <c r="CI53" s="907" t="n">
        <v>0</v>
      </c>
      <c r="CJ53" s="907" t="n">
        <v>0</v>
      </c>
      <c r="CK53" s="907" t="n">
        <v>0</v>
      </c>
      <c r="CL53" s="907" t="n">
        <v>0</v>
      </c>
      <c r="CM53" s="907" t="n">
        <v>0</v>
      </c>
      <c r="CN53" s="907" t="n">
        <v>0</v>
      </c>
      <c r="CO53" s="908" t="n"/>
      <c r="CP53" s="909">
        <f>SUM(CC53:CN53)</f>
        <v/>
      </c>
    </row>
    <row r="54" ht="15" customHeight="1" s="1883">
      <c r="B54" s="835" t="inlineStr">
        <is>
          <t>●</t>
        </is>
      </c>
      <c r="C54" s="383" t="inlineStr">
        <is>
          <t>Capital Expenditures</t>
        </is>
      </c>
      <c r="D54" s="383" t="n"/>
      <c r="E54" s="386" t="n"/>
      <c r="F54" s="386" t="n"/>
      <c r="G54" s="386" t="n"/>
      <c r="H54" s="386" t="n"/>
      <c r="I54" s="547">
        <f>(('Cash Flow'!H24)*(-1))</f>
        <v/>
      </c>
      <c r="J54" s="547">
        <f>(('Cash Flow'!I24)*(-1))</f>
        <v/>
      </c>
      <c r="K54" s="547">
        <f>(('Cash Flow'!J24)*(-1))</f>
        <v/>
      </c>
      <c r="L54" s="547">
        <f>(('Cash Flow'!K24)*(-1))</f>
        <v/>
      </c>
      <c r="M54" s="547">
        <f>(('Cash Flow'!L24)*(-1))</f>
        <v/>
      </c>
      <c r="N54" s="547">
        <f>(('Cash Flow'!M24)*(-1))</f>
        <v/>
      </c>
      <c r="O54" s="547">
        <f>(('Cash Flow'!N24)*(-1))</f>
        <v/>
      </c>
      <c r="P54" s="547">
        <f>(('Cash Flow'!O24)*(-1))</f>
        <v/>
      </c>
      <c r="Q54" s="547">
        <f>(('Cash Flow'!P24)*(-1))</f>
        <v/>
      </c>
      <c r="R54" s="386" t="n"/>
      <c r="S54" s="831">
        <f>SUM(I54:Q54)</f>
        <v/>
      </c>
      <c r="T54" s="386" t="n"/>
      <c r="U54" s="547">
        <f>(('Cash Flow'!Q24)*(-1))</f>
        <v/>
      </c>
      <c r="V54" s="547">
        <f>(('Cash Flow'!R24)*(-1))</f>
        <v/>
      </c>
      <c r="W54" s="547">
        <f>(('Cash Flow'!S24)*(-1))</f>
        <v/>
      </c>
      <c r="X54" s="547">
        <f>(('Cash Flow'!T24)*(-1))</f>
        <v/>
      </c>
      <c r="Y54" s="547">
        <f>(('Cash Flow'!U24)*(-1))</f>
        <v/>
      </c>
      <c r="Z54" s="547">
        <f>(('Cash Flow'!V24)*(-1))</f>
        <v/>
      </c>
      <c r="AA54" s="547">
        <f>(('Cash Flow'!W24)*(-1))</f>
        <v/>
      </c>
      <c r="AB54" s="547">
        <f>(('Cash Flow'!X24)*(-1))</f>
        <v/>
      </c>
      <c r="AC54" s="547">
        <f>(('Cash Flow'!Y24)*(-1))</f>
        <v/>
      </c>
      <c r="AD54" s="547">
        <f>(('Cash Flow'!Z24)*(-1))</f>
        <v/>
      </c>
      <c r="AE54" s="547">
        <f>(('Cash Flow'!AA24)*(-1))</f>
        <v/>
      </c>
      <c r="AF54" s="547">
        <f>(('Cash Flow'!AB24)*(-1))</f>
        <v/>
      </c>
      <c r="AG54" s="831" t="n"/>
      <c r="AH54" s="494">
        <f>SUM(U54:AF54)</f>
        <v/>
      </c>
      <c r="AI54" s="831" t="n"/>
      <c r="AJ54" s="547">
        <f>(('Cash Flow'!AC24)*(-1))</f>
        <v/>
      </c>
      <c r="AK54" s="547">
        <f>(('Cash Flow'!AD24)*(-1))</f>
        <v/>
      </c>
      <c r="AL54" s="547">
        <f>(('Cash Flow'!AE24)*(-1))</f>
        <v/>
      </c>
      <c r="AM54" s="547">
        <f>(('Cash Flow'!AF24)*(-1))</f>
        <v/>
      </c>
      <c r="AN54" s="547">
        <f>(('Cash Flow'!AG24)*(-1))</f>
        <v/>
      </c>
      <c r="AO54" s="547">
        <f>(('Cash Flow'!AH24)*(-1))</f>
        <v/>
      </c>
      <c r="AP54" s="547">
        <f>(('Cash Flow'!AI24)*(-1))</f>
        <v/>
      </c>
      <c r="AQ54" s="547">
        <f>(('Cash Flow'!AJ24)*(-1))</f>
        <v/>
      </c>
      <c r="AR54" s="547">
        <f>(('Cash Flow'!AK24)*(-1))</f>
        <v/>
      </c>
      <c r="AS54" s="547">
        <f>(('Cash Flow'!AL24)*(-1))</f>
        <v/>
      </c>
      <c r="AT54" s="547">
        <f>(('Cash Flow'!AM24)*(-1))</f>
        <v/>
      </c>
      <c r="AU54" s="547">
        <f>(('Cash Flow'!AN24)*(-1))</f>
        <v/>
      </c>
      <c r="AV54" s="507" t="n"/>
      <c r="AW54" s="494">
        <f>SUM(AJ54:AU54)</f>
        <v/>
      </c>
      <c r="AX54" s="507" t="n"/>
      <c r="AY54" s="462">
        <f>(('Cash Flow'!AO24)*(-1))</f>
        <v/>
      </c>
      <c r="AZ54" s="462">
        <f>(('Cash Flow'!AP24)*(-1))</f>
        <v/>
      </c>
      <c r="BA54" s="462">
        <f>(('Cash Flow'!AQ24)*(-1))</f>
        <v/>
      </c>
      <c r="BB54" s="462">
        <f>(('Cash Flow'!AR24)*(-1))</f>
        <v/>
      </c>
      <c r="BC54" s="462">
        <f>(('Cash Flow'!AS24)*(-1))</f>
        <v/>
      </c>
      <c r="BD54" s="462">
        <f>(('Cash Flow'!AT24)*(-1))</f>
        <v/>
      </c>
      <c r="BE54" s="462">
        <f>(('Cash Flow'!AU24)*(-1))</f>
        <v/>
      </c>
      <c r="BF54" s="462">
        <f>(('Cash Flow'!AV24)*(-1))</f>
        <v/>
      </c>
      <c r="BG54" s="462">
        <f>(('Cash Flow'!AW24)*(-1))</f>
        <v/>
      </c>
      <c r="BH54" s="462">
        <f>(('Cash Flow'!AX24)*(-1))</f>
        <v/>
      </c>
      <c r="BI54" s="462">
        <f>(('Cash Flow'!AY24)*(-1))</f>
        <v/>
      </c>
      <c r="BJ54" s="462">
        <f>(('Cash Flow'!AZ24)*(-1))</f>
        <v/>
      </c>
      <c r="BK54" s="507" t="n"/>
      <c r="BL54" s="494">
        <f>SUM(AY54:BJ54)</f>
        <v/>
      </c>
      <c r="BM54" s="507" t="n"/>
      <c r="BN54" s="462">
        <f>(('Cash Flow'!BA24)*(-1))</f>
        <v/>
      </c>
      <c r="BO54" s="462">
        <f>(('Cash Flow'!BB24)*(-1))</f>
        <v/>
      </c>
      <c r="BP54" s="462">
        <f>(('Cash Flow'!BC24)*(-1))</f>
        <v/>
      </c>
      <c r="BQ54" s="462">
        <f>(('Cash Flow'!BD24)*(-1))</f>
        <v/>
      </c>
      <c r="BR54" s="462">
        <f>(('Cash Flow'!BE24)*(-1))</f>
        <v/>
      </c>
      <c r="BS54" s="462">
        <f>(('Cash Flow'!BF24)*(-1))</f>
        <v/>
      </c>
      <c r="BT54" s="462">
        <f>(('Cash Flow'!BG24)*(-1))</f>
        <v/>
      </c>
      <c r="BU54" s="462">
        <f>(('Cash Flow'!BH24)*(-1))</f>
        <v/>
      </c>
      <c r="BV54" s="462">
        <f>(('Cash Flow'!BI24)*(-1))</f>
        <v/>
      </c>
      <c r="BW54" s="462">
        <f>(('Cash Flow'!BJ24)*(-1))</f>
        <v/>
      </c>
      <c r="BX54" s="462">
        <f>(('Cash Flow'!BK24)*(-1))</f>
        <v/>
      </c>
      <c r="BY54" s="462">
        <f>(('Cash Flow'!BL24)*(-1))</f>
        <v/>
      </c>
      <c r="BZ54" s="507" t="n"/>
      <c r="CA54" s="494">
        <f>SUM(BN54:BY54)</f>
        <v/>
      </c>
      <c r="CB54" s="507" t="n"/>
      <c r="CC54" s="462">
        <f>(('Cash Flow'!BM24)*(-1))</f>
        <v/>
      </c>
      <c r="CD54" s="462">
        <f>(('Cash Flow'!BN24)*(-1))</f>
        <v/>
      </c>
      <c r="CE54" s="462">
        <f>(('Cash Flow'!BO24)*(-1))</f>
        <v/>
      </c>
      <c r="CF54" s="462">
        <f>(('Cash Flow'!BP24)*(-1))</f>
        <v/>
      </c>
      <c r="CG54" s="462">
        <f>(('Cash Flow'!BQ24)*(-1))</f>
        <v/>
      </c>
      <c r="CH54" s="462">
        <f>(('Cash Flow'!BR24)*(-1))</f>
        <v/>
      </c>
      <c r="CI54" s="462">
        <f>(('Cash Flow'!BS24)*(-1))</f>
        <v/>
      </c>
      <c r="CJ54" s="462">
        <f>(('Cash Flow'!BT24)*(-1))</f>
        <v/>
      </c>
      <c r="CK54" s="462">
        <f>(('Cash Flow'!BU24)*(-1))</f>
        <v/>
      </c>
      <c r="CL54" s="462">
        <f>(('Cash Flow'!BV24)*(-1))</f>
        <v/>
      </c>
      <c r="CM54" s="462">
        <f>(('Cash Flow'!BW24)*(-1))</f>
        <v/>
      </c>
      <c r="CN54" s="462">
        <f>(('Cash Flow'!BX24)*(-1))</f>
        <v/>
      </c>
      <c r="CP54" s="494">
        <f>SUM(CC54:CN54)</f>
        <v/>
      </c>
    </row>
    <row r="55" ht="15" customHeight="1" s="1883">
      <c r="B55" s="835" t="inlineStr">
        <is>
          <t>●</t>
        </is>
      </c>
      <c r="C55" s="383" t="inlineStr">
        <is>
          <t xml:space="preserve">Further Raise Expenses - Prep for initial token release as well </t>
        </is>
      </c>
      <c r="D55" s="383" t="n"/>
      <c r="E55" s="386" t="n"/>
      <c r="F55" s="386" t="n"/>
      <c r="G55" s="386" t="n"/>
      <c r="H55" s="386" t="n"/>
      <c r="I55" s="547" t="n">
        <v>0</v>
      </c>
      <c r="J55" s="547" t="n">
        <v>0</v>
      </c>
      <c r="K55" s="547" t="n">
        <v>0</v>
      </c>
      <c r="L55" s="547" t="n">
        <v>0</v>
      </c>
      <c r="M55" s="547" t="n">
        <v>0</v>
      </c>
      <c r="N55" s="547" t="n">
        <v>0</v>
      </c>
      <c r="O55" s="547" t="n">
        <v>0</v>
      </c>
      <c r="P55" s="547" t="n">
        <v>0</v>
      </c>
      <c r="Q55" s="547" t="n">
        <v>0</v>
      </c>
      <c r="R55" s="386" t="n"/>
      <c r="S55" s="831">
        <f>SUM(I55:Q55)</f>
        <v/>
      </c>
      <c r="T55" s="386" t="n"/>
      <c r="U55" s="547">
        <f>((2600000)/(7))</f>
        <v/>
      </c>
      <c r="V55" s="547">
        <f>((2600000)/(7))</f>
        <v/>
      </c>
      <c r="W55" s="547">
        <f>((2600000)/(7))</f>
        <v/>
      </c>
      <c r="X55" s="547">
        <f>((2600000)/(7))</f>
        <v/>
      </c>
      <c r="Y55" s="547">
        <f>((2600000)/(7))</f>
        <v/>
      </c>
      <c r="Z55" s="547">
        <f>((2600000)/(7))</f>
        <v/>
      </c>
      <c r="AA55" s="547">
        <f>((2600000)/(7))</f>
        <v/>
      </c>
      <c r="AB55" s="547" t="n">
        <v>0</v>
      </c>
      <c r="AC55" s="547" t="n">
        <v>0</v>
      </c>
      <c r="AD55" s="547" t="n">
        <v>0</v>
      </c>
      <c r="AE55" s="547" t="n">
        <v>0</v>
      </c>
      <c r="AF55" s="547" t="n">
        <v>0</v>
      </c>
      <c r="AG55" s="831" t="n"/>
      <c r="AH55" s="494">
        <f>SUM(U55:AF55)</f>
        <v/>
      </c>
      <c r="AI55" s="831" t="n"/>
      <c r="AJ55" s="907" t="n">
        <v>0</v>
      </c>
      <c r="AK55" s="907" t="n">
        <v>0</v>
      </c>
      <c r="AL55" s="907" t="n">
        <v>0</v>
      </c>
      <c r="AM55" s="907" t="n">
        <v>0</v>
      </c>
      <c r="AN55" s="907" t="n">
        <v>0</v>
      </c>
      <c r="AO55" s="907" t="n">
        <v>0</v>
      </c>
      <c r="AP55" s="907" t="n">
        <v>0</v>
      </c>
      <c r="AQ55" s="907" t="n">
        <v>0</v>
      </c>
      <c r="AR55" s="907" t="n">
        <v>0</v>
      </c>
      <c r="AS55" s="907" t="n">
        <v>0</v>
      </c>
      <c r="AT55" s="907" t="n">
        <v>0</v>
      </c>
      <c r="AU55" s="907" t="n">
        <v>0</v>
      </c>
      <c r="AV55" s="908" t="n"/>
      <c r="AW55" s="909">
        <f>SUM(AJ55:AU55)</f>
        <v/>
      </c>
      <c r="AX55" s="507" t="n"/>
      <c r="AY55" s="907" t="n">
        <v>0</v>
      </c>
      <c r="AZ55" s="907" t="n">
        <v>0</v>
      </c>
      <c r="BA55" s="907" t="n">
        <v>0</v>
      </c>
      <c r="BB55" s="907" t="n">
        <v>0</v>
      </c>
      <c r="BC55" s="907" t="n">
        <v>0</v>
      </c>
      <c r="BD55" s="907" t="n">
        <v>0</v>
      </c>
      <c r="BE55" s="907" t="n">
        <v>0</v>
      </c>
      <c r="BF55" s="907" t="n">
        <v>0</v>
      </c>
      <c r="BG55" s="907" t="n">
        <v>0</v>
      </c>
      <c r="BH55" s="907" t="n">
        <v>0</v>
      </c>
      <c r="BI55" s="907" t="n">
        <v>0</v>
      </c>
      <c r="BJ55" s="907" t="n">
        <v>0</v>
      </c>
      <c r="BK55" s="908" t="n"/>
      <c r="BL55" s="909">
        <f>SUM(AY55:BJ55)</f>
        <v/>
      </c>
      <c r="BM55" s="507" t="n"/>
      <c r="BN55" s="907" t="n">
        <v>0</v>
      </c>
      <c r="BO55" s="907" t="n">
        <v>0</v>
      </c>
      <c r="BP55" s="907" t="n">
        <v>0</v>
      </c>
      <c r="BQ55" s="907" t="n">
        <v>0</v>
      </c>
      <c r="BR55" s="907" t="n">
        <v>0</v>
      </c>
      <c r="BS55" s="907" t="n">
        <v>0</v>
      </c>
      <c r="BT55" s="907" t="n">
        <v>0</v>
      </c>
      <c r="BU55" s="907" t="n">
        <v>0</v>
      </c>
      <c r="BV55" s="907" t="n">
        <v>0</v>
      </c>
      <c r="BW55" s="907" t="n">
        <v>0</v>
      </c>
      <c r="BX55" s="907" t="n">
        <v>0</v>
      </c>
      <c r="BY55" s="907" t="n">
        <v>0</v>
      </c>
      <c r="BZ55" s="908" t="n"/>
      <c r="CA55" s="909">
        <f>SUM(BN55:BY55)</f>
        <v/>
      </c>
      <c r="CB55" s="507" t="n"/>
      <c r="CC55" s="907" t="n">
        <v>0</v>
      </c>
      <c r="CD55" s="907" t="n">
        <v>0</v>
      </c>
      <c r="CE55" s="907" t="n">
        <v>0</v>
      </c>
      <c r="CF55" s="907" t="n">
        <v>0</v>
      </c>
      <c r="CG55" s="907" t="n">
        <v>0</v>
      </c>
      <c r="CH55" s="907" t="n">
        <v>0</v>
      </c>
      <c r="CI55" s="907" t="n">
        <v>0</v>
      </c>
      <c r="CJ55" s="907" t="n">
        <v>0</v>
      </c>
      <c r="CK55" s="907" t="n">
        <v>0</v>
      </c>
      <c r="CL55" s="907" t="n">
        <v>0</v>
      </c>
      <c r="CM55" s="907" t="n">
        <v>0</v>
      </c>
      <c r="CN55" s="907" t="n">
        <v>0</v>
      </c>
      <c r="CO55" s="908" t="n"/>
      <c r="CP55" s="909">
        <f>SUM(CC55:CN55)</f>
        <v/>
      </c>
    </row>
    <row r="56" ht="15" customHeight="1" s="1883">
      <c r="B56" s="835" t="inlineStr">
        <is>
          <t>●</t>
        </is>
      </c>
      <c r="C56" s="383" t="inlineStr">
        <is>
          <t>Working Capital Financing - Repayments</t>
        </is>
      </c>
      <c r="D56" s="383" t="n"/>
      <c r="E56" s="386" t="n"/>
      <c r="F56" s="386" t="n"/>
      <c r="G56" s="386" t="n"/>
      <c r="H56" s="386" t="n"/>
      <c r="I56" s="547" t="n">
        <v>0</v>
      </c>
      <c r="J56" s="547" t="n">
        <v>0</v>
      </c>
      <c r="K56" s="547" t="n">
        <v>0</v>
      </c>
      <c r="L56" s="547" t="n">
        <v>0</v>
      </c>
      <c r="M56" s="547" t="n">
        <v>0</v>
      </c>
      <c r="N56" s="547" t="n">
        <v>0</v>
      </c>
      <c r="O56" s="547" t="n">
        <v>0</v>
      </c>
      <c r="P56" s="547" t="n">
        <v>0</v>
      </c>
      <c r="Q56" s="547" t="n">
        <v>0</v>
      </c>
      <c r="R56" s="386" t="n"/>
      <c r="S56" s="831">
        <f>SUM(I56:Q56)</f>
        <v/>
      </c>
      <c r="T56" s="386" t="n"/>
      <c r="U56" s="547" t="n">
        <v>0</v>
      </c>
      <c r="V56" s="547" t="n">
        <v>0</v>
      </c>
      <c r="W56" s="547" t="n">
        <v>0</v>
      </c>
      <c r="X56" s="547" t="n">
        <v>0</v>
      </c>
      <c r="Y56" s="547" t="n">
        <v>0</v>
      </c>
      <c r="Z56" s="547" t="n">
        <v>0</v>
      </c>
      <c r="AA56" s="547" t="n">
        <v>0</v>
      </c>
      <c r="AB56" s="547" t="n">
        <v>0</v>
      </c>
      <c r="AC56" s="547" t="n">
        <v>0</v>
      </c>
      <c r="AD56" s="547" t="n">
        <v>0</v>
      </c>
      <c r="AE56" s="547" t="n">
        <v>0</v>
      </c>
      <c r="AF56" s="547" t="n">
        <v>0</v>
      </c>
      <c r="AG56" s="831" t="n"/>
      <c r="AH56" s="494">
        <f>SUM(U56:AF56)</f>
        <v/>
      </c>
      <c r="AI56" s="831" t="n"/>
      <c r="AJ56" s="547" t="n">
        <v>0</v>
      </c>
      <c r="AK56" s="547" t="n">
        <v>0</v>
      </c>
      <c r="AL56" s="547" t="n">
        <v>0</v>
      </c>
      <c r="AM56" s="547" t="n">
        <v>0</v>
      </c>
      <c r="AN56" s="547" t="n">
        <v>0</v>
      </c>
      <c r="AO56" s="547" t="n">
        <v>0</v>
      </c>
      <c r="AP56" s="547" t="n">
        <v>0</v>
      </c>
      <c r="AQ56" s="547" t="n">
        <v>0</v>
      </c>
      <c r="AR56" s="547" t="n">
        <v>0</v>
      </c>
      <c r="AS56" s="547" t="n">
        <v>0</v>
      </c>
      <c r="AT56" s="547" t="n">
        <v>0</v>
      </c>
      <c r="AU56" s="547" t="n">
        <v>0</v>
      </c>
      <c r="AV56" s="507" t="n"/>
      <c r="AW56" s="507" t="n"/>
      <c r="AX56" s="507" t="n"/>
      <c r="AY56" s="507" t="n"/>
      <c r="AZ56" s="507" t="n"/>
      <c r="BA56" s="507" t="n"/>
      <c r="BB56" s="507" t="n"/>
      <c r="BC56" s="507" t="n"/>
      <c r="BD56" s="507" t="n"/>
      <c r="BE56" s="507" t="n"/>
      <c r="BF56" s="507" t="n"/>
      <c r="BG56" s="507" t="n"/>
      <c r="BH56" s="507" t="n"/>
      <c r="BI56" s="507" t="n"/>
      <c r="BJ56" s="507" t="n"/>
      <c r="BK56" s="507" t="n"/>
      <c r="BL56" s="507" t="n"/>
      <c r="BM56" s="507" t="n"/>
      <c r="BN56" s="507" t="n"/>
      <c r="BO56" s="507" t="n"/>
      <c r="BP56" s="507" t="n"/>
      <c r="BQ56" s="507" t="n"/>
      <c r="BR56" s="507" t="n"/>
      <c r="BS56" s="507" t="n"/>
      <c r="BT56" s="507" t="n"/>
      <c r="BU56" s="507" t="n"/>
      <c r="BV56" s="507" t="n"/>
      <c r="BW56" s="507" t="n"/>
      <c r="BX56" s="507" t="n"/>
      <c r="BY56" s="507" t="n"/>
      <c r="BZ56" s="507" t="n"/>
      <c r="CA56" s="507" t="n"/>
      <c r="CB56" s="507" t="n"/>
      <c r="CC56" s="507" t="n"/>
      <c r="CD56" s="507" t="n"/>
      <c r="CE56" s="507" t="n"/>
      <c r="CF56" s="507" t="n"/>
      <c r="CG56" s="507" t="n"/>
      <c r="CH56" s="507" t="n"/>
      <c r="CI56" s="507" t="n"/>
      <c r="CJ56" s="507" t="n"/>
    </row>
    <row r="57" ht="3" customHeight="1" s="1883">
      <c r="B57" s="383" t="n"/>
      <c r="C57" s="383" t="n"/>
      <c r="D57" s="383" t="n"/>
      <c r="E57" s="386" t="n"/>
      <c r="F57" s="386" t="n"/>
      <c r="G57" s="386" t="n"/>
      <c r="H57" s="386" t="n"/>
      <c r="I57" s="840" t="n"/>
      <c r="J57" s="840" t="n"/>
      <c r="K57" s="840" t="n"/>
      <c r="L57" s="840" t="n"/>
      <c r="M57" s="840" t="n"/>
      <c r="N57" s="841" t="n"/>
      <c r="O57" s="841" t="n"/>
      <c r="P57" s="841" t="n"/>
      <c r="Q57" s="841" t="n"/>
      <c r="R57" s="386" t="n"/>
      <c r="S57" s="646" t="n"/>
      <c r="T57" s="386" t="n"/>
      <c r="U57" s="840" t="n"/>
      <c r="V57" s="840" t="n"/>
      <c r="W57" s="840" t="n"/>
      <c r="X57" s="840" t="n"/>
      <c r="Y57" s="840" t="n"/>
      <c r="Z57" s="840" t="n"/>
      <c r="AA57" s="840" t="n"/>
      <c r="AB57" s="840" t="n"/>
      <c r="AC57" s="840" t="n"/>
      <c r="AD57" s="840" t="n"/>
      <c r="AE57" s="840" t="n"/>
      <c r="AF57" s="840" t="n"/>
      <c r="AG57" s="831" t="n"/>
      <c r="AH57" s="840" t="n"/>
      <c r="AI57" s="831" t="n"/>
      <c r="AJ57" s="831" t="n"/>
      <c r="AK57" s="831" t="n"/>
      <c r="AL57" s="831" t="n"/>
      <c r="AM57" s="507" t="n"/>
      <c r="AN57" s="507" t="n"/>
      <c r="AO57" s="507" t="n"/>
      <c r="AP57" s="507" t="n"/>
      <c r="AQ57" s="507" t="n"/>
      <c r="AR57" s="507" t="n"/>
      <c r="AS57" s="507" t="n"/>
      <c r="AT57" s="507" t="n"/>
      <c r="AU57" s="507" t="n"/>
      <c r="AV57" s="507" t="n"/>
      <c r="AW57" s="507" t="n"/>
      <c r="AX57" s="507" t="n"/>
      <c r="AY57" s="507" t="n"/>
      <c r="AZ57" s="507" t="n"/>
      <c r="BA57" s="507" t="n"/>
      <c r="BB57" s="507" t="n"/>
      <c r="BC57" s="507" t="n"/>
      <c r="BD57" s="507" t="n"/>
      <c r="BE57" s="507" t="n"/>
      <c r="BF57" s="507" t="n"/>
      <c r="BG57" s="507" t="n"/>
      <c r="BH57" s="507" t="n"/>
      <c r="BI57" s="507" t="n"/>
      <c r="BJ57" s="507" t="n"/>
      <c r="BK57" s="507" t="n"/>
      <c r="BL57" s="507" t="n"/>
      <c r="BM57" s="507" t="n"/>
      <c r="BN57" s="507" t="n"/>
      <c r="BO57" s="507" t="n"/>
      <c r="BP57" s="507" t="n"/>
      <c r="BQ57" s="507" t="n"/>
      <c r="BR57" s="507" t="n"/>
      <c r="BS57" s="507" t="n"/>
      <c r="BT57" s="507" t="n"/>
      <c r="BU57" s="507" t="n"/>
      <c r="BV57" s="507" t="n"/>
      <c r="BW57" s="507" t="n"/>
      <c r="BX57" s="507" t="n"/>
      <c r="BY57" s="507" t="n"/>
      <c r="BZ57" s="507" t="n"/>
      <c r="CA57" s="507" t="n"/>
      <c r="CB57" s="507" t="n"/>
      <c r="CC57" s="507" t="n"/>
      <c r="CD57" s="507" t="n"/>
      <c r="CE57" s="507" t="n"/>
      <c r="CF57" s="507" t="n"/>
      <c r="CG57" s="507" t="n"/>
      <c r="CH57" s="507" t="n"/>
      <c r="CI57" s="507" t="n"/>
      <c r="CJ57" s="507" t="n"/>
    </row>
    <row r="58" ht="3" customHeight="1" s="1883">
      <c r="B58" s="383" t="n"/>
      <c r="C58" s="383" t="n"/>
      <c r="D58" s="383" t="n"/>
      <c r="E58" s="386" t="n"/>
      <c r="F58" s="386" t="n"/>
      <c r="G58" s="386" t="n"/>
      <c r="H58" s="386" t="n"/>
      <c r="I58" s="831" t="n"/>
      <c r="J58" s="831" t="n"/>
      <c r="K58" s="831" t="n"/>
      <c r="L58" s="831" t="n"/>
      <c r="M58" s="831" t="n"/>
      <c r="N58" s="831" t="n"/>
      <c r="O58" s="831" t="n"/>
      <c r="P58" s="831" t="n"/>
      <c r="Q58" s="831" t="n"/>
      <c r="R58" s="386" t="n"/>
      <c r="S58" s="386" t="n"/>
      <c r="T58" s="386" t="n"/>
      <c r="U58" s="831" t="n"/>
      <c r="V58" s="831" t="n"/>
      <c r="W58" s="831" t="n"/>
      <c r="X58" s="831" t="n"/>
      <c r="Y58" s="831" t="n"/>
      <c r="Z58" s="831" t="n"/>
      <c r="AA58" s="831" t="n"/>
      <c r="AB58" s="831" t="n"/>
      <c r="AC58" s="831" t="n"/>
      <c r="AD58" s="831" t="n"/>
      <c r="AE58" s="831" t="n"/>
      <c r="AF58" s="831" t="n"/>
      <c r="AG58" s="831" t="n"/>
      <c r="AH58" s="831" t="n"/>
      <c r="AI58" s="831" t="n"/>
      <c r="AJ58" s="831" t="n"/>
      <c r="AK58" s="831" t="n"/>
      <c r="AL58" s="831" t="n"/>
      <c r="AM58" s="507" t="n"/>
      <c r="AN58" s="507" t="n"/>
      <c r="AO58" s="507" t="n"/>
      <c r="AP58" s="507" t="n"/>
      <c r="AQ58" s="507" t="n"/>
      <c r="AR58" s="507" t="n"/>
      <c r="AS58" s="507" t="n"/>
      <c r="AT58" s="507" t="n"/>
      <c r="AU58" s="507" t="n"/>
      <c r="AV58" s="507" t="n"/>
      <c r="AW58" s="507" t="n"/>
      <c r="AX58" s="507" t="n"/>
      <c r="AY58" s="507" t="n"/>
      <c r="AZ58" s="507" t="n"/>
      <c r="BA58" s="507" t="n"/>
      <c r="BB58" s="507" t="n"/>
      <c r="BC58" s="507" t="n"/>
      <c r="BD58" s="507" t="n"/>
      <c r="BE58" s="507" t="n"/>
      <c r="BF58" s="507" t="n"/>
      <c r="BG58" s="507" t="n"/>
      <c r="BH58" s="507" t="n"/>
      <c r="BI58" s="507" t="n"/>
      <c r="BJ58" s="507" t="n"/>
      <c r="BK58" s="507" t="n"/>
      <c r="BL58" s="507" t="n"/>
      <c r="BM58" s="507" t="n"/>
      <c r="BN58" s="507" t="n"/>
      <c r="BO58" s="507" t="n"/>
      <c r="BP58" s="507" t="n"/>
      <c r="BQ58" s="507" t="n"/>
      <c r="BR58" s="507" t="n"/>
      <c r="BS58" s="507" t="n"/>
      <c r="BT58" s="507" t="n"/>
      <c r="BU58" s="507" t="n"/>
      <c r="BV58" s="507" t="n"/>
      <c r="BW58" s="507" t="n"/>
      <c r="BX58" s="507" t="n"/>
      <c r="BY58" s="507" t="n"/>
      <c r="BZ58" s="507" t="n"/>
      <c r="CA58" s="507" t="n"/>
      <c r="CB58" s="507" t="n"/>
      <c r="CC58" s="507" t="n"/>
      <c r="CD58" s="507" t="n"/>
      <c r="CE58" s="507" t="n"/>
      <c r="CF58" s="507" t="n"/>
      <c r="CG58" s="507" t="n"/>
      <c r="CH58" s="507" t="n"/>
      <c r="CI58" s="507" t="n"/>
      <c r="CJ58" s="507" t="n"/>
    </row>
    <row r="59" ht="15" customHeight="1" s="1883">
      <c r="B59" s="383" t="n"/>
      <c r="C59" s="383" t="n"/>
      <c r="D59" s="385" t="inlineStr">
        <is>
          <t>Total Cash Disbursements</t>
        </is>
      </c>
      <c r="E59" s="386" t="n"/>
      <c r="F59" s="386" t="n"/>
      <c r="G59" s="386" t="n"/>
      <c r="H59" s="386" t="n"/>
      <c r="I59" s="831">
        <f>SUM(I41:I56)-I47-I47</f>
        <v/>
      </c>
      <c r="J59" s="831">
        <f>SUM(J41:J56)-J47-J47</f>
        <v/>
      </c>
      <c r="K59" s="831">
        <f>SUM(K41:K56)-K47-K47</f>
        <v/>
      </c>
      <c r="L59" s="831">
        <f>SUM(L41:L56)-L47-L47</f>
        <v/>
      </c>
      <c r="M59" s="831">
        <f>SUM(M41:M56)-M47-M47</f>
        <v/>
      </c>
      <c r="N59" s="831">
        <f>SUM(N41:N56)-N47-N47</f>
        <v/>
      </c>
      <c r="O59" s="831">
        <f>SUM(O41:O56)-O47-O47</f>
        <v/>
      </c>
      <c r="P59" s="831">
        <f>SUM(P41:P56)-P47-P47</f>
        <v/>
      </c>
      <c r="Q59" s="831">
        <f>SUM(Q41:Q56)-Q47-Q47</f>
        <v/>
      </c>
      <c r="R59" s="831">
        <f>SUM(R41:R56)-R47-R47</f>
        <v/>
      </c>
      <c r="S59" s="831">
        <f>SUM(S41:S56)-S47-S47</f>
        <v/>
      </c>
      <c r="T59" s="831">
        <f>SUM(T41:T56)-T47-T47</f>
        <v/>
      </c>
      <c r="U59" s="831">
        <f>SUM(U41:U56)-U47-U47</f>
        <v/>
      </c>
      <c r="V59" s="831">
        <f>SUM(V41:V56)-V47-V47</f>
        <v/>
      </c>
      <c r="W59" s="831">
        <f>SUM(W41:W56)-W47-W47</f>
        <v/>
      </c>
      <c r="X59" s="831">
        <f>SUM(X41:X56)-X47-X47</f>
        <v/>
      </c>
      <c r="Y59" s="831">
        <f>SUM(Y41:Y56)-Y47-Y47</f>
        <v/>
      </c>
      <c r="Z59" s="831">
        <f>SUM(Z41:Z56)-Z47-Z47</f>
        <v/>
      </c>
      <c r="AA59" s="831">
        <f>SUM(AA41:AA56)-AA47-AA47</f>
        <v/>
      </c>
      <c r="AB59" s="831">
        <f>SUM(AB41:AB56)-AB47-AB47</f>
        <v/>
      </c>
      <c r="AC59" s="831">
        <f>SUM(AC41:AC56)-AC47-AC47</f>
        <v/>
      </c>
      <c r="AD59" s="831">
        <f>SUM(AD41:AD56)-AD47-AD47</f>
        <v/>
      </c>
      <c r="AE59" s="831">
        <f>SUM(AE41:AE56)-AE47-AE47</f>
        <v/>
      </c>
      <c r="AF59" s="831">
        <f>SUM(AF41:AF56)-AF47-AF47</f>
        <v/>
      </c>
      <c r="AG59" s="831">
        <f>SUM(AG41:AG56)-AG47-AG47</f>
        <v/>
      </c>
      <c r="AH59" s="831">
        <f>SUM(AH41:AH56)-AH47-AH47</f>
        <v/>
      </c>
      <c r="AI59" s="831">
        <f>SUM(AI41:AI56)-AI47-AI47</f>
        <v/>
      </c>
      <c r="AJ59" s="831">
        <f>SUM(AJ41:AJ56)-AJ47-AJ47</f>
        <v/>
      </c>
      <c r="AK59" s="831">
        <f>SUM(AK41:AK56)-AK47-AK47</f>
        <v/>
      </c>
      <c r="AL59" s="831">
        <f>SUM(AL41:AL56)-AL47-AL47</f>
        <v/>
      </c>
      <c r="AM59" s="831">
        <f>SUM(AM41:AM56)-AM47-AM47</f>
        <v/>
      </c>
      <c r="AN59" s="831">
        <f>SUM(AN41:AN56)-AN47-AN47</f>
        <v/>
      </c>
      <c r="AO59" s="831">
        <f>SUM(AO41:AO56)-AO47-AO47</f>
        <v/>
      </c>
      <c r="AP59" s="831">
        <f>SUM(AP41:AP56)-AP47-AP47</f>
        <v/>
      </c>
      <c r="AQ59" s="831">
        <f>SUM(AQ41:AQ56)-AQ47-AQ47</f>
        <v/>
      </c>
      <c r="AR59" s="831">
        <f>SUM(AR41:AR56)-AR47-AR47</f>
        <v/>
      </c>
      <c r="AS59" s="831">
        <f>SUM(AS41:AS56)-AS47-AS47</f>
        <v/>
      </c>
      <c r="AT59" s="831">
        <f>SUM(AT41:AT56)-AT47-AT47</f>
        <v/>
      </c>
      <c r="AU59" s="831">
        <f>SUM(AU41:AU56)-AU47-AU47</f>
        <v/>
      </c>
      <c r="AV59" s="831">
        <f>SUM(AV41:AV56)-AV47-AV47</f>
        <v/>
      </c>
      <c r="AW59" s="831">
        <f>SUM(AW41:AW56)-AW47-AW47</f>
        <v/>
      </c>
      <c r="AX59" s="831">
        <f>SUM(AX41:AX56)-AX47-AX47</f>
        <v/>
      </c>
      <c r="AY59" s="831">
        <f>SUM(AY41:AY56)-AY47-AY47</f>
        <v/>
      </c>
      <c r="AZ59" s="831">
        <f>SUM(AZ41:AZ56)-AZ47-AZ47</f>
        <v/>
      </c>
      <c r="BA59" s="831">
        <f>SUM(BA41:BA56)-BA47-BA47</f>
        <v/>
      </c>
      <c r="BB59" s="831">
        <f>SUM(BB41:BB56)-BB47-BB47</f>
        <v/>
      </c>
      <c r="BC59" s="831">
        <f>SUM(BC41:BC56)-BC47-BC47</f>
        <v/>
      </c>
      <c r="BD59" s="831">
        <f>SUM(BD41:BD56)-BD47-BD47</f>
        <v/>
      </c>
      <c r="BE59" s="831">
        <f>SUM(BE41:BE56)-BE47-BE47</f>
        <v/>
      </c>
      <c r="BF59" s="831">
        <f>SUM(BF41:BF56)-BF47-BF47</f>
        <v/>
      </c>
      <c r="BG59" s="831">
        <f>SUM(BG41:BG56)-BG47-BG47</f>
        <v/>
      </c>
      <c r="BH59" s="831">
        <f>SUM(BH41:BH56)-BH47-BH47</f>
        <v/>
      </c>
      <c r="BI59" s="831">
        <f>SUM(BI41:BI56)-BI47-BI47</f>
        <v/>
      </c>
      <c r="BJ59" s="831">
        <f>SUM(BJ41:BJ56)-BJ47-BJ47</f>
        <v/>
      </c>
      <c r="BK59" s="831">
        <f>SUM(BK41:BK56)-BK47-BK47</f>
        <v/>
      </c>
      <c r="BL59" s="831">
        <f>SUM(BL41:BL56)-BL47-BL47</f>
        <v/>
      </c>
      <c r="BM59" s="831">
        <f>SUM(BM41:BM56)-BM47-BM47</f>
        <v/>
      </c>
      <c r="BN59" s="831">
        <f>SUM(BN41:BN56)-BN47-BN47</f>
        <v/>
      </c>
      <c r="BO59" s="831">
        <f>SUM(BO41:BO56)-BO47-BO47</f>
        <v/>
      </c>
      <c r="BP59" s="831">
        <f>SUM(BP41:BP56)-BP47-BP47</f>
        <v/>
      </c>
      <c r="BQ59" s="831">
        <f>SUM(BQ41:BQ56)-BQ47-BQ47</f>
        <v/>
      </c>
      <c r="BR59" s="831">
        <f>SUM(BR41:BR56)-BR47-BR47</f>
        <v/>
      </c>
      <c r="BS59" s="831">
        <f>SUM(BS41:BS56)-BS47-BS47</f>
        <v/>
      </c>
      <c r="BT59" s="831">
        <f>SUM(BT41:BT56)-BT47-BT47</f>
        <v/>
      </c>
      <c r="BU59" s="831">
        <f>SUM(BU41:BU56)-BU47-BU47</f>
        <v/>
      </c>
      <c r="BV59" s="831">
        <f>SUM(BV41:BV56)-BV47-BV47</f>
        <v/>
      </c>
      <c r="BW59" s="831">
        <f>SUM(BW41:BW56)-BW47-BW47</f>
        <v/>
      </c>
      <c r="BX59" s="831">
        <f>SUM(BX41:BX56)-BX47-BX47</f>
        <v/>
      </c>
      <c r="BY59" s="831">
        <f>SUM(BY41:BY56)-BY47-BY47</f>
        <v/>
      </c>
      <c r="BZ59" s="831">
        <f>SUM(BZ41:BZ56)-BZ47-BZ47</f>
        <v/>
      </c>
      <c r="CA59" s="831">
        <f>SUM(CA41:CA56)-CA47-CA47</f>
        <v/>
      </c>
      <c r="CB59" s="831">
        <f>SUM(CB41:CB56)-CB47-CB47</f>
        <v/>
      </c>
      <c r="CC59" s="831">
        <f>SUM(CC41:CC56)-CC47-CC47</f>
        <v/>
      </c>
      <c r="CD59" s="831">
        <f>SUM(CD41:CD56)-CD47-CD47</f>
        <v/>
      </c>
      <c r="CE59" s="831">
        <f>SUM(CE41:CE56)-CE47-CE47</f>
        <v/>
      </c>
      <c r="CF59" s="831">
        <f>SUM(CF41:CF56)-CF47-CF47</f>
        <v/>
      </c>
      <c r="CG59" s="831">
        <f>SUM(CG41:CG56)-CG47-CG47</f>
        <v/>
      </c>
      <c r="CH59" s="831">
        <f>SUM(CH41:CH56)-CH47-CH47</f>
        <v/>
      </c>
      <c r="CI59" s="831">
        <f>SUM(CI41:CI56)-CI47-CI47</f>
        <v/>
      </c>
      <c r="CJ59" s="831">
        <f>SUM(CJ41:CJ56)-CJ47-CJ47</f>
        <v/>
      </c>
      <c r="CK59" s="831">
        <f>SUM(CK41:CK56)-CK47-CK47</f>
        <v/>
      </c>
      <c r="CL59" s="831">
        <f>SUM(CL41:CL56)-CL47-CL47</f>
        <v/>
      </c>
      <c r="CM59" s="831">
        <f>SUM(CM41:CM56)-CM47-CM47</f>
        <v/>
      </c>
      <c r="CN59" s="831">
        <f>SUM(CN41:CN56)-CN47-CN47</f>
        <v/>
      </c>
      <c r="CO59" s="831">
        <f>SUM(CO41:CO56)-CO47-CO47</f>
        <v/>
      </c>
      <c r="CP59" s="831">
        <f>SUM(CP41:CP56)-CP47-CP47</f>
        <v/>
      </c>
    </row>
    <row r="60" ht="3" customHeight="1" s="1883">
      <c r="B60" s="383" t="n"/>
      <c r="C60" s="383" t="n"/>
      <c r="D60" s="383" t="n"/>
      <c r="E60" s="386" t="n"/>
      <c r="F60" s="386" t="n"/>
      <c r="G60" s="386" t="n"/>
      <c r="H60" s="386" t="n"/>
      <c r="I60" s="840" t="n"/>
      <c r="J60" s="840" t="n"/>
      <c r="K60" s="840" t="n"/>
      <c r="L60" s="840" t="n"/>
      <c r="M60" s="840" t="n"/>
      <c r="N60" s="840" t="n"/>
      <c r="O60" s="840" t="n"/>
      <c r="P60" s="840" t="n"/>
      <c r="Q60" s="840" t="n"/>
      <c r="R60" s="386" t="n"/>
      <c r="S60" s="646" t="n"/>
      <c r="T60" s="386" t="n"/>
      <c r="U60" s="840" t="n"/>
      <c r="V60" s="840" t="n"/>
      <c r="W60" s="840" t="n"/>
      <c r="X60" s="840" t="n"/>
      <c r="Y60" s="840" t="n"/>
      <c r="Z60" s="840" t="n"/>
      <c r="AA60" s="840" t="n"/>
      <c r="AB60" s="840" t="n"/>
      <c r="AC60" s="840" t="n"/>
      <c r="AD60" s="840" t="n"/>
      <c r="AE60" s="840" t="n"/>
      <c r="AF60" s="840" t="n"/>
      <c r="AG60" s="831" t="n"/>
      <c r="AH60" s="840" t="n"/>
      <c r="AI60" s="831" t="n"/>
      <c r="AJ60" s="840" t="n"/>
      <c r="AK60" s="840" t="n"/>
      <c r="AL60" s="840" t="n"/>
      <c r="AM60" s="840" t="n"/>
      <c r="AN60" s="840" t="n"/>
      <c r="AO60" s="840" t="n"/>
      <c r="AP60" s="840" t="n"/>
      <c r="AQ60" s="840" t="n"/>
      <c r="AR60" s="840" t="n"/>
      <c r="AS60" s="840" t="n"/>
      <c r="AT60" s="840" t="n"/>
      <c r="AU60" s="840" t="n"/>
      <c r="AV60" s="840" t="n"/>
      <c r="AW60" s="840" t="n"/>
      <c r="AX60" s="840" t="n"/>
      <c r="AY60" s="840" t="n"/>
      <c r="AZ60" s="840" t="n"/>
      <c r="BA60" s="840" t="n"/>
      <c r="BB60" s="840" t="n"/>
      <c r="BC60" s="840" t="n"/>
      <c r="BD60" s="840" t="n"/>
      <c r="BE60" s="840" t="n"/>
      <c r="BF60" s="840" t="n"/>
      <c r="BG60" s="840" t="n"/>
      <c r="BH60" s="840" t="n"/>
      <c r="BI60" s="840" t="n"/>
      <c r="BJ60" s="840" t="n"/>
      <c r="BK60" s="840" t="n"/>
      <c r="BL60" s="840" t="n"/>
      <c r="BM60" s="840" t="n"/>
      <c r="BN60" s="840" t="n"/>
      <c r="BO60" s="840" t="n"/>
      <c r="BP60" s="840" t="n"/>
      <c r="BQ60" s="840" t="n"/>
      <c r="BR60" s="840" t="n"/>
      <c r="BS60" s="840" t="n"/>
      <c r="BT60" s="840" t="n"/>
      <c r="BU60" s="840" t="n"/>
      <c r="BV60" s="840" t="n"/>
      <c r="BW60" s="840" t="n"/>
      <c r="BX60" s="840" t="n"/>
      <c r="BY60" s="840" t="n"/>
      <c r="BZ60" s="840" t="n"/>
      <c r="CA60" s="840" t="n"/>
      <c r="CB60" s="840" t="n"/>
      <c r="CC60" s="840" t="n"/>
      <c r="CD60" s="840" t="n"/>
      <c r="CE60" s="840" t="n"/>
      <c r="CF60" s="840" t="n"/>
      <c r="CG60" s="840" t="n"/>
      <c r="CH60" s="840" t="n"/>
      <c r="CI60" s="840" t="n"/>
      <c r="CJ60" s="840" t="n"/>
      <c r="CK60" s="840" t="n"/>
      <c r="CL60" s="840" t="n"/>
      <c r="CM60" s="840" t="n"/>
      <c r="CN60" s="840" t="n"/>
      <c r="CO60" s="840" t="n"/>
      <c r="CP60" s="840" t="n"/>
    </row>
    <row r="61" ht="3" customHeight="1" s="1883">
      <c r="B61" s="383" t="n"/>
      <c r="C61" s="383" t="n"/>
      <c r="D61" s="383" t="n"/>
      <c r="E61" s="386" t="n"/>
      <c r="F61" s="386" t="n"/>
      <c r="G61" s="386" t="n"/>
      <c r="H61" s="386" t="n"/>
      <c r="I61" s="831" t="n"/>
      <c r="J61" s="831" t="n"/>
      <c r="K61" s="831" t="n"/>
      <c r="L61" s="831" t="n"/>
      <c r="M61" s="831" t="n"/>
      <c r="N61" s="831" t="n"/>
      <c r="O61" s="831" t="n"/>
      <c r="P61" s="831" t="n"/>
      <c r="Q61" s="831" t="n"/>
      <c r="R61" s="386" t="n"/>
      <c r="S61" s="386" t="n"/>
      <c r="T61" s="386" t="n"/>
      <c r="U61" s="831" t="n"/>
      <c r="V61" s="831" t="n"/>
      <c r="W61" s="831" t="n"/>
      <c r="X61" s="831" t="n"/>
      <c r="Y61" s="831" t="n"/>
      <c r="Z61" s="831" t="n"/>
      <c r="AA61" s="831" t="n"/>
      <c r="AB61" s="831" t="n"/>
      <c r="AC61" s="831" t="n"/>
      <c r="AD61" s="831" t="n"/>
      <c r="AE61" s="831" t="n"/>
      <c r="AF61" s="831" t="n"/>
      <c r="AG61" s="831" t="n"/>
      <c r="AH61" s="831" t="n"/>
      <c r="AI61" s="831" t="n"/>
      <c r="AJ61" s="831" t="n"/>
      <c r="AK61" s="831" t="n"/>
      <c r="AL61" s="831" t="n"/>
      <c r="AM61" s="831" t="n"/>
      <c r="AN61" s="831" t="n"/>
      <c r="AO61" s="831" t="n"/>
      <c r="AP61" s="831" t="n"/>
      <c r="AQ61" s="831" t="n"/>
      <c r="AR61" s="831" t="n"/>
      <c r="AS61" s="831" t="n"/>
      <c r="AT61" s="831" t="n"/>
      <c r="AU61" s="831" t="n"/>
      <c r="AV61" s="831" t="n"/>
      <c r="AW61" s="831" t="n"/>
      <c r="AX61" s="831" t="n"/>
      <c r="AY61" s="831" t="n"/>
      <c r="AZ61" s="831" t="n"/>
      <c r="BA61" s="831" t="n"/>
      <c r="BB61" s="831" t="n"/>
      <c r="BC61" s="831" t="n"/>
      <c r="BD61" s="831" t="n"/>
      <c r="BE61" s="831" t="n"/>
      <c r="BF61" s="831" t="n"/>
      <c r="BG61" s="831" t="n"/>
      <c r="BH61" s="831" t="n"/>
      <c r="BI61" s="831" t="n"/>
      <c r="BJ61" s="831" t="n"/>
      <c r="BK61" s="831" t="n"/>
      <c r="BL61" s="831" t="n"/>
      <c r="BM61" s="831" t="n"/>
      <c r="BN61" s="831" t="n"/>
      <c r="BO61" s="831" t="n"/>
      <c r="BP61" s="831" t="n"/>
      <c r="BQ61" s="831" t="n"/>
      <c r="BR61" s="831" t="n"/>
      <c r="BS61" s="831" t="n"/>
      <c r="BT61" s="831" t="n"/>
      <c r="BU61" s="831" t="n"/>
      <c r="BV61" s="831" t="n"/>
      <c r="BW61" s="831" t="n"/>
      <c r="BX61" s="831" t="n"/>
      <c r="BY61" s="831" t="n"/>
      <c r="BZ61" s="831" t="n"/>
      <c r="CA61" s="831" t="n"/>
      <c r="CB61" s="831" t="n"/>
      <c r="CC61" s="831" t="n"/>
      <c r="CD61" s="831" t="n"/>
      <c r="CE61" s="831" t="n"/>
      <c r="CF61" s="831" t="n"/>
      <c r="CG61" s="831" t="n"/>
      <c r="CH61" s="831" t="n"/>
      <c r="CI61" s="831" t="n"/>
      <c r="CJ61" s="831" t="n"/>
      <c r="CK61" s="831" t="n"/>
      <c r="CL61" s="831" t="n"/>
      <c r="CM61" s="831" t="n"/>
      <c r="CN61" s="831" t="n"/>
      <c r="CO61" s="831" t="n"/>
      <c r="CP61" s="831" t="n"/>
    </row>
    <row r="62" ht="15" customHeight="1" s="1883">
      <c r="B62" s="383" t="n"/>
      <c r="C62" s="383" t="n"/>
      <c r="D62" s="383" t="n"/>
      <c r="E62" s="386" t="n"/>
      <c r="F62" s="386" t="n"/>
      <c r="G62" s="386" t="n"/>
      <c r="H62" s="386" t="n"/>
      <c r="I62" s="831" t="n"/>
      <c r="J62" s="831" t="n"/>
      <c r="K62" s="831" t="n"/>
      <c r="L62" s="831" t="n"/>
      <c r="M62" s="831" t="n"/>
      <c r="N62" s="831" t="n"/>
      <c r="O62" s="831" t="n"/>
      <c r="P62" s="831" t="n"/>
      <c r="Q62" s="831" t="n"/>
      <c r="R62" s="386" t="n"/>
      <c r="S62" s="386" t="n"/>
      <c r="T62" s="386" t="n"/>
      <c r="U62" s="831" t="n"/>
      <c r="V62" s="831" t="n"/>
      <c r="W62" s="831" t="n"/>
      <c r="X62" s="831" t="n"/>
      <c r="Y62" s="831" t="n"/>
      <c r="Z62" s="831" t="n"/>
      <c r="AA62" s="831" t="n"/>
      <c r="AB62" s="831" t="n"/>
      <c r="AC62" s="831" t="n"/>
      <c r="AD62" s="831" t="n"/>
      <c r="AE62" s="831" t="n"/>
      <c r="AF62" s="831" t="n"/>
      <c r="AG62" s="831" t="n"/>
      <c r="AH62" s="831" t="n"/>
      <c r="AI62" s="831" t="n"/>
      <c r="AJ62" s="831" t="n"/>
      <c r="AK62" s="831" t="n"/>
      <c r="AL62" s="831" t="n"/>
      <c r="AM62" s="831" t="n"/>
      <c r="AN62" s="831" t="n"/>
      <c r="AO62" s="831" t="n"/>
      <c r="AP62" s="831" t="n"/>
      <c r="AQ62" s="831" t="n"/>
      <c r="AR62" s="831" t="n"/>
      <c r="AS62" s="831" t="n"/>
      <c r="AT62" s="831" t="n"/>
      <c r="AU62" s="831" t="n"/>
      <c r="AV62" s="831" t="n"/>
      <c r="AW62" s="831" t="n"/>
      <c r="AX62" s="831" t="n"/>
      <c r="AY62" s="831" t="n"/>
      <c r="AZ62" s="831" t="n"/>
      <c r="BA62" s="831" t="n"/>
      <c r="BB62" s="831" t="n"/>
      <c r="BC62" s="831" t="n"/>
      <c r="BD62" s="831" t="n"/>
      <c r="BE62" s="831" t="n"/>
      <c r="BF62" s="831" t="n"/>
      <c r="BG62" s="831" t="n"/>
      <c r="BH62" s="831" t="n"/>
      <c r="BI62" s="831" t="n"/>
      <c r="BJ62" s="831" t="n"/>
      <c r="BK62" s="831" t="n"/>
      <c r="BL62" s="831" t="n"/>
      <c r="BM62" s="831" t="n"/>
      <c r="BN62" s="831" t="n"/>
      <c r="BO62" s="831" t="n"/>
      <c r="BP62" s="831" t="n"/>
      <c r="BQ62" s="831" t="n"/>
      <c r="BR62" s="831" t="n"/>
      <c r="BS62" s="831" t="n"/>
      <c r="BT62" s="831" t="n"/>
      <c r="BU62" s="831" t="n"/>
      <c r="BV62" s="831" t="n"/>
      <c r="BW62" s="831" t="n"/>
      <c r="BX62" s="831" t="n"/>
      <c r="BY62" s="831" t="n"/>
      <c r="BZ62" s="831" t="n"/>
      <c r="CA62" s="831" t="n"/>
      <c r="CB62" s="831" t="n"/>
      <c r="CC62" s="831" t="n"/>
      <c r="CD62" s="831" t="n"/>
      <c r="CE62" s="831" t="n"/>
      <c r="CF62" s="831" t="n"/>
      <c r="CG62" s="831" t="n"/>
      <c r="CH62" s="831" t="n"/>
      <c r="CI62" s="831" t="n"/>
      <c r="CJ62" s="831" t="n"/>
      <c r="CK62" s="831" t="n"/>
      <c r="CL62" s="831" t="n"/>
      <c r="CM62" s="831" t="n"/>
      <c r="CN62" s="831" t="n"/>
      <c r="CO62" s="831" t="n"/>
      <c r="CP62" s="831" t="n"/>
    </row>
    <row r="63" ht="15" customHeight="1" s="1883">
      <c r="B63" s="383" t="n"/>
      <c r="C63" s="383" t="n"/>
      <c r="D63" s="383" t="n"/>
      <c r="E63" s="386" t="n"/>
      <c r="F63" s="386" t="n"/>
      <c r="G63" s="386" t="n"/>
      <c r="H63" s="386" t="n"/>
      <c r="I63" s="831" t="n"/>
      <c r="J63" s="831" t="n"/>
      <c r="K63" s="831" t="n"/>
      <c r="L63" s="831" t="n"/>
      <c r="M63" s="831" t="n"/>
      <c r="N63" s="831" t="n"/>
      <c r="O63" s="831" t="n"/>
      <c r="P63" s="831" t="n"/>
      <c r="Q63" s="831" t="n"/>
      <c r="R63" s="386" t="n"/>
      <c r="S63" s="386" t="n"/>
      <c r="T63" s="386" t="n"/>
      <c r="U63" s="831" t="n"/>
      <c r="V63" s="831" t="n"/>
      <c r="W63" s="831" t="n"/>
      <c r="X63" s="831" t="n"/>
      <c r="Y63" s="831" t="n"/>
      <c r="Z63" s="831" t="n"/>
      <c r="AA63" s="831" t="n"/>
      <c r="AB63" s="831" t="n"/>
      <c r="AC63" s="831" t="n"/>
      <c r="AD63" s="831" t="n"/>
      <c r="AE63" s="831" t="n"/>
      <c r="AF63" s="831" t="n"/>
      <c r="AG63" s="831" t="n"/>
      <c r="AH63" s="831" t="n"/>
      <c r="AI63" s="831" t="n"/>
      <c r="AJ63" s="831" t="n"/>
      <c r="AK63" s="831" t="n"/>
      <c r="AL63" s="831" t="n"/>
      <c r="AM63" s="831" t="n"/>
      <c r="AN63" s="831" t="n"/>
      <c r="AO63" s="831" t="n"/>
      <c r="AP63" s="831" t="n"/>
      <c r="AQ63" s="831" t="n"/>
      <c r="AR63" s="831" t="n"/>
      <c r="AS63" s="831" t="n"/>
      <c r="AT63" s="831" t="n"/>
      <c r="AU63" s="831" t="n"/>
      <c r="AV63" s="831" t="n"/>
      <c r="AW63" s="831" t="n"/>
      <c r="AX63" s="831" t="n"/>
      <c r="AY63" s="831" t="n"/>
      <c r="AZ63" s="831" t="n"/>
      <c r="BA63" s="831" t="n"/>
      <c r="BB63" s="831" t="n"/>
      <c r="BC63" s="831" t="n"/>
      <c r="BD63" s="831" t="n"/>
      <c r="BE63" s="831" t="n"/>
      <c r="BF63" s="831" t="n"/>
      <c r="BG63" s="831" t="n"/>
      <c r="BH63" s="831" t="n"/>
      <c r="BI63" s="831" t="n"/>
      <c r="BJ63" s="831" t="n"/>
      <c r="BK63" s="831" t="n"/>
      <c r="BL63" s="831" t="n"/>
      <c r="BM63" s="831" t="n"/>
      <c r="BN63" s="831" t="n"/>
      <c r="BO63" s="831" t="n"/>
      <c r="BP63" s="831" t="n"/>
      <c r="BQ63" s="831" t="n"/>
      <c r="BR63" s="831" t="n"/>
      <c r="BS63" s="831" t="n"/>
      <c r="BT63" s="831" t="n"/>
      <c r="BU63" s="831" t="n"/>
      <c r="BV63" s="831" t="n"/>
      <c r="BW63" s="831" t="n"/>
      <c r="BX63" s="831" t="n"/>
      <c r="BY63" s="831" t="n"/>
      <c r="BZ63" s="831" t="n"/>
      <c r="CA63" s="831" t="n"/>
      <c r="CB63" s="831" t="n"/>
      <c r="CC63" s="831" t="n"/>
      <c r="CD63" s="831" t="n"/>
      <c r="CE63" s="831" t="n"/>
      <c r="CF63" s="831" t="n"/>
      <c r="CG63" s="831" t="n"/>
      <c r="CH63" s="831" t="n"/>
      <c r="CI63" s="831" t="n"/>
      <c r="CJ63" s="831" t="n"/>
      <c r="CK63" s="831" t="n"/>
      <c r="CL63" s="831" t="n"/>
      <c r="CM63" s="831" t="n"/>
      <c r="CN63" s="831" t="n"/>
      <c r="CO63" s="831" t="n"/>
      <c r="CP63" s="831" t="n"/>
    </row>
    <row r="64" ht="15" customHeight="1" s="1883">
      <c r="B64" s="463" t="inlineStr">
        <is>
          <t>Cash Generated / (Used)</t>
        </is>
      </c>
      <c r="C64" s="464" t="n"/>
      <c r="D64" s="464" t="n"/>
      <c r="E64" s="431" t="n"/>
      <c r="F64" s="431" t="n"/>
      <c r="G64" s="431" t="n"/>
      <c r="H64" s="431" t="n"/>
      <c r="I64" s="842">
        <f>((I35)-(I59))</f>
        <v/>
      </c>
      <c r="J64" s="842">
        <f>((J35)-(J59))</f>
        <v/>
      </c>
      <c r="K64" s="842">
        <f>((K35)-(K59))</f>
        <v/>
      </c>
      <c r="L64" s="842">
        <f>((L35)-(L59))</f>
        <v/>
      </c>
      <c r="M64" s="842">
        <f>((M35)-(M59))</f>
        <v/>
      </c>
      <c r="N64" s="842">
        <f>((N35)-(N59))</f>
        <v/>
      </c>
      <c r="O64" s="842">
        <f>((O35)-(O59))</f>
        <v/>
      </c>
      <c r="P64" s="842">
        <f>((P35)-(P59))</f>
        <v/>
      </c>
      <c r="Q64" s="842">
        <f>((Q35)-(Q59))</f>
        <v/>
      </c>
      <c r="R64" s="431" t="n"/>
      <c r="S64" s="842">
        <f>((S35)-(S59))</f>
        <v/>
      </c>
      <c r="T64" s="386" t="n"/>
      <c r="U64" s="842">
        <f>((U35)-(U59))</f>
        <v/>
      </c>
      <c r="V64" s="842">
        <f>((V35)-(V59))</f>
        <v/>
      </c>
      <c r="W64" s="842">
        <f>((W35)-(W59))</f>
        <v/>
      </c>
      <c r="X64" s="842">
        <f>((X35)-(X59))</f>
        <v/>
      </c>
      <c r="Y64" s="842">
        <f>((Y35)-(Y59))</f>
        <v/>
      </c>
      <c r="Z64" s="842">
        <f>((Z35)-(Z59))</f>
        <v/>
      </c>
      <c r="AA64" s="842">
        <f>((AA35)-(AA59))</f>
        <v/>
      </c>
      <c r="AB64" s="842">
        <f>((AB35)-(AB59))</f>
        <v/>
      </c>
      <c r="AC64" s="842">
        <f>((AC35)-(AC59))</f>
        <v/>
      </c>
      <c r="AD64" s="842">
        <f>((AD35)-(AD59))</f>
        <v/>
      </c>
      <c r="AE64" s="842">
        <f>((AE35)-(AE59))</f>
        <v/>
      </c>
      <c r="AF64" s="842">
        <f>((AF35)-(AF59))</f>
        <v/>
      </c>
      <c r="AG64" s="831" t="n"/>
      <c r="AH64" s="842">
        <f>((AH35)-(AH59))</f>
        <v/>
      </c>
      <c r="AI64" s="831" t="n"/>
      <c r="AJ64" s="842">
        <f>((AJ35)-(AJ59))</f>
        <v/>
      </c>
      <c r="AK64" s="842">
        <f>((AK35)-(AK59))</f>
        <v/>
      </c>
      <c r="AL64" s="842">
        <f>((AL35)-(AL59))</f>
        <v/>
      </c>
      <c r="AM64" s="842">
        <f>((AM35)-(AM59))</f>
        <v/>
      </c>
      <c r="AN64" s="842">
        <f>((AN35)-(AN59))</f>
        <v/>
      </c>
      <c r="AO64" s="842">
        <f>((AO35)-(AO59))</f>
        <v/>
      </c>
      <c r="AP64" s="842">
        <f>((AP35)-(AP59))</f>
        <v/>
      </c>
      <c r="AQ64" s="842">
        <f>((AQ35)-(AQ59))</f>
        <v/>
      </c>
      <c r="AR64" s="842">
        <f>((AR35)-(AR59))</f>
        <v/>
      </c>
      <c r="AS64" s="842">
        <f>((AS35)-(AS59))</f>
        <v/>
      </c>
      <c r="AT64" s="842">
        <f>((AT35)-(AT59))</f>
        <v/>
      </c>
      <c r="AU64" s="842">
        <f>((AU35)-(AU59))</f>
        <v/>
      </c>
      <c r="AV64" s="842">
        <f>((AV35)-(AV59))</f>
        <v/>
      </c>
      <c r="AW64" s="842">
        <f>((AW35)-(AW59))</f>
        <v/>
      </c>
      <c r="AX64" s="842">
        <f>((AX35)-(AX59))</f>
        <v/>
      </c>
      <c r="AY64" s="842">
        <f>((AY35)-(AY59))</f>
        <v/>
      </c>
      <c r="AZ64" s="842">
        <f>((AZ35)-(AZ59))</f>
        <v/>
      </c>
      <c r="BA64" s="842">
        <f>((BA35)-(BA59))</f>
        <v/>
      </c>
      <c r="BB64" s="842">
        <f>((BB35)-(BB59))</f>
        <v/>
      </c>
      <c r="BC64" s="842">
        <f>((BC35)-(BC59))</f>
        <v/>
      </c>
      <c r="BD64" s="842">
        <f>((BD35)-(BD59))</f>
        <v/>
      </c>
      <c r="BE64" s="842">
        <f>((BE35)-(BE59))</f>
        <v/>
      </c>
      <c r="BF64" s="842">
        <f>((BF35)-(BF59))</f>
        <v/>
      </c>
      <c r="BG64" s="842">
        <f>((BG35)-(BG59))</f>
        <v/>
      </c>
      <c r="BH64" s="842">
        <f>((BH35)-(BH59))</f>
        <v/>
      </c>
      <c r="BI64" s="842">
        <f>((BI35)-(BI59))</f>
        <v/>
      </c>
      <c r="BJ64" s="842">
        <f>((BJ35)-(BJ59))</f>
        <v/>
      </c>
      <c r="BK64" s="842">
        <f>((BK35)-(BK59))</f>
        <v/>
      </c>
      <c r="BL64" s="842">
        <f>((BL35)-(BL59))</f>
        <v/>
      </c>
      <c r="BM64" s="842">
        <f>((BM35)-(BM59))</f>
        <v/>
      </c>
      <c r="BN64" s="842">
        <f>((BN35)-(BN59))</f>
        <v/>
      </c>
      <c r="BO64" s="842">
        <f>((BO35)-(BO59))</f>
        <v/>
      </c>
      <c r="BP64" s="842">
        <f>((BP35)-(BP59))</f>
        <v/>
      </c>
      <c r="BQ64" s="842">
        <f>((BQ35)-(BQ59))</f>
        <v/>
      </c>
      <c r="BR64" s="842">
        <f>((BR35)-(BR59))</f>
        <v/>
      </c>
      <c r="BS64" s="842">
        <f>((BS35)-(BS59))</f>
        <v/>
      </c>
      <c r="BT64" s="842">
        <f>((BT35)-(BT59))</f>
        <v/>
      </c>
      <c r="BU64" s="842">
        <f>((BU35)-(BU59))</f>
        <v/>
      </c>
      <c r="BV64" s="842">
        <f>((BV35)-(BV59))</f>
        <v/>
      </c>
      <c r="BW64" s="842">
        <f>((BW35)-(BW59))</f>
        <v/>
      </c>
      <c r="BX64" s="842">
        <f>((BX35)-(BX59))</f>
        <v/>
      </c>
      <c r="BY64" s="842">
        <f>((BY35)-(BY59))</f>
        <v/>
      </c>
      <c r="BZ64" s="842">
        <f>((BZ35)-(BZ59))</f>
        <v/>
      </c>
      <c r="CA64" s="842">
        <f>((CA35)-(CA59))</f>
        <v/>
      </c>
      <c r="CB64" s="842">
        <f>((CB35)-(CB59))</f>
        <v/>
      </c>
      <c r="CC64" s="842">
        <f>((CC35)-(CC59))</f>
        <v/>
      </c>
      <c r="CD64" s="842">
        <f>((CD35)-(CD59))</f>
        <v/>
      </c>
      <c r="CE64" s="842">
        <f>((CE35)-(CE59))</f>
        <v/>
      </c>
      <c r="CF64" s="842">
        <f>((CF35)-(CF59))</f>
        <v/>
      </c>
      <c r="CG64" s="842">
        <f>((CG35)-(CG59))</f>
        <v/>
      </c>
      <c r="CH64" s="842">
        <f>((CH35)-(CH59))</f>
        <v/>
      </c>
      <c r="CI64" s="842">
        <f>((CI35)-(CI59))</f>
        <v/>
      </c>
      <c r="CJ64" s="842">
        <f>((CJ35)-(CJ59))</f>
        <v/>
      </c>
      <c r="CK64" s="842">
        <f>((CK35)-(CK59))</f>
        <v/>
      </c>
      <c r="CL64" s="842">
        <f>((CL35)-(CL59))</f>
        <v/>
      </c>
      <c r="CM64" s="842">
        <f>((CM35)-(CM59))</f>
        <v/>
      </c>
      <c r="CN64" s="842">
        <f>((CN35)-(CN59))</f>
        <v/>
      </c>
      <c r="CO64" s="842">
        <f>((CO35)-(CO59))</f>
        <v/>
      </c>
      <c r="CP64" s="842">
        <f>((CP35)-(CP59))</f>
        <v/>
      </c>
    </row>
    <row r="69" ht="15" customHeight="1" s="1883">
      <c r="C69" s="656" t="inlineStr">
        <is>
          <t>Ending Balance</t>
        </is>
      </c>
      <c r="D69" s="637" t="n"/>
      <c r="E69" s="843" t="n"/>
      <c r="F69" s="843" t="n"/>
      <c r="G69" s="843" t="n"/>
      <c r="H69" s="843" t="n"/>
      <c r="I69" s="844">
        <f>((I21)+(I64))</f>
        <v/>
      </c>
      <c r="J69" s="844">
        <f>((J21)+(J64))</f>
        <v/>
      </c>
      <c r="K69" s="844">
        <f>((K21)+(K64))</f>
        <v/>
      </c>
      <c r="L69" s="844">
        <f>((L21)+(L64))</f>
        <v/>
      </c>
      <c r="M69" s="844">
        <f>((M21)+(M64))</f>
        <v/>
      </c>
      <c r="N69" s="844">
        <f>((N21)+(N64))</f>
        <v/>
      </c>
      <c r="O69" s="844">
        <f>((O21)+(O64))</f>
        <v/>
      </c>
      <c r="P69" s="844">
        <f>((P21)+(P64))</f>
        <v/>
      </c>
      <c r="Q69" s="844">
        <f>((Q21)+(Q64))</f>
        <v/>
      </c>
      <c r="R69" s="843" t="n"/>
      <c r="S69" s="844">
        <f>((S21)+(S64))</f>
        <v/>
      </c>
      <c r="T69" s="386" t="n"/>
      <c r="U69" s="844">
        <f>((U21)+(U64))</f>
        <v/>
      </c>
      <c r="V69" s="844">
        <f>((V21)+(V64))</f>
        <v/>
      </c>
      <c r="W69" s="844">
        <f>((W21)+(W64))</f>
        <v/>
      </c>
      <c r="X69" s="844">
        <f>((X21)+(X64))</f>
        <v/>
      </c>
      <c r="Y69" s="844">
        <f>((Y21)+(Y64))</f>
        <v/>
      </c>
      <c r="Z69" s="844">
        <f>((Z21)+(Z64))</f>
        <v/>
      </c>
      <c r="AA69" s="844">
        <f>((AA21)+(AA64))</f>
        <v/>
      </c>
      <c r="AB69" s="844">
        <f>((AB21)+(AB64))</f>
        <v/>
      </c>
      <c r="AC69" s="844">
        <f>((AC21)+(AC64))</f>
        <v/>
      </c>
      <c r="AD69" s="844">
        <f>((AD21)+(AD64))</f>
        <v/>
      </c>
      <c r="AE69" s="844">
        <f>((AE21)+(AE64))</f>
        <v/>
      </c>
      <c r="AF69" s="844">
        <f>((AF21)+(AF64))</f>
        <v/>
      </c>
      <c r="AG69" s="831" t="n"/>
      <c r="AH69" s="844">
        <f>((AH21)+(AH64))</f>
        <v/>
      </c>
      <c r="AJ69" s="844">
        <f>((AJ21)+(AJ64))</f>
        <v/>
      </c>
      <c r="AK69" s="844">
        <f>((AK21)+(AK64))</f>
        <v/>
      </c>
      <c r="AL69" s="844">
        <f>((AL21)+(AL64))</f>
        <v/>
      </c>
      <c r="AM69" s="844">
        <f>((AM21)+(AM64))</f>
        <v/>
      </c>
      <c r="AN69" s="844">
        <f>((AN21)+(AN64))</f>
        <v/>
      </c>
      <c r="AO69" s="844">
        <f>((AO21)+(AO64))</f>
        <v/>
      </c>
      <c r="AP69" s="844">
        <f>((AP21)+(AP64))</f>
        <v/>
      </c>
      <c r="AQ69" s="844">
        <f>((AQ21)+(AQ64))</f>
        <v/>
      </c>
      <c r="AR69" s="844">
        <f>((AR21)+(AR64))</f>
        <v/>
      </c>
      <c r="AS69" s="844">
        <f>((AS21)+(AS64))</f>
        <v/>
      </c>
      <c r="AT69" s="844">
        <f>((AT21)+(AT64))</f>
        <v/>
      </c>
      <c r="AU69" s="844">
        <f>((AU21)+(AU64))</f>
        <v/>
      </c>
      <c r="AV69" s="844">
        <f>((AV21)+(AV64))</f>
        <v/>
      </c>
      <c r="AW69" s="844">
        <f>((AW21)+(AW64))</f>
        <v/>
      </c>
      <c r="AX69" s="844">
        <f>((AX21)+(AX64))</f>
        <v/>
      </c>
      <c r="AY69" s="844">
        <f>((AY21)+(AY64))</f>
        <v/>
      </c>
      <c r="AZ69" s="844">
        <f>((AZ21)+(AZ64))</f>
        <v/>
      </c>
      <c r="BA69" s="844">
        <f>((BA21)+(BA64))</f>
        <v/>
      </c>
      <c r="BB69" s="844">
        <f>((BB21)+(BB64))</f>
        <v/>
      </c>
      <c r="BC69" s="844">
        <f>((BC21)+(BC64))</f>
        <v/>
      </c>
      <c r="BD69" s="844">
        <f>((BD21)+(BD64))</f>
        <v/>
      </c>
      <c r="BE69" s="844">
        <f>((BE21)+(BE64))</f>
        <v/>
      </c>
      <c r="BF69" s="844">
        <f>((BF21)+(BF64))</f>
        <v/>
      </c>
      <c r="BG69" s="844">
        <f>((BG21)+(BG64))</f>
        <v/>
      </c>
      <c r="BH69" s="844">
        <f>((BH21)+(BH64))</f>
        <v/>
      </c>
      <c r="BI69" s="844">
        <f>((BI21)+(BI64))</f>
        <v/>
      </c>
      <c r="BJ69" s="844">
        <f>((BJ21)+(BJ64))</f>
        <v/>
      </c>
      <c r="BK69" s="844">
        <f>((BK21)+(BK64))</f>
        <v/>
      </c>
      <c r="BL69" s="844">
        <f>((BL21)+(BL64))</f>
        <v/>
      </c>
      <c r="BM69" s="844">
        <f>((BM21)+(BM64))</f>
        <v/>
      </c>
      <c r="BN69" s="844">
        <f>((BN21)+(BN64))</f>
        <v/>
      </c>
      <c r="BO69" s="844">
        <f>((BO21)+(BO64))</f>
        <v/>
      </c>
      <c r="BP69" s="844">
        <f>((BP21)+(BP64))</f>
        <v/>
      </c>
      <c r="BQ69" s="844">
        <f>((BQ21)+(BQ64))</f>
        <v/>
      </c>
      <c r="BR69" s="844">
        <f>((BR21)+(BR64))</f>
        <v/>
      </c>
      <c r="BS69" s="844">
        <f>((BS21)+(BS64))</f>
        <v/>
      </c>
      <c r="BT69" s="844">
        <f>((BT21)+(BT64))</f>
        <v/>
      </c>
      <c r="BU69" s="844">
        <f>((BU21)+(BU64))</f>
        <v/>
      </c>
      <c r="BV69" s="844">
        <f>((BV21)+(BV64))</f>
        <v/>
      </c>
      <c r="BW69" s="844">
        <f>((BW21)+(BW64))</f>
        <v/>
      </c>
      <c r="BX69" s="844">
        <f>((BX21)+(BX64))</f>
        <v/>
      </c>
      <c r="BY69" s="844">
        <f>((BY21)+(BY64))</f>
        <v/>
      </c>
      <c r="BZ69" s="844">
        <f>((BZ21)+(BZ64))</f>
        <v/>
      </c>
      <c r="CA69" s="844">
        <f>((CA21)+(CA64))</f>
        <v/>
      </c>
      <c r="CB69" s="844">
        <f>((CB21)+(CB64))</f>
        <v/>
      </c>
      <c r="CC69" s="844">
        <f>((CC21)+(CC64))</f>
        <v/>
      </c>
      <c r="CD69" s="844">
        <f>((CD21)+(CD64))</f>
        <v/>
      </c>
      <c r="CE69" s="844">
        <f>((CE21)+(CE64))</f>
        <v/>
      </c>
      <c r="CF69" s="844">
        <f>((CF21)+(CF64))</f>
        <v/>
      </c>
      <c r="CG69" s="844">
        <f>((CG21)+(CG64))</f>
        <v/>
      </c>
      <c r="CH69" s="844">
        <f>((CH21)+(CH64))</f>
        <v/>
      </c>
      <c r="CI69" s="844">
        <f>((CI21)+(CI64))</f>
        <v/>
      </c>
      <c r="CJ69" s="844">
        <f>((CJ21)+(CJ64))</f>
        <v/>
      </c>
      <c r="CK69" s="844">
        <f>((CK21)+(CK64))</f>
        <v/>
      </c>
      <c r="CL69" s="844">
        <f>((CL21)+(CL64))</f>
        <v/>
      </c>
      <c r="CM69" s="844">
        <f>((CM21)+(CM64))</f>
        <v/>
      </c>
      <c r="CN69" s="844">
        <f>((CN21)+(CN64))</f>
        <v/>
      </c>
      <c r="CO69" s="844">
        <f>((CO21)+(CO64))</f>
        <v/>
      </c>
      <c r="CP69" s="844">
        <f>((CP21)+(CP64))</f>
        <v/>
      </c>
    </row>
  </sheetData>
  <mergeCells count="6">
    <mergeCell ref="AJ13:AW13"/>
    <mergeCell ref="U13:AH13"/>
    <mergeCell ref="BN13:CA13"/>
    <mergeCell ref="AY13:BL13"/>
    <mergeCell ref="CC13:CP13"/>
    <mergeCell ref="I13:S13"/>
  </mergeCells>
  <pageMargins left="0.7" right="0.7" top="0.75" bottom="0.75" header="0.3" footer="0.3"/>
  <pageSetup orientation="portrait" horizontalDpi="0" verticalDpi="0"/>
  <legacyDrawing xmlns:r="http://schemas.openxmlformats.org/officeDocument/2006/relationships" r:id="anysvml"/>
</worksheet>
</file>

<file path=xl/worksheets/sheet37.xml><?xml version="1.0" encoding="utf-8"?>
<worksheet xmlns="http://schemas.openxmlformats.org/spreadsheetml/2006/main">
  <sheetPr>
    <tabColor rgb="FF66FFCC"/>
    <outlinePr summaryBelow="1" summaryRight="1"/>
    <pageSetUpPr/>
  </sheetPr>
  <dimension ref="B6:AC86"/>
  <sheetViews>
    <sheetView topLeftCell="A3" zoomScaleNormal="100" workbookViewId="0">
      <selection activeCell="S82" sqref="S82"/>
    </sheetView>
  </sheetViews>
  <sheetFormatPr baseColWidth="10" defaultColWidth="8.6640625" defaultRowHeight="13"/>
  <cols>
    <col width="2.6640625" customWidth="1" style="1883" min="1" max="2"/>
    <col width="60.5" customWidth="1" style="1883" min="3" max="3"/>
    <col width="2.6640625" customWidth="1" style="1883" min="4" max="4"/>
    <col width="20.5" customWidth="1" style="1883" min="5" max="5"/>
    <col width="2.6640625" customWidth="1" style="1883" min="6" max="6"/>
    <col width="9.6640625" customWidth="1" style="1883" min="7" max="15"/>
    <col width="2.6640625" customWidth="1" style="1883" min="16" max="16"/>
    <col width="18.6640625" customWidth="1" style="1883" min="17" max="17"/>
    <col width="8" customWidth="1" style="1883" min="18" max="18"/>
    <col width="15.6640625" customWidth="1" style="1883" min="19" max="27"/>
    <col width="1.6640625" customWidth="1" style="1883" min="28" max="28"/>
    <col width="18.6640625" customWidth="1" style="1883" min="29" max="29"/>
  </cols>
  <sheetData>
    <row r="6" ht="15" customHeight="1" s="1883">
      <c r="B6" s="383" t="n"/>
      <c r="C6" s="383" t="n"/>
      <c r="D6" s="383" t="n"/>
      <c r="E6" s="383" t="n"/>
      <c r="F6" s="383" t="n"/>
      <c r="G6" s="1882" t="inlineStr">
        <is>
          <t>Number of Employees at Each Position, Pre-Launch, by Month</t>
        </is>
      </c>
      <c r="P6" s="383" t="n"/>
      <c r="Q6" s="383" t="n"/>
      <c r="R6" s="383" t="n"/>
      <c r="S6" s="1882" t="inlineStr">
        <is>
          <t>Monthly Salary by Position, Pre-Launch, by Month</t>
        </is>
      </c>
    </row>
    <row r="7" ht="3" customHeight="1" s="1883">
      <c r="B7" s="383" t="n"/>
      <c r="C7" s="383" t="n"/>
      <c r="D7" s="383" t="n"/>
      <c r="E7" s="383" t="n"/>
      <c r="F7" s="383" t="n"/>
      <c r="G7" s="387" t="n"/>
      <c r="H7" s="387" t="n"/>
      <c r="I7" s="387" t="n"/>
      <c r="J7" s="387" t="n"/>
      <c r="K7" s="387" t="n"/>
      <c r="L7" s="387" t="n"/>
      <c r="M7" s="387" t="n"/>
      <c r="N7" s="387" t="n"/>
      <c r="O7" s="387" t="n"/>
      <c r="P7" s="383" t="n"/>
      <c r="Q7" s="383" t="n"/>
      <c r="R7" s="383" t="n"/>
      <c r="S7" s="387" t="n"/>
      <c r="T7" s="387" t="n"/>
      <c r="U7" s="387" t="n"/>
      <c r="V7" s="387" t="n"/>
      <c r="W7" s="387" t="n"/>
      <c r="X7" s="387" t="n"/>
      <c r="Y7" s="387" t="n"/>
      <c r="Z7" s="387" t="n"/>
      <c r="AA7" s="387" t="n"/>
      <c r="AB7" s="387" t="n"/>
      <c r="AC7" s="387" t="n"/>
    </row>
    <row r="8" ht="3" customHeight="1" s="1883">
      <c r="B8" s="383" t="n"/>
      <c r="C8" s="383" t="n"/>
      <c r="D8" s="383" t="n"/>
      <c r="E8" s="383" t="n"/>
      <c r="F8" s="383" t="n"/>
      <c r="G8" s="383" t="n"/>
      <c r="H8" s="383" t="n"/>
      <c r="I8" s="383" t="n"/>
      <c r="J8" s="383" t="n"/>
      <c r="K8" s="383" t="n"/>
      <c r="L8" s="383" t="n"/>
      <c r="M8" s="383" t="n"/>
      <c r="N8" s="383" t="n"/>
      <c r="O8" s="383" t="n"/>
      <c r="P8" s="383" t="n"/>
      <c r="Q8" s="383" t="n"/>
      <c r="R8" s="383" t="n"/>
      <c r="S8" s="383" t="n"/>
      <c r="T8" s="383" t="n"/>
      <c r="U8" s="383" t="n"/>
      <c r="V8" s="383" t="n"/>
      <c r="W8" s="383" t="n"/>
      <c r="X8" s="383" t="n"/>
      <c r="Y8" s="383" t="n"/>
      <c r="Z8" s="383" t="n"/>
      <c r="AA8" s="383" t="n"/>
      <c r="AB8" s="383" t="n"/>
      <c r="AC8" s="383" t="n"/>
    </row>
    <row r="9" ht="15" customHeight="1" s="1883">
      <c r="B9" s="383" t="n"/>
      <c r="C9" s="383" t="n"/>
      <c r="D9" s="383" t="n"/>
      <c r="E9" s="386" t="inlineStr">
        <is>
          <t>Date of Hire</t>
        </is>
      </c>
      <c r="F9" s="383" t="n"/>
      <c r="G9" s="383" t="n"/>
      <c r="H9" s="383" t="n"/>
      <c r="I9" s="383" t="n"/>
      <c r="J9" s="383" t="n"/>
      <c r="K9" s="383" t="n"/>
      <c r="L9" s="383" t="n"/>
      <c r="M9" s="383" t="n"/>
      <c r="N9" s="383" t="n"/>
      <c r="O9" s="383" t="n"/>
      <c r="P9" s="383" t="n"/>
      <c r="Q9" s="386" t="inlineStr">
        <is>
          <t>Annual Pre-Launch</t>
        </is>
      </c>
      <c r="R9" s="383" t="n"/>
      <c r="S9" s="383" t="n"/>
      <c r="T9" s="383" t="n"/>
      <c r="U9" s="383" t="n"/>
      <c r="V9" s="383" t="n"/>
      <c r="W9" s="383" t="n"/>
      <c r="X9" s="383" t="n"/>
      <c r="Y9" s="383" t="n"/>
      <c r="Z9" s="383" t="n"/>
      <c r="AA9" s="383" t="n"/>
      <c r="AB9" s="383" t="n"/>
      <c r="AC9" s="386" t="inlineStr">
        <is>
          <t>Total,</t>
        </is>
      </c>
    </row>
    <row r="10" ht="15" customHeight="1" s="1883">
      <c r="B10" s="88" t="inlineStr">
        <is>
          <t>Management team</t>
        </is>
      </c>
      <c r="D10" s="383" t="n"/>
      <c r="E10" s="386" t="inlineStr">
        <is>
          <t>Pre-Lauch Month</t>
        </is>
      </c>
      <c r="F10" s="383" t="n"/>
      <c r="G10" s="386" t="n">
        <v>-9</v>
      </c>
      <c r="H10" s="386" t="n">
        <v>-8</v>
      </c>
      <c r="I10" s="386" t="n">
        <v>-7</v>
      </c>
      <c r="J10" s="386" t="n">
        <v>-6</v>
      </c>
      <c r="K10" s="386" t="n">
        <v>-5</v>
      </c>
      <c r="L10" s="386" t="n">
        <v>-4</v>
      </c>
      <c r="M10" s="386" t="n">
        <v>-3</v>
      </c>
      <c r="N10" s="386" t="n">
        <v>-2</v>
      </c>
      <c r="O10" s="386" t="n">
        <v>-1</v>
      </c>
      <c r="P10" s="383" t="n"/>
      <c r="Q10" s="386" t="inlineStr">
        <is>
          <t>Salary</t>
        </is>
      </c>
      <c r="R10" s="383" t="n"/>
      <c r="S10" s="386" t="n">
        <v>-9</v>
      </c>
      <c r="T10" s="386" t="n">
        <v>-8</v>
      </c>
      <c r="U10" s="386" t="n">
        <v>-7</v>
      </c>
      <c r="V10" s="386" t="n">
        <v>-6</v>
      </c>
      <c r="W10" s="386" t="n">
        <v>-5</v>
      </c>
      <c r="X10" s="386" t="n">
        <v>-4</v>
      </c>
      <c r="Y10" s="386" t="n">
        <v>-3</v>
      </c>
      <c r="Z10" s="386" t="n">
        <v>-2</v>
      </c>
      <c r="AA10" s="386" t="n">
        <v>-1</v>
      </c>
      <c r="AB10" s="383" t="n"/>
      <c r="AC10" s="386" t="inlineStr">
        <is>
          <t>Months - 9 to - 1</t>
        </is>
      </c>
    </row>
    <row r="11" ht="3" customHeight="1" s="1883">
      <c r="B11" s="627" t="n"/>
      <c r="C11" s="628" t="n"/>
      <c r="D11" s="383" t="n"/>
      <c r="E11" s="387" t="n"/>
      <c r="F11" s="383" t="n"/>
      <c r="G11" s="387" t="n"/>
      <c r="H11" s="387" t="n"/>
      <c r="I11" s="387" t="n"/>
      <c r="J11" s="387" t="n"/>
      <c r="K11" s="387" t="n"/>
      <c r="L11" s="387" t="n"/>
      <c r="M11" s="387" t="n"/>
      <c r="N11" s="387" t="n"/>
      <c r="O11" s="387" t="n"/>
      <c r="P11" s="383" t="n"/>
      <c r="Q11" s="387" t="n"/>
      <c r="R11" s="383" t="n"/>
      <c r="S11" s="387" t="n"/>
      <c r="T11" s="387" t="n"/>
      <c r="U11" s="387" t="n"/>
      <c r="V11" s="387" t="n"/>
      <c r="W11" s="387" t="n"/>
      <c r="X11" s="387" t="n"/>
      <c r="Y11" s="387" t="n"/>
      <c r="Z11" s="387" t="n"/>
      <c r="AA11" s="387" t="n"/>
      <c r="AB11" s="383" t="n"/>
      <c r="AC11" s="387" t="n"/>
    </row>
    <row r="12" ht="3" customHeight="1" s="1883">
      <c r="B12" s="88" t="n"/>
      <c r="D12" s="383" t="n"/>
      <c r="E12" s="383" t="n"/>
      <c r="F12" s="383" t="n"/>
      <c r="G12" s="383" t="n"/>
      <c r="H12" s="383" t="n"/>
      <c r="I12" s="383" t="n"/>
      <c r="J12" s="383" t="n"/>
      <c r="K12" s="383" t="n"/>
      <c r="L12" s="383" t="n"/>
      <c r="M12" s="383" t="n"/>
      <c r="N12" s="383" t="n"/>
      <c r="O12" s="383" t="n"/>
      <c r="P12" s="383" t="n"/>
      <c r="Q12" s="383" t="n"/>
      <c r="R12" s="383" t="n"/>
      <c r="S12" s="383" t="n"/>
      <c r="T12" s="383" t="n"/>
      <c r="U12" s="383" t="n"/>
      <c r="V12" s="383" t="n"/>
      <c r="W12" s="383" t="n"/>
      <c r="X12" s="383" t="n"/>
      <c r="Y12" s="383" t="n"/>
      <c r="Z12" s="383" t="n"/>
      <c r="AA12" s="383" t="n"/>
      <c r="AB12" s="383" t="n"/>
      <c r="AC12" s="383" t="n"/>
    </row>
    <row r="13" ht="15" customHeight="1" s="1883">
      <c r="B13" s="635" t="inlineStr">
        <is>
          <t>M</t>
        </is>
      </c>
      <c r="C13" s="667" t="inlineStr">
        <is>
          <t>Jared Sanborn – Chairman &amp; Chief Executive Officer</t>
        </is>
      </c>
      <c r="D13" s="383" t="n"/>
      <c r="E13" s="630" t="inlineStr">
        <is>
          <t>-9</t>
        </is>
      </c>
      <c r="F13" s="383" t="n"/>
      <c r="G13" s="446" t="n">
        <v>1</v>
      </c>
      <c r="H13" s="446">
        <f>($G$13)</f>
        <v/>
      </c>
      <c r="I13" s="446">
        <f>($G$13)</f>
        <v/>
      </c>
      <c r="J13" s="446">
        <f>($G$13)</f>
        <v/>
      </c>
      <c r="K13" s="446">
        <f>($G$13)</f>
        <v/>
      </c>
      <c r="L13" s="446">
        <f>($G$13)</f>
        <v/>
      </c>
      <c r="M13" s="446">
        <f>($G$13)</f>
        <v/>
      </c>
      <c r="N13" s="446">
        <f>($G$13)</f>
        <v/>
      </c>
      <c r="O13" s="446">
        <f>($G$13)</f>
        <v/>
      </c>
      <c r="P13" s="383" t="n"/>
      <c r="Q13" s="1940" t="n">
        <v>250000</v>
      </c>
      <c r="R13" s="462" t="n"/>
      <c r="S13" s="462">
        <f>((G13)*(($Q13)/(12)))</f>
        <v/>
      </c>
      <c r="T13" s="462">
        <f>((H13)*(($Q13)/(12)))</f>
        <v/>
      </c>
      <c r="U13" s="462">
        <f>((I13)*(($Q13)/(12)))</f>
        <v/>
      </c>
      <c r="V13" s="462">
        <f>((J13)*(($Q13)/(12)))</f>
        <v/>
      </c>
      <c r="W13" s="462">
        <f>((K13)*(($Q13)/(12)))</f>
        <v/>
      </c>
      <c r="X13" s="462">
        <f>((L13)*(($Q13)/(12)))</f>
        <v/>
      </c>
      <c r="Y13" s="462">
        <f>((M13)*(($Q13)/(12)))</f>
        <v/>
      </c>
      <c r="Z13" s="462">
        <f>((N13)*(($Q13)/(12)))</f>
        <v/>
      </c>
      <c r="AA13" s="462">
        <f>((O13)*(($Q13)/(12)))</f>
        <v/>
      </c>
      <c r="AB13" s="462" t="n"/>
      <c r="AC13" s="494">
        <f>SUM(S13:AA13)</f>
        <v/>
      </c>
    </row>
    <row r="14" ht="15" customHeight="1" s="1883">
      <c r="B14" s="635" t="inlineStr">
        <is>
          <t>M</t>
        </is>
      </c>
      <c r="C14" s="667" t="inlineStr">
        <is>
          <t>Melanie Salvador - Vice Chairman &amp; Deputy CEO</t>
        </is>
      </c>
      <c r="D14" s="383" t="n"/>
      <c r="E14" s="630" t="inlineStr">
        <is>
          <t>-9</t>
        </is>
      </c>
      <c r="F14" s="383" t="n"/>
      <c r="G14" s="446" t="n">
        <v>1</v>
      </c>
      <c r="H14" s="446">
        <f>($G$14)</f>
        <v/>
      </c>
      <c r="I14" s="446">
        <f>($G$14)</f>
        <v/>
      </c>
      <c r="J14" s="446">
        <f>($G$14)</f>
        <v/>
      </c>
      <c r="K14" s="446">
        <f>($G$14)</f>
        <v/>
      </c>
      <c r="L14" s="446">
        <f>($G$14)</f>
        <v/>
      </c>
      <c r="M14" s="446">
        <f>($G$14)</f>
        <v/>
      </c>
      <c r="N14" s="446">
        <f>($G$14)</f>
        <v/>
      </c>
      <c r="O14" s="446">
        <f>($G$14)</f>
        <v/>
      </c>
      <c r="P14" s="383" t="n"/>
      <c r="Q14" s="1940" t="n">
        <v>200000</v>
      </c>
      <c r="R14" s="462" t="n"/>
      <c r="S14" s="462">
        <f>((G14)*(($Q14)/(12)))</f>
        <v/>
      </c>
      <c r="T14" s="462">
        <f>((H14)*(($Q14)/(12)))</f>
        <v/>
      </c>
      <c r="U14" s="462">
        <f>((I14)*(($Q14)/(12)))</f>
        <v/>
      </c>
      <c r="V14" s="462">
        <f>((J14)*(($Q14)/(12)))</f>
        <v/>
      </c>
      <c r="W14" s="462">
        <f>((K14)*(($Q14)/(12)))</f>
        <v/>
      </c>
      <c r="X14" s="462">
        <f>((L14)*(($Q14)/(12)))</f>
        <v/>
      </c>
      <c r="Y14" s="462">
        <f>((M14)*(($Q14)/(12)))</f>
        <v/>
      </c>
      <c r="Z14" s="462">
        <f>((N14)*(($Q14)/(12)))</f>
        <v/>
      </c>
      <c r="AA14" s="462">
        <f>((O14)*(($Q14)/(12)))</f>
        <v/>
      </c>
      <c r="AB14" s="462" t="n"/>
      <c r="AC14" s="494">
        <f>SUM(S14:AA14)</f>
        <v/>
      </c>
    </row>
    <row r="15" ht="15" customHeight="1" s="1883">
      <c r="B15" s="635" t="inlineStr">
        <is>
          <t>M</t>
        </is>
      </c>
      <c r="C15" s="667" t="inlineStr">
        <is>
          <t>James Weinberg - Chief Financial Officer</t>
        </is>
      </c>
      <c r="D15" s="383" t="n"/>
      <c r="E15" s="630" t="inlineStr">
        <is>
          <t>-9</t>
        </is>
      </c>
      <c r="F15" s="383" t="n"/>
      <c r="G15" s="446" t="n">
        <v>1</v>
      </c>
      <c r="H15" s="446">
        <f>($G$15)</f>
        <v/>
      </c>
      <c r="I15" s="446">
        <f>($G$15)</f>
        <v/>
      </c>
      <c r="J15" s="446">
        <f>($G$15)</f>
        <v/>
      </c>
      <c r="K15" s="446">
        <f>($G$15)</f>
        <v/>
      </c>
      <c r="L15" s="446">
        <f>($G$15)</f>
        <v/>
      </c>
      <c r="M15" s="446">
        <f>($G$15)</f>
        <v/>
      </c>
      <c r="N15" s="446">
        <f>($G$15)</f>
        <v/>
      </c>
      <c r="O15" s="446">
        <f>($G$15)</f>
        <v/>
      </c>
      <c r="P15" s="383" t="n"/>
      <c r="Q15" s="1940" t="n">
        <v>200000</v>
      </c>
      <c r="R15" s="462" t="n"/>
      <c r="S15" s="462">
        <f>((G15)*(($Q15)/(12)))</f>
        <v/>
      </c>
      <c r="T15" s="462">
        <f>((H15)*(($Q15)/(12)))</f>
        <v/>
      </c>
      <c r="U15" s="462">
        <f>((I15)*(($Q15)/(12)))</f>
        <v/>
      </c>
      <c r="V15" s="462">
        <f>((J15)*(($Q15)/(12)))</f>
        <v/>
      </c>
      <c r="W15" s="462">
        <f>((K15)*(($Q15)/(12)))</f>
        <v/>
      </c>
      <c r="X15" s="462">
        <f>((L15)*(($Q15)/(12)))</f>
        <v/>
      </c>
      <c r="Y15" s="462">
        <f>((M15)*(($Q15)/(12)))</f>
        <v/>
      </c>
      <c r="Z15" s="462">
        <f>((N15)*(($Q15)/(12)))</f>
        <v/>
      </c>
      <c r="AA15" s="462">
        <f>((O15)*(($Q15)/(12)))</f>
        <v/>
      </c>
      <c r="AB15" s="462" t="n"/>
      <c r="AC15" s="494">
        <f>SUM(S15:AA15)</f>
        <v/>
      </c>
    </row>
    <row r="16" ht="15" customHeight="1" s="1883">
      <c r="B16" s="635" t="inlineStr">
        <is>
          <t>M</t>
        </is>
      </c>
      <c r="C16" s="666" t="inlineStr">
        <is>
          <t>TBD - Controller</t>
        </is>
      </c>
      <c r="D16" s="383" t="n"/>
      <c r="E16" s="630" t="inlineStr">
        <is>
          <t>-3</t>
        </is>
      </c>
      <c r="F16" s="383" t="n"/>
      <c r="G16" s="631" t="n"/>
      <c r="H16" s="631" t="n"/>
      <c r="I16" s="631" t="n"/>
      <c r="J16" s="631" t="n"/>
      <c r="K16" s="631" t="n"/>
      <c r="L16" s="631" t="n"/>
      <c r="M16" s="685" t="n">
        <v>1</v>
      </c>
      <c r="N16" s="685" t="n">
        <v>1</v>
      </c>
      <c r="O16" s="685" t="n">
        <v>1</v>
      </c>
      <c r="P16" s="383" t="n"/>
      <c r="Q16" s="703" t="n">
        <v>95000</v>
      </c>
      <c r="R16" s="462" t="n"/>
      <c r="S16" s="462">
        <f>((G16)*(($Q16)/(12)))</f>
        <v/>
      </c>
      <c r="T16" s="462">
        <f>((H16)*(($Q16)/(12)))</f>
        <v/>
      </c>
      <c r="U16" s="462">
        <f>((I16)*(($Q16)/(12)))</f>
        <v/>
      </c>
      <c r="V16" s="462">
        <f>((J16)*(($Q16)/(12)))</f>
        <v/>
      </c>
      <c r="W16" s="462">
        <f>((K16)*(($Q16)/(12)))</f>
        <v/>
      </c>
      <c r="X16" s="462">
        <f>((L16)*(($Q16)/(12)))</f>
        <v/>
      </c>
      <c r="Y16" s="462">
        <f>((M16)*(($Q16)/(12)))</f>
        <v/>
      </c>
      <c r="Z16" s="462">
        <f>((N16)*(($Q16)/(12)))</f>
        <v/>
      </c>
      <c r="AA16" s="462">
        <f>((O16)*(($Q16)/(12)))</f>
        <v/>
      </c>
      <c r="AB16" s="462" t="n"/>
      <c r="AC16" s="494">
        <f>SUM(S16:AA16)</f>
        <v/>
      </c>
    </row>
    <row r="17" ht="15" customHeight="1" s="1883">
      <c r="B17" s="635" t="inlineStr">
        <is>
          <t>M</t>
        </is>
      </c>
      <c r="C17" s="667" t="inlineStr">
        <is>
          <t>Jason Steinberg - Chief Strategy Officer</t>
        </is>
      </c>
      <c r="D17" s="383" t="n"/>
      <c r="E17" s="630" t="inlineStr">
        <is>
          <t>-9</t>
        </is>
      </c>
      <c r="F17" s="383" t="n"/>
      <c r="G17" s="446" t="n">
        <v>1</v>
      </c>
      <c r="H17" s="446">
        <f>($G$17)</f>
        <v/>
      </c>
      <c r="I17" s="446">
        <f>($G$17)</f>
        <v/>
      </c>
      <c r="J17" s="446">
        <f>($G$17)</f>
        <v/>
      </c>
      <c r="K17" s="446">
        <f>($G$17)</f>
        <v/>
      </c>
      <c r="L17" s="446">
        <f>($G$17)</f>
        <v/>
      </c>
      <c r="M17" s="446">
        <f>($G$17)</f>
        <v/>
      </c>
      <c r="N17" s="446">
        <f>($G$17)</f>
        <v/>
      </c>
      <c r="O17" s="446">
        <f>($G$17)</f>
        <v/>
      </c>
      <c r="P17" s="383" t="n"/>
      <c r="Q17" s="1940" t="n">
        <v>200000</v>
      </c>
      <c r="R17" s="462" t="n"/>
      <c r="S17" s="462">
        <f>((G17)*(($Q17)/(12)))</f>
        <v/>
      </c>
      <c r="T17" s="462">
        <f>((H17)*(($Q17)/(12)))</f>
        <v/>
      </c>
      <c r="U17" s="462">
        <f>((I17)*(($Q17)/(12)))</f>
        <v/>
      </c>
      <c r="V17" s="462">
        <f>((J17)*(($Q17)/(12)))</f>
        <v/>
      </c>
      <c r="W17" s="462">
        <f>((K17)*(($Q17)/(12)))</f>
        <v/>
      </c>
      <c r="X17" s="462">
        <f>((L17)*(($Q17)/(12)))</f>
        <v/>
      </c>
      <c r="Y17" s="462">
        <f>((M17)*(($Q17)/(12)))</f>
        <v/>
      </c>
      <c r="Z17" s="462">
        <f>((N17)*(($Q17)/(12)))</f>
        <v/>
      </c>
      <c r="AA17" s="462">
        <f>((O17)*(($Q17)/(12)))</f>
        <v/>
      </c>
      <c r="AB17" s="462" t="n"/>
      <c r="AC17" s="494">
        <f>SUM(S17:AA17)</f>
        <v/>
      </c>
    </row>
    <row r="18" ht="15" customHeight="1" s="1883">
      <c r="B18" s="635" t="inlineStr">
        <is>
          <t>M</t>
        </is>
      </c>
      <c r="C18" s="665" t="inlineStr">
        <is>
          <t>Philip Bliss - Chief Marketing Officer</t>
        </is>
      </c>
      <c r="D18" s="383" t="n"/>
      <c r="E18" s="630" t="inlineStr">
        <is>
          <t>-9</t>
        </is>
      </c>
      <c r="F18" s="383" t="n"/>
      <c r="G18" s="446" t="n">
        <v>1</v>
      </c>
      <c r="H18" s="446">
        <f>($G$20)</f>
        <v/>
      </c>
      <c r="I18" s="446">
        <f>($G$20)</f>
        <v/>
      </c>
      <c r="J18" s="446">
        <f>($G$20)</f>
        <v/>
      </c>
      <c r="K18" s="446">
        <f>($G$20)</f>
        <v/>
      </c>
      <c r="L18" s="446">
        <f>($G$20)</f>
        <v/>
      </c>
      <c r="M18" s="446">
        <f>($G$20)</f>
        <v/>
      </c>
      <c r="N18" s="446">
        <f>($G$20)</f>
        <v/>
      </c>
      <c r="O18" s="446">
        <f>($G$20)</f>
        <v/>
      </c>
      <c r="P18" s="383" t="n"/>
      <c r="Q18" s="1940" t="n">
        <v>120000</v>
      </c>
      <c r="R18" s="462" t="n"/>
      <c r="S18" s="462">
        <f>((G18)*(($Q18)/(12)))</f>
        <v/>
      </c>
      <c r="T18" s="462">
        <f>((H18)*(($Q18)/(12)))</f>
        <v/>
      </c>
      <c r="U18" s="462">
        <f>((I18)*(($Q18)/(12)))</f>
        <v/>
      </c>
      <c r="V18" s="462">
        <f>((J18)*(($Q18)/(12)))</f>
        <v/>
      </c>
      <c r="W18" s="462">
        <f>((K18)*(($Q18)/(12)))</f>
        <v/>
      </c>
      <c r="X18" s="462">
        <f>((L18)*(($Q18)/(12)))</f>
        <v/>
      </c>
      <c r="Y18" s="462">
        <f>((M18)*(($Q18)/(12)))</f>
        <v/>
      </c>
      <c r="Z18" s="462">
        <f>((N18)*(($Q18)/(12)))</f>
        <v/>
      </c>
      <c r="AA18" s="462">
        <f>((O18)*(($Q18)/(12)))</f>
        <v/>
      </c>
      <c r="AB18" s="462" t="n"/>
      <c r="AC18" s="494">
        <f>SUM(S18:AA18)</f>
        <v/>
      </c>
    </row>
    <row r="19" ht="15" customHeight="1" s="1883">
      <c r="B19" s="635" t="inlineStr">
        <is>
          <t>M</t>
        </is>
      </c>
      <c r="C19" s="665" t="inlineStr">
        <is>
          <t>David Harding - Chief Technology Officer</t>
        </is>
      </c>
      <c r="D19" s="383" t="n"/>
      <c r="E19" s="630" t="inlineStr">
        <is>
          <t>-9</t>
        </is>
      </c>
      <c r="F19" s="383" t="n"/>
      <c r="G19" s="446" t="n">
        <v>1</v>
      </c>
      <c r="H19" s="446">
        <f>($G$20)</f>
        <v/>
      </c>
      <c r="I19" s="446">
        <f>($G$20)</f>
        <v/>
      </c>
      <c r="J19" s="446">
        <f>($G$20)</f>
        <v/>
      </c>
      <c r="K19" s="446">
        <f>($G$20)</f>
        <v/>
      </c>
      <c r="L19" s="446">
        <f>($G$20)</f>
        <v/>
      </c>
      <c r="M19" s="446">
        <f>($G$20)</f>
        <v/>
      </c>
      <c r="N19" s="446">
        <f>($G$20)</f>
        <v/>
      </c>
      <c r="O19" s="446">
        <f>($G$20)</f>
        <v/>
      </c>
      <c r="P19" s="383" t="n"/>
      <c r="Q19" s="1940" t="n">
        <v>165000</v>
      </c>
      <c r="R19" s="462" t="n"/>
      <c r="S19" s="462">
        <f>((G19)*(($Q19)/(12)))</f>
        <v/>
      </c>
      <c r="T19" s="462">
        <f>((H19)*(($Q19)/(12)))</f>
        <v/>
      </c>
      <c r="U19" s="462">
        <f>((I19)*(($Q19)/(12)))</f>
        <v/>
      </c>
      <c r="V19" s="462">
        <f>((J19)*(($Q19)/(12)))</f>
        <v/>
      </c>
      <c r="W19" s="462">
        <f>((K19)*(($Q19)/(12)))</f>
        <v/>
      </c>
      <c r="X19" s="462">
        <f>((L19)*(($Q19)/(12)))</f>
        <v/>
      </c>
      <c r="Y19" s="462">
        <f>((M19)*(($Q19)/(12)))</f>
        <v/>
      </c>
      <c r="Z19" s="462">
        <f>((N19)*(($Q19)/(12)))</f>
        <v/>
      </c>
      <c r="AA19" s="462">
        <f>((O19)*(($Q19)/(12)))</f>
        <v/>
      </c>
      <c r="AB19" s="462" t="n"/>
      <c r="AC19" s="494">
        <f>SUM(S19:AA19)</f>
        <v/>
      </c>
    </row>
    <row r="20" ht="15" customHeight="1" s="1883">
      <c r="B20" s="635" t="inlineStr">
        <is>
          <t>M</t>
        </is>
      </c>
      <c r="C20" s="668" t="inlineStr">
        <is>
          <t>Matthew Keough - Chief Innovation Officer</t>
        </is>
      </c>
      <c r="D20" s="383" t="n"/>
      <c r="E20" s="630" t="inlineStr">
        <is>
          <t>-9</t>
        </is>
      </c>
      <c r="F20" s="383" t="n"/>
      <c r="G20" s="446" t="n">
        <v>1</v>
      </c>
      <c r="H20" s="446">
        <f>($G$20)</f>
        <v/>
      </c>
      <c r="I20" s="446">
        <f>($G$20)</f>
        <v/>
      </c>
      <c r="J20" s="446">
        <f>($G$20)</f>
        <v/>
      </c>
      <c r="K20" s="446">
        <f>($G$20)</f>
        <v/>
      </c>
      <c r="L20" s="446">
        <f>($G$20)</f>
        <v/>
      </c>
      <c r="M20" s="446">
        <f>($G$20)</f>
        <v/>
      </c>
      <c r="N20" s="446">
        <f>($G$20)</f>
        <v/>
      </c>
      <c r="O20" s="446">
        <f>($G$20)</f>
        <v/>
      </c>
      <c r="P20" s="383" t="n"/>
      <c r="Q20" s="1940" t="n">
        <v>200000</v>
      </c>
      <c r="R20" s="462" t="n"/>
      <c r="S20" s="462">
        <f>((G20)*(($Q20)/(12)))</f>
        <v/>
      </c>
      <c r="T20" s="462">
        <f>((H20)*(($Q20)/(12)))</f>
        <v/>
      </c>
      <c r="U20" s="462">
        <f>((I20)*(($Q20)/(12)))</f>
        <v/>
      </c>
      <c r="V20" s="462">
        <f>((J20)*(($Q20)/(12)))</f>
        <v/>
      </c>
      <c r="W20" s="462">
        <f>((K20)*(($Q20)/(12)))</f>
        <v/>
      </c>
      <c r="X20" s="462">
        <f>((L20)*(($Q20)/(12)))</f>
        <v/>
      </c>
      <c r="Y20" s="462">
        <f>((M20)*(($Q20)/(12)))</f>
        <v/>
      </c>
      <c r="Z20" s="462">
        <f>((N20)*(($Q20)/(12)))</f>
        <v/>
      </c>
      <c r="AA20" s="462">
        <f>((O20)*(($Q20)/(12)))</f>
        <v/>
      </c>
      <c r="AB20" s="462" t="n"/>
      <c r="AC20" s="494">
        <f>SUM(S20:AA20)</f>
        <v/>
      </c>
    </row>
    <row r="21" ht="15" customHeight="1" s="1883">
      <c r="B21" s="635" t="n"/>
      <c r="C21" s="667" t="inlineStr">
        <is>
          <t>Mike Schuman - Chief Commercial Officer</t>
        </is>
      </c>
      <c r="D21" s="383" t="n"/>
      <c r="E21" s="630" t="inlineStr">
        <is>
          <t>-9</t>
        </is>
      </c>
      <c r="F21" s="383" t="n"/>
      <c r="G21" s="446" t="n">
        <v>1</v>
      </c>
      <c r="H21" s="446">
        <f>($G$20)</f>
        <v/>
      </c>
      <c r="I21" s="446">
        <f>($G$20)</f>
        <v/>
      </c>
      <c r="J21" s="446">
        <f>($G$20)</f>
        <v/>
      </c>
      <c r="K21" s="446">
        <f>($G$20)</f>
        <v/>
      </c>
      <c r="L21" s="446">
        <f>($G$20)</f>
        <v/>
      </c>
      <c r="M21" s="446">
        <f>($G$20)</f>
        <v/>
      </c>
      <c r="N21" s="446">
        <f>($G$20)</f>
        <v/>
      </c>
      <c r="O21" s="446">
        <f>($G$20)</f>
        <v/>
      </c>
      <c r="P21" s="383" t="n"/>
      <c r="Q21" s="1940" t="n">
        <v>200000</v>
      </c>
      <c r="R21" s="462" t="n"/>
      <c r="S21" s="524" t="n"/>
      <c r="T21" s="524" t="n"/>
      <c r="U21" s="524" t="n"/>
      <c r="V21" s="524" t="n"/>
      <c r="W21" s="524" t="n"/>
      <c r="X21" s="524" t="n"/>
      <c r="Y21" s="524" t="n"/>
      <c r="Z21" s="524" t="n"/>
      <c r="AA21" s="524" t="n"/>
      <c r="AB21" s="524" t="n"/>
      <c r="AC21" s="642" t="n"/>
    </row>
    <row r="22" ht="15" customHeight="1" s="1883">
      <c r="B22" s="635" t="n"/>
      <c r="C22" s="667" t="inlineStr">
        <is>
          <t>Edward Brennan - Chief Operations Officer</t>
        </is>
      </c>
      <c r="D22" s="383" t="n"/>
      <c r="E22" s="630" t="inlineStr">
        <is>
          <t>-9</t>
        </is>
      </c>
      <c r="F22" s="383" t="n"/>
      <c r="G22" s="446" t="n">
        <v>1</v>
      </c>
      <c r="H22" s="446">
        <f>($G$20)</f>
        <v/>
      </c>
      <c r="I22" s="446">
        <f>($G$20)</f>
        <v/>
      </c>
      <c r="J22" s="446">
        <f>($G$20)</f>
        <v/>
      </c>
      <c r="K22" s="446">
        <f>($G$20)</f>
        <v/>
      </c>
      <c r="L22" s="446">
        <f>($G$20)</f>
        <v/>
      </c>
      <c r="M22" s="446">
        <f>($G$20)</f>
        <v/>
      </c>
      <c r="N22" s="446">
        <f>($G$20)</f>
        <v/>
      </c>
      <c r="O22" s="446">
        <f>($G$20)</f>
        <v/>
      </c>
      <c r="P22" s="383" t="n"/>
      <c r="Q22" s="1940" t="n">
        <v>165000</v>
      </c>
      <c r="R22" s="462" t="n"/>
      <c r="S22" s="524" t="n"/>
      <c r="T22" s="524" t="n"/>
      <c r="U22" s="524" t="n"/>
      <c r="V22" s="524" t="n"/>
      <c r="W22" s="524" t="n"/>
      <c r="X22" s="524" t="n"/>
      <c r="Y22" s="524" t="n"/>
      <c r="Z22" s="524" t="n"/>
      <c r="AA22" s="524" t="n"/>
      <c r="AB22" s="524" t="n"/>
      <c r="AC22" s="642" t="n"/>
    </row>
    <row r="23" ht="15" customHeight="1" s="1883">
      <c r="B23" s="635" t="n"/>
      <c r="C23" s="665" t="inlineStr">
        <is>
          <t>Mohamed Madhoun - Chief Revenue Officer</t>
        </is>
      </c>
      <c r="D23" s="383" t="n"/>
      <c r="E23" s="630" t="inlineStr">
        <is>
          <t>-9</t>
        </is>
      </c>
      <c r="F23" s="383" t="n"/>
      <c r="G23" s="446" t="n">
        <v>1</v>
      </c>
      <c r="H23" s="446">
        <f>($G$20)</f>
        <v/>
      </c>
      <c r="I23" s="446">
        <f>($G$20)</f>
        <v/>
      </c>
      <c r="J23" s="446">
        <f>($G$20)</f>
        <v/>
      </c>
      <c r="K23" s="446">
        <f>($G$20)</f>
        <v/>
      </c>
      <c r="L23" s="446">
        <f>($G$20)</f>
        <v/>
      </c>
      <c r="M23" s="446">
        <f>($G$20)</f>
        <v/>
      </c>
      <c r="N23" s="446">
        <f>($G$20)</f>
        <v/>
      </c>
      <c r="O23" s="446">
        <f>($G$20)</f>
        <v/>
      </c>
      <c r="P23" s="383" t="n"/>
      <c r="Q23" s="1940" t="n">
        <v>165000</v>
      </c>
      <c r="R23" s="462" t="n"/>
      <c r="S23" s="524" t="n"/>
      <c r="T23" s="524" t="n"/>
      <c r="U23" s="524" t="n"/>
      <c r="V23" s="524" t="n"/>
      <c r="W23" s="524" t="n"/>
      <c r="X23" s="524" t="n"/>
      <c r="Y23" s="524" t="n"/>
      <c r="Z23" s="524" t="n"/>
      <c r="AA23" s="524" t="n"/>
      <c r="AB23" s="524" t="n"/>
      <c r="AC23" s="642" t="n"/>
    </row>
    <row r="24" ht="15" customHeight="1" s="1883">
      <c r="B24" s="635" t="n"/>
      <c r="C24" s="665" t="inlineStr">
        <is>
          <t>Andrea Holmes Thompkins - Chief Happiness Officer</t>
        </is>
      </c>
      <c r="D24" s="383" t="n"/>
      <c r="E24" s="630" t="inlineStr">
        <is>
          <t>-9</t>
        </is>
      </c>
      <c r="F24" s="383" t="n"/>
      <c r="G24" s="446" t="n">
        <v>1</v>
      </c>
      <c r="H24" s="446">
        <f>($G$20)</f>
        <v/>
      </c>
      <c r="I24" s="446">
        <f>($G$20)</f>
        <v/>
      </c>
      <c r="J24" s="446">
        <f>($G$20)</f>
        <v/>
      </c>
      <c r="K24" s="446">
        <f>($G$20)</f>
        <v/>
      </c>
      <c r="L24" s="446">
        <f>($G$20)</f>
        <v/>
      </c>
      <c r="M24" s="446">
        <f>($G$20)</f>
        <v/>
      </c>
      <c r="N24" s="446">
        <f>($G$20)</f>
        <v/>
      </c>
      <c r="O24" s="446">
        <f>($G$20)</f>
        <v/>
      </c>
      <c r="P24" s="383" t="n"/>
      <c r="Q24" s="1940" t="n">
        <v>165000</v>
      </c>
      <c r="R24" s="462" t="n"/>
      <c r="S24" s="524" t="n"/>
      <c r="T24" s="524" t="n"/>
      <c r="U24" s="524" t="n"/>
      <c r="V24" s="524" t="n"/>
      <c r="W24" s="524" t="n"/>
      <c r="X24" s="524" t="n"/>
      <c r="Y24" s="524" t="n"/>
      <c r="Z24" s="524" t="n"/>
      <c r="AA24" s="524" t="n"/>
      <c r="AB24" s="524" t="n"/>
      <c r="AC24" s="642" t="n"/>
    </row>
    <row r="25" ht="15" customHeight="1" s="1883">
      <c r="B25" s="635" t="n"/>
      <c r="C25" s="665" t="inlineStr">
        <is>
          <t>Russell Korus - Chief Digital Assets Officer</t>
        </is>
      </c>
      <c r="D25" s="383" t="n"/>
      <c r="E25" s="630" t="inlineStr">
        <is>
          <t>-9</t>
        </is>
      </c>
      <c r="F25" s="383" t="n"/>
      <c r="G25" s="446" t="n">
        <v>1</v>
      </c>
      <c r="H25" s="446">
        <f>($G$20)</f>
        <v/>
      </c>
      <c r="I25" s="446">
        <f>($G$20)</f>
        <v/>
      </c>
      <c r="J25" s="446">
        <f>($G$20)</f>
        <v/>
      </c>
      <c r="K25" s="446">
        <f>($G$20)</f>
        <v/>
      </c>
      <c r="L25" s="446">
        <f>($G$20)</f>
        <v/>
      </c>
      <c r="M25" s="446">
        <f>($G$20)</f>
        <v/>
      </c>
      <c r="N25" s="446">
        <f>($G$20)</f>
        <v/>
      </c>
      <c r="O25" s="446">
        <f>($G$20)</f>
        <v/>
      </c>
      <c r="P25" s="383" t="n"/>
      <c r="Q25" s="1940" t="n">
        <v>165000</v>
      </c>
      <c r="R25" s="462" t="n"/>
      <c r="S25" s="524" t="n"/>
      <c r="T25" s="524" t="n"/>
      <c r="U25" s="524" t="n"/>
      <c r="V25" s="524" t="n"/>
      <c r="W25" s="524" t="n"/>
      <c r="X25" s="524" t="n"/>
      <c r="Y25" s="524" t="n"/>
      <c r="Z25" s="524" t="n"/>
      <c r="AA25" s="524" t="n"/>
      <c r="AB25" s="524" t="n"/>
      <c r="AC25" s="642" t="n"/>
    </row>
    <row r="26" ht="15" customHeight="1" s="1883">
      <c r="B26" s="635" t="n"/>
      <c r="C26" s="665" t="inlineStr">
        <is>
          <t>Thomas Tang - President, Hardware</t>
        </is>
      </c>
      <c r="D26" s="383" t="n"/>
      <c r="E26" s="630" t="inlineStr">
        <is>
          <t>-6</t>
        </is>
      </c>
      <c r="F26" s="383" t="n"/>
      <c r="G26" s="631" t="n"/>
      <c r="H26" s="631" t="n"/>
      <c r="I26" s="631" t="n"/>
      <c r="J26" s="446">
        <f>($G$20)</f>
        <v/>
      </c>
      <c r="K26" s="446">
        <f>($G$20)</f>
        <v/>
      </c>
      <c r="L26" s="446">
        <f>($G$20)</f>
        <v/>
      </c>
      <c r="M26" s="446">
        <f>($G$20)</f>
        <v/>
      </c>
      <c r="N26" s="446">
        <f>($G$20)</f>
        <v/>
      </c>
      <c r="O26" s="446">
        <f>($G$20)</f>
        <v/>
      </c>
      <c r="P26" s="383" t="n"/>
      <c r="Q26" s="703" t="n">
        <v>165000</v>
      </c>
      <c r="R26" s="462" t="n"/>
      <c r="S26" s="830" t="n"/>
      <c r="T26" s="830" t="n"/>
      <c r="U26" s="830" t="n"/>
      <c r="V26" s="524" t="n"/>
      <c r="W26" s="524" t="n"/>
      <c r="X26" s="524" t="n"/>
      <c r="Y26" s="524" t="n"/>
      <c r="Z26" s="524" t="n"/>
      <c r="AA26" s="524" t="n"/>
      <c r="AB26" s="524" t="n"/>
      <c r="AC26" s="642" t="n"/>
    </row>
    <row r="27" ht="15" customHeight="1" s="1883">
      <c r="B27" s="635" t="n"/>
      <c r="C27" s="665" t="inlineStr">
        <is>
          <t>TBD - Chief Product Officer / VP of Product</t>
        </is>
      </c>
      <c r="D27" s="383" t="n"/>
      <c r="E27" s="630" t="inlineStr">
        <is>
          <t>-3</t>
        </is>
      </c>
      <c r="F27" s="383" t="n"/>
      <c r="G27" s="631" t="n"/>
      <c r="H27" s="631" t="n"/>
      <c r="I27" s="631" t="n"/>
      <c r="J27" s="631" t="n"/>
      <c r="K27" s="631" t="n"/>
      <c r="L27" s="631" t="n"/>
      <c r="M27" s="685" t="n">
        <v>1</v>
      </c>
      <c r="N27" s="685" t="n">
        <v>1</v>
      </c>
      <c r="O27" s="685" t="n">
        <v>1</v>
      </c>
      <c r="P27" s="383" t="n"/>
      <c r="Q27" s="1940" t="n">
        <v>165000</v>
      </c>
      <c r="R27" s="462" t="n"/>
      <c r="S27" s="830" t="n"/>
      <c r="T27" s="830" t="n"/>
      <c r="U27" s="830" t="n"/>
      <c r="V27" s="830" t="n"/>
      <c r="W27" s="830" t="n"/>
      <c r="X27" s="830" t="n"/>
      <c r="Y27" s="524" t="n"/>
      <c r="Z27" s="524" t="n"/>
      <c r="AA27" s="524" t="n"/>
      <c r="AB27" s="524" t="n"/>
      <c r="AC27" s="642" t="n"/>
    </row>
    <row r="28" ht="15" customHeight="1" s="1883">
      <c r="B28" s="635" t="n"/>
      <c r="C28" s="664" t="inlineStr">
        <is>
          <t xml:space="preserve"> - VP, Business Development</t>
        </is>
      </c>
      <c r="D28" s="383" t="n"/>
      <c r="E28" s="630" t="inlineStr">
        <is>
          <t>-3</t>
        </is>
      </c>
      <c r="F28" s="383" t="n"/>
      <c r="G28" s="631" t="n"/>
      <c r="H28" s="631" t="n"/>
      <c r="I28" s="631" t="n"/>
      <c r="J28" s="631" t="n"/>
      <c r="K28" s="631" t="n"/>
      <c r="L28" s="631" t="n"/>
      <c r="M28" s="685" t="n">
        <v>1</v>
      </c>
      <c r="N28" s="685" t="n">
        <v>1</v>
      </c>
      <c r="O28" s="685" t="n">
        <v>1</v>
      </c>
      <c r="P28" s="383" t="n"/>
      <c r="Q28" s="1940" t="n">
        <v>165000</v>
      </c>
      <c r="R28" s="462" t="n"/>
      <c r="S28" s="830" t="n"/>
      <c r="T28" s="830" t="n"/>
      <c r="U28" s="830" t="n"/>
      <c r="V28" s="830" t="n"/>
      <c r="W28" s="830" t="n"/>
      <c r="X28" s="830" t="n"/>
      <c r="Y28" s="524" t="n"/>
      <c r="Z28" s="524" t="n"/>
      <c r="AA28" s="524" t="n"/>
      <c r="AB28" s="524" t="n"/>
      <c r="AC28" s="642" t="n"/>
    </row>
    <row r="29" ht="15" customHeight="1" s="1883">
      <c r="B29" s="635" t="n"/>
      <c r="C29" s="667" t="inlineStr">
        <is>
          <t>Nathan Olson - President, Pure Marketing</t>
        </is>
      </c>
      <c r="D29" s="383" t="n"/>
      <c r="E29" s="630" t="inlineStr">
        <is>
          <t>-9</t>
        </is>
      </c>
      <c r="F29" s="383" t="n"/>
      <c r="G29" s="446" t="n">
        <v>1</v>
      </c>
      <c r="H29" s="446">
        <f>($G$20)</f>
        <v/>
      </c>
      <c r="I29" s="446">
        <f>($G$20)</f>
        <v/>
      </c>
      <c r="J29" s="446">
        <f>($G$20)</f>
        <v/>
      </c>
      <c r="K29" s="446">
        <f>($G$20)</f>
        <v/>
      </c>
      <c r="L29" s="446">
        <f>($G$20)</f>
        <v/>
      </c>
      <c r="M29" s="446">
        <f>($G$20)</f>
        <v/>
      </c>
      <c r="N29" s="446">
        <f>($G$20)</f>
        <v/>
      </c>
      <c r="O29" s="446">
        <f>($G$20)</f>
        <v/>
      </c>
      <c r="P29" s="383" t="n"/>
      <c r="Q29" s="1940" t="n">
        <v>165000</v>
      </c>
      <c r="R29" s="462" t="n"/>
      <c r="S29" s="524" t="n"/>
      <c r="T29" s="524" t="n"/>
      <c r="U29" s="524" t="n"/>
      <c r="V29" s="524" t="n"/>
      <c r="W29" s="524" t="n"/>
      <c r="X29" s="524" t="n"/>
      <c r="Y29" s="524" t="n"/>
      <c r="Z29" s="524" t="n"/>
      <c r="AA29" s="524" t="n"/>
      <c r="AB29" s="524" t="n"/>
      <c r="AC29" s="642" t="n"/>
    </row>
    <row r="30" ht="15" customHeight="1" s="1883">
      <c r="B30" s="635" t="n"/>
      <c r="C30" s="665" t="inlineStr">
        <is>
          <t>TBD - VP, Artificial Intelligence &amp; Data Science</t>
        </is>
      </c>
      <c r="D30" s="383" t="n"/>
      <c r="E30" s="630" t="inlineStr">
        <is>
          <t>-3</t>
        </is>
      </c>
      <c r="F30" s="383" t="n"/>
      <c r="G30" s="631" t="n"/>
      <c r="H30" s="631" t="n"/>
      <c r="I30" s="631" t="n"/>
      <c r="J30" s="631" t="n"/>
      <c r="K30" s="631" t="n"/>
      <c r="L30" s="631" t="n"/>
      <c r="M30" s="685" t="n">
        <v>1</v>
      </c>
      <c r="N30" s="685" t="n">
        <v>1</v>
      </c>
      <c r="O30" s="685" t="n">
        <v>1</v>
      </c>
      <c r="P30" s="383" t="n"/>
      <c r="Q30" s="703" t="n">
        <v>130000</v>
      </c>
      <c r="R30" s="462" t="n"/>
      <c r="S30" s="830" t="n"/>
      <c r="T30" s="830" t="n"/>
      <c r="U30" s="830" t="n"/>
      <c r="V30" s="830" t="n"/>
      <c r="W30" s="830" t="n"/>
      <c r="X30" s="830" t="n"/>
      <c r="Y30" s="524" t="n"/>
      <c r="Z30" s="524" t="n"/>
      <c r="AA30" s="524" t="n"/>
      <c r="AB30" s="524" t="n"/>
      <c r="AC30" s="642" t="n"/>
    </row>
    <row r="31" ht="15" customHeight="1" s="1883">
      <c r="B31" s="635" t="n"/>
      <c r="C31" s="665" t="inlineStr">
        <is>
          <t>Robert Orlowski - Director, Marketing &amp; Communications</t>
        </is>
      </c>
      <c r="D31" s="383" t="n"/>
      <c r="E31" s="630" t="inlineStr">
        <is>
          <t>-9</t>
        </is>
      </c>
      <c r="F31" s="383" t="n"/>
      <c r="G31" s="446" t="n">
        <v>1</v>
      </c>
      <c r="H31" s="446">
        <f>($G$20)</f>
        <v/>
      </c>
      <c r="I31" s="446">
        <f>($G$20)</f>
        <v/>
      </c>
      <c r="J31" s="446">
        <f>($G$20)</f>
        <v/>
      </c>
      <c r="K31" s="446">
        <f>($G$20)</f>
        <v/>
      </c>
      <c r="L31" s="446">
        <f>($G$20)</f>
        <v/>
      </c>
      <c r="M31" s="446">
        <f>($G$20)</f>
        <v/>
      </c>
      <c r="N31" s="446">
        <f>($G$20)</f>
        <v/>
      </c>
      <c r="O31" s="446">
        <f>($G$20)</f>
        <v/>
      </c>
      <c r="P31" s="383" t="n"/>
      <c r="Q31" s="703" t="n">
        <v>130000</v>
      </c>
      <c r="R31" s="462" t="n"/>
      <c r="S31" s="524" t="n"/>
      <c r="T31" s="524" t="n"/>
      <c r="U31" s="524" t="n"/>
      <c r="V31" s="524" t="n"/>
      <c r="W31" s="524" t="n"/>
      <c r="X31" s="524" t="n"/>
      <c r="Y31" s="524" t="n"/>
      <c r="Z31" s="524" t="n"/>
      <c r="AA31" s="524" t="n"/>
      <c r="AB31" s="524" t="n"/>
      <c r="AC31" s="642" t="n"/>
    </row>
    <row r="32" ht="15" customHeight="1" s="1883">
      <c r="B32" s="635" t="n"/>
      <c r="C32" s="668" t="inlineStr">
        <is>
          <t>John Paris - SVP, Digital Strategy</t>
        </is>
      </c>
      <c r="D32" s="383" t="n"/>
      <c r="E32" s="630" t="inlineStr">
        <is>
          <t>-9</t>
        </is>
      </c>
      <c r="F32" s="383" t="n"/>
      <c r="G32" s="446" t="n">
        <v>1</v>
      </c>
      <c r="H32" s="446">
        <f>($G$20)</f>
        <v/>
      </c>
      <c r="I32" s="446">
        <f>($G$20)</f>
        <v/>
      </c>
      <c r="J32" s="446">
        <f>($G$20)</f>
        <v/>
      </c>
      <c r="K32" s="446">
        <f>($G$20)</f>
        <v/>
      </c>
      <c r="L32" s="446">
        <f>($G$20)</f>
        <v/>
      </c>
      <c r="M32" s="446">
        <f>($G$20)</f>
        <v/>
      </c>
      <c r="N32" s="446">
        <f>($G$20)</f>
        <v/>
      </c>
      <c r="O32" s="446">
        <f>($G$20)</f>
        <v/>
      </c>
      <c r="P32" s="383" t="n"/>
      <c r="Q32" s="703" t="n">
        <v>130000</v>
      </c>
      <c r="R32" s="462" t="n"/>
      <c r="S32" s="524" t="n"/>
      <c r="T32" s="524" t="n"/>
      <c r="U32" s="524" t="n"/>
      <c r="V32" s="524" t="n"/>
      <c r="W32" s="524" t="n"/>
      <c r="X32" s="524" t="n"/>
      <c r="Y32" s="524" t="n"/>
      <c r="Z32" s="524" t="n"/>
      <c r="AA32" s="524" t="n"/>
      <c r="AB32" s="524" t="n"/>
      <c r="AC32" s="642" t="n"/>
    </row>
    <row r="33" ht="15" customHeight="1" s="1883">
      <c r="B33" s="635" t="n"/>
      <c r="C33" s="665" t="inlineStr">
        <is>
          <t>Rimah Harb - EVP, Strategy &amp; Innovation</t>
        </is>
      </c>
      <c r="D33" s="383" t="n"/>
      <c r="E33" s="630" t="inlineStr">
        <is>
          <t>-9</t>
        </is>
      </c>
      <c r="F33" s="383" t="n"/>
      <c r="G33" s="446" t="n">
        <v>1</v>
      </c>
      <c r="H33" s="446">
        <f>($G$20)</f>
        <v/>
      </c>
      <c r="I33" s="446">
        <f>($G$20)</f>
        <v/>
      </c>
      <c r="J33" s="446">
        <f>($G$20)</f>
        <v/>
      </c>
      <c r="K33" s="446">
        <f>($G$20)</f>
        <v/>
      </c>
      <c r="L33" s="446">
        <f>($G$20)</f>
        <v/>
      </c>
      <c r="M33" s="446">
        <f>($G$20)</f>
        <v/>
      </c>
      <c r="N33" s="446">
        <f>($G$20)</f>
        <v/>
      </c>
      <c r="O33" s="446">
        <f>($G$20)</f>
        <v/>
      </c>
      <c r="P33" s="383" t="n"/>
      <c r="Q33" s="703" t="n">
        <v>165000</v>
      </c>
      <c r="R33" s="462" t="n"/>
      <c r="S33" s="524" t="n"/>
      <c r="T33" s="524" t="n"/>
      <c r="U33" s="524" t="n"/>
      <c r="V33" s="524" t="n"/>
      <c r="W33" s="524" t="n"/>
      <c r="X33" s="524" t="n"/>
      <c r="Y33" s="524" t="n"/>
      <c r="Z33" s="524" t="n"/>
      <c r="AA33" s="524" t="n"/>
      <c r="AB33" s="524" t="n"/>
      <c r="AC33" s="642" t="n"/>
    </row>
    <row r="34" ht="15" customHeight="1" s="1883">
      <c r="B34" s="635" t="inlineStr">
        <is>
          <t>M</t>
        </is>
      </c>
      <c r="C34" s="667" t="inlineStr">
        <is>
          <t>Ahsen Awan - Technical Director</t>
        </is>
      </c>
      <c r="D34" s="383" t="n"/>
      <c r="E34" s="630" t="inlineStr">
        <is>
          <t>-9</t>
        </is>
      </c>
      <c r="F34" s="383" t="n"/>
      <c r="G34" s="446" t="n">
        <v>1</v>
      </c>
      <c r="H34" s="446">
        <f>($G$20)</f>
        <v/>
      </c>
      <c r="I34" s="446">
        <f>($G$20)</f>
        <v/>
      </c>
      <c r="J34" s="446">
        <f>($G$20)</f>
        <v/>
      </c>
      <c r="K34" s="446">
        <f>($G$20)</f>
        <v/>
      </c>
      <c r="L34" s="446">
        <f>($G$20)</f>
        <v/>
      </c>
      <c r="M34" s="446">
        <f>($G$20)</f>
        <v/>
      </c>
      <c r="N34" s="446">
        <f>($G$20)</f>
        <v/>
      </c>
      <c r="O34" s="446">
        <f>($G$20)</f>
        <v/>
      </c>
      <c r="P34" s="383" t="n"/>
      <c r="Q34" s="703" t="n">
        <v>70000</v>
      </c>
      <c r="R34" s="462" t="n"/>
      <c r="S34" s="462">
        <f>((G34)*(($Q34)/(12)))</f>
        <v/>
      </c>
      <c r="T34" s="462">
        <f>((H34)*(($Q34)/(12)))</f>
        <v/>
      </c>
      <c r="U34" s="462">
        <f>((I34)*(($Q34)/(12)))</f>
        <v/>
      </c>
      <c r="V34" s="462">
        <f>((J34)*(($Q34)/(12)))</f>
        <v/>
      </c>
      <c r="W34" s="462">
        <f>((K34)*(($Q34)/(12)))</f>
        <v/>
      </c>
      <c r="X34" s="462">
        <f>((L34)*(($Q34)/(12)))</f>
        <v/>
      </c>
      <c r="Y34" s="462">
        <f>((M34)*(($Q34)/(12)))</f>
        <v/>
      </c>
      <c r="Z34" s="462">
        <f>((N34)*(($Q34)/(12)))</f>
        <v/>
      </c>
      <c r="AA34" s="462">
        <f>((O34)*(($Q34)/(12)))</f>
        <v/>
      </c>
      <c r="AB34" s="462" t="n"/>
      <c r="AC34" s="494">
        <f>SUM(S34:AA34)</f>
        <v/>
      </c>
    </row>
    <row r="35" ht="15" customHeight="1" s="1883">
      <c r="B35" s="635" t="inlineStr">
        <is>
          <t>M</t>
        </is>
      </c>
      <c r="C35" s="667" t="inlineStr">
        <is>
          <t>Zafeer Hassan - Manager, Commercial Operations</t>
        </is>
      </c>
      <c r="D35" s="383" t="n"/>
      <c r="E35" s="630" t="inlineStr">
        <is>
          <t>-9</t>
        </is>
      </c>
      <c r="F35" s="383" t="n"/>
      <c r="G35" s="446" t="n">
        <v>1</v>
      </c>
      <c r="H35" s="446">
        <f>($G$20)</f>
        <v/>
      </c>
      <c r="I35" s="446">
        <f>($G$20)</f>
        <v/>
      </c>
      <c r="J35" s="446">
        <f>($G$20)</f>
        <v/>
      </c>
      <c r="K35" s="446">
        <f>($G$20)</f>
        <v/>
      </c>
      <c r="L35" s="446">
        <f>($G$20)</f>
        <v/>
      </c>
      <c r="M35" s="446">
        <f>($G$20)</f>
        <v/>
      </c>
      <c r="N35" s="446">
        <f>($G$20)</f>
        <v/>
      </c>
      <c r="O35" s="446">
        <f>($G$20)</f>
        <v/>
      </c>
      <c r="P35" s="383" t="n"/>
      <c r="Q35" s="703" t="n">
        <v>40000</v>
      </c>
      <c r="R35" s="462" t="n"/>
      <c r="S35" s="462">
        <f>((G35)*(($Q35)/(12)))</f>
        <v/>
      </c>
      <c r="T35" s="462">
        <f>((H35)*(($Q35)/(12)))</f>
        <v/>
      </c>
      <c r="U35" s="462">
        <f>((I35)*(($Q35)/(12)))</f>
        <v/>
      </c>
      <c r="V35" s="462">
        <f>((J35)*(($Q35)/(12)))</f>
        <v/>
      </c>
      <c r="W35" s="462">
        <f>((K35)*(($Q35)/(12)))</f>
        <v/>
      </c>
      <c r="X35" s="462">
        <f>((L35)*(($Q35)/(12)))</f>
        <v/>
      </c>
      <c r="Y35" s="462">
        <f>((M35)*(($Q35)/(12)))</f>
        <v/>
      </c>
      <c r="Z35" s="462">
        <f>((N35)*(($Q35)/(12)))</f>
        <v/>
      </c>
      <c r="AA35" s="462">
        <f>((O35)*(($Q35)/(12)))</f>
        <v/>
      </c>
      <c r="AB35" s="462" t="n"/>
      <c r="AC35" s="494">
        <f>SUM(S35:AA35)</f>
        <v/>
      </c>
    </row>
    <row r="36" ht="15" customHeight="1" s="1883">
      <c r="B36" s="635" t="inlineStr">
        <is>
          <t>M</t>
        </is>
      </c>
      <c r="C36" s="667" t="inlineStr">
        <is>
          <t>Shabaz Ali - Manager, Documentation</t>
        </is>
      </c>
      <c r="D36" s="383" t="n"/>
      <c r="E36" s="630" t="inlineStr">
        <is>
          <t>-9</t>
        </is>
      </c>
      <c r="F36" s="383" t="n"/>
      <c r="G36" s="446" t="n">
        <v>1</v>
      </c>
      <c r="H36" s="446">
        <f>($G$20)</f>
        <v/>
      </c>
      <c r="I36" s="446">
        <f>($G$20)</f>
        <v/>
      </c>
      <c r="J36" s="446">
        <f>($G$20)</f>
        <v/>
      </c>
      <c r="K36" s="446">
        <f>($G$20)</f>
        <v/>
      </c>
      <c r="L36" s="446">
        <f>($G$20)</f>
        <v/>
      </c>
      <c r="M36" s="446">
        <f>($G$20)</f>
        <v/>
      </c>
      <c r="N36" s="446">
        <f>($G$20)</f>
        <v/>
      </c>
      <c r="O36" s="446">
        <f>($G$20)</f>
        <v/>
      </c>
      <c r="P36" s="383" t="n"/>
      <c r="Q36" s="703" t="n">
        <v>40000</v>
      </c>
      <c r="R36" s="462" t="n"/>
      <c r="S36" s="462">
        <f>((G36)*(($Q36)/(12)))</f>
        <v/>
      </c>
      <c r="T36" s="462">
        <f>((H36)*(($Q36)/(12)))</f>
        <v/>
      </c>
      <c r="U36" s="462">
        <f>((I36)*(($Q36)/(12)))</f>
        <v/>
      </c>
      <c r="V36" s="462">
        <f>((J36)*(($Q36)/(12)))</f>
        <v/>
      </c>
      <c r="W36" s="462">
        <f>((K36)*(($Q36)/(12)))</f>
        <v/>
      </c>
      <c r="X36" s="462">
        <f>((L36)*(($Q36)/(12)))</f>
        <v/>
      </c>
      <c r="Y36" s="462">
        <f>((M36)*(($Q36)/(12)))</f>
        <v/>
      </c>
      <c r="Z36" s="462">
        <f>((N36)*(($Q36)/(12)))</f>
        <v/>
      </c>
      <c r="AA36" s="462">
        <f>((O36)*(($Q36)/(12)))</f>
        <v/>
      </c>
      <c r="AB36" s="462" t="n"/>
      <c r="AC36" s="494">
        <f>SUM(S36:AA36)</f>
        <v/>
      </c>
    </row>
    <row r="37" ht="15" customHeight="1" s="1883">
      <c r="B37" s="635" t="inlineStr">
        <is>
          <t>M</t>
        </is>
      </c>
      <c r="C37" s="665" t="inlineStr">
        <is>
          <t>TBD - Director, Sales</t>
        </is>
      </c>
      <c r="D37" s="383" t="n"/>
      <c r="E37" s="630" t="inlineStr">
        <is>
          <t>-3</t>
        </is>
      </c>
      <c r="F37" s="383" t="n"/>
      <c r="G37" s="631" t="n"/>
      <c r="H37" s="631" t="n"/>
      <c r="I37" s="631" t="n"/>
      <c r="J37" s="631" t="n"/>
      <c r="K37" s="631" t="n"/>
      <c r="L37" s="631" t="n"/>
      <c r="M37" s="685" t="n">
        <v>1</v>
      </c>
      <c r="N37" s="685" t="n">
        <v>1</v>
      </c>
      <c r="O37" s="685" t="n">
        <v>1</v>
      </c>
      <c r="P37" s="383" t="n"/>
      <c r="Q37" s="703" t="n">
        <v>135000</v>
      </c>
      <c r="R37" s="462" t="n"/>
      <c r="S37" s="462">
        <f>((G37)*(($Q37)/(12)))</f>
        <v/>
      </c>
      <c r="T37" s="462">
        <f>((H37)*(($Q37)/(12)))</f>
        <v/>
      </c>
      <c r="U37" s="462">
        <f>((I37)*(($Q37)/(12)))</f>
        <v/>
      </c>
      <c r="V37" s="462">
        <f>((J37)*(($Q37)/(12)))</f>
        <v/>
      </c>
      <c r="W37" s="462">
        <f>((K37)*(($Q37)/(12)))</f>
        <v/>
      </c>
      <c r="X37" s="462">
        <f>((L37)*(($Q37)/(12)))</f>
        <v/>
      </c>
      <c r="Y37" s="462">
        <f>((M37)*(($Q37)/(12)))</f>
        <v/>
      </c>
      <c r="Z37" s="462">
        <f>((N37)*(($Q37)/(12)))</f>
        <v/>
      </c>
      <c r="AA37" s="462">
        <f>((O37)*(($Q37)/(12)))</f>
        <v/>
      </c>
      <c r="AB37" s="462" t="n"/>
      <c r="AC37" s="494">
        <f>SUM(S37:AA37)</f>
        <v/>
      </c>
    </row>
    <row r="38" ht="15" customHeight="1" s="1883">
      <c r="B38" s="635" t="inlineStr">
        <is>
          <t>M</t>
        </is>
      </c>
      <c r="C38" s="665" t="inlineStr">
        <is>
          <t xml:space="preserve"> Latasha Owens - Director, Commercial</t>
        </is>
      </c>
      <c r="D38" s="383" t="n"/>
      <c r="E38" s="630" t="inlineStr">
        <is>
          <t>-9</t>
        </is>
      </c>
      <c r="F38" s="383" t="n"/>
      <c r="G38" s="446" t="n">
        <v>1</v>
      </c>
      <c r="H38" s="446">
        <f>($G$20)</f>
        <v/>
      </c>
      <c r="I38" s="446">
        <f>($G$20)</f>
        <v/>
      </c>
      <c r="J38" s="446">
        <f>($G$20)</f>
        <v/>
      </c>
      <c r="K38" s="446">
        <f>($G$20)</f>
        <v/>
      </c>
      <c r="L38" s="446">
        <f>($G$20)</f>
        <v/>
      </c>
      <c r="M38" s="446">
        <f>($G$20)</f>
        <v/>
      </c>
      <c r="N38" s="446">
        <f>($G$20)</f>
        <v/>
      </c>
      <c r="O38" s="446">
        <f>($G$20)</f>
        <v/>
      </c>
      <c r="P38" s="383" t="n"/>
      <c r="Q38" s="703" t="n">
        <v>135000</v>
      </c>
      <c r="R38" s="462" t="n"/>
      <c r="S38" s="462">
        <f>((G38)*(($Q38)/(12)))</f>
        <v/>
      </c>
      <c r="T38" s="462">
        <f>((H38)*(($Q38)/(12)))</f>
        <v/>
      </c>
      <c r="U38" s="462">
        <f>((I38)*(($Q38)/(12)))</f>
        <v/>
      </c>
      <c r="V38" s="462">
        <f>((J38)*(($Q38)/(12)))</f>
        <v/>
      </c>
      <c r="W38" s="462">
        <f>((K38)*(($Q38)/(12)))</f>
        <v/>
      </c>
      <c r="X38" s="462">
        <f>((L38)*(($Q38)/(12)))</f>
        <v/>
      </c>
      <c r="Y38" s="462">
        <f>((M38)*(($Q38)/(12)))</f>
        <v/>
      </c>
      <c r="Z38" s="462">
        <f>((N38)*(($Q38)/(12)))</f>
        <v/>
      </c>
      <c r="AA38" s="462">
        <f>((O38)*(($Q38)/(12)))</f>
        <v/>
      </c>
      <c r="AB38" s="462" t="n"/>
      <c r="AC38" s="494">
        <f>SUM(S38:AA38)</f>
        <v/>
      </c>
    </row>
    <row r="39" ht="15" customHeight="1" s="1883">
      <c r="B39" s="635" t="inlineStr">
        <is>
          <t>M</t>
        </is>
      </c>
      <c r="C39" s="664" t="inlineStr">
        <is>
          <t>TBD  - Marketing Project Managers</t>
        </is>
      </c>
      <c r="D39" s="383" t="n"/>
      <c r="E39" s="630" t="inlineStr">
        <is>
          <t>-3</t>
        </is>
      </c>
      <c r="F39" s="383" t="n"/>
      <c r="G39" s="631" t="n"/>
      <c r="H39" s="631" t="n"/>
      <c r="I39" s="631" t="n"/>
      <c r="J39" s="631" t="n"/>
      <c r="K39" s="631" t="n"/>
      <c r="L39" s="631" t="n"/>
      <c r="M39" s="685" t="n">
        <v>1</v>
      </c>
      <c r="N39" s="685" t="n">
        <v>1</v>
      </c>
      <c r="O39" s="685" t="n">
        <v>1</v>
      </c>
      <c r="P39" s="383" t="n"/>
      <c r="Q39" s="703" t="n">
        <v>95000</v>
      </c>
      <c r="R39" s="462" t="n"/>
      <c r="S39" s="462">
        <f>((G39)*(($Q39)/(12)))</f>
        <v/>
      </c>
      <c r="T39" s="462">
        <f>((H39)*(($Q39)/(12)))</f>
        <v/>
      </c>
      <c r="U39" s="462">
        <f>((I39)*(($Q39)/(12)))</f>
        <v/>
      </c>
      <c r="V39" s="462">
        <f>((J39)*(($Q39)/(12)))</f>
        <v/>
      </c>
      <c r="W39" s="462">
        <f>((K39)*(($Q39)/(12)))</f>
        <v/>
      </c>
      <c r="X39" s="462">
        <f>((L39)*(($Q39)/(12)))</f>
        <v/>
      </c>
      <c r="Y39" s="462">
        <f>((M39)*(($Q39)/(12)))</f>
        <v/>
      </c>
      <c r="Z39" s="462">
        <f>((N39)*(($Q39)/(12)))</f>
        <v/>
      </c>
      <c r="AA39" s="462">
        <f>((O39)*(($Q39)/(12)))</f>
        <v/>
      </c>
      <c r="AB39" s="462" t="n"/>
      <c r="AC39" s="494">
        <f>SUM(S39:AA39)</f>
        <v/>
      </c>
    </row>
    <row r="40" ht="15" customHeight="1" s="1883">
      <c r="B40" s="635" t="inlineStr">
        <is>
          <t>M</t>
        </is>
      </c>
      <c r="C40" s="664" t="inlineStr">
        <is>
          <t>TBD  - Operations Project Managers</t>
        </is>
      </c>
      <c r="D40" s="383" t="n"/>
      <c r="E40" s="630" t="inlineStr">
        <is>
          <t>-3</t>
        </is>
      </c>
      <c r="F40" s="383" t="n"/>
      <c r="G40" s="631" t="n"/>
      <c r="H40" s="631" t="n"/>
      <c r="I40" s="631" t="n"/>
      <c r="J40" s="631" t="n"/>
      <c r="K40" s="631" t="n"/>
      <c r="L40" s="631" t="n"/>
      <c r="M40" s="685" t="n">
        <v>1</v>
      </c>
      <c r="N40" s="685" t="n">
        <v>1</v>
      </c>
      <c r="O40" s="685" t="n">
        <v>1</v>
      </c>
      <c r="P40" s="383" t="n"/>
      <c r="Q40" s="703" t="n">
        <v>95000</v>
      </c>
      <c r="R40" s="462" t="n"/>
      <c r="S40" s="462">
        <f>((G40)*(($Q40)/(12)))</f>
        <v/>
      </c>
      <c r="T40" s="462">
        <f>((H40)*(($Q40)/(12)))</f>
        <v/>
      </c>
      <c r="U40" s="462">
        <f>((I40)*(($Q40)/(12)))</f>
        <v/>
      </c>
      <c r="V40" s="462">
        <f>((J40)*(($Q40)/(12)))</f>
        <v/>
      </c>
      <c r="W40" s="462">
        <f>((K40)*(($Q40)/(12)))</f>
        <v/>
      </c>
      <c r="X40" s="462">
        <f>((L40)*(($Q40)/(12)))</f>
        <v/>
      </c>
      <c r="Y40" s="462">
        <f>((M40)*(($Q40)/(12)))</f>
        <v/>
      </c>
      <c r="Z40" s="462">
        <f>((N40)*(($Q40)/(12)))</f>
        <v/>
      </c>
      <c r="AA40" s="462">
        <f>((O40)*(($Q40)/(12)))</f>
        <v/>
      </c>
      <c r="AB40" s="462" t="n"/>
      <c r="AC40" s="494">
        <f>SUM(S40:AA40)</f>
        <v/>
      </c>
    </row>
    <row r="41" ht="15" customHeight="1" s="1883">
      <c r="B41" s="635" t="inlineStr">
        <is>
          <t>M</t>
        </is>
      </c>
      <c r="C41" s="669" t="inlineStr">
        <is>
          <t>Natasha Green - Director, Operations  Pure Marketing</t>
        </is>
      </c>
      <c r="D41" s="383" t="n"/>
      <c r="E41" s="630" t="inlineStr">
        <is>
          <t>-9</t>
        </is>
      </c>
      <c r="F41" s="383" t="n"/>
      <c r="G41" s="446" t="n">
        <v>1</v>
      </c>
      <c r="H41" s="446">
        <f>($G$20)</f>
        <v/>
      </c>
      <c r="I41" s="446">
        <f>($G$20)</f>
        <v/>
      </c>
      <c r="J41" s="446">
        <f>($G$20)</f>
        <v/>
      </c>
      <c r="K41" s="446">
        <f>($G$20)</f>
        <v/>
      </c>
      <c r="L41" s="446">
        <f>($G$20)</f>
        <v/>
      </c>
      <c r="M41" s="446">
        <f>($G$20)</f>
        <v/>
      </c>
      <c r="N41" s="446">
        <f>($G$20)</f>
        <v/>
      </c>
      <c r="O41" s="446">
        <f>($G$20)</f>
        <v/>
      </c>
      <c r="P41" s="383" t="n"/>
      <c r="Q41" s="703" t="n">
        <v>95000</v>
      </c>
      <c r="R41" s="462" t="n"/>
      <c r="S41" s="462">
        <f>((G41)*(($Q41)/(12)))</f>
        <v/>
      </c>
      <c r="T41" s="462">
        <f>((H41)*(($Q41)/(12)))</f>
        <v/>
      </c>
      <c r="U41" s="462">
        <f>((I41)*(($Q41)/(12)))</f>
        <v/>
      </c>
      <c r="V41" s="462">
        <f>((J41)*(($Q41)/(12)))</f>
        <v/>
      </c>
      <c r="W41" s="462">
        <f>((K41)*(($Q41)/(12)))</f>
        <v/>
      </c>
      <c r="X41" s="462">
        <f>((L41)*(($Q41)/(12)))</f>
        <v/>
      </c>
      <c r="Y41" s="462">
        <f>((M41)*(($Q41)/(12)))</f>
        <v/>
      </c>
      <c r="Z41" s="462">
        <f>((N41)*(($Q41)/(12)))</f>
        <v/>
      </c>
      <c r="AA41" s="462">
        <f>((O41)*(($Q41)/(12)))</f>
        <v/>
      </c>
      <c r="AB41" s="462" t="n"/>
      <c r="AC41" s="494">
        <f>SUM(S41:AA41)</f>
        <v/>
      </c>
    </row>
    <row r="42" ht="15" customHeight="1" s="1883">
      <c r="B42" s="635" t="inlineStr">
        <is>
          <t>M</t>
        </is>
      </c>
      <c r="C42" s="664" t="inlineStr">
        <is>
          <t>Mireille Dirany - Operations Lead</t>
        </is>
      </c>
      <c r="D42" s="383" t="n"/>
      <c r="E42" s="630" t="inlineStr">
        <is>
          <t>-9</t>
        </is>
      </c>
      <c r="F42" s="383" t="n"/>
      <c r="G42" s="446" t="n">
        <v>1</v>
      </c>
      <c r="H42" s="446">
        <f>($G$20)</f>
        <v/>
      </c>
      <c r="I42" s="446">
        <f>($G$20)</f>
        <v/>
      </c>
      <c r="J42" s="446">
        <f>($G$20)</f>
        <v/>
      </c>
      <c r="K42" s="446">
        <f>($G$20)</f>
        <v/>
      </c>
      <c r="L42" s="446">
        <f>($G$20)</f>
        <v/>
      </c>
      <c r="M42" s="446">
        <f>($G$20)</f>
        <v/>
      </c>
      <c r="N42" s="446">
        <f>($G$20)</f>
        <v/>
      </c>
      <c r="O42" s="446">
        <f>($G$20)</f>
        <v/>
      </c>
      <c r="P42" s="383" t="n"/>
      <c r="Q42" s="702" t="n">
        <v>75000</v>
      </c>
      <c r="R42" s="462" t="n"/>
      <c r="S42" s="462">
        <f>((G42)*(($Q42)/(12)))</f>
        <v/>
      </c>
      <c r="T42" s="462">
        <f>((H42)*(($Q42)/(12)))</f>
        <v/>
      </c>
      <c r="U42" s="462">
        <f>((I42)*(($Q42)/(12)))</f>
        <v/>
      </c>
      <c r="V42" s="462">
        <f>((J42)*(($Q42)/(12)))</f>
        <v/>
      </c>
      <c r="W42" s="462">
        <f>((K42)*(($Q42)/(12)))</f>
        <v/>
      </c>
      <c r="X42" s="462">
        <f>((L42)*(($Q42)/(12)))</f>
        <v/>
      </c>
      <c r="Y42" s="462">
        <f>((M42)*(($Q42)/(12)))</f>
        <v/>
      </c>
      <c r="Z42" s="462">
        <f>((N42)*(($Q42)/(12)))</f>
        <v/>
      </c>
      <c r="AA42" s="462">
        <f>((O42)*(($Q42)/(12)))</f>
        <v/>
      </c>
      <c r="AB42" s="462" t="n"/>
      <c r="AC42" s="494">
        <f>SUM(S42:AA42)</f>
        <v/>
      </c>
    </row>
    <row r="43" ht="15" customHeight="1" s="1883">
      <c r="B43" s="635" t="inlineStr">
        <is>
          <t>M</t>
        </is>
      </c>
      <c r="C43" s="664" t="inlineStr">
        <is>
          <t>Micheal Hancock - General Counsel</t>
        </is>
      </c>
      <c r="D43" s="383" t="n"/>
      <c r="E43" s="630" t="inlineStr">
        <is>
          <t>-9</t>
        </is>
      </c>
      <c r="F43" s="383" t="n"/>
      <c r="G43" s="446" t="n">
        <v>1</v>
      </c>
      <c r="H43" s="446">
        <f>($G$20)</f>
        <v/>
      </c>
      <c r="I43" s="446">
        <f>($G$20)</f>
        <v/>
      </c>
      <c r="J43" s="446">
        <f>($G$20)</f>
        <v/>
      </c>
      <c r="K43" s="446">
        <f>($G$20)</f>
        <v/>
      </c>
      <c r="L43" s="446">
        <f>($G$20)</f>
        <v/>
      </c>
      <c r="M43" s="446">
        <f>($G$20)</f>
        <v/>
      </c>
      <c r="N43" s="446">
        <f>($G$20)</f>
        <v/>
      </c>
      <c r="O43" s="446">
        <f>($G$20)</f>
        <v/>
      </c>
      <c r="P43" s="383" t="n"/>
      <c r="Q43" s="703" t="n">
        <v>165000</v>
      </c>
      <c r="R43" s="462" t="n"/>
      <c r="S43" s="462">
        <f>((G43)*(($Q43)/(12)))</f>
        <v/>
      </c>
      <c r="T43" s="462">
        <f>((H43)*(($Q43)/(12)))</f>
        <v/>
      </c>
      <c r="U43" s="462">
        <f>((I43)*(($Q43)/(12)))</f>
        <v/>
      </c>
      <c r="V43" s="462">
        <f>((J43)*(($Q43)/(12)))</f>
        <v/>
      </c>
      <c r="W43" s="462">
        <f>((K43)*(($Q43)/(12)))</f>
        <v/>
      </c>
      <c r="X43" s="462">
        <f>((L43)*(($Q43)/(12)))</f>
        <v/>
      </c>
      <c r="Y43" s="462">
        <f>((M43)*(($Q43)/(12)))</f>
        <v/>
      </c>
      <c r="Z43" s="462">
        <f>((N43)*(($Q43)/(12)))</f>
        <v/>
      </c>
      <c r="AA43" s="462">
        <f>((O43)*(($Q43)/(12)))</f>
        <v/>
      </c>
      <c r="AB43" s="462" t="n"/>
      <c r="AC43" s="494">
        <f>SUM(S43:AA43)</f>
        <v/>
      </c>
    </row>
    <row r="44" ht="15" customHeight="1" s="1883">
      <c r="B44" s="635" t="inlineStr">
        <is>
          <t>M</t>
        </is>
      </c>
      <c r="C44" s="664" t="inlineStr">
        <is>
          <t>Baruch Santana - Business Development Specialist</t>
        </is>
      </c>
      <c r="D44" s="383" t="n"/>
      <c r="E44" s="630" t="inlineStr">
        <is>
          <t>-9</t>
        </is>
      </c>
      <c r="F44" s="383" t="n"/>
      <c r="G44" s="446" t="n">
        <v>1</v>
      </c>
      <c r="H44" s="446">
        <f>($G$20)</f>
        <v/>
      </c>
      <c r="I44" s="446">
        <f>($G$20)</f>
        <v/>
      </c>
      <c r="J44" s="446">
        <f>($G$20)</f>
        <v/>
      </c>
      <c r="K44" s="446">
        <f>($G$20)</f>
        <v/>
      </c>
      <c r="L44" s="446">
        <f>($G$20)</f>
        <v/>
      </c>
      <c r="M44" s="446">
        <f>($G$20)</f>
        <v/>
      </c>
      <c r="N44" s="446">
        <f>($G$20)</f>
        <v/>
      </c>
      <c r="O44" s="446">
        <f>($G$20)</f>
        <v/>
      </c>
      <c r="P44" s="383" t="n"/>
      <c r="Q44" s="703" t="n">
        <v>60000</v>
      </c>
      <c r="R44" s="462" t="n"/>
      <c r="S44" s="462">
        <f>((G44)*(($Q44)/(12)))</f>
        <v/>
      </c>
      <c r="T44" s="462">
        <f>((H44)*(($Q44)/(12)))</f>
        <v/>
      </c>
      <c r="U44" s="462">
        <f>((I44)*(($Q44)/(12)))</f>
        <v/>
      </c>
      <c r="V44" s="462">
        <f>((J44)*(($Q44)/(12)))</f>
        <v/>
      </c>
      <c r="W44" s="462">
        <f>((K44)*(($Q44)/(12)))</f>
        <v/>
      </c>
      <c r="X44" s="462">
        <f>((L44)*(($Q44)/(12)))</f>
        <v/>
      </c>
      <c r="Y44" s="462">
        <f>((M44)*(($Q44)/(12)))</f>
        <v/>
      </c>
      <c r="Z44" s="462">
        <f>((N44)*(($Q44)/(12)))</f>
        <v/>
      </c>
      <c r="AA44" s="462">
        <f>((O44)*(($Q44)/(12)))</f>
        <v/>
      </c>
      <c r="AB44" s="462" t="n"/>
      <c r="AC44" s="494">
        <f>SUM(S44:AA44)</f>
        <v/>
      </c>
    </row>
    <row r="45" ht="15" customHeight="1" s="1883">
      <c r="B45" s="635" t="inlineStr">
        <is>
          <t>M</t>
        </is>
      </c>
      <c r="C45" s="664" t="inlineStr">
        <is>
          <t>Janna Estrada - Business Development &amp; Operations Lead</t>
        </is>
      </c>
      <c r="D45" s="383" t="n"/>
      <c r="E45" s="630" t="inlineStr">
        <is>
          <t>-9</t>
        </is>
      </c>
      <c r="F45" s="383" t="n"/>
      <c r="G45" s="446" t="n">
        <v>1</v>
      </c>
      <c r="H45" s="446">
        <f>($G$20)</f>
        <v/>
      </c>
      <c r="I45" s="446">
        <f>($G$20)</f>
        <v/>
      </c>
      <c r="J45" s="446">
        <f>($G$20)</f>
        <v/>
      </c>
      <c r="K45" s="446">
        <f>($G$20)</f>
        <v/>
      </c>
      <c r="L45" s="446">
        <f>($G$20)</f>
        <v/>
      </c>
      <c r="M45" s="446">
        <f>($G$20)</f>
        <v/>
      </c>
      <c r="N45" s="446">
        <f>($G$20)</f>
        <v/>
      </c>
      <c r="O45" s="446">
        <f>($G$20)</f>
        <v/>
      </c>
      <c r="P45" s="383" t="n"/>
      <c r="Q45" s="703" t="n">
        <v>36000</v>
      </c>
      <c r="R45" s="462" t="n"/>
      <c r="S45" s="462">
        <f>((G45)*(($Q45)/(12)))</f>
        <v/>
      </c>
      <c r="T45" s="462">
        <f>((H45)*(($Q45)/(12)))</f>
        <v/>
      </c>
      <c r="U45" s="462">
        <f>((I45)*(($Q45)/(12)))</f>
        <v/>
      </c>
      <c r="V45" s="462">
        <f>((J45)*(($Q45)/(12)))</f>
        <v/>
      </c>
      <c r="W45" s="462">
        <f>((K45)*(($Q45)/(12)))</f>
        <v/>
      </c>
      <c r="X45" s="462">
        <f>((L45)*(($Q45)/(12)))</f>
        <v/>
      </c>
      <c r="Y45" s="462">
        <f>((M45)*(($Q45)/(12)))</f>
        <v/>
      </c>
      <c r="Z45" s="462">
        <f>((N45)*(($Q45)/(12)))</f>
        <v/>
      </c>
      <c r="AA45" s="462">
        <f>((O45)*(($Q45)/(12)))</f>
        <v/>
      </c>
      <c r="AB45" s="462" t="n"/>
      <c r="AC45" s="494">
        <f>SUM(S45:AA45)</f>
        <v/>
      </c>
    </row>
    <row r="46" ht="15" customHeight="1" s="1883">
      <c r="B46" s="635" t="inlineStr">
        <is>
          <t>M</t>
        </is>
      </c>
      <c r="C46" s="383" t="inlineStr">
        <is>
          <t>Ashley Tom - Intern*</t>
        </is>
      </c>
      <c r="D46" s="383" t="n"/>
      <c r="E46" s="630" t="inlineStr">
        <is>
          <t>-9</t>
        </is>
      </c>
      <c r="F46" s="383" t="n"/>
      <c r="G46" s="446" t="n">
        <v>1</v>
      </c>
      <c r="H46" s="446">
        <f>($G$20)</f>
        <v/>
      </c>
      <c r="I46" s="446">
        <f>($G$20)</f>
        <v/>
      </c>
      <c r="J46" s="446">
        <f>($G$20)</f>
        <v/>
      </c>
      <c r="K46" s="446">
        <f>($G$20)</f>
        <v/>
      </c>
      <c r="L46" s="446">
        <f>($G$20)</f>
        <v/>
      </c>
      <c r="M46" s="446">
        <f>($G$20)</f>
        <v/>
      </c>
      <c r="N46" s="446">
        <f>($G$20)</f>
        <v/>
      </c>
      <c r="O46" s="446">
        <f>($G$20)</f>
        <v/>
      </c>
      <c r="P46" s="383" t="n"/>
      <c r="Q46" s="702" t="n">
        <v>20000</v>
      </c>
      <c r="R46" s="462" t="n"/>
      <c r="S46" s="462">
        <f>((G46)*(($Q46)/(12)))</f>
        <v/>
      </c>
      <c r="T46" s="462">
        <f>((H46)*(($Q46)/(12)))</f>
        <v/>
      </c>
      <c r="U46" s="462">
        <f>((I46)*(($Q46)/(12)))</f>
        <v/>
      </c>
      <c r="V46" s="462">
        <f>((J46)*(($Q46)/(12)))</f>
        <v/>
      </c>
      <c r="W46" s="462">
        <f>((K46)*(($Q46)/(12)))</f>
        <v/>
      </c>
      <c r="X46" s="462">
        <f>((L46)*(($Q46)/(12)))</f>
        <v/>
      </c>
      <c r="Y46" s="462">
        <f>((M46)*(($Q46)/(12)))</f>
        <v/>
      </c>
      <c r="Z46" s="462">
        <f>((N46)*(($Q46)/(12)))</f>
        <v/>
      </c>
      <c r="AA46" s="462">
        <f>((O46)*(($Q46)/(12)))</f>
        <v/>
      </c>
      <c r="AB46" s="462" t="n"/>
      <c r="AC46" s="494">
        <f>SUM(S46:AA46)</f>
        <v/>
      </c>
    </row>
    <row r="47" ht="15" customHeight="1" s="1883">
      <c r="B47" s="635" t="inlineStr">
        <is>
          <t>M</t>
        </is>
      </c>
      <c r="C47" s="383" t="inlineStr">
        <is>
          <t xml:space="preserve">Pierre Salvador - Director, Operations </t>
        </is>
      </c>
      <c r="D47" s="383" t="n"/>
      <c r="E47" s="630" t="inlineStr">
        <is>
          <t>-9</t>
        </is>
      </c>
      <c r="F47" s="383" t="n"/>
      <c r="G47" s="446" t="n">
        <v>1</v>
      </c>
      <c r="H47" s="446">
        <f>($G$20)</f>
        <v/>
      </c>
      <c r="I47" s="446">
        <f>($G$20)</f>
        <v/>
      </c>
      <c r="J47" s="446">
        <f>($G$20)</f>
        <v/>
      </c>
      <c r="K47" s="446">
        <f>($G$20)</f>
        <v/>
      </c>
      <c r="L47" s="446">
        <f>($G$20)</f>
        <v/>
      </c>
      <c r="M47" s="446">
        <f>($G$20)</f>
        <v/>
      </c>
      <c r="N47" s="446">
        <f>($G$20)</f>
        <v/>
      </c>
      <c r="O47" s="446">
        <f>($G$20)</f>
        <v/>
      </c>
      <c r="P47" s="383" t="n"/>
      <c r="Q47" s="703" t="n">
        <v>90000</v>
      </c>
      <c r="R47" s="462" t="n"/>
      <c r="S47" s="462">
        <f>((G47)*(($Q47)/(12)))</f>
        <v/>
      </c>
      <c r="T47" s="462">
        <f>((H47)*(($Q47)/(12)))</f>
        <v/>
      </c>
      <c r="U47" s="462">
        <f>((I47)*(($Q47)/(12)))</f>
        <v/>
      </c>
      <c r="V47" s="462">
        <f>((J47)*(($Q47)/(12)))</f>
        <v/>
      </c>
      <c r="W47" s="462">
        <f>((K47)*(($Q47)/(12)))</f>
        <v/>
      </c>
      <c r="X47" s="462">
        <f>((L47)*(($Q47)/(12)))</f>
        <v/>
      </c>
      <c r="Y47" s="462">
        <f>((M47)*(($Q47)/(12)))</f>
        <v/>
      </c>
      <c r="Z47" s="462">
        <f>((N47)*(($Q47)/(12)))</f>
        <v/>
      </c>
      <c r="AA47" s="462">
        <f>((O47)*(($Q47)/(12)))</f>
        <v/>
      </c>
      <c r="AB47" s="462" t="n"/>
      <c r="AC47" s="494">
        <f>SUM(S47:AA47)</f>
        <v/>
      </c>
    </row>
    <row r="48" ht="15" customHeight="1" s="1883">
      <c r="B48" s="635" t="inlineStr">
        <is>
          <t>M</t>
        </is>
      </c>
      <c r="C48" s="664" t="inlineStr">
        <is>
          <t xml:space="preserve"> - VP , Compliance</t>
        </is>
      </c>
      <c r="D48" s="383" t="n"/>
      <c r="E48" s="630" t="inlineStr">
        <is>
          <t>-9</t>
        </is>
      </c>
      <c r="F48" s="383" t="n"/>
      <c r="G48" s="446" t="n">
        <v>1</v>
      </c>
      <c r="H48" s="446">
        <f>($G$20)</f>
        <v/>
      </c>
      <c r="I48" s="446">
        <f>($G$20)</f>
        <v/>
      </c>
      <c r="J48" s="446">
        <f>($G$20)</f>
        <v/>
      </c>
      <c r="K48" s="446">
        <f>($G$20)</f>
        <v/>
      </c>
      <c r="L48" s="446">
        <f>($G$20)</f>
        <v/>
      </c>
      <c r="M48" s="446">
        <f>($G$20)</f>
        <v/>
      </c>
      <c r="N48" s="446">
        <f>($G$20)</f>
        <v/>
      </c>
      <c r="O48" s="446">
        <f>($G$20)</f>
        <v/>
      </c>
      <c r="P48" s="383" t="n"/>
      <c r="Q48" s="702" t="n">
        <v>95000</v>
      </c>
      <c r="R48" s="462" t="n"/>
      <c r="S48" s="462">
        <f>((G48)*(($Q48)/(12)))</f>
        <v/>
      </c>
      <c r="T48" s="462">
        <f>((H48)*(($Q48)/(12)))</f>
        <v/>
      </c>
      <c r="U48" s="462">
        <f>((I48)*(($Q48)/(12)))</f>
        <v/>
      </c>
      <c r="V48" s="462">
        <f>((J48)*(($Q48)/(12)))</f>
        <v/>
      </c>
      <c r="W48" s="462">
        <f>((K48)*(($Q48)/(12)))</f>
        <v/>
      </c>
      <c r="X48" s="462">
        <f>((L48)*(($Q48)/(12)))</f>
        <v/>
      </c>
      <c r="Y48" s="462">
        <f>((M48)*(($Q48)/(12)))</f>
        <v/>
      </c>
      <c r="Z48" s="462">
        <f>((N48)*(($Q48)/(12)))</f>
        <v/>
      </c>
      <c r="AA48" s="462">
        <f>((O48)*(($Q48)/(12)))</f>
        <v/>
      </c>
      <c r="AB48" s="462" t="n"/>
      <c r="AC48" s="494">
        <f>SUM(S48:AA48)</f>
        <v/>
      </c>
    </row>
    <row r="50" ht="15" customHeight="1" s="1883">
      <c r="B50" s="98" t="inlineStr">
        <is>
          <t>Support Team</t>
        </is>
      </c>
      <c r="D50" s="383" t="n"/>
      <c r="E50" s="383" t="n"/>
      <c r="F50" s="383" t="n"/>
      <c r="G50" s="446" t="n"/>
      <c r="H50" s="446" t="n"/>
      <c r="I50" s="446" t="n"/>
      <c r="J50" s="446" t="n"/>
      <c r="K50" s="446" t="n"/>
      <c r="L50" s="446" t="n"/>
      <c r="M50" s="446" t="n"/>
      <c r="N50" s="446" t="n"/>
      <c r="O50" s="446" t="n"/>
      <c r="P50" s="383" t="n"/>
      <c r="Q50" s="462" t="n"/>
      <c r="R50" s="462" t="n"/>
      <c r="S50" s="462" t="n"/>
      <c r="T50" s="462" t="n"/>
      <c r="U50" s="462" t="n"/>
      <c r="V50" s="462" t="n"/>
      <c r="W50" s="462" t="n"/>
      <c r="X50" s="462" t="n"/>
      <c r="Y50" s="462" t="n"/>
      <c r="Z50" s="462" t="n"/>
      <c r="AA50" s="462" t="n"/>
      <c r="AB50" s="462" t="n"/>
      <c r="AC50" s="462" t="n"/>
    </row>
    <row r="51" ht="3" customHeight="1" s="1883">
      <c r="B51" s="629" t="n"/>
      <c r="C51" s="628" t="n"/>
      <c r="D51" s="383" t="n"/>
      <c r="E51" s="383" t="n"/>
      <c r="F51" s="383" t="n"/>
      <c r="G51" s="446" t="n"/>
      <c r="H51" s="446" t="n"/>
      <c r="I51" s="446" t="n"/>
      <c r="J51" s="446" t="n"/>
      <c r="K51" s="446" t="n"/>
      <c r="L51" s="446" t="n"/>
      <c r="M51" s="446" t="n"/>
      <c r="N51" s="446" t="n"/>
      <c r="O51" s="446" t="n"/>
      <c r="P51" s="383" t="n"/>
      <c r="Q51" s="462" t="n"/>
      <c r="R51" s="462" t="n"/>
      <c r="S51" s="462" t="n"/>
      <c r="T51" s="462" t="n"/>
      <c r="U51" s="462" t="n"/>
      <c r="V51" s="462" t="n"/>
      <c r="W51" s="462" t="n"/>
      <c r="X51" s="462" t="n"/>
      <c r="Y51" s="462" t="n"/>
      <c r="Z51" s="462" t="n"/>
      <c r="AA51" s="462" t="n"/>
      <c r="AB51" s="462" t="n"/>
      <c r="AC51" s="462" t="n"/>
    </row>
    <row r="52" ht="3" customHeight="1" s="1883">
      <c r="B52" s="85" t="n"/>
      <c r="D52" s="383" t="n"/>
      <c r="E52" s="383" t="n"/>
      <c r="F52" s="383" t="n"/>
      <c r="G52" s="446" t="n"/>
      <c r="H52" s="446" t="n"/>
      <c r="I52" s="446" t="n"/>
      <c r="J52" s="446" t="n"/>
      <c r="K52" s="446" t="n"/>
      <c r="L52" s="446" t="n"/>
      <c r="M52" s="446" t="n"/>
      <c r="N52" s="446" t="n"/>
      <c r="O52" s="446" t="n"/>
      <c r="P52" s="383" t="n"/>
      <c r="Q52" s="462" t="n"/>
      <c r="R52" s="462" t="n"/>
      <c r="S52" s="462" t="n"/>
      <c r="T52" s="462" t="n"/>
      <c r="U52" s="462" t="n"/>
      <c r="V52" s="462" t="n"/>
      <c r="W52" s="462" t="n"/>
      <c r="X52" s="462" t="n"/>
      <c r="Y52" s="462" t="n"/>
      <c r="Z52" s="462" t="n"/>
      <c r="AA52" s="462" t="n"/>
      <c r="AB52" s="462" t="n"/>
      <c r="AC52" s="462" t="n"/>
    </row>
    <row r="53" ht="15" customHeight="1" s="1883">
      <c r="B53" s="641" t="inlineStr">
        <is>
          <t>M</t>
        </is>
      </c>
      <c r="C53" s="545" t="inlineStr">
        <is>
          <t>Executive Assistants</t>
        </is>
      </c>
      <c r="D53" s="383" t="n"/>
      <c r="E53" s="630" t="inlineStr">
        <is>
          <t>-9</t>
        </is>
      </c>
      <c r="F53" s="383" t="n"/>
      <c r="G53" s="446" t="n">
        <v>1</v>
      </c>
      <c r="H53" s="446">
        <f>($G$20)</f>
        <v/>
      </c>
      <c r="I53" s="446">
        <f>($G$20)</f>
        <v/>
      </c>
      <c r="J53" s="446">
        <f>($G$20)</f>
        <v/>
      </c>
      <c r="K53" s="446">
        <f>($G$20)</f>
        <v/>
      </c>
      <c r="L53" s="446">
        <f>($G$20)</f>
        <v/>
      </c>
      <c r="M53" s="446">
        <f>($G$20)</f>
        <v/>
      </c>
      <c r="N53" s="446">
        <f>($G$20)</f>
        <v/>
      </c>
      <c r="O53" s="446">
        <f>($G$20)</f>
        <v/>
      </c>
      <c r="P53" s="383" t="n"/>
      <c r="Q53" s="462" t="n">
        <v>65000</v>
      </c>
      <c r="R53" s="462" t="n"/>
      <c r="S53" s="462">
        <f>((G53)*(($Q53)/(12)))</f>
        <v/>
      </c>
      <c r="T53" s="462">
        <f>((H53)*(($Q53)/(12)))</f>
        <v/>
      </c>
      <c r="U53" s="462">
        <f>((I53)*(($Q53)/(12)))</f>
        <v/>
      </c>
      <c r="V53" s="462">
        <f>((J53)*(($Q53)/(12)))</f>
        <v/>
      </c>
      <c r="W53" s="462">
        <f>((K53)*(($Q53)/(12)))</f>
        <v/>
      </c>
      <c r="X53" s="462">
        <f>((L53)*(($Q53)/(12)))</f>
        <v/>
      </c>
      <c r="Y53" s="462">
        <f>((M53)*(($Q53)/(12)))</f>
        <v/>
      </c>
      <c r="Z53" s="462">
        <f>((N53)*(($Q53)/(12)))</f>
        <v/>
      </c>
      <c r="AA53" s="462">
        <f>((O53)*(($Q53)/(12)))</f>
        <v/>
      </c>
      <c r="AB53" s="462" t="n"/>
      <c r="AC53" s="494">
        <f>SUM(S53:AA53)</f>
        <v/>
      </c>
    </row>
    <row r="54" ht="15" customHeight="1" s="1883">
      <c r="B54" s="641" t="inlineStr">
        <is>
          <t>M</t>
        </is>
      </c>
      <c r="C54" s="545" t="inlineStr">
        <is>
          <t>Admin &amp; Office Managers</t>
        </is>
      </c>
      <c r="D54" s="383" t="n"/>
      <c r="E54" s="630" t="inlineStr">
        <is>
          <t>-9</t>
        </is>
      </c>
      <c r="F54" s="383" t="n"/>
      <c r="G54" s="446" t="n">
        <v>1</v>
      </c>
      <c r="H54" s="446">
        <f>($G$20)</f>
        <v/>
      </c>
      <c r="I54" s="446">
        <f>($G$20)</f>
        <v/>
      </c>
      <c r="J54" s="446">
        <f>($G$20)</f>
        <v/>
      </c>
      <c r="K54" s="446">
        <f>($G$20)</f>
        <v/>
      </c>
      <c r="L54" s="446">
        <f>($G$20)</f>
        <v/>
      </c>
      <c r="M54" s="446">
        <f>($G$20)</f>
        <v/>
      </c>
      <c r="N54" s="446">
        <f>($G$20)</f>
        <v/>
      </c>
      <c r="O54" s="446">
        <f>($G$20)</f>
        <v/>
      </c>
      <c r="P54" s="383" t="n"/>
      <c r="Q54" s="462" t="n">
        <v>55000</v>
      </c>
      <c r="R54" s="462" t="n"/>
      <c r="S54" s="462">
        <f>((G54)*(($Q54)/(12)))</f>
        <v/>
      </c>
      <c r="T54" s="462">
        <f>((H54)*(($Q54)/(12)))</f>
        <v/>
      </c>
      <c r="U54" s="462">
        <f>((I54)*(($Q54)/(12)))</f>
        <v/>
      </c>
      <c r="V54" s="462">
        <f>((J54)*(($Q54)/(12)))</f>
        <v/>
      </c>
      <c r="W54" s="462">
        <f>((K54)*(($Q54)/(12)))</f>
        <v/>
      </c>
      <c r="X54" s="462">
        <f>((L54)*(($Q54)/(12)))</f>
        <v/>
      </c>
      <c r="Y54" s="462">
        <f>((M54)*(($Q54)/(12)))</f>
        <v/>
      </c>
      <c r="Z54" s="462">
        <f>((N54)*(($Q54)/(12)))</f>
        <v/>
      </c>
      <c r="AA54" s="462">
        <f>((O54)*(($Q54)/(12)))</f>
        <v/>
      </c>
      <c r="AB54" s="462" t="n"/>
      <c r="AC54" s="494">
        <f>SUM(S54:AA54)</f>
        <v/>
      </c>
    </row>
    <row r="55" ht="15" customHeight="1" s="1883">
      <c r="B55" s="641" t="inlineStr">
        <is>
          <t>O</t>
        </is>
      </c>
      <c r="C55" s="665" t="inlineStr">
        <is>
          <t>Administrative Team</t>
        </is>
      </c>
      <c r="D55" s="383" t="n"/>
      <c r="E55" s="630" t="inlineStr">
        <is>
          <t>-9</t>
        </is>
      </c>
      <c r="F55" s="383" t="n"/>
      <c r="G55" s="446" t="n">
        <v>1</v>
      </c>
      <c r="H55" s="446">
        <f>($G$20)</f>
        <v/>
      </c>
      <c r="I55" s="446">
        <f>($G$20)</f>
        <v/>
      </c>
      <c r="J55" s="446" t="n">
        <v>2</v>
      </c>
      <c r="K55" s="446" t="n">
        <v>2</v>
      </c>
      <c r="L55" s="446" t="n">
        <v>2</v>
      </c>
      <c r="M55" s="446" t="n">
        <v>3</v>
      </c>
      <c r="N55" s="446" t="n">
        <v>3</v>
      </c>
      <c r="O55" s="446" t="n">
        <v>3</v>
      </c>
      <c r="P55" s="383" t="n"/>
      <c r="Q55" s="462" t="n">
        <v>45000</v>
      </c>
      <c r="R55" s="462" t="n"/>
      <c r="S55" s="462">
        <f>((G55)*(($Q55)/(12)))</f>
        <v/>
      </c>
      <c r="T55" s="462">
        <f>((H55)*(($Q55)/(12)))</f>
        <v/>
      </c>
      <c r="U55" s="462">
        <f>((I55)*(($Q55)/(12)))</f>
        <v/>
      </c>
      <c r="V55" s="462">
        <f>((J55)*(($Q55)/(12)))</f>
        <v/>
      </c>
      <c r="W55" s="462">
        <f>((K55)*(($Q55)/(12)))</f>
        <v/>
      </c>
      <c r="X55" s="462">
        <f>((L55)*(($Q55)/(12)))</f>
        <v/>
      </c>
      <c r="Y55" s="462">
        <f>((M55)*(($Q55)/(12)))</f>
        <v/>
      </c>
      <c r="Z55" s="462">
        <f>((N55)*(($Q55)/(12)))</f>
        <v/>
      </c>
      <c r="AA55" s="462">
        <f>((O55)*(($Q55)/(12)))</f>
        <v/>
      </c>
      <c r="AB55" s="462" t="n"/>
      <c r="AC55" s="494">
        <f>SUM(S55:AA55)</f>
        <v/>
      </c>
    </row>
    <row r="56" ht="15" customHeight="1" s="1883">
      <c r="B56" s="641" t="inlineStr">
        <is>
          <t>M</t>
        </is>
      </c>
      <c r="C56" s="665" t="inlineStr">
        <is>
          <t>Advisor</t>
        </is>
      </c>
      <c r="D56" s="383" t="n"/>
      <c r="E56" s="630" t="inlineStr">
        <is>
          <t>-3</t>
        </is>
      </c>
      <c r="F56" s="383" t="n"/>
      <c r="G56" s="631" t="n"/>
      <c r="H56" s="631" t="n"/>
      <c r="I56" s="631" t="n"/>
      <c r="J56" s="631" t="n"/>
      <c r="K56" s="631" t="n"/>
      <c r="L56" s="631" t="n"/>
      <c r="M56" s="685" t="n">
        <v>1</v>
      </c>
      <c r="N56" s="685" t="n">
        <v>1</v>
      </c>
      <c r="O56" s="685" t="n">
        <v>1</v>
      </c>
      <c r="P56" s="383" t="n"/>
      <c r="Q56" s="462" t="n">
        <v>36000</v>
      </c>
      <c r="R56" s="462" t="n"/>
      <c r="S56" s="462">
        <f>((G56)*(($Q56)/(12)))</f>
        <v/>
      </c>
      <c r="T56" s="462">
        <f>((H56)*(($Q56)/(12)))</f>
        <v/>
      </c>
      <c r="U56" s="462">
        <f>((I56)*(($Q56)/(12)))</f>
        <v/>
      </c>
      <c r="V56" s="462">
        <f>((J56)*(($Q56)/(12)))</f>
        <v/>
      </c>
      <c r="W56" s="462">
        <f>((K56)*(($Q56)/(12)))</f>
        <v/>
      </c>
      <c r="X56" s="462">
        <f>((L56)*(($Q56)/(12)))</f>
        <v/>
      </c>
      <c r="Y56" s="462">
        <f>((M56)*(($Q56)/(12)))</f>
        <v/>
      </c>
      <c r="Z56" s="462">
        <f>((N56)*(($Q56)/(12)))</f>
        <v/>
      </c>
      <c r="AA56" s="462">
        <f>((O56)*(($Q56)/(12)))</f>
        <v/>
      </c>
      <c r="AB56" s="462" t="n"/>
      <c r="AC56" s="494">
        <f>SUM(S56:AA56)</f>
        <v/>
      </c>
    </row>
    <row r="57" ht="15" customHeight="1" s="1883">
      <c r="B57" s="641" t="inlineStr">
        <is>
          <t>S</t>
        </is>
      </c>
      <c r="C57" s="665" t="inlineStr">
        <is>
          <t>Sales Team*</t>
        </is>
      </c>
      <c r="D57" s="383" t="n"/>
      <c r="E57" s="630" t="inlineStr">
        <is>
          <t>-9</t>
        </is>
      </c>
      <c r="F57" s="383" t="n"/>
      <c r="G57" s="446" t="n">
        <v>3</v>
      </c>
      <c r="H57" s="446" t="n">
        <v>3</v>
      </c>
      <c r="I57" s="446" t="n">
        <v>3</v>
      </c>
      <c r="J57" s="446" t="n">
        <v>5</v>
      </c>
      <c r="K57" s="446" t="n">
        <v>5</v>
      </c>
      <c r="L57" s="446" t="n">
        <v>5</v>
      </c>
      <c r="M57" s="446" t="n">
        <v>7</v>
      </c>
      <c r="N57" s="446" t="n">
        <v>7</v>
      </c>
      <c r="O57" s="446" t="n">
        <v>7</v>
      </c>
      <c r="P57" s="383" t="n"/>
      <c r="Q57" s="462" t="n">
        <v>38500</v>
      </c>
      <c r="R57" s="462" t="n"/>
      <c r="S57" s="462">
        <f>((G57)*(($Q57)/(12)))</f>
        <v/>
      </c>
      <c r="T57" s="462">
        <f>((H57)*(($Q57)/(12)))</f>
        <v/>
      </c>
      <c r="U57" s="462">
        <f>((I57)*(($Q57)/(12)))</f>
        <v/>
      </c>
      <c r="V57" s="462">
        <f>((J57)*(($Q57)/(12)))</f>
        <v/>
      </c>
      <c r="W57" s="462">
        <f>((K57)*(($Q57)/(12)))</f>
        <v/>
      </c>
      <c r="X57" s="462">
        <f>((L57)*(($Q57)/(12)))</f>
        <v/>
      </c>
      <c r="Y57" s="462">
        <f>((M57)*(($Q57)/(12)))</f>
        <v/>
      </c>
      <c r="Z57" s="462">
        <f>((N57)*(($Q57)/(12)))</f>
        <v/>
      </c>
      <c r="AA57" s="462">
        <f>((O57)*(($Q57)/(12)))</f>
        <v/>
      </c>
      <c r="AB57" s="462" t="n"/>
      <c r="AC57" s="494">
        <f>SUM(S57:AA57)</f>
        <v/>
      </c>
    </row>
    <row r="58" ht="15" customFormat="1" customHeight="1" s="690">
      <c r="B58" s="691" t="inlineStr">
        <is>
          <t>S</t>
        </is>
      </c>
      <c r="C58" s="686" t="inlineStr">
        <is>
          <t>Pure Marketing Group - Marketing Team**</t>
        </is>
      </c>
      <c r="D58" s="593" t="n"/>
      <c r="E58" s="692" t="inlineStr">
        <is>
          <t>-9</t>
        </is>
      </c>
      <c r="F58" s="593" t="n"/>
      <c r="G58" s="693" t="n">
        <v>16</v>
      </c>
      <c r="H58" s="693" t="n">
        <v>16</v>
      </c>
      <c r="I58" s="693" t="n">
        <v>16</v>
      </c>
      <c r="J58" s="693" t="n">
        <v>28</v>
      </c>
      <c r="K58" s="693" t="n">
        <v>28</v>
      </c>
      <c r="L58" s="693" t="n">
        <v>28</v>
      </c>
      <c r="M58" s="693" t="n">
        <v>28</v>
      </c>
      <c r="N58" s="693" t="n">
        <v>28</v>
      </c>
      <c r="O58" s="693" t="n">
        <v>28</v>
      </c>
      <c r="P58" s="593" t="n"/>
      <c r="Q58" s="687" t="n">
        <v>38000</v>
      </c>
      <c r="R58" s="687" t="n"/>
      <c r="S58" s="687">
        <f>((G58)*(($Q58)/(12)))</f>
        <v/>
      </c>
      <c r="T58" s="687">
        <f>((H58)*(($Q58)/(12)))</f>
        <v/>
      </c>
      <c r="U58" s="687">
        <f>((I58)*(($Q58)/(12)))</f>
        <v/>
      </c>
      <c r="V58" s="687">
        <f>((J58)*(($Q58)/(12)))</f>
        <v/>
      </c>
      <c r="W58" s="687">
        <f>((K58)*(($Q58)/(12)))</f>
        <v/>
      </c>
      <c r="X58" s="687">
        <f>((L58)*(($Q58)/(12)))</f>
        <v/>
      </c>
      <c r="Y58" s="687">
        <f>((M58)*(($Q58)/(12)))</f>
        <v/>
      </c>
      <c r="Z58" s="687">
        <f>((N58)*(($Q58)/(12)))</f>
        <v/>
      </c>
      <c r="AA58" s="687">
        <f>((O58)*(($Q58)/(12)))</f>
        <v/>
      </c>
      <c r="AB58" s="687" t="n"/>
      <c r="AC58" s="694">
        <f>SUM(S58:AA58)</f>
        <v/>
      </c>
    </row>
    <row r="59" ht="15" customFormat="1" customHeight="1" s="690">
      <c r="B59" s="691" t="inlineStr">
        <is>
          <t>S</t>
        </is>
      </c>
      <c r="C59" s="686" t="inlineStr">
        <is>
          <t>Pure Tech Marketing Team**</t>
        </is>
      </c>
      <c r="D59" s="593" t="n"/>
      <c r="E59" s="692" t="inlineStr">
        <is>
          <t>-9</t>
        </is>
      </c>
      <c r="F59" s="593" t="n"/>
      <c r="G59" s="693" t="n">
        <v>3</v>
      </c>
      <c r="H59" s="693" t="n">
        <v>3</v>
      </c>
      <c r="I59" s="693" t="n">
        <v>3</v>
      </c>
      <c r="J59" s="693" t="n">
        <v>5</v>
      </c>
      <c r="K59" s="693" t="n">
        <v>5</v>
      </c>
      <c r="L59" s="693" t="n">
        <v>5</v>
      </c>
      <c r="M59" s="693" t="n">
        <v>7</v>
      </c>
      <c r="N59" s="693" t="n">
        <v>7</v>
      </c>
      <c r="O59" s="693" t="n">
        <v>7</v>
      </c>
      <c r="P59" s="593" t="n"/>
      <c r="Q59" s="687" t="n">
        <v>38000</v>
      </c>
      <c r="R59" s="687" t="n"/>
      <c r="S59" s="687">
        <f>((G59)*(($Q59)/(12)))</f>
        <v/>
      </c>
      <c r="T59" s="687">
        <f>((H59)*(($Q59)/(12)))</f>
        <v/>
      </c>
      <c r="U59" s="687">
        <f>((I59)*(($Q59)/(12)))</f>
        <v/>
      </c>
      <c r="V59" s="687">
        <f>((J59)*(($Q59)/(12)))</f>
        <v/>
      </c>
      <c r="W59" s="687">
        <f>((K59)*(($Q59)/(12)))</f>
        <v/>
      </c>
      <c r="X59" s="687">
        <f>((L59)*(($Q59)/(12)))</f>
        <v/>
      </c>
      <c r="Y59" s="687">
        <f>((M59)*(($Q59)/(12)))</f>
        <v/>
      </c>
      <c r="Z59" s="687">
        <f>((N59)*(($Q59)/(12)))</f>
        <v/>
      </c>
      <c r="AA59" s="687">
        <f>((O59)*(($Q59)/(12)))</f>
        <v/>
      </c>
      <c r="AB59" s="687" t="n"/>
      <c r="AC59" s="694">
        <f>SUM(S59:AA59)</f>
        <v/>
      </c>
    </row>
    <row r="60" ht="15" customHeight="1" s="1883">
      <c r="B60" s="641" t="inlineStr">
        <is>
          <t>O</t>
        </is>
      </c>
      <c r="C60" s="545" t="inlineStr">
        <is>
          <t>Operations Team</t>
        </is>
      </c>
      <c r="D60" s="383" t="n"/>
      <c r="E60" s="630" t="inlineStr">
        <is>
          <t>-9</t>
        </is>
      </c>
      <c r="F60" s="383" t="n"/>
      <c r="G60" s="446" t="n">
        <v>1</v>
      </c>
      <c r="H60" s="446">
        <f>($G$20)</f>
        <v/>
      </c>
      <c r="I60" s="446">
        <f>($G$20)</f>
        <v/>
      </c>
      <c r="J60" s="446" t="n">
        <v>3</v>
      </c>
      <c r="K60" s="446" t="n">
        <v>3</v>
      </c>
      <c r="L60" s="446" t="n">
        <v>3</v>
      </c>
      <c r="M60" s="446" t="n">
        <v>5</v>
      </c>
      <c r="N60" s="446" t="n">
        <v>5</v>
      </c>
      <c r="O60" s="446" t="n">
        <v>5</v>
      </c>
      <c r="P60" s="383" t="n"/>
      <c r="Q60" s="462" t="n">
        <v>75000</v>
      </c>
      <c r="R60" s="462" t="n"/>
      <c r="S60" s="462">
        <f>((G60)*(($Q60)/(12)))</f>
        <v/>
      </c>
      <c r="T60" s="462">
        <f>((H60)*(($Q60)/(12)))</f>
        <v/>
      </c>
      <c r="U60" s="462">
        <f>((I60)*(($Q60)/(12)))</f>
        <v/>
      </c>
      <c r="V60" s="462">
        <f>((J60)*(($Q60)/(12)))</f>
        <v/>
      </c>
      <c r="W60" s="462">
        <f>((K60)*(($Q60)/(12)))</f>
        <v/>
      </c>
      <c r="X60" s="462">
        <f>((L60)*(($Q60)/(12)))</f>
        <v/>
      </c>
      <c r="Y60" s="462">
        <f>((M60)*(($Q60)/(12)))</f>
        <v/>
      </c>
      <c r="Z60" s="462">
        <f>((N60)*(($Q60)/(12)))</f>
        <v/>
      </c>
      <c r="AA60" s="462">
        <f>((O60)*(($Q60)/(12)))</f>
        <v/>
      </c>
      <c r="AB60" s="462" t="n"/>
      <c r="AC60" s="494">
        <f>SUM(S60:AA60)</f>
        <v/>
      </c>
    </row>
    <row r="61" ht="15" customHeight="1" s="1883">
      <c r="B61" s="641" t="inlineStr">
        <is>
          <t>O</t>
        </is>
      </c>
      <c r="C61" s="545" t="inlineStr">
        <is>
          <t xml:space="preserve">Finance Team </t>
        </is>
      </c>
      <c r="D61" s="383" t="n"/>
      <c r="E61" s="630" t="inlineStr">
        <is>
          <t>-9</t>
        </is>
      </c>
      <c r="F61" s="383" t="n"/>
      <c r="G61" s="446" t="n">
        <v>1</v>
      </c>
      <c r="H61" s="446">
        <f>($G$20)</f>
        <v/>
      </c>
      <c r="I61" s="446">
        <f>($G$20)</f>
        <v/>
      </c>
      <c r="J61" s="446" t="n">
        <v>1</v>
      </c>
      <c r="K61" s="446" t="n">
        <v>2</v>
      </c>
      <c r="L61" s="446" t="n">
        <v>2</v>
      </c>
      <c r="M61" s="446" t="n">
        <v>2</v>
      </c>
      <c r="N61" s="446" t="n">
        <v>2</v>
      </c>
      <c r="O61" s="446" t="n">
        <v>2</v>
      </c>
      <c r="P61" s="383" t="n"/>
      <c r="Q61" s="462" t="n">
        <v>75000</v>
      </c>
      <c r="R61" s="462" t="n"/>
      <c r="S61" s="462">
        <f>((G61)*(($Q61)/(12)))</f>
        <v/>
      </c>
      <c r="T61" s="462">
        <f>((H61)*(($Q61)/(12)))</f>
        <v/>
      </c>
      <c r="U61" s="462">
        <f>((I61)*(($Q61)/(12)))</f>
        <v/>
      </c>
      <c r="V61" s="462">
        <f>((J61)*(($Q61)/(12)))</f>
        <v/>
      </c>
      <c r="W61" s="462">
        <f>((K61)*(($Q61)/(12)))</f>
        <v/>
      </c>
      <c r="X61" s="462">
        <f>((L61)*(($Q61)/(12)))</f>
        <v/>
      </c>
      <c r="Y61" s="462">
        <f>((M61)*(($Q61)/(12)))</f>
        <v/>
      </c>
      <c r="Z61" s="462">
        <f>((N61)*(($Q61)/(12)))</f>
        <v/>
      </c>
      <c r="AA61" s="462">
        <f>((O61)*(($Q61)/(12)))</f>
        <v/>
      </c>
      <c r="AB61" s="462" t="n"/>
      <c r="AC61" s="494">
        <f>SUM(S61:AA61)</f>
        <v/>
      </c>
    </row>
    <row r="62" ht="15" customHeight="1" s="1883">
      <c r="B62" s="641" t="inlineStr">
        <is>
          <t>O</t>
        </is>
      </c>
      <c r="C62" s="545" t="inlineStr">
        <is>
          <t>Product Development Team + Mechanical Engineer</t>
        </is>
      </c>
      <c r="D62" s="383" t="n"/>
      <c r="E62" s="630" t="inlineStr">
        <is>
          <t>-9</t>
        </is>
      </c>
      <c r="F62" s="383" t="n"/>
      <c r="G62" s="446" t="n">
        <v>3</v>
      </c>
      <c r="H62" s="446" t="n">
        <v>3</v>
      </c>
      <c r="I62" s="446" t="n">
        <v>3</v>
      </c>
      <c r="J62" s="446" t="n">
        <v>5</v>
      </c>
      <c r="K62" s="446" t="n">
        <v>5</v>
      </c>
      <c r="L62" s="446" t="n">
        <v>5</v>
      </c>
      <c r="M62" s="446" t="n">
        <v>7</v>
      </c>
      <c r="N62" s="446" t="n">
        <v>7</v>
      </c>
      <c r="O62" s="446" t="n">
        <v>7</v>
      </c>
      <c r="P62" s="383" t="n"/>
      <c r="Q62" s="462" t="n">
        <v>85000</v>
      </c>
      <c r="R62" s="462" t="n"/>
      <c r="S62" s="462">
        <f>((G62)*(($Q62)/(12)))</f>
        <v/>
      </c>
      <c r="T62" s="462">
        <f>((H62)*(($Q62)/(12)))</f>
        <v/>
      </c>
      <c r="U62" s="462">
        <f>((I62)*(($Q62)/(12)))</f>
        <v/>
      </c>
      <c r="V62" s="462">
        <f>((J62)*(($Q62)/(12)))</f>
        <v/>
      </c>
      <c r="W62" s="462">
        <f>((K62)*(($Q62)/(12)))</f>
        <v/>
      </c>
      <c r="X62" s="462">
        <f>((L62)*(($Q62)/(12)))</f>
        <v/>
      </c>
      <c r="Y62" s="462">
        <f>((M62)*(($Q62)/(12)))</f>
        <v/>
      </c>
      <c r="Z62" s="462">
        <f>((N62)*(($Q62)/(12)))</f>
        <v/>
      </c>
      <c r="AA62" s="462">
        <f>((O62)*(($Q62)/(12)))</f>
        <v/>
      </c>
      <c r="AB62" s="462" t="n"/>
      <c r="AC62" s="494">
        <f>SUM(S62:AA62)</f>
        <v/>
      </c>
    </row>
    <row r="63" ht="15" customHeight="1" s="1883">
      <c r="B63" s="641" t="inlineStr">
        <is>
          <t>O</t>
        </is>
      </c>
      <c r="C63" s="665" t="inlineStr">
        <is>
          <t>Software Development Team + Data Scientists/Engineers</t>
        </is>
      </c>
      <c r="D63" s="383" t="n"/>
      <c r="E63" s="630" t="inlineStr">
        <is>
          <t>-9</t>
        </is>
      </c>
      <c r="F63" s="383" t="n"/>
      <c r="G63" s="446" t="n">
        <v>3</v>
      </c>
      <c r="H63" s="446" t="n">
        <v>3</v>
      </c>
      <c r="I63" s="446" t="n">
        <v>3</v>
      </c>
      <c r="J63" s="446" t="n">
        <v>5</v>
      </c>
      <c r="K63" s="446" t="n">
        <v>5</v>
      </c>
      <c r="L63" s="446" t="n">
        <v>5</v>
      </c>
      <c r="M63" s="446" t="n">
        <v>7</v>
      </c>
      <c r="N63" s="446" t="n">
        <v>7</v>
      </c>
      <c r="O63" s="446" t="n">
        <v>7</v>
      </c>
      <c r="P63" s="383" t="n"/>
      <c r="Q63" s="462" t="n">
        <v>85000</v>
      </c>
      <c r="R63" s="462" t="n"/>
      <c r="S63" s="462">
        <f>((G63)*(($Q63)/(12)))</f>
        <v/>
      </c>
      <c r="T63" s="462">
        <f>((H63)*(($Q63)/(12)))</f>
        <v/>
      </c>
      <c r="U63" s="462">
        <f>((I63)*(($Q63)/(12)))</f>
        <v/>
      </c>
      <c r="V63" s="462">
        <f>((J63)*(($Q63)/(12)))</f>
        <v/>
      </c>
      <c r="W63" s="462">
        <f>((K63)*(($Q63)/(12)))</f>
        <v/>
      </c>
      <c r="X63" s="462">
        <f>((L63)*(($Q63)/(12)))</f>
        <v/>
      </c>
      <c r="Y63" s="462">
        <f>((M63)*(($Q63)/(12)))</f>
        <v/>
      </c>
      <c r="Z63" s="462">
        <f>((N63)*(($Q63)/(12)))</f>
        <v/>
      </c>
      <c r="AA63" s="462">
        <f>((O63)*(($Q63)/(12)))</f>
        <v/>
      </c>
      <c r="AB63" s="462" t="n"/>
      <c r="AC63" s="494">
        <f>SUM(S63:AA63)</f>
        <v/>
      </c>
    </row>
    <row r="64" ht="15" customHeight="1" s="1883">
      <c r="B64" s="641" t="inlineStr">
        <is>
          <t>O</t>
        </is>
      </c>
      <c r="C64" s="824" t="inlineStr">
        <is>
          <t>Economist + Crypto Tokenomics</t>
        </is>
      </c>
      <c r="D64" s="825" t="n"/>
      <c r="E64" s="826" t="inlineStr">
        <is>
          <t>-9</t>
        </is>
      </c>
      <c r="F64" s="825" t="n"/>
      <c r="G64" s="827" t="n">
        <v>3</v>
      </c>
      <c r="H64" s="827" t="n">
        <v>3</v>
      </c>
      <c r="I64" s="827" t="n">
        <v>3</v>
      </c>
      <c r="J64" s="827" t="n">
        <v>5</v>
      </c>
      <c r="K64" s="827" t="n">
        <v>5</v>
      </c>
      <c r="L64" s="827" t="n">
        <v>5</v>
      </c>
      <c r="M64" s="827" t="n">
        <v>7</v>
      </c>
      <c r="N64" s="827" t="n">
        <v>7</v>
      </c>
      <c r="O64" s="827" t="n">
        <v>7</v>
      </c>
      <c r="P64" s="383" t="n"/>
      <c r="Q64" s="462" t="n">
        <v>75000</v>
      </c>
      <c r="R64" s="462" t="n"/>
      <c r="S64" s="462">
        <f>((G64)*(($Q64)/(12)))</f>
        <v/>
      </c>
      <c r="T64" s="462">
        <f>((H64)*(($Q64)/(12)))</f>
        <v/>
      </c>
      <c r="U64" s="462">
        <f>((I64)*(($Q64)/(12)))</f>
        <v/>
      </c>
      <c r="V64" s="462">
        <f>((J64)*(($Q64)/(12)))</f>
        <v/>
      </c>
      <c r="W64" s="462">
        <f>((K64)*(($Q64)/(12)))</f>
        <v/>
      </c>
      <c r="X64" s="462">
        <f>((L64)*(($Q64)/(12)))</f>
        <v/>
      </c>
      <c r="Y64" s="462">
        <f>((M64)*(($Q64)/(12)))</f>
        <v/>
      </c>
      <c r="Z64" s="462">
        <f>((N64)*(($Q64)/(12)))</f>
        <v/>
      </c>
      <c r="AA64" s="462">
        <f>((O64)*(($Q64)/(12)))</f>
        <v/>
      </c>
      <c r="AB64" s="462" t="n"/>
      <c r="AC64" s="494">
        <f>SUM(S64:AA64)</f>
        <v/>
      </c>
    </row>
    <row r="65" ht="15" customHeight="1" s="1883">
      <c r="B65" s="641" t="inlineStr">
        <is>
          <t>O</t>
        </is>
      </c>
      <c r="C65" s="545" t="inlineStr">
        <is>
          <t>IT &amp; Tech Team</t>
        </is>
      </c>
      <c r="D65" s="383" t="n"/>
      <c r="E65" s="630" t="inlineStr">
        <is>
          <t>-9</t>
        </is>
      </c>
      <c r="F65" s="383" t="n"/>
      <c r="G65" s="446" t="n">
        <v>3</v>
      </c>
      <c r="H65" s="446" t="n">
        <v>3</v>
      </c>
      <c r="I65" s="446" t="n">
        <v>3</v>
      </c>
      <c r="J65" s="446" t="n">
        <v>5</v>
      </c>
      <c r="K65" s="446" t="n">
        <v>5</v>
      </c>
      <c r="L65" s="446" t="n">
        <v>5</v>
      </c>
      <c r="M65" s="446" t="n">
        <v>7</v>
      </c>
      <c r="N65" s="446" t="n">
        <v>7</v>
      </c>
      <c r="O65" s="446" t="n">
        <v>7</v>
      </c>
      <c r="P65" s="383" t="n"/>
      <c r="Q65" s="462" t="n">
        <v>70000</v>
      </c>
      <c r="R65" s="462" t="n"/>
      <c r="S65" s="462">
        <f>((G65)*(($Q65)/(12)))</f>
        <v/>
      </c>
      <c r="T65" s="462">
        <f>((H65)*(($Q65)/(12)))</f>
        <v/>
      </c>
      <c r="U65" s="462">
        <f>((I65)*(($Q65)/(12)))</f>
        <v/>
      </c>
      <c r="V65" s="462">
        <f>((J65)*(($Q65)/(12)))</f>
        <v/>
      </c>
      <c r="W65" s="462">
        <f>((K65)*(($Q65)/(12)))</f>
        <v/>
      </c>
      <c r="X65" s="462">
        <f>((L65)*(($Q65)/(12)))</f>
        <v/>
      </c>
      <c r="Y65" s="462">
        <f>((M65)*(($Q65)/(12)))</f>
        <v/>
      </c>
      <c r="Z65" s="462">
        <f>((N65)*(($Q65)/(12)))</f>
        <v/>
      </c>
      <c r="AA65" s="462">
        <f>((O65)*(($Q65)/(12)))</f>
        <v/>
      </c>
      <c r="AB65" s="462" t="n"/>
      <c r="AC65" s="494">
        <f>SUM(S65:AA65)</f>
        <v/>
      </c>
    </row>
    <row r="66" ht="15" customHeight="1" s="1883">
      <c r="B66" s="641" t="inlineStr">
        <is>
          <t>O</t>
        </is>
      </c>
      <c r="C66" s="545" t="inlineStr">
        <is>
          <t>Virtual Assistants</t>
        </is>
      </c>
      <c r="D66" s="383" t="n"/>
      <c r="E66" s="630" t="n">
        <v>-9</v>
      </c>
      <c r="F66" s="383" t="n"/>
      <c r="G66" s="446" t="n">
        <v>5</v>
      </c>
      <c r="H66" s="446" t="n">
        <v>5</v>
      </c>
      <c r="I66" s="446" t="n">
        <v>5</v>
      </c>
      <c r="J66" s="446" t="n">
        <v>7</v>
      </c>
      <c r="K66" s="446" t="n">
        <v>7</v>
      </c>
      <c r="L66" s="446" t="n">
        <v>7</v>
      </c>
      <c r="M66" s="446" t="n">
        <v>9</v>
      </c>
      <c r="N66" s="446" t="n">
        <v>9</v>
      </c>
      <c r="O66" s="446" t="n">
        <v>9</v>
      </c>
      <c r="P66" s="383" t="n"/>
      <c r="Q66" s="462" t="n">
        <v>12000</v>
      </c>
      <c r="R66" s="462" t="n"/>
      <c r="S66" s="462">
        <f>((G66)*(($Q66)/(12)))</f>
        <v/>
      </c>
      <c r="T66" s="462">
        <f>((H66)*(($Q66)/(12)))</f>
        <v/>
      </c>
      <c r="U66" s="462">
        <f>((I66)*(($Q66)/(12)))</f>
        <v/>
      </c>
      <c r="V66" s="462">
        <f>((J66)*(($Q66)/(12)))</f>
        <v/>
      </c>
      <c r="W66" s="462">
        <f>((K66)*(($Q66)/(12)))</f>
        <v/>
      </c>
      <c r="X66" s="462">
        <f>((L66)*(($Q66)/(12)))</f>
        <v/>
      </c>
      <c r="Y66" s="462">
        <f>((M66)*(($Q66)/(12)))</f>
        <v/>
      </c>
      <c r="Z66" s="462">
        <f>((N66)*(($Q66)/(12)))</f>
        <v/>
      </c>
      <c r="AA66" s="462">
        <f>((O66)*(($Q66)/(12)))</f>
        <v/>
      </c>
      <c r="AB66" s="462" t="n"/>
      <c r="AC66" s="494">
        <f>SUM(S66:AA66)</f>
        <v/>
      </c>
    </row>
    <row r="67" ht="15" customHeight="1" s="1883">
      <c r="B67" s="383" t="n"/>
      <c r="C67" s="383" t="n"/>
      <c r="D67" s="383" t="n"/>
      <c r="E67" s="383" t="n"/>
      <c r="F67" s="383" t="n"/>
      <c r="G67" s="446" t="n"/>
      <c r="H67" s="446" t="n"/>
      <c r="I67" s="446" t="n"/>
      <c r="J67" s="446" t="n"/>
      <c r="K67" s="446" t="n"/>
      <c r="L67" s="446" t="n"/>
      <c r="M67" s="446" t="n"/>
      <c r="N67" s="446" t="n"/>
      <c r="O67" s="446" t="n"/>
      <c r="P67" s="383" t="n"/>
      <c r="Q67" s="462" t="n"/>
      <c r="R67" s="462" t="n"/>
      <c r="S67" s="462" t="n"/>
      <c r="T67" s="462" t="n"/>
      <c r="U67" s="462" t="n"/>
      <c r="V67" s="462" t="n"/>
      <c r="W67" s="462" t="n"/>
      <c r="X67" s="462" t="n"/>
      <c r="Y67" s="462" t="n"/>
      <c r="Z67" s="462" t="n"/>
      <c r="AA67" s="462" t="n"/>
      <c r="AB67" s="462" t="n"/>
      <c r="AC67" s="462" t="n"/>
    </row>
    <row r="68" ht="3" customHeight="1" s="1883">
      <c r="B68" s="383" t="n"/>
      <c r="C68" s="383" t="n"/>
      <c r="D68" s="383" t="n"/>
      <c r="E68" s="383" t="n"/>
      <c r="F68" s="383" t="n"/>
      <c r="G68" s="634" t="n"/>
      <c r="H68" s="634" t="n"/>
      <c r="I68" s="634" t="n"/>
      <c r="J68" s="634" t="n"/>
      <c r="K68" s="634" t="n"/>
      <c r="L68" s="634" t="n"/>
      <c r="M68" s="634" t="n"/>
      <c r="N68" s="634" t="n"/>
      <c r="O68" s="634" t="n"/>
      <c r="P68" s="383" t="n"/>
      <c r="Q68" s="462" t="n"/>
      <c r="R68" s="462" t="n"/>
      <c r="S68" s="508" t="n"/>
      <c r="T68" s="508" t="n"/>
      <c r="U68" s="508" t="n"/>
      <c r="V68" s="508" t="n"/>
      <c r="W68" s="508" t="n"/>
      <c r="X68" s="508" t="n"/>
      <c r="Y68" s="508" t="n"/>
      <c r="Z68" s="508" t="n"/>
      <c r="AA68" s="508" t="n"/>
      <c r="AB68" s="508" t="n"/>
      <c r="AC68" s="508" t="n"/>
    </row>
    <row r="69" ht="3" customHeight="1" s="1883">
      <c r="B69" s="383" t="n"/>
      <c r="C69" s="383" t="n"/>
      <c r="D69" s="383" t="n"/>
      <c r="E69" s="383" t="n"/>
      <c r="F69" s="383" t="n"/>
      <c r="G69" s="446" t="n"/>
      <c r="H69" s="446" t="n"/>
      <c r="I69" s="446" t="n"/>
      <c r="J69" s="446" t="n"/>
      <c r="K69" s="446" t="n"/>
      <c r="L69" s="446" t="n"/>
      <c r="M69" s="446" t="n"/>
      <c r="N69" s="446" t="n"/>
      <c r="O69" s="446" t="n"/>
      <c r="P69" s="383" t="n"/>
      <c r="Q69" s="462" t="n"/>
      <c r="R69" s="462" t="n"/>
      <c r="S69" s="462" t="n"/>
      <c r="T69" s="462" t="n"/>
      <c r="U69" s="462" t="n"/>
      <c r="V69" s="462" t="n"/>
      <c r="W69" s="462" t="n"/>
      <c r="X69" s="462" t="n"/>
      <c r="Y69" s="462" t="n"/>
      <c r="Z69" s="462" t="n"/>
      <c r="AA69" s="462" t="n"/>
      <c r="AB69" s="462" t="n"/>
      <c r="AC69" s="462" t="n"/>
    </row>
    <row r="70" ht="15" customHeight="1" s="1883">
      <c r="B70" s="383" t="n"/>
      <c r="D70" s="385" t="n"/>
      <c r="E70" s="552" t="inlineStr">
        <is>
          <t>Total Headcount</t>
        </is>
      </c>
      <c r="F70" s="464" t="n"/>
      <c r="G70" s="555">
        <f>SUM(G13:G48)+SUM(G53:G66)</f>
        <v/>
      </c>
      <c r="H70" s="555">
        <f>SUM(H13:H48)+SUM(H53:H66)</f>
        <v/>
      </c>
      <c r="I70" s="555">
        <f>SUM(I13:I48)+SUM(I53:I66)</f>
        <v/>
      </c>
      <c r="J70" s="555">
        <f>SUM(J13:J48)+SUM(J53:J66)</f>
        <v/>
      </c>
      <c r="K70" s="555">
        <f>SUM(K13:K48)+SUM(K53:K66)</f>
        <v/>
      </c>
      <c r="L70" s="555">
        <f>SUM(L13:L48)+SUM(L53:L66)</f>
        <v/>
      </c>
      <c r="M70" s="555">
        <f>SUM(M13:M48)+SUM(M53:M66)</f>
        <v/>
      </c>
      <c r="N70" s="555">
        <f>SUM(N13:N48)+SUM(N53:N66)</f>
        <v/>
      </c>
      <c r="O70" s="555">
        <f>SUM(O13:O48)+SUM(O53:O66)</f>
        <v/>
      </c>
      <c r="P70" s="383" t="n"/>
      <c r="Q70" s="462" t="n"/>
      <c r="R70" s="462" t="n"/>
      <c r="S70" s="494">
        <f>SUM(S13:S48)+SUM(S53:S66)</f>
        <v/>
      </c>
      <c r="T70" s="494">
        <f>SUM(T13:T48)+SUM(T53:T66)</f>
        <v/>
      </c>
      <c r="U70" s="494">
        <f>SUM(U13:U48)+SUM(U53:U66)</f>
        <v/>
      </c>
      <c r="V70" s="494">
        <f>SUM(V13:V48)+SUM(V53:V66)</f>
        <v/>
      </c>
      <c r="W70" s="494">
        <f>SUM(W13:W48)+SUM(W53:W66)</f>
        <v/>
      </c>
      <c r="X70" s="494">
        <f>SUM(X13:X48)+SUM(X53:X66)</f>
        <v/>
      </c>
      <c r="Y70" s="494">
        <f>SUM(Y13:Y48)+SUM(Y53:Y66)</f>
        <v/>
      </c>
      <c r="Z70" s="494">
        <f>SUM(Z13:Z48)+SUM(Z53:Z66)</f>
        <v/>
      </c>
      <c r="AA70" s="494">
        <f>SUM(AA13:AA48)+SUM(AA53:AA66)</f>
        <v/>
      </c>
      <c r="AB70" s="462" t="n"/>
      <c r="AC70" s="494">
        <f>SUM(AC13:AC48)+SUM(AC53:AC66)</f>
        <v/>
      </c>
    </row>
    <row r="71" ht="3" customHeight="1" s="1883">
      <c r="B71" s="383" t="n"/>
      <c r="C71" s="383" t="n"/>
      <c r="D71" s="383" t="n"/>
      <c r="E71" s="383" t="n"/>
      <c r="F71" s="383" t="n"/>
      <c r="G71" s="634" t="n"/>
      <c r="H71" s="634" t="n"/>
      <c r="I71" s="634" t="n"/>
      <c r="J71" s="634" t="n"/>
      <c r="K71" s="634" t="n"/>
      <c r="L71" s="634" t="n"/>
      <c r="M71" s="634" t="n"/>
      <c r="N71" s="634" t="n"/>
      <c r="O71" s="634" t="n"/>
      <c r="P71" s="383" t="n"/>
      <c r="Q71" s="462" t="n"/>
      <c r="R71" s="462" t="n"/>
      <c r="S71" s="508" t="n"/>
      <c r="T71" s="508" t="n"/>
      <c r="U71" s="508" t="n"/>
      <c r="V71" s="508" t="n"/>
      <c r="W71" s="508" t="n"/>
      <c r="X71" s="508" t="n"/>
      <c r="Y71" s="508" t="n"/>
      <c r="Z71" s="508" t="n"/>
      <c r="AA71" s="508" t="n"/>
      <c r="AB71" s="462" t="n"/>
      <c r="AC71" s="508" t="n"/>
    </row>
    <row r="72" ht="3" customHeight="1" s="1883">
      <c r="B72" s="383" t="n"/>
      <c r="C72" s="383" t="n"/>
      <c r="D72" s="383" t="n"/>
      <c r="E72" s="383" t="n"/>
      <c r="F72" s="383" t="n"/>
      <c r="G72" s="446" t="n"/>
      <c r="H72" s="446" t="n"/>
      <c r="I72" s="446" t="n"/>
      <c r="J72" s="446" t="n"/>
      <c r="K72" s="446" t="n"/>
      <c r="L72" s="446" t="n"/>
      <c r="M72" s="446" t="n"/>
      <c r="N72" s="446" t="n"/>
      <c r="O72" s="446" t="n"/>
      <c r="P72" s="383" t="n"/>
      <c r="Q72" s="462" t="n"/>
      <c r="R72" s="462" t="n"/>
      <c r="S72" s="462" t="n"/>
      <c r="T72" s="462" t="n"/>
      <c r="U72" s="462" t="n"/>
      <c r="V72" s="462" t="n"/>
      <c r="W72" s="462" t="n"/>
      <c r="X72" s="462" t="n"/>
      <c r="Y72" s="462" t="n"/>
      <c r="Z72" s="462" t="n"/>
      <c r="AA72" s="462" t="n"/>
      <c r="AB72" s="462" t="n"/>
      <c r="AC72" s="462" t="n"/>
    </row>
    <row r="73" ht="15" customHeight="1" s="1883">
      <c r="B73" s="383" t="n"/>
      <c r="C73" s="383" t="n"/>
      <c r="D73" s="383" t="n"/>
      <c r="E73" s="383" t="n"/>
      <c r="F73" s="383" t="n"/>
      <c r="G73" s="446" t="n"/>
      <c r="H73" s="446" t="n"/>
      <c r="I73" s="446" t="n"/>
      <c r="J73" s="446" t="n"/>
      <c r="K73" s="446" t="n"/>
      <c r="L73" s="446" t="n"/>
      <c r="M73" s="446" t="n"/>
      <c r="N73" s="446" t="n"/>
      <c r="O73" s="446" t="n"/>
      <c r="P73" s="383" t="n"/>
      <c r="Q73" s="462" t="n"/>
      <c r="R73" s="462" t="n"/>
      <c r="S73" s="462" t="n"/>
      <c r="T73" s="462" t="n"/>
      <c r="U73" s="462" t="n"/>
      <c r="V73" s="462" t="n"/>
      <c r="W73" s="462" t="n"/>
      <c r="X73" s="462" t="n"/>
      <c r="Y73" s="462" t="n"/>
      <c r="Z73" s="462" t="n"/>
      <c r="AA73" s="462" t="n"/>
      <c r="AB73" s="462" t="n"/>
      <c r="AC73" s="462" t="n"/>
    </row>
    <row r="74" ht="15" customHeight="1" s="1883">
      <c r="B74" s="383" t="n"/>
      <c r="C74" s="383" t="n"/>
      <c r="D74" s="383" t="n"/>
      <c r="E74" s="383" t="n"/>
      <c r="F74" s="383" t="n"/>
      <c r="G74" s="1882" t="inlineStr">
        <is>
          <t>Pre-Launch Headcount, by Month</t>
        </is>
      </c>
      <c r="P74" s="383" t="n"/>
      <c r="Q74" s="462" t="n"/>
      <c r="R74" s="383" t="n"/>
      <c r="S74" s="1882" t="inlineStr">
        <is>
          <t>Pre-Launch Salaries, by Month</t>
        </is>
      </c>
      <c r="AB74" s="383" t="n"/>
      <c r="AC74" s="383" t="n"/>
    </row>
    <row r="75" ht="3" customHeight="1" s="1883">
      <c r="B75" s="383" t="n"/>
      <c r="C75" s="383" t="n"/>
      <c r="D75" s="383" t="n"/>
      <c r="E75" s="383" t="n"/>
      <c r="F75" s="383" t="n"/>
      <c r="G75" s="387" t="n"/>
      <c r="H75" s="387" t="n"/>
      <c r="I75" s="387" t="n"/>
      <c r="J75" s="387" t="n"/>
      <c r="K75" s="387" t="n"/>
      <c r="L75" s="387" t="n"/>
      <c r="M75" s="387" t="n"/>
      <c r="N75" s="387" t="n"/>
      <c r="O75" s="387" t="n"/>
      <c r="P75" s="383" t="n"/>
      <c r="Q75" s="462" t="n"/>
      <c r="R75" s="383" t="n"/>
      <c r="S75" s="387" t="n"/>
      <c r="T75" s="387" t="n"/>
      <c r="U75" s="387" t="n"/>
      <c r="V75" s="387" t="n"/>
      <c r="W75" s="387" t="n"/>
      <c r="X75" s="387" t="n"/>
      <c r="Y75" s="387" t="n"/>
      <c r="Z75" s="387" t="n"/>
      <c r="AA75" s="387" t="n"/>
      <c r="AB75" s="383" t="n"/>
      <c r="AC75" s="383" t="n"/>
    </row>
    <row r="76" ht="3" customHeight="1" s="1883">
      <c r="B76" s="383" t="n"/>
      <c r="C76" s="383" t="n"/>
      <c r="D76" s="383" t="n"/>
      <c r="E76" s="383" t="n"/>
      <c r="F76" s="383" t="n"/>
      <c r="G76" s="383" t="n"/>
      <c r="H76" s="383" t="n"/>
      <c r="I76" s="383" t="n"/>
      <c r="J76" s="383" t="n"/>
      <c r="K76" s="383" t="n"/>
      <c r="L76" s="383" t="n"/>
      <c r="M76" s="383" t="n"/>
      <c r="N76" s="383" t="n"/>
      <c r="O76" s="383" t="n"/>
      <c r="P76" s="383" t="n"/>
      <c r="Q76" s="462" t="n"/>
      <c r="R76" s="383" t="n"/>
      <c r="S76" s="383" t="n"/>
      <c r="T76" s="383" t="n"/>
      <c r="U76" s="383" t="n"/>
      <c r="V76" s="383" t="n"/>
      <c r="W76" s="383" t="n"/>
      <c r="X76" s="383" t="n"/>
      <c r="Y76" s="383" t="n"/>
      <c r="Z76" s="383" t="n"/>
      <c r="AA76" s="383" t="n"/>
      <c r="AB76" s="383" t="n"/>
      <c r="AC76" s="383" t="n"/>
    </row>
    <row r="77" ht="15" customHeight="1" s="1883">
      <c r="B77" s="383" t="n"/>
      <c r="C77" s="383" t="n"/>
      <c r="D77" s="383" t="n"/>
      <c r="E77" s="383" t="n"/>
      <c r="F77" s="383" t="n"/>
      <c r="G77" s="386" t="n">
        <v>-9</v>
      </c>
      <c r="H77" s="386" t="n">
        <v>-8</v>
      </c>
      <c r="I77" s="386" t="n">
        <v>-7</v>
      </c>
      <c r="J77" s="386" t="n">
        <v>-6</v>
      </c>
      <c r="K77" s="386" t="n">
        <v>-5</v>
      </c>
      <c r="L77" s="386" t="n">
        <v>-4</v>
      </c>
      <c r="M77" s="386" t="n">
        <v>-3</v>
      </c>
      <c r="N77" s="386" t="n">
        <v>-2</v>
      </c>
      <c r="O77" s="386" t="n">
        <v>-1</v>
      </c>
      <c r="P77" s="383" t="n"/>
      <c r="Q77" s="462" t="n"/>
      <c r="R77" s="383" t="n"/>
      <c r="S77" s="386" t="n">
        <v>-9</v>
      </c>
      <c r="T77" s="386" t="n">
        <v>-8</v>
      </c>
      <c r="U77" s="386" t="n">
        <v>-7</v>
      </c>
      <c r="V77" s="386" t="n">
        <v>-6</v>
      </c>
      <c r="W77" s="386" t="n">
        <v>-5</v>
      </c>
      <c r="X77" s="386" t="n">
        <v>-4</v>
      </c>
      <c r="Y77" s="386" t="n">
        <v>-3</v>
      </c>
      <c r="Z77" s="386" t="n">
        <v>-2</v>
      </c>
      <c r="AA77" s="386" t="n">
        <v>-1</v>
      </c>
      <c r="AB77" s="383" t="n"/>
      <c r="AC77" s="383" t="n"/>
    </row>
    <row r="82" ht="15" customHeight="1" s="1883">
      <c r="P82" s="575" t="inlineStr">
        <is>
          <t xml:space="preserve">Employee Benefits </t>
        </is>
      </c>
      <c r="Q82" s="575" t="n"/>
      <c r="R82" s="579">
        <f>((17%)/(0.6))</f>
        <v/>
      </c>
      <c r="S82" s="636">
        <f>((S70)*($R$82))</f>
        <v/>
      </c>
      <c r="T82" s="636">
        <f>((T70)*($R$82))</f>
        <v/>
      </c>
      <c r="U82" s="636">
        <f>((U70)*($R$82))</f>
        <v/>
      </c>
      <c r="V82" s="636">
        <f>((V70)*($R$82))</f>
        <v/>
      </c>
      <c r="W82" s="636">
        <f>((W70)*($R$82))</f>
        <v/>
      </c>
      <c r="X82" s="636">
        <f>((X70)*($R$82))</f>
        <v/>
      </c>
      <c r="Y82" s="636">
        <f>((Y70)*($R$82))</f>
        <v/>
      </c>
      <c r="Z82" s="636">
        <f>((Z70)*($R$82))</f>
        <v/>
      </c>
      <c r="AA82" s="636">
        <f>((AA70)*($R$82))</f>
        <v/>
      </c>
      <c r="AB82" s="383" t="n"/>
      <c r="AC82" s="383" t="n"/>
    </row>
    <row r="83" ht="15" customHeight="1" s="1883">
      <c r="P83" s="383" t="n"/>
      <c r="Q83" s="383" t="n"/>
      <c r="R83" s="383" t="n"/>
      <c r="S83" s="383" t="n"/>
      <c r="T83" s="383" t="n"/>
      <c r="U83" s="383" t="n"/>
      <c r="V83" s="383" t="n"/>
      <c r="W83" s="383" t="n"/>
      <c r="X83" s="383" t="n"/>
      <c r="Y83" s="383" t="n"/>
      <c r="Z83" s="383" t="n"/>
      <c r="AA83" s="383" t="n"/>
      <c r="AB83" s="383" t="n"/>
      <c r="AC83" s="383" t="n"/>
    </row>
    <row r="84" ht="15" customHeight="1" s="1883">
      <c r="P84" s="563" t="inlineStr">
        <is>
          <t>Employer Payroll Taxes</t>
        </is>
      </c>
      <c r="Q84" s="560" t="n"/>
      <c r="R84" s="580" t="n">
        <v>0.09</v>
      </c>
      <c r="S84" s="639">
        <f>((S70)*($R$84))</f>
        <v/>
      </c>
      <c r="T84" s="639">
        <f>((T70)*($R$84))</f>
        <v/>
      </c>
      <c r="U84" s="639">
        <f>((U70)*($R$84))</f>
        <v/>
      </c>
      <c r="V84" s="639">
        <f>((V70)*($R$84))</f>
        <v/>
      </c>
      <c r="W84" s="639">
        <f>((W70)*($R$84))</f>
        <v/>
      </c>
      <c r="X84" s="639">
        <f>((X70)*($R$84))</f>
        <v/>
      </c>
      <c r="Y84" s="639">
        <f>((Y70)*($R$84))</f>
        <v/>
      </c>
      <c r="Z84" s="639">
        <f>((Z70)*($R$84))</f>
        <v/>
      </c>
      <c r="AA84" s="639">
        <f>((AA70)*($R$84))</f>
        <v/>
      </c>
      <c r="AB84" s="383" t="n"/>
      <c r="AC84" s="383" t="n"/>
    </row>
    <row r="85" ht="15" customHeight="1" s="1883">
      <c r="P85" s="383" t="n"/>
      <c r="Q85" s="462" t="n"/>
      <c r="R85" s="383" t="n"/>
      <c r="S85" s="383" t="n"/>
      <c r="T85" s="383" t="n"/>
      <c r="U85" s="383" t="n"/>
      <c r="V85" s="383" t="n"/>
      <c r="W85" s="383" t="n"/>
      <c r="X85" s="383" t="n"/>
      <c r="Y85" s="383" t="n"/>
      <c r="Z85" s="383" t="n"/>
      <c r="AA85" s="383" t="n"/>
      <c r="AB85" s="383" t="n"/>
      <c r="AC85" s="383" t="n"/>
    </row>
    <row r="86" ht="15" customHeight="1" s="1883">
      <c r="P86" s="383" t="n"/>
      <c r="Q86" s="462" t="inlineStr">
        <is>
          <t>TOTAL</t>
        </is>
      </c>
      <c r="R86" s="383" t="n"/>
      <c r="S86" s="462">
        <f>S70+S82+S84</f>
        <v/>
      </c>
      <c r="T86" s="462">
        <f>T70+T82+T84</f>
        <v/>
      </c>
      <c r="U86" s="462">
        <f>U70+U82+U84</f>
        <v/>
      </c>
      <c r="V86" s="462">
        <f>V70+V82+V84</f>
        <v/>
      </c>
      <c r="W86" s="462">
        <f>W70+W82+W84</f>
        <v/>
      </c>
      <c r="X86" s="462">
        <f>X70+X82+X84</f>
        <v/>
      </c>
      <c r="Y86" s="462">
        <f>Y70+Y82+Y84</f>
        <v/>
      </c>
      <c r="Z86" s="462">
        <f>Z70+Z82+Z84</f>
        <v/>
      </c>
      <c r="AA86" s="462">
        <f>AA70+AA82+AA84</f>
        <v/>
      </c>
      <c r="AB86" s="462">
        <f>SUM(S86:AA86)</f>
        <v/>
      </c>
      <c r="AC86" s="462">
        <f>SUM(S86:AA86)</f>
        <v/>
      </c>
    </row>
  </sheetData>
  <mergeCells count="4">
    <mergeCell ref="G6:O6"/>
    <mergeCell ref="G74:O74"/>
    <mergeCell ref="S74:AA74"/>
    <mergeCell ref="S6:AC6"/>
  </mergeCells>
  <pageMargins left="0.7" right="0.7" top="0.75" bottom="0.75" header="0.3" footer="0.3"/>
  <pageSetup orientation="portrait" horizontalDpi="0" verticalDpi="0"/>
  <legacyDrawing xmlns:r="http://schemas.openxmlformats.org/officeDocument/2006/relationships" r:id="anysvml"/>
</worksheet>
</file>

<file path=xl/worksheets/sheet38.xml><?xml version="1.0" encoding="utf-8"?>
<worksheet xmlns="http://schemas.openxmlformats.org/spreadsheetml/2006/main">
  <sheetPr>
    <tabColor rgb="FF66FFCC"/>
    <outlinePr summaryBelow="1" summaryRight="1"/>
    <pageSetUpPr/>
  </sheetPr>
  <dimension ref="A10:GY111"/>
  <sheetViews>
    <sheetView topLeftCell="A27" zoomScaleNormal="100" workbookViewId="0">
      <selection activeCell="E28" sqref="E28"/>
    </sheetView>
  </sheetViews>
  <sheetFormatPr baseColWidth="10" defaultColWidth="8.6640625" defaultRowHeight="13"/>
  <cols>
    <col width="2.6640625" customWidth="1" style="1883" min="1" max="1"/>
    <col width="4.5" customWidth="1" style="1883" min="2" max="2"/>
    <col width="0.6640625" customWidth="1" style="1883" min="3" max="3"/>
    <col width="2.6640625" customWidth="1" style="1883" min="4" max="7"/>
    <col width="49.6640625" customWidth="1" style="1883" min="8" max="8"/>
    <col width="2.6640625" customWidth="1" style="1883" min="9" max="9"/>
    <col width="15.6640625" customWidth="1" style="1883" min="10" max="14"/>
    <col width="2.6640625" customWidth="1" style="1883" min="15" max="15"/>
    <col width="12.6640625" customWidth="1" style="1883" min="16" max="75"/>
    <col width="2.6640625" customWidth="1" style="1883" min="76" max="76"/>
  </cols>
  <sheetData>
    <row r="10" ht="15" customHeight="1" s="1883">
      <c r="A10" s="383" t="n"/>
      <c r="B10" s="535" t="inlineStr">
        <is>
          <t>I.</t>
        </is>
      </c>
      <c r="C10" s="383" t="n"/>
      <c r="D10" s="385" t="inlineStr">
        <is>
          <t>Management</t>
        </is>
      </c>
      <c r="E10" s="383" t="n"/>
      <c r="F10" s="383" t="n"/>
      <c r="G10" s="383" t="n"/>
      <c r="H10" s="383" t="n"/>
      <c r="I10" s="383" t="n"/>
      <c r="J10" s="1882" t="inlineStr">
        <is>
          <t>Annual Salary, Per Position, By Year, Years 1 - 5, Post-Launch</t>
        </is>
      </c>
      <c r="O10" s="383" t="n"/>
      <c r="P10" s="1882" t="inlineStr">
        <is>
          <t>Number of Positions, By Month, Months 1 - 60, Post-Launch</t>
        </is>
      </c>
      <c r="BX10" s="383" t="n"/>
      <c r="BY10" s="383" t="n"/>
      <c r="BZ10" s="383" t="n"/>
      <c r="CA10" s="383" t="n"/>
      <c r="CB10" s="383" t="n"/>
      <c r="CC10" s="383" t="n"/>
      <c r="CD10" s="383" t="n"/>
      <c r="CE10" s="383" t="n"/>
      <c r="CF10" s="383" t="n"/>
      <c r="CG10" s="383" t="n"/>
      <c r="CH10" s="383" t="n"/>
      <c r="CI10" s="383" t="n"/>
      <c r="CJ10" s="383" t="n"/>
      <c r="CK10" s="383" t="n"/>
      <c r="CL10" s="383" t="n"/>
      <c r="CM10" s="383" t="n"/>
      <c r="CN10" s="383" t="n"/>
      <c r="CO10" s="383" t="n"/>
      <c r="CP10" s="383" t="n"/>
      <c r="CQ10" s="383" t="n"/>
      <c r="CR10" s="383" t="n"/>
      <c r="CS10" s="383" t="n"/>
      <c r="CT10" s="383" t="n"/>
      <c r="CU10" s="383" t="n"/>
      <c r="CV10" s="383" t="n"/>
      <c r="CW10" s="383" t="n"/>
      <c r="CX10" s="383" t="n"/>
      <c r="CY10" s="383" t="n"/>
      <c r="CZ10" s="383" t="n"/>
      <c r="DA10" s="383" t="n"/>
      <c r="DB10" s="383" t="n"/>
      <c r="DC10" s="383" t="n"/>
      <c r="DD10" s="383" t="n"/>
      <c r="DE10" s="383" t="n"/>
      <c r="DF10" s="383" t="n"/>
      <c r="DG10" s="383" t="n"/>
      <c r="DH10" s="383" t="n"/>
      <c r="DI10" s="383" t="n"/>
      <c r="DJ10" s="383" t="n"/>
      <c r="DK10" s="383" t="n"/>
      <c r="DL10" s="383" t="n"/>
      <c r="DM10" s="383" t="n"/>
      <c r="DN10" s="383" t="n"/>
      <c r="DO10" s="383" t="n"/>
      <c r="DP10" s="383" t="n"/>
      <c r="DQ10" s="383" t="n"/>
      <c r="DR10" s="383" t="n"/>
      <c r="DS10" s="383" t="n"/>
      <c r="DT10" s="383" t="n"/>
      <c r="DU10" s="383" t="n"/>
      <c r="DV10" s="383" t="n"/>
      <c r="DW10" s="383" t="n"/>
      <c r="DX10" s="383" t="n"/>
      <c r="DY10" s="383" t="n"/>
      <c r="DZ10" s="383" t="n"/>
      <c r="EA10" s="383" t="n"/>
      <c r="EB10" s="383" t="n"/>
      <c r="EC10" s="383" t="n"/>
      <c r="ED10" s="383" t="n"/>
      <c r="EE10" s="383" t="n"/>
      <c r="EF10" s="383" t="n"/>
      <c r="EG10" s="383" t="n"/>
      <c r="EH10" s="383" t="n"/>
      <c r="EI10" s="383" t="n"/>
      <c r="EJ10" s="383" t="n"/>
      <c r="EK10" s="383" t="n"/>
      <c r="EL10" s="383" t="n"/>
      <c r="EM10" s="383" t="n"/>
      <c r="EN10" s="383" t="n"/>
      <c r="EO10" s="383" t="n"/>
      <c r="EP10" s="383" t="n"/>
      <c r="EQ10" s="383" t="n"/>
      <c r="ER10" s="383" t="n"/>
      <c r="ES10" s="383" t="n"/>
      <c r="ET10" s="383" t="n"/>
      <c r="EU10" s="383" t="n"/>
      <c r="EV10" s="383" t="n"/>
      <c r="EW10" s="383" t="n"/>
      <c r="EX10" s="383" t="n"/>
      <c r="EY10" s="383" t="n"/>
      <c r="EZ10" s="383" t="n"/>
      <c r="FA10" s="383" t="n"/>
      <c r="FB10" s="383" t="n"/>
      <c r="FC10" s="383" t="n"/>
      <c r="FD10" s="383" t="n"/>
      <c r="FE10" s="383" t="n"/>
      <c r="FF10" s="383" t="n"/>
      <c r="FG10" s="383" t="n"/>
      <c r="FH10" s="383" t="n"/>
      <c r="FI10" s="383" t="n"/>
      <c r="FJ10" s="383" t="n"/>
      <c r="FK10" s="383" t="n"/>
      <c r="FL10" s="383" t="n"/>
      <c r="FM10" s="383" t="n"/>
      <c r="FN10" s="383" t="n"/>
      <c r="FO10" s="383" t="n"/>
      <c r="FP10" s="383" t="n"/>
      <c r="FQ10" s="383" t="n"/>
      <c r="FR10" s="383" t="n"/>
      <c r="FS10" s="383" t="n"/>
      <c r="FT10" s="383" t="n"/>
      <c r="FU10" s="383" t="n"/>
      <c r="FV10" s="383" t="n"/>
      <c r="FW10" s="383" t="n"/>
      <c r="FX10" s="383" t="n"/>
      <c r="FY10" s="383" t="n"/>
      <c r="FZ10" s="383" t="n"/>
      <c r="GA10" s="383" t="n"/>
      <c r="GB10" s="383" t="n"/>
      <c r="GC10" s="383" t="n"/>
      <c r="GD10" s="383" t="n"/>
      <c r="GE10" s="383" t="n"/>
      <c r="GF10" s="383" t="n"/>
      <c r="GG10" s="383" t="n"/>
      <c r="GH10" s="383" t="n"/>
      <c r="GI10" s="383" t="n"/>
      <c r="GJ10" s="383" t="n"/>
      <c r="GK10" s="383" t="n"/>
      <c r="GL10" s="383" t="n"/>
      <c r="GM10" s="383" t="n"/>
      <c r="GN10" s="383" t="n"/>
      <c r="GO10" s="383" t="n"/>
      <c r="GP10" s="383" t="n"/>
      <c r="GQ10" s="383" t="n"/>
      <c r="GR10" s="383" t="n"/>
      <c r="GS10" s="383" t="n"/>
      <c r="GT10" s="383" t="n"/>
      <c r="GU10" s="383" t="n"/>
      <c r="GV10" s="383" t="n"/>
      <c r="GW10" s="383" t="n"/>
      <c r="GX10" s="383" t="n"/>
      <c r="GY10" s="383" t="n"/>
    </row>
    <row r="11" ht="3" customHeight="1" s="1883">
      <c r="A11" s="383" t="n"/>
      <c r="B11" s="383" t="n"/>
      <c r="C11" s="383" t="n"/>
      <c r="D11" s="387" t="n"/>
      <c r="E11" s="387" t="n"/>
      <c r="F11" s="387" t="n"/>
      <c r="G11" s="387" t="n"/>
      <c r="H11" s="387" t="n"/>
      <c r="I11" s="383" t="n"/>
      <c r="J11" s="387" t="n"/>
      <c r="K11" s="387" t="n"/>
      <c r="L11" s="387" t="n"/>
      <c r="M11" s="387" t="n"/>
      <c r="N11" s="387" t="n"/>
      <c r="O11" s="383" t="n"/>
      <c r="P11" s="387" t="n"/>
      <c r="Q11" s="387" t="n"/>
      <c r="R11" s="387" t="n"/>
      <c r="S11" s="387" t="n"/>
      <c r="T11" s="387" t="n"/>
      <c r="U11" s="387" t="n"/>
      <c r="V11" s="387" t="n"/>
      <c r="W11" s="387" t="n"/>
      <c r="X11" s="387" t="n"/>
      <c r="Y11" s="387" t="n"/>
      <c r="Z11" s="387" t="n"/>
      <c r="AA11" s="387" t="n"/>
      <c r="AB11" s="387" t="n"/>
      <c r="AC11" s="387" t="n"/>
      <c r="AD11" s="387" t="n"/>
      <c r="AE11" s="387" t="n"/>
      <c r="AF11" s="387" t="n"/>
      <c r="AG11" s="387" t="n"/>
      <c r="AH11" s="387" t="n"/>
      <c r="AI11" s="387" t="n"/>
      <c r="AJ11" s="387" t="n"/>
      <c r="AK11" s="387" t="n"/>
      <c r="AL11" s="387" t="n"/>
      <c r="AM11" s="387" t="n"/>
      <c r="AN11" s="387" t="n"/>
      <c r="AO11" s="387" t="n"/>
      <c r="AP11" s="387" t="n"/>
      <c r="AQ11" s="387" t="n"/>
      <c r="AR11" s="387" t="n"/>
      <c r="AS11" s="387" t="n"/>
      <c r="AT11" s="387" t="n"/>
      <c r="AU11" s="387" t="n"/>
      <c r="AV11" s="387" t="n"/>
      <c r="AW11" s="387" t="n"/>
      <c r="AX11" s="387" t="n"/>
      <c r="AY11" s="387" t="n"/>
      <c r="AZ11" s="387" t="n"/>
      <c r="BA11" s="387" t="n"/>
      <c r="BB11" s="387" t="n"/>
      <c r="BC11" s="387" t="n"/>
      <c r="BD11" s="387" t="n"/>
      <c r="BE11" s="387" t="n"/>
      <c r="BF11" s="387" t="n"/>
      <c r="BG11" s="387" t="n"/>
      <c r="BH11" s="387" t="n"/>
      <c r="BI11" s="387" t="n"/>
      <c r="BJ11" s="387" t="n"/>
      <c r="BK11" s="387" t="n"/>
      <c r="BL11" s="387" t="n"/>
      <c r="BM11" s="387" t="n"/>
      <c r="BN11" s="387" t="n"/>
      <c r="BO11" s="387" t="n"/>
      <c r="BP11" s="387" t="n"/>
      <c r="BQ11" s="387" t="n"/>
      <c r="BR11" s="387" t="n"/>
      <c r="BS11" s="387" t="n"/>
      <c r="BT11" s="387" t="n"/>
      <c r="BU11" s="387" t="n"/>
      <c r="BV11" s="387" t="n"/>
      <c r="BW11" s="387" t="n"/>
      <c r="BX11" s="383" t="n"/>
      <c r="BY11" s="383" t="n"/>
      <c r="BZ11" s="383" t="n"/>
      <c r="CA11" s="383" t="n"/>
      <c r="CB11" s="383" t="n"/>
      <c r="CC11" s="383" t="n"/>
      <c r="CD11" s="383" t="n"/>
      <c r="CE11" s="383" t="n"/>
      <c r="CF11" s="383" t="n"/>
      <c r="CG11" s="383" t="n"/>
      <c r="CH11" s="383" t="n"/>
      <c r="CI11" s="383" t="n"/>
      <c r="CJ11" s="383" t="n"/>
      <c r="CK11" s="383" t="n"/>
      <c r="CL11" s="383" t="n"/>
      <c r="CM11" s="383" t="n"/>
      <c r="CN11" s="383" t="n"/>
      <c r="CO11" s="383" t="n"/>
      <c r="CP11" s="383" t="n"/>
      <c r="CQ11" s="383" t="n"/>
      <c r="CR11" s="383" t="n"/>
      <c r="CS11" s="383" t="n"/>
      <c r="CT11" s="383" t="n"/>
      <c r="CU11" s="383" t="n"/>
      <c r="CV11" s="383" t="n"/>
      <c r="CW11" s="383" t="n"/>
      <c r="CX11" s="383" t="n"/>
      <c r="CY11" s="383" t="n"/>
      <c r="CZ11" s="383" t="n"/>
      <c r="DA11" s="383" t="n"/>
      <c r="DB11" s="383" t="n"/>
      <c r="DC11" s="383" t="n"/>
      <c r="DD11" s="383" t="n"/>
      <c r="DE11" s="383" t="n"/>
      <c r="DF11" s="383" t="n"/>
      <c r="DG11" s="383" t="n"/>
      <c r="DH11" s="383" t="n"/>
      <c r="DI11" s="383" t="n"/>
      <c r="DJ11" s="383" t="n"/>
      <c r="DK11" s="383" t="n"/>
      <c r="DL11" s="383" t="n"/>
      <c r="DM11" s="383" t="n"/>
      <c r="DN11" s="383" t="n"/>
      <c r="DO11" s="383" t="n"/>
      <c r="DP11" s="383" t="n"/>
      <c r="DQ11" s="383" t="n"/>
      <c r="DR11" s="383" t="n"/>
      <c r="DS11" s="383" t="n"/>
      <c r="DT11" s="383" t="n"/>
      <c r="DU11" s="383" t="n"/>
      <c r="DV11" s="383" t="n"/>
      <c r="DW11" s="383" t="n"/>
      <c r="DX11" s="383" t="n"/>
      <c r="DY11" s="383" t="n"/>
      <c r="DZ11" s="383" t="n"/>
      <c r="EA11" s="383" t="n"/>
      <c r="EB11" s="383" t="n"/>
      <c r="EC11" s="383" t="n"/>
      <c r="ED11" s="383" t="n"/>
      <c r="EE11" s="383" t="n"/>
      <c r="EF11" s="383" t="n"/>
      <c r="EG11" s="383" t="n"/>
      <c r="EH11" s="383" t="n"/>
      <c r="EI11" s="383" t="n"/>
      <c r="EJ11" s="383" t="n"/>
      <c r="EK11" s="383" t="n"/>
      <c r="EL11" s="383" t="n"/>
      <c r="EM11" s="383" t="n"/>
      <c r="EN11" s="383" t="n"/>
      <c r="EO11" s="383" t="n"/>
      <c r="EP11" s="383" t="n"/>
      <c r="EQ11" s="383" t="n"/>
      <c r="ER11" s="383" t="n"/>
      <c r="ES11" s="383" t="n"/>
      <c r="ET11" s="383" t="n"/>
      <c r="EU11" s="383" t="n"/>
      <c r="EV11" s="383" t="n"/>
      <c r="EW11" s="383" t="n"/>
      <c r="EX11" s="383" t="n"/>
      <c r="EY11" s="383" t="n"/>
      <c r="EZ11" s="383" t="n"/>
      <c r="FA11" s="383" t="n"/>
      <c r="FB11" s="383" t="n"/>
      <c r="FC11" s="383" t="n"/>
      <c r="FD11" s="383" t="n"/>
      <c r="FE11" s="383" t="n"/>
      <c r="FF11" s="383" t="n"/>
      <c r="FG11" s="383" t="n"/>
      <c r="FH11" s="383" t="n"/>
      <c r="FI11" s="383" t="n"/>
      <c r="FJ11" s="383" t="n"/>
      <c r="FK11" s="383" t="n"/>
      <c r="FL11" s="383" t="n"/>
      <c r="FM11" s="383" t="n"/>
      <c r="FN11" s="383" t="n"/>
      <c r="FO11" s="383" t="n"/>
      <c r="FP11" s="383" t="n"/>
      <c r="FQ11" s="383" t="n"/>
      <c r="FR11" s="383" t="n"/>
      <c r="FS11" s="383" t="n"/>
      <c r="FT11" s="383" t="n"/>
      <c r="FU11" s="383" t="n"/>
      <c r="FV11" s="383" t="n"/>
      <c r="FW11" s="383" t="n"/>
      <c r="FX11" s="383" t="n"/>
      <c r="FY11" s="383" t="n"/>
      <c r="FZ11" s="383" t="n"/>
      <c r="GA11" s="383" t="n"/>
      <c r="GB11" s="383" t="n"/>
      <c r="GC11" s="383" t="n"/>
      <c r="GD11" s="383" t="n"/>
      <c r="GE11" s="383" t="n"/>
      <c r="GF11" s="383" t="n"/>
      <c r="GG11" s="383" t="n"/>
      <c r="GH11" s="383" t="n"/>
      <c r="GI11" s="383" t="n"/>
      <c r="GJ11" s="383" t="n"/>
      <c r="GK11" s="383" t="n"/>
      <c r="GL11" s="383" t="n"/>
      <c r="GM11" s="383" t="n"/>
      <c r="GN11" s="383" t="n"/>
      <c r="GO11" s="383" t="n"/>
      <c r="GP11" s="383" t="n"/>
      <c r="GQ11" s="383" t="n"/>
      <c r="GR11" s="383" t="n"/>
      <c r="GS11" s="383" t="n"/>
      <c r="GT11" s="383" t="n"/>
      <c r="GU11" s="383" t="n"/>
      <c r="GV11" s="383" t="n"/>
      <c r="GW11" s="383" t="n"/>
      <c r="GX11" s="383" t="n"/>
      <c r="GY11" s="383" t="n"/>
    </row>
    <row r="12" ht="3" customHeight="1" s="1883">
      <c r="A12" s="383" t="n"/>
      <c r="B12" s="383" t="n"/>
      <c r="C12" s="383" t="n"/>
      <c r="D12" s="383" t="n"/>
      <c r="E12" s="383" t="n"/>
      <c r="F12" s="383" t="n"/>
      <c r="G12" s="383" t="n"/>
      <c r="H12" s="383" t="n"/>
      <c r="I12" s="383" t="n"/>
      <c r="J12" s="383" t="n"/>
      <c r="K12" s="383" t="n"/>
      <c r="L12" s="383" t="n"/>
      <c r="M12" s="383" t="n"/>
      <c r="N12" s="383" t="n"/>
      <c r="O12" s="383" t="n"/>
      <c r="P12" s="383" t="n"/>
      <c r="Q12" s="383" t="n"/>
      <c r="R12" s="383" t="n"/>
      <c r="S12" s="383" t="n"/>
      <c r="T12" s="383" t="n"/>
      <c r="U12" s="383" t="n"/>
      <c r="V12" s="383" t="n"/>
      <c r="W12" s="383" t="n"/>
      <c r="X12" s="383" t="n"/>
      <c r="Y12" s="383" t="n"/>
      <c r="Z12" s="383" t="n"/>
      <c r="AA12" s="383" t="n"/>
      <c r="AB12" s="383" t="n"/>
      <c r="AC12" s="383" t="n"/>
      <c r="AD12" s="383" t="n"/>
      <c r="AE12" s="383" t="n"/>
      <c r="AF12" s="383" t="n"/>
      <c r="AG12" s="383" t="n"/>
      <c r="AH12" s="383" t="n"/>
      <c r="AI12" s="383" t="n"/>
      <c r="AJ12" s="383" t="n"/>
      <c r="AK12" s="383" t="n"/>
      <c r="AL12" s="383" t="n"/>
      <c r="AM12" s="383" t="n"/>
      <c r="AN12" s="383" t="n"/>
      <c r="AO12" s="383" t="n"/>
      <c r="AP12" s="383" t="n"/>
      <c r="AQ12" s="383" t="n"/>
      <c r="AR12" s="383" t="n"/>
      <c r="AS12" s="383" t="n"/>
      <c r="AT12" s="383" t="n"/>
      <c r="AU12" s="383" t="n"/>
      <c r="AV12" s="383" t="n"/>
      <c r="AW12" s="383" t="n"/>
      <c r="AX12" s="383" t="n"/>
      <c r="AY12" s="383" t="n"/>
      <c r="AZ12" s="383" t="n"/>
      <c r="BA12" s="383" t="n"/>
      <c r="BB12" s="383" t="n"/>
      <c r="BC12" s="383" t="n"/>
      <c r="BD12" s="383" t="n"/>
      <c r="BE12" s="383" t="n"/>
      <c r="BF12" s="383" t="n"/>
      <c r="BG12" s="383" t="n"/>
      <c r="BH12" s="383" t="n"/>
      <c r="BI12" s="383" t="n"/>
      <c r="BJ12" s="383" t="n"/>
      <c r="BK12" s="383" t="n"/>
      <c r="BL12" s="383" t="n"/>
      <c r="BM12" s="383" t="n"/>
      <c r="BN12" s="383" t="n"/>
      <c r="BO12" s="383" t="n"/>
      <c r="BP12" s="383" t="n"/>
      <c r="BQ12" s="383" t="n"/>
      <c r="BR12" s="383" t="n"/>
      <c r="BS12" s="383" t="n"/>
      <c r="BT12" s="383" t="n"/>
      <c r="BU12" s="383" t="n"/>
      <c r="BV12" s="383" t="n"/>
      <c r="BW12" s="383" t="n"/>
      <c r="BX12" s="383" t="n"/>
      <c r="BY12" s="383" t="n"/>
      <c r="BZ12" s="383" t="n"/>
      <c r="CA12" s="383" t="n"/>
      <c r="CB12" s="383" t="n"/>
      <c r="CC12" s="383" t="n"/>
      <c r="CD12" s="383" t="n"/>
      <c r="CE12" s="383" t="n"/>
      <c r="CF12" s="383" t="n"/>
      <c r="CG12" s="383" t="n"/>
      <c r="CH12" s="383" t="n"/>
      <c r="CI12" s="383" t="n"/>
      <c r="CJ12" s="383" t="n"/>
      <c r="CK12" s="383" t="n"/>
      <c r="CL12" s="383" t="n"/>
      <c r="CM12" s="383" t="n"/>
      <c r="CN12" s="383" t="n"/>
      <c r="CO12" s="383" t="n"/>
      <c r="CP12" s="383" t="n"/>
      <c r="CQ12" s="383" t="n"/>
      <c r="CR12" s="383" t="n"/>
      <c r="CS12" s="383" t="n"/>
      <c r="CT12" s="383" t="n"/>
      <c r="CU12" s="383" t="n"/>
      <c r="CV12" s="383" t="n"/>
      <c r="CW12" s="383" t="n"/>
      <c r="CX12" s="383" t="n"/>
      <c r="CY12" s="383" t="n"/>
      <c r="CZ12" s="383" t="n"/>
      <c r="DA12" s="383" t="n"/>
      <c r="DB12" s="383" t="n"/>
      <c r="DC12" s="383" t="n"/>
      <c r="DD12" s="383" t="n"/>
      <c r="DE12" s="383" t="n"/>
      <c r="DF12" s="383" t="n"/>
      <c r="DG12" s="383" t="n"/>
      <c r="DH12" s="383" t="n"/>
      <c r="DI12" s="383" t="n"/>
      <c r="DJ12" s="383" t="n"/>
      <c r="DK12" s="383" t="n"/>
      <c r="DL12" s="383" t="n"/>
      <c r="DM12" s="383" t="n"/>
      <c r="DN12" s="383" t="n"/>
      <c r="DO12" s="383" t="n"/>
      <c r="DP12" s="383" t="n"/>
      <c r="DQ12" s="383" t="n"/>
      <c r="DR12" s="383" t="n"/>
      <c r="DS12" s="383" t="n"/>
      <c r="DT12" s="383" t="n"/>
      <c r="DU12" s="383" t="n"/>
      <c r="DV12" s="383" t="n"/>
      <c r="DW12" s="383" t="n"/>
      <c r="DX12" s="383" t="n"/>
      <c r="DY12" s="383" t="n"/>
      <c r="DZ12" s="383" t="n"/>
      <c r="EA12" s="383" t="n"/>
      <c r="EB12" s="383" t="n"/>
      <c r="EC12" s="383" t="n"/>
      <c r="ED12" s="383" t="n"/>
      <c r="EE12" s="383" t="n"/>
      <c r="EF12" s="383" t="n"/>
      <c r="EG12" s="383" t="n"/>
      <c r="EH12" s="383" t="n"/>
      <c r="EI12" s="383" t="n"/>
      <c r="EJ12" s="383" t="n"/>
      <c r="EK12" s="383" t="n"/>
      <c r="EL12" s="383" t="n"/>
      <c r="EM12" s="383" t="n"/>
      <c r="EN12" s="383" t="n"/>
      <c r="EO12" s="383" t="n"/>
      <c r="EP12" s="383" t="n"/>
      <c r="EQ12" s="383" t="n"/>
      <c r="ER12" s="383" t="n"/>
      <c r="ES12" s="383" t="n"/>
      <c r="ET12" s="383" t="n"/>
      <c r="EU12" s="383" t="n"/>
      <c r="EV12" s="383" t="n"/>
      <c r="EW12" s="383" t="n"/>
      <c r="EX12" s="383" t="n"/>
      <c r="EY12" s="383" t="n"/>
      <c r="EZ12" s="383" t="n"/>
      <c r="FA12" s="383" t="n"/>
      <c r="FB12" s="383" t="n"/>
      <c r="FC12" s="383" t="n"/>
      <c r="FD12" s="383" t="n"/>
      <c r="FE12" s="383" t="n"/>
      <c r="FF12" s="383" t="n"/>
      <c r="FG12" s="383" t="n"/>
      <c r="FH12" s="383" t="n"/>
      <c r="FI12" s="383" t="n"/>
      <c r="FJ12" s="383" t="n"/>
      <c r="FK12" s="383" t="n"/>
      <c r="FL12" s="383" t="n"/>
      <c r="FM12" s="383" t="n"/>
      <c r="FN12" s="383" t="n"/>
      <c r="FO12" s="383" t="n"/>
      <c r="FP12" s="383" t="n"/>
      <c r="FQ12" s="383" t="n"/>
      <c r="FR12" s="383" t="n"/>
      <c r="FS12" s="383" t="n"/>
      <c r="FT12" s="383" t="n"/>
      <c r="FU12" s="383" t="n"/>
      <c r="FV12" s="383" t="n"/>
      <c r="FW12" s="383" t="n"/>
      <c r="FX12" s="383" t="n"/>
      <c r="FY12" s="383" t="n"/>
      <c r="FZ12" s="383" t="n"/>
      <c r="GA12" s="383" t="n"/>
      <c r="GB12" s="383" t="n"/>
      <c r="GC12" s="383" t="n"/>
      <c r="GD12" s="383" t="n"/>
      <c r="GE12" s="383" t="n"/>
      <c r="GF12" s="383" t="n"/>
      <c r="GG12" s="383" t="n"/>
      <c r="GH12" s="383" t="n"/>
      <c r="GI12" s="383" t="n"/>
      <c r="GJ12" s="383" t="n"/>
      <c r="GK12" s="383" t="n"/>
      <c r="GL12" s="383" t="n"/>
      <c r="GM12" s="383" t="n"/>
      <c r="GN12" s="383" t="n"/>
      <c r="GO12" s="383" t="n"/>
      <c r="GP12" s="383" t="n"/>
      <c r="GQ12" s="383" t="n"/>
      <c r="GR12" s="383" t="n"/>
      <c r="GS12" s="383" t="n"/>
      <c r="GT12" s="383" t="n"/>
      <c r="GU12" s="383" t="n"/>
      <c r="GV12" s="383" t="n"/>
      <c r="GW12" s="383" t="n"/>
      <c r="GX12" s="383" t="n"/>
      <c r="GY12" s="383" t="n"/>
    </row>
    <row r="13" ht="15" customHeight="1" s="1883">
      <c r="A13" s="383" t="n"/>
      <c r="B13" s="383" t="n"/>
      <c r="C13" s="383" t="n"/>
      <c r="D13" s="383" t="n"/>
      <c r="E13" s="383" t="n"/>
      <c r="F13" s="383" t="n"/>
      <c r="G13" s="383" t="n"/>
      <c r="H13" s="383" t="n"/>
      <c r="I13" s="383" t="n"/>
      <c r="J13" s="386" t="inlineStr">
        <is>
          <t>Base Salary</t>
        </is>
      </c>
      <c r="K13" s="386" t="inlineStr">
        <is>
          <t>Base Salary</t>
        </is>
      </c>
      <c r="L13" s="386" t="inlineStr">
        <is>
          <t>Base Salary</t>
        </is>
      </c>
      <c r="M13" s="386" t="inlineStr">
        <is>
          <t>Base Salary</t>
        </is>
      </c>
      <c r="N13" s="386" t="inlineStr">
        <is>
          <t>Base Salary</t>
        </is>
      </c>
      <c r="O13" s="383" t="n"/>
      <c r="P13" s="383" t="n"/>
      <c r="Q13" s="383" t="n"/>
      <c r="R13" s="383" t="n"/>
      <c r="S13" s="383" t="n"/>
      <c r="T13" s="383" t="n"/>
      <c r="U13" s="383" t="n"/>
      <c r="V13" s="383" t="n"/>
      <c r="W13" s="383" t="n"/>
      <c r="X13" s="383" t="n"/>
      <c r="Y13" s="383" t="n"/>
      <c r="Z13" s="383" t="n"/>
      <c r="AA13" s="383" t="n"/>
      <c r="AB13" s="383" t="n"/>
      <c r="AC13" s="383" t="n"/>
      <c r="AD13" s="383" t="n"/>
      <c r="AE13" s="383" t="n"/>
      <c r="AF13" s="383" t="n"/>
      <c r="AG13" s="383" t="n"/>
      <c r="AH13" s="383" t="n"/>
      <c r="AI13" s="383" t="n"/>
      <c r="AJ13" s="383" t="n"/>
      <c r="AK13" s="383" t="n"/>
      <c r="AL13" s="383" t="n"/>
      <c r="AM13" s="383" t="n"/>
      <c r="AN13" s="383" t="n"/>
      <c r="AO13" s="383" t="n"/>
      <c r="AP13" s="383" t="n"/>
      <c r="AQ13" s="383" t="n"/>
      <c r="AR13" s="383" t="n"/>
      <c r="AS13" s="383" t="n"/>
      <c r="AT13" s="383" t="n"/>
      <c r="AU13" s="383" t="n"/>
      <c r="AV13" s="383" t="n"/>
      <c r="AW13" s="383" t="n"/>
      <c r="AX13" s="383" t="n"/>
      <c r="AY13" s="383" t="n"/>
      <c r="AZ13" s="383" t="n"/>
      <c r="BA13" s="383" t="n"/>
      <c r="BB13" s="383" t="n"/>
      <c r="BC13" s="383" t="n"/>
      <c r="BD13" s="383" t="n"/>
      <c r="BE13" s="383" t="n"/>
      <c r="BF13" s="383" t="n"/>
      <c r="BG13" s="383" t="n"/>
      <c r="BH13" s="383" t="n"/>
      <c r="BI13" s="383" t="n"/>
      <c r="BJ13" s="383" t="n"/>
      <c r="BK13" s="383" t="n"/>
      <c r="BL13" s="383" t="n"/>
      <c r="BM13" s="383" t="n"/>
      <c r="BN13" s="383" t="n"/>
      <c r="BO13" s="383" t="n"/>
      <c r="BP13" s="383" t="n"/>
      <c r="BQ13" s="383" t="n"/>
      <c r="BR13" s="383" t="n"/>
      <c r="BS13" s="383" t="n"/>
      <c r="BT13" s="383" t="n"/>
      <c r="BU13" s="383" t="n"/>
      <c r="BV13" s="383" t="n"/>
      <c r="BW13" s="383" t="n"/>
      <c r="BX13" s="383" t="n"/>
      <c r="BY13" s="383" t="n"/>
      <c r="BZ13" s="383" t="n"/>
      <c r="CA13" s="383" t="n"/>
      <c r="CB13" s="383" t="n"/>
      <c r="CC13" s="383" t="n"/>
      <c r="CD13" s="383" t="n"/>
      <c r="CE13" s="383" t="n"/>
      <c r="CF13" s="383" t="n"/>
      <c r="CG13" s="383" t="n"/>
      <c r="CH13" s="383" t="n"/>
      <c r="CI13" s="383" t="n"/>
      <c r="CJ13" s="383" t="n"/>
      <c r="CK13" s="383" t="n"/>
      <c r="CL13" s="383" t="n"/>
      <c r="CM13" s="383" t="n"/>
      <c r="CN13" s="383" t="n"/>
      <c r="CO13" s="383" t="n"/>
      <c r="CP13" s="383" t="n"/>
      <c r="CQ13" s="383" t="n"/>
      <c r="CR13" s="383" t="n"/>
      <c r="CS13" s="383" t="n"/>
      <c r="CT13" s="383" t="n"/>
      <c r="CU13" s="383" t="n"/>
      <c r="CV13" s="383" t="n"/>
      <c r="CW13" s="383" t="n"/>
      <c r="CX13" s="383" t="n"/>
      <c r="CY13" s="383" t="n"/>
      <c r="CZ13" s="383" t="n"/>
      <c r="DA13" s="383" t="n"/>
      <c r="DB13" s="383" t="n"/>
      <c r="DC13" s="383" t="n"/>
      <c r="DD13" s="383" t="n"/>
      <c r="DE13" s="383" t="n"/>
      <c r="DF13" s="383" t="n"/>
      <c r="DG13" s="383" t="n"/>
      <c r="DH13" s="383" t="n"/>
      <c r="DI13" s="383" t="n"/>
      <c r="DJ13" s="383" t="n"/>
      <c r="DK13" s="383" t="n"/>
      <c r="DL13" s="383" t="n"/>
      <c r="DM13" s="383" t="n"/>
      <c r="DN13" s="383" t="n"/>
      <c r="DO13" s="383" t="n"/>
      <c r="DP13" s="383" t="n"/>
      <c r="DQ13" s="383" t="n"/>
      <c r="DR13" s="383" t="n"/>
      <c r="DS13" s="383" t="n"/>
      <c r="DT13" s="383" t="n"/>
      <c r="DU13" s="383" t="n"/>
      <c r="DV13" s="383" t="n"/>
      <c r="DW13" s="383" t="n"/>
      <c r="DX13" s="383" t="n"/>
      <c r="DY13" s="383" t="n"/>
      <c r="DZ13" s="383" t="n"/>
      <c r="EA13" s="383" t="n"/>
      <c r="EB13" s="383" t="n"/>
      <c r="EC13" s="383" t="n"/>
      <c r="ED13" s="383" t="n"/>
      <c r="EE13" s="383" t="n"/>
      <c r="EF13" s="383" t="n"/>
      <c r="EG13" s="383" t="n"/>
      <c r="EH13" s="383" t="n"/>
      <c r="EI13" s="383" t="n"/>
      <c r="EJ13" s="383" t="n"/>
      <c r="EK13" s="383" t="n"/>
      <c r="EL13" s="383" t="n"/>
      <c r="EM13" s="383" t="n"/>
      <c r="EN13" s="383" t="n"/>
      <c r="EO13" s="383" t="n"/>
      <c r="EP13" s="383" t="n"/>
      <c r="EQ13" s="383" t="n"/>
      <c r="ER13" s="383" t="n"/>
      <c r="ES13" s="383" t="n"/>
      <c r="ET13" s="383" t="n"/>
      <c r="EU13" s="383" t="n"/>
      <c r="EV13" s="383" t="n"/>
      <c r="EW13" s="383" t="n"/>
      <c r="EX13" s="383" t="n"/>
      <c r="EY13" s="383" t="n"/>
      <c r="EZ13" s="383" t="n"/>
      <c r="FA13" s="383" t="n"/>
      <c r="FB13" s="383" t="n"/>
      <c r="FC13" s="383" t="n"/>
      <c r="FD13" s="383" t="n"/>
      <c r="FE13" s="383" t="n"/>
      <c r="FF13" s="383" t="n"/>
      <c r="FG13" s="383" t="n"/>
      <c r="FH13" s="383" t="n"/>
      <c r="FI13" s="383" t="n"/>
      <c r="FJ13" s="383" t="n"/>
      <c r="FK13" s="383" t="n"/>
      <c r="FL13" s="383" t="n"/>
      <c r="FM13" s="383" t="n"/>
      <c r="FN13" s="383" t="n"/>
      <c r="FO13" s="383" t="n"/>
      <c r="FP13" s="383" t="n"/>
      <c r="FQ13" s="383" t="n"/>
      <c r="FR13" s="383" t="n"/>
      <c r="FS13" s="383" t="n"/>
      <c r="FT13" s="383" t="n"/>
      <c r="FU13" s="383" t="n"/>
      <c r="FV13" s="383" t="n"/>
      <c r="FW13" s="383" t="n"/>
      <c r="FX13" s="383" t="n"/>
      <c r="FY13" s="383" t="n"/>
      <c r="FZ13" s="383" t="n"/>
      <c r="GA13" s="383" t="n"/>
      <c r="GB13" s="383" t="n"/>
      <c r="GC13" s="383" t="n"/>
      <c r="GD13" s="383" t="n"/>
      <c r="GE13" s="383" t="n"/>
      <c r="GF13" s="383" t="n"/>
      <c r="GG13" s="383" t="n"/>
      <c r="GH13" s="383" t="n"/>
      <c r="GI13" s="383" t="n"/>
      <c r="GJ13" s="383" t="n"/>
      <c r="GK13" s="383" t="n"/>
      <c r="GL13" s="383" t="n"/>
      <c r="GM13" s="383" t="n"/>
      <c r="GN13" s="383" t="n"/>
      <c r="GO13" s="383" t="n"/>
      <c r="GP13" s="383" t="n"/>
      <c r="GQ13" s="383" t="n"/>
      <c r="GR13" s="383" t="n"/>
      <c r="GS13" s="383" t="n"/>
      <c r="GT13" s="383" t="n"/>
      <c r="GU13" s="383" t="n"/>
      <c r="GV13" s="383" t="n"/>
      <c r="GW13" s="383" t="n"/>
      <c r="GX13" s="383" t="n"/>
      <c r="GY13" s="383" t="n"/>
    </row>
    <row r="14" ht="15" customHeight="1" s="1883">
      <c r="A14" s="383" t="n"/>
      <c r="B14" s="383" t="n"/>
      <c r="C14" s="383" t="n"/>
      <c r="D14" s="385" t="inlineStr">
        <is>
          <t>Employee Name and Position</t>
        </is>
      </c>
      <c r="E14" s="383" t="n"/>
      <c r="F14" s="383" t="n"/>
      <c r="G14" s="383" t="n"/>
      <c r="H14" s="383" t="n"/>
      <c r="I14" s="383" t="n"/>
      <c r="J14" s="386" t="inlineStr">
        <is>
          <t>Year 1</t>
        </is>
      </c>
      <c r="K14" s="386" t="inlineStr">
        <is>
          <t>Year 2</t>
        </is>
      </c>
      <c r="L14" s="386" t="inlineStr">
        <is>
          <t>Year 3</t>
        </is>
      </c>
      <c r="M14" s="386" t="inlineStr">
        <is>
          <t>Year 4</t>
        </is>
      </c>
      <c r="N14" s="386" t="inlineStr">
        <is>
          <t>Year 5</t>
        </is>
      </c>
      <c r="O14" s="383" t="n"/>
      <c r="P14" s="386" t="inlineStr">
        <is>
          <t>Month +1</t>
        </is>
      </c>
      <c r="Q14" s="386" t="inlineStr">
        <is>
          <t>Month +2</t>
        </is>
      </c>
      <c r="R14" s="386" t="inlineStr">
        <is>
          <t>Month +3</t>
        </is>
      </c>
      <c r="S14" s="386" t="inlineStr">
        <is>
          <t>Month +4</t>
        </is>
      </c>
      <c r="T14" s="386" t="inlineStr">
        <is>
          <t>Month +5</t>
        </is>
      </c>
      <c r="U14" s="386" t="inlineStr">
        <is>
          <t>Month +6</t>
        </is>
      </c>
      <c r="V14" s="386" t="inlineStr">
        <is>
          <t>Month +7</t>
        </is>
      </c>
      <c r="W14" s="386" t="inlineStr">
        <is>
          <t>Month +8</t>
        </is>
      </c>
      <c r="X14" s="386" t="inlineStr">
        <is>
          <t>Month +9</t>
        </is>
      </c>
      <c r="Y14" s="386" t="inlineStr">
        <is>
          <t>Month +10</t>
        </is>
      </c>
      <c r="Z14" s="386" t="inlineStr">
        <is>
          <t>Month +11</t>
        </is>
      </c>
      <c r="AA14" s="386" t="inlineStr">
        <is>
          <t>Month +12</t>
        </is>
      </c>
      <c r="AB14" s="433" t="inlineStr">
        <is>
          <t>Month +13</t>
        </is>
      </c>
      <c r="AC14" s="386" t="inlineStr">
        <is>
          <t>Month +14</t>
        </is>
      </c>
      <c r="AD14" s="386" t="inlineStr">
        <is>
          <t>Month +15</t>
        </is>
      </c>
      <c r="AE14" s="386" t="inlineStr">
        <is>
          <t>Month +16</t>
        </is>
      </c>
      <c r="AF14" s="386" t="inlineStr">
        <is>
          <t>Month +17</t>
        </is>
      </c>
      <c r="AG14" s="386" t="inlineStr">
        <is>
          <t>Month +18</t>
        </is>
      </c>
      <c r="AH14" s="386" t="inlineStr">
        <is>
          <t>Month +19</t>
        </is>
      </c>
      <c r="AI14" s="386" t="inlineStr">
        <is>
          <t>Month +20</t>
        </is>
      </c>
      <c r="AJ14" s="386" t="inlineStr">
        <is>
          <t>Month +21</t>
        </is>
      </c>
      <c r="AK14" s="386" t="inlineStr">
        <is>
          <t>Month +22</t>
        </is>
      </c>
      <c r="AL14" s="386" t="inlineStr">
        <is>
          <t>Month +23</t>
        </is>
      </c>
      <c r="AM14" s="386" t="inlineStr">
        <is>
          <t>Month +24</t>
        </is>
      </c>
      <c r="AN14" s="433" t="inlineStr">
        <is>
          <t>Month +25</t>
        </is>
      </c>
      <c r="AO14" s="386" t="inlineStr">
        <is>
          <t>Month +26</t>
        </is>
      </c>
      <c r="AP14" s="386" t="inlineStr">
        <is>
          <t>Month +27</t>
        </is>
      </c>
      <c r="AQ14" s="386" t="inlineStr">
        <is>
          <t>Month +28</t>
        </is>
      </c>
      <c r="AR14" s="386" t="inlineStr">
        <is>
          <t>Month +29</t>
        </is>
      </c>
      <c r="AS14" s="386" t="inlineStr">
        <is>
          <t>Month +30</t>
        </is>
      </c>
      <c r="AT14" s="386" t="inlineStr">
        <is>
          <t>Month +31</t>
        </is>
      </c>
      <c r="AU14" s="386" t="inlineStr">
        <is>
          <t>Month +32</t>
        </is>
      </c>
      <c r="AV14" s="386" t="inlineStr">
        <is>
          <t>Month +33</t>
        </is>
      </c>
      <c r="AW14" s="386" t="inlineStr">
        <is>
          <t>Month +34</t>
        </is>
      </c>
      <c r="AX14" s="386" t="inlineStr">
        <is>
          <t>Month +35</t>
        </is>
      </c>
      <c r="AY14" s="1882" t="inlineStr">
        <is>
          <t>Month +36</t>
        </is>
      </c>
      <c r="AZ14" s="433" t="inlineStr">
        <is>
          <t>Month +37</t>
        </is>
      </c>
      <c r="BA14" s="386" t="inlineStr">
        <is>
          <t>Month +38</t>
        </is>
      </c>
      <c r="BB14" s="386" t="inlineStr">
        <is>
          <t>Month +39</t>
        </is>
      </c>
      <c r="BC14" s="386" t="inlineStr">
        <is>
          <t>Month +40</t>
        </is>
      </c>
      <c r="BD14" s="386" t="inlineStr">
        <is>
          <t>Month +41</t>
        </is>
      </c>
      <c r="BE14" s="386" t="inlineStr">
        <is>
          <t>Month +42</t>
        </is>
      </c>
      <c r="BF14" s="386" t="inlineStr">
        <is>
          <t>Month +43</t>
        </is>
      </c>
      <c r="BG14" s="386" t="inlineStr">
        <is>
          <t>Month +44</t>
        </is>
      </c>
      <c r="BH14" s="386" t="inlineStr">
        <is>
          <t>Month +45</t>
        </is>
      </c>
      <c r="BI14" s="386" t="inlineStr">
        <is>
          <t>Month +46</t>
        </is>
      </c>
      <c r="BJ14" s="386" t="inlineStr">
        <is>
          <t>Month +47</t>
        </is>
      </c>
      <c r="BK14" s="386" t="inlineStr">
        <is>
          <t>Month +48</t>
        </is>
      </c>
      <c r="BL14" s="433" t="inlineStr">
        <is>
          <t>Month +49</t>
        </is>
      </c>
      <c r="BM14" s="386" t="inlineStr">
        <is>
          <t>Month +50</t>
        </is>
      </c>
      <c r="BN14" s="386" t="inlineStr">
        <is>
          <t>Month +51</t>
        </is>
      </c>
      <c r="BO14" s="386" t="inlineStr">
        <is>
          <t>Month +52</t>
        </is>
      </c>
      <c r="BP14" s="386" t="inlineStr">
        <is>
          <t>Month +53</t>
        </is>
      </c>
      <c r="BQ14" s="386" t="inlineStr">
        <is>
          <t>Month +54</t>
        </is>
      </c>
      <c r="BR14" s="386" t="inlineStr">
        <is>
          <t>Month +55</t>
        </is>
      </c>
      <c r="BS14" s="386" t="inlineStr">
        <is>
          <t>Month +56</t>
        </is>
      </c>
      <c r="BT14" s="386" t="inlineStr">
        <is>
          <t>Month +57</t>
        </is>
      </c>
      <c r="BU14" s="386" t="inlineStr">
        <is>
          <t>Month +58</t>
        </is>
      </c>
      <c r="BV14" s="386" t="inlineStr">
        <is>
          <t>Month +59</t>
        </is>
      </c>
      <c r="BW14" s="386" t="inlineStr">
        <is>
          <t>Month +60</t>
        </is>
      </c>
      <c r="BX14" s="383" t="n"/>
      <c r="BY14" s="383" t="n"/>
      <c r="BZ14" s="383" t="n"/>
      <c r="CA14" s="383" t="n"/>
      <c r="CB14" s="383" t="n"/>
      <c r="CC14" s="383" t="n"/>
      <c r="CD14" s="383" t="n"/>
      <c r="CE14" s="383" t="n"/>
      <c r="CF14" s="383" t="n"/>
      <c r="CG14" s="383" t="n"/>
      <c r="CH14" s="383" t="n"/>
      <c r="CI14" s="383" t="n"/>
      <c r="CJ14" s="383" t="n"/>
      <c r="CK14" s="383" t="n"/>
      <c r="CL14" s="383" t="n"/>
      <c r="CM14" s="383" t="n"/>
      <c r="CN14" s="383" t="n"/>
      <c r="CO14" s="383" t="n"/>
      <c r="CP14" s="383" t="n"/>
      <c r="CQ14" s="383" t="n"/>
      <c r="CR14" s="383" t="n"/>
      <c r="CS14" s="383" t="n"/>
      <c r="CT14" s="383" t="n"/>
      <c r="CU14" s="383" t="n"/>
      <c r="CV14" s="383" t="n"/>
      <c r="CW14" s="383" t="n"/>
      <c r="CX14" s="383" t="n"/>
      <c r="CY14" s="383" t="n"/>
      <c r="CZ14" s="383" t="n"/>
      <c r="DA14" s="383" t="n"/>
      <c r="DB14" s="383" t="n"/>
      <c r="DC14" s="383" t="n"/>
      <c r="DD14" s="383" t="n"/>
      <c r="DE14" s="383" t="n"/>
      <c r="DF14" s="383" t="n"/>
      <c r="DG14" s="383" t="n"/>
      <c r="DH14" s="383" t="n"/>
      <c r="DI14" s="383" t="n"/>
      <c r="DJ14" s="383" t="n"/>
      <c r="DK14" s="383" t="n"/>
      <c r="DL14" s="383" t="n"/>
      <c r="DM14" s="383" t="n"/>
      <c r="DN14" s="383" t="n"/>
      <c r="DO14" s="383" t="n"/>
      <c r="DP14" s="383" t="n"/>
      <c r="DQ14" s="383" t="n"/>
      <c r="DR14" s="383" t="n"/>
      <c r="DS14" s="383" t="n"/>
      <c r="DT14" s="383" t="n"/>
      <c r="DU14" s="383" t="n"/>
      <c r="DV14" s="383" t="n"/>
      <c r="DW14" s="383" t="n"/>
      <c r="DX14" s="383" t="n"/>
      <c r="DY14" s="383" t="n"/>
      <c r="DZ14" s="383" t="n"/>
      <c r="EA14" s="383" t="n"/>
      <c r="EB14" s="383" t="n"/>
      <c r="EC14" s="383" t="n"/>
      <c r="ED14" s="383" t="n"/>
      <c r="EE14" s="383" t="n"/>
      <c r="EF14" s="383" t="n"/>
      <c r="EG14" s="383" t="n"/>
      <c r="EH14" s="383" t="n"/>
      <c r="EI14" s="383" t="n"/>
      <c r="EJ14" s="383" t="n"/>
      <c r="EK14" s="383" t="n"/>
      <c r="EL14" s="383" t="n"/>
      <c r="EM14" s="383" t="n"/>
      <c r="EN14" s="383" t="n"/>
      <c r="EO14" s="383" t="n"/>
      <c r="EP14" s="383" t="n"/>
      <c r="EQ14" s="383" t="n"/>
      <c r="ER14" s="383" t="n"/>
      <c r="ES14" s="383" t="n"/>
      <c r="ET14" s="383" t="n"/>
      <c r="EU14" s="383" t="n"/>
      <c r="EV14" s="383" t="n"/>
      <c r="EW14" s="383" t="n"/>
      <c r="EX14" s="383" t="n"/>
      <c r="EY14" s="383" t="n"/>
      <c r="EZ14" s="383" t="n"/>
      <c r="FA14" s="383" t="n"/>
      <c r="FB14" s="383" t="n"/>
      <c r="FC14" s="383" t="n"/>
      <c r="FD14" s="383" t="n"/>
      <c r="FE14" s="383" t="n"/>
      <c r="FF14" s="383" t="n"/>
      <c r="FG14" s="383" t="n"/>
      <c r="FH14" s="383" t="n"/>
      <c r="FI14" s="383" t="n"/>
      <c r="FJ14" s="383" t="n"/>
      <c r="FK14" s="383" t="n"/>
      <c r="FL14" s="383" t="n"/>
      <c r="FM14" s="383" t="n"/>
      <c r="FN14" s="383" t="n"/>
      <c r="FO14" s="383" t="n"/>
      <c r="FP14" s="383" t="n"/>
      <c r="FQ14" s="383" t="n"/>
      <c r="FR14" s="383" t="n"/>
      <c r="FS14" s="383" t="n"/>
      <c r="FT14" s="383" t="n"/>
      <c r="FU14" s="383" t="n"/>
      <c r="FV14" s="383" t="n"/>
      <c r="FW14" s="383" t="n"/>
      <c r="FX14" s="383" t="n"/>
      <c r="FY14" s="383" t="n"/>
      <c r="FZ14" s="383" t="n"/>
      <c r="GA14" s="383" t="n"/>
      <c r="GB14" s="383" t="n"/>
      <c r="GC14" s="383" t="n"/>
      <c r="GD14" s="383" t="n"/>
      <c r="GE14" s="383" t="n"/>
      <c r="GF14" s="383" t="n"/>
      <c r="GG14" s="383" t="n"/>
      <c r="GH14" s="383" t="n"/>
      <c r="GI14" s="383" t="n"/>
      <c r="GJ14" s="383" t="n"/>
      <c r="GK14" s="383" t="n"/>
      <c r="GL14" s="383" t="n"/>
      <c r="GM14" s="383" t="n"/>
      <c r="GN14" s="383" t="n"/>
      <c r="GO14" s="383" t="n"/>
      <c r="GP14" s="383" t="n"/>
      <c r="GQ14" s="383" t="n"/>
      <c r="GR14" s="383" t="n"/>
      <c r="GS14" s="383" t="n"/>
      <c r="GT14" s="383" t="n"/>
      <c r="GU14" s="383" t="n"/>
      <c r="GV14" s="383" t="n"/>
      <c r="GW14" s="383" t="n"/>
      <c r="GX14" s="383" t="n"/>
      <c r="GY14" s="383" t="n"/>
    </row>
    <row r="15" ht="3" customHeight="1" s="1883">
      <c r="A15" s="383" t="n"/>
      <c r="B15" s="383" t="n"/>
      <c r="C15" s="383" t="n"/>
      <c r="D15" s="387" t="n"/>
      <c r="E15" s="387" t="n"/>
      <c r="F15" s="387" t="n"/>
      <c r="G15" s="387" t="n"/>
      <c r="H15" s="387" t="n"/>
      <c r="I15" s="383" t="n"/>
      <c r="J15" s="387" t="n"/>
      <c r="K15" s="508" t="n"/>
      <c r="L15" s="387" t="n"/>
      <c r="M15" s="387" t="n"/>
      <c r="N15" s="387" t="n"/>
      <c r="O15" s="383" t="n"/>
      <c r="P15" s="387" t="n"/>
      <c r="Q15" s="387" t="n"/>
      <c r="R15" s="387" t="n"/>
      <c r="S15" s="387" t="n"/>
      <c r="T15" s="387" t="n"/>
      <c r="U15" s="387" t="n"/>
      <c r="V15" s="387" t="n"/>
      <c r="W15" s="387" t="n"/>
      <c r="X15" s="387" t="n"/>
      <c r="Y15" s="387" t="n"/>
      <c r="Z15" s="387" t="n"/>
      <c r="AA15" s="387" t="n"/>
      <c r="AB15" s="540" t="n"/>
      <c r="AC15" s="387" t="n"/>
      <c r="AD15" s="387" t="n"/>
      <c r="AE15" s="387" t="n"/>
      <c r="AF15" s="387" t="n"/>
      <c r="AG15" s="387" t="n"/>
      <c r="AH15" s="387" t="n"/>
      <c r="AI15" s="387" t="n"/>
      <c r="AJ15" s="387" t="n"/>
      <c r="AK15" s="387" t="n"/>
      <c r="AL15" s="387" t="n"/>
      <c r="AM15" s="387" t="n"/>
      <c r="AN15" s="540" t="n"/>
      <c r="AO15" s="387" t="n"/>
      <c r="AP15" s="387" t="n"/>
      <c r="AQ15" s="387" t="n"/>
      <c r="AR15" s="387" t="n"/>
      <c r="AS15" s="387" t="n"/>
      <c r="AT15" s="387" t="n"/>
      <c r="AU15" s="387" t="n"/>
      <c r="AV15" s="387" t="n"/>
      <c r="AW15" s="387" t="n"/>
      <c r="AX15" s="387" t="n"/>
      <c r="AY15" s="387" t="n"/>
      <c r="AZ15" s="540" t="n"/>
      <c r="BA15" s="387" t="n"/>
      <c r="BB15" s="387" t="n"/>
      <c r="BC15" s="387" t="n"/>
      <c r="BD15" s="387" t="n"/>
      <c r="BE15" s="387" t="n"/>
      <c r="BF15" s="387" t="n"/>
      <c r="BG15" s="387" t="n"/>
      <c r="BH15" s="387" t="n"/>
      <c r="BI15" s="387" t="n"/>
      <c r="BJ15" s="387" t="n"/>
      <c r="BK15" s="387" t="n"/>
      <c r="BL15" s="540" t="n"/>
      <c r="BM15" s="387" t="n"/>
      <c r="BN15" s="387" t="n"/>
      <c r="BO15" s="387" t="n"/>
      <c r="BP15" s="387" t="n"/>
      <c r="BQ15" s="387" t="n"/>
      <c r="BR15" s="387" t="n"/>
      <c r="BS15" s="387" t="n"/>
      <c r="BT15" s="387" t="n"/>
      <c r="BU15" s="387" t="n"/>
      <c r="BV15" s="387" t="n"/>
      <c r="BW15" s="387" t="n"/>
      <c r="BX15" s="383" t="n"/>
      <c r="BY15" s="383" t="n"/>
      <c r="BZ15" s="383" t="n"/>
      <c r="CA15" s="383" t="n"/>
      <c r="CB15" s="383" t="n"/>
      <c r="CC15" s="383" t="n"/>
      <c r="CD15" s="383" t="n"/>
      <c r="CE15" s="383" t="n"/>
      <c r="CF15" s="383" t="n"/>
      <c r="CG15" s="383" t="n"/>
      <c r="CH15" s="383" t="n"/>
      <c r="CI15" s="383" t="n"/>
      <c r="CJ15" s="383" t="n"/>
      <c r="CK15" s="383" t="n"/>
      <c r="CL15" s="383" t="n"/>
      <c r="CM15" s="383" t="n"/>
      <c r="CN15" s="383" t="n"/>
      <c r="CO15" s="383" t="n"/>
      <c r="CP15" s="383" t="n"/>
      <c r="CQ15" s="383" t="n"/>
      <c r="CR15" s="383" t="n"/>
      <c r="CS15" s="383" t="n"/>
      <c r="CT15" s="383" t="n"/>
      <c r="CU15" s="383" t="n"/>
      <c r="CV15" s="383" t="n"/>
      <c r="CW15" s="383" t="n"/>
      <c r="CX15" s="383" t="n"/>
      <c r="CY15" s="383" t="n"/>
      <c r="CZ15" s="383" t="n"/>
      <c r="DA15" s="383" t="n"/>
      <c r="DB15" s="383" t="n"/>
      <c r="DC15" s="383" t="n"/>
      <c r="DD15" s="383" t="n"/>
      <c r="DE15" s="383" t="n"/>
      <c r="DF15" s="383" t="n"/>
      <c r="DG15" s="383" t="n"/>
      <c r="DH15" s="383" t="n"/>
      <c r="DI15" s="383" t="n"/>
      <c r="DJ15" s="383" t="n"/>
      <c r="DK15" s="383" t="n"/>
      <c r="DL15" s="383" t="n"/>
      <c r="DM15" s="383" t="n"/>
      <c r="DN15" s="383" t="n"/>
      <c r="DO15" s="383" t="n"/>
      <c r="DP15" s="383" t="n"/>
      <c r="DQ15" s="383" t="n"/>
      <c r="DR15" s="383" t="n"/>
      <c r="DS15" s="383" t="n"/>
      <c r="DT15" s="383" t="n"/>
      <c r="DU15" s="383" t="n"/>
      <c r="DV15" s="383" t="n"/>
      <c r="DW15" s="383" t="n"/>
      <c r="DX15" s="383" t="n"/>
      <c r="DY15" s="383" t="n"/>
      <c r="DZ15" s="383" t="n"/>
      <c r="EA15" s="383" t="n"/>
      <c r="EB15" s="383" t="n"/>
      <c r="EC15" s="383" t="n"/>
      <c r="ED15" s="383" t="n"/>
      <c r="EE15" s="383" t="n"/>
      <c r="EF15" s="383" t="n"/>
      <c r="EG15" s="383" t="n"/>
      <c r="EH15" s="383" t="n"/>
      <c r="EI15" s="383" t="n"/>
      <c r="EJ15" s="383" t="n"/>
      <c r="EK15" s="383" t="n"/>
      <c r="EL15" s="383" t="n"/>
      <c r="EM15" s="383" t="n"/>
      <c r="EN15" s="383" t="n"/>
      <c r="EO15" s="383" t="n"/>
      <c r="EP15" s="383" t="n"/>
      <c r="EQ15" s="383" t="n"/>
      <c r="ER15" s="383" t="n"/>
      <c r="ES15" s="383" t="n"/>
      <c r="ET15" s="383" t="n"/>
      <c r="EU15" s="383" t="n"/>
      <c r="EV15" s="383" t="n"/>
      <c r="EW15" s="383" t="n"/>
      <c r="EX15" s="383" t="n"/>
      <c r="EY15" s="383" t="n"/>
      <c r="EZ15" s="383" t="n"/>
      <c r="FA15" s="383" t="n"/>
      <c r="FB15" s="383" t="n"/>
      <c r="FC15" s="383" t="n"/>
      <c r="FD15" s="383" t="n"/>
      <c r="FE15" s="383" t="n"/>
      <c r="FF15" s="383" t="n"/>
      <c r="FG15" s="383" t="n"/>
      <c r="FH15" s="383" t="n"/>
      <c r="FI15" s="383" t="n"/>
      <c r="FJ15" s="383" t="n"/>
      <c r="FK15" s="383" t="n"/>
      <c r="FL15" s="383" t="n"/>
      <c r="FM15" s="383" t="n"/>
      <c r="FN15" s="383" t="n"/>
      <c r="FO15" s="383" t="n"/>
      <c r="FP15" s="383" t="n"/>
      <c r="FQ15" s="383" t="n"/>
      <c r="FR15" s="383" t="n"/>
      <c r="FS15" s="383" t="n"/>
      <c r="FT15" s="383" t="n"/>
      <c r="FU15" s="383" t="n"/>
      <c r="FV15" s="383" t="n"/>
      <c r="FW15" s="383" t="n"/>
      <c r="FX15" s="383" t="n"/>
      <c r="FY15" s="383" t="n"/>
      <c r="FZ15" s="383" t="n"/>
      <c r="GA15" s="383" t="n"/>
      <c r="GB15" s="383" t="n"/>
      <c r="GC15" s="383" t="n"/>
      <c r="GD15" s="383" t="n"/>
      <c r="GE15" s="383" t="n"/>
      <c r="GF15" s="383" t="n"/>
      <c r="GG15" s="383" t="n"/>
      <c r="GH15" s="383" t="n"/>
      <c r="GI15" s="383" t="n"/>
      <c r="GJ15" s="383" t="n"/>
      <c r="GK15" s="383" t="n"/>
      <c r="GL15" s="383" t="n"/>
      <c r="GM15" s="383" t="n"/>
      <c r="GN15" s="383" t="n"/>
      <c r="GO15" s="383" t="n"/>
      <c r="GP15" s="383" t="n"/>
      <c r="GQ15" s="383" t="n"/>
      <c r="GR15" s="383" t="n"/>
      <c r="GS15" s="383" t="n"/>
      <c r="GT15" s="383" t="n"/>
      <c r="GU15" s="383" t="n"/>
      <c r="GV15" s="383" t="n"/>
      <c r="GW15" s="383" t="n"/>
      <c r="GX15" s="383" t="n"/>
      <c r="GY15" s="383" t="n"/>
    </row>
    <row r="16" ht="3" customHeight="1" s="1883">
      <c r="A16" s="383" t="n"/>
      <c r="B16" s="383" t="n"/>
      <c r="C16" s="383" t="n"/>
      <c r="D16" s="383" t="n"/>
      <c r="E16" s="383" t="n"/>
      <c r="F16" s="383" t="n"/>
      <c r="G16" s="383" t="n"/>
      <c r="H16" s="383" t="n"/>
      <c r="I16" s="383" t="n"/>
      <c r="J16" s="383" t="n"/>
      <c r="K16" s="462" t="n"/>
      <c r="L16" s="383" t="n"/>
      <c r="M16" s="383" t="n"/>
      <c r="N16" s="383" t="n"/>
      <c r="O16" s="383" t="n"/>
      <c r="P16" s="383" t="n"/>
      <c r="Q16" s="383" t="n"/>
      <c r="R16" s="383" t="n"/>
      <c r="S16" s="383" t="n"/>
      <c r="T16" s="383" t="n"/>
      <c r="U16" s="383" t="n"/>
      <c r="V16" s="383" t="n"/>
      <c r="W16" s="383" t="n"/>
      <c r="X16" s="383" t="n"/>
      <c r="Y16" s="383" t="n"/>
      <c r="Z16" s="383" t="n"/>
      <c r="AA16" s="383" t="n"/>
      <c r="AB16" s="541" t="n"/>
      <c r="AC16" s="383" t="n"/>
      <c r="AD16" s="383" t="n"/>
      <c r="AE16" s="383" t="n"/>
      <c r="AF16" s="383" t="n"/>
      <c r="AG16" s="383" t="n"/>
      <c r="AH16" s="383" t="n"/>
      <c r="AI16" s="383" t="n"/>
      <c r="AJ16" s="383" t="n"/>
      <c r="AK16" s="383" t="n"/>
      <c r="AL16" s="383" t="n"/>
      <c r="AM16" s="383" t="n"/>
      <c r="AN16" s="541" t="n"/>
      <c r="AO16" s="383" t="n"/>
      <c r="AP16" s="383" t="n"/>
      <c r="AQ16" s="383" t="n"/>
      <c r="AR16" s="383" t="n"/>
      <c r="AS16" s="383" t="n"/>
      <c r="AT16" s="383" t="n"/>
      <c r="AU16" s="383" t="n"/>
      <c r="AV16" s="383" t="n"/>
      <c r="AW16" s="383" t="n"/>
      <c r="AX16" s="383" t="n"/>
      <c r="AY16" s="1910" t="n"/>
      <c r="AZ16" s="541" t="n"/>
      <c r="BA16" s="383" t="n"/>
      <c r="BB16" s="383" t="n"/>
      <c r="BC16" s="383" t="n"/>
      <c r="BD16" s="383" t="n"/>
      <c r="BE16" s="383" t="n"/>
      <c r="BF16" s="383" t="n"/>
      <c r="BG16" s="383" t="n"/>
      <c r="BH16" s="383" t="n"/>
      <c r="BI16" s="383" t="n"/>
      <c r="BJ16" s="383" t="n"/>
      <c r="BK16" s="383" t="n"/>
      <c r="BL16" s="541" t="n"/>
      <c r="BM16" s="383" t="n"/>
      <c r="BN16" s="383" t="n"/>
      <c r="BO16" s="383" t="n"/>
      <c r="BP16" s="383" t="n"/>
      <c r="BQ16" s="383" t="n"/>
      <c r="BR16" s="383" t="n"/>
      <c r="BS16" s="383" t="n"/>
      <c r="BT16" s="383" t="n"/>
      <c r="BU16" s="383" t="n"/>
      <c r="BV16" s="383" t="n"/>
      <c r="BW16" s="383" t="n"/>
      <c r="BX16" s="383" t="n"/>
      <c r="BY16" s="383" t="n"/>
      <c r="BZ16" s="383" t="n"/>
      <c r="CA16" s="383" t="n"/>
      <c r="CB16" s="383" t="n"/>
      <c r="CC16" s="383" t="n"/>
      <c r="CD16" s="383" t="n"/>
      <c r="CE16" s="383" t="n"/>
      <c r="CF16" s="383" t="n"/>
      <c r="CG16" s="383" t="n"/>
      <c r="CH16" s="383" t="n"/>
      <c r="CI16" s="383" t="n"/>
      <c r="CJ16" s="383" t="n"/>
      <c r="CK16" s="383" t="n"/>
      <c r="CL16" s="383" t="n"/>
      <c r="CM16" s="383" t="n"/>
      <c r="CN16" s="383" t="n"/>
      <c r="CO16" s="383" t="n"/>
      <c r="CP16" s="383" t="n"/>
      <c r="CQ16" s="383" t="n"/>
      <c r="CR16" s="383" t="n"/>
      <c r="CS16" s="383" t="n"/>
      <c r="CT16" s="383" t="n"/>
      <c r="CU16" s="383" t="n"/>
      <c r="CV16" s="383" t="n"/>
      <c r="CW16" s="383" t="n"/>
      <c r="CX16" s="383" t="n"/>
      <c r="CY16" s="383" t="n"/>
      <c r="CZ16" s="383" t="n"/>
      <c r="DA16" s="383" t="n"/>
      <c r="DB16" s="383" t="n"/>
      <c r="DC16" s="383" t="n"/>
      <c r="DD16" s="383" t="n"/>
      <c r="DE16" s="383" t="n"/>
      <c r="DF16" s="383" t="n"/>
      <c r="DG16" s="383" t="n"/>
      <c r="DH16" s="383" t="n"/>
      <c r="DI16" s="383" t="n"/>
      <c r="DJ16" s="383" t="n"/>
      <c r="DK16" s="383" t="n"/>
      <c r="DL16" s="383" t="n"/>
      <c r="DM16" s="383" t="n"/>
      <c r="DN16" s="383" t="n"/>
      <c r="DO16" s="383" t="n"/>
      <c r="DP16" s="383" t="n"/>
      <c r="DQ16" s="383" t="n"/>
      <c r="DR16" s="383" t="n"/>
      <c r="DS16" s="383" t="n"/>
      <c r="DT16" s="383" t="n"/>
      <c r="DU16" s="383" t="n"/>
      <c r="DV16" s="383" t="n"/>
      <c r="DW16" s="383" t="n"/>
      <c r="DX16" s="383" t="n"/>
      <c r="DY16" s="383" t="n"/>
      <c r="DZ16" s="383" t="n"/>
      <c r="EA16" s="383" t="n"/>
      <c r="EB16" s="383" t="n"/>
      <c r="EC16" s="383" t="n"/>
      <c r="ED16" s="383" t="n"/>
      <c r="EE16" s="383" t="n"/>
      <c r="EF16" s="383" t="n"/>
      <c r="EG16" s="383" t="n"/>
      <c r="EH16" s="383" t="n"/>
      <c r="EI16" s="383" t="n"/>
      <c r="EJ16" s="383" t="n"/>
      <c r="EK16" s="383" t="n"/>
      <c r="EL16" s="383" t="n"/>
      <c r="EM16" s="383" t="n"/>
      <c r="EN16" s="383" t="n"/>
      <c r="EO16" s="383" t="n"/>
      <c r="EP16" s="383" t="n"/>
      <c r="EQ16" s="383" t="n"/>
      <c r="ER16" s="383" t="n"/>
      <c r="ES16" s="383" t="n"/>
      <c r="ET16" s="383" t="n"/>
      <c r="EU16" s="383" t="n"/>
      <c r="EV16" s="383" t="n"/>
      <c r="EW16" s="383" t="n"/>
      <c r="EX16" s="383" t="n"/>
      <c r="EY16" s="383" t="n"/>
      <c r="EZ16" s="383" t="n"/>
      <c r="FA16" s="383" t="n"/>
      <c r="FB16" s="383" t="n"/>
      <c r="FC16" s="383" t="n"/>
      <c r="FD16" s="383" t="n"/>
      <c r="FE16" s="383" t="n"/>
      <c r="FF16" s="383" t="n"/>
      <c r="FG16" s="383" t="n"/>
      <c r="FH16" s="383" t="n"/>
      <c r="FI16" s="383" t="n"/>
      <c r="FJ16" s="383" t="n"/>
      <c r="FK16" s="383" t="n"/>
      <c r="FL16" s="383" t="n"/>
      <c r="FM16" s="383" t="n"/>
      <c r="FN16" s="383" t="n"/>
      <c r="FO16" s="383" t="n"/>
      <c r="FP16" s="383" t="n"/>
      <c r="FQ16" s="383" t="n"/>
      <c r="FR16" s="383" t="n"/>
      <c r="FS16" s="383" t="n"/>
      <c r="FT16" s="383" t="n"/>
      <c r="FU16" s="383" t="n"/>
      <c r="FV16" s="383" t="n"/>
      <c r="FW16" s="383" t="n"/>
      <c r="FX16" s="383" t="n"/>
      <c r="FY16" s="383" t="n"/>
      <c r="FZ16" s="383" t="n"/>
      <c r="GA16" s="383" t="n"/>
      <c r="GB16" s="383" t="n"/>
      <c r="GC16" s="383" t="n"/>
      <c r="GD16" s="383" t="n"/>
      <c r="GE16" s="383" t="n"/>
      <c r="GF16" s="383" t="n"/>
      <c r="GG16" s="383" t="n"/>
      <c r="GH16" s="383" t="n"/>
      <c r="GI16" s="383" t="n"/>
      <c r="GJ16" s="383" t="n"/>
      <c r="GK16" s="383" t="n"/>
      <c r="GL16" s="383" t="n"/>
      <c r="GM16" s="383" t="n"/>
      <c r="GN16" s="383" t="n"/>
      <c r="GO16" s="383" t="n"/>
      <c r="GP16" s="383" t="n"/>
      <c r="GQ16" s="383" t="n"/>
      <c r="GR16" s="383" t="n"/>
      <c r="GS16" s="383" t="n"/>
      <c r="GT16" s="383" t="n"/>
      <c r="GU16" s="383" t="n"/>
      <c r="GV16" s="383" t="n"/>
      <c r="GW16" s="383" t="n"/>
      <c r="GX16" s="383" t="n"/>
      <c r="GY16" s="383" t="n"/>
    </row>
    <row r="17" ht="15" customHeight="1" s="1883">
      <c r="A17" s="383" t="n"/>
      <c r="B17" s="133" t="inlineStr">
        <is>
          <t>√</t>
        </is>
      </c>
      <c r="C17" s="383" t="n"/>
      <c r="D17" s="390" t="inlineStr">
        <is>
          <t>●</t>
        </is>
      </c>
      <c r="E17" s="668" t="inlineStr">
        <is>
          <t>Jared Sanborn – Chairman &amp; Chief Executive Officer</t>
        </is>
      </c>
      <c r="F17" s="696" t="n"/>
      <c r="G17" s="696" t="n"/>
      <c r="H17" s="696" t="n"/>
      <c r="I17" s="383" t="n"/>
      <c r="J17" s="701" t="n">
        <v>250000</v>
      </c>
      <c r="K17" s="1282">
        <f>J17*1.03</f>
        <v/>
      </c>
      <c r="L17" s="1282">
        <f>K17*1.03</f>
        <v/>
      </c>
      <c r="M17" s="1282">
        <f>L17*1.03</f>
        <v/>
      </c>
      <c r="N17" s="1282">
        <f>M17*1.03</f>
        <v/>
      </c>
      <c r="O17" s="383" t="n"/>
      <c r="P17" s="384">
        <f>'Headcount &amp; Salaries - 2'!X10</f>
        <v/>
      </c>
      <c r="Q17" s="384">
        <f>'Headcount &amp; Salaries - 2'!Y10</f>
        <v/>
      </c>
      <c r="R17" s="384">
        <f>'Headcount &amp; Salaries - 2'!Z10</f>
        <v/>
      </c>
      <c r="S17" s="384">
        <f>'Headcount &amp; Salaries - 2'!AA10</f>
        <v/>
      </c>
      <c r="T17" s="384">
        <f>'Headcount &amp; Salaries - 2'!AB10</f>
        <v/>
      </c>
      <c r="U17" s="384">
        <f>'Headcount &amp; Salaries - 2'!AC10</f>
        <v/>
      </c>
      <c r="V17" s="384">
        <f>'Headcount &amp; Salaries - 2'!AD10</f>
        <v/>
      </c>
      <c r="W17" s="384">
        <f>'Headcount &amp; Salaries - 2'!AE10</f>
        <v/>
      </c>
      <c r="X17" s="384">
        <f>'Headcount &amp; Salaries - 2'!AF10</f>
        <v/>
      </c>
      <c r="Y17" s="384">
        <f>'Headcount &amp; Salaries - 2'!AG10</f>
        <v/>
      </c>
      <c r="Z17" s="384">
        <f>'Headcount &amp; Salaries - 2'!AH10</f>
        <v/>
      </c>
      <c r="AA17" s="384">
        <f>'Headcount &amp; Salaries - 2'!AI10</f>
        <v/>
      </c>
      <c r="AB17" s="542">
        <f>'Headcount &amp; Salaries - 2'!AJ10</f>
        <v/>
      </c>
      <c r="AC17" s="384">
        <f>'Headcount &amp; Salaries - 2'!AK10</f>
        <v/>
      </c>
      <c r="AD17" s="384">
        <f>'Headcount &amp; Salaries - 2'!AL10</f>
        <v/>
      </c>
      <c r="AE17" s="384">
        <f>'Headcount &amp; Salaries - 2'!AM10</f>
        <v/>
      </c>
      <c r="AF17" s="384">
        <f>'Headcount &amp; Salaries - 2'!AN10</f>
        <v/>
      </c>
      <c r="AG17" s="384">
        <f>'Headcount &amp; Salaries - 2'!AO10</f>
        <v/>
      </c>
      <c r="AH17" s="384">
        <f>'Headcount &amp; Salaries - 2'!AP10</f>
        <v/>
      </c>
      <c r="AI17" s="384">
        <f>'Headcount &amp; Salaries - 2'!AQ10</f>
        <v/>
      </c>
      <c r="AJ17" s="384">
        <f>'Headcount &amp; Salaries - 2'!AR10</f>
        <v/>
      </c>
      <c r="AK17" s="384">
        <f>'Headcount &amp; Salaries - 2'!AS10</f>
        <v/>
      </c>
      <c r="AL17" s="384">
        <f>'Headcount &amp; Salaries - 2'!AT10</f>
        <v/>
      </c>
      <c r="AM17" s="384">
        <f>'Headcount &amp; Salaries - 2'!AU10</f>
        <v/>
      </c>
      <c r="AN17" s="542">
        <f>'Headcount &amp; Salaries - 2'!AV10</f>
        <v/>
      </c>
      <c r="AO17" s="384">
        <f>'Headcount &amp; Salaries - 2'!AW10</f>
        <v/>
      </c>
      <c r="AP17" s="384">
        <f>'Headcount &amp; Salaries - 2'!AX10</f>
        <v/>
      </c>
      <c r="AQ17" s="384">
        <f>'Headcount &amp; Salaries - 2'!AY10</f>
        <v/>
      </c>
      <c r="AR17" s="384">
        <f>'Headcount &amp; Salaries - 2'!AZ10</f>
        <v/>
      </c>
      <c r="AS17" s="384">
        <f>'Headcount &amp; Salaries - 2'!BA10</f>
        <v/>
      </c>
      <c r="AT17" s="384">
        <f>'Headcount &amp; Salaries - 2'!BB10</f>
        <v/>
      </c>
      <c r="AU17" s="384">
        <f>'Headcount &amp; Salaries - 2'!BC10</f>
        <v/>
      </c>
      <c r="AV17" s="384">
        <f>'Headcount &amp; Salaries - 2'!BD10</f>
        <v/>
      </c>
      <c r="AW17" s="384">
        <f>'Headcount &amp; Salaries - 2'!BE10</f>
        <v/>
      </c>
      <c r="AX17" s="384">
        <f>'Headcount &amp; Salaries - 2'!BF10</f>
        <v/>
      </c>
      <c r="AY17" s="565">
        <f>'Headcount &amp; Salaries - 2'!BG10</f>
        <v/>
      </c>
      <c r="AZ17" s="542">
        <f>'Headcount &amp; Salaries - 2'!BH10</f>
        <v/>
      </c>
      <c r="BA17" s="384">
        <f>'Headcount &amp; Salaries - 2'!BI10</f>
        <v/>
      </c>
      <c r="BB17" s="384">
        <f>'Headcount &amp; Salaries - 2'!BJ10</f>
        <v/>
      </c>
      <c r="BC17" s="384">
        <f>'Headcount &amp; Salaries - 2'!BK10</f>
        <v/>
      </c>
      <c r="BD17" s="384">
        <f>'Headcount &amp; Salaries - 2'!BL10</f>
        <v/>
      </c>
      <c r="BE17" s="384">
        <f>'Headcount &amp; Salaries - 2'!BM10</f>
        <v/>
      </c>
      <c r="BF17" s="384">
        <f>'Headcount &amp; Salaries - 2'!BN10</f>
        <v/>
      </c>
      <c r="BG17" s="384">
        <f>'Headcount &amp; Salaries - 2'!BO10</f>
        <v/>
      </c>
      <c r="BH17" s="384">
        <f>'Headcount &amp; Salaries - 2'!BP10</f>
        <v/>
      </c>
      <c r="BI17" s="384">
        <f>'Headcount &amp; Salaries - 2'!BQ10</f>
        <v/>
      </c>
      <c r="BJ17" s="384">
        <f>'Headcount &amp; Salaries - 2'!BR10</f>
        <v/>
      </c>
      <c r="BK17" s="384">
        <f>'Headcount &amp; Salaries - 2'!BS10</f>
        <v/>
      </c>
      <c r="BL17" s="542">
        <f>'Headcount &amp; Salaries - 2'!BT10</f>
        <v/>
      </c>
      <c r="BM17" s="384">
        <f>'Headcount &amp; Salaries - 2'!BU10</f>
        <v/>
      </c>
      <c r="BN17" s="384">
        <f>'Headcount &amp; Salaries - 2'!BV10</f>
        <v/>
      </c>
      <c r="BO17" s="384">
        <f>'Headcount &amp; Salaries - 2'!BW10</f>
        <v/>
      </c>
      <c r="BP17" s="384">
        <f>'Headcount &amp; Salaries - 2'!BX10</f>
        <v/>
      </c>
      <c r="BQ17" s="384">
        <f>'Headcount &amp; Salaries - 2'!BY10</f>
        <v/>
      </c>
      <c r="BR17" s="384">
        <f>'Headcount &amp; Salaries - 2'!BZ10</f>
        <v/>
      </c>
      <c r="BS17" s="384">
        <f>'Headcount &amp; Salaries - 2'!CA10</f>
        <v/>
      </c>
      <c r="BT17" s="384">
        <f>'Headcount &amp; Salaries - 2'!CB10</f>
        <v/>
      </c>
      <c r="BU17" s="384">
        <f>'Headcount &amp; Salaries - 2'!CC10</f>
        <v/>
      </c>
      <c r="BV17" s="384">
        <f>'Headcount &amp; Salaries - 2'!CD10</f>
        <v/>
      </c>
      <c r="BW17" s="384">
        <f>'Headcount &amp; Salaries - 2'!CE10</f>
        <v/>
      </c>
      <c r="BX17" s="383" t="n"/>
      <c r="BY17" s="383" t="n"/>
      <c r="BZ17" s="383" t="n"/>
      <c r="CA17" s="383" t="n"/>
      <c r="CB17" s="383" t="n"/>
      <c r="CC17" s="383" t="n"/>
      <c r="CD17" s="383" t="n"/>
      <c r="CE17" s="383" t="n"/>
      <c r="CF17" s="383" t="n"/>
      <c r="CG17" s="383" t="n"/>
      <c r="CH17" s="383" t="n"/>
      <c r="CI17" s="383" t="n"/>
      <c r="CJ17" s="383" t="n"/>
      <c r="CK17" s="383" t="n"/>
      <c r="CL17" s="383" t="n"/>
      <c r="CM17" s="383" t="n"/>
      <c r="CN17" s="383" t="n"/>
      <c r="CO17" s="383" t="n"/>
      <c r="CP17" s="383" t="n"/>
      <c r="CQ17" s="383" t="n"/>
      <c r="CR17" s="383" t="n"/>
      <c r="CS17" s="383" t="n"/>
      <c r="CT17" s="383" t="n"/>
      <c r="CU17" s="383" t="n"/>
      <c r="CV17" s="383" t="n"/>
      <c r="CW17" s="383" t="n"/>
      <c r="CX17" s="383" t="n"/>
      <c r="CY17" s="383" t="n"/>
      <c r="CZ17" s="383" t="n"/>
      <c r="DA17" s="383" t="n"/>
      <c r="DB17" s="383" t="n"/>
      <c r="DC17" s="383" t="n"/>
      <c r="DD17" s="383" t="n"/>
      <c r="DE17" s="383" t="n"/>
      <c r="DF17" s="383" t="n"/>
      <c r="DG17" s="383" t="n"/>
      <c r="DH17" s="383" t="n"/>
      <c r="DI17" s="383" t="n"/>
      <c r="DJ17" s="383" t="n"/>
      <c r="DK17" s="383" t="n"/>
      <c r="DL17" s="383" t="n"/>
      <c r="DM17" s="383" t="n"/>
      <c r="DN17" s="383" t="n"/>
      <c r="DO17" s="383" t="n"/>
      <c r="DP17" s="383" t="n"/>
      <c r="DQ17" s="383" t="n"/>
      <c r="DR17" s="383" t="n"/>
      <c r="DS17" s="383" t="n"/>
      <c r="DT17" s="383" t="n"/>
      <c r="DU17" s="383" t="n"/>
      <c r="DV17" s="383" t="n"/>
      <c r="DW17" s="383" t="n"/>
      <c r="DX17" s="383" t="n"/>
      <c r="DY17" s="383" t="n"/>
      <c r="DZ17" s="383" t="n"/>
      <c r="EA17" s="383" t="n"/>
      <c r="EB17" s="383" t="n"/>
      <c r="EC17" s="383" t="n"/>
      <c r="ED17" s="383" t="n"/>
      <c r="EE17" s="383" t="n"/>
      <c r="EF17" s="383" t="n"/>
      <c r="EG17" s="383" t="n"/>
      <c r="EH17" s="383" t="n"/>
      <c r="EI17" s="383" t="n"/>
      <c r="EJ17" s="383" t="n"/>
      <c r="EK17" s="383" t="n"/>
      <c r="EL17" s="383" t="n"/>
      <c r="EM17" s="383" t="n"/>
      <c r="EN17" s="383" t="n"/>
      <c r="EO17" s="383" t="n"/>
      <c r="EP17" s="383" t="n"/>
      <c r="EQ17" s="383" t="n"/>
      <c r="ER17" s="383" t="n"/>
      <c r="ES17" s="383" t="n"/>
      <c r="ET17" s="383" t="n"/>
      <c r="EU17" s="383" t="n"/>
      <c r="EV17" s="383" t="n"/>
      <c r="EW17" s="383" t="n"/>
      <c r="EX17" s="383" t="n"/>
      <c r="EY17" s="383" t="n"/>
      <c r="EZ17" s="383" t="n"/>
      <c r="FA17" s="383" t="n"/>
      <c r="FB17" s="383" t="n"/>
      <c r="FC17" s="383" t="n"/>
      <c r="FD17" s="383" t="n"/>
      <c r="FE17" s="383" t="n"/>
      <c r="FF17" s="383" t="n"/>
      <c r="FG17" s="383" t="n"/>
      <c r="FH17" s="383" t="n"/>
      <c r="FI17" s="383" t="n"/>
      <c r="FJ17" s="383" t="n"/>
      <c r="FK17" s="383" t="n"/>
      <c r="FL17" s="383" t="n"/>
      <c r="FM17" s="383" t="n"/>
      <c r="FN17" s="383" t="n"/>
      <c r="FO17" s="383" t="n"/>
      <c r="FP17" s="383" t="n"/>
      <c r="FQ17" s="383" t="n"/>
      <c r="FR17" s="383" t="n"/>
      <c r="FS17" s="383" t="n"/>
      <c r="FT17" s="383" t="n"/>
      <c r="FU17" s="383" t="n"/>
      <c r="FV17" s="383" t="n"/>
      <c r="FW17" s="383" t="n"/>
      <c r="FX17" s="383" t="n"/>
      <c r="FY17" s="383" t="n"/>
      <c r="FZ17" s="383" t="n"/>
      <c r="GA17" s="383" t="n"/>
      <c r="GB17" s="383" t="n"/>
      <c r="GC17" s="383" t="n"/>
      <c r="GD17" s="383" t="n"/>
      <c r="GE17" s="383" t="n"/>
      <c r="GF17" s="383" t="n"/>
      <c r="GG17" s="383" t="n"/>
      <c r="GH17" s="383" t="n"/>
      <c r="GI17" s="383" t="n"/>
      <c r="GJ17" s="383" t="n"/>
      <c r="GK17" s="383" t="n"/>
      <c r="GL17" s="383" t="n"/>
      <c r="GM17" s="383" t="n"/>
      <c r="GN17" s="383" t="n"/>
      <c r="GO17" s="383" t="n"/>
      <c r="GP17" s="383" t="n"/>
      <c r="GQ17" s="383" t="n"/>
      <c r="GR17" s="383" t="n"/>
      <c r="GS17" s="383" t="n"/>
      <c r="GT17" s="383" t="n"/>
      <c r="GU17" s="383" t="n"/>
      <c r="GV17" s="383" t="n"/>
      <c r="GW17" s="383" t="n"/>
      <c r="GX17" s="383" t="n"/>
      <c r="GY17" s="383" t="n"/>
    </row>
    <row r="18" ht="15" customHeight="1" s="1883">
      <c r="A18" s="383" t="n"/>
      <c r="B18" s="133" t="inlineStr">
        <is>
          <t>√</t>
        </is>
      </c>
      <c r="C18" s="383" t="n"/>
      <c r="D18" s="390" t="inlineStr">
        <is>
          <t>●</t>
        </is>
      </c>
      <c r="E18" s="668" t="inlineStr">
        <is>
          <t>Melanie Salvador - Vice Chairman &amp; Deputy CEO</t>
        </is>
      </c>
      <c r="F18" s="696" t="n"/>
      <c r="G18" s="696" t="n"/>
      <c r="H18" s="696" t="n"/>
      <c r="I18" s="383" t="n"/>
      <c r="J18" s="701" t="n">
        <v>200000</v>
      </c>
      <c r="K18" s="1282">
        <f>J18*1.03</f>
        <v/>
      </c>
      <c r="L18" s="1282">
        <f>K18*1.03</f>
        <v/>
      </c>
      <c r="M18" s="1282">
        <f>L18*1.03</f>
        <v/>
      </c>
      <c r="N18" s="1282">
        <f>M18*1.03</f>
        <v/>
      </c>
      <c r="O18" s="383" t="n"/>
      <c r="P18" s="384">
        <f>'Headcount &amp; Salaries - 2'!X11</f>
        <v/>
      </c>
      <c r="Q18" s="384">
        <f>'Headcount &amp; Salaries - 2'!Y11</f>
        <v/>
      </c>
      <c r="R18" s="384">
        <f>'Headcount &amp; Salaries - 2'!Z11</f>
        <v/>
      </c>
      <c r="S18" s="384">
        <f>'Headcount &amp; Salaries - 2'!AA11</f>
        <v/>
      </c>
      <c r="T18" s="384">
        <f>'Headcount &amp; Salaries - 2'!AB11</f>
        <v/>
      </c>
      <c r="U18" s="384">
        <f>'Headcount &amp; Salaries - 2'!AC11</f>
        <v/>
      </c>
      <c r="V18" s="384">
        <f>'Headcount &amp; Salaries - 2'!AD11</f>
        <v/>
      </c>
      <c r="W18" s="384">
        <f>'Headcount &amp; Salaries - 2'!AE11</f>
        <v/>
      </c>
      <c r="X18" s="384">
        <f>'Headcount &amp; Salaries - 2'!AF11</f>
        <v/>
      </c>
      <c r="Y18" s="384">
        <f>'Headcount &amp; Salaries - 2'!AG11</f>
        <v/>
      </c>
      <c r="Z18" s="384">
        <f>'Headcount &amp; Salaries - 2'!AH11</f>
        <v/>
      </c>
      <c r="AA18" s="384">
        <f>'Headcount &amp; Salaries - 2'!AI11</f>
        <v/>
      </c>
      <c r="AB18" s="542">
        <f>'Headcount &amp; Salaries - 2'!AJ11</f>
        <v/>
      </c>
      <c r="AC18" s="384">
        <f>'Headcount &amp; Salaries - 2'!AK11</f>
        <v/>
      </c>
      <c r="AD18" s="384">
        <f>'Headcount &amp; Salaries - 2'!AL11</f>
        <v/>
      </c>
      <c r="AE18" s="384">
        <f>'Headcount &amp; Salaries - 2'!AM11</f>
        <v/>
      </c>
      <c r="AF18" s="384">
        <f>'Headcount &amp; Salaries - 2'!AN11</f>
        <v/>
      </c>
      <c r="AG18" s="384">
        <f>'Headcount &amp; Salaries - 2'!AO11</f>
        <v/>
      </c>
      <c r="AH18" s="384">
        <f>'Headcount &amp; Salaries - 2'!AP11</f>
        <v/>
      </c>
      <c r="AI18" s="384">
        <f>'Headcount &amp; Salaries - 2'!AQ11</f>
        <v/>
      </c>
      <c r="AJ18" s="384">
        <f>'Headcount &amp; Salaries - 2'!AR11</f>
        <v/>
      </c>
      <c r="AK18" s="384">
        <f>'Headcount &amp; Salaries - 2'!AS11</f>
        <v/>
      </c>
      <c r="AL18" s="384">
        <f>'Headcount &amp; Salaries - 2'!AT11</f>
        <v/>
      </c>
      <c r="AM18" s="384">
        <f>'Headcount &amp; Salaries - 2'!AU11</f>
        <v/>
      </c>
      <c r="AN18" s="542">
        <f>'Headcount &amp; Salaries - 2'!AV11</f>
        <v/>
      </c>
      <c r="AO18" s="384">
        <f>'Headcount &amp; Salaries - 2'!AW11</f>
        <v/>
      </c>
      <c r="AP18" s="384">
        <f>'Headcount &amp; Salaries - 2'!AX11</f>
        <v/>
      </c>
      <c r="AQ18" s="384">
        <f>'Headcount &amp; Salaries - 2'!AY11</f>
        <v/>
      </c>
      <c r="AR18" s="384">
        <f>'Headcount &amp; Salaries - 2'!AZ11</f>
        <v/>
      </c>
      <c r="AS18" s="384">
        <f>'Headcount &amp; Salaries - 2'!BA11</f>
        <v/>
      </c>
      <c r="AT18" s="384">
        <f>'Headcount &amp; Salaries - 2'!BB11</f>
        <v/>
      </c>
      <c r="AU18" s="384">
        <f>'Headcount &amp; Salaries - 2'!BC11</f>
        <v/>
      </c>
      <c r="AV18" s="384">
        <f>'Headcount &amp; Salaries - 2'!BD11</f>
        <v/>
      </c>
      <c r="AW18" s="384">
        <f>'Headcount &amp; Salaries - 2'!BE11</f>
        <v/>
      </c>
      <c r="AX18" s="384">
        <f>'Headcount &amp; Salaries - 2'!BF11</f>
        <v/>
      </c>
      <c r="AY18" s="565">
        <f>'Headcount &amp; Salaries - 2'!BG11</f>
        <v/>
      </c>
      <c r="AZ18" s="542">
        <f>'Headcount &amp; Salaries - 2'!BH11</f>
        <v/>
      </c>
      <c r="BA18" s="384">
        <f>'Headcount &amp; Salaries - 2'!BI11</f>
        <v/>
      </c>
      <c r="BB18" s="384">
        <f>'Headcount &amp; Salaries - 2'!BJ11</f>
        <v/>
      </c>
      <c r="BC18" s="384">
        <f>'Headcount &amp; Salaries - 2'!BK11</f>
        <v/>
      </c>
      <c r="BD18" s="384">
        <f>'Headcount &amp; Salaries - 2'!BL11</f>
        <v/>
      </c>
      <c r="BE18" s="384">
        <f>'Headcount &amp; Salaries - 2'!BM11</f>
        <v/>
      </c>
      <c r="BF18" s="384">
        <f>'Headcount &amp; Salaries - 2'!BN11</f>
        <v/>
      </c>
      <c r="BG18" s="384">
        <f>'Headcount &amp; Salaries - 2'!BO11</f>
        <v/>
      </c>
      <c r="BH18" s="384">
        <f>'Headcount &amp; Salaries - 2'!BP11</f>
        <v/>
      </c>
      <c r="BI18" s="384">
        <f>'Headcount &amp; Salaries - 2'!BQ11</f>
        <v/>
      </c>
      <c r="BJ18" s="384">
        <f>'Headcount &amp; Salaries - 2'!BR11</f>
        <v/>
      </c>
      <c r="BK18" s="384">
        <f>'Headcount &amp; Salaries - 2'!BS11</f>
        <v/>
      </c>
      <c r="BL18" s="542">
        <f>'Headcount &amp; Salaries - 2'!BT11</f>
        <v/>
      </c>
      <c r="BM18" s="384">
        <f>'Headcount &amp; Salaries - 2'!BU11</f>
        <v/>
      </c>
      <c r="BN18" s="384">
        <f>'Headcount &amp; Salaries - 2'!BV11</f>
        <v/>
      </c>
      <c r="BO18" s="384">
        <f>'Headcount &amp; Salaries - 2'!BW11</f>
        <v/>
      </c>
      <c r="BP18" s="384">
        <f>'Headcount &amp; Salaries - 2'!BX11</f>
        <v/>
      </c>
      <c r="BQ18" s="384">
        <f>'Headcount &amp; Salaries - 2'!BY11</f>
        <v/>
      </c>
      <c r="BR18" s="384">
        <f>'Headcount &amp; Salaries - 2'!BZ11</f>
        <v/>
      </c>
      <c r="BS18" s="384">
        <f>'Headcount &amp; Salaries - 2'!CA11</f>
        <v/>
      </c>
      <c r="BT18" s="384">
        <f>'Headcount &amp; Salaries - 2'!CB11</f>
        <v/>
      </c>
      <c r="BU18" s="384">
        <f>'Headcount &amp; Salaries - 2'!CC11</f>
        <v/>
      </c>
      <c r="BV18" s="384">
        <f>'Headcount &amp; Salaries - 2'!CD11</f>
        <v/>
      </c>
      <c r="BW18" s="384">
        <f>'Headcount &amp; Salaries - 2'!CE11</f>
        <v/>
      </c>
      <c r="BX18" s="383" t="n"/>
      <c r="BY18" s="383" t="n"/>
      <c r="BZ18" s="383" t="n"/>
      <c r="CA18" s="383" t="n"/>
      <c r="CB18" s="383" t="n"/>
      <c r="CC18" s="383" t="n"/>
      <c r="CD18" s="383" t="n"/>
      <c r="CE18" s="383" t="n"/>
      <c r="CF18" s="383" t="n"/>
      <c r="CG18" s="383" t="n"/>
      <c r="CH18" s="383" t="n"/>
      <c r="CI18" s="383" t="n"/>
      <c r="CJ18" s="383" t="n"/>
      <c r="CK18" s="383" t="n"/>
      <c r="CL18" s="383" t="n"/>
      <c r="CM18" s="383" t="n"/>
      <c r="CN18" s="383" t="n"/>
      <c r="CO18" s="383" t="n"/>
      <c r="CP18" s="383" t="n"/>
      <c r="CQ18" s="383" t="n"/>
      <c r="CR18" s="383" t="n"/>
      <c r="CS18" s="383" t="n"/>
      <c r="CT18" s="383" t="n"/>
      <c r="CU18" s="383" t="n"/>
      <c r="CV18" s="383" t="n"/>
      <c r="CW18" s="383" t="n"/>
      <c r="CX18" s="383" t="n"/>
      <c r="CY18" s="383" t="n"/>
      <c r="CZ18" s="383" t="n"/>
      <c r="DA18" s="383" t="n"/>
      <c r="DB18" s="383" t="n"/>
      <c r="DC18" s="383" t="n"/>
      <c r="DD18" s="383" t="n"/>
      <c r="DE18" s="383" t="n"/>
      <c r="DF18" s="383" t="n"/>
      <c r="DG18" s="383" t="n"/>
      <c r="DH18" s="383" t="n"/>
      <c r="DI18" s="383" t="n"/>
      <c r="DJ18" s="383" t="n"/>
      <c r="DK18" s="383" t="n"/>
      <c r="DL18" s="383" t="n"/>
      <c r="DM18" s="383" t="n"/>
      <c r="DN18" s="383" t="n"/>
      <c r="DO18" s="383" t="n"/>
      <c r="DP18" s="383" t="n"/>
      <c r="DQ18" s="383" t="n"/>
      <c r="DR18" s="383" t="n"/>
      <c r="DS18" s="383" t="n"/>
      <c r="DT18" s="383" t="n"/>
      <c r="DU18" s="383" t="n"/>
      <c r="DV18" s="383" t="n"/>
      <c r="DW18" s="383" t="n"/>
      <c r="DX18" s="383" t="n"/>
      <c r="DY18" s="383" t="n"/>
      <c r="DZ18" s="383" t="n"/>
      <c r="EA18" s="383" t="n"/>
      <c r="EB18" s="383" t="n"/>
      <c r="EC18" s="383" t="n"/>
      <c r="ED18" s="383" t="n"/>
      <c r="EE18" s="383" t="n"/>
      <c r="EF18" s="383" t="n"/>
      <c r="EG18" s="383" t="n"/>
      <c r="EH18" s="383" t="n"/>
      <c r="EI18" s="383" t="n"/>
      <c r="EJ18" s="383" t="n"/>
      <c r="EK18" s="383" t="n"/>
      <c r="EL18" s="383" t="n"/>
      <c r="EM18" s="383" t="n"/>
      <c r="EN18" s="383" t="n"/>
      <c r="EO18" s="383" t="n"/>
      <c r="EP18" s="383" t="n"/>
      <c r="EQ18" s="383" t="n"/>
      <c r="ER18" s="383" t="n"/>
      <c r="ES18" s="383" t="n"/>
      <c r="ET18" s="383" t="n"/>
      <c r="EU18" s="383" t="n"/>
      <c r="EV18" s="383" t="n"/>
      <c r="EW18" s="383" t="n"/>
      <c r="EX18" s="383" t="n"/>
      <c r="EY18" s="383" t="n"/>
      <c r="EZ18" s="383" t="n"/>
      <c r="FA18" s="383" t="n"/>
      <c r="FB18" s="383" t="n"/>
      <c r="FC18" s="383" t="n"/>
      <c r="FD18" s="383" t="n"/>
      <c r="FE18" s="383" t="n"/>
      <c r="FF18" s="383" t="n"/>
      <c r="FG18" s="383" t="n"/>
      <c r="FH18" s="383" t="n"/>
      <c r="FI18" s="383" t="n"/>
      <c r="FJ18" s="383" t="n"/>
      <c r="FK18" s="383" t="n"/>
      <c r="FL18" s="383" t="n"/>
      <c r="FM18" s="383" t="n"/>
      <c r="FN18" s="383" t="n"/>
      <c r="FO18" s="383" t="n"/>
      <c r="FP18" s="383" t="n"/>
      <c r="FQ18" s="383" t="n"/>
      <c r="FR18" s="383" t="n"/>
      <c r="FS18" s="383" t="n"/>
      <c r="FT18" s="383" t="n"/>
      <c r="FU18" s="383" t="n"/>
      <c r="FV18" s="383" t="n"/>
      <c r="FW18" s="383" t="n"/>
      <c r="FX18" s="383" t="n"/>
      <c r="FY18" s="383" t="n"/>
      <c r="FZ18" s="383" t="n"/>
      <c r="GA18" s="383" t="n"/>
      <c r="GB18" s="383" t="n"/>
      <c r="GC18" s="383" t="n"/>
      <c r="GD18" s="383" t="n"/>
      <c r="GE18" s="383" t="n"/>
      <c r="GF18" s="383" t="n"/>
      <c r="GG18" s="383" t="n"/>
      <c r="GH18" s="383" t="n"/>
      <c r="GI18" s="383" t="n"/>
      <c r="GJ18" s="383" t="n"/>
      <c r="GK18" s="383" t="n"/>
      <c r="GL18" s="383" t="n"/>
      <c r="GM18" s="383" t="n"/>
      <c r="GN18" s="383" t="n"/>
      <c r="GO18" s="383" t="n"/>
      <c r="GP18" s="383" t="n"/>
      <c r="GQ18" s="383" t="n"/>
      <c r="GR18" s="383" t="n"/>
      <c r="GS18" s="383" t="n"/>
      <c r="GT18" s="383" t="n"/>
      <c r="GU18" s="383" t="n"/>
      <c r="GV18" s="383" t="n"/>
      <c r="GW18" s="383" t="n"/>
      <c r="GX18" s="383" t="n"/>
      <c r="GY18" s="383" t="n"/>
    </row>
    <row r="19" ht="15" customHeight="1" s="1883">
      <c r="A19" s="383" t="n"/>
      <c r="B19" s="133" t="inlineStr">
        <is>
          <t>√</t>
        </is>
      </c>
      <c r="C19" s="383" t="n"/>
      <c r="D19" s="390" t="inlineStr">
        <is>
          <t>●</t>
        </is>
      </c>
      <c r="E19" s="668" t="inlineStr">
        <is>
          <t>James Weinberg - Chief Financial Officer</t>
        </is>
      </c>
      <c r="F19" s="696" t="n"/>
      <c r="G19" s="696" t="n"/>
      <c r="H19" s="696" t="n"/>
      <c r="I19" s="383" t="n"/>
      <c r="J19" s="701" t="n">
        <v>200000</v>
      </c>
      <c r="K19" s="1282">
        <f>J19*1.03</f>
        <v/>
      </c>
      <c r="L19" s="1282">
        <f>K19*1.03</f>
        <v/>
      </c>
      <c r="M19" s="1282">
        <f>L19*1.03</f>
        <v/>
      </c>
      <c r="N19" s="1282">
        <f>M19*1.03</f>
        <v/>
      </c>
      <c r="O19" s="383" t="n"/>
      <c r="P19" s="384">
        <f>'Headcount &amp; Salaries - 2'!X12</f>
        <v/>
      </c>
      <c r="Q19" s="384">
        <f>'Headcount &amp; Salaries - 2'!Y12</f>
        <v/>
      </c>
      <c r="R19" s="384">
        <f>'Headcount &amp; Salaries - 2'!Z12</f>
        <v/>
      </c>
      <c r="S19" s="384">
        <f>'Headcount &amp; Salaries - 2'!AA12</f>
        <v/>
      </c>
      <c r="T19" s="384">
        <f>'Headcount &amp; Salaries - 2'!AB12</f>
        <v/>
      </c>
      <c r="U19" s="384">
        <f>'Headcount &amp; Salaries - 2'!AC12</f>
        <v/>
      </c>
      <c r="V19" s="384">
        <f>'Headcount &amp; Salaries - 2'!AD12</f>
        <v/>
      </c>
      <c r="W19" s="384">
        <f>'Headcount &amp; Salaries - 2'!AE12</f>
        <v/>
      </c>
      <c r="X19" s="384">
        <f>'Headcount &amp; Salaries - 2'!AF12</f>
        <v/>
      </c>
      <c r="Y19" s="384">
        <f>'Headcount &amp; Salaries - 2'!AG12</f>
        <v/>
      </c>
      <c r="Z19" s="384">
        <f>'Headcount &amp; Salaries - 2'!AH12</f>
        <v/>
      </c>
      <c r="AA19" s="384">
        <f>'Headcount &amp; Salaries - 2'!AI12</f>
        <v/>
      </c>
      <c r="AB19" s="542">
        <f>'Headcount &amp; Salaries - 2'!AJ12</f>
        <v/>
      </c>
      <c r="AC19" s="384">
        <f>'Headcount &amp; Salaries - 2'!AK12</f>
        <v/>
      </c>
      <c r="AD19" s="384">
        <f>'Headcount &amp; Salaries - 2'!AL12</f>
        <v/>
      </c>
      <c r="AE19" s="384">
        <f>'Headcount &amp; Salaries - 2'!AM12</f>
        <v/>
      </c>
      <c r="AF19" s="384">
        <f>'Headcount &amp; Salaries - 2'!AN12</f>
        <v/>
      </c>
      <c r="AG19" s="384">
        <f>'Headcount &amp; Salaries - 2'!AO12</f>
        <v/>
      </c>
      <c r="AH19" s="384">
        <f>'Headcount &amp; Salaries - 2'!AP12</f>
        <v/>
      </c>
      <c r="AI19" s="384">
        <f>'Headcount &amp; Salaries - 2'!AQ12</f>
        <v/>
      </c>
      <c r="AJ19" s="384">
        <f>'Headcount &amp; Salaries - 2'!AR12</f>
        <v/>
      </c>
      <c r="AK19" s="384">
        <f>'Headcount &amp; Salaries - 2'!AS12</f>
        <v/>
      </c>
      <c r="AL19" s="384">
        <f>'Headcount &amp; Salaries - 2'!AT12</f>
        <v/>
      </c>
      <c r="AM19" s="384">
        <f>'Headcount &amp; Salaries - 2'!AU12</f>
        <v/>
      </c>
      <c r="AN19" s="542">
        <f>'Headcount &amp; Salaries - 2'!AV12</f>
        <v/>
      </c>
      <c r="AO19" s="384">
        <f>'Headcount &amp; Salaries - 2'!AW12</f>
        <v/>
      </c>
      <c r="AP19" s="384">
        <f>'Headcount &amp; Salaries - 2'!AX12</f>
        <v/>
      </c>
      <c r="AQ19" s="384">
        <f>'Headcount &amp; Salaries - 2'!AY12</f>
        <v/>
      </c>
      <c r="AR19" s="384">
        <f>'Headcount &amp; Salaries - 2'!AZ12</f>
        <v/>
      </c>
      <c r="AS19" s="384">
        <f>'Headcount &amp; Salaries - 2'!BA12</f>
        <v/>
      </c>
      <c r="AT19" s="384">
        <f>'Headcount &amp; Salaries - 2'!BB12</f>
        <v/>
      </c>
      <c r="AU19" s="384">
        <f>'Headcount &amp; Salaries - 2'!BC12</f>
        <v/>
      </c>
      <c r="AV19" s="384">
        <f>'Headcount &amp; Salaries - 2'!BD12</f>
        <v/>
      </c>
      <c r="AW19" s="384">
        <f>'Headcount &amp; Salaries - 2'!BE12</f>
        <v/>
      </c>
      <c r="AX19" s="384">
        <f>'Headcount &amp; Salaries - 2'!BF12</f>
        <v/>
      </c>
      <c r="AY19" s="565">
        <f>'Headcount &amp; Salaries - 2'!BG12</f>
        <v/>
      </c>
      <c r="AZ19" s="542">
        <f>'Headcount &amp; Salaries - 2'!BH12</f>
        <v/>
      </c>
      <c r="BA19" s="384">
        <f>'Headcount &amp; Salaries - 2'!BI12</f>
        <v/>
      </c>
      <c r="BB19" s="384">
        <f>'Headcount &amp; Salaries - 2'!BJ12</f>
        <v/>
      </c>
      <c r="BC19" s="384">
        <f>'Headcount &amp; Salaries - 2'!BK12</f>
        <v/>
      </c>
      <c r="BD19" s="384">
        <f>'Headcount &amp; Salaries - 2'!BL12</f>
        <v/>
      </c>
      <c r="BE19" s="384">
        <f>'Headcount &amp; Salaries - 2'!BM12</f>
        <v/>
      </c>
      <c r="BF19" s="384">
        <f>'Headcount &amp; Salaries - 2'!BN12</f>
        <v/>
      </c>
      <c r="BG19" s="384">
        <f>'Headcount &amp; Salaries - 2'!BO12</f>
        <v/>
      </c>
      <c r="BH19" s="384">
        <f>'Headcount &amp; Salaries - 2'!BP12</f>
        <v/>
      </c>
      <c r="BI19" s="384">
        <f>'Headcount &amp; Salaries - 2'!BQ12</f>
        <v/>
      </c>
      <c r="BJ19" s="384">
        <f>'Headcount &amp; Salaries - 2'!BR12</f>
        <v/>
      </c>
      <c r="BK19" s="384">
        <f>'Headcount &amp; Salaries - 2'!BS12</f>
        <v/>
      </c>
      <c r="BL19" s="542">
        <f>'Headcount &amp; Salaries - 2'!BT12</f>
        <v/>
      </c>
      <c r="BM19" s="384">
        <f>'Headcount &amp; Salaries - 2'!BU12</f>
        <v/>
      </c>
      <c r="BN19" s="384">
        <f>'Headcount &amp; Salaries - 2'!BV12</f>
        <v/>
      </c>
      <c r="BO19" s="384">
        <f>'Headcount &amp; Salaries - 2'!BW12</f>
        <v/>
      </c>
      <c r="BP19" s="384">
        <f>'Headcount &amp; Salaries - 2'!BX12</f>
        <v/>
      </c>
      <c r="BQ19" s="384">
        <f>'Headcount &amp; Salaries - 2'!BY12</f>
        <v/>
      </c>
      <c r="BR19" s="384">
        <f>'Headcount &amp; Salaries - 2'!BZ12</f>
        <v/>
      </c>
      <c r="BS19" s="384">
        <f>'Headcount &amp; Salaries - 2'!CA12</f>
        <v/>
      </c>
      <c r="BT19" s="384">
        <f>'Headcount &amp; Salaries - 2'!CB12</f>
        <v/>
      </c>
      <c r="BU19" s="384">
        <f>'Headcount &amp; Salaries - 2'!CC12</f>
        <v/>
      </c>
      <c r="BV19" s="384">
        <f>'Headcount &amp; Salaries - 2'!CD12</f>
        <v/>
      </c>
      <c r="BW19" s="384">
        <f>'Headcount &amp; Salaries - 2'!CE12</f>
        <v/>
      </c>
      <c r="BX19" s="383" t="n"/>
      <c r="BY19" s="383" t="n"/>
      <c r="BZ19" s="383" t="n"/>
      <c r="CA19" s="383" t="n"/>
      <c r="CB19" s="383" t="n"/>
      <c r="CC19" s="383" t="n"/>
      <c r="CD19" s="383" t="n"/>
      <c r="CE19" s="383" t="n"/>
      <c r="CF19" s="383" t="n"/>
      <c r="CG19" s="383" t="n"/>
      <c r="CH19" s="383" t="n"/>
      <c r="CI19" s="383" t="n"/>
      <c r="CJ19" s="383" t="n"/>
      <c r="CK19" s="383" t="n"/>
      <c r="CL19" s="383" t="n"/>
      <c r="CM19" s="383" t="n"/>
      <c r="CN19" s="383" t="n"/>
      <c r="CO19" s="383" t="n"/>
      <c r="CP19" s="383" t="n"/>
      <c r="CQ19" s="383" t="n"/>
      <c r="CR19" s="383" t="n"/>
      <c r="CS19" s="383" t="n"/>
      <c r="CT19" s="383" t="n"/>
      <c r="CU19" s="383" t="n"/>
      <c r="CV19" s="383" t="n"/>
      <c r="CW19" s="383" t="n"/>
      <c r="CX19" s="383" t="n"/>
      <c r="CY19" s="383" t="n"/>
      <c r="CZ19" s="383" t="n"/>
      <c r="DA19" s="383" t="n"/>
      <c r="DB19" s="383" t="n"/>
      <c r="DC19" s="383" t="n"/>
      <c r="DD19" s="383" t="n"/>
      <c r="DE19" s="383" t="n"/>
      <c r="DF19" s="383" t="n"/>
      <c r="DG19" s="383" t="n"/>
      <c r="DH19" s="383" t="n"/>
      <c r="DI19" s="383" t="n"/>
      <c r="DJ19" s="383" t="n"/>
      <c r="DK19" s="383" t="n"/>
      <c r="DL19" s="383" t="n"/>
      <c r="DM19" s="383" t="n"/>
      <c r="DN19" s="383" t="n"/>
      <c r="DO19" s="383" t="n"/>
      <c r="DP19" s="383" t="n"/>
      <c r="DQ19" s="383" t="n"/>
      <c r="DR19" s="383" t="n"/>
      <c r="DS19" s="383" t="n"/>
      <c r="DT19" s="383" t="n"/>
      <c r="DU19" s="383" t="n"/>
      <c r="DV19" s="383" t="n"/>
      <c r="DW19" s="383" t="n"/>
      <c r="DX19" s="383" t="n"/>
      <c r="DY19" s="383" t="n"/>
      <c r="DZ19" s="383" t="n"/>
      <c r="EA19" s="383" t="n"/>
      <c r="EB19" s="383" t="n"/>
      <c r="EC19" s="383" t="n"/>
      <c r="ED19" s="383" t="n"/>
      <c r="EE19" s="383" t="n"/>
      <c r="EF19" s="383" t="n"/>
      <c r="EG19" s="383" t="n"/>
      <c r="EH19" s="383" t="n"/>
      <c r="EI19" s="383" t="n"/>
      <c r="EJ19" s="383" t="n"/>
      <c r="EK19" s="383" t="n"/>
      <c r="EL19" s="383" t="n"/>
      <c r="EM19" s="383" t="n"/>
      <c r="EN19" s="383" t="n"/>
      <c r="EO19" s="383" t="n"/>
      <c r="EP19" s="383" t="n"/>
      <c r="EQ19" s="383" t="n"/>
      <c r="ER19" s="383" t="n"/>
      <c r="ES19" s="383" t="n"/>
      <c r="ET19" s="383" t="n"/>
      <c r="EU19" s="383" t="n"/>
      <c r="EV19" s="383" t="n"/>
      <c r="EW19" s="383" t="n"/>
      <c r="EX19" s="383" t="n"/>
      <c r="EY19" s="383" t="n"/>
      <c r="EZ19" s="383" t="n"/>
      <c r="FA19" s="383" t="n"/>
      <c r="FB19" s="383" t="n"/>
      <c r="FC19" s="383" t="n"/>
      <c r="FD19" s="383" t="n"/>
      <c r="FE19" s="383" t="n"/>
      <c r="FF19" s="383" t="n"/>
      <c r="FG19" s="383" t="n"/>
      <c r="FH19" s="383" t="n"/>
      <c r="FI19" s="383" t="n"/>
      <c r="FJ19" s="383" t="n"/>
      <c r="FK19" s="383" t="n"/>
      <c r="FL19" s="383" t="n"/>
      <c r="FM19" s="383" t="n"/>
      <c r="FN19" s="383" t="n"/>
      <c r="FO19" s="383" t="n"/>
      <c r="FP19" s="383" t="n"/>
      <c r="FQ19" s="383" t="n"/>
      <c r="FR19" s="383" t="n"/>
      <c r="FS19" s="383" t="n"/>
      <c r="FT19" s="383" t="n"/>
      <c r="FU19" s="383" t="n"/>
      <c r="FV19" s="383" t="n"/>
      <c r="FW19" s="383" t="n"/>
      <c r="FX19" s="383" t="n"/>
      <c r="FY19" s="383" t="n"/>
      <c r="FZ19" s="383" t="n"/>
      <c r="GA19" s="383" t="n"/>
      <c r="GB19" s="383" t="n"/>
      <c r="GC19" s="383" t="n"/>
      <c r="GD19" s="383" t="n"/>
      <c r="GE19" s="383" t="n"/>
      <c r="GF19" s="383" t="n"/>
      <c r="GG19" s="383" t="n"/>
      <c r="GH19" s="383" t="n"/>
      <c r="GI19" s="383" t="n"/>
      <c r="GJ19" s="383" t="n"/>
      <c r="GK19" s="383" t="n"/>
      <c r="GL19" s="383" t="n"/>
      <c r="GM19" s="383" t="n"/>
      <c r="GN19" s="383" t="n"/>
      <c r="GO19" s="383" t="n"/>
      <c r="GP19" s="383" t="n"/>
      <c r="GQ19" s="383" t="n"/>
      <c r="GR19" s="383" t="n"/>
      <c r="GS19" s="383" t="n"/>
      <c r="GT19" s="383" t="n"/>
      <c r="GU19" s="383" t="n"/>
      <c r="GV19" s="383" t="n"/>
      <c r="GW19" s="383" t="n"/>
      <c r="GX19" s="383" t="n"/>
      <c r="GY19" s="383" t="n"/>
    </row>
    <row r="20" ht="15" customHeight="1" s="1883">
      <c r="A20" s="383" t="n"/>
      <c r="B20" s="133" t="inlineStr">
        <is>
          <t>√</t>
        </is>
      </c>
      <c r="C20" s="383" t="n"/>
      <c r="D20" s="390" t="inlineStr">
        <is>
          <t>●</t>
        </is>
      </c>
      <c r="E20" s="697" t="inlineStr">
        <is>
          <t>TBD - Controller</t>
        </is>
      </c>
      <c r="F20" s="696" t="n"/>
      <c r="G20" s="696" t="n"/>
      <c r="H20" s="696" t="n"/>
      <c r="I20" s="383" t="n"/>
      <c r="J20" s="701">
        <f>'Headcount &amp; Salaries - 2'!G13</f>
        <v/>
      </c>
      <c r="K20" s="1282">
        <f>J20*1.03</f>
        <v/>
      </c>
      <c r="L20" s="1282">
        <f>K20*1.03</f>
        <v/>
      </c>
      <c r="M20" s="1282">
        <f>L20*1.03</f>
        <v/>
      </c>
      <c r="N20" s="1282">
        <f>M20*1.03</f>
        <v/>
      </c>
      <c r="O20" s="383" t="n"/>
      <c r="P20" s="384">
        <f>'Headcount &amp; Salaries - 2'!X13</f>
        <v/>
      </c>
      <c r="Q20" s="384">
        <f>'Headcount &amp; Salaries - 2'!Y13</f>
        <v/>
      </c>
      <c r="R20" s="384">
        <f>'Headcount &amp; Salaries - 2'!Z13</f>
        <v/>
      </c>
      <c r="S20" s="384">
        <f>'Headcount &amp; Salaries - 2'!AA13</f>
        <v/>
      </c>
      <c r="T20" s="384">
        <f>'Headcount &amp; Salaries - 2'!AB13</f>
        <v/>
      </c>
      <c r="U20" s="384">
        <f>'Headcount &amp; Salaries - 2'!AC13</f>
        <v/>
      </c>
      <c r="V20" s="384">
        <f>'Headcount &amp; Salaries - 2'!AD13</f>
        <v/>
      </c>
      <c r="W20" s="384">
        <f>'Headcount &amp; Salaries - 2'!AE13</f>
        <v/>
      </c>
      <c r="X20" s="384">
        <f>'Headcount &amp; Salaries - 2'!AF13</f>
        <v/>
      </c>
      <c r="Y20" s="384">
        <f>'Headcount &amp; Salaries - 2'!AG13</f>
        <v/>
      </c>
      <c r="Z20" s="384">
        <f>'Headcount &amp; Salaries - 2'!AH13</f>
        <v/>
      </c>
      <c r="AA20" s="384">
        <f>'Headcount &amp; Salaries - 2'!AI13</f>
        <v/>
      </c>
      <c r="AB20" s="542">
        <f>'Headcount &amp; Salaries - 2'!AJ13</f>
        <v/>
      </c>
      <c r="AC20" s="384">
        <f>'Headcount &amp; Salaries - 2'!AK13</f>
        <v/>
      </c>
      <c r="AD20" s="384">
        <f>'Headcount &amp; Salaries - 2'!AL13</f>
        <v/>
      </c>
      <c r="AE20" s="384">
        <f>'Headcount &amp; Salaries - 2'!AM13</f>
        <v/>
      </c>
      <c r="AF20" s="384">
        <f>'Headcount &amp; Salaries - 2'!AN13</f>
        <v/>
      </c>
      <c r="AG20" s="384">
        <f>'Headcount &amp; Salaries - 2'!AO13</f>
        <v/>
      </c>
      <c r="AH20" s="384">
        <f>'Headcount &amp; Salaries - 2'!AP13</f>
        <v/>
      </c>
      <c r="AI20" s="384">
        <f>'Headcount &amp; Salaries - 2'!AQ13</f>
        <v/>
      </c>
      <c r="AJ20" s="384">
        <f>'Headcount &amp; Salaries - 2'!AR13</f>
        <v/>
      </c>
      <c r="AK20" s="384">
        <f>'Headcount &amp; Salaries - 2'!AS13</f>
        <v/>
      </c>
      <c r="AL20" s="384">
        <f>'Headcount &amp; Salaries - 2'!AT13</f>
        <v/>
      </c>
      <c r="AM20" s="384">
        <f>'Headcount &amp; Salaries - 2'!AU13</f>
        <v/>
      </c>
      <c r="AN20" s="542">
        <f>'Headcount &amp; Salaries - 2'!AV13</f>
        <v/>
      </c>
      <c r="AO20" s="384">
        <f>'Headcount &amp; Salaries - 2'!AW13</f>
        <v/>
      </c>
      <c r="AP20" s="384">
        <f>'Headcount &amp; Salaries - 2'!AX13</f>
        <v/>
      </c>
      <c r="AQ20" s="384">
        <f>'Headcount &amp; Salaries - 2'!AY13</f>
        <v/>
      </c>
      <c r="AR20" s="384">
        <f>'Headcount &amp; Salaries - 2'!AZ13</f>
        <v/>
      </c>
      <c r="AS20" s="384">
        <f>'Headcount &amp; Salaries - 2'!BA13</f>
        <v/>
      </c>
      <c r="AT20" s="384">
        <f>'Headcount &amp; Salaries - 2'!BB13</f>
        <v/>
      </c>
      <c r="AU20" s="384">
        <f>'Headcount &amp; Salaries - 2'!BC13</f>
        <v/>
      </c>
      <c r="AV20" s="384">
        <f>'Headcount &amp; Salaries - 2'!BD13</f>
        <v/>
      </c>
      <c r="AW20" s="384">
        <f>'Headcount &amp; Salaries - 2'!BE13</f>
        <v/>
      </c>
      <c r="AX20" s="384">
        <f>'Headcount &amp; Salaries - 2'!BF13</f>
        <v/>
      </c>
      <c r="AY20" s="565">
        <f>'Headcount &amp; Salaries - 2'!BG13</f>
        <v/>
      </c>
      <c r="AZ20" s="542">
        <f>'Headcount &amp; Salaries - 2'!BH13</f>
        <v/>
      </c>
      <c r="BA20" s="384">
        <f>'Headcount &amp; Salaries - 2'!BI13</f>
        <v/>
      </c>
      <c r="BB20" s="384">
        <f>'Headcount &amp; Salaries - 2'!BJ13</f>
        <v/>
      </c>
      <c r="BC20" s="384">
        <f>'Headcount &amp; Salaries - 2'!BK13</f>
        <v/>
      </c>
      <c r="BD20" s="384">
        <f>'Headcount &amp; Salaries - 2'!BL13</f>
        <v/>
      </c>
      <c r="BE20" s="384">
        <f>'Headcount &amp; Salaries - 2'!BM13</f>
        <v/>
      </c>
      <c r="BF20" s="384">
        <f>'Headcount &amp; Salaries - 2'!BN13</f>
        <v/>
      </c>
      <c r="BG20" s="384">
        <f>'Headcount &amp; Salaries - 2'!BO13</f>
        <v/>
      </c>
      <c r="BH20" s="384">
        <f>'Headcount &amp; Salaries - 2'!BP13</f>
        <v/>
      </c>
      <c r="BI20" s="384">
        <f>'Headcount &amp; Salaries - 2'!BQ13</f>
        <v/>
      </c>
      <c r="BJ20" s="384">
        <f>'Headcount &amp; Salaries - 2'!BR13</f>
        <v/>
      </c>
      <c r="BK20" s="384">
        <f>'Headcount &amp; Salaries - 2'!BS13</f>
        <v/>
      </c>
      <c r="BL20" s="542">
        <f>'Headcount &amp; Salaries - 2'!BT13</f>
        <v/>
      </c>
      <c r="BM20" s="384">
        <f>'Headcount &amp; Salaries - 2'!BU13</f>
        <v/>
      </c>
      <c r="BN20" s="384">
        <f>'Headcount &amp; Salaries - 2'!BV13</f>
        <v/>
      </c>
      <c r="BO20" s="384">
        <f>'Headcount &amp; Salaries - 2'!BW13</f>
        <v/>
      </c>
      <c r="BP20" s="384">
        <f>'Headcount &amp; Salaries - 2'!BX13</f>
        <v/>
      </c>
      <c r="BQ20" s="384">
        <f>'Headcount &amp; Salaries - 2'!BY13</f>
        <v/>
      </c>
      <c r="BR20" s="384">
        <f>'Headcount &amp; Salaries - 2'!BZ13</f>
        <v/>
      </c>
      <c r="BS20" s="384">
        <f>'Headcount &amp; Salaries - 2'!CA13</f>
        <v/>
      </c>
      <c r="BT20" s="384">
        <f>'Headcount &amp; Salaries - 2'!CB13</f>
        <v/>
      </c>
      <c r="BU20" s="384">
        <f>'Headcount &amp; Salaries - 2'!CC13</f>
        <v/>
      </c>
      <c r="BV20" s="384">
        <f>'Headcount &amp; Salaries - 2'!CD13</f>
        <v/>
      </c>
      <c r="BW20" s="384">
        <f>'Headcount &amp; Salaries - 2'!CE13</f>
        <v/>
      </c>
      <c r="BX20" s="383" t="n"/>
      <c r="BY20" s="383" t="n"/>
      <c r="BZ20" s="383" t="n"/>
      <c r="CA20" s="383" t="n"/>
      <c r="CB20" s="383" t="n"/>
      <c r="CC20" s="383" t="n"/>
      <c r="CD20" s="383" t="n"/>
      <c r="CE20" s="383" t="n"/>
      <c r="CF20" s="383" t="n"/>
      <c r="CG20" s="383" t="n"/>
      <c r="CH20" s="383" t="n"/>
      <c r="CI20" s="383" t="n"/>
      <c r="CJ20" s="383" t="n"/>
      <c r="CK20" s="383" t="n"/>
      <c r="CL20" s="383" t="n"/>
      <c r="CM20" s="383" t="n"/>
      <c r="CN20" s="383" t="n"/>
      <c r="CO20" s="383" t="n"/>
      <c r="CP20" s="383" t="n"/>
      <c r="CQ20" s="383" t="n"/>
      <c r="CR20" s="383" t="n"/>
      <c r="CS20" s="383" t="n"/>
      <c r="CT20" s="383" t="n"/>
      <c r="CU20" s="383" t="n"/>
      <c r="CV20" s="383" t="n"/>
      <c r="CW20" s="383" t="n"/>
      <c r="CX20" s="383" t="n"/>
      <c r="CY20" s="383" t="n"/>
      <c r="CZ20" s="383" t="n"/>
      <c r="DA20" s="383" t="n"/>
      <c r="DB20" s="383" t="n"/>
      <c r="DC20" s="383" t="n"/>
      <c r="DD20" s="383" t="n"/>
      <c r="DE20" s="383" t="n"/>
      <c r="DF20" s="383" t="n"/>
      <c r="DG20" s="383" t="n"/>
      <c r="DH20" s="383" t="n"/>
      <c r="DI20" s="383" t="n"/>
      <c r="DJ20" s="383" t="n"/>
      <c r="DK20" s="383" t="n"/>
      <c r="DL20" s="383" t="n"/>
      <c r="DM20" s="383" t="n"/>
      <c r="DN20" s="383" t="n"/>
      <c r="DO20" s="383" t="n"/>
      <c r="DP20" s="383" t="n"/>
      <c r="DQ20" s="383" t="n"/>
      <c r="DR20" s="383" t="n"/>
      <c r="DS20" s="383" t="n"/>
      <c r="DT20" s="383" t="n"/>
      <c r="DU20" s="383" t="n"/>
      <c r="DV20" s="383" t="n"/>
      <c r="DW20" s="383" t="n"/>
      <c r="DX20" s="383" t="n"/>
      <c r="DY20" s="383" t="n"/>
      <c r="DZ20" s="383" t="n"/>
      <c r="EA20" s="383" t="n"/>
      <c r="EB20" s="383" t="n"/>
      <c r="EC20" s="383" t="n"/>
      <c r="ED20" s="383" t="n"/>
      <c r="EE20" s="383" t="n"/>
      <c r="EF20" s="383" t="n"/>
      <c r="EG20" s="383" t="n"/>
      <c r="EH20" s="383" t="n"/>
      <c r="EI20" s="383" t="n"/>
      <c r="EJ20" s="383" t="n"/>
      <c r="EK20" s="383" t="n"/>
      <c r="EL20" s="383" t="n"/>
      <c r="EM20" s="383" t="n"/>
      <c r="EN20" s="383" t="n"/>
      <c r="EO20" s="383" t="n"/>
      <c r="EP20" s="383" t="n"/>
      <c r="EQ20" s="383" t="n"/>
      <c r="ER20" s="383" t="n"/>
      <c r="ES20" s="383" t="n"/>
      <c r="ET20" s="383" t="n"/>
      <c r="EU20" s="383" t="n"/>
      <c r="EV20" s="383" t="n"/>
      <c r="EW20" s="383" t="n"/>
      <c r="EX20" s="383" t="n"/>
      <c r="EY20" s="383" t="n"/>
      <c r="EZ20" s="383" t="n"/>
      <c r="FA20" s="383" t="n"/>
      <c r="FB20" s="383" t="n"/>
      <c r="FC20" s="383" t="n"/>
      <c r="FD20" s="383" t="n"/>
      <c r="FE20" s="383" t="n"/>
      <c r="FF20" s="383" t="n"/>
      <c r="FG20" s="383" t="n"/>
      <c r="FH20" s="383" t="n"/>
      <c r="FI20" s="383" t="n"/>
      <c r="FJ20" s="383" t="n"/>
      <c r="FK20" s="383" t="n"/>
      <c r="FL20" s="383" t="n"/>
      <c r="FM20" s="383" t="n"/>
      <c r="FN20" s="383" t="n"/>
      <c r="FO20" s="383" t="n"/>
      <c r="FP20" s="383" t="n"/>
      <c r="FQ20" s="383" t="n"/>
      <c r="FR20" s="383" t="n"/>
      <c r="FS20" s="383" t="n"/>
      <c r="FT20" s="383" t="n"/>
      <c r="FU20" s="383" t="n"/>
      <c r="FV20" s="383" t="n"/>
      <c r="FW20" s="383" t="n"/>
      <c r="FX20" s="383" t="n"/>
      <c r="FY20" s="383" t="n"/>
      <c r="FZ20" s="383" t="n"/>
      <c r="GA20" s="383" t="n"/>
      <c r="GB20" s="383" t="n"/>
      <c r="GC20" s="383" t="n"/>
      <c r="GD20" s="383" t="n"/>
      <c r="GE20" s="383" t="n"/>
      <c r="GF20" s="383" t="n"/>
      <c r="GG20" s="383" t="n"/>
      <c r="GH20" s="383" t="n"/>
      <c r="GI20" s="383" t="n"/>
      <c r="GJ20" s="383" t="n"/>
      <c r="GK20" s="383" t="n"/>
      <c r="GL20" s="383" t="n"/>
      <c r="GM20" s="383" t="n"/>
      <c r="GN20" s="383" t="n"/>
      <c r="GO20" s="383" t="n"/>
      <c r="GP20" s="383" t="n"/>
      <c r="GQ20" s="383" t="n"/>
      <c r="GR20" s="383" t="n"/>
      <c r="GS20" s="383" t="n"/>
      <c r="GT20" s="383" t="n"/>
      <c r="GU20" s="383" t="n"/>
      <c r="GV20" s="383" t="n"/>
      <c r="GW20" s="383" t="n"/>
      <c r="GX20" s="383" t="n"/>
      <c r="GY20" s="383" t="n"/>
    </row>
    <row r="21" ht="15" customHeight="1" s="1883">
      <c r="A21" s="383" t="n"/>
      <c r="B21" s="133" t="inlineStr">
        <is>
          <t>√</t>
        </is>
      </c>
      <c r="C21" s="383" t="n"/>
      <c r="D21" s="390" t="inlineStr">
        <is>
          <t>●</t>
        </is>
      </c>
      <c r="E21" s="668" t="inlineStr">
        <is>
          <t>Jason Steinberg - Chief Strategy Officer</t>
        </is>
      </c>
      <c r="F21" s="696" t="n"/>
      <c r="G21" s="696" t="n"/>
      <c r="H21" s="696" t="n"/>
      <c r="I21" s="383" t="n"/>
      <c r="J21" s="701" t="n">
        <v>200000</v>
      </c>
      <c r="K21" s="1282">
        <f>J21*1.03</f>
        <v/>
      </c>
      <c r="L21" s="1282">
        <f>K21*1.03</f>
        <v/>
      </c>
      <c r="M21" s="1282">
        <f>L21*1.03</f>
        <v/>
      </c>
      <c r="N21" s="1282">
        <f>M21*1.03</f>
        <v/>
      </c>
      <c r="O21" s="383" t="n"/>
      <c r="P21" s="384">
        <f>'Headcount &amp; Salaries - 2'!X14</f>
        <v/>
      </c>
      <c r="Q21" s="384">
        <f>'Headcount &amp; Salaries - 2'!Y14</f>
        <v/>
      </c>
      <c r="R21" s="384">
        <f>'Headcount &amp; Salaries - 2'!Z14</f>
        <v/>
      </c>
      <c r="S21" s="384">
        <f>'Headcount &amp; Salaries - 2'!AA14</f>
        <v/>
      </c>
      <c r="T21" s="384">
        <f>'Headcount &amp; Salaries - 2'!AB14</f>
        <v/>
      </c>
      <c r="U21" s="384">
        <f>'Headcount &amp; Salaries - 2'!AC14</f>
        <v/>
      </c>
      <c r="V21" s="384">
        <f>'Headcount &amp; Salaries - 2'!AD14</f>
        <v/>
      </c>
      <c r="W21" s="384">
        <f>'Headcount &amp; Salaries - 2'!AE14</f>
        <v/>
      </c>
      <c r="X21" s="384">
        <f>'Headcount &amp; Salaries - 2'!AF14</f>
        <v/>
      </c>
      <c r="Y21" s="384">
        <f>'Headcount &amp; Salaries - 2'!AG14</f>
        <v/>
      </c>
      <c r="Z21" s="384">
        <f>'Headcount &amp; Salaries - 2'!AH14</f>
        <v/>
      </c>
      <c r="AA21" s="384">
        <f>'Headcount &amp; Salaries - 2'!AI14</f>
        <v/>
      </c>
      <c r="AB21" s="542">
        <f>'Headcount &amp; Salaries - 2'!AJ14</f>
        <v/>
      </c>
      <c r="AC21" s="384">
        <f>'Headcount &amp; Salaries - 2'!AK14</f>
        <v/>
      </c>
      <c r="AD21" s="384">
        <f>'Headcount &amp; Salaries - 2'!AL14</f>
        <v/>
      </c>
      <c r="AE21" s="384">
        <f>'Headcount &amp; Salaries - 2'!AM14</f>
        <v/>
      </c>
      <c r="AF21" s="384">
        <f>'Headcount &amp; Salaries - 2'!AN14</f>
        <v/>
      </c>
      <c r="AG21" s="384">
        <f>'Headcount &amp; Salaries - 2'!AO14</f>
        <v/>
      </c>
      <c r="AH21" s="384">
        <f>'Headcount &amp; Salaries - 2'!AP14</f>
        <v/>
      </c>
      <c r="AI21" s="384">
        <f>'Headcount &amp; Salaries - 2'!AQ14</f>
        <v/>
      </c>
      <c r="AJ21" s="384">
        <f>'Headcount &amp; Salaries - 2'!AR14</f>
        <v/>
      </c>
      <c r="AK21" s="384">
        <f>'Headcount &amp; Salaries - 2'!AS14</f>
        <v/>
      </c>
      <c r="AL21" s="384">
        <f>'Headcount &amp; Salaries - 2'!AT14</f>
        <v/>
      </c>
      <c r="AM21" s="384">
        <f>'Headcount &amp; Salaries - 2'!AU14</f>
        <v/>
      </c>
      <c r="AN21" s="542">
        <f>'Headcount &amp; Salaries - 2'!AV14</f>
        <v/>
      </c>
      <c r="AO21" s="384">
        <f>'Headcount &amp; Salaries - 2'!AW14</f>
        <v/>
      </c>
      <c r="AP21" s="384">
        <f>'Headcount &amp; Salaries - 2'!AX14</f>
        <v/>
      </c>
      <c r="AQ21" s="384">
        <f>'Headcount &amp; Salaries - 2'!AY14</f>
        <v/>
      </c>
      <c r="AR21" s="384">
        <f>'Headcount &amp; Salaries - 2'!AZ14</f>
        <v/>
      </c>
      <c r="AS21" s="384">
        <f>'Headcount &amp; Salaries - 2'!BA14</f>
        <v/>
      </c>
      <c r="AT21" s="384">
        <f>'Headcount &amp; Salaries - 2'!BB14</f>
        <v/>
      </c>
      <c r="AU21" s="384">
        <f>'Headcount &amp; Salaries - 2'!BC14</f>
        <v/>
      </c>
      <c r="AV21" s="384">
        <f>'Headcount &amp; Salaries - 2'!BD14</f>
        <v/>
      </c>
      <c r="AW21" s="384">
        <f>'Headcount &amp; Salaries - 2'!BE14</f>
        <v/>
      </c>
      <c r="AX21" s="384">
        <f>'Headcount &amp; Salaries - 2'!BF14</f>
        <v/>
      </c>
      <c r="AY21" s="565">
        <f>'Headcount &amp; Salaries - 2'!BG14</f>
        <v/>
      </c>
      <c r="AZ21" s="542">
        <f>'Headcount &amp; Salaries - 2'!BH14</f>
        <v/>
      </c>
      <c r="BA21" s="384">
        <f>'Headcount &amp; Salaries - 2'!BI14</f>
        <v/>
      </c>
      <c r="BB21" s="384">
        <f>'Headcount &amp; Salaries - 2'!BJ14</f>
        <v/>
      </c>
      <c r="BC21" s="384">
        <f>'Headcount &amp; Salaries - 2'!BK14</f>
        <v/>
      </c>
      <c r="BD21" s="384">
        <f>'Headcount &amp; Salaries - 2'!BL14</f>
        <v/>
      </c>
      <c r="BE21" s="384">
        <f>'Headcount &amp; Salaries - 2'!BM14</f>
        <v/>
      </c>
      <c r="BF21" s="384">
        <f>'Headcount &amp; Salaries - 2'!BN14</f>
        <v/>
      </c>
      <c r="BG21" s="384">
        <f>'Headcount &amp; Salaries - 2'!BO14</f>
        <v/>
      </c>
      <c r="BH21" s="384">
        <f>'Headcount &amp; Salaries - 2'!BP14</f>
        <v/>
      </c>
      <c r="BI21" s="384">
        <f>'Headcount &amp; Salaries - 2'!BQ14</f>
        <v/>
      </c>
      <c r="BJ21" s="384">
        <f>'Headcount &amp; Salaries - 2'!BR14</f>
        <v/>
      </c>
      <c r="BK21" s="384">
        <f>'Headcount &amp; Salaries - 2'!BS14</f>
        <v/>
      </c>
      <c r="BL21" s="542">
        <f>'Headcount &amp; Salaries - 2'!BT14</f>
        <v/>
      </c>
      <c r="BM21" s="384">
        <f>'Headcount &amp; Salaries - 2'!BU14</f>
        <v/>
      </c>
      <c r="BN21" s="384">
        <f>'Headcount &amp; Salaries - 2'!BV14</f>
        <v/>
      </c>
      <c r="BO21" s="384">
        <f>'Headcount &amp; Salaries - 2'!BW14</f>
        <v/>
      </c>
      <c r="BP21" s="384">
        <f>'Headcount &amp; Salaries - 2'!BX14</f>
        <v/>
      </c>
      <c r="BQ21" s="384">
        <f>'Headcount &amp; Salaries - 2'!BY14</f>
        <v/>
      </c>
      <c r="BR21" s="384">
        <f>'Headcount &amp; Salaries - 2'!BZ14</f>
        <v/>
      </c>
      <c r="BS21" s="384">
        <f>'Headcount &amp; Salaries - 2'!CA14</f>
        <v/>
      </c>
      <c r="BT21" s="384">
        <f>'Headcount &amp; Salaries - 2'!CB14</f>
        <v/>
      </c>
      <c r="BU21" s="384">
        <f>'Headcount &amp; Salaries - 2'!CC14</f>
        <v/>
      </c>
      <c r="BV21" s="384">
        <f>'Headcount &amp; Salaries - 2'!CD14</f>
        <v/>
      </c>
      <c r="BW21" s="384">
        <f>'Headcount &amp; Salaries - 2'!CE14</f>
        <v/>
      </c>
      <c r="BX21" s="383" t="n"/>
      <c r="BY21" s="383" t="n"/>
      <c r="BZ21" s="383" t="n"/>
      <c r="CA21" s="383" t="n"/>
      <c r="CB21" s="383" t="n"/>
      <c r="CC21" s="383" t="n"/>
      <c r="CD21" s="383" t="n"/>
      <c r="CE21" s="383" t="n"/>
      <c r="CF21" s="383" t="n"/>
      <c r="CG21" s="383" t="n"/>
      <c r="CH21" s="383" t="n"/>
      <c r="CI21" s="383" t="n"/>
      <c r="CJ21" s="383" t="n"/>
      <c r="CK21" s="383" t="n"/>
      <c r="CL21" s="383" t="n"/>
      <c r="CM21" s="383" t="n"/>
      <c r="CN21" s="383" t="n"/>
      <c r="CO21" s="383" t="n"/>
      <c r="CP21" s="383" t="n"/>
      <c r="CQ21" s="383" t="n"/>
      <c r="CR21" s="383" t="n"/>
      <c r="CS21" s="383" t="n"/>
      <c r="CT21" s="383" t="n"/>
      <c r="CU21" s="383" t="n"/>
      <c r="CV21" s="383" t="n"/>
      <c r="CW21" s="383" t="n"/>
      <c r="CX21" s="383" t="n"/>
      <c r="CY21" s="383" t="n"/>
      <c r="CZ21" s="383" t="n"/>
      <c r="DA21" s="383" t="n"/>
      <c r="DB21" s="383" t="n"/>
      <c r="DC21" s="383" t="n"/>
      <c r="DD21" s="383" t="n"/>
      <c r="DE21" s="383" t="n"/>
      <c r="DF21" s="383" t="n"/>
      <c r="DG21" s="383" t="n"/>
      <c r="DH21" s="383" t="n"/>
      <c r="DI21" s="383" t="n"/>
      <c r="DJ21" s="383" t="n"/>
      <c r="DK21" s="383" t="n"/>
      <c r="DL21" s="383" t="n"/>
      <c r="DM21" s="383" t="n"/>
      <c r="DN21" s="383" t="n"/>
      <c r="DO21" s="383" t="n"/>
      <c r="DP21" s="383" t="n"/>
      <c r="DQ21" s="383" t="n"/>
      <c r="DR21" s="383" t="n"/>
      <c r="DS21" s="383" t="n"/>
      <c r="DT21" s="383" t="n"/>
      <c r="DU21" s="383" t="n"/>
      <c r="DV21" s="383" t="n"/>
      <c r="DW21" s="383" t="n"/>
      <c r="DX21" s="383" t="n"/>
      <c r="DY21" s="383" t="n"/>
      <c r="DZ21" s="383" t="n"/>
      <c r="EA21" s="383" t="n"/>
      <c r="EB21" s="383" t="n"/>
      <c r="EC21" s="383" t="n"/>
      <c r="ED21" s="383" t="n"/>
      <c r="EE21" s="383" t="n"/>
      <c r="EF21" s="383" t="n"/>
      <c r="EG21" s="383" t="n"/>
      <c r="EH21" s="383" t="n"/>
      <c r="EI21" s="383" t="n"/>
      <c r="EJ21" s="383" t="n"/>
      <c r="EK21" s="383" t="n"/>
      <c r="EL21" s="383" t="n"/>
      <c r="EM21" s="383" t="n"/>
      <c r="EN21" s="383" t="n"/>
      <c r="EO21" s="383" t="n"/>
      <c r="EP21" s="383" t="n"/>
      <c r="EQ21" s="383" t="n"/>
      <c r="ER21" s="383" t="n"/>
      <c r="ES21" s="383" t="n"/>
      <c r="ET21" s="383" t="n"/>
      <c r="EU21" s="383" t="n"/>
      <c r="EV21" s="383" t="n"/>
      <c r="EW21" s="383" t="n"/>
      <c r="EX21" s="383" t="n"/>
      <c r="EY21" s="383" t="n"/>
      <c r="EZ21" s="383" t="n"/>
      <c r="FA21" s="383" t="n"/>
      <c r="FB21" s="383" t="n"/>
      <c r="FC21" s="383" t="n"/>
      <c r="FD21" s="383" t="n"/>
      <c r="FE21" s="383" t="n"/>
      <c r="FF21" s="383" t="n"/>
      <c r="FG21" s="383" t="n"/>
      <c r="FH21" s="383" t="n"/>
      <c r="FI21" s="383" t="n"/>
      <c r="FJ21" s="383" t="n"/>
      <c r="FK21" s="383" t="n"/>
      <c r="FL21" s="383" t="n"/>
      <c r="FM21" s="383" t="n"/>
      <c r="FN21" s="383" t="n"/>
      <c r="FO21" s="383" t="n"/>
      <c r="FP21" s="383" t="n"/>
      <c r="FQ21" s="383" t="n"/>
      <c r="FR21" s="383" t="n"/>
      <c r="FS21" s="383" t="n"/>
      <c r="FT21" s="383" t="n"/>
      <c r="FU21" s="383" t="n"/>
      <c r="FV21" s="383" t="n"/>
      <c r="FW21" s="383" t="n"/>
      <c r="FX21" s="383" t="n"/>
      <c r="FY21" s="383" t="n"/>
      <c r="FZ21" s="383" t="n"/>
      <c r="GA21" s="383" t="n"/>
      <c r="GB21" s="383" t="n"/>
      <c r="GC21" s="383" t="n"/>
      <c r="GD21" s="383" t="n"/>
      <c r="GE21" s="383" t="n"/>
      <c r="GF21" s="383" t="n"/>
      <c r="GG21" s="383" t="n"/>
      <c r="GH21" s="383" t="n"/>
      <c r="GI21" s="383" t="n"/>
      <c r="GJ21" s="383" t="n"/>
      <c r="GK21" s="383" t="n"/>
      <c r="GL21" s="383" t="n"/>
      <c r="GM21" s="383" t="n"/>
      <c r="GN21" s="383" t="n"/>
      <c r="GO21" s="383" t="n"/>
      <c r="GP21" s="383" t="n"/>
      <c r="GQ21" s="383" t="n"/>
      <c r="GR21" s="383" t="n"/>
      <c r="GS21" s="383" t="n"/>
      <c r="GT21" s="383" t="n"/>
      <c r="GU21" s="383" t="n"/>
      <c r="GV21" s="383" t="n"/>
      <c r="GW21" s="383" t="n"/>
      <c r="GX21" s="383" t="n"/>
      <c r="GY21" s="383" t="n"/>
    </row>
    <row r="22" ht="15" customHeight="1" s="1883">
      <c r="A22" s="383" t="n"/>
      <c r="B22" s="133" t="inlineStr">
        <is>
          <t>√</t>
        </is>
      </c>
      <c r="C22" s="383" t="n"/>
      <c r="D22" s="390" t="inlineStr">
        <is>
          <t>●</t>
        </is>
      </c>
      <c r="E22" s="668" t="inlineStr">
        <is>
          <t>Philip Bliss - Chief Marketing Officer</t>
        </is>
      </c>
      <c r="F22" s="696" t="n"/>
      <c r="G22" s="696" t="n"/>
      <c r="H22" s="696" t="n"/>
      <c r="I22" s="383" t="n"/>
      <c r="J22" s="701" t="n">
        <v>120000</v>
      </c>
      <c r="K22" s="1282">
        <f>J22*1.03</f>
        <v/>
      </c>
      <c r="L22" s="1282">
        <f>K22*1.03</f>
        <v/>
      </c>
      <c r="M22" s="1282">
        <f>L22*1.03</f>
        <v/>
      </c>
      <c r="N22" s="1282">
        <f>M22*1.03</f>
        <v/>
      </c>
      <c r="O22" s="383" t="n"/>
      <c r="P22" s="384">
        <f>'Headcount &amp; Salaries - 2'!X15</f>
        <v/>
      </c>
      <c r="Q22" s="384">
        <f>'Headcount &amp; Salaries - 2'!Y15</f>
        <v/>
      </c>
      <c r="R22" s="384">
        <f>'Headcount &amp; Salaries - 2'!Z15</f>
        <v/>
      </c>
      <c r="S22" s="384">
        <f>'Headcount &amp; Salaries - 2'!AA15</f>
        <v/>
      </c>
      <c r="T22" s="384">
        <f>'Headcount &amp; Salaries - 2'!AB15</f>
        <v/>
      </c>
      <c r="U22" s="384">
        <f>'Headcount &amp; Salaries - 2'!AC15</f>
        <v/>
      </c>
      <c r="V22" s="384">
        <f>'Headcount &amp; Salaries - 2'!AD15</f>
        <v/>
      </c>
      <c r="W22" s="384">
        <f>'Headcount &amp; Salaries - 2'!AE15</f>
        <v/>
      </c>
      <c r="X22" s="384">
        <f>'Headcount &amp; Salaries - 2'!AF15</f>
        <v/>
      </c>
      <c r="Y22" s="384">
        <f>'Headcount &amp; Salaries - 2'!AG15</f>
        <v/>
      </c>
      <c r="Z22" s="384">
        <f>'Headcount &amp; Salaries - 2'!AH15</f>
        <v/>
      </c>
      <c r="AA22" s="384">
        <f>'Headcount &amp; Salaries - 2'!AI15</f>
        <v/>
      </c>
      <c r="AB22" s="542">
        <f>'Headcount &amp; Salaries - 2'!AJ15</f>
        <v/>
      </c>
      <c r="AC22" s="384">
        <f>'Headcount &amp; Salaries - 2'!AK15</f>
        <v/>
      </c>
      <c r="AD22" s="384">
        <f>'Headcount &amp; Salaries - 2'!AL15</f>
        <v/>
      </c>
      <c r="AE22" s="384">
        <f>'Headcount &amp; Salaries - 2'!AM15</f>
        <v/>
      </c>
      <c r="AF22" s="384">
        <f>'Headcount &amp; Salaries - 2'!AN15</f>
        <v/>
      </c>
      <c r="AG22" s="384">
        <f>'Headcount &amp; Salaries - 2'!AO15</f>
        <v/>
      </c>
      <c r="AH22" s="384">
        <f>'Headcount &amp; Salaries - 2'!AP15</f>
        <v/>
      </c>
      <c r="AI22" s="384">
        <f>'Headcount &amp; Salaries - 2'!AQ15</f>
        <v/>
      </c>
      <c r="AJ22" s="384">
        <f>'Headcount &amp; Salaries - 2'!AR15</f>
        <v/>
      </c>
      <c r="AK22" s="384">
        <f>'Headcount &amp; Salaries - 2'!AS15</f>
        <v/>
      </c>
      <c r="AL22" s="384">
        <f>'Headcount &amp; Salaries - 2'!AT15</f>
        <v/>
      </c>
      <c r="AM22" s="384">
        <f>'Headcount &amp; Salaries - 2'!AU15</f>
        <v/>
      </c>
      <c r="AN22" s="542">
        <f>'Headcount &amp; Salaries - 2'!AV15</f>
        <v/>
      </c>
      <c r="AO22" s="384">
        <f>'Headcount &amp; Salaries - 2'!AW15</f>
        <v/>
      </c>
      <c r="AP22" s="384">
        <f>'Headcount &amp; Salaries - 2'!AX15</f>
        <v/>
      </c>
      <c r="AQ22" s="384">
        <f>'Headcount &amp; Salaries - 2'!AY15</f>
        <v/>
      </c>
      <c r="AR22" s="384">
        <f>'Headcount &amp; Salaries - 2'!AZ15</f>
        <v/>
      </c>
      <c r="AS22" s="384">
        <f>'Headcount &amp; Salaries - 2'!BA15</f>
        <v/>
      </c>
      <c r="AT22" s="384">
        <f>'Headcount &amp; Salaries - 2'!BB15</f>
        <v/>
      </c>
      <c r="AU22" s="384">
        <f>'Headcount &amp; Salaries - 2'!BC15</f>
        <v/>
      </c>
      <c r="AV22" s="384">
        <f>'Headcount &amp; Salaries - 2'!BD15</f>
        <v/>
      </c>
      <c r="AW22" s="384">
        <f>'Headcount &amp; Salaries - 2'!BE15</f>
        <v/>
      </c>
      <c r="AX22" s="384">
        <f>'Headcount &amp; Salaries - 2'!BF15</f>
        <v/>
      </c>
      <c r="AY22" s="565">
        <f>'Headcount &amp; Salaries - 2'!BG15</f>
        <v/>
      </c>
      <c r="AZ22" s="542">
        <f>'Headcount &amp; Salaries - 2'!BH15</f>
        <v/>
      </c>
      <c r="BA22" s="384">
        <f>'Headcount &amp; Salaries - 2'!BI15</f>
        <v/>
      </c>
      <c r="BB22" s="384">
        <f>'Headcount &amp; Salaries - 2'!BJ15</f>
        <v/>
      </c>
      <c r="BC22" s="384">
        <f>'Headcount &amp; Salaries - 2'!BK15</f>
        <v/>
      </c>
      <c r="BD22" s="384">
        <f>'Headcount &amp; Salaries - 2'!BL15</f>
        <v/>
      </c>
      <c r="BE22" s="384">
        <f>'Headcount &amp; Salaries - 2'!BM15</f>
        <v/>
      </c>
      <c r="BF22" s="384">
        <f>'Headcount &amp; Salaries - 2'!BN15</f>
        <v/>
      </c>
      <c r="BG22" s="384">
        <f>'Headcount &amp; Salaries - 2'!BO15</f>
        <v/>
      </c>
      <c r="BH22" s="384">
        <f>'Headcount &amp; Salaries - 2'!BP15</f>
        <v/>
      </c>
      <c r="BI22" s="384">
        <f>'Headcount &amp; Salaries - 2'!BQ15</f>
        <v/>
      </c>
      <c r="BJ22" s="384">
        <f>'Headcount &amp; Salaries - 2'!BR15</f>
        <v/>
      </c>
      <c r="BK22" s="384">
        <f>'Headcount &amp; Salaries - 2'!BS15</f>
        <v/>
      </c>
      <c r="BL22" s="542">
        <f>'Headcount &amp; Salaries - 2'!BT15</f>
        <v/>
      </c>
      <c r="BM22" s="384">
        <f>'Headcount &amp; Salaries - 2'!BU15</f>
        <v/>
      </c>
      <c r="BN22" s="384">
        <f>'Headcount &amp; Salaries - 2'!BV15</f>
        <v/>
      </c>
      <c r="BO22" s="384">
        <f>'Headcount &amp; Salaries - 2'!BW15</f>
        <v/>
      </c>
      <c r="BP22" s="384">
        <f>'Headcount &amp; Salaries - 2'!BX15</f>
        <v/>
      </c>
      <c r="BQ22" s="384">
        <f>'Headcount &amp; Salaries - 2'!BY15</f>
        <v/>
      </c>
      <c r="BR22" s="384">
        <f>'Headcount &amp; Salaries - 2'!BZ15</f>
        <v/>
      </c>
      <c r="BS22" s="384">
        <f>'Headcount &amp; Salaries - 2'!CA15</f>
        <v/>
      </c>
      <c r="BT22" s="384">
        <f>'Headcount &amp; Salaries - 2'!CB15</f>
        <v/>
      </c>
      <c r="BU22" s="384">
        <f>'Headcount &amp; Salaries - 2'!CC15</f>
        <v/>
      </c>
      <c r="BV22" s="384">
        <f>'Headcount &amp; Salaries - 2'!CD15</f>
        <v/>
      </c>
      <c r="BW22" s="384">
        <f>'Headcount &amp; Salaries - 2'!CE15</f>
        <v/>
      </c>
      <c r="BX22" s="383" t="n"/>
      <c r="BY22" s="383" t="n"/>
      <c r="BZ22" s="383" t="n"/>
      <c r="CA22" s="383" t="n"/>
      <c r="CB22" s="383" t="n"/>
      <c r="CC22" s="383" t="n"/>
      <c r="CD22" s="383" t="n"/>
      <c r="CE22" s="383" t="n"/>
      <c r="CF22" s="383" t="n"/>
      <c r="CG22" s="383" t="n"/>
      <c r="CH22" s="383" t="n"/>
      <c r="CI22" s="383" t="n"/>
      <c r="CJ22" s="383" t="n"/>
      <c r="CK22" s="383" t="n"/>
      <c r="CL22" s="383" t="n"/>
      <c r="CM22" s="383" t="n"/>
      <c r="CN22" s="383" t="n"/>
      <c r="CO22" s="383" t="n"/>
      <c r="CP22" s="383" t="n"/>
      <c r="CQ22" s="383" t="n"/>
      <c r="CR22" s="383" t="n"/>
      <c r="CS22" s="383" t="n"/>
      <c r="CT22" s="383" t="n"/>
      <c r="CU22" s="383" t="n"/>
      <c r="CV22" s="383" t="n"/>
      <c r="CW22" s="383" t="n"/>
      <c r="CX22" s="383" t="n"/>
      <c r="CY22" s="383" t="n"/>
      <c r="CZ22" s="383" t="n"/>
      <c r="DA22" s="383" t="n"/>
      <c r="DB22" s="383" t="n"/>
      <c r="DC22" s="383" t="n"/>
      <c r="DD22" s="383" t="n"/>
      <c r="DE22" s="383" t="n"/>
      <c r="DF22" s="383" t="n"/>
      <c r="DG22" s="383" t="n"/>
      <c r="DH22" s="383" t="n"/>
      <c r="DI22" s="383" t="n"/>
      <c r="DJ22" s="383" t="n"/>
      <c r="DK22" s="383" t="n"/>
      <c r="DL22" s="383" t="n"/>
      <c r="DM22" s="383" t="n"/>
      <c r="DN22" s="383" t="n"/>
      <c r="DO22" s="383" t="n"/>
      <c r="DP22" s="383" t="n"/>
      <c r="DQ22" s="383" t="n"/>
      <c r="DR22" s="383" t="n"/>
      <c r="DS22" s="383" t="n"/>
      <c r="DT22" s="383" t="n"/>
      <c r="DU22" s="383" t="n"/>
      <c r="DV22" s="383" t="n"/>
      <c r="DW22" s="383" t="n"/>
      <c r="DX22" s="383" t="n"/>
      <c r="DY22" s="383" t="n"/>
      <c r="DZ22" s="383" t="n"/>
      <c r="EA22" s="383" t="n"/>
      <c r="EB22" s="383" t="n"/>
      <c r="EC22" s="383" t="n"/>
      <c r="ED22" s="383" t="n"/>
      <c r="EE22" s="383" t="n"/>
      <c r="EF22" s="383" t="n"/>
      <c r="EG22" s="383" t="n"/>
      <c r="EH22" s="383" t="n"/>
      <c r="EI22" s="383" t="n"/>
      <c r="EJ22" s="383" t="n"/>
      <c r="EK22" s="383" t="n"/>
      <c r="EL22" s="383" t="n"/>
      <c r="EM22" s="383" t="n"/>
      <c r="EN22" s="383" t="n"/>
      <c r="EO22" s="383" t="n"/>
      <c r="EP22" s="383" t="n"/>
      <c r="EQ22" s="383" t="n"/>
      <c r="ER22" s="383" t="n"/>
      <c r="ES22" s="383" t="n"/>
      <c r="ET22" s="383" t="n"/>
      <c r="EU22" s="383" t="n"/>
      <c r="EV22" s="383" t="n"/>
      <c r="EW22" s="383" t="n"/>
      <c r="EX22" s="383" t="n"/>
      <c r="EY22" s="383" t="n"/>
      <c r="EZ22" s="383" t="n"/>
      <c r="FA22" s="383" t="n"/>
      <c r="FB22" s="383" t="n"/>
      <c r="FC22" s="383" t="n"/>
      <c r="FD22" s="383" t="n"/>
      <c r="FE22" s="383" t="n"/>
      <c r="FF22" s="383" t="n"/>
      <c r="FG22" s="383" t="n"/>
      <c r="FH22" s="383" t="n"/>
      <c r="FI22" s="383" t="n"/>
      <c r="FJ22" s="383" t="n"/>
      <c r="FK22" s="383" t="n"/>
      <c r="FL22" s="383" t="n"/>
      <c r="FM22" s="383" t="n"/>
      <c r="FN22" s="383" t="n"/>
      <c r="FO22" s="383" t="n"/>
      <c r="FP22" s="383" t="n"/>
      <c r="FQ22" s="383" t="n"/>
      <c r="FR22" s="383" t="n"/>
      <c r="FS22" s="383" t="n"/>
      <c r="FT22" s="383" t="n"/>
      <c r="FU22" s="383" t="n"/>
      <c r="FV22" s="383" t="n"/>
      <c r="FW22" s="383" t="n"/>
      <c r="FX22" s="383" t="n"/>
      <c r="FY22" s="383" t="n"/>
      <c r="FZ22" s="383" t="n"/>
      <c r="GA22" s="383" t="n"/>
      <c r="GB22" s="383" t="n"/>
      <c r="GC22" s="383" t="n"/>
      <c r="GD22" s="383" t="n"/>
      <c r="GE22" s="383" t="n"/>
      <c r="GF22" s="383" t="n"/>
      <c r="GG22" s="383" t="n"/>
      <c r="GH22" s="383" t="n"/>
      <c r="GI22" s="383" t="n"/>
      <c r="GJ22" s="383" t="n"/>
      <c r="GK22" s="383" t="n"/>
      <c r="GL22" s="383" t="n"/>
      <c r="GM22" s="383" t="n"/>
      <c r="GN22" s="383" t="n"/>
      <c r="GO22" s="383" t="n"/>
      <c r="GP22" s="383" t="n"/>
      <c r="GQ22" s="383" t="n"/>
      <c r="GR22" s="383" t="n"/>
      <c r="GS22" s="383" t="n"/>
      <c r="GT22" s="383" t="n"/>
      <c r="GU22" s="383" t="n"/>
      <c r="GV22" s="383" t="n"/>
      <c r="GW22" s="383" t="n"/>
      <c r="GX22" s="383" t="n"/>
      <c r="GY22" s="383" t="n"/>
    </row>
    <row r="23" ht="15" customHeight="1" s="1883">
      <c r="A23" s="383" t="n"/>
      <c r="B23" s="133" t="inlineStr">
        <is>
          <t>√</t>
        </is>
      </c>
      <c r="C23" s="383" t="n"/>
      <c r="D23" s="390" t="inlineStr">
        <is>
          <t>●</t>
        </is>
      </c>
      <c r="E23" s="668" t="inlineStr">
        <is>
          <t>David Harding - Chief Technology Officer</t>
        </is>
      </c>
      <c r="F23" s="696" t="n"/>
      <c r="G23" s="696" t="n"/>
      <c r="H23" s="696" t="n"/>
      <c r="I23" s="383" t="n"/>
      <c r="J23" s="701" t="n">
        <v>165000</v>
      </c>
      <c r="K23" s="1282">
        <f>J23*1.03</f>
        <v/>
      </c>
      <c r="L23" s="1282">
        <f>K23*1.03</f>
        <v/>
      </c>
      <c r="M23" s="1282">
        <f>L23*1.03</f>
        <v/>
      </c>
      <c r="N23" s="1282">
        <f>M23*1.03</f>
        <v/>
      </c>
      <c r="O23" s="383" t="n"/>
      <c r="P23" s="384">
        <f>'Headcount &amp; Salaries - 2'!X16</f>
        <v/>
      </c>
      <c r="Q23" s="384">
        <f>'Headcount &amp; Salaries - 2'!Y16</f>
        <v/>
      </c>
      <c r="R23" s="384">
        <f>'Headcount &amp; Salaries - 2'!Z16</f>
        <v/>
      </c>
      <c r="S23" s="384">
        <f>'Headcount &amp; Salaries - 2'!AA16</f>
        <v/>
      </c>
      <c r="T23" s="384">
        <f>'Headcount &amp; Salaries - 2'!AB16</f>
        <v/>
      </c>
      <c r="U23" s="384">
        <f>'Headcount &amp; Salaries - 2'!AC16</f>
        <v/>
      </c>
      <c r="V23" s="384">
        <f>'Headcount &amp; Salaries - 2'!AD16</f>
        <v/>
      </c>
      <c r="W23" s="384">
        <f>'Headcount &amp; Salaries - 2'!AE16</f>
        <v/>
      </c>
      <c r="X23" s="384">
        <f>'Headcount &amp; Salaries - 2'!AF16</f>
        <v/>
      </c>
      <c r="Y23" s="384">
        <f>'Headcount &amp; Salaries - 2'!AG16</f>
        <v/>
      </c>
      <c r="Z23" s="384">
        <f>'Headcount &amp; Salaries - 2'!AH16</f>
        <v/>
      </c>
      <c r="AA23" s="384">
        <f>'Headcount &amp; Salaries - 2'!AI16</f>
        <v/>
      </c>
      <c r="AB23" s="542">
        <f>'Headcount &amp; Salaries - 2'!AJ16</f>
        <v/>
      </c>
      <c r="AC23" s="384">
        <f>'Headcount &amp; Salaries - 2'!AK16</f>
        <v/>
      </c>
      <c r="AD23" s="384">
        <f>'Headcount &amp; Salaries - 2'!AL16</f>
        <v/>
      </c>
      <c r="AE23" s="384">
        <f>'Headcount &amp; Salaries - 2'!AM16</f>
        <v/>
      </c>
      <c r="AF23" s="384">
        <f>'Headcount &amp; Salaries - 2'!AN16</f>
        <v/>
      </c>
      <c r="AG23" s="384">
        <f>'Headcount &amp; Salaries - 2'!AO16</f>
        <v/>
      </c>
      <c r="AH23" s="384">
        <f>'Headcount &amp; Salaries - 2'!AP16</f>
        <v/>
      </c>
      <c r="AI23" s="384">
        <f>'Headcount &amp; Salaries - 2'!AQ16</f>
        <v/>
      </c>
      <c r="AJ23" s="384">
        <f>'Headcount &amp; Salaries - 2'!AR16</f>
        <v/>
      </c>
      <c r="AK23" s="384">
        <f>'Headcount &amp; Salaries - 2'!AS16</f>
        <v/>
      </c>
      <c r="AL23" s="384">
        <f>'Headcount &amp; Salaries - 2'!AT16</f>
        <v/>
      </c>
      <c r="AM23" s="384">
        <f>'Headcount &amp; Salaries - 2'!AU16</f>
        <v/>
      </c>
      <c r="AN23" s="542">
        <f>'Headcount &amp; Salaries - 2'!AV16</f>
        <v/>
      </c>
      <c r="AO23" s="384">
        <f>'Headcount &amp; Salaries - 2'!AW16</f>
        <v/>
      </c>
      <c r="AP23" s="384">
        <f>'Headcount &amp; Salaries - 2'!AX16</f>
        <v/>
      </c>
      <c r="AQ23" s="384">
        <f>'Headcount &amp; Salaries - 2'!AY16</f>
        <v/>
      </c>
      <c r="AR23" s="384">
        <f>'Headcount &amp; Salaries - 2'!AZ16</f>
        <v/>
      </c>
      <c r="AS23" s="384">
        <f>'Headcount &amp; Salaries - 2'!BA16</f>
        <v/>
      </c>
      <c r="AT23" s="384">
        <f>'Headcount &amp; Salaries - 2'!BB16</f>
        <v/>
      </c>
      <c r="AU23" s="384">
        <f>'Headcount &amp; Salaries - 2'!BC16</f>
        <v/>
      </c>
      <c r="AV23" s="384">
        <f>'Headcount &amp; Salaries - 2'!BD16</f>
        <v/>
      </c>
      <c r="AW23" s="384">
        <f>'Headcount &amp; Salaries - 2'!BE16</f>
        <v/>
      </c>
      <c r="AX23" s="384">
        <f>'Headcount &amp; Salaries - 2'!BF16</f>
        <v/>
      </c>
      <c r="AY23" s="565">
        <f>'Headcount &amp; Salaries - 2'!BG16</f>
        <v/>
      </c>
      <c r="AZ23" s="542">
        <f>'Headcount &amp; Salaries - 2'!BH16</f>
        <v/>
      </c>
      <c r="BA23" s="384">
        <f>'Headcount &amp; Salaries - 2'!BI16</f>
        <v/>
      </c>
      <c r="BB23" s="384">
        <f>'Headcount &amp; Salaries - 2'!BJ16</f>
        <v/>
      </c>
      <c r="BC23" s="384">
        <f>'Headcount &amp; Salaries - 2'!BK16</f>
        <v/>
      </c>
      <c r="BD23" s="384">
        <f>'Headcount &amp; Salaries - 2'!BL16</f>
        <v/>
      </c>
      <c r="BE23" s="384">
        <f>'Headcount &amp; Salaries - 2'!BM16</f>
        <v/>
      </c>
      <c r="BF23" s="384">
        <f>'Headcount &amp; Salaries - 2'!BN16</f>
        <v/>
      </c>
      <c r="BG23" s="384">
        <f>'Headcount &amp; Salaries - 2'!BO16</f>
        <v/>
      </c>
      <c r="BH23" s="384">
        <f>'Headcount &amp; Salaries - 2'!BP16</f>
        <v/>
      </c>
      <c r="BI23" s="384">
        <f>'Headcount &amp; Salaries - 2'!BQ16</f>
        <v/>
      </c>
      <c r="BJ23" s="384">
        <f>'Headcount &amp; Salaries - 2'!BR16</f>
        <v/>
      </c>
      <c r="BK23" s="384">
        <f>'Headcount &amp; Salaries - 2'!BS16</f>
        <v/>
      </c>
      <c r="BL23" s="542">
        <f>'Headcount &amp; Salaries - 2'!BT16</f>
        <v/>
      </c>
      <c r="BM23" s="384">
        <f>'Headcount &amp; Salaries - 2'!BU16</f>
        <v/>
      </c>
      <c r="BN23" s="384">
        <f>'Headcount &amp; Salaries - 2'!BV16</f>
        <v/>
      </c>
      <c r="BO23" s="384">
        <f>'Headcount &amp; Salaries - 2'!BW16</f>
        <v/>
      </c>
      <c r="BP23" s="384">
        <f>'Headcount &amp; Salaries - 2'!BX16</f>
        <v/>
      </c>
      <c r="BQ23" s="384">
        <f>'Headcount &amp; Salaries - 2'!BY16</f>
        <v/>
      </c>
      <c r="BR23" s="384">
        <f>'Headcount &amp; Salaries - 2'!BZ16</f>
        <v/>
      </c>
      <c r="BS23" s="384">
        <f>'Headcount &amp; Salaries - 2'!CA16</f>
        <v/>
      </c>
      <c r="BT23" s="384">
        <f>'Headcount &amp; Salaries - 2'!CB16</f>
        <v/>
      </c>
      <c r="BU23" s="384">
        <f>'Headcount &amp; Salaries - 2'!CC16</f>
        <v/>
      </c>
      <c r="BV23" s="384">
        <f>'Headcount &amp; Salaries - 2'!CD16</f>
        <v/>
      </c>
      <c r="BW23" s="384">
        <f>'Headcount &amp; Salaries - 2'!CE16</f>
        <v/>
      </c>
      <c r="BX23" s="383" t="n"/>
      <c r="BY23" s="383" t="n"/>
      <c r="BZ23" s="383" t="n"/>
      <c r="CA23" s="383" t="n"/>
      <c r="CB23" s="383" t="n"/>
      <c r="CC23" s="383" t="n"/>
      <c r="CD23" s="383" t="n"/>
      <c r="CE23" s="383" t="n"/>
      <c r="CF23" s="383" t="n"/>
      <c r="CG23" s="383" t="n"/>
      <c r="CH23" s="383" t="n"/>
      <c r="CI23" s="383" t="n"/>
      <c r="CJ23" s="383" t="n"/>
      <c r="CK23" s="383" t="n"/>
      <c r="CL23" s="383" t="n"/>
      <c r="CM23" s="383" t="n"/>
      <c r="CN23" s="383" t="n"/>
      <c r="CO23" s="383" t="n"/>
      <c r="CP23" s="383" t="n"/>
      <c r="CQ23" s="383" t="n"/>
      <c r="CR23" s="383" t="n"/>
      <c r="CS23" s="383" t="n"/>
      <c r="CT23" s="383" t="n"/>
      <c r="CU23" s="383" t="n"/>
      <c r="CV23" s="383" t="n"/>
      <c r="CW23" s="383" t="n"/>
      <c r="CX23" s="383" t="n"/>
      <c r="CY23" s="383" t="n"/>
      <c r="CZ23" s="383" t="n"/>
      <c r="DA23" s="383" t="n"/>
      <c r="DB23" s="383" t="n"/>
      <c r="DC23" s="383" t="n"/>
      <c r="DD23" s="383" t="n"/>
      <c r="DE23" s="383" t="n"/>
      <c r="DF23" s="383" t="n"/>
      <c r="DG23" s="383" t="n"/>
      <c r="DH23" s="383" t="n"/>
      <c r="DI23" s="383" t="n"/>
      <c r="DJ23" s="383" t="n"/>
      <c r="DK23" s="383" t="n"/>
      <c r="DL23" s="383" t="n"/>
      <c r="DM23" s="383" t="n"/>
      <c r="DN23" s="383" t="n"/>
      <c r="DO23" s="383" t="n"/>
      <c r="DP23" s="383" t="n"/>
      <c r="DQ23" s="383" t="n"/>
      <c r="DR23" s="383" t="n"/>
      <c r="DS23" s="383" t="n"/>
      <c r="DT23" s="383" t="n"/>
      <c r="DU23" s="383" t="n"/>
      <c r="DV23" s="383" t="n"/>
      <c r="DW23" s="383" t="n"/>
      <c r="DX23" s="383" t="n"/>
      <c r="DY23" s="383" t="n"/>
      <c r="DZ23" s="383" t="n"/>
      <c r="EA23" s="383" t="n"/>
      <c r="EB23" s="383" t="n"/>
      <c r="EC23" s="383" t="n"/>
      <c r="ED23" s="383" t="n"/>
      <c r="EE23" s="383" t="n"/>
      <c r="EF23" s="383" t="n"/>
      <c r="EG23" s="383" t="n"/>
      <c r="EH23" s="383" t="n"/>
      <c r="EI23" s="383" t="n"/>
      <c r="EJ23" s="383" t="n"/>
      <c r="EK23" s="383" t="n"/>
      <c r="EL23" s="383" t="n"/>
      <c r="EM23" s="383" t="n"/>
      <c r="EN23" s="383" t="n"/>
      <c r="EO23" s="383" t="n"/>
      <c r="EP23" s="383" t="n"/>
      <c r="EQ23" s="383" t="n"/>
      <c r="ER23" s="383" t="n"/>
      <c r="ES23" s="383" t="n"/>
      <c r="ET23" s="383" t="n"/>
      <c r="EU23" s="383" t="n"/>
      <c r="EV23" s="383" t="n"/>
      <c r="EW23" s="383" t="n"/>
      <c r="EX23" s="383" t="n"/>
      <c r="EY23" s="383" t="n"/>
      <c r="EZ23" s="383" t="n"/>
      <c r="FA23" s="383" t="n"/>
      <c r="FB23" s="383" t="n"/>
      <c r="FC23" s="383" t="n"/>
      <c r="FD23" s="383" t="n"/>
      <c r="FE23" s="383" t="n"/>
      <c r="FF23" s="383" t="n"/>
      <c r="FG23" s="383" t="n"/>
      <c r="FH23" s="383" t="n"/>
      <c r="FI23" s="383" t="n"/>
      <c r="FJ23" s="383" t="n"/>
      <c r="FK23" s="383" t="n"/>
      <c r="FL23" s="383" t="n"/>
      <c r="FM23" s="383" t="n"/>
      <c r="FN23" s="383" t="n"/>
      <c r="FO23" s="383" t="n"/>
      <c r="FP23" s="383" t="n"/>
      <c r="FQ23" s="383" t="n"/>
      <c r="FR23" s="383" t="n"/>
      <c r="FS23" s="383" t="n"/>
      <c r="FT23" s="383" t="n"/>
      <c r="FU23" s="383" t="n"/>
      <c r="FV23" s="383" t="n"/>
      <c r="FW23" s="383" t="n"/>
      <c r="FX23" s="383" t="n"/>
      <c r="FY23" s="383" t="n"/>
      <c r="FZ23" s="383" t="n"/>
      <c r="GA23" s="383" t="n"/>
      <c r="GB23" s="383" t="n"/>
      <c r="GC23" s="383" t="n"/>
      <c r="GD23" s="383" t="n"/>
      <c r="GE23" s="383" t="n"/>
      <c r="GF23" s="383" t="n"/>
      <c r="GG23" s="383" t="n"/>
      <c r="GH23" s="383" t="n"/>
      <c r="GI23" s="383" t="n"/>
      <c r="GJ23" s="383" t="n"/>
      <c r="GK23" s="383" t="n"/>
      <c r="GL23" s="383" t="n"/>
      <c r="GM23" s="383" t="n"/>
      <c r="GN23" s="383" t="n"/>
      <c r="GO23" s="383" t="n"/>
      <c r="GP23" s="383" t="n"/>
      <c r="GQ23" s="383" t="n"/>
      <c r="GR23" s="383" t="n"/>
      <c r="GS23" s="383" t="n"/>
      <c r="GT23" s="383" t="n"/>
      <c r="GU23" s="383" t="n"/>
      <c r="GV23" s="383" t="n"/>
      <c r="GW23" s="383" t="n"/>
      <c r="GX23" s="383" t="n"/>
      <c r="GY23" s="383" t="n"/>
    </row>
    <row r="24" ht="15" customHeight="1" s="1883">
      <c r="A24" s="383" t="n"/>
      <c r="B24" s="133" t="inlineStr">
        <is>
          <t>√</t>
        </is>
      </c>
      <c r="C24" s="383" t="n"/>
      <c r="D24" s="390" t="inlineStr">
        <is>
          <t>●</t>
        </is>
      </c>
      <c r="E24" s="668" t="inlineStr">
        <is>
          <t>Matthew Keough - Chief Innovation Officer</t>
        </is>
      </c>
      <c r="F24" s="696" t="n"/>
      <c r="G24" s="696" t="n"/>
      <c r="H24" s="696" t="n"/>
      <c r="I24" s="383" t="n"/>
      <c r="J24" s="701" t="n">
        <v>200000</v>
      </c>
      <c r="K24" s="1282">
        <f>J24*1.03</f>
        <v/>
      </c>
      <c r="L24" s="1282">
        <f>K24*1.03</f>
        <v/>
      </c>
      <c r="M24" s="1282">
        <f>L24*1.03</f>
        <v/>
      </c>
      <c r="N24" s="1282">
        <f>M24*1.03</f>
        <v/>
      </c>
      <c r="O24" s="383" t="n"/>
      <c r="P24" s="384">
        <f>'Headcount &amp; Salaries - 2'!X17</f>
        <v/>
      </c>
      <c r="Q24" s="384">
        <f>'Headcount &amp; Salaries - 2'!Y17</f>
        <v/>
      </c>
      <c r="R24" s="384">
        <f>'Headcount &amp; Salaries - 2'!Z17</f>
        <v/>
      </c>
      <c r="S24" s="384">
        <f>'Headcount &amp; Salaries - 2'!AA17</f>
        <v/>
      </c>
      <c r="T24" s="384">
        <f>'Headcount &amp; Salaries - 2'!AB17</f>
        <v/>
      </c>
      <c r="U24" s="384">
        <f>'Headcount &amp; Salaries - 2'!AC17</f>
        <v/>
      </c>
      <c r="V24" s="384">
        <f>'Headcount &amp; Salaries - 2'!AD17</f>
        <v/>
      </c>
      <c r="W24" s="384">
        <f>'Headcount &amp; Salaries - 2'!AE17</f>
        <v/>
      </c>
      <c r="X24" s="384">
        <f>'Headcount &amp; Salaries - 2'!AF17</f>
        <v/>
      </c>
      <c r="Y24" s="384">
        <f>'Headcount &amp; Salaries - 2'!AG17</f>
        <v/>
      </c>
      <c r="Z24" s="384">
        <f>'Headcount &amp; Salaries - 2'!AH17</f>
        <v/>
      </c>
      <c r="AA24" s="384">
        <f>'Headcount &amp; Salaries - 2'!AI17</f>
        <v/>
      </c>
      <c r="AB24" s="542">
        <f>'Headcount &amp; Salaries - 2'!AJ17</f>
        <v/>
      </c>
      <c r="AC24" s="384">
        <f>'Headcount &amp; Salaries - 2'!AK17</f>
        <v/>
      </c>
      <c r="AD24" s="384">
        <f>'Headcount &amp; Salaries - 2'!AL17</f>
        <v/>
      </c>
      <c r="AE24" s="384">
        <f>'Headcount &amp; Salaries - 2'!AM17</f>
        <v/>
      </c>
      <c r="AF24" s="384">
        <f>'Headcount &amp; Salaries - 2'!AN17</f>
        <v/>
      </c>
      <c r="AG24" s="384">
        <f>'Headcount &amp; Salaries - 2'!AO17</f>
        <v/>
      </c>
      <c r="AH24" s="384">
        <f>'Headcount &amp; Salaries - 2'!AP17</f>
        <v/>
      </c>
      <c r="AI24" s="384">
        <f>'Headcount &amp; Salaries - 2'!AQ17</f>
        <v/>
      </c>
      <c r="AJ24" s="384">
        <f>'Headcount &amp; Salaries - 2'!AR17</f>
        <v/>
      </c>
      <c r="AK24" s="384">
        <f>'Headcount &amp; Salaries - 2'!AS17</f>
        <v/>
      </c>
      <c r="AL24" s="384">
        <f>'Headcount &amp; Salaries - 2'!AT17</f>
        <v/>
      </c>
      <c r="AM24" s="384">
        <f>'Headcount &amp; Salaries - 2'!AU17</f>
        <v/>
      </c>
      <c r="AN24" s="542">
        <f>'Headcount &amp; Salaries - 2'!AV17</f>
        <v/>
      </c>
      <c r="AO24" s="384">
        <f>'Headcount &amp; Salaries - 2'!AW17</f>
        <v/>
      </c>
      <c r="AP24" s="384">
        <f>'Headcount &amp; Salaries - 2'!AX17</f>
        <v/>
      </c>
      <c r="AQ24" s="384">
        <f>'Headcount &amp; Salaries - 2'!AY17</f>
        <v/>
      </c>
      <c r="AR24" s="384">
        <f>'Headcount &amp; Salaries - 2'!AZ17</f>
        <v/>
      </c>
      <c r="AS24" s="384">
        <f>'Headcount &amp; Salaries - 2'!BA17</f>
        <v/>
      </c>
      <c r="AT24" s="384">
        <f>'Headcount &amp; Salaries - 2'!BB17</f>
        <v/>
      </c>
      <c r="AU24" s="384">
        <f>'Headcount &amp; Salaries - 2'!BC17</f>
        <v/>
      </c>
      <c r="AV24" s="384">
        <f>'Headcount &amp; Salaries - 2'!BD17</f>
        <v/>
      </c>
      <c r="AW24" s="384">
        <f>'Headcount &amp; Salaries - 2'!BE17</f>
        <v/>
      </c>
      <c r="AX24" s="384">
        <f>'Headcount &amp; Salaries - 2'!BF17</f>
        <v/>
      </c>
      <c r="AY24" s="565">
        <f>'Headcount &amp; Salaries - 2'!BG17</f>
        <v/>
      </c>
      <c r="AZ24" s="542">
        <f>'Headcount &amp; Salaries - 2'!BH17</f>
        <v/>
      </c>
      <c r="BA24" s="384">
        <f>'Headcount &amp; Salaries - 2'!BI17</f>
        <v/>
      </c>
      <c r="BB24" s="384">
        <f>'Headcount &amp; Salaries - 2'!BJ17</f>
        <v/>
      </c>
      <c r="BC24" s="384">
        <f>'Headcount &amp; Salaries - 2'!BK17</f>
        <v/>
      </c>
      <c r="BD24" s="384">
        <f>'Headcount &amp; Salaries - 2'!BL17</f>
        <v/>
      </c>
      <c r="BE24" s="384">
        <f>'Headcount &amp; Salaries - 2'!BM17</f>
        <v/>
      </c>
      <c r="BF24" s="384">
        <f>'Headcount &amp; Salaries - 2'!BN17</f>
        <v/>
      </c>
      <c r="BG24" s="384">
        <f>'Headcount &amp; Salaries - 2'!BO17</f>
        <v/>
      </c>
      <c r="BH24" s="384">
        <f>'Headcount &amp; Salaries - 2'!BP17</f>
        <v/>
      </c>
      <c r="BI24" s="384">
        <f>'Headcount &amp; Salaries - 2'!BQ17</f>
        <v/>
      </c>
      <c r="BJ24" s="384">
        <f>'Headcount &amp; Salaries - 2'!BR17</f>
        <v/>
      </c>
      <c r="BK24" s="384">
        <f>'Headcount &amp; Salaries - 2'!BS17</f>
        <v/>
      </c>
      <c r="BL24" s="542">
        <f>'Headcount &amp; Salaries - 2'!BT17</f>
        <v/>
      </c>
      <c r="BM24" s="384">
        <f>'Headcount &amp; Salaries - 2'!BU17</f>
        <v/>
      </c>
      <c r="BN24" s="384">
        <f>'Headcount &amp; Salaries - 2'!BV17</f>
        <v/>
      </c>
      <c r="BO24" s="384">
        <f>'Headcount &amp; Salaries - 2'!BW17</f>
        <v/>
      </c>
      <c r="BP24" s="384">
        <f>'Headcount &amp; Salaries - 2'!BX17</f>
        <v/>
      </c>
      <c r="BQ24" s="384">
        <f>'Headcount &amp; Salaries - 2'!BY17</f>
        <v/>
      </c>
      <c r="BR24" s="384">
        <f>'Headcount &amp; Salaries - 2'!BZ17</f>
        <v/>
      </c>
      <c r="BS24" s="384">
        <f>'Headcount &amp; Salaries - 2'!CA17</f>
        <v/>
      </c>
      <c r="BT24" s="384">
        <f>'Headcount &amp; Salaries - 2'!CB17</f>
        <v/>
      </c>
      <c r="BU24" s="384">
        <f>'Headcount &amp; Salaries - 2'!CC17</f>
        <v/>
      </c>
      <c r="BV24" s="384">
        <f>'Headcount &amp; Salaries - 2'!CD17</f>
        <v/>
      </c>
      <c r="BW24" s="384">
        <f>'Headcount &amp; Salaries - 2'!CE17</f>
        <v/>
      </c>
      <c r="BX24" s="383" t="n"/>
      <c r="BY24" s="383" t="n"/>
      <c r="BZ24" s="383" t="n"/>
      <c r="CA24" s="383" t="n"/>
      <c r="CB24" s="383" t="n"/>
      <c r="CC24" s="383" t="n"/>
      <c r="CD24" s="383" t="n"/>
      <c r="CE24" s="383" t="n"/>
      <c r="CF24" s="383" t="n"/>
      <c r="CG24" s="383" t="n"/>
      <c r="CH24" s="383" t="n"/>
      <c r="CI24" s="383" t="n"/>
      <c r="CJ24" s="383" t="n"/>
      <c r="CK24" s="383" t="n"/>
      <c r="CL24" s="383" t="n"/>
      <c r="CM24" s="383" t="n"/>
      <c r="CN24" s="383" t="n"/>
      <c r="CO24" s="383" t="n"/>
      <c r="CP24" s="383" t="n"/>
      <c r="CQ24" s="383" t="n"/>
      <c r="CR24" s="383" t="n"/>
      <c r="CS24" s="383" t="n"/>
      <c r="CT24" s="383" t="n"/>
      <c r="CU24" s="383" t="n"/>
      <c r="CV24" s="383" t="n"/>
      <c r="CW24" s="383" t="n"/>
      <c r="CX24" s="383" t="n"/>
      <c r="CY24" s="383" t="n"/>
      <c r="CZ24" s="383" t="n"/>
      <c r="DA24" s="383" t="n"/>
      <c r="DB24" s="383" t="n"/>
      <c r="DC24" s="383" t="n"/>
      <c r="DD24" s="383" t="n"/>
      <c r="DE24" s="383" t="n"/>
      <c r="DF24" s="383" t="n"/>
      <c r="DG24" s="383" t="n"/>
      <c r="DH24" s="383" t="n"/>
      <c r="DI24" s="383" t="n"/>
      <c r="DJ24" s="383" t="n"/>
      <c r="DK24" s="383" t="n"/>
      <c r="DL24" s="383" t="n"/>
      <c r="DM24" s="383" t="n"/>
      <c r="DN24" s="383" t="n"/>
      <c r="DO24" s="383" t="n"/>
      <c r="DP24" s="383" t="n"/>
      <c r="DQ24" s="383" t="n"/>
      <c r="DR24" s="383" t="n"/>
      <c r="DS24" s="383" t="n"/>
      <c r="DT24" s="383" t="n"/>
      <c r="DU24" s="383" t="n"/>
      <c r="DV24" s="383" t="n"/>
      <c r="DW24" s="383" t="n"/>
      <c r="DX24" s="383" t="n"/>
      <c r="DY24" s="383" t="n"/>
      <c r="DZ24" s="383" t="n"/>
      <c r="EA24" s="383" t="n"/>
      <c r="EB24" s="383" t="n"/>
      <c r="EC24" s="383" t="n"/>
      <c r="ED24" s="383" t="n"/>
      <c r="EE24" s="383" t="n"/>
      <c r="EF24" s="383" t="n"/>
      <c r="EG24" s="383" t="n"/>
      <c r="EH24" s="383" t="n"/>
      <c r="EI24" s="383" t="n"/>
      <c r="EJ24" s="383" t="n"/>
      <c r="EK24" s="383" t="n"/>
      <c r="EL24" s="383" t="n"/>
      <c r="EM24" s="383" t="n"/>
      <c r="EN24" s="383" t="n"/>
      <c r="EO24" s="383" t="n"/>
      <c r="EP24" s="383" t="n"/>
      <c r="EQ24" s="383" t="n"/>
      <c r="ER24" s="383" t="n"/>
      <c r="ES24" s="383" t="n"/>
      <c r="ET24" s="383" t="n"/>
      <c r="EU24" s="383" t="n"/>
      <c r="EV24" s="383" t="n"/>
      <c r="EW24" s="383" t="n"/>
      <c r="EX24" s="383" t="n"/>
      <c r="EY24" s="383" t="n"/>
      <c r="EZ24" s="383" t="n"/>
      <c r="FA24" s="383" t="n"/>
      <c r="FB24" s="383" t="n"/>
      <c r="FC24" s="383" t="n"/>
      <c r="FD24" s="383" t="n"/>
      <c r="FE24" s="383" t="n"/>
      <c r="FF24" s="383" t="n"/>
      <c r="FG24" s="383" t="n"/>
      <c r="FH24" s="383" t="n"/>
      <c r="FI24" s="383" t="n"/>
      <c r="FJ24" s="383" t="n"/>
      <c r="FK24" s="383" t="n"/>
      <c r="FL24" s="383" t="n"/>
      <c r="FM24" s="383" t="n"/>
      <c r="FN24" s="383" t="n"/>
      <c r="FO24" s="383" t="n"/>
      <c r="FP24" s="383" t="n"/>
      <c r="FQ24" s="383" t="n"/>
      <c r="FR24" s="383" t="n"/>
      <c r="FS24" s="383" t="n"/>
      <c r="FT24" s="383" t="n"/>
      <c r="FU24" s="383" t="n"/>
      <c r="FV24" s="383" t="n"/>
      <c r="FW24" s="383" t="n"/>
      <c r="FX24" s="383" t="n"/>
      <c r="FY24" s="383" t="n"/>
      <c r="FZ24" s="383" t="n"/>
      <c r="GA24" s="383" t="n"/>
      <c r="GB24" s="383" t="n"/>
      <c r="GC24" s="383" t="n"/>
      <c r="GD24" s="383" t="n"/>
      <c r="GE24" s="383" t="n"/>
      <c r="GF24" s="383" t="n"/>
      <c r="GG24" s="383" t="n"/>
      <c r="GH24" s="383" t="n"/>
      <c r="GI24" s="383" t="n"/>
      <c r="GJ24" s="383" t="n"/>
      <c r="GK24" s="383" t="n"/>
      <c r="GL24" s="383" t="n"/>
      <c r="GM24" s="383" t="n"/>
      <c r="GN24" s="383" t="n"/>
      <c r="GO24" s="383" t="n"/>
      <c r="GP24" s="383" t="n"/>
      <c r="GQ24" s="383" t="n"/>
      <c r="GR24" s="383" t="n"/>
      <c r="GS24" s="383" t="n"/>
      <c r="GT24" s="383" t="n"/>
      <c r="GU24" s="383" t="n"/>
      <c r="GV24" s="383" t="n"/>
      <c r="GW24" s="383" t="n"/>
      <c r="GX24" s="383" t="n"/>
      <c r="GY24" s="383" t="n"/>
    </row>
    <row r="25" ht="15" customHeight="1" s="1883">
      <c r="A25" s="383" t="n"/>
      <c r="B25" s="133" t="inlineStr">
        <is>
          <t>√</t>
        </is>
      </c>
      <c r="C25" s="383" t="n"/>
      <c r="D25" s="390" t="inlineStr">
        <is>
          <t>●</t>
        </is>
      </c>
      <c r="E25" s="668" t="inlineStr">
        <is>
          <t>Mike Schuman - Chief Commercial Officer</t>
        </is>
      </c>
      <c r="F25" s="696" t="n"/>
      <c r="G25" s="696" t="n"/>
      <c r="H25" s="696" t="n"/>
      <c r="I25" s="383" t="n"/>
      <c r="J25" s="701" t="n">
        <v>200000</v>
      </c>
      <c r="K25" s="1282">
        <f>J25*1.03</f>
        <v/>
      </c>
      <c r="L25" s="1282">
        <f>K25*1.03</f>
        <v/>
      </c>
      <c r="M25" s="1282">
        <f>L25*1.03</f>
        <v/>
      </c>
      <c r="N25" s="1282">
        <f>M25*1.03</f>
        <v/>
      </c>
      <c r="O25" s="383" t="n"/>
      <c r="P25" s="384">
        <f>'Headcount &amp; Salaries - 2'!X18</f>
        <v/>
      </c>
      <c r="Q25" s="384">
        <f>'Headcount &amp; Salaries - 2'!Y18</f>
        <v/>
      </c>
      <c r="R25" s="384">
        <f>'Headcount &amp; Salaries - 2'!Z18</f>
        <v/>
      </c>
      <c r="S25" s="384">
        <f>'Headcount &amp; Salaries - 2'!AA18</f>
        <v/>
      </c>
      <c r="T25" s="384">
        <f>'Headcount &amp; Salaries - 2'!AB18</f>
        <v/>
      </c>
      <c r="U25" s="384">
        <f>'Headcount &amp; Salaries - 2'!AC18</f>
        <v/>
      </c>
      <c r="V25" s="384">
        <f>'Headcount &amp; Salaries - 2'!AD18</f>
        <v/>
      </c>
      <c r="W25" s="384">
        <f>'Headcount &amp; Salaries - 2'!AE18</f>
        <v/>
      </c>
      <c r="X25" s="384">
        <f>'Headcount &amp; Salaries - 2'!AF18</f>
        <v/>
      </c>
      <c r="Y25" s="384">
        <f>'Headcount &amp; Salaries - 2'!AG18</f>
        <v/>
      </c>
      <c r="Z25" s="384">
        <f>'Headcount &amp; Salaries - 2'!AH18</f>
        <v/>
      </c>
      <c r="AA25" s="384">
        <f>'Headcount &amp; Salaries - 2'!AI18</f>
        <v/>
      </c>
      <c r="AB25" s="542">
        <f>'Headcount &amp; Salaries - 2'!AJ18</f>
        <v/>
      </c>
      <c r="AC25" s="384">
        <f>'Headcount &amp; Salaries - 2'!AK18</f>
        <v/>
      </c>
      <c r="AD25" s="384">
        <f>'Headcount &amp; Salaries - 2'!AL18</f>
        <v/>
      </c>
      <c r="AE25" s="384">
        <f>'Headcount &amp; Salaries - 2'!AM18</f>
        <v/>
      </c>
      <c r="AF25" s="384">
        <f>'Headcount &amp; Salaries - 2'!AN18</f>
        <v/>
      </c>
      <c r="AG25" s="384">
        <f>'Headcount &amp; Salaries - 2'!AO18</f>
        <v/>
      </c>
      <c r="AH25" s="384">
        <f>'Headcount &amp; Salaries - 2'!AP18</f>
        <v/>
      </c>
      <c r="AI25" s="384">
        <f>'Headcount &amp; Salaries - 2'!AQ18</f>
        <v/>
      </c>
      <c r="AJ25" s="384">
        <f>'Headcount &amp; Salaries - 2'!AR18</f>
        <v/>
      </c>
      <c r="AK25" s="384">
        <f>'Headcount &amp; Salaries - 2'!AS18</f>
        <v/>
      </c>
      <c r="AL25" s="384">
        <f>'Headcount &amp; Salaries - 2'!AT18</f>
        <v/>
      </c>
      <c r="AM25" s="384">
        <f>'Headcount &amp; Salaries - 2'!AU18</f>
        <v/>
      </c>
      <c r="AN25" s="542">
        <f>'Headcount &amp; Salaries - 2'!AV18</f>
        <v/>
      </c>
      <c r="AO25" s="384">
        <f>'Headcount &amp; Salaries - 2'!AW18</f>
        <v/>
      </c>
      <c r="AP25" s="384">
        <f>'Headcount &amp; Salaries - 2'!AX18</f>
        <v/>
      </c>
      <c r="AQ25" s="384">
        <f>'Headcount &amp; Salaries - 2'!AY18</f>
        <v/>
      </c>
      <c r="AR25" s="384">
        <f>'Headcount &amp; Salaries - 2'!AZ18</f>
        <v/>
      </c>
      <c r="AS25" s="384">
        <f>'Headcount &amp; Salaries - 2'!BA18</f>
        <v/>
      </c>
      <c r="AT25" s="384">
        <f>'Headcount &amp; Salaries - 2'!BB18</f>
        <v/>
      </c>
      <c r="AU25" s="384">
        <f>'Headcount &amp; Salaries - 2'!BC18</f>
        <v/>
      </c>
      <c r="AV25" s="384">
        <f>'Headcount &amp; Salaries - 2'!BD18</f>
        <v/>
      </c>
      <c r="AW25" s="384">
        <f>'Headcount &amp; Salaries - 2'!BE18</f>
        <v/>
      </c>
      <c r="AX25" s="384">
        <f>'Headcount &amp; Salaries - 2'!BF18</f>
        <v/>
      </c>
      <c r="AY25" s="565">
        <f>'Headcount &amp; Salaries - 2'!BG18</f>
        <v/>
      </c>
      <c r="AZ25" s="542">
        <f>'Headcount &amp; Salaries - 2'!BH18</f>
        <v/>
      </c>
      <c r="BA25" s="384">
        <f>'Headcount &amp; Salaries - 2'!BI18</f>
        <v/>
      </c>
      <c r="BB25" s="384">
        <f>'Headcount &amp; Salaries - 2'!BJ18</f>
        <v/>
      </c>
      <c r="BC25" s="384">
        <f>'Headcount &amp; Salaries - 2'!BK18</f>
        <v/>
      </c>
      <c r="BD25" s="384">
        <f>'Headcount &amp; Salaries - 2'!BL18</f>
        <v/>
      </c>
      <c r="BE25" s="384">
        <f>'Headcount &amp; Salaries - 2'!BM18</f>
        <v/>
      </c>
      <c r="BF25" s="384">
        <f>'Headcount &amp; Salaries - 2'!BN18</f>
        <v/>
      </c>
      <c r="BG25" s="384">
        <f>'Headcount &amp; Salaries - 2'!BO18</f>
        <v/>
      </c>
      <c r="BH25" s="384">
        <f>'Headcount &amp; Salaries - 2'!BP18</f>
        <v/>
      </c>
      <c r="BI25" s="384">
        <f>'Headcount &amp; Salaries - 2'!BQ18</f>
        <v/>
      </c>
      <c r="BJ25" s="384">
        <f>'Headcount &amp; Salaries - 2'!BR18</f>
        <v/>
      </c>
      <c r="BK25" s="384">
        <f>'Headcount &amp; Salaries - 2'!BS18</f>
        <v/>
      </c>
      <c r="BL25" s="542">
        <f>'Headcount &amp; Salaries - 2'!BT18</f>
        <v/>
      </c>
      <c r="BM25" s="384">
        <f>'Headcount &amp; Salaries - 2'!BU18</f>
        <v/>
      </c>
      <c r="BN25" s="384">
        <f>'Headcount &amp; Salaries - 2'!BV18</f>
        <v/>
      </c>
      <c r="BO25" s="384">
        <f>'Headcount &amp; Salaries - 2'!BW18</f>
        <v/>
      </c>
      <c r="BP25" s="384">
        <f>'Headcount &amp; Salaries - 2'!BX18</f>
        <v/>
      </c>
      <c r="BQ25" s="384">
        <f>'Headcount &amp; Salaries - 2'!BY18</f>
        <v/>
      </c>
      <c r="BR25" s="384">
        <f>'Headcount &amp; Salaries - 2'!BZ18</f>
        <v/>
      </c>
      <c r="BS25" s="384">
        <f>'Headcount &amp; Salaries - 2'!CA18</f>
        <v/>
      </c>
      <c r="BT25" s="384">
        <f>'Headcount &amp; Salaries - 2'!CB18</f>
        <v/>
      </c>
      <c r="BU25" s="384">
        <f>'Headcount &amp; Salaries - 2'!CC18</f>
        <v/>
      </c>
      <c r="BV25" s="384">
        <f>'Headcount &amp; Salaries - 2'!CD18</f>
        <v/>
      </c>
      <c r="BW25" s="384">
        <f>'Headcount &amp; Salaries - 2'!CE18</f>
        <v/>
      </c>
      <c r="BX25" s="383" t="n"/>
      <c r="BY25" s="383" t="n"/>
      <c r="BZ25" s="383" t="n"/>
      <c r="CA25" s="383" t="n"/>
      <c r="CB25" s="383" t="n"/>
      <c r="CC25" s="383" t="n"/>
      <c r="CD25" s="383" t="n"/>
      <c r="CE25" s="383" t="n"/>
      <c r="CF25" s="383" t="n"/>
      <c r="CG25" s="383" t="n"/>
      <c r="CH25" s="383" t="n"/>
      <c r="CI25" s="383" t="n"/>
      <c r="CJ25" s="383" t="n"/>
      <c r="CK25" s="383" t="n"/>
      <c r="CL25" s="383" t="n"/>
      <c r="CM25" s="383" t="n"/>
      <c r="CN25" s="383" t="n"/>
      <c r="CO25" s="383" t="n"/>
      <c r="CP25" s="383" t="n"/>
      <c r="CQ25" s="383" t="n"/>
      <c r="CR25" s="383" t="n"/>
      <c r="CS25" s="383" t="n"/>
      <c r="CT25" s="383" t="n"/>
      <c r="CU25" s="383" t="n"/>
      <c r="CV25" s="383" t="n"/>
      <c r="CW25" s="383" t="n"/>
      <c r="CX25" s="383" t="n"/>
      <c r="CY25" s="383" t="n"/>
      <c r="CZ25" s="383" t="n"/>
      <c r="DA25" s="383" t="n"/>
      <c r="DB25" s="383" t="n"/>
      <c r="DC25" s="383" t="n"/>
      <c r="DD25" s="383" t="n"/>
      <c r="DE25" s="383" t="n"/>
      <c r="DF25" s="383" t="n"/>
      <c r="DG25" s="383" t="n"/>
      <c r="DH25" s="383" t="n"/>
      <c r="DI25" s="383" t="n"/>
      <c r="DJ25" s="383" t="n"/>
      <c r="DK25" s="383" t="n"/>
      <c r="DL25" s="383" t="n"/>
      <c r="DM25" s="383" t="n"/>
      <c r="DN25" s="383" t="n"/>
      <c r="DO25" s="383" t="n"/>
      <c r="DP25" s="383" t="n"/>
      <c r="DQ25" s="383" t="n"/>
      <c r="DR25" s="383" t="n"/>
      <c r="DS25" s="383" t="n"/>
      <c r="DT25" s="383" t="n"/>
      <c r="DU25" s="383" t="n"/>
      <c r="DV25" s="383" t="n"/>
      <c r="DW25" s="383" t="n"/>
      <c r="DX25" s="383" t="n"/>
      <c r="DY25" s="383" t="n"/>
      <c r="DZ25" s="383" t="n"/>
      <c r="EA25" s="383" t="n"/>
      <c r="EB25" s="383" t="n"/>
      <c r="EC25" s="383" t="n"/>
      <c r="ED25" s="383" t="n"/>
      <c r="EE25" s="383" t="n"/>
      <c r="EF25" s="383" t="n"/>
      <c r="EG25" s="383" t="n"/>
      <c r="EH25" s="383" t="n"/>
      <c r="EI25" s="383" t="n"/>
      <c r="EJ25" s="383" t="n"/>
      <c r="EK25" s="383" t="n"/>
      <c r="EL25" s="383" t="n"/>
      <c r="EM25" s="383" t="n"/>
      <c r="EN25" s="383" t="n"/>
      <c r="EO25" s="383" t="n"/>
      <c r="EP25" s="383" t="n"/>
      <c r="EQ25" s="383" t="n"/>
      <c r="ER25" s="383" t="n"/>
      <c r="ES25" s="383" t="n"/>
      <c r="ET25" s="383" t="n"/>
      <c r="EU25" s="383" t="n"/>
      <c r="EV25" s="383" t="n"/>
      <c r="EW25" s="383" t="n"/>
      <c r="EX25" s="383" t="n"/>
      <c r="EY25" s="383" t="n"/>
      <c r="EZ25" s="383" t="n"/>
      <c r="FA25" s="383" t="n"/>
      <c r="FB25" s="383" t="n"/>
      <c r="FC25" s="383" t="n"/>
      <c r="FD25" s="383" t="n"/>
      <c r="FE25" s="383" t="n"/>
      <c r="FF25" s="383" t="n"/>
      <c r="FG25" s="383" t="n"/>
      <c r="FH25" s="383" t="n"/>
      <c r="FI25" s="383" t="n"/>
      <c r="FJ25" s="383" t="n"/>
      <c r="FK25" s="383" t="n"/>
      <c r="FL25" s="383" t="n"/>
      <c r="FM25" s="383" t="n"/>
      <c r="FN25" s="383" t="n"/>
      <c r="FO25" s="383" t="n"/>
      <c r="FP25" s="383" t="n"/>
      <c r="FQ25" s="383" t="n"/>
      <c r="FR25" s="383" t="n"/>
      <c r="FS25" s="383" t="n"/>
      <c r="FT25" s="383" t="n"/>
      <c r="FU25" s="383" t="n"/>
      <c r="FV25" s="383" t="n"/>
      <c r="FW25" s="383" t="n"/>
      <c r="FX25" s="383" t="n"/>
      <c r="FY25" s="383" t="n"/>
      <c r="FZ25" s="383" t="n"/>
      <c r="GA25" s="383" t="n"/>
      <c r="GB25" s="383" t="n"/>
      <c r="GC25" s="383" t="n"/>
      <c r="GD25" s="383" t="n"/>
      <c r="GE25" s="383" t="n"/>
      <c r="GF25" s="383" t="n"/>
      <c r="GG25" s="383" t="n"/>
      <c r="GH25" s="383" t="n"/>
      <c r="GI25" s="383" t="n"/>
      <c r="GJ25" s="383" t="n"/>
      <c r="GK25" s="383" t="n"/>
      <c r="GL25" s="383" t="n"/>
      <c r="GM25" s="383" t="n"/>
      <c r="GN25" s="383" t="n"/>
      <c r="GO25" s="383" t="n"/>
      <c r="GP25" s="383" t="n"/>
      <c r="GQ25" s="383" t="n"/>
      <c r="GR25" s="383" t="n"/>
      <c r="GS25" s="383" t="n"/>
      <c r="GT25" s="383" t="n"/>
      <c r="GU25" s="383" t="n"/>
      <c r="GV25" s="383" t="n"/>
      <c r="GW25" s="383" t="n"/>
      <c r="GX25" s="383" t="n"/>
      <c r="GY25" s="383" t="n"/>
    </row>
    <row r="26" ht="15" customHeight="1" s="1883">
      <c r="A26" s="383" t="n"/>
      <c r="B26" s="133" t="inlineStr">
        <is>
          <t>√</t>
        </is>
      </c>
      <c r="C26" s="383" t="n"/>
      <c r="D26" s="390" t="inlineStr">
        <is>
          <t>●</t>
        </is>
      </c>
      <c r="E26" s="668" t="inlineStr">
        <is>
          <t>Edward Brennan - Chief Operations Officer</t>
        </is>
      </c>
      <c r="F26" s="696" t="n"/>
      <c r="G26" s="696" t="n"/>
      <c r="H26" s="696" t="n"/>
      <c r="I26" s="383" t="n"/>
      <c r="J26" s="701" t="n">
        <v>165000</v>
      </c>
      <c r="K26" s="1282">
        <f>J26*1.03</f>
        <v/>
      </c>
      <c r="L26" s="1282">
        <f>K26*1.03</f>
        <v/>
      </c>
      <c r="M26" s="1282">
        <f>L26*1.03</f>
        <v/>
      </c>
      <c r="N26" s="1282">
        <f>M26*1.03</f>
        <v/>
      </c>
      <c r="O26" s="383" t="n"/>
      <c r="P26" s="384">
        <f>'Headcount &amp; Salaries - 2'!X19</f>
        <v/>
      </c>
      <c r="Q26" s="384">
        <f>'Headcount &amp; Salaries - 2'!Y19</f>
        <v/>
      </c>
      <c r="R26" s="384">
        <f>'Headcount &amp; Salaries - 2'!Z19</f>
        <v/>
      </c>
      <c r="S26" s="384">
        <f>'Headcount &amp; Salaries - 2'!AA19</f>
        <v/>
      </c>
      <c r="T26" s="384">
        <f>'Headcount &amp; Salaries - 2'!AB19</f>
        <v/>
      </c>
      <c r="U26" s="384">
        <f>'Headcount &amp; Salaries - 2'!AC19</f>
        <v/>
      </c>
      <c r="V26" s="384">
        <f>'Headcount &amp; Salaries - 2'!AD19</f>
        <v/>
      </c>
      <c r="W26" s="384">
        <f>'Headcount &amp; Salaries - 2'!AE19</f>
        <v/>
      </c>
      <c r="X26" s="384">
        <f>'Headcount &amp; Salaries - 2'!AF19</f>
        <v/>
      </c>
      <c r="Y26" s="384">
        <f>'Headcount &amp; Salaries - 2'!AG19</f>
        <v/>
      </c>
      <c r="Z26" s="384">
        <f>'Headcount &amp; Salaries - 2'!AH19</f>
        <v/>
      </c>
      <c r="AA26" s="384">
        <f>'Headcount &amp; Salaries - 2'!AI19</f>
        <v/>
      </c>
      <c r="AB26" s="542">
        <f>'Headcount &amp; Salaries - 2'!AJ19</f>
        <v/>
      </c>
      <c r="AC26" s="384">
        <f>'Headcount &amp; Salaries - 2'!AK19</f>
        <v/>
      </c>
      <c r="AD26" s="384">
        <f>'Headcount &amp; Salaries - 2'!AL19</f>
        <v/>
      </c>
      <c r="AE26" s="384">
        <f>'Headcount &amp; Salaries - 2'!AM19</f>
        <v/>
      </c>
      <c r="AF26" s="384">
        <f>'Headcount &amp; Salaries - 2'!AN19</f>
        <v/>
      </c>
      <c r="AG26" s="384">
        <f>'Headcount &amp; Salaries - 2'!AO19</f>
        <v/>
      </c>
      <c r="AH26" s="384">
        <f>'Headcount &amp; Salaries - 2'!AP19</f>
        <v/>
      </c>
      <c r="AI26" s="384">
        <f>'Headcount &amp; Salaries - 2'!AQ19</f>
        <v/>
      </c>
      <c r="AJ26" s="384">
        <f>'Headcount &amp; Salaries - 2'!AR19</f>
        <v/>
      </c>
      <c r="AK26" s="384">
        <f>'Headcount &amp; Salaries - 2'!AS19</f>
        <v/>
      </c>
      <c r="AL26" s="384">
        <f>'Headcount &amp; Salaries - 2'!AT19</f>
        <v/>
      </c>
      <c r="AM26" s="384">
        <f>'Headcount &amp; Salaries - 2'!AU19</f>
        <v/>
      </c>
      <c r="AN26" s="542">
        <f>'Headcount &amp; Salaries - 2'!AV19</f>
        <v/>
      </c>
      <c r="AO26" s="384">
        <f>'Headcount &amp; Salaries - 2'!AW19</f>
        <v/>
      </c>
      <c r="AP26" s="384">
        <f>'Headcount &amp; Salaries - 2'!AX19</f>
        <v/>
      </c>
      <c r="AQ26" s="384">
        <f>'Headcount &amp; Salaries - 2'!AY19</f>
        <v/>
      </c>
      <c r="AR26" s="384">
        <f>'Headcount &amp; Salaries - 2'!AZ19</f>
        <v/>
      </c>
      <c r="AS26" s="384">
        <f>'Headcount &amp; Salaries - 2'!BA19</f>
        <v/>
      </c>
      <c r="AT26" s="384">
        <f>'Headcount &amp; Salaries - 2'!BB19</f>
        <v/>
      </c>
      <c r="AU26" s="384">
        <f>'Headcount &amp; Salaries - 2'!BC19</f>
        <v/>
      </c>
      <c r="AV26" s="384">
        <f>'Headcount &amp; Salaries - 2'!BD19</f>
        <v/>
      </c>
      <c r="AW26" s="384">
        <f>'Headcount &amp; Salaries - 2'!BE19</f>
        <v/>
      </c>
      <c r="AX26" s="384">
        <f>'Headcount &amp; Salaries - 2'!BF19</f>
        <v/>
      </c>
      <c r="AY26" s="565">
        <f>'Headcount &amp; Salaries - 2'!BG19</f>
        <v/>
      </c>
      <c r="AZ26" s="542">
        <f>'Headcount &amp; Salaries - 2'!BH19</f>
        <v/>
      </c>
      <c r="BA26" s="384">
        <f>'Headcount &amp; Salaries - 2'!BI19</f>
        <v/>
      </c>
      <c r="BB26" s="384">
        <f>'Headcount &amp; Salaries - 2'!BJ19</f>
        <v/>
      </c>
      <c r="BC26" s="384">
        <f>'Headcount &amp; Salaries - 2'!BK19</f>
        <v/>
      </c>
      <c r="BD26" s="384">
        <f>'Headcount &amp; Salaries - 2'!BL19</f>
        <v/>
      </c>
      <c r="BE26" s="384">
        <f>'Headcount &amp; Salaries - 2'!BM19</f>
        <v/>
      </c>
      <c r="BF26" s="384">
        <f>'Headcount &amp; Salaries - 2'!BN19</f>
        <v/>
      </c>
      <c r="BG26" s="384">
        <f>'Headcount &amp; Salaries - 2'!BO19</f>
        <v/>
      </c>
      <c r="BH26" s="384">
        <f>'Headcount &amp; Salaries - 2'!BP19</f>
        <v/>
      </c>
      <c r="BI26" s="384">
        <f>'Headcount &amp; Salaries - 2'!BQ19</f>
        <v/>
      </c>
      <c r="BJ26" s="384">
        <f>'Headcount &amp; Salaries - 2'!BR19</f>
        <v/>
      </c>
      <c r="BK26" s="384">
        <f>'Headcount &amp; Salaries - 2'!BS19</f>
        <v/>
      </c>
      <c r="BL26" s="542">
        <f>'Headcount &amp; Salaries - 2'!BT19</f>
        <v/>
      </c>
      <c r="BM26" s="384">
        <f>'Headcount &amp; Salaries - 2'!BU19</f>
        <v/>
      </c>
      <c r="BN26" s="384">
        <f>'Headcount &amp; Salaries - 2'!BV19</f>
        <v/>
      </c>
      <c r="BO26" s="384">
        <f>'Headcount &amp; Salaries - 2'!BW19</f>
        <v/>
      </c>
      <c r="BP26" s="384">
        <f>'Headcount &amp; Salaries - 2'!BX19</f>
        <v/>
      </c>
      <c r="BQ26" s="384">
        <f>'Headcount &amp; Salaries - 2'!BY19</f>
        <v/>
      </c>
      <c r="BR26" s="384">
        <f>'Headcount &amp; Salaries - 2'!BZ19</f>
        <v/>
      </c>
      <c r="BS26" s="384">
        <f>'Headcount &amp; Salaries - 2'!CA19</f>
        <v/>
      </c>
      <c r="BT26" s="384">
        <f>'Headcount &amp; Salaries - 2'!CB19</f>
        <v/>
      </c>
      <c r="BU26" s="384">
        <f>'Headcount &amp; Salaries - 2'!CC19</f>
        <v/>
      </c>
      <c r="BV26" s="384">
        <f>'Headcount &amp; Salaries - 2'!CD19</f>
        <v/>
      </c>
      <c r="BW26" s="384">
        <f>'Headcount &amp; Salaries - 2'!CE19</f>
        <v/>
      </c>
      <c r="BX26" s="383" t="n"/>
      <c r="BY26" s="383" t="n"/>
      <c r="BZ26" s="383" t="n"/>
      <c r="CA26" s="383" t="n"/>
      <c r="CB26" s="383" t="n"/>
      <c r="CC26" s="383" t="n"/>
      <c r="CD26" s="383" t="n"/>
      <c r="CE26" s="383" t="n"/>
      <c r="CF26" s="383" t="n"/>
      <c r="CG26" s="383" t="n"/>
      <c r="CH26" s="383" t="n"/>
      <c r="CI26" s="383" t="n"/>
      <c r="CJ26" s="383" t="n"/>
      <c r="CK26" s="383" t="n"/>
      <c r="CL26" s="383" t="n"/>
      <c r="CM26" s="383" t="n"/>
      <c r="CN26" s="383" t="n"/>
      <c r="CO26" s="383" t="n"/>
      <c r="CP26" s="383" t="n"/>
      <c r="CQ26" s="383" t="n"/>
      <c r="CR26" s="383" t="n"/>
      <c r="CS26" s="383" t="n"/>
      <c r="CT26" s="383" t="n"/>
      <c r="CU26" s="383" t="n"/>
      <c r="CV26" s="383" t="n"/>
      <c r="CW26" s="383" t="n"/>
      <c r="CX26" s="383" t="n"/>
      <c r="CY26" s="383" t="n"/>
      <c r="CZ26" s="383" t="n"/>
      <c r="DA26" s="383" t="n"/>
      <c r="DB26" s="383" t="n"/>
      <c r="DC26" s="383" t="n"/>
      <c r="DD26" s="383" t="n"/>
      <c r="DE26" s="383" t="n"/>
      <c r="DF26" s="383" t="n"/>
      <c r="DG26" s="383" t="n"/>
      <c r="DH26" s="383" t="n"/>
      <c r="DI26" s="383" t="n"/>
      <c r="DJ26" s="383" t="n"/>
      <c r="DK26" s="383" t="n"/>
      <c r="DL26" s="383" t="n"/>
      <c r="DM26" s="383" t="n"/>
      <c r="DN26" s="383" t="n"/>
      <c r="DO26" s="383" t="n"/>
      <c r="DP26" s="383" t="n"/>
      <c r="DQ26" s="383" t="n"/>
      <c r="DR26" s="383" t="n"/>
      <c r="DS26" s="383" t="n"/>
      <c r="DT26" s="383" t="n"/>
      <c r="DU26" s="383" t="n"/>
      <c r="DV26" s="383" t="n"/>
      <c r="DW26" s="383" t="n"/>
      <c r="DX26" s="383" t="n"/>
      <c r="DY26" s="383" t="n"/>
      <c r="DZ26" s="383" t="n"/>
      <c r="EA26" s="383" t="n"/>
      <c r="EB26" s="383" t="n"/>
      <c r="EC26" s="383" t="n"/>
      <c r="ED26" s="383" t="n"/>
      <c r="EE26" s="383" t="n"/>
      <c r="EF26" s="383" t="n"/>
      <c r="EG26" s="383" t="n"/>
      <c r="EH26" s="383" t="n"/>
      <c r="EI26" s="383" t="n"/>
      <c r="EJ26" s="383" t="n"/>
      <c r="EK26" s="383" t="n"/>
      <c r="EL26" s="383" t="n"/>
      <c r="EM26" s="383" t="n"/>
      <c r="EN26" s="383" t="n"/>
      <c r="EO26" s="383" t="n"/>
      <c r="EP26" s="383" t="n"/>
      <c r="EQ26" s="383" t="n"/>
      <c r="ER26" s="383" t="n"/>
      <c r="ES26" s="383" t="n"/>
      <c r="ET26" s="383" t="n"/>
      <c r="EU26" s="383" t="n"/>
      <c r="EV26" s="383" t="n"/>
      <c r="EW26" s="383" t="n"/>
      <c r="EX26" s="383" t="n"/>
      <c r="EY26" s="383" t="n"/>
      <c r="EZ26" s="383" t="n"/>
      <c r="FA26" s="383" t="n"/>
      <c r="FB26" s="383" t="n"/>
      <c r="FC26" s="383" t="n"/>
      <c r="FD26" s="383" t="n"/>
      <c r="FE26" s="383" t="n"/>
      <c r="FF26" s="383" t="n"/>
      <c r="FG26" s="383" t="n"/>
      <c r="FH26" s="383" t="n"/>
      <c r="FI26" s="383" t="n"/>
      <c r="FJ26" s="383" t="n"/>
      <c r="FK26" s="383" t="n"/>
      <c r="FL26" s="383" t="n"/>
      <c r="FM26" s="383" t="n"/>
      <c r="FN26" s="383" t="n"/>
      <c r="FO26" s="383" t="n"/>
      <c r="FP26" s="383" t="n"/>
      <c r="FQ26" s="383" t="n"/>
      <c r="FR26" s="383" t="n"/>
      <c r="FS26" s="383" t="n"/>
      <c r="FT26" s="383" t="n"/>
      <c r="FU26" s="383" t="n"/>
      <c r="FV26" s="383" t="n"/>
      <c r="FW26" s="383" t="n"/>
      <c r="FX26" s="383" t="n"/>
      <c r="FY26" s="383" t="n"/>
      <c r="FZ26" s="383" t="n"/>
      <c r="GA26" s="383" t="n"/>
      <c r="GB26" s="383" t="n"/>
      <c r="GC26" s="383" t="n"/>
      <c r="GD26" s="383" t="n"/>
      <c r="GE26" s="383" t="n"/>
      <c r="GF26" s="383" t="n"/>
      <c r="GG26" s="383" t="n"/>
      <c r="GH26" s="383" t="n"/>
      <c r="GI26" s="383" t="n"/>
      <c r="GJ26" s="383" t="n"/>
      <c r="GK26" s="383" t="n"/>
      <c r="GL26" s="383" t="n"/>
      <c r="GM26" s="383" t="n"/>
      <c r="GN26" s="383" t="n"/>
      <c r="GO26" s="383" t="n"/>
      <c r="GP26" s="383" t="n"/>
      <c r="GQ26" s="383" t="n"/>
      <c r="GR26" s="383" t="n"/>
      <c r="GS26" s="383" t="n"/>
      <c r="GT26" s="383" t="n"/>
      <c r="GU26" s="383" t="n"/>
      <c r="GV26" s="383" t="n"/>
      <c r="GW26" s="383" t="n"/>
      <c r="GX26" s="383" t="n"/>
      <c r="GY26" s="383" t="n"/>
    </row>
    <row r="27" ht="15" customFormat="1" customHeight="1" s="658">
      <c r="A27" s="385" t="n"/>
      <c r="B27" s="133" t="inlineStr">
        <is>
          <t>√</t>
        </is>
      </c>
      <c r="C27" s="385" t="n"/>
      <c r="D27" s="657" t="inlineStr">
        <is>
          <t>●</t>
        </is>
      </c>
      <c r="E27" s="668" t="inlineStr">
        <is>
          <t>Mohamed Madhoun - Chief Revenue Officer</t>
        </is>
      </c>
      <c r="F27" s="698" t="n"/>
      <c r="G27" s="698" t="n"/>
      <c r="H27" s="698" t="n"/>
      <c r="I27" s="385" t="n"/>
      <c r="J27" s="701" t="n">
        <v>165000</v>
      </c>
      <c r="K27" s="1282">
        <f>J27*1.03</f>
        <v/>
      </c>
      <c r="L27" s="1282">
        <f>K27*1.03</f>
        <v/>
      </c>
      <c r="M27" s="1282">
        <f>L27*1.03</f>
        <v/>
      </c>
      <c r="N27" s="1282">
        <f>M27*1.03</f>
        <v/>
      </c>
      <c r="O27" s="385" t="n"/>
      <c r="P27" s="386">
        <f>'Headcount &amp; Salaries - 2'!X20</f>
        <v/>
      </c>
      <c r="Q27" s="386">
        <f>'Headcount &amp; Salaries - 2'!Y20</f>
        <v/>
      </c>
      <c r="R27" s="386">
        <f>'Headcount &amp; Salaries - 2'!Z20</f>
        <v/>
      </c>
      <c r="S27" s="386">
        <f>'Headcount &amp; Salaries - 2'!AA20</f>
        <v/>
      </c>
      <c r="T27" s="386">
        <f>'Headcount &amp; Salaries - 2'!AB20</f>
        <v/>
      </c>
      <c r="U27" s="386">
        <f>'Headcount &amp; Salaries - 2'!AC20</f>
        <v/>
      </c>
      <c r="V27" s="386">
        <f>'Headcount &amp; Salaries - 2'!AD20</f>
        <v/>
      </c>
      <c r="W27" s="386">
        <f>'Headcount &amp; Salaries - 2'!AE20</f>
        <v/>
      </c>
      <c r="X27" s="386">
        <f>'Headcount &amp; Salaries - 2'!AF20</f>
        <v/>
      </c>
      <c r="Y27" s="386">
        <f>'Headcount &amp; Salaries - 2'!AG20</f>
        <v/>
      </c>
      <c r="Z27" s="386">
        <f>'Headcount &amp; Salaries - 2'!AH20</f>
        <v/>
      </c>
      <c r="AA27" s="386">
        <f>'Headcount &amp; Salaries - 2'!AI20</f>
        <v/>
      </c>
      <c r="AB27" s="433">
        <f>'Headcount &amp; Salaries - 2'!AJ20</f>
        <v/>
      </c>
      <c r="AC27" s="386">
        <f>'Headcount &amp; Salaries - 2'!AK20</f>
        <v/>
      </c>
      <c r="AD27" s="386">
        <f>'Headcount &amp; Salaries - 2'!AL20</f>
        <v/>
      </c>
      <c r="AE27" s="386">
        <f>'Headcount &amp; Salaries - 2'!AM20</f>
        <v/>
      </c>
      <c r="AF27" s="386">
        <f>'Headcount &amp; Salaries - 2'!AN20</f>
        <v/>
      </c>
      <c r="AG27" s="386">
        <f>'Headcount &amp; Salaries - 2'!AO20</f>
        <v/>
      </c>
      <c r="AH27" s="386">
        <f>'Headcount &amp; Salaries - 2'!AP20</f>
        <v/>
      </c>
      <c r="AI27" s="386">
        <f>'Headcount &amp; Salaries - 2'!AQ20</f>
        <v/>
      </c>
      <c r="AJ27" s="386">
        <f>'Headcount &amp; Salaries - 2'!AR20</f>
        <v/>
      </c>
      <c r="AK27" s="386">
        <f>'Headcount &amp; Salaries - 2'!AS20</f>
        <v/>
      </c>
      <c r="AL27" s="386">
        <f>'Headcount &amp; Salaries - 2'!AT20</f>
        <v/>
      </c>
      <c r="AM27" s="386">
        <f>'Headcount &amp; Salaries - 2'!AU20</f>
        <v/>
      </c>
      <c r="AN27" s="433">
        <f>'Headcount &amp; Salaries - 2'!AV20</f>
        <v/>
      </c>
      <c r="AO27" s="386">
        <f>'Headcount &amp; Salaries - 2'!AW20</f>
        <v/>
      </c>
      <c r="AP27" s="386">
        <f>'Headcount &amp; Salaries - 2'!AX20</f>
        <v/>
      </c>
      <c r="AQ27" s="386">
        <f>'Headcount &amp; Salaries - 2'!AY20</f>
        <v/>
      </c>
      <c r="AR27" s="386">
        <f>'Headcount &amp; Salaries - 2'!AZ20</f>
        <v/>
      </c>
      <c r="AS27" s="386">
        <f>'Headcount &amp; Salaries - 2'!BA20</f>
        <v/>
      </c>
      <c r="AT27" s="386">
        <f>'Headcount &amp; Salaries - 2'!BB20</f>
        <v/>
      </c>
      <c r="AU27" s="386">
        <f>'Headcount &amp; Salaries - 2'!BC20</f>
        <v/>
      </c>
      <c r="AV27" s="386">
        <f>'Headcount &amp; Salaries - 2'!BD20</f>
        <v/>
      </c>
      <c r="AW27" s="386">
        <f>'Headcount &amp; Salaries - 2'!BE20</f>
        <v/>
      </c>
      <c r="AX27" s="386">
        <f>'Headcount &amp; Salaries - 2'!BF20</f>
        <v/>
      </c>
      <c r="AY27" s="1882">
        <f>'Headcount &amp; Salaries - 2'!BG20</f>
        <v/>
      </c>
      <c r="AZ27" s="433">
        <f>'Headcount &amp; Salaries - 2'!BH20</f>
        <v/>
      </c>
      <c r="BA27" s="386">
        <f>'Headcount &amp; Salaries - 2'!BI20</f>
        <v/>
      </c>
      <c r="BB27" s="386">
        <f>'Headcount &amp; Salaries - 2'!BJ20</f>
        <v/>
      </c>
      <c r="BC27" s="386">
        <f>'Headcount &amp; Salaries - 2'!BK20</f>
        <v/>
      </c>
      <c r="BD27" s="386">
        <f>'Headcount &amp; Salaries - 2'!BL20</f>
        <v/>
      </c>
      <c r="BE27" s="386">
        <f>'Headcount &amp; Salaries - 2'!BM20</f>
        <v/>
      </c>
      <c r="BF27" s="386">
        <f>'Headcount &amp; Salaries - 2'!BN20</f>
        <v/>
      </c>
      <c r="BG27" s="386">
        <f>'Headcount &amp; Salaries - 2'!BO20</f>
        <v/>
      </c>
      <c r="BH27" s="386">
        <f>'Headcount &amp; Salaries - 2'!BP20</f>
        <v/>
      </c>
      <c r="BI27" s="386">
        <f>'Headcount &amp; Salaries - 2'!BQ20</f>
        <v/>
      </c>
      <c r="BJ27" s="386">
        <f>'Headcount &amp; Salaries - 2'!BR20</f>
        <v/>
      </c>
      <c r="BK27" s="386">
        <f>'Headcount &amp; Salaries - 2'!BS20</f>
        <v/>
      </c>
      <c r="BL27" s="433">
        <f>'Headcount &amp; Salaries - 2'!BT20</f>
        <v/>
      </c>
      <c r="BM27" s="386">
        <f>'Headcount &amp; Salaries - 2'!BU20</f>
        <v/>
      </c>
      <c r="BN27" s="386">
        <f>'Headcount &amp; Salaries - 2'!BV20</f>
        <v/>
      </c>
      <c r="BO27" s="386">
        <f>'Headcount &amp; Salaries - 2'!BW20</f>
        <v/>
      </c>
      <c r="BP27" s="386">
        <f>'Headcount &amp; Salaries - 2'!BX20</f>
        <v/>
      </c>
      <c r="BQ27" s="386">
        <f>'Headcount &amp; Salaries - 2'!BY20</f>
        <v/>
      </c>
      <c r="BR27" s="386">
        <f>'Headcount &amp; Salaries - 2'!BZ20</f>
        <v/>
      </c>
      <c r="BS27" s="386">
        <f>'Headcount &amp; Salaries - 2'!CA20</f>
        <v/>
      </c>
      <c r="BT27" s="386">
        <f>'Headcount &amp; Salaries - 2'!CB20</f>
        <v/>
      </c>
      <c r="BU27" s="386">
        <f>'Headcount &amp; Salaries - 2'!CC20</f>
        <v/>
      </c>
      <c r="BV27" s="386">
        <f>'Headcount &amp; Salaries - 2'!CD20</f>
        <v/>
      </c>
      <c r="BW27" s="386">
        <f>'Headcount &amp; Salaries - 2'!CE20</f>
        <v/>
      </c>
      <c r="BX27" s="383" t="n"/>
      <c r="BY27" s="385" t="n"/>
      <c r="BZ27" s="385" t="n"/>
      <c r="CA27" s="385" t="n"/>
      <c r="CB27" s="385" t="n"/>
      <c r="CC27" s="385" t="n"/>
      <c r="CD27" s="385" t="n"/>
      <c r="CE27" s="385" t="n"/>
      <c r="CF27" s="385" t="n"/>
      <c r="CG27" s="385" t="n"/>
      <c r="CH27" s="385" t="n"/>
      <c r="CI27" s="385" t="n"/>
      <c r="CJ27" s="385" t="n"/>
      <c r="CK27" s="385" t="n"/>
      <c r="CL27" s="385" t="n"/>
      <c r="CM27" s="385" t="n"/>
      <c r="CN27" s="385" t="n"/>
      <c r="CO27" s="385" t="n"/>
      <c r="CP27" s="385" t="n"/>
      <c r="CQ27" s="385" t="n"/>
      <c r="CR27" s="385" t="n"/>
      <c r="CS27" s="385" t="n"/>
      <c r="CT27" s="385" t="n"/>
      <c r="CU27" s="385" t="n"/>
      <c r="CV27" s="385" t="n"/>
      <c r="CW27" s="385" t="n"/>
      <c r="CX27" s="385" t="n"/>
      <c r="CY27" s="385" t="n"/>
      <c r="CZ27" s="385" t="n"/>
      <c r="DA27" s="385" t="n"/>
      <c r="DB27" s="385" t="n"/>
      <c r="DC27" s="385" t="n"/>
      <c r="DD27" s="385" t="n"/>
      <c r="DE27" s="385" t="n"/>
      <c r="DF27" s="385" t="n"/>
      <c r="DG27" s="385" t="n"/>
      <c r="DH27" s="385" t="n"/>
      <c r="DI27" s="385" t="n"/>
      <c r="DJ27" s="385" t="n"/>
      <c r="DK27" s="385" t="n"/>
      <c r="DL27" s="385" t="n"/>
      <c r="DM27" s="385" t="n"/>
      <c r="DN27" s="385" t="n"/>
      <c r="DO27" s="385" t="n"/>
      <c r="DP27" s="385" t="n"/>
      <c r="DQ27" s="385" t="n"/>
      <c r="DR27" s="385" t="n"/>
      <c r="DS27" s="385" t="n"/>
      <c r="DT27" s="385" t="n"/>
      <c r="DU27" s="385" t="n"/>
      <c r="DV27" s="385" t="n"/>
      <c r="DW27" s="385" t="n"/>
      <c r="DX27" s="385" t="n"/>
      <c r="DY27" s="385" t="n"/>
      <c r="DZ27" s="385" t="n"/>
      <c r="EA27" s="385" t="n"/>
      <c r="EB27" s="385" t="n"/>
      <c r="EC27" s="385" t="n"/>
      <c r="ED27" s="385" t="n"/>
      <c r="EE27" s="385" t="n"/>
      <c r="EF27" s="385" t="n"/>
      <c r="EG27" s="385" t="n"/>
      <c r="EH27" s="385" t="n"/>
      <c r="EI27" s="385" t="n"/>
      <c r="EJ27" s="385" t="n"/>
      <c r="EK27" s="385" t="n"/>
      <c r="EL27" s="385" t="n"/>
      <c r="EM27" s="385" t="n"/>
      <c r="EN27" s="385" t="n"/>
      <c r="EO27" s="385" t="n"/>
      <c r="EP27" s="385" t="n"/>
      <c r="EQ27" s="385" t="n"/>
      <c r="ER27" s="385" t="n"/>
      <c r="ES27" s="385" t="n"/>
      <c r="ET27" s="385" t="n"/>
      <c r="EU27" s="385" t="n"/>
      <c r="EV27" s="385" t="n"/>
      <c r="EW27" s="385" t="n"/>
      <c r="EX27" s="385" t="n"/>
      <c r="EY27" s="385" t="n"/>
      <c r="EZ27" s="385" t="n"/>
      <c r="FA27" s="385" t="n"/>
      <c r="FB27" s="385" t="n"/>
      <c r="FC27" s="385" t="n"/>
      <c r="FD27" s="385" t="n"/>
      <c r="FE27" s="385" t="n"/>
      <c r="FF27" s="385" t="n"/>
      <c r="FG27" s="385" t="n"/>
      <c r="FH27" s="385" t="n"/>
      <c r="FI27" s="385" t="n"/>
      <c r="FJ27" s="385" t="n"/>
      <c r="FK27" s="385" t="n"/>
      <c r="FL27" s="385" t="n"/>
      <c r="FM27" s="385" t="n"/>
      <c r="FN27" s="385" t="n"/>
      <c r="FO27" s="385" t="n"/>
      <c r="FP27" s="385" t="n"/>
      <c r="FQ27" s="385" t="n"/>
      <c r="FR27" s="385" t="n"/>
      <c r="FS27" s="385" t="n"/>
      <c r="FT27" s="385" t="n"/>
      <c r="FU27" s="385" t="n"/>
      <c r="FV27" s="385" t="n"/>
      <c r="FW27" s="385" t="n"/>
      <c r="FX27" s="385" t="n"/>
      <c r="FY27" s="385" t="n"/>
      <c r="FZ27" s="385" t="n"/>
      <c r="GA27" s="385" t="n"/>
      <c r="GB27" s="385" t="n"/>
      <c r="GC27" s="385" t="n"/>
      <c r="GD27" s="385" t="n"/>
      <c r="GE27" s="385" t="n"/>
      <c r="GF27" s="385" t="n"/>
      <c r="GG27" s="385" t="n"/>
      <c r="GH27" s="385" t="n"/>
      <c r="GI27" s="385" t="n"/>
      <c r="GJ27" s="385" t="n"/>
      <c r="GK27" s="385" t="n"/>
      <c r="GL27" s="385" t="n"/>
      <c r="GM27" s="385" t="n"/>
      <c r="GN27" s="385" t="n"/>
      <c r="GO27" s="385" t="n"/>
      <c r="GP27" s="385" t="n"/>
      <c r="GQ27" s="385" t="n"/>
      <c r="GR27" s="385" t="n"/>
      <c r="GS27" s="385" t="n"/>
      <c r="GT27" s="385" t="n"/>
      <c r="GU27" s="385" t="n"/>
      <c r="GV27" s="385" t="n"/>
      <c r="GW27" s="385" t="n"/>
      <c r="GX27" s="385" t="n"/>
      <c r="GY27" s="385" t="n"/>
    </row>
    <row r="28" ht="15" customFormat="1" customHeight="1" s="658">
      <c r="A28" s="385" t="n"/>
      <c r="B28" s="133" t="inlineStr">
        <is>
          <t>√</t>
        </is>
      </c>
      <c r="C28" s="385" t="n"/>
      <c r="D28" s="657" t="inlineStr">
        <is>
          <t>●</t>
        </is>
      </c>
      <c r="E28" s="668" t="inlineStr">
        <is>
          <t>Andrea Holmes Thompkins - Chief Human Resources Officer</t>
        </is>
      </c>
      <c r="F28" s="698" t="n"/>
      <c r="G28" s="698" t="n"/>
      <c r="H28" s="698" t="n"/>
      <c r="I28" s="385" t="n"/>
      <c r="J28" s="701" t="n">
        <v>165000</v>
      </c>
      <c r="K28" s="1282">
        <f>J28*1.03</f>
        <v/>
      </c>
      <c r="L28" s="1282">
        <f>K28*1.03</f>
        <v/>
      </c>
      <c r="M28" s="1282">
        <f>L28*1.03</f>
        <v/>
      </c>
      <c r="N28" s="1282">
        <f>M28*1.03</f>
        <v/>
      </c>
      <c r="O28" s="385" t="n"/>
      <c r="P28" s="386">
        <f>'Headcount &amp; Salaries - 2'!X21</f>
        <v/>
      </c>
      <c r="Q28" s="386">
        <f>'Headcount &amp; Salaries - 2'!Y21</f>
        <v/>
      </c>
      <c r="R28" s="386">
        <f>'Headcount &amp; Salaries - 2'!Z21</f>
        <v/>
      </c>
      <c r="S28" s="386">
        <f>'Headcount &amp; Salaries - 2'!AA21</f>
        <v/>
      </c>
      <c r="T28" s="386">
        <f>'Headcount &amp; Salaries - 2'!AB21</f>
        <v/>
      </c>
      <c r="U28" s="386">
        <f>'Headcount &amp; Salaries - 2'!AC21</f>
        <v/>
      </c>
      <c r="V28" s="386">
        <f>'Headcount &amp; Salaries - 2'!AD21</f>
        <v/>
      </c>
      <c r="W28" s="386">
        <f>'Headcount &amp; Salaries - 2'!AE21</f>
        <v/>
      </c>
      <c r="X28" s="386">
        <f>'Headcount &amp; Salaries - 2'!AF21</f>
        <v/>
      </c>
      <c r="Y28" s="386">
        <f>'Headcount &amp; Salaries - 2'!AG21</f>
        <v/>
      </c>
      <c r="Z28" s="386">
        <f>'Headcount &amp; Salaries - 2'!AH21</f>
        <v/>
      </c>
      <c r="AA28" s="386">
        <f>'Headcount &amp; Salaries - 2'!AI21</f>
        <v/>
      </c>
      <c r="AB28" s="433">
        <f>'Headcount &amp; Salaries - 2'!AJ21</f>
        <v/>
      </c>
      <c r="AC28" s="386">
        <f>'Headcount &amp; Salaries - 2'!AK21</f>
        <v/>
      </c>
      <c r="AD28" s="386">
        <f>'Headcount &amp; Salaries - 2'!AL21</f>
        <v/>
      </c>
      <c r="AE28" s="386">
        <f>'Headcount &amp; Salaries - 2'!AM21</f>
        <v/>
      </c>
      <c r="AF28" s="386">
        <f>'Headcount &amp; Salaries - 2'!AN21</f>
        <v/>
      </c>
      <c r="AG28" s="386">
        <f>'Headcount &amp; Salaries - 2'!AO21</f>
        <v/>
      </c>
      <c r="AH28" s="386">
        <f>'Headcount &amp; Salaries - 2'!AP21</f>
        <v/>
      </c>
      <c r="AI28" s="386">
        <f>'Headcount &amp; Salaries - 2'!AQ21</f>
        <v/>
      </c>
      <c r="AJ28" s="386">
        <f>'Headcount &amp; Salaries - 2'!AR21</f>
        <v/>
      </c>
      <c r="AK28" s="386">
        <f>'Headcount &amp; Salaries - 2'!AS21</f>
        <v/>
      </c>
      <c r="AL28" s="386">
        <f>'Headcount &amp; Salaries - 2'!AT21</f>
        <v/>
      </c>
      <c r="AM28" s="386">
        <f>'Headcount &amp; Salaries - 2'!AU21</f>
        <v/>
      </c>
      <c r="AN28" s="433">
        <f>'Headcount &amp; Salaries - 2'!AV21</f>
        <v/>
      </c>
      <c r="AO28" s="386">
        <f>'Headcount &amp; Salaries - 2'!AW21</f>
        <v/>
      </c>
      <c r="AP28" s="386">
        <f>'Headcount &amp; Salaries - 2'!AX21</f>
        <v/>
      </c>
      <c r="AQ28" s="386">
        <f>'Headcount &amp; Salaries - 2'!AY21</f>
        <v/>
      </c>
      <c r="AR28" s="386">
        <f>'Headcount &amp; Salaries - 2'!AZ21</f>
        <v/>
      </c>
      <c r="AS28" s="386">
        <f>'Headcount &amp; Salaries - 2'!BA21</f>
        <v/>
      </c>
      <c r="AT28" s="386">
        <f>'Headcount &amp; Salaries - 2'!BB21</f>
        <v/>
      </c>
      <c r="AU28" s="386">
        <f>'Headcount &amp; Salaries - 2'!BC21</f>
        <v/>
      </c>
      <c r="AV28" s="386">
        <f>'Headcount &amp; Salaries - 2'!BD21</f>
        <v/>
      </c>
      <c r="AW28" s="386">
        <f>'Headcount &amp; Salaries - 2'!BE21</f>
        <v/>
      </c>
      <c r="AX28" s="386">
        <f>'Headcount &amp; Salaries - 2'!BF21</f>
        <v/>
      </c>
      <c r="AY28" s="1882">
        <f>'Headcount &amp; Salaries - 2'!BG21</f>
        <v/>
      </c>
      <c r="AZ28" s="433">
        <f>'Headcount &amp; Salaries - 2'!BH21</f>
        <v/>
      </c>
      <c r="BA28" s="386">
        <f>'Headcount &amp; Salaries - 2'!BI21</f>
        <v/>
      </c>
      <c r="BB28" s="386">
        <f>'Headcount &amp; Salaries - 2'!BJ21</f>
        <v/>
      </c>
      <c r="BC28" s="386">
        <f>'Headcount &amp; Salaries - 2'!BK21</f>
        <v/>
      </c>
      <c r="BD28" s="386">
        <f>'Headcount &amp; Salaries - 2'!BL21</f>
        <v/>
      </c>
      <c r="BE28" s="386">
        <f>'Headcount &amp; Salaries - 2'!BM21</f>
        <v/>
      </c>
      <c r="BF28" s="386">
        <f>'Headcount &amp; Salaries - 2'!BN21</f>
        <v/>
      </c>
      <c r="BG28" s="386">
        <f>'Headcount &amp; Salaries - 2'!BO21</f>
        <v/>
      </c>
      <c r="BH28" s="386">
        <f>'Headcount &amp; Salaries - 2'!BP21</f>
        <v/>
      </c>
      <c r="BI28" s="386">
        <f>'Headcount &amp; Salaries - 2'!BQ21</f>
        <v/>
      </c>
      <c r="BJ28" s="386">
        <f>'Headcount &amp; Salaries - 2'!BR21</f>
        <v/>
      </c>
      <c r="BK28" s="386">
        <f>'Headcount &amp; Salaries - 2'!BS21</f>
        <v/>
      </c>
      <c r="BL28" s="433">
        <f>'Headcount &amp; Salaries - 2'!BT21</f>
        <v/>
      </c>
      <c r="BM28" s="386">
        <f>'Headcount &amp; Salaries - 2'!BU21</f>
        <v/>
      </c>
      <c r="BN28" s="386">
        <f>'Headcount &amp; Salaries - 2'!BV21</f>
        <v/>
      </c>
      <c r="BO28" s="386">
        <f>'Headcount &amp; Salaries - 2'!BW21</f>
        <v/>
      </c>
      <c r="BP28" s="386">
        <f>'Headcount &amp; Salaries - 2'!BX21</f>
        <v/>
      </c>
      <c r="BQ28" s="386">
        <f>'Headcount &amp; Salaries - 2'!BY21</f>
        <v/>
      </c>
      <c r="BR28" s="386">
        <f>'Headcount &amp; Salaries - 2'!BZ21</f>
        <v/>
      </c>
      <c r="BS28" s="386">
        <f>'Headcount &amp; Salaries - 2'!CA21</f>
        <v/>
      </c>
      <c r="BT28" s="386">
        <f>'Headcount &amp; Salaries - 2'!CB21</f>
        <v/>
      </c>
      <c r="BU28" s="386">
        <f>'Headcount &amp; Salaries - 2'!CC21</f>
        <v/>
      </c>
      <c r="BV28" s="386">
        <f>'Headcount &amp; Salaries - 2'!CD21</f>
        <v/>
      </c>
      <c r="BW28" s="386">
        <f>'Headcount &amp; Salaries - 2'!CE21</f>
        <v/>
      </c>
      <c r="BX28" s="383" t="n"/>
      <c r="BY28" s="385" t="n"/>
      <c r="BZ28" s="385" t="n"/>
      <c r="CA28" s="385" t="n"/>
      <c r="CB28" s="385" t="n"/>
      <c r="CC28" s="385" t="n"/>
      <c r="CD28" s="385" t="n"/>
      <c r="CE28" s="385" t="n"/>
      <c r="CF28" s="385" t="n"/>
      <c r="CG28" s="385" t="n"/>
      <c r="CH28" s="385" t="n"/>
      <c r="CI28" s="385" t="n"/>
      <c r="CJ28" s="385" t="n"/>
      <c r="CK28" s="385" t="n"/>
      <c r="CL28" s="385" t="n"/>
      <c r="CM28" s="385" t="n"/>
      <c r="CN28" s="385" t="n"/>
      <c r="CO28" s="385" t="n"/>
      <c r="CP28" s="385" t="n"/>
      <c r="CQ28" s="385" t="n"/>
      <c r="CR28" s="385" t="n"/>
      <c r="CS28" s="385" t="n"/>
      <c r="CT28" s="385" t="n"/>
      <c r="CU28" s="385" t="n"/>
      <c r="CV28" s="385" t="n"/>
      <c r="CW28" s="385" t="n"/>
      <c r="CX28" s="385" t="n"/>
      <c r="CY28" s="385" t="n"/>
      <c r="CZ28" s="385" t="n"/>
      <c r="DA28" s="385" t="n"/>
      <c r="DB28" s="385" t="n"/>
      <c r="DC28" s="385" t="n"/>
      <c r="DD28" s="385" t="n"/>
      <c r="DE28" s="385" t="n"/>
      <c r="DF28" s="385" t="n"/>
      <c r="DG28" s="385" t="n"/>
      <c r="DH28" s="385" t="n"/>
      <c r="DI28" s="385" t="n"/>
      <c r="DJ28" s="385" t="n"/>
      <c r="DK28" s="385" t="n"/>
      <c r="DL28" s="385" t="n"/>
      <c r="DM28" s="385" t="n"/>
      <c r="DN28" s="385" t="n"/>
      <c r="DO28" s="385" t="n"/>
      <c r="DP28" s="385" t="n"/>
      <c r="DQ28" s="385" t="n"/>
      <c r="DR28" s="385" t="n"/>
      <c r="DS28" s="385" t="n"/>
      <c r="DT28" s="385" t="n"/>
      <c r="DU28" s="385" t="n"/>
      <c r="DV28" s="385" t="n"/>
      <c r="DW28" s="385" t="n"/>
      <c r="DX28" s="385" t="n"/>
      <c r="DY28" s="385" t="n"/>
      <c r="DZ28" s="385" t="n"/>
      <c r="EA28" s="385" t="n"/>
      <c r="EB28" s="385" t="n"/>
      <c r="EC28" s="385" t="n"/>
      <c r="ED28" s="385" t="n"/>
      <c r="EE28" s="385" t="n"/>
      <c r="EF28" s="385" t="n"/>
      <c r="EG28" s="385" t="n"/>
      <c r="EH28" s="385" t="n"/>
      <c r="EI28" s="385" t="n"/>
      <c r="EJ28" s="385" t="n"/>
      <c r="EK28" s="385" t="n"/>
      <c r="EL28" s="385" t="n"/>
      <c r="EM28" s="385" t="n"/>
      <c r="EN28" s="385" t="n"/>
      <c r="EO28" s="385" t="n"/>
      <c r="EP28" s="385" t="n"/>
      <c r="EQ28" s="385" t="n"/>
      <c r="ER28" s="385" t="n"/>
      <c r="ES28" s="385" t="n"/>
      <c r="ET28" s="385" t="n"/>
      <c r="EU28" s="385" t="n"/>
      <c r="EV28" s="385" t="n"/>
      <c r="EW28" s="385" t="n"/>
      <c r="EX28" s="385" t="n"/>
      <c r="EY28" s="385" t="n"/>
      <c r="EZ28" s="385" t="n"/>
      <c r="FA28" s="385" t="n"/>
      <c r="FB28" s="385" t="n"/>
      <c r="FC28" s="385" t="n"/>
      <c r="FD28" s="385" t="n"/>
      <c r="FE28" s="385" t="n"/>
      <c r="FF28" s="385" t="n"/>
      <c r="FG28" s="385" t="n"/>
      <c r="FH28" s="385" t="n"/>
      <c r="FI28" s="385" t="n"/>
      <c r="FJ28" s="385" t="n"/>
      <c r="FK28" s="385" t="n"/>
      <c r="FL28" s="385" t="n"/>
      <c r="FM28" s="385" t="n"/>
      <c r="FN28" s="385" t="n"/>
      <c r="FO28" s="385" t="n"/>
      <c r="FP28" s="385" t="n"/>
      <c r="FQ28" s="385" t="n"/>
      <c r="FR28" s="385" t="n"/>
      <c r="FS28" s="385" t="n"/>
      <c r="FT28" s="385" t="n"/>
      <c r="FU28" s="385" t="n"/>
      <c r="FV28" s="385" t="n"/>
      <c r="FW28" s="385" t="n"/>
      <c r="FX28" s="385" t="n"/>
      <c r="FY28" s="385" t="n"/>
      <c r="FZ28" s="385" t="n"/>
      <c r="GA28" s="385" t="n"/>
      <c r="GB28" s="385" t="n"/>
      <c r="GC28" s="385" t="n"/>
      <c r="GD28" s="385" t="n"/>
      <c r="GE28" s="385" t="n"/>
      <c r="GF28" s="385" t="n"/>
      <c r="GG28" s="385" t="n"/>
      <c r="GH28" s="385" t="n"/>
      <c r="GI28" s="385" t="n"/>
      <c r="GJ28" s="385" t="n"/>
      <c r="GK28" s="385" t="n"/>
      <c r="GL28" s="385" t="n"/>
      <c r="GM28" s="385" t="n"/>
      <c r="GN28" s="385" t="n"/>
      <c r="GO28" s="385" t="n"/>
      <c r="GP28" s="385" t="n"/>
      <c r="GQ28" s="385" t="n"/>
      <c r="GR28" s="385" t="n"/>
      <c r="GS28" s="385" t="n"/>
      <c r="GT28" s="385" t="n"/>
      <c r="GU28" s="385" t="n"/>
      <c r="GV28" s="385" t="n"/>
      <c r="GW28" s="385" t="n"/>
      <c r="GX28" s="385" t="n"/>
      <c r="GY28" s="385" t="n"/>
    </row>
    <row r="29" ht="15" customFormat="1" customHeight="1" s="658">
      <c r="A29" s="385" t="n"/>
      <c r="B29" s="133" t="inlineStr">
        <is>
          <t>√</t>
        </is>
      </c>
      <c r="C29" s="385" t="n"/>
      <c r="D29" s="657" t="inlineStr">
        <is>
          <t>●</t>
        </is>
      </c>
      <c r="E29" s="668" t="inlineStr">
        <is>
          <t>Russell Korus - Chief Digital Assets Officer</t>
        </is>
      </c>
      <c r="F29" s="698" t="n"/>
      <c r="G29" s="698" t="n"/>
      <c r="H29" s="698" t="n"/>
      <c r="I29" s="385" t="n"/>
      <c r="J29" s="701" t="n">
        <v>165000</v>
      </c>
      <c r="K29" s="1282">
        <f>J29*1.03</f>
        <v/>
      </c>
      <c r="L29" s="1282">
        <f>K29*1.03</f>
        <v/>
      </c>
      <c r="M29" s="1282">
        <f>L29*1.03</f>
        <v/>
      </c>
      <c r="N29" s="1282">
        <f>M29*1.03</f>
        <v/>
      </c>
      <c r="O29" s="385" t="n"/>
      <c r="P29" s="386">
        <f>'Headcount &amp; Salaries - 2'!X22</f>
        <v/>
      </c>
      <c r="Q29" s="386">
        <f>'Headcount &amp; Salaries - 2'!Y22</f>
        <v/>
      </c>
      <c r="R29" s="386">
        <f>'Headcount &amp; Salaries - 2'!Z22</f>
        <v/>
      </c>
      <c r="S29" s="386">
        <f>'Headcount &amp; Salaries - 2'!AA22</f>
        <v/>
      </c>
      <c r="T29" s="386">
        <f>'Headcount &amp; Salaries - 2'!AB22</f>
        <v/>
      </c>
      <c r="U29" s="386">
        <f>'Headcount &amp; Salaries - 2'!AC22</f>
        <v/>
      </c>
      <c r="V29" s="386">
        <f>'Headcount &amp; Salaries - 2'!AD22</f>
        <v/>
      </c>
      <c r="W29" s="386">
        <f>'Headcount &amp; Salaries - 2'!AE22</f>
        <v/>
      </c>
      <c r="X29" s="386">
        <f>'Headcount &amp; Salaries - 2'!AF22</f>
        <v/>
      </c>
      <c r="Y29" s="386">
        <f>'Headcount &amp; Salaries - 2'!AG22</f>
        <v/>
      </c>
      <c r="Z29" s="386">
        <f>'Headcount &amp; Salaries - 2'!AH22</f>
        <v/>
      </c>
      <c r="AA29" s="386">
        <f>'Headcount &amp; Salaries - 2'!AI22</f>
        <v/>
      </c>
      <c r="AB29" s="433">
        <f>'Headcount &amp; Salaries - 2'!AJ22</f>
        <v/>
      </c>
      <c r="AC29" s="386">
        <f>'Headcount &amp; Salaries - 2'!AK22</f>
        <v/>
      </c>
      <c r="AD29" s="386">
        <f>'Headcount &amp; Salaries - 2'!AL22</f>
        <v/>
      </c>
      <c r="AE29" s="386">
        <f>'Headcount &amp; Salaries - 2'!AM22</f>
        <v/>
      </c>
      <c r="AF29" s="386">
        <f>'Headcount &amp; Salaries - 2'!AN22</f>
        <v/>
      </c>
      <c r="AG29" s="386">
        <f>'Headcount &amp; Salaries - 2'!AO22</f>
        <v/>
      </c>
      <c r="AH29" s="386">
        <f>'Headcount &amp; Salaries - 2'!AP22</f>
        <v/>
      </c>
      <c r="AI29" s="386">
        <f>'Headcount &amp; Salaries - 2'!AQ22</f>
        <v/>
      </c>
      <c r="AJ29" s="386">
        <f>'Headcount &amp; Salaries - 2'!AR22</f>
        <v/>
      </c>
      <c r="AK29" s="386">
        <f>'Headcount &amp; Salaries - 2'!AS22</f>
        <v/>
      </c>
      <c r="AL29" s="386">
        <f>'Headcount &amp; Salaries - 2'!AT22</f>
        <v/>
      </c>
      <c r="AM29" s="386">
        <f>'Headcount &amp; Salaries - 2'!AU22</f>
        <v/>
      </c>
      <c r="AN29" s="433">
        <f>'Headcount &amp; Salaries - 2'!AV22</f>
        <v/>
      </c>
      <c r="AO29" s="386">
        <f>'Headcount &amp; Salaries - 2'!AW22</f>
        <v/>
      </c>
      <c r="AP29" s="386">
        <f>'Headcount &amp; Salaries - 2'!AX22</f>
        <v/>
      </c>
      <c r="AQ29" s="386">
        <f>'Headcount &amp; Salaries - 2'!AY22</f>
        <v/>
      </c>
      <c r="AR29" s="386">
        <f>'Headcount &amp; Salaries - 2'!AZ22</f>
        <v/>
      </c>
      <c r="AS29" s="386">
        <f>'Headcount &amp; Salaries - 2'!BA22</f>
        <v/>
      </c>
      <c r="AT29" s="386">
        <f>'Headcount &amp; Salaries - 2'!BB22</f>
        <v/>
      </c>
      <c r="AU29" s="386">
        <f>'Headcount &amp; Salaries - 2'!BC22</f>
        <v/>
      </c>
      <c r="AV29" s="386">
        <f>'Headcount &amp; Salaries - 2'!BD22</f>
        <v/>
      </c>
      <c r="AW29" s="386">
        <f>'Headcount &amp; Salaries - 2'!BE22</f>
        <v/>
      </c>
      <c r="AX29" s="386">
        <f>'Headcount &amp; Salaries - 2'!BF22</f>
        <v/>
      </c>
      <c r="AY29" s="1882">
        <f>'Headcount &amp; Salaries - 2'!BG22</f>
        <v/>
      </c>
      <c r="AZ29" s="433">
        <f>'Headcount &amp; Salaries - 2'!BH22</f>
        <v/>
      </c>
      <c r="BA29" s="386">
        <f>'Headcount &amp; Salaries - 2'!BI22</f>
        <v/>
      </c>
      <c r="BB29" s="386">
        <f>'Headcount &amp; Salaries - 2'!BJ22</f>
        <v/>
      </c>
      <c r="BC29" s="386">
        <f>'Headcount &amp; Salaries - 2'!BK22</f>
        <v/>
      </c>
      <c r="BD29" s="386">
        <f>'Headcount &amp; Salaries - 2'!BL22</f>
        <v/>
      </c>
      <c r="BE29" s="386">
        <f>'Headcount &amp; Salaries - 2'!BM22</f>
        <v/>
      </c>
      <c r="BF29" s="386">
        <f>'Headcount &amp; Salaries - 2'!BN22</f>
        <v/>
      </c>
      <c r="BG29" s="386">
        <f>'Headcount &amp; Salaries - 2'!BO22</f>
        <v/>
      </c>
      <c r="BH29" s="386">
        <f>'Headcount &amp; Salaries - 2'!BP22</f>
        <v/>
      </c>
      <c r="BI29" s="386">
        <f>'Headcount &amp; Salaries - 2'!BQ22</f>
        <v/>
      </c>
      <c r="BJ29" s="386">
        <f>'Headcount &amp; Salaries - 2'!BR22</f>
        <v/>
      </c>
      <c r="BK29" s="386">
        <f>'Headcount &amp; Salaries - 2'!BS22</f>
        <v/>
      </c>
      <c r="BL29" s="433">
        <f>'Headcount &amp; Salaries - 2'!BT22</f>
        <v/>
      </c>
      <c r="BM29" s="386">
        <f>'Headcount &amp; Salaries - 2'!BU22</f>
        <v/>
      </c>
      <c r="BN29" s="386">
        <f>'Headcount &amp; Salaries - 2'!BV22</f>
        <v/>
      </c>
      <c r="BO29" s="386">
        <f>'Headcount &amp; Salaries - 2'!BW22</f>
        <v/>
      </c>
      <c r="BP29" s="386">
        <f>'Headcount &amp; Salaries - 2'!BX22</f>
        <v/>
      </c>
      <c r="BQ29" s="386">
        <f>'Headcount &amp; Salaries - 2'!BY22</f>
        <v/>
      </c>
      <c r="BR29" s="386">
        <f>'Headcount &amp; Salaries - 2'!BZ22</f>
        <v/>
      </c>
      <c r="BS29" s="386">
        <f>'Headcount &amp; Salaries - 2'!CA22</f>
        <v/>
      </c>
      <c r="BT29" s="386">
        <f>'Headcount &amp; Salaries - 2'!CB22</f>
        <v/>
      </c>
      <c r="BU29" s="386">
        <f>'Headcount &amp; Salaries - 2'!CC22</f>
        <v/>
      </c>
      <c r="BV29" s="386">
        <f>'Headcount &amp; Salaries - 2'!CD22</f>
        <v/>
      </c>
      <c r="BW29" s="386">
        <f>'Headcount &amp; Salaries - 2'!CE22</f>
        <v/>
      </c>
      <c r="BX29" s="383" t="n"/>
      <c r="BY29" s="385" t="n"/>
      <c r="BZ29" s="385" t="n"/>
      <c r="CA29" s="385" t="n"/>
      <c r="CB29" s="385" t="n"/>
      <c r="CC29" s="385" t="n"/>
      <c r="CD29" s="385" t="n"/>
      <c r="CE29" s="385" t="n"/>
      <c r="CF29" s="385" t="n"/>
      <c r="CG29" s="385" t="n"/>
      <c r="CH29" s="385" t="n"/>
      <c r="CI29" s="385" t="n"/>
      <c r="CJ29" s="385" t="n"/>
      <c r="CK29" s="385" t="n"/>
      <c r="CL29" s="385" t="n"/>
      <c r="CM29" s="385" t="n"/>
      <c r="CN29" s="385" t="n"/>
      <c r="CO29" s="385" t="n"/>
      <c r="CP29" s="385" t="n"/>
      <c r="CQ29" s="385" t="n"/>
      <c r="CR29" s="385" t="n"/>
      <c r="CS29" s="385" t="n"/>
      <c r="CT29" s="385" t="n"/>
      <c r="CU29" s="385" t="n"/>
      <c r="CV29" s="385" t="n"/>
      <c r="CW29" s="385" t="n"/>
      <c r="CX29" s="385" t="n"/>
      <c r="CY29" s="385" t="n"/>
      <c r="CZ29" s="385" t="n"/>
      <c r="DA29" s="385" t="n"/>
      <c r="DB29" s="385" t="n"/>
      <c r="DC29" s="385" t="n"/>
      <c r="DD29" s="385" t="n"/>
      <c r="DE29" s="385" t="n"/>
      <c r="DF29" s="385" t="n"/>
      <c r="DG29" s="385" t="n"/>
      <c r="DH29" s="385" t="n"/>
      <c r="DI29" s="385" t="n"/>
      <c r="DJ29" s="385" t="n"/>
      <c r="DK29" s="385" t="n"/>
      <c r="DL29" s="385" t="n"/>
      <c r="DM29" s="385" t="n"/>
      <c r="DN29" s="385" t="n"/>
      <c r="DO29" s="385" t="n"/>
      <c r="DP29" s="385" t="n"/>
      <c r="DQ29" s="385" t="n"/>
      <c r="DR29" s="385" t="n"/>
      <c r="DS29" s="385" t="n"/>
      <c r="DT29" s="385" t="n"/>
      <c r="DU29" s="385" t="n"/>
      <c r="DV29" s="385" t="n"/>
      <c r="DW29" s="385" t="n"/>
      <c r="DX29" s="385" t="n"/>
      <c r="DY29" s="385" t="n"/>
      <c r="DZ29" s="385" t="n"/>
      <c r="EA29" s="385" t="n"/>
      <c r="EB29" s="385" t="n"/>
      <c r="EC29" s="385" t="n"/>
      <c r="ED29" s="385" t="n"/>
      <c r="EE29" s="385" t="n"/>
      <c r="EF29" s="385" t="n"/>
      <c r="EG29" s="385" t="n"/>
      <c r="EH29" s="385" t="n"/>
      <c r="EI29" s="385" t="n"/>
      <c r="EJ29" s="385" t="n"/>
      <c r="EK29" s="385" t="n"/>
      <c r="EL29" s="385" t="n"/>
      <c r="EM29" s="385" t="n"/>
      <c r="EN29" s="385" t="n"/>
      <c r="EO29" s="385" t="n"/>
      <c r="EP29" s="385" t="n"/>
      <c r="EQ29" s="385" t="n"/>
      <c r="ER29" s="385" t="n"/>
      <c r="ES29" s="385" t="n"/>
      <c r="ET29" s="385" t="n"/>
      <c r="EU29" s="385" t="n"/>
      <c r="EV29" s="385" t="n"/>
      <c r="EW29" s="385" t="n"/>
      <c r="EX29" s="385" t="n"/>
      <c r="EY29" s="385" t="n"/>
      <c r="EZ29" s="385" t="n"/>
      <c r="FA29" s="385" t="n"/>
      <c r="FB29" s="385" t="n"/>
      <c r="FC29" s="385" t="n"/>
      <c r="FD29" s="385" t="n"/>
      <c r="FE29" s="385" t="n"/>
      <c r="FF29" s="385" t="n"/>
      <c r="FG29" s="385" t="n"/>
      <c r="FH29" s="385" t="n"/>
      <c r="FI29" s="385" t="n"/>
      <c r="FJ29" s="385" t="n"/>
      <c r="FK29" s="385" t="n"/>
      <c r="FL29" s="385" t="n"/>
      <c r="FM29" s="385" t="n"/>
      <c r="FN29" s="385" t="n"/>
      <c r="FO29" s="385" t="n"/>
      <c r="FP29" s="385" t="n"/>
      <c r="FQ29" s="385" t="n"/>
      <c r="FR29" s="385" t="n"/>
      <c r="FS29" s="385" t="n"/>
      <c r="FT29" s="385" t="n"/>
      <c r="FU29" s="385" t="n"/>
      <c r="FV29" s="385" t="n"/>
      <c r="FW29" s="385" t="n"/>
      <c r="FX29" s="385" t="n"/>
      <c r="FY29" s="385" t="n"/>
      <c r="FZ29" s="385" t="n"/>
      <c r="GA29" s="385" t="n"/>
      <c r="GB29" s="385" t="n"/>
      <c r="GC29" s="385" t="n"/>
      <c r="GD29" s="385" t="n"/>
      <c r="GE29" s="385" t="n"/>
      <c r="GF29" s="385" t="n"/>
      <c r="GG29" s="385" t="n"/>
      <c r="GH29" s="385" t="n"/>
      <c r="GI29" s="385" t="n"/>
      <c r="GJ29" s="385" t="n"/>
      <c r="GK29" s="385" t="n"/>
      <c r="GL29" s="385" t="n"/>
      <c r="GM29" s="385" t="n"/>
      <c r="GN29" s="385" t="n"/>
      <c r="GO29" s="385" t="n"/>
      <c r="GP29" s="385" t="n"/>
      <c r="GQ29" s="385" t="n"/>
      <c r="GR29" s="385" t="n"/>
      <c r="GS29" s="385" t="n"/>
      <c r="GT29" s="385" t="n"/>
      <c r="GU29" s="385" t="n"/>
      <c r="GV29" s="385" t="n"/>
      <c r="GW29" s="385" t="n"/>
      <c r="GX29" s="385" t="n"/>
      <c r="GY29" s="385" t="n"/>
    </row>
    <row r="30" ht="15" customHeight="1" s="1883">
      <c r="A30" s="383" t="n"/>
      <c r="B30" s="133" t="inlineStr">
        <is>
          <t>√</t>
        </is>
      </c>
      <c r="C30" s="383" t="n"/>
      <c r="D30" s="390" t="inlineStr">
        <is>
          <t>●</t>
        </is>
      </c>
      <c r="E30" s="668" t="inlineStr">
        <is>
          <t>Thomas Tang - President, Hardware</t>
        </is>
      </c>
      <c r="F30" s="696" t="n"/>
      <c r="G30" s="696" t="n"/>
      <c r="H30" s="696" t="n"/>
      <c r="I30" s="383" t="n"/>
      <c r="J30" s="701">
        <f>'Headcount &amp; Salaries - 2'!G20</f>
        <v/>
      </c>
      <c r="K30" s="1282">
        <f>J30*1.03</f>
        <v/>
      </c>
      <c r="L30" s="1282">
        <f>K30*1.03</f>
        <v/>
      </c>
      <c r="M30" s="1282">
        <f>L30*1.03</f>
        <v/>
      </c>
      <c r="N30" s="1282">
        <f>M30*1.03</f>
        <v/>
      </c>
      <c r="O30" s="383" t="n"/>
      <c r="P30" s="384">
        <f>'Headcount &amp; Salaries - 2'!X20</f>
        <v/>
      </c>
      <c r="Q30" s="384">
        <f>'Headcount &amp; Salaries - 2'!Y20</f>
        <v/>
      </c>
      <c r="R30" s="384">
        <f>'Headcount &amp; Salaries - 2'!Z20</f>
        <v/>
      </c>
      <c r="S30" s="384">
        <f>'Headcount &amp; Salaries - 2'!AA20</f>
        <v/>
      </c>
      <c r="T30" s="384">
        <f>'Headcount &amp; Salaries - 2'!AB20</f>
        <v/>
      </c>
      <c r="U30" s="384">
        <f>'Headcount &amp; Salaries - 2'!AC20</f>
        <v/>
      </c>
      <c r="V30" s="384">
        <f>'Headcount &amp; Salaries - 2'!AD20</f>
        <v/>
      </c>
      <c r="W30" s="384">
        <f>'Headcount &amp; Salaries - 2'!AE20</f>
        <v/>
      </c>
      <c r="X30" s="384">
        <f>'Headcount &amp; Salaries - 2'!AF20</f>
        <v/>
      </c>
      <c r="Y30" s="384">
        <f>'Headcount &amp; Salaries - 2'!AG20</f>
        <v/>
      </c>
      <c r="Z30" s="384">
        <f>'Headcount &amp; Salaries - 2'!AH20</f>
        <v/>
      </c>
      <c r="AA30" s="384">
        <f>'Headcount &amp; Salaries - 2'!AI20</f>
        <v/>
      </c>
      <c r="AB30" s="542">
        <f>'Headcount &amp; Salaries - 2'!AJ20</f>
        <v/>
      </c>
      <c r="AC30" s="384">
        <f>'Headcount &amp; Salaries - 2'!AK20</f>
        <v/>
      </c>
      <c r="AD30" s="384">
        <f>'Headcount &amp; Salaries - 2'!AL20</f>
        <v/>
      </c>
      <c r="AE30" s="384">
        <f>'Headcount &amp; Salaries - 2'!AM20</f>
        <v/>
      </c>
      <c r="AF30" s="384">
        <f>'Headcount &amp; Salaries - 2'!AN20</f>
        <v/>
      </c>
      <c r="AG30" s="384">
        <f>'Headcount &amp; Salaries - 2'!AO20</f>
        <v/>
      </c>
      <c r="AH30" s="384">
        <f>'Headcount &amp; Salaries - 2'!AP20</f>
        <v/>
      </c>
      <c r="AI30" s="384">
        <f>'Headcount &amp; Salaries - 2'!AQ20</f>
        <v/>
      </c>
      <c r="AJ30" s="384">
        <f>'Headcount &amp; Salaries - 2'!AR20</f>
        <v/>
      </c>
      <c r="AK30" s="384">
        <f>'Headcount &amp; Salaries - 2'!AS20</f>
        <v/>
      </c>
      <c r="AL30" s="384">
        <f>'Headcount &amp; Salaries - 2'!AT20</f>
        <v/>
      </c>
      <c r="AM30" s="384">
        <f>'Headcount &amp; Salaries - 2'!AU20</f>
        <v/>
      </c>
      <c r="AN30" s="542">
        <f>'Headcount &amp; Salaries - 2'!AV20</f>
        <v/>
      </c>
      <c r="AO30" s="384">
        <f>'Headcount &amp; Salaries - 2'!AW20</f>
        <v/>
      </c>
      <c r="AP30" s="384">
        <f>'Headcount &amp; Salaries - 2'!AX20</f>
        <v/>
      </c>
      <c r="AQ30" s="384">
        <f>'Headcount &amp; Salaries - 2'!AY20</f>
        <v/>
      </c>
      <c r="AR30" s="384">
        <f>'Headcount &amp; Salaries - 2'!AZ20</f>
        <v/>
      </c>
      <c r="AS30" s="384">
        <f>'Headcount &amp; Salaries - 2'!BA20</f>
        <v/>
      </c>
      <c r="AT30" s="384">
        <f>'Headcount &amp; Salaries - 2'!BB20</f>
        <v/>
      </c>
      <c r="AU30" s="384">
        <f>'Headcount &amp; Salaries - 2'!BC20</f>
        <v/>
      </c>
      <c r="AV30" s="384">
        <f>'Headcount &amp; Salaries - 2'!BD20</f>
        <v/>
      </c>
      <c r="AW30" s="384">
        <f>'Headcount &amp; Salaries - 2'!BE20</f>
        <v/>
      </c>
      <c r="AX30" s="384">
        <f>'Headcount &amp; Salaries - 2'!BF20</f>
        <v/>
      </c>
      <c r="AY30" s="565">
        <f>'Headcount &amp; Salaries - 2'!BG20</f>
        <v/>
      </c>
      <c r="AZ30" s="542">
        <f>'Headcount &amp; Salaries - 2'!BH20</f>
        <v/>
      </c>
      <c r="BA30" s="384">
        <f>'Headcount &amp; Salaries - 2'!BI20</f>
        <v/>
      </c>
      <c r="BB30" s="384">
        <f>'Headcount &amp; Salaries - 2'!BJ20</f>
        <v/>
      </c>
      <c r="BC30" s="384">
        <f>'Headcount &amp; Salaries - 2'!BK20</f>
        <v/>
      </c>
      <c r="BD30" s="384">
        <f>'Headcount &amp; Salaries - 2'!BL20</f>
        <v/>
      </c>
      <c r="BE30" s="384">
        <f>'Headcount &amp; Salaries - 2'!BM20</f>
        <v/>
      </c>
      <c r="BF30" s="384">
        <f>'Headcount &amp; Salaries - 2'!BN20</f>
        <v/>
      </c>
      <c r="BG30" s="384">
        <f>'Headcount &amp; Salaries - 2'!BO20</f>
        <v/>
      </c>
      <c r="BH30" s="384">
        <f>'Headcount &amp; Salaries - 2'!BP20</f>
        <v/>
      </c>
      <c r="BI30" s="384">
        <f>'Headcount &amp; Salaries - 2'!BQ20</f>
        <v/>
      </c>
      <c r="BJ30" s="384">
        <f>'Headcount &amp; Salaries - 2'!BR20</f>
        <v/>
      </c>
      <c r="BK30" s="384">
        <f>'Headcount &amp; Salaries - 2'!BS20</f>
        <v/>
      </c>
      <c r="BL30" s="542">
        <f>'Headcount &amp; Salaries - 2'!BT20</f>
        <v/>
      </c>
      <c r="BM30" s="384">
        <f>'Headcount &amp; Salaries - 2'!BU20</f>
        <v/>
      </c>
      <c r="BN30" s="384">
        <f>'Headcount &amp; Salaries - 2'!BV20</f>
        <v/>
      </c>
      <c r="BO30" s="384">
        <f>'Headcount &amp; Salaries - 2'!BW20</f>
        <v/>
      </c>
      <c r="BP30" s="384">
        <f>'Headcount &amp; Salaries - 2'!BX20</f>
        <v/>
      </c>
      <c r="BQ30" s="384">
        <f>'Headcount &amp; Salaries - 2'!BY20</f>
        <v/>
      </c>
      <c r="BR30" s="384">
        <f>'Headcount &amp; Salaries - 2'!BZ20</f>
        <v/>
      </c>
      <c r="BS30" s="384">
        <f>'Headcount &amp; Salaries - 2'!CA20</f>
        <v/>
      </c>
      <c r="BT30" s="384">
        <f>'Headcount &amp; Salaries - 2'!CB20</f>
        <v/>
      </c>
      <c r="BU30" s="384">
        <f>'Headcount &amp; Salaries - 2'!CC20</f>
        <v/>
      </c>
      <c r="BV30" s="384">
        <f>'Headcount &amp; Salaries - 2'!CD20</f>
        <v/>
      </c>
      <c r="BW30" s="384">
        <f>'Headcount &amp; Salaries - 2'!CE20</f>
        <v/>
      </c>
      <c r="BX30" s="383" t="n"/>
      <c r="BY30" s="383" t="n"/>
      <c r="BZ30" s="383" t="n"/>
      <c r="CA30" s="383" t="n"/>
      <c r="CB30" s="383" t="n"/>
      <c r="CC30" s="383" t="n"/>
      <c r="CD30" s="383" t="n"/>
      <c r="CE30" s="383" t="n"/>
      <c r="CF30" s="383" t="n"/>
      <c r="CG30" s="383" t="n"/>
      <c r="CH30" s="383" t="n"/>
      <c r="CI30" s="383" t="n"/>
      <c r="CJ30" s="383" t="n"/>
      <c r="CK30" s="383" t="n"/>
      <c r="CL30" s="383" t="n"/>
      <c r="CM30" s="383" t="n"/>
      <c r="CN30" s="383" t="n"/>
      <c r="CO30" s="383" t="n"/>
      <c r="CP30" s="383" t="n"/>
      <c r="CQ30" s="383" t="n"/>
      <c r="CR30" s="383" t="n"/>
      <c r="CS30" s="383" t="n"/>
      <c r="CT30" s="383" t="n"/>
      <c r="CU30" s="383" t="n"/>
      <c r="CV30" s="383" t="n"/>
      <c r="CW30" s="383" t="n"/>
      <c r="CX30" s="383" t="n"/>
      <c r="CY30" s="383" t="n"/>
      <c r="CZ30" s="383" t="n"/>
      <c r="DA30" s="383" t="n"/>
      <c r="DB30" s="383" t="n"/>
      <c r="DC30" s="383" t="n"/>
      <c r="DD30" s="383" t="n"/>
      <c r="DE30" s="383" t="n"/>
      <c r="DF30" s="383" t="n"/>
      <c r="DG30" s="383" t="n"/>
      <c r="DH30" s="383" t="n"/>
      <c r="DI30" s="383" t="n"/>
      <c r="DJ30" s="383" t="n"/>
      <c r="DK30" s="383" t="n"/>
      <c r="DL30" s="383" t="n"/>
      <c r="DM30" s="383" t="n"/>
      <c r="DN30" s="383" t="n"/>
      <c r="DO30" s="383" t="n"/>
      <c r="DP30" s="383" t="n"/>
      <c r="DQ30" s="383" t="n"/>
      <c r="DR30" s="383" t="n"/>
      <c r="DS30" s="383" t="n"/>
      <c r="DT30" s="383" t="n"/>
      <c r="DU30" s="383" t="n"/>
      <c r="DV30" s="383" t="n"/>
      <c r="DW30" s="383" t="n"/>
      <c r="DX30" s="383" t="n"/>
      <c r="DY30" s="383" t="n"/>
      <c r="DZ30" s="383" t="n"/>
      <c r="EA30" s="383" t="n"/>
      <c r="EB30" s="383" t="n"/>
      <c r="EC30" s="383" t="n"/>
      <c r="ED30" s="383" t="n"/>
      <c r="EE30" s="383" t="n"/>
      <c r="EF30" s="383" t="n"/>
      <c r="EG30" s="383" t="n"/>
      <c r="EH30" s="383" t="n"/>
      <c r="EI30" s="383" t="n"/>
      <c r="EJ30" s="383" t="n"/>
      <c r="EK30" s="383" t="n"/>
      <c r="EL30" s="383" t="n"/>
      <c r="EM30" s="383" t="n"/>
      <c r="EN30" s="383" t="n"/>
      <c r="EO30" s="383" t="n"/>
      <c r="EP30" s="383" t="n"/>
      <c r="EQ30" s="383" t="n"/>
      <c r="ER30" s="383" t="n"/>
      <c r="ES30" s="383" t="n"/>
      <c r="ET30" s="383" t="n"/>
      <c r="EU30" s="383" t="n"/>
      <c r="EV30" s="383" t="n"/>
      <c r="EW30" s="383" t="n"/>
      <c r="EX30" s="383" t="n"/>
      <c r="EY30" s="383" t="n"/>
      <c r="EZ30" s="383" t="n"/>
      <c r="FA30" s="383" t="n"/>
      <c r="FB30" s="383" t="n"/>
      <c r="FC30" s="383" t="n"/>
      <c r="FD30" s="383" t="n"/>
      <c r="FE30" s="383" t="n"/>
      <c r="FF30" s="383" t="n"/>
      <c r="FG30" s="383" t="n"/>
      <c r="FH30" s="383" t="n"/>
      <c r="FI30" s="383" t="n"/>
      <c r="FJ30" s="383" t="n"/>
      <c r="FK30" s="383" t="n"/>
      <c r="FL30" s="383" t="n"/>
      <c r="FM30" s="383" t="n"/>
      <c r="FN30" s="383" t="n"/>
      <c r="FO30" s="383" t="n"/>
      <c r="FP30" s="383" t="n"/>
      <c r="FQ30" s="383" t="n"/>
      <c r="FR30" s="383" t="n"/>
      <c r="FS30" s="383" t="n"/>
      <c r="FT30" s="383" t="n"/>
      <c r="FU30" s="383" t="n"/>
      <c r="FV30" s="383" t="n"/>
      <c r="FW30" s="383" t="n"/>
      <c r="FX30" s="383" t="n"/>
      <c r="FY30" s="383" t="n"/>
      <c r="FZ30" s="383" t="n"/>
      <c r="GA30" s="383" t="n"/>
      <c r="GB30" s="383" t="n"/>
      <c r="GC30" s="383" t="n"/>
      <c r="GD30" s="383" t="n"/>
      <c r="GE30" s="383" t="n"/>
      <c r="GF30" s="383" t="n"/>
      <c r="GG30" s="383" t="n"/>
      <c r="GH30" s="383" t="n"/>
      <c r="GI30" s="383" t="n"/>
      <c r="GJ30" s="383" t="n"/>
      <c r="GK30" s="383" t="n"/>
      <c r="GL30" s="383" t="n"/>
      <c r="GM30" s="383" t="n"/>
      <c r="GN30" s="383" t="n"/>
      <c r="GO30" s="383" t="n"/>
      <c r="GP30" s="383" t="n"/>
      <c r="GQ30" s="383" t="n"/>
      <c r="GR30" s="383" t="n"/>
      <c r="GS30" s="383" t="n"/>
      <c r="GT30" s="383" t="n"/>
      <c r="GU30" s="383" t="n"/>
      <c r="GV30" s="383" t="n"/>
      <c r="GW30" s="383" t="n"/>
      <c r="GX30" s="383" t="n"/>
      <c r="GY30" s="383" t="n"/>
    </row>
    <row r="31" ht="15" customFormat="1" customHeight="1" s="658">
      <c r="A31" s="385" t="n"/>
      <c r="B31" s="133" t="inlineStr">
        <is>
          <t>√</t>
        </is>
      </c>
      <c r="C31" s="385" t="n"/>
      <c r="D31" s="657" t="inlineStr">
        <is>
          <t>●</t>
        </is>
      </c>
      <c r="E31" s="668" t="inlineStr">
        <is>
          <t>TBD - Chief Product Officer / VP of Product</t>
        </is>
      </c>
      <c r="F31" s="698" t="n"/>
      <c r="G31" s="698" t="n"/>
      <c r="H31" s="698" t="n"/>
      <c r="I31" s="385" t="n"/>
      <c r="J31" s="701" t="n">
        <v>165000</v>
      </c>
      <c r="K31" s="1282">
        <f>J31*1.03</f>
        <v/>
      </c>
      <c r="L31" s="1282">
        <f>K31*1.03</f>
        <v/>
      </c>
      <c r="M31" s="1282">
        <f>L31*1.03</f>
        <v/>
      </c>
      <c r="N31" s="1282">
        <f>M31*1.03</f>
        <v/>
      </c>
      <c r="O31" s="385" t="n"/>
      <c r="P31" s="384">
        <f>'Headcount &amp; Salaries - 2'!X21</f>
        <v/>
      </c>
      <c r="Q31" s="384">
        <f>'Headcount &amp; Salaries - 2'!Y21</f>
        <v/>
      </c>
      <c r="R31" s="384">
        <f>'Headcount &amp; Salaries - 2'!Z21</f>
        <v/>
      </c>
      <c r="S31" s="384">
        <f>'Headcount &amp; Salaries - 2'!AA21</f>
        <v/>
      </c>
      <c r="T31" s="384">
        <f>'Headcount &amp; Salaries - 2'!AB21</f>
        <v/>
      </c>
      <c r="U31" s="384">
        <f>'Headcount &amp; Salaries - 2'!AC21</f>
        <v/>
      </c>
      <c r="V31" s="384">
        <f>'Headcount &amp; Salaries - 2'!AD21</f>
        <v/>
      </c>
      <c r="W31" s="386">
        <f>'Headcount &amp; Salaries - 2'!AE21</f>
        <v/>
      </c>
      <c r="X31" s="386">
        <f>'Headcount &amp; Salaries - 2'!AF21</f>
        <v/>
      </c>
      <c r="Y31" s="386">
        <f>'Headcount &amp; Salaries - 2'!AG21</f>
        <v/>
      </c>
      <c r="Z31" s="386">
        <f>'Headcount &amp; Salaries - 2'!AH21</f>
        <v/>
      </c>
      <c r="AA31" s="386">
        <f>'Headcount &amp; Salaries - 2'!AI21</f>
        <v/>
      </c>
      <c r="AB31" s="433">
        <f>'Headcount &amp; Salaries - 2'!AJ21</f>
        <v/>
      </c>
      <c r="AC31" s="386">
        <f>'Headcount &amp; Salaries - 2'!AK21</f>
        <v/>
      </c>
      <c r="AD31" s="386">
        <f>'Headcount &amp; Salaries - 2'!AL21</f>
        <v/>
      </c>
      <c r="AE31" s="386">
        <f>'Headcount &amp; Salaries - 2'!AM21</f>
        <v/>
      </c>
      <c r="AF31" s="386">
        <f>'Headcount &amp; Salaries - 2'!AN21</f>
        <v/>
      </c>
      <c r="AG31" s="386">
        <f>'Headcount &amp; Salaries - 2'!AO21</f>
        <v/>
      </c>
      <c r="AH31" s="386">
        <f>'Headcount &amp; Salaries - 2'!AP21</f>
        <v/>
      </c>
      <c r="AI31" s="386">
        <f>'Headcount &amp; Salaries - 2'!AQ21</f>
        <v/>
      </c>
      <c r="AJ31" s="386">
        <f>'Headcount &amp; Salaries - 2'!AR21</f>
        <v/>
      </c>
      <c r="AK31" s="386">
        <f>'Headcount &amp; Salaries - 2'!AS21</f>
        <v/>
      </c>
      <c r="AL31" s="386">
        <f>'Headcount &amp; Salaries - 2'!AT21</f>
        <v/>
      </c>
      <c r="AM31" s="386">
        <f>'Headcount &amp; Salaries - 2'!AU21</f>
        <v/>
      </c>
      <c r="AN31" s="433">
        <f>'Headcount &amp; Salaries - 2'!AV21</f>
        <v/>
      </c>
      <c r="AO31" s="386">
        <f>'Headcount &amp; Salaries - 2'!AW21</f>
        <v/>
      </c>
      <c r="AP31" s="386">
        <f>'Headcount &amp; Salaries - 2'!AX21</f>
        <v/>
      </c>
      <c r="AQ31" s="386">
        <f>'Headcount &amp; Salaries - 2'!AY21</f>
        <v/>
      </c>
      <c r="AR31" s="386">
        <f>'Headcount &amp; Salaries - 2'!AZ21</f>
        <v/>
      </c>
      <c r="AS31" s="386">
        <f>'Headcount &amp; Salaries - 2'!BA21</f>
        <v/>
      </c>
      <c r="AT31" s="386">
        <f>'Headcount &amp; Salaries - 2'!BB21</f>
        <v/>
      </c>
      <c r="AU31" s="386">
        <f>'Headcount &amp; Salaries - 2'!BC21</f>
        <v/>
      </c>
      <c r="AV31" s="386">
        <f>'Headcount &amp; Salaries - 2'!BD21</f>
        <v/>
      </c>
      <c r="AW31" s="386">
        <f>'Headcount &amp; Salaries - 2'!BE21</f>
        <v/>
      </c>
      <c r="AX31" s="386">
        <f>'Headcount &amp; Salaries - 2'!BF21</f>
        <v/>
      </c>
      <c r="AY31" s="1882">
        <f>'Headcount &amp; Salaries - 2'!BG21</f>
        <v/>
      </c>
      <c r="AZ31" s="433">
        <f>'Headcount &amp; Salaries - 2'!BH21</f>
        <v/>
      </c>
      <c r="BA31" s="386">
        <f>'Headcount &amp; Salaries - 2'!BI21</f>
        <v/>
      </c>
      <c r="BB31" s="386">
        <f>'Headcount &amp; Salaries - 2'!BJ21</f>
        <v/>
      </c>
      <c r="BC31" s="386">
        <f>'Headcount &amp; Salaries - 2'!BK21</f>
        <v/>
      </c>
      <c r="BD31" s="386">
        <f>'Headcount &amp; Salaries - 2'!BL21</f>
        <v/>
      </c>
      <c r="BE31" s="386">
        <f>'Headcount &amp; Salaries - 2'!BM21</f>
        <v/>
      </c>
      <c r="BF31" s="386">
        <f>'Headcount &amp; Salaries - 2'!BN21</f>
        <v/>
      </c>
      <c r="BG31" s="386">
        <f>'Headcount &amp; Salaries - 2'!BO21</f>
        <v/>
      </c>
      <c r="BH31" s="386">
        <f>'Headcount &amp; Salaries - 2'!BP21</f>
        <v/>
      </c>
      <c r="BI31" s="386">
        <f>'Headcount &amp; Salaries - 2'!BQ21</f>
        <v/>
      </c>
      <c r="BJ31" s="386">
        <f>'Headcount &amp; Salaries - 2'!BR21</f>
        <v/>
      </c>
      <c r="BK31" s="386">
        <f>'Headcount &amp; Salaries - 2'!BS21</f>
        <v/>
      </c>
      <c r="BL31" s="433">
        <f>'Headcount &amp; Salaries - 2'!BT21</f>
        <v/>
      </c>
      <c r="BM31" s="386">
        <f>'Headcount &amp; Salaries - 2'!BU21</f>
        <v/>
      </c>
      <c r="BN31" s="386">
        <f>'Headcount &amp; Salaries - 2'!BV21</f>
        <v/>
      </c>
      <c r="BO31" s="386">
        <f>'Headcount &amp; Salaries - 2'!BW21</f>
        <v/>
      </c>
      <c r="BP31" s="386">
        <f>'Headcount &amp; Salaries - 2'!BX21</f>
        <v/>
      </c>
      <c r="BQ31" s="386">
        <f>'Headcount &amp; Salaries - 2'!BY21</f>
        <v/>
      </c>
      <c r="BR31" s="386">
        <f>'Headcount &amp; Salaries - 2'!BZ21</f>
        <v/>
      </c>
      <c r="BS31" s="386">
        <f>'Headcount &amp; Salaries - 2'!CA21</f>
        <v/>
      </c>
      <c r="BT31" s="386">
        <f>'Headcount &amp; Salaries - 2'!CB21</f>
        <v/>
      </c>
      <c r="BU31" s="386">
        <f>'Headcount &amp; Salaries - 2'!CC21</f>
        <v/>
      </c>
      <c r="BV31" s="386">
        <f>'Headcount &amp; Salaries - 2'!CD21</f>
        <v/>
      </c>
      <c r="BW31" s="386">
        <f>'Headcount &amp; Salaries - 2'!CE21</f>
        <v/>
      </c>
      <c r="BX31" s="383" t="n"/>
      <c r="BY31" s="385" t="n"/>
      <c r="BZ31" s="385" t="n"/>
      <c r="CA31" s="385" t="n"/>
      <c r="CB31" s="385" t="n"/>
      <c r="CC31" s="385" t="n"/>
      <c r="CD31" s="385" t="n"/>
      <c r="CE31" s="385" t="n"/>
      <c r="CF31" s="385" t="n"/>
      <c r="CG31" s="385" t="n"/>
      <c r="CH31" s="385" t="n"/>
      <c r="CI31" s="385" t="n"/>
      <c r="CJ31" s="385" t="n"/>
      <c r="CK31" s="385" t="n"/>
      <c r="CL31" s="385" t="n"/>
      <c r="CM31" s="385" t="n"/>
      <c r="CN31" s="385" t="n"/>
      <c r="CO31" s="385" t="n"/>
      <c r="CP31" s="385" t="n"/>
      <c r="CQ31" s="385" t="n"/>
      <c r="CR31" s="385" t="n"/>
      <c r="CS31" s="385" t="n"/>
      <c r="CT31" s="385" t="n"/>
      <c r="CU31" s="385" t="n"/>
      <c r="CV31" s="385" t="n"/>
      <c r="CW31" s="385" t="n"/>
      <c r="CX31" s="385" t="n"/>
      <c r="CY31" s="385" t="n"/>
      <c r="CZ31" s="385" t="n"/>
      <c r="DA31" s="385" t="n"/>
      <c r="DB31" s="385" t="n"/>
      <c r="DC31" s="385" t="n"/>
      <c r="DD31" s="385" t="n"/>
      <c r="DE31" s="385" t="n"/>
      <c r="DF31" s="385" t="n"/>
      <c r="DG31" s="385" t="n"/>
      <c r="DH31" s="385" t="n"/>
      <c r="DI31" s="385" t="n"/>
      <c r="DJ31" s="385" t="n"/>
      <c r="DK31" s="385" t="n"/>
      <c r="DL31" s="385" t="n"/>
      <c r="DM31" s="385" t="n"/>
      <c r="DN31" s="385" t="n"/>
      <c r="DO31" s="385" t="n"/>
      <c r="DP31" s="385" t="n"/>
      <c r="DQ31" s="385" t="n"/>
      <c r="DR31" s="385" t="n"/>
      <c r="DS31" s="385" t="n"/>
      <c r="DT31" s="385" t="n"/>
      <c r="DU31" s="385" t="n"/>
      <c r="DV31" s="385" t="n"/>
      <c r="DW31" s="385" t="n"/>
      <c r="DX31" s="385" t="n"/>
      <c r="DY31" s="385" t="n"/>
      <c r="DZ31" s="385" t="n"/>
      <c r="EA31" s="385" t="n"/>
      <c r="EB31" s="385" t="n"/>
      <c r="EC31" s="385" t="n"/>
      <c r="ED31" s="385" t="n"/>
      <c r="EE31" s="385" t="n"/>
      <c r="EF31" s="385" t="n"/>
      <c r="EG31" s="385" t="n"/>
      <c r="EH31" s="385" t="n"/>
      <c r="EI31" s="385" t="n"/>
      <c r="EJ31" s="385" t="n"/>
      <c r="EK31" s="385" t="n"/>
      <c r="EL31" s="385" t="n"/>
      <c r="EM31" s="385" t="n"/>
      <c r="EN31" s="385" t="n"/>
      <c r="EO31" s="385" t="n"/>
      <c r="EP31" s="385" t="n"/>
      <c r="EQ31" s="385" t="n"/>
      <c r="ER31" s="385" t="n"/>
      <c r="ES31" s="385" t="n"/>
      <c r="ET31" s="385" t="n"/>
      <c r="EU31" s="385" t="n"/>
      <c r="EV31" s="385" t="n"/>
      <c r="EW31" s="385" t="n"/>
      <c r="EX31" s="385" t="n"/>
      <c r="EY31" s="385" t="n"/>
      <c r="EZ31" s="385" t="n"/>
      <c r="FA31" s="385" t="n"/>
      <c r="FB31" s="385" t="n"/>
      <c r="FC31" s="385" t="n"/>
      <c r="FD31" s="385" t="n"/>
      <c r="FE31" s="385" t="n"/>
      <c r="FF31" s="385" t="n"/>
      <c r="FG31" s="385" t="n"/>
      <c r="FH31" s="385" t="n"/>
      <c r="FI31" s="385" t="n"/>
      <c r="FJ31" s="385" t="n"/>
      <c r="FK31" s="385" t="n"/>
      <c r="FL31" s="385" t="n"/>
      <c r="FM31" s="385" t="n"/>
      <c r="FN31" s="385" t="n"/>
      <c r="FO31" s="385" t="n"/>
      <c r="FP31" s="385" t="n"/>
      <c r="FQ31" s="385" t="n"/>
      <c r="FR31" s="385" t="n"/>
      <c r="FS31" s="385" t="n"/>
      <c r="FT31" s="385" t="n"/>
      <c r="FU31" s="385" t="n"/>
      <c r="FV31" s="385" t="n"/>
      <c r="FW31" s="385" t="n"/>
      <c r="FX31" s="385" t="n"/>
      <c r="FY31" s="385" t="n"/>
      <c r="FZ31" s="385" t="n"/>
      <c r="GA31" s="385" t="n"/>
      <c r="GB31" s="385" t="n"/>
      <c r="GC31" s="385" t="n"/>
      <c r="GD31" s="385" t="n"/>
      <c r="GE31" s="385" t="n"/>
      <c r="GF31" s="385" t="n"/>
      <c r="GG31" s="385" t="n"/>
      <c r="GH31" s="385" t="n"/>
      <c r="GI31" s="385" t="n"/>
      <c r="GJ31" s="385" t="n"/>
      <c r="GK31" s="385" t="n"/>
      <c r="GL31" s="385" t="n"/>
      <c r="GM31" s="385" t="n"/>
      <c r="GN31" s="385" t="n"/>
      <c r="GO31" s="385" t="n"/>
      <c r="GP31" s="385" t="n"/>
      <c r="GQ31" s="385" t="n"/>
      <c r="GR31" s="385" t="n"/>
      <c r="GS31" s="385" t="n"/>
      <c r="GT31" s="385" t="n"/>
      <c r="GU31" s="385" t="n"/>
      <c r="GV31" s="385" t="n"/>
      <c r="GW31" s="385" t="n"/>
      <c r="GX31" s="385" t="n"/>
      <c r="GY31" s="385" t="n"/>
    </row>
    <row r="32" ht="15" customFormat="1" customHeight="1" s="658">
      <c r="A32" s="385" t="n"/>
      <c r="B32" s="133" t="inlineStr">
        <is>
          <t>√</t>
        </is>
      </c>
      <c r="C32" s="385" t="n"/>
      <c r="D32" s="657" t="inlineStr">
        <is>
          <t>●</t>
        </is>
      </c>
      <c r="E32" s="699" t="inlineStr">
        <is>
          <t xml:space="preserve"> - VP, Business Development</t>
        </is>
      </c>
      <c r="F32" s="698" t="n"/>
      <c r="G32" s="698" t="n"/>
      <c r="H32" s="698" t="n"/>
      <c r="I32" s="385" t="n"/>
      <c r="J32" s="701" t="n">
        <v>165000</v>
      </c>
      <c r="K32" s="1282">
        <f>J32*1.03</f>
        <v/>
      </c>
      <c r="L32" s="1282">
        <f>K32*1.03</f>
        <v/>
      </c>
      <c r="M32" s="1282">
        <f>L32*1.03</f>
        <v/>
      </c>
      <c r="N32" s="1282">
        <f>M32*1.03</f>
        <v/>
      </c>
      <c r="O32" s="385" t="n"/>
      <c r="P32" s="384" t="n">
        <v>1</v>
      </c>
      <c r="Q32" s="384" t="n">
        <v>1</v>
      </c>
      <c r="R32" s="384" t="n">
        <v>1</v>
      </c>
      <c r="S32" s="384" t="n">
        <v>1</v>
      </c>
      <c r="T32" s="384" t="n">
        <v>1</v>
      </c>
      <c r="U32" s="384" t="n">
        <v>1</v>
      </c>
      <c r="V32" s="384" t="n">
        <v>1</v>
      </c>
      <c r="W32" s="386">
        <f>'Headcount &amp; Salaries - 2'!AE21</f>
        <v/>
      </c>
      <c r="X32" s="386">
        <f>'Headcount &amp; Salaries - 2'!AF21</f>
        <v/>
      </c>
      <c r="Y32" s="386">
        <f>'Headcount &amp; Salaries - 2'!AG21</f>
        <v/>
      </c>
      <c r="Z32" s="386">
        <f>'Headcount &amp; Salaries - 2'!AH21</f>
        <v/>
      </c>
      <c r="AA32" s="386">
        <f>'Headcount &amp; Salaries - 2'!AI21</f>
        <v/>
      </c>
      <c r="AB32" s="433">
        <f>'Headcount &amp; Salaries - 2'!AJ21</f>
        <v/>
      </c>
      <c r="AC32" s="386">
        <f>'Headcount &amp; Salaries - 2'!AK21</f>
        <v/>
      </c>
      <c r="AD32" s="386">
        <f>'Headcount &amp; Salaries - 2'!AL21</f>
        <v/>
      </c>
      <c r="AE32" s="386">
        <f>'Headcount &amp; Salaries - 2'!AM21</f>
        <v/>
      </c>
      <c r="AF32" s="386">
        <f>'Headcount &amp; Salaries - 2'!AN21</f>
        <v/>
      </c>
      <c r="AG32" s="386">
        <f>'Headcount &amp; Salaries - 2'!AO21</f>
        <v/>
      </c>
      <c r="AH32" s="386">
        <f>'Headcount &amp; Salaries - 2'!AP21</f>
        <v/>
      </c>
      <c r="AI32" s="386">
        <f>'Headcount &amp; Salaries - 2'!AQ21</f>
        <v/>
      </c>
      <c r="AJ32" s="386">
        <f>'Headcount &amp; Salaries - 2'!AR21</f>
        <v/>
      </c>
      <c r="AK32" s="386">
        <f>'Headcount &amp; Salaries - 2'!AS21</f>
        <v/>
      </c>
      <c r="AL32" s="386">
        <f>'Headcount &amp; Salaries - 2'!AT21</f>
        <v/>
      </c>
      <c r="AM32" s="386">
        <f>'Headcount &amp; Salaries - 2'!AU21</f>
        <v/>
      </c>
      <c r="AN32" s="433">
        <f>'Headcount &amp; Salaries - 2'!AV21</f>
        <v/>
      </c>
      <c r="AO32" s="386">
        <f>'Headcount &amp; Salaries - 2'!AW21</f>
        <v/>
      </c>
      <c r="AP32" s="386">
        <f>'Headcount &amp; Salaries - 2'!AX21</f>
        <v/>
      </c>
      <c r="AQ32" s="386">
        <f>'Headcount &amp; Salaries - 2'!AY21</f>
        <v/>
      </c>
      <c r="AR32" s="386">
        <f>'Headcount &amp; Salaries - 2'!AZ21</f>
        <v/>
      </c>
      <c r="AS32" s="386">
        <f>'Headcount &amp; Salaries - 2'!BA21</f>
        <v/>
      </c>
      <c r="AT32" s="386">
        <f>'Headcount &amp; Salaries - 2'!BB21</f>
        <v/>
      </c>
      <c r="AU32" s="386">
        <f>'Headcount &amp; Salaries - 2'!BC21</f>
        <v/>
      </c>
      <c r="AV32" s="386">
        <f>'Headcount &amp; Salaries - 2'!BD21</f>
        <v/>
      </c>
      <c r="AW32" s="386">
        <f>'Headcount &amp; Salaries - 2'!BE21</f>
        <v/>
      </c>
      <c r="AX32" s="386">
        <f>'Headcount &amp; Salaries - 2'!BF21</f>
        <v/>
      </c>
      <c r="AY32" s="1882">
        <f>'Headcount &amp; Salaries - 2'!BG21</f>
        <v/>
      </c>
      <c r="AZ32" s="433">
        <f>'Headcount &amp; Salaries - 2'!BH21</f>
        <v/>
      </c>
      <c r="BA32" s="386">
        <f>'Headcount &amp; Salaries - 2'!BI21</f>
        <v/>
      </c>
      <c r="BB32" s="386">
        <f>'Headcount &amp; Salaries - 2'!BJ21</f>
        <v/>
      </c>
      <c r="BC32" s="386">
        <f>'Headcount &amp; Salaries - 2'!BK21</f>
        <v/>
      </c>
      <c r="BD32" s="386">
        <f>'Headcount &amp; Salaries - 2'!BL21</f>
        <v/>
      </c>
      <c r="BE32" s="386">
        <f>'Headcount &amp; Salaries - 2'!BM21</f>
        <v/>
      </c>
      <c r="BF32" s="386">
        <f>'Headcount &amp; Salaries - 2'!BN21</f>
        <v/>
      </c>
      <c r="BG32" s="386">
        <f>'Headcount &amp; Salaries - 2'!BO21</f>
        <v/>
      </c>
      <c r="BH32" s="386">
        <f>'Headcount &amp; Salaries - 2'!BP21</f>
        <v/>
      </c>
      <c r="BI32" s="386">
        <f>'Headcount &amp; Salaries - 2'!BQ21</f>
        <v/>
      </c>
      <c r="BJ32" s="386">
        <f>'Headcount &amp; Salaries - 2'!BR21</f>
        <v/>
      </c>
      <c r="BK32" s="386">
        <f>'Headcount &amp; Salaries - 2'!BS21</f>
        <v/>
      </c>
      <c r="BL32" s="433">
        <f>'Headcount &amp; Salaries - 2'!BT21</f>
        <v/>
      </c>
      <c r="BM32" s="386">
        <f>'Headcount &amp; Salaries - 2'!BU21</f>
        <v/>
      </c>
      <c r="BN32" s="386">
        <f>'Headcount &amp; Salaries - 2'!BV21</f>
        <v/>
      </c>
      <c r="BO32" s="386">
        <f>'Headcount &amp; Salaries - 2'!BW21</f>
        <v/>
      </c>
      <c r="BP32" s="386">
        <f>'Headcount &amp; Salaries - 2'!BX21</f>
        <v/>
      </c>
      <c r="BQ32" s="386">
        <f>'Headcount &amp; Salaries - 2'!BY21</f>
        <v/>
      </c>
      <c r="BR32" s="386">
        <f>'Headcount &amp; Salaries - 2'!BZ21</f>
        <v/>
      </c>
      <c r="BS32" s="386">
        <f>'Headcount &amp; Salaries - 2'!CA21</f>
        <v/>
      </c>
      <c r="BT32" s="386">
        <f>'Headcount &amp; Salaries - 2'!CB21</f>
        <v/>
      </c>
      <c r="BU32" s="386">
        <f>'Headcount &amp; Salaries - 2'!CC21</f>
        <v/>
      </c>
      <c r="BV32" s="386">
        <f>'Headcount &amp; Salaries - 2'!CD21</f>
        <v/>
      </c>
      <c r="BW32" s="386">
        <f>'Headcount &amp; Salaries - 2'!CE21</f>
        <v/>
      </c>
      <c r="BX32" s="383" t="n"/>
      <c r="BY32" s="385" t="n"/>
      <c r="BZ32" s="385" t="n"/>
      <c r="CA32" s="385" t="n"/>
      <c r="CB32" s="385" t="n"/>
      <c r="CC32" s="385" t="n"/>
      <c r="CD32" s="385" t="n"/>
      <c r="CE32" s="385" t="n"/>
      <c r="CF32" s="385" t="n"/>
      <c r="CG32" s="385" t="n"/>
      <c r="CH32" s="385" t="n"/>
      <c r="CI32" s="385" t="n"/>
      <c r="CJ32" s="385" t="n"/>
      <c r="CK32" s="385" t="n"/>
      <c r="CL32" s="385" t="n"/>
      <c r="CM32" s="385" t="n"/>
      <c r="CN32" s="385" t="n"/>
      <c r="CO32" s="385" t="n"/>
      <c r="CP32" s="385" t="n"/>
      <c r="CQ32" s="385" t="n"/>
      <c r="CR32" s="385" t="n"/>
      <c r="CS32" s="385" t="n"/>
      <c r="CT32" s="385" t="n"/>
      <c r="CU32" s="385" t="n"/>
      <c r="CV32" s="385" t="n"/>
      <c r="CW32" s="385" t="n"/>
      <c r="CX32" s="385" t="n"/>
      <c r="CY32" s="385" t="n"/>
      <c r="CZ32" s="385" t="n"/>
      <c r="DA32" s="385" t="n"/>
      <c r="DB32" s="385" t="n"/>
      <c r="DC32" s="385" t="n"/>
      <c r="DD32" s="385" t="n"/>
      <c r="DE32" s="385" t="n"/>
      <c r="DF32" s="385" t="n"/>
      <c r="DG32" s="385" t="n"/>
      <c r="DH32" s="385" t="n"/>
      <c r="DI32" s="385" t="n"/>
      <c r="DJ32" s="385" t="n"/>
      <c r="DK32" s="385" t="n"/>
      <c r="DL32" s="385" t="n"/>
      <c r="DM32" s="385" t="n"/>
      <c r="DN32" s="385" t="n"/>
      <c r="DO32" s="385" t="n"/>
      <c r="DP32" s="385" t="n"/>
      <c r="DQ32" s="385" t="n"/>
      <c r="DR32" s="385" t="n"/>
      <c r="DS32" s="385" t="n"/>
      <c r="DT32" s="385" t="n"/>
      <c r="DU32" s="385" t="n"/>
      <c r="DV32" s="385" t="n"/>
      <c r="DW32" s="385" t="n"/>
      <c r="DX32" s="385" t="n"/>
      <c r="DY32" s="385" t="n"/>
      <c r="DZ32" s="385" t="n"/>
      <c r="EA32" s="385" t="n"/>
      <c r="EB32" s="385" t="n"/>
      <c r="EC32" s="385" t="n"/>
      <c r="ED32" s="385" t="n"/>
      <c r="EE32" s="385" t="n"/>
      <c r="EF32" s="385" t="n"/>
      <c r="EG32" s="385" t="n"/>
      <c r="EH32" s="385" t="n"/>
      <c r="EI32" s="385" t="n"/>
      <c r="EJ32" s="385" t="n"/>
      <c r="EK32" s="385" t="n"/>
      <c r="EL32" s="385" t="n"/>
      <c r="EM32" s="385" t="n"/>
      <c r="EN32" s="385" t="n"/>
      <c r="EO32" s="385" t="n"/>
      <c r="EP32" s="385" t="n"/>
      <c r="EQ32" s="385" t="n"/>
      <c r="ER32" s="385" t="n"/>
      <c r="ES32" s="385" t="n"/>
      <c r="ET32" s="385" t="n"/>
      <c r="EU32" s="385" t="n"/>
      <c r="EV32" s="385" t="n"/>
      <c r="EW32" s="385" t="n"/>
      <c r="EX32" s="385" t="n"/>
      <c r="EY32" s="385" t="n"/>
      <c r="EZ32" s="385" t="n"/>
      <c r="FA32" s="385" t="n"/>
      <c r="FB32" s="385" t="n"/>
      <c r="FC32" s="385" t="n"/>
      <c r="FD32" s="385" t="n"/>
      <c r="FE32" s="385" t="n"/>
      <c r="FF32" s="385" t="n"/>
      <c r="FG32" s="385" t="n"/>
      <c r="FH32" s="385" t="n"/>
      <c r="FI32" s="385" t="n"/>
      <c r="FJ32" s="385" t="n"/>
      <c r="FK32" s="385" t="n"/>
      <c r="FL32" s="385" t="n"/>
      <c r="FM32" s="385" t="n"/>
      <c r="FN32" s="385" t="n"/>
      <c r="FO32" s="385" t="n"/>
      <c r="FP32" s="385" t="n"/>
      <c r="FQ32" s="385" t="n"/>
      <c r="FR32" s="385" t="n"/>
      <c r="FS32" s="385" t="n"/>
      <c r="FT32" s="385" t="n"/>
      <c r="FU32" s="385" t="n"/>
      <c r="FV32" s="385" t="n"/>
      <c r="FW32" s="385" t="n"/>
      <c r="FX32" s="385" t="n"/>
      <c r="FY32" s="385" t="n"/>
      <c r="FZ32" s="385" t="n"/>
      <c r="GA32" s="385" t="n"/>
      <c r="GB32" s="385" t="n"/>
      <c r="GC32" s="385" t="n"/>
      <c r="GD32" s="385" t="n"/>
      <c r="GE32" s="385" t="n"/>
      <c r="GF32" s="385" t="n"/>
      <c r="GG32" s="385" t="n"/>
      <c r="GH32" s="385" t="n"/>
      <c r="GI32" s="385" t="n"/>
      <c r="GJ32" s="385" t="n"/>
      <c r="GK32" s="385" t="n"/>
      <c r="GL32" s="385" t="n"/>
      <c r="GM32" s="385" t="n"/>
      <c r="GN32" s="385" t="n"/>
      <c r="GO32" s="385" t="n"/>
      <c r="GP32" s="385" t="n"/>
      <c r="GQ32" s="385" t="n"/>
      <c r="GR32" s="385" t="n"/>
      <c r="GS32" s="385" t="n"/>
      <c r="GT32" s="385" t="n"/>
      <c r="GU32" s="385" t="n"/>
      <c r="GV32" s="385" t="n"/>
      <c r="GW32" s="385" t="n"/>
      <c r="GX32" s="385" t="n"/>
      <c r="GY32" s="385" t="n"/>
    </row>
    <row r="33" ht="15" customFormat="1" customHeight="1" s="658">
      <c r="A33" s="385" t="n"/>
      <c r="B33" s="133" t="inlineStr">
        <is>
          <t>√</t>
        </is>
      </c>
      <c r="C33" s="385" t="n"/>
      <c r="D33" s="657" t="inlineStr">
        <is>
          <t>●</t>
        </is>
      </c>
      <c r="E33" s="668" t="inlineStr">
        <is>
          <t>Nathan Olson - President, Pure Marketing</t>
        </is>
      </c>
      <c r="F33" s="698" t="n"/>
      <c r="G33" s="698" t="n"/>
      <c r="H33" s="698" t="n"/>
      <c r="I33" s="385" t="n"/>
      <c r="J33" s="701" t="n">
        <v>165000</v>
      </c>
      <c r="K33" s="1282">
        <f>J33*1.03</f>
        <v/>
      </c>
      <c r="L33" s="1282">
        <f>K33*1.03</f>
        <v/>
      </c>
      <c r="M33" s="1282">
        <f>L33*1.03</f>
        <v/>
      </c>
      <c r="N33" s="1282">
        <f>M33*1.03</f>
        <v/>
      </c>
      <c r="O33" s="385" t="n"/>
      <c r="P33" s="386">
        <f>'Headcount &amp; Salaries - 2'!X21</f>
        <v/>
      </c>
      <c r="Q33" s="386">
        <f>'Headcount &amp; Salaries - 2'!Y21</f>
        <v/>
      </c>
      <c r="R33" s="386">
        <f>'Headcount &amp; Salaries - 2'!Z21</f>
        <v/>
      </c>
      <c r="S33" s="386">
        <f>'Headcount &amp; Salaries - 2'!AA21</f>
        <v/>
      </c>
      <c r="T33" s="386">
        <f>'Headcount &amp; Salaries - 2'!AB21</f>
        <v/>
      </c>
      <c r="U33" s="386">
        <f>'Headcount &amp; Salaries - 2'!AC21</f>
        <v/>
      </c>
      <c r="V33" s="386">
        <f>'Headcount &amp; Salaries - 2'!AD21</f>
        <v/>
      </c>
      <c r="W33" s="386">
        <f>'Headcount &amp; Salaries - 2'!AE21</f>
        <v/>
      </c>
      <c r="X33" s="386">
        <f>'Headcount &amp; Salaries - 2'!AF21</f>
        <v/>
      </c>
      <c r="Y33" s="386">
        <f>'Headcount &amp; Salaries - 2'!AG21</f>
        <v/>
      </c>
      <c r="Z33" s="386">
        <f>'Headcount &amp; Salaries - 2'!AH21</f>
        <v/>
      </c>
      <c r="AA33" s="386">
        <f>'Headcount &amp; Salaries - 2'!AI21</f>
        <v/>
      </c>
      <c r="AB33" s="433">
        <f>'Headcount &amp; Salaries - 2'!AJ21</f>
        <v/>
      </c>
      <c r="AC33" s="386">
        <f>'Headcount &amp; Salaries - 2'!AK21</f>
        <v/>
      </c>
      <c r="AD33" s="386">
        <f>'Headcount &amp; Salaries - 2'!AL21</f>
        <v/>
      </c>
      <c r="AE33" s="386">
        <f>'Headcount &amp; Salaries - 2'!AM21</f>
        <v/>
      </c>
      <c r="AF33" s="386">
        <f>'Headcount &amp; Salaries - 2'!AN21</f>
        <v/>
      </c>
      <c r="AG33" s="386">
        <f>'Headcount &amp; Salaries - 2'!AO21</f>
        <v/>
      </c>
      <c r="AH33" s="386">
        <f>'Headcount &amp; Salaries - 2'!AP21</f>
        <v/>
      </c>
      <c r="AI33" s="386">
        <f>'Headcount &amp; Salaries - 2'!AQ21</f>
        <v/>
      </c>
      <c r="AJ33" s="386">
        <f>'Headcount &amp; Salaries - 2'!AR21</f>
        <v/>
      </c>
      <c r="AK33" s="386">
        <f>'Headcount &amp; Salaries - 2'!AS21</f>
        <v/>
      </c>
      <c r="AL33" s="386">
        <f>'Headcount &amp; Salaries - 2'!AT21</f>
        <v/>
      </c>
      <c r="AM33" s="386">
        <f>'Headcount &amp; Salaries - 2'!AU21</f>
        <v/>
      </c>
      <c r="AN33" s="433">
        <f>'Headcount &amp; Salaries - 2'!AV21</f>
        <v/>
      </c>
      <c r="AO33" s="386">
        <f>'Headcount &amp; Salaries - 2'!AW21</f>
        <v/>
      </c>
      <c r="AP33" s="386">
        <f>'Headcount &amp; Salaries - 2'!AX21</f>
        <v/>
      </c>
      <c r="AQ33" s="386">
        <f>'Headcount &amp; Salaries - 2'!AY21</f>
        <v/>
      </c>
      <c r="AR33" s="386">
        <f>'Headcount &amp; Salaries - 2'!AZ21</f>
        <v/>
      </c>
      <c r="AS33" s="386">
        <f>'Headcount &amp; Salaries - 2'!BA21</f>
        <v/>
      </c>
      <c r="AT33" s="386">
        <f>'Headcount &amp; Salaries - 2'!BB21</f>
        <v/>
      </c>
      <c r="AU33" s="386">
        <f>'Headcount &amp; Salaries - 2'!BC21</f>
        <v/>
      </c>
      <c r="AV33" s="386">
        <f>'Headcount &amp; Salaries - 2'!BD21</f>
        <v/>
      </c>
      <c r="AW33" s="386">
        <f>'Headcount &amp; Salaries - 2'!BE21</f>
        <v/>
      </c>
      <c r="AX33" s="386">
        <f>'Headcount &amp; Salaries - 2'!BF21</f>
        <v/>
      </c>
      <c r="AY33" s="1882">
        <f>'Headcount &amp; Salaries - 2'!BG21</f>
        <v/>
      </c>
      <c r="AZ33" s="433">
        <f>'Headcount &amp; Salaries - 2'!BH21</f>
        <v/>
      </c>
      <c r="BA33" s="386">
        <f>'Headcount &amp; Salaries - 2'!BI21</f>
        <v/>
      </c>
      <c r="BB33" s="386">
        <f>'Headcount &amp; Salaries - 2'!BJ21</f>
        <v/>
      </c>
      <c r="BC33" s="386">
        <f>'Headcount &amp; Salaries - 2'!BK21</f>
        <v/>
      </c>
      <c r="BD33" s="386">
        <f>'Headcount &amp; Salaries - 2'!BL21</f>
        <v/>
      </c>
      <c r="BE33" s="386">
        <f>'Headcount &amp; Salaries - 2'!BM21</f>
        <v/>
      </c>
      <c r="BF33" s="386">
        <f>'Headcount &amp; Salaries - 2'!BN21</f>
        <v/>
      </c>
      <c r="BG33" s="386">
        <f>'Headcount &amp; Salaries - 2'!BO21</f>
        <v/>
      </c>
      <c r="BH33" s="386">
        <f>'Headcount &amp; Salaries - 2'!BP21</f>
        <v/>
      </c>
      <c r="BI33" s="386">
        <f>'Headcount &amp; Salaries - 2'!BQ21</f>
        <v/>
      </c>
      <c r="BJ33" s="386">
        <f>'Headcount &amp; Salaries - 2'!BR21</f>
        <v/>
      </c>
      <c r="BK33" s="386">
        <f>'Headcount &amp; Salaries - 2'!BS21</f>
        <v/>
      </c>
      <c r="BL33" s="433">
        <f>'Headcount &amp; Salaries - 2'!BT21</f>
        <v/>
      </c>
      <c r="BM33" s="386">
        <f>'Headcount &amp; Salaries - 2'!BU21</f>
        <v/>
      </c>
      <c r="BN33" s="386">
        <f>'Headcount &amp; Salaries - 2'!BV21</f>
        <v/>
      </c>
      <c r="BO33" s="386">
        <f>'Headcount &amp; Salaries - 2'!BW21</f>
        <v/>
      </c>
      <c r="BP33" s="386">
        <f>'Headcount &amp; Salaries - 2'!BX21</f>
        <v/>
      </c>
      <c r="BQ33" s="386">
        <f>'Headcount &amp; Salaries - 2'!BY21</f>
        <v/>
      </c>
      <c r="BR33" s="386">
        <f>'Headcount &amp; Salaries - 2'!BZ21</f>
        <v/>
      </c>
      <c r="BS33" s="386">
        <f>'Headcount &amp; Salaries - 2'!CA21</f>
        <v/>
      </c>
      <c r="BT33" s="386">
        <f>'Headcount &amp; Salaries - 2'!CB21</f>
        <v/>
      </c>
      <c r="BU33" s="386">
        <f>'Headcount &amp; Salaries - 2'!CC21</f>
        <v/>
      </c>
      <c r="BV33" s="386">
        <f>'Headcount &amp; Salaries - 2'!CD21</f>
        <v/>
      </c>
      <c r="BW33" s="386">
        <f>'Headcount &amp; Salaries - 2'!CE21</f>
        <v/>
      </c>
      <c r="BX33" s="383" t="n"/>
      <c r="BY33" s="385" t="n"/>
      <c r="BZ33" s="385" t="n"/>
      <c r="CA33" s="385" t="n"/>
      <c r="CB33" s="385" t="n"/>
      <c r="CC33" s="385" t="n"/>
      <c r="CD33" s="385" t="n"/>
      <c r="CE33" s="385" t="n"/>
      <c r="CF33" s="385" t="n"/>
      <c r="CG33" s="385" t="n"/>
      <c r="CH33" s="385" t="n"/>
      <c r="CI33" s="385" t="n"/>
      <c r="CJ33" s="385" t="n"/>
      <c r="CK33" s="385" t="n"/>
      <c r="CL33" s="385" t="n"/>
      <c r="CM33" s="385" t="n"/>
      <c r="CN33" s="385" t="n"/>
      <c r="CO33" s="385" t="n"/>
      <c r="CP33" s="385" t="n"/>
      <c r="CQ33" s="385" t="n"/>
      <c r="CR33" s="385" t="n"/>
      <c r="CS33" s="385" t="n"/>
      <c r="CT33" s="385" t="n"/>
      <c r="CU33" s="385" t="n"/>
      <c r="CV33" s="385" t="n"/>
      <c r="CW33" s="385" t="n"/>
      <c r="CX33" s="385" t="n"/>
      <c r="CY33" s="385" t="n"/>
      <c r="CZ33" s="385" t="n"/>
      <c r="DA33" s="385" t="n"/>
      <c r="DB33" s="385" t="n"/>
      <c r="DC33" s="385" t="n"/>
      <c r="DD33" s="385" t="n"/>
      <c r="DE33" s="385" t="n"/>
      <c r="DF33" s="385" t="n"/>
      <c r="DG33" s="385" t="n"/>
      <c r="DH33" s="385" t="n"/>
      <c r="DI33" s="385" t="n"/>
      <c r="DJ33" s="385" t="n"/>
      <c r="DK33" s="385" t="n"/>
      <c r="DL33" s="385" t="n"/>
      <c r="DM33" s="385" t="n"/>
      <c r="DN33" s="385" t="n"/>
      <c r="DO33" s="385" t="n"/>
      <c r="DP33" s="385" t="n"/>
      <c r="DQ33" s="385" t="n"/>
      <c r="DR33" s="385" t="n"/>
      <c r="DS33" s="385" t="n"/>
      <c r="DT33" s="385" t="n"/>
      <c r="DU33" s="385" t="n"/>
      <c r="DV33" s="385" t="n"/>
      <c r="DW33" s="385" t="n"/>
      <c r="DX33" s="385" t="n"/>
      <c r="DY33" s="385" t="n"/>
      <c r="DZ33" s="385" t="n"/>
      <c r="EA33" s="385" t="n"/>
      <c r="EB33" s="385" t="n"/>
      <c r="EC33" s="385" t="n"/>
      <c r="ED33" s="385" t="n"/>
      <c r="EE33" s="385" t="n"/>
      <c r="EF33" s="385" t="n"/>
      <c r="EG33" s="385" t="n"/>
      <c r="EH33" s="385" t="n"/>
      <c r="EI33" s="385" t="n"/>
      <c r="EJ33" s="385" t="n"/>
      <c r="EK33" s="385" t="n"/>
      <c r="EL33" s="385" t="n"/>
      <c r="EM33" s="385" t="n"/>
      <c r="EN33" s="385" t="n"/>
      <c r="EO33" s="385" t="n"/>
      <c r="EP33" s="385" t="n"/>
      <c r="EQ33" s="385" t="n"/>
      <c r="ER33" s="385" t="n"/>
      <c r="ES33" s="385" t="n"/>
      <c r="ET33" s="385" t="n"/>
      <c r="EU33" s="385" t="n"/>
      <c r="EV33" s="385" t="n"/>
      <c r="EW33" s="385" t="n"/>
      <c r="EX33" s="385" t="n"/>
      <c r="EY33" s="385" t="n"/>
      <c r="EZ33" s="385" t="n"/>
      <c r="FA33" s="385" t="n"/>
      <c r="FB33" s="385" t="n"/>
      <c r="FC33" s="385" t="n"/>
      <c r="FD33" s="385" t="n"/>
      <c r="FE33" s="385" t="n"/>
      <c r="FF33" s="385" t="n"/>
      <c r="FG33" s="385" t="n"/>
      <c r="FH33" s="385" t="n"/>
      <c r="FI33" s="385" t="n"/>
      <c r="FJ33" s="385" t="n"/>
      <c r="FK33" s="385" t="n"/>
      <c r="FL33" s="385" t="n"/>
      <c r="FM33" s="385" t="n"/>
      <c r="FN33" s="385" t="n"/>
      <c r="FO33" s="385" t="n"/>
      <c r="FP33" s="385" t="n"/>
      <c r="FQ33" s="385" t="n"/>
      <c r="FR33" s="385" t="n"/>
      <c r="FS33" s="385" t="n"/>
      <c r="FT33" s="385" t="n"/>
      <c r="FU33" s="385" t="n"/>
      <c r="FV33" s="385" t="n"/>
      <c r="FW33" s="385" t="n"/>
      <c r="FX33" s="385" t="n"/>
      <c r="FY33" s="385" t="n"/>
      <c r="FZ33" s="385" t="n"/>
      <c r="GA33" s="385" t="n"/>
      <c r="GB33" s="385" t="n"/>
      <c r="GC33" s="385" t="n"/>
      <c r="GD33" s="385" t="n"/>
      <c r="GE33" s="385" t="n"/>
      <c r="GF33" s="385" t="n"/>
      <c r="GG33" s="385" t="n"/>
      <c r="GH33" s="385" t="n"/>
      <c r="GI33" s="385" t="n"/>
      <c r="GJ33" s="385" t="n"/>
      <c r="GK33" s="385" t="n"/>
      <c r="GL33" s="385" t="n"/>
      <c r="GM33" s="385" t="n"/>
      <c r="GN33" s="385" t="n"/>
      <c r="GO33" s="385" t="n"/>
      <c r="GP33" s="385" t="n"/>
      <c r="GQ33" s="385" t="n"/>
      <c r="GR33" s="385" t="n"/>
      <c r="GS33" s="385" t="n"/>
      <c r="GT33" s="385" t="n"/>
      <c r="GU33" s="385" t="n"/>
      <c r="GV33" s="385" t="n"/>
      <c r="GW33" s="385" t="n"/>
      <c r="GX33" s="385" t="n"/>
      <c r="GY33" s="385" t="n"/>
    </row>
    <row r="34" ht="15" customHeight="1" s="1883">
      <c r="A34" s="383" t="n"/>
      <c r="B34" s="133" t="inlineStr">
        <is>
          <t>√</t>
        </is>
      </c>
      <c r="C34" s="383" t="n"/>
      <c r="D34" s="390" t="inlineStr">
        <is>
          <t>●</t>
        </is>
      </c>
      <c r="E34" s="668" t="inlineStr">
        <is>
          <t>TBD - VP, Artificial Intelligence &amp; Data Science</t>
        </is>
      </c>
      <c r="F34" s="696" t="n"/>
      <c r="G34" s="696" t="n"/>
      <c r="H34" s="696" t="n"/>
      <c r="I34" s="383" t="n"/>
      <c r="J34" s="701">
        <f>'Headcount &amp; Salaries - 2'!G22</f>
        <v/>
      </c>
      <c r="K34" s="1282">
        <f>J34*1.03</f>
        <v/>
      </c>
      <c r="L34" s="1282">
        <f>K34*1.03</f>
        <v/>
      </c>
      <c r="M34" s="1282">
        <f>L34*1.03</f>
        <v/>
      </c>
      <c r="N34" s="1282">
        <f>M34*1.03</f>
        <v/>
      </c>
      <c r="O34" s="383" t="n"/>
      <c r="P34" s="384">
        <f>'Headcount &amp; Salaries - 2'!X24</f>
        <v/>
      </c>
      <c r="Q34" s="384">
        <f>'Headcount &amp; Salaries - 2'!Y24</f>
        <v/>
      </c>
      <c r="R34" s="384">
        <f>'Headcount &amp; Salaries - 2'!Z24</f>
        <v/>
      </c>
      <c r="S34" s="384">
        <f>'Headcount &amp; Salaries - 2'!AA24</f>
        <v/>
      </c>
      <c r="T34" s="384">
        <f>'Headcount &amp; Salaries - 2'!AB24</f>
        <v/>
      </c>
      <c r="U34" s="384">
        <f>'Headcount &amp; Salaries - 2'!AC24</f>
        <v/>
      </c>
      <c r="V34" s="384">
        <f>'Headcount &amp; Salaries - 2'!AD24</f>
        <v/>
      </c>
      <c r="W34" s="384">
        <f>'Headcount &amp; Salaries - 2'!AE22</f>
        <v/>
      </c>
      <c r="X34" s="384">
        <f>'Headcount &amp; Salaries - 2'!AF22</f>
        <v/>
      </c>
      <c r="Y34" s="384">
        <f>'Headcount &amp; Salaries - 2'!AG22</f>
        <v/>
      </c>
      <c r="Z34" s="384">
        <f>'Headcount &amp; Salaries - 2'!AH22</f>
        <v/>
      </c>
      <c r="AA34" s="384">
        <f>'Headcount &amp; Salaries - 2'!AI22</f>
        <v/>
      </c>
      <c r="AB34" s="542">
        <f>'Headcount &amp; Salaries - 2'!AJ22</f>
        <v/>
      </c>
      <c r="AC34" s="384">
        <f>'Headcount &amp; Salaries - 2'!AK22</f>
        <v/>
      </c>
      <c r="AD34" s="384">
        <f>'Headcount &amp; Salaries - 2'!AL22</f>
        <v/>
      </c>
      <c r="AE34" s="384">
        <f>'Headcount &amp; Salaries - 2'!AM22</f>
        <v/>
      </c>
      <c r="AF34" s="384">
        <f>'Headcount &amp; Salaries - 2'!AN22</f>
        <v/>
      </c>
      <c r="AG34" s="384">
        <f>'Headcount &amp; Salaries - 2'!AO22</f>
        <v/>
      </c>
      <c r="AH34" s="384">
        <f>'Headcount &amp; Salaries - 2'!AP22</f>
        <v/>
      </c>
      <c r="AI34" s="384">
        <f>'Headcount &amp; Salaries - 2'!AQ22</f>
        <v/>
      </c>
      <c r="AJ34" s="384">
        <f>'Headcount &amp; Salaries - 2'!AR22</f>
        <v/>
      </c>
      <c r="AK34" s="384">
        <f>'Headcount &amp; Salaries - 2'!AS22</f>
        <v/>
      </c>
      <c r="AL34" s="384">
        <f>'Headcount &amp; Salaries - 2'!AT22</f>
        <v/>
      </c>
      <c r="AM34" s="384">
        <f>'Headcount &amp; Salaries - 2'!AU22</f>
        <v/>
      </c>
      <c r="AN34" s="542">
        <f>'Headcount &amp; Salaries - 2'!AV22</f>
        <v/>
      </c>
      <c r="AO34" s="384">
        <f>'Headcount &amp; Salaries - 2'!AW22</f>
        <v/>
      </c>
      <c r="AP34" s="384">
        <f>'Headcount &amp; Salaries - 2'!AX22</f>
        <v/>
      </c>
      <c r="AQ34" s="384">
        <f>'Headcount &amp; Salaries - 2'!AY22</f>
        <v/>
      </c>
      <c r="AR34" s="384">
        <f>'Headcount &amp; Salaries - 2'!AZ22</f>
        <v/>
      </c>
      <c r="AS34" s="384">
        <f>'Headcount &amp; Salaries - 2'!BA22</f>
        <v/>
      </c>
      <c r="AT34" s="384">
        <f>'Headcount &amp; Salaries - 2'!BB22</f>
        <v/>
      </c>
      <c r="AU34" s="384">
        <f>'Headcount &amp; Salaries - 2'!BC22</f>
        <v/>
      </c>
      <c r="AV34" s="384">
        <f>'Headcount &amp; Salaries - 2'!BD22</f>
        <v/>
      </c>
      <c r="AW34" s="384">
        <f>'Headcount &amp; Salaries - 2'!BE22</f>
        <v/>
      </c>
      <c r="AX34" s="384">
        <f>'Headcount &amp; Salaries - 2'!BF22</f>
        <v/>
      </c>
      <c r="AY34" s="565">
        <f>'Headcount &amp; Salaries - 2'!BG22</f>
        <v/>
      </c>
      <c r="AZ34" s="542">
        <f>'Headcount &amp; Salaries - 2'!BH22</f>
        <v/>
      </c>
      <c r="BA34" s="384">
        <f>'Headcount &amp; Salaries - 2'!BI22</f>
        <v/>
      </c>
      <c r="BB34" s="384">
        <f>'Headcount &amp; Salaries - 2'!BJ22</f>
        <v/>
      </c>
      <c r="BC34" s="384">
        <f>'Headcount &amp; Salaries - 2'!BK22</f>
        <v/>
      </c>
      <c r="BD34" s="384">
        <f>'Headcount &amp; Salaries - 2'!BL22</f>
        <v/>
      </c>
      <c r="BE34" s="384">
        <f>'Headcount &amp; Salaries - 2'!BM22</f>
        <v/>
      </c>
      <c r="BF34" s="384">
        <f>'Headcount &amp; Salaries - 2'!BN22</f>
        <v/>
      </c>
      <c r="BG34" s="384">
        <f>'Headcount &amp; Salaries - 2'!BO22</f>
        <v/>
      </c>
      <c r="BH34" s="384">
        <f>'Headcount &amp; Salaries - 2'!BP22</f>
        <v/>
      </c>
      <c r="BI34" s="384">
        <f>'Headcount &amp; Salaries - 2'!BQ22</f>
        <v/>
      </c>
      <c r="BJ34" s="384">
        <f>'Headcount &amp; Salaries - 2'!BR22</f>
        <v/>
      </c>
      <c r="BK34" s="384">
        <f>'Headcount &amp; Salaries - 2'!BS22</f>
        <v/>
      </c>
      <c r="BL34" s="542">
        <f>'Headcount &amp; Salaries - 2'!BT22</f>
        <v/>
      </c>
      <c r="BM34" s="384">
        <f>'Headcount &amp; Salaries - 2'!BU22</f>
        <v/>
      </c>
      <c r="BN34" s="384">
        <f>'Headcount &amp; Salaries - 2'!BV22</f>
        <v/>
      </c>
      <c r="BO34" s="384">
        <f>'Headcount &amp; Salaries - 2'!BW22</f>
        <v/>
      </c>
      <c r="BP34" s="384">
        <f>'Headcount &amp; Salaries - 2'!BX22</f>
        <v/>
      </c>
      <c r="BQ34" s="384">
        <f>'Headcount &amp; Salaries - 2'!BY22</f>
        <v/>
      </c>
      <c r="BR34" s="384">
        <f>'Headcount &amp; Salaries - 2'!BZ22</f>
        <v/>
      </c>
      <c r="BS34" s="384">
        <f>'Headcount &amp; Salaries - 2'!CA22</f>
        <v/>
      </c>
      <c r="BT34" s="384">
        <f>'Headcount &amp; Salaries - 2'!CB22</f>
        <v/>
      </c>
      <c r="BU34" s="384">
        <f>'Headcount &amp; Salaries - 2'!CC22</f>
        <v/>
      </c>
      <c r="BV34" s="384">
        <f>'Headcount &amp; Salaries - 2'!CD22</f>
        <v/>
      </c>
      <c r="BW34" s="384">
        <f>'Headcount &amp; Salaries - 2'!CE22</f>
        <v/>
      </c>
      <c r="BX34" s="383" t="n"/>
      <c r="BY34" s="383" t="n"/>
      <c r="BZ34" s="383" t="n"/>
      <c r="CA34" s="383" t="n"/>
      <c r="CB34" s="383" t="n"/>
      <c r="CC34" s="383" t="n"/>
      <c r="CD34" s="383" t="n"/>
      <c r="CE34" s="383" t="n"/>
      <c r="CF34" s="383" t="n"/>
      <c r="CG34" s="383" t="n"/>
      <c r="CH34" s="383" t="n"/>
      <c r="CI34" s="383" t="n"/>
      <c r="CJ34" s="383" t="n"/>
      <c r="CK34" s="383" t="n"/>
      <c r="CL34" s="383" t="n"/>
      <c r="CM34" s="383" t="n"/>
      <c r="CN34" s="383" t="n"/>
      <c r="CO34" s="383" t="n"/>
      <c r="CP34" s="383" t="n"/>
      <c r="CQ34" s="383" t="n"/>
      <c r="CR34" s="383" t="n"/>
      <c r="CS34" s="383" t="n"/>
      <c r="CT34" s="383" t="n"/>
      <c r="CU34" s="383" t="n"/>
      <c r="CV34" s="383" t="n"/>
      <c r="CW34" s="383" t="n"/>
      <c r="CX34" s="383" t="n"/>
      <c r="CY34" s="383" t="n"/>
      <c r="CZ34" s="383" t="n"/>
      <c r="DA34" s="383" t="n"/>
      <c r="DB34" s="383" t="n"/>
      <c r="DC34" s="383" t="n"/>
      <c r="DD34" s="383" t="n"/>
      <c r="DE34" s="383" t="n"/>
      <c r="DF34" s="383" t="n"/>
      <c r="DG34" s="383" t="n"/>
      <c r="DH34" s="383" t="n"/>
      <c r="DI34" s="383" t="n"/>
      <c r="DJ34" s="383" t="n"/>
      <c r="DK34" s="383" t="n"/>
      <c r="DL34" s="383" t="n"/>
      <c r="DM34" s="383" t="n"/>
      <c r="DN34" s="383" t="n"/>
      <c r="DO34" s="383" t="n"/>
      <c r="DP34" s="383" t="n"/>
      <c r="DQ34" s="383" t="n"/>
      <c r="DR34" s="383" t="n"/>
      <c r="DS34" s="383" t="n"/>
      <c r="DT34" s="383" t="n"/>
      <c r="DU34" s="383" t="n"/>
      <c r="DV34" s="383" t="n"/>
      <c r="DW34" s="383" t="n"/>
      <c r="DX34" s="383" t="n"/>
      <c r="DY34" s="383" t="n"/>
      <c r="DZ34" s="383" t="n"/>
      <c r="EA34" s="383" t="n"/>
      <c r="EB34" s="383" t="n"/>
      <c r="EC34" s="383" t="n"/>
      <c r="ED34" s="383" t="n"/>
      <c r="EE34" s="383" t="n"/>
      <c r="EF34" s="383" t="n"/>
      <c r="EG34" s="383" t="n"/>
      <c r="EH34" s="383" t="n"/>
      <c r="EI34" s="383" t="n"/>
      <c r="EJ34" s="383" t="n"/>
      <c r="EK34" s="383" t="n"/>
      <c r="EL34" s="383" t="n"/>
      <c r="EM34" s="383" t="n"/>
      <c r="EN34" s="383" t="n"/>
      <c r="EO34" s="383" t="n"/>
      <c r="EP34" s="383" t="n"/>
      <c r="EQ34" s="383" t="n"/>
      <c r="ER34" s="383" t="n"/>
      <c r="ES34" s="383" t="n"/>
      <c r="ET34" s="383" t="n"/>
      <c r="EU34" s="383" t="n"/>
      <c r="EV34" s="383" t="n"/>
      <c r="EW34" s="383" t="n"/>
      <c r="EX34" s="383" t="n"/>
      <c r="EY34" s="383" t="n"/>
      <c r="EZ34" s="383" t="n"/>
      <c r="FA34" s="383" t="n"/>
      <c r="FB34" s="383" t="n"/>
      <c r="FC34" s="383" t="n"/>
      <c r="FD34" s="383" t="n"/>
      <c r="FE34" s="383" t="n"/>
      <c r="FF34" s="383" t="n"/>
      <c r="FG34" s="383" t="n"/>
      <c r="FH34" s="383" t="n"/>
      <c r="FI34" s="383" t="n"/>
      <c r="FJ34" s="383" t="n"/>
      <c r="FK34" s="383" t="n"/>
      <c r="FL34" s="383" t="n"/>
      <c r="FM34" s="383" t="n"/>
      <c r="FN34" s="383" t="n"/>
      <c r="FO34" s="383" t="n"/>
      <c r="FP34" s="383" t="n"/>
      <c r="FQ34" s="383" t="n"/>
      <c r="FR34" s="383" t="n"/>
      <c r="FS34" s="383" t="n"/>
      <c r="FT34" s="383" t="n"/>
      <c r="FU34" s="383" t="n"/>
      <c r="FV34" s="383" t="n"/>
      <c r="FW34" s="383" t="n"/>
      <c r="FX34" s="383" t="n"/>
      <c r="FY34" s="383" t="n"/>
      <c r="FZ34" s="383" t="n"/>
      <c r="GA34" s="383" t="n"/>
      <c r="GB34" s="383" t="n"/>
      <c r="GC34" s="383" t="n"/>
      <c r="GD34" s="383" t="n"/>
      <c r="GE34" s="383" t="n"/>
      <c r="GF34" s="383" t="n"/>
      <c r="GG34" s="383" t="n"/>
      <c r="GH34" s="383" t="n"/>
      <c r="GI34" s="383" t="n"/>
      <c r="GJ34" s="383" t="n"/>
      <c r="GK34" s="383" t="n"/>
      <c r="GL34" s="383" t="n"/>
      <c r="GM34" s="383" t="n"/>
      <c r="GN34" s="383" t="n"/>
      <c r="GO34" s="383" t="n"/>
      <c r="GP34" s="383" t="n"/>
      <c r="GQ34" s="383" t="n"/>
      <c r="GR34" s="383" t="n"/>
      <c r="GS34" s="383" t="n"/>
      <c r="GT34" s="383" t="n"/>
      <c r="GU34" s="383" t="n"/>
      <c r="GV34" s="383" t="n"/>
      <c r="GW34" s="383" t="n"/>
      <c r="GX34" s="383" t="n"/>
      <c r="GY34" s="383" t="n"/>
    </row>
    <row r="35" ht="15" customHeight="1" s="1883">
      <c r="A35" s="383" t="n"/>
      <c r="B35" s="133" t="inlineStr">
        <is>
          <t>√</t>
        </is>
      </c>
      <c r="C35" s="383" t="n"/>
      <c r="D35" s="390" t="inlineStr">
        <is>
          <t>●</t>
        </is>
      </c>
      <c r="E35" s="668" t="inlineStr">
        <is>
          <t>Robert Orlowski - Director, Marketing &amp; Communications</t>
        </is>
      </c>
      <c r="F35" s="696" t="n"/>
      <c r="G35" s="696" t="n"/>
      <c r="H35" s="696" t="n"/>
      <c r="I35" s="383" t="n"/>
      <c r="J35" s="701">
        <f>'Headcount &amp; Salaries - 2'!G23</f>
        <v/>
      </c>
      <c r="K35" s="1282">
        <f>J35*1.03</f>
        <v/>
      </c>
      <c r="L35" s="1282">
        <f>K35*1.03</f>
        <v/>
      </c>
      <c r="M35" s="1282">
        <f>L35*1.03</f>
        <v/>
      </c>
      <c r="N35" s="1282">
        <f>M35*1.03</f>
        <v/>
      </c>
      <c r="O35" s="383" t="n"/>
      <c r="P35" s="384" t="n">
        <v>1</v>
      </c>
      <c r="Q35" s="384" t="n">
        <v>1</v>
      </c>
      <c r="R35" s="384" t="n">
        <v>1</v>
      </c>
      <c r="S35" s="384" t="n">
        <v>1</v>
      </c>
      <c r="T35" s="384" t="n">
        <v>1</v>
      </c>
      <c r="U35" s="384" t="n">
        <v>1</v>
      </c>
      <c r="V35" s="384" t="n">
        <v>1</v>
      </c>
      <c r="W35" s="384">
        <f>'Headcount &amp; Salaries - 2'!AE23</f>
        <v/>
      </c>
      <c r="X35" s="384">
        <f>'Headcount &amp; Salaries - 2'!AF23</f>
        <v/>
      </c>
      <c r="Y35" s="384">
        <f>'Headcount &amp; Salaries - 2'!AG23</f>
        <v/>
      </c>
      <c r="Z35" s="384">
        <f>'Headcount &amp; Salaries - 2'!AH23</f>
        <v/>
      </c>
      <c r="AA35" s="384">
        <f>'Headcount &amp; Salaries - 2'!AI23</f>
        <v/>
      </c>
      <c r="AB35" s="542">
        <f>'Headcount &amp; Salaries - 2'!AJ23</f>
        <v/>
      </c>
      <c r="AC35" s="384">
        <f>'Headcount &amp; Salaries - 2'!AK23</f>
        <v/>
      </c>
      <c r="AD35" s="384">
        <f>'Headcount &amp; Salaries - 2'!AL23</f>
        <v/>
      </c>
      <c r="AE35" s="384">
        <f>'Headcount &amp; Salaries - 2'!AM23</f>
        <v/>
      </c>
      <c r="AF35" s="384">
        <f>'Headcount &amp; Salaries - 2'!AN23</f>
        <v/>
      </c>
      <c r="AG35" s="384">
        <f>'Headcount &amp; Salaries - 2'!AO23</f>
        <v/>
      </c>
      <c r="AH35" s="384">
        <f>'Headcount &amp; Salaries - 2'!AP23</f>
        <v/>
      </c>
      <c r="AI35" s="384">
        <f>'Headcount &amp; Salaries - 2'!AQ23</f>
        <v/>
      </c>
      <c r="AJ35" s="384">
        <f>'Headcount &amp; Salaries - 2'!AR23</f>
        <v/>
      </c>
      <c r="AK35" s="384">
        <f>'Headcount &amp; Salaries - 2'!AS23</f>
        <v/>
      </c>
      <c r="AL35" s="384">
        <f>'Headcount &amp; Salaries - 2'!AT23</f>
        <v/>
      </c>
      <c r="AM35" s="384">
        <f>'Headcount &amp; Salaries - 2'!AU23</f>
        <v/>
      </c>
      <c r="AN35" s="542">
        <f>'Headcount &amp; Salaries - 2'!AV23</f>
        <v/>
      </c>
      <c r="AO35" s="384">
        <f>'Headcount &amp; Salaries - 2'!AW23</f>
        <v/>
      </c>
      <c r="AP35" s="384">
        <f>'Headcount &amp; Salaries - 2'!AX23</f>
        <v/>
      </c>
      <c r="AQ35" s="384">
        <f>'Headcount &amp; Salaries - 2'!AY23</f>
        <v/>
      </c>
      <c r="AR35" s="384">
        <f>'Headcount &amp; Salaries - 2'!AZ23</f>
        <v/>
      </c>
      <c r="AS35" s="384">
        <f>'Headcount &amp; Salaries - 2'!BA23</f>
        <v/>
      </c>
      <c r="AT35" s="384">
        <f>'Headcount &amp; Salaries - 2'!BB23</f>
        <v/>
      </c>
      <c r="AU35" s="384">
        <f>'Headcount &amp; Salaries - 2'!BC23</f>
        <v/>
      </c>
      <c r="AV35" s="384">
        <f>'Headcount &amp; Salaries - 2'!BD23</f>
        <v/>
      </c>
      <c r="AW35" s="384">
        <f>'Headcount &amp; Salaries - 2'!BE23</f>
        <v/>
      </c>
      <c r="AX35" s="384">
        <f>'Headcount &amp; Salaries - 2'!BF23</f>
        <v/>
      </c>
      <c r="AY35" s="565">
        <f>'Headcount &amp; Salaries - 2'!BG23</f>
        <v/>
      </c>
      <c r="AZ35" s="542">
        <f>'Headcount &amp; Salaries - 2'!BH23</f>
        <v/>
      </c>
      <c r="BA35" s="384">
        <f>'Headcount &amp; Salaries - 2'!BI23</f>
        <v/>
      </c>
      <c r="BB35" s="384">
        <f>'Headcount &amp; Salaries - 2'!BJ23</f>
        <v/>
      </c>
      <c r="BC35" s="384">
        <f>'Headcount &amp; Salaries - 2'!BK23</f>
        <v/>
      </c>
      <c r="BD35" s="384">
        <f>'Headcount &amp; Salaries - 2'!BL23</f>
        <v/>
      </c>
      <c r="BE35" s="384">
        <f>'Headcount &amp; Salaries - 2'!BM23</f>
        <v/>
      </c>
      <c r="BF35" s="384">
        <f>'Headcount &amp; Salaries - 2'!BN23</f>
        <v/>
      </c>
      <c r="BG35" s="384">
        <f>'Headcount &amp; Salaries - 2'!BO23</f>
        <v/>
      </c>
      <c r="BH35" s="384">
        <f>'Headcount &amp; Salaries - 2'!BP23</f>
        <v/>
      </c>
      <c r="BI35" s="384">
        <f>'Headcount &amp; Salaries - 2'!BQ23</f>
        <v/>
      </c>
      <c r="BJ35" s="384">
        <f>'Headcount &amp; Salaries - 2'!BR23</f>
        <v/>
      </c>
      <c r="BK35" s="384">
        <f>'Headcount &amp; Salaries - 2'!BS23</f>
        <v/>
      </c>
      <c r="BL35" s="542">
        <f>'Headcount &amp; Salaries - 2'!BT23</f>
        <v/>
      </c>
      <c r="BM35" s="384">
        <f>'Headcount &amp; Salaries - 2'!BU23</f>
        <v/>
      </c>
      <c r="BN35" s="384">
        <f>'Headcount &amp; Salaries - 2'!BV23</f>
        <v/>
      </c>
      <c r="BO35" s="384">
        <f>'Headcount &amp; Salaries - 2'!BW23</f>
        <v/>
      </c>
      <c r="BP35" s="384">
        <f>'Headcount &amp; Salaries - 2'!BX23</f>
        <v/>
      </c>
      <c r="BQ35" s="384">
        <f>'Headcount &amp; Salaries - 2'!BY23</f>
        <v/>
      </c>
      <c r="BR35" s="384">
        <f>'Headcount &amp; Salaries - 2'!BZ23</f>
        <v/>
      </c>
      <c r="BS35" s="384">
        <f>'Headcount &amp; Salaries - 2'!CA23</f>
        <v/>
      </c>
      <c r="BT35" s="384">
        <f>'Headcount &amp; Salaries - 2'!CB23</f>
        <v/>
      </c>
      <c r="BU35" s="384">
        <f>'Headcount &amp; Salaries - 2'!CC23</f>
        <v/>
      </c>
      <c r="BV35" s="384">
        <f>'Headcount &amp; Salaries - 2'!CD23</f>
        <v/>
      </c>
      <c r="BW35" s="384">
        <f>'Headcount &amp; Salaries - 2'!CE23</f>
        <v/>
      </c>
      <c r="BX35" s="383" t="n"/>
      <c r="BY35" s="383" t="n"/>
      <c r="BZ35" s="383" t="n"/>
      <c r="CA35" s="383" t="n"/>
      <c r="CB35" s="383" t="n"/>
      <c r="CC35" s="383" t="n"/>
      <c r="CD35" s="383" t="n"/>
      <c r="CE35" s="383" t="n"/>
      <c r="CF35" s="383" t="n"/>
      <c r="CG35" s="383" t="n"/>
      <c r="CH35" s="383" t="n"/>
      <c r="CI35" s="383" t="n"/>
      <c r="CJ35" s="383" t="n"/>
      <c r="CK35" s="383" t="n"/>
      <c r="CL35" s="383" t="n"/>
      <c r="CM35" s="383" t="n"/>
      <c r="CN35" s="383" t="n"/>
      <c r="CO35" s="383" t="n"/>
      <c r="CP35" s="383" t="n"/>
      <c r="CQ35" s="383" t="n"/>
      <c r="CR35" s="383" t="n"/>
      <c r="CS35" s="383" t="n"/>
      <c r="CT35" s="383" t="n"/>
      <c r="CU35" s="383" t="n"/>
      <c r="CV35" s="383" t="n"/>
      <c r="CW35" s="383" t="n"/>
      <c r="CX35" s="383" t="n"/>
      <c r="CY35" s="383" t="n"/>
      <c r="CZ35" s="383" t="n"/>
      <c r="DA35" s="383" t="n"/>
      <c r="DB35" s="383" t="n"/>
      <c r="DC35" s="383" t="n"/>
      <c r="DD35" s="383" t="n"/>
      <c r="DE35" s="383" t="n"/>
      <c r="DF35" s="383" t="n"/>
      <c r="DG35" s="383" t="n"/>
      <c r="DH35" s="383" t="n"/>
      <c r="DI35" s="383" t="n"/>
      <c r="DJ35" s="383" t="n"/>
      <c r="DK35" s="383" t="n"/>
      <c r="DL35" s="383" t="n"/>
      <c r="DM35" s="383" t="n"/>
      <c r="DN35" s="383" t="n"/>
      <c r="DO35" s="383" t="n"/>
      <c r="DP35" s="383" t="n"/>
      <c r="DQ35" s="383" t="n"/>
      <c r="DR35" s="383" t="n"/>
      <c r="DS35" s="383" t="n"/>
      <c r="DT35" s="383" t="n"/>
      <c r="DU35" s="383" t="n"/>
      <c r="DV35" s="383" t="n"/>
      <c r="DW35" s="383" t="n"/>
      <c r="DX35" s="383" t="n"/>
      <c r="DY35" s="383" t="n"/>
      <c r="DZ35" s="383" t="n"/>
      <c r="EA35" s="383" t="n"/>
      <c r="EB35" s="383" t="n"/>
      <c r="EC35" s="383" t="n"/>
      <c r="ED35" s="383" t="n"/>
      <c r="EE35" s="383" t="n"/>
      <c r="EF35" s="383" t="n"/>
      <c r="EG35" s="383" t="n"/>
      <c r="EH35" s="383" t="n"/>
      <c r="EI35" s="383" t="n"/>
      <c r="EJ35" s="383" t="n"/>
      <c r="EK35" s="383" t="n"/>
      <c r="EL35" s="383" t="n"/>
      <c r="EM35" s="383" t="n"/>
      <c r="EN35" s="383" t="n"/>
      <c r="EO35" s="383" t="n"/>
      <c r="EP35" s="383" t="n"/>
      <c r="EQ35" s="383" t="n"/>
      <c r="ER35" s="383" t="n"/>
      <c r="ES35" s="383" t="n"/>
      <c r="ET35" s="383" t="n"/>
      <c r="EU35" s="383" t="n"/>
      <c r="EV35" s="383" t="n"/>
      <c r="EW35" s="383" t="n"/>
      <c r="EX35" s="383" t="n"/>
      <c r="EY35" s="383" t="n"/>
      <c r="EZ35" s="383" t="n"/>
      <c r="FA35" s="383" t="n"/>
      <c r="FB35" s="383" t="n"/>
      <c r="FC35" s="383" t="n"/>
      <c r="FD35" s="383" t="n"/>
      <c r="FE35" s="383" t="n"/>
      <c r="FF35" s="383" t="n"/>
      <c r="FG35" s="383" t="n"/>
      <c r="FH35" s="383" t="n"/>
      <c r="FI35" s="383" t="n"/>
      <c r="FJ35" s="383" t="n"/>
      <c r="FK35" s="383" t="n"/>
      <c r="FL35" s="383" t="n"/>
      <c r="FM35" s="383" t="n"/>
      <c r="FN35" s="383" t="n"/>
      <c r="FO35" s="383" t="n"/>
      <c r="FP35" s="383" t="n"/>
      <c r="FQ35" s="383" t="n"/>
      <c r="FR35" s="383" t="n"/>
      <c r="FS35" s="383" t="n"/>
      <c r="FT35" s="383" t="n"/>
      <c r="FU35" s="383" t="n"/>
      <c r="FV35" s="383" t="n"/>
      <c r="FW35" s="383" t="n"/>
      <c r="FX35" s="383" t="n"/>
      <c r="FY35" s="383" t="n"/>
      <c r="FZ35" s="383" t="n"/>
      <c r="GA35" s="383" t="n"/>
      <c r="GB35" s="383" t="n"/>
      <c r="GC35" s="383" t="n"/>
      <c r="GD35" s="383" t="n"/>
      <c r="GE35" s="383" t="n"/>
      <c r="GF35" s="383" t="n"/>
      <c r="GG35" s="383" t="n"/>
      <c r="GH35" s="383" t="n"/>
      <c r="GI35" s="383" t="n"/>
      <c r="GJ35" s="383" t="n"/>
      <c r="GK35" s="383" t="n"/>
      <c r="GL35" s="383" t="n"/>
      <c r="GM35" s="383" t="n"/>
      <c r="GN35" s="383" t="n"/>
      <c r="GO35" s="383" t="n"/>
      <c r="GP35" s="383" t="n"/>
      <c r="GQ35" s="383" t="n"/>
      <c r="GR35" s="383" t="n"/>
      <c r="GS35" s="383" t="n"/>
      <c r="GT35" s="383" t="n"/>
      <c r="GU35" s="383" t="n"/>
      <c r="GV35" s="383" t="n"/>
      <c r="GW35" s="383" t="n"/>
      <c r="GX35" s="383" t="n"/>
      <c r="GY35" s="383" t="n"/>
    </row>
    <row r="36" ht="15" customHeight="1" s="1883">
      <c r="A36" s="383" t="n"/>
      <c r="B36" s="133" t="inlineStr">
        <is>
          <t>√</t>
        </is>
      </c>
      <c r="C36" s="383" t="n"/>
      <c r="D36" s="390" t="inlineStr">
        <is>
          <t>●</t>
        </is>
      </c>
      <c r="E36" s="668" t="inlineStr">
        <is>
          <t>John Paris - SVP, Digital Strategy</t>
        </is>
      </c>
      <c r="F36" s="696" t="n"/>
      <c r="G36" s="696" t="n"/>
      <c r="H36" s="696" t="n"/>
      <c r="I36" s="383" t="n"/>
      <c r="J36" s="701">
        <f>'Headcount &amp; Salaries - 2'!G24</f>
        <v/>
      </c>
      <c r="K36" s="1282">
        <f>J36*1.03</f>
        <v/>
      </c>
      <c r="L36" s="1282">
        <f>K36*1.03</f>
        <v/>
      </c>
      <c r="M36" s="1282">
        <f>L36*1.03</f>
        <v/>
      </c>
      <c r="N36" s="1282">
        <f>M36*1.03</f>
        <v/>
      </c>
      <c r="O36" s="383" t="n"/>
      <c r="P36" s="384">
        <f>'Headcount &amp; Salaries - 2'!X24</f>
        <v/>
      </c>
      <c r="Q36" s="384">
        <f>'Headcount &amp; Salaries - 2'!Y24</f>
        <v/>
      </c>
      <c r="R36" s="384">
        <f>'Headcount &amp; Salaries - 2'!Z24</f>
        <v/>
      </c>
      <c r="S36" s="384">
        <f>'Headcount &amp; Salaries - 2'!AA24</f>
        <v/>
      </c>
      <c r="T36" s="384">
        <f>'Headcount &amp; Salaries - 2'!AB24</f>
        <v/>
      </c>
      <c r="U36" s="384">
        <f>'Headcount &amp; Salaries - 2'!AC24</f>
        <v/>
      </c>
      <c r="V36" s="384">
        <f>'Headcount &amp; Salaries - 2'!AD24</f>
        <v/>
      </c>
      <c r="W36" s="384">
        <f>'Headcount &amp; Salaries - 2'!AE24</f>
        <v/>
      </c>
      <c r="X36" s="384">
        <f>'Headcount &amp; Salaries - 2'!AF24</f>
        <v/>
      </c>
      <c r="Y36" s="384">
        <f>'Headcount &amp; Salaries - 2'!AG24</f>
        <v/>
      </c>
      <c r="Z36" s="384">
        <f>'Headcount &amp; Salaries - 2'!AH24</f>
        <v/>
      </c>
      <c r="AA36" s="384">
        <f>'Headcount &amp; Salaries - 2'!AI24</f>
        <v/>
      </c>
      <c r="AB36" s="542">
        <f>'Headcount &amp; Salaries - 2'!AJ24</f>
        <v/>
      </c>
      <c r="AC36" s="384">
        <f>'Headcount &amp; Salaries - 2'!AK24</f>
        <v/>
      </c>
      <c r="AD36" s="384">
        <f>'Headcount &amp; Salaries - 2'!AL24</f>
        <v/>
      </c>
      <c r="AE36" s="384">
        <f>'Headcount &amp; Salaries - 2'!AM24</f>
        <v/>
      </c>
      <c r="AF36" s="384">
        <f>'Headcount &amp; Salaries - 2'!AN24</f>
        <v/>
      </c>
      <c r="AG36" s="384">
        <f>'Headcount &amp; Salaries - 2'!AO24</f>
        <v/>
      </c>
      <c r="AH36" s="384">
        <f>'Headcount &amp; Salaries - 2'!AP24</f>
        <v/>
      </c>
      <c r="AI36" s="384">
        <f>'Headcount &amp; Salaries - 2'!AQ24</f>
        <v/>
      </c>
      <c r="AJ36" s="384">
        <f>'Headcount &amp; Salaries - 2'!AR24</f>
        <v/>
      </c>
      <c r="AK36" s="384">
        <f>'Headcount &amp; Salaries - 2'!AS24</f>
        <v/>
      </c>
      <c r="AL36" s="384">
        <f>'Headcount &amp; Salaries - 2'!AT24</f>
        <v/>
      </c>
      <c r="AM36" s="384">
        <f>'Headcount &amp; Salaries - 2'!AU24</f>
        <v/>
      </c>
      <c r="AN36" s="542">
        <f>'Headcount &amp; Salaries - 2'!AV24</f>
        <v/>
      </c>
      <c r="AO36" s="384">
        <f>'Headcount &amp; Salaries - 2'!AW24</f>
        <v/>
      </c>
      <c r="AP36" s="384">
        <f>'Headcount &amp; Salaries - 2'!AX24</f>
        <v/>
      </c>
      <c r="AQ36" s="384">
        <f>'Headcount &amp; Salaries - 2'!AY24</f>
        <v/>
      </c>
      <c r="AR36" s="384">
        <f>'Headcount &amp; Salaries - 2'!AZ24</f>
        <v/>
      </c>
      <c r="AS36" s="384">
        <f>'Headcount &amp; Salaries - 2'!BA24</f>
        <v/>
      </c>
      <c r="AT36" s="384">
        <f>'Headcount &amp; Salaries - 2'!BB24</f>
        <v/>
      </c>
      <c r="AU36" s="384">
        <f>'Headcount &amp; Salaries - 2'!BC24</f>
        <v/>
      </c>
      <c r="AV36" s="384">
        <f>'Headcount &amp; Salaries - 2'!BD24</f>
        <v/>
      </c>
      <c r="AW36" s="384">
        <f>'Headcount &amp; Salaries - 2'!BE24</f>
        <v/>
      </c>
      <c r="AX36" s="384">
        <f>'Headcount &amp; Salaries - 2'!BF24</f>
        <v/>
      </c>
      <c r="AY36" s="565">
        <f>'Headcount &amp; Salaries - 2'!BG24</f>
        <v/>
      </c>
      <c r="AZ36" s="542">
        <f>'Headcount &amp; Salaries - 2'!BH24</f>
        <v/>
      </c>
      <c r="BA36" s="384">
        <f>'Headcount &amp; Salaries - 2'!BI24</f>
        <v/>
      </c>
      <c r="BB36" s="384">
        <f>'Headcount &amp; Salaries - 2'!BJ24</f>
        <v/>
      </c>
      <c r="BC36" s="384">
        <f>'Headcount &amp; Salaries - 2'!BK24</f>
        <v/>
      </c>
      <c r="BD36" s="384">
        <f>'Headcount &amp; Salaries - 2'!BL24</f>
        <v/>
      </c>
      <c r="BE36" s="384">
        <f>'Headcount &amp; Salaries - 2'!BM24</f>
        <v/>
      </c>
      <c r="BF36" s="384">
        <f>'Headcount &amp; Salaries - 2'!BN24</f>
        <v/>
      </c>
      <c r="BG36" s="384">
        <f>'Headcount &amp; Salaries - 2'!BO24</f>
        <v/>
      </c>
      <c r="BH36" s="384">
        <f>'Headcount &amp; Salaries - 2'!BP24</f>
        <v/>
      </c>
      <c r="BI36" s="384">
        <f>'Headcount &amp; Salaries - 2'!BQ24</f>
        <v/>
      </c>
      <c r="BJ36" s="384">
        <f>'Headcount &amp; Salaries - 2'!BR24</f>
        <v/>
      </c>
      <c r="BK36" s="384">
        <f>'Headcount &amp; Salaries - 2'!BS24</f>
        <v/>
      </c>
      <c r="BL36" s="542">
        <f>'Headcount &amp; Salaries - 2'!BT24</f>
        <v/>
      </c>
      <c r="BM36" s="384">
        <f>'Headcount &amp; Salaries - 2'!BU24</f>
        <v/>
      </c>
      <c r="BN36" s="384">
        <f>'Headcount &amp; Salaries - 2'!BV24</f>
        <v/>
      </c>
      <c r="BO36" s="384">
        <f>'Headcount &amp; Salaries - 2'!BW24</f>
        <v/>
      </c>
      <c r="BP36" s="384">
        <f>'Headcount &amp; Salaries - 2'!BX24</f>
        <v/>
      </c>
      <c r="BQ36" s="384">
        <f>'Headcount &amp; Salaries - 2'!BY24</f>
        <v/>
      </c>
      <c r="BR36" s="384">
        <f>'Headcount &amp; Salaries - 2'!BZ24</f>
        <v/>
      </c>
      <c r="BS36" s="384">
        <f>'Headcount &amp; Salaries - 2'!CA24</f>
        <v/>
      </c>
      <c r="BT36" s="384">
        <f>'Headcount &amp; Salaries - 2'!CB24</f>
        <v/>
      </c>
      <c r="BU36" s="384">
        <f>'Headcount &amp; Salaries - 2'!CC24</f>
        <v/>
      </c>
      <c r="BV36" s="384">
        <f>'Headcount &amp; Salaries - 2'!CD24</f>
        <v/>
      </c>
      <c r="BW36" s="384">
        <f>'Headcount &amp; Salaries - 2'!CE24</f>
        <v/>
      </c>
      <c r="BX36" s="383" t="n"/>
      <c r="BY36" s="383" t="n"/>
      <c r="BZ36" s="383" t="n"/>
      <c r="CA36" s="383" t="n"/>
      <c r="CB36" s="383" t="n"/>
      <c r="CC36" s="383" t="n"/>
      <c r="CD36" s="383" t="n"/>
      <c r="CE36" s="383" t="n"/>
      <c r="CF36" s="383" t="n"/>
      <c r="CG36" s="383" t="n"/>
      <c r="CH36" s="383" t="n"/>
      <c r="CI36" s="383" t="n"/>
      <c r="CJ36" s="383" t="n"/>
      <c r="CK36" s="383" t="n"/>
      <c r="CL36" s="383" t="n"/>
      <c r="CM36" s="383" t="n"/>
      <c r="CN36" s="383" t="n"/>
      <c r="CO36" s="383" t="n"/>
      <c r="CP36" s="383" t="n"/>
      <c r="CQ36" s="383" t="n"/>
      <c r="CR36" s="383" t="n"/>
      <c r="CS36" s="383" t="n"/>
      <c r="CT36" s="383" t="n"/>
      <c r="CU36" s="383" t="n"/>
      <c r="CV36" s="383" t="n"/>
      <c r="CW36" s="383" t="n"/>
      <c r="CX36" s="383" t="n"/>
      <c r="CY36" s="383" t="n"/>
      <c r="CZ36" s="383" t="n"/>
      <c r="DA36" s="383" t="n"/>
      <c r="DB36" s="383" t="n"/>
      <c r="DC36" s="383" t="n"/>
      <c r="DD36" s="383" t="n"/>
      <c r="DE36" s="383" t="n"/>
      <c r="DF36" s="383" t="n"/>
      <c r="DG36" s="383" t="n"/>
      <c r="DH36" s="383" t="n"/>
      <c r="DI36" s="383" t="n"/>
      <c r="DJ36" s="383" t="n"/>
      <c r="DK36" s="383" t="n"/>
      <c r="DL36" s="383" t="n"/>
      <c r="DM36" s="383" t="n"/>
      <c r="DN36" s="383" t="n"/>
      <c r="DO36" s="383" t="n"/>
      <c r="DP36" s="383" t="n"/>
      <c r="DQ36" s="383" t="n"/>
      <c r="DR36" s="383" t="n"/>
      <c r="DS36" s="383" t="n"/>
      <c r="DT36" s="383" t="n"/>
      <c r="DU36" s="383" t="n"/>
      <c r="DV36" s="383" t="n"/>
      <c r="DW36" s="383" t="n"/>
      <c r="DX36" s="383" t="n"/>
      <c r="DY36" s="383" t="n"/>
      <c r="DZ36" s="383" t="n"/>
      <c r="EA36" s="383" t="n"/>
      <c r="EB36" s="383" t="n"/>
      <c r="EC36" s="383" t="n"/>
      <c r="ED36" s="383" t="n"/>
      <c r="EE36" s="383" t="n"/>
      <c r="EF36" s="383" t="n"/>
      <c r="EG36" s="383" t="n"/>
      <c r="EH36" s="383" t="n"/>
      <c r="EI36" s="383" t="n"/>
      <c r="EJ36" s="383" t="n"/>
      <c r="EK36" s="383" t="n"/>
      <c r="EL36" s="383" t="n"/>
      <c r="EM36" s="383" t="n"/>
      <c r="EN36" s="383" t="n"/>
      <c r="EO36" s="383" t="n"/>
      <c r="EP36" s="383" t="n"/>
      <c r="EQ36" s="383" t="n"/>
      <c r="ER36" s="383" t="n"/>
      <c r="ES36" s="383" t="n"/>
      <c r="ET36" s="383" t="n"/>
      <c r="EU36" s="383" t="n"/>
      <c r="EV36" s="383" t="n"/>
      <c r="EW36" s="383" t="n"/>
      <c r="EX36" s="383" t="n"/>
      <c r="EY36" s="383" t="n"/>
      <c r="EZ36" s="383" t="n"/>
      <c r="FA36" s="383" t="n"/>
      <c r="FB36" s="383" t="n"/>
      <c r="FC36" s="383" t="n"/>
      <c r="FD36" s="383" t="n"/>
      <c r="FE36" s="383" t="n"/>
      <c r="FF36" s="383" t="n"/>
      <c r="FG36" s="383" t="n"/>
      <c r="FH36" s="383" t="n"/>
      <c r="FI36" s="383" t="n"/>
      <c r="FJ36" s="383" t="n"/>
      <c r="FK36" s="383" t="n"/>
      <c r="FL36" s="383" t="n"/>
      <c r="FM36" s="383" t="n"/>
      <c r="FN36" s="383" t="n"/>
      <c r="FO36" s="383" t="n"/>
      <c r="FP36" s="383" t="n"/>
      <c r="FQ36" s="383" t="n"/>
      <c r="FR36" s="383" t="n"/>
      <c r="FS36" s="383" t="n"/>
      <c r="FT36" s="383" t="n"/>
      <c r="FU36" s="383" t="n"/>
      <c r="FV36" s="383" t="n"/>
      <c r="FW36" s="383" t="n"/>
      <c r="FX36" s="383" t="n"/>
      <c r="FY36" s="383" t="n"/>
      <c r="FZ36" s="383" t="n"/>
      <c r="GA36" s="383" t="n"/>
      <c r="GB36" s="383" t="n"/>
      <c r="GC36" s="383" t="n"/>
      <c r="GD36" s="383" t="n"/>
      <c r="GE36" s="383" t="n"/>
      <c r="GF36" s="383" t="n"/>
      <c r="GG36" s="383" t="n"/>
      <c r="GH36" s="383" t="n"/>
      <c r="GI36" s="383" t="n"/>
      <c r="GJ36" s="383" t="n"/>
      <c r="GK36" s="383" t="n"/>
      <c r="GL36" s="383" t="n"/>
      <c r="GM36" s="383" t="n"/>
      <c r="GN36" s="383" t="n"/>
      <c r="GO36" s="383" t="n"/>
      <c r="GP36" s="383" t="n"/>
      <c r="GQ36" s="383" t="n"/>
      <c r="GR36" s="383" t="n"/>
      <c r="GS36" s="383" t="n"/>
      <c r="GT36" s="383" t="n"/>
      <c r="GU36" s="383" t="n"/>
      <c r="GV36" s="383" t="n"/>
      <c r="GW36" s="383" t="n"/>
      <c r="GX36" s="383" t="n"/>
      <c r="GY36" s="383" t="n"/>
    </row>
    <row r="37" ht="15" customHeight="1" s="1883">
      <c r="A37" s="383" t="n"/>
      <c r="B37" s="133" t="inlineStr">
        <is>
          <t>√</t>
        </is>
      </c>
      <c r="C37" s="383" t="n"/>
      <c r="D37" s="390" t="inlineStr">
        <is>
          <t>●</t>
        </is>
      </c>
      <c r="E37" s="668" t="inlineStr">
        <is>
          <t>Rimah Harb - EVP, Strategy &amp; Innovation</t>
        </is>
      </c>
      <c r="F37" s="696" t="n"/>
      <c r="G37" s="696" t="n"/>
      <c r="H37" s="696" t="n"/>
      <c r="I37" s="383" t="n"/>
      <c r="J37" s="701" t="n">
        <v>165000</v>
      </c>
      <c r="K37" s="1282">
        <f>J37*1.03</f>
        <v/>
      </c>
      <c r="L37" s="1282">
        <f>K37*1.03</f>
        <v/>
      </c>
      <c r="M37" s="1282">
        <f>L37*1.03</f>
        <v/>
      </c>
      <c r="N37" s="1282">
        <f>M37*1.03</f>
        <v/>
      </c>
      <c r="O37" s="383" t="n"/>
      <c r="P37" s="384">
        <f>'Headcount &amp; Salaries - 2'!X25</f>
        <v/>
      </c>
      <c r="Q37" s="384">
        <f>'Headcount &amp; Salaries - 2'!Y25</f>
        <v/>
      </c>
      <c r="R37" s="384">
        <f>'Headcount &amp; Salaries - 2'!Z25</f>
        <v/>
      </c>
      <c r="S37" s="384">
        <f>'Headcount &amp; Salaries - 2'!AA25</f>
        <v/>
      </c>
      <c r="T37" s="384">
        <f>'Headcount &amp; Salaries - 2'!AB25</f>
        <v/>
      </c>
      <c r="U37" s="384">
        <f>'Headcount &amp; Salaries - 2'!AC25</f>
        <v/>
      </c>
      <c r="V37" s="384">
        <f>'Headcount &amp; Salaries - 2'!AD25</f>
        <v/>
      </c>
      <c r="W37" s="384">
        <f>'Headcount &amp; Salaries - 2'!AE25</f>
        <v/>
      </c>
      <c r="X37" s="384">
        <f>'Headcount &amp; Salaries - 2'!AF25</f>
        <v/>
      </c>
      <c r="Y37" s="384">
        <f>'Headcount &amp; Salaries - 2'!AG25</f>
        <v/>
      </c>
      <c r="Z37" s="384">
        <f>'Headcount &amp; Salaries - 2'!AH25</f>
        <v/>
      </c>
      <c r="AA37" s="384">
        <f>'Headcount &amp; Salaries - 2'!AI25</f>
        <v/>
      </c>
      <c r="AB37" s="542">
        <f>'Headcount &amp; Salaries - 2'!AJ25</f>
        <v/>
      </c>
      <c r="AC37" s="384">
        <f>'Headcount &amp; Salaries - 2'!AK25</f>
        <v/>
      </c>
      <c r="AD37" s="384">
        <f>'Headcount &amp; Salaries - 2'!AL25</f>
        <v/>
      </c>
      <c r="AE37" s="384">
        <f>'Headcount &amp; Salaries - 2'!AM25</f>
        <v/>
      </c>
      <c r="AF37" s="384">
        <f>'Headcount &amp; Salaries - 2'!AN25</f>
        <v/>
      </c>
      <c r="AG37" s="384">
        <f>'Headcount &amp; Salaries - 2'!AO25</f>
        <v/>
      </c>
      <c r="AH37" s="384">
        <f>'Headcount &amp; Salaries - 2'!AP25</f>
        <v/>
      </c>
      <c r="AI37" s="384">
        <f>'Headcount &amp; Salaries - 2'!AQ25</f>
        <v/>
      </c>
      <c r="AJ37" s="384">
        <f>'Headcount &amp; Salaries - 2'!AR25</f>
        <v/>
      </c>
      <c r="AK37" s="384">
        <f>'Headcount &amp; Salaries - 2'!AS25</f>
        <v/>
      </c>
      <c r="AL37" s="384">
        <f>'Headcount &amp; Salaries - 2'!AT25</f>
        <v/>
      </c>
      <c r="AM37" s="384">
        <f>'Headcount &amp; Salaries - 2'!AU25</f>
        <v/>
      </c>
      <c r="AN37" s="542">
        <f>'Headcount &amp; Salaries - 2'!AV25</f>
        <v/>
      </c>
      <c r="AO37" s="384">
        <f>'Headcount &amp; Salaries - 2'!AW25</f>
        <v/>
      </c>
      <c r="AP37" s="384">
        <f>'Headcount &amp; Salaries - 2'!AX25</f>
        <v/>
      </c>
      <c r="AQ37" s="384">
        <f>'Headcount &amp; Salaries - 2'!AY25</f>
        <v/>
      </c>
      <c r="AR37" s="384">
        <f>'Headcount &amp; Salaries - 2'!AZ25</f>
        <v/>
      </c>
      <c r="AS37" s="384">
        <f>'Headcount &amp; Salaries - 2'!BA25</f>
        <v/>
      </c>
      <c r="AT37" s="384">
        <f>'Headcount &amp; Salaries - 2'!BB25</f>
        <v/>
      </c>
      <c r="AU37" s="384">
        <f>'Headcount &amp; Salaries - 2'!BC25</f>
        <v/>
      </c>
      <c r="AV37" s="384">
        <f>'Headcount &amp; Salaries - 2'!BD25</f>
        <v/>
      </c>
      <c r="AW37" s="384">
        <f>'Headcount &amp; Salaries - 2'!BE25</f>
        <v/>
      </c>
      <c r="AX37" s="384">
        <f>'Headcount &amp; Salaries - 2'!BF25</f>
        <v/>
      </c>
      <c r="AY37" s="565">
        <f>'Headcount &amp; Salaries - 2'!BG25</f>
        <v/>
      </c>
      <c r="AZ37" s="542">
        <f>'Headcount &amp; Salaries - 2'!BH25</f>
        <v/>
      </c>
      <c r="BA37" s="384">
        <f>'Headcount &amp; Salaries - 2'!BI25</f>
        <v/>
      </c>
      <c r="BB37" s="384">
        <f>'Headcount &amp; Salaries - 2'!BJ25</f>
        <v/>
      </c>
      <c r="BC37" s="384">
        <f>'Headcount &amp; Salaries - 2'!BK25</f>
        <v/>
      </c>
      <c r="BD37" s="384">
        <f>'Headcount &amp; Salaries - 2'!BL25</f>
        <v/>
      </c>
      <c r="BE37" s="384">
        <f>'Headcount &amp; Salaries - 2'!BM25</f>
        <v/>
      </c>
      <c r="BF37" s="384">
        <f>'Headcount &amp; Salaries - 2'!BN25</f>
        <v/>
      </c>
      <c r="BG37" s="384">
        <f>'Headcount &amp; Salaries - 2'!BO25</f>
        <v/>
      </c>
      <c r="BH37" s="384">
        <f>'Headcount &amp; Salaries - 2'!BP25</f>
        <v/>
      </c>
      <c r="BI37" s="384">
        <f>'Headcount &amp; Salaries - 2'!BQ25</f>
        <v/>
      </c>
      <c r="BJ37" s="384">
        <f>'Headcount &amp; Salaries - 2'!BR25</f>
        <v/>
      </c>
      <c r="BK37" s="384">
        <f>'Headcount &amp; Salaries - 2'!BS25</f>
        <v/>
      </c>
      <c r="BL37" s="542">
        <f>'Headcount &amp; Salaries - 2'!BT25</f>
        <v/>
      </c>
      <c r="BM37" s="384">
        <f>'Headcount &amp; Salaries - 2'!BU25</f>
        <v/>
      </c>
      <c r="BN37" s="384">
        <f>'Headcount &amp; Salaries - 2'!BV25</f>
        <v/>
      </c>
      <c r="BO37" s="384">
        <f>'Headcount &amp; Salaries - 2'!BW25</f>
        <v/>
      </c>
      <c r="BP37" s="384">
        <f>'Headcount &amp; Salaries - 2'!BX25</f>
        <v/>
      </c>
      <c r="BQ37" s="384">
        <f>'Headcount &amp; Salaries - 2'!BY25</f>
        <v/>
      </c>
      <c r="BR37" s="384">
        <f>'Headcount &amp; Salaries - 2'!BZ25</f>
        <v/>
      </c>
      <c r="BS37" s="384">
        <f>'Headcount &amp; Salaries - 2'!CA25</f>
        <v/>
      </c>
      <c r="BT37" s="384">
        <f>'Headcount &amp; Salaries - 2'!CB25</f>
        <v/>
      </c>
      <c r="BU37" s="384">
        <f>'Headcount &amp; Salaries - 2'!CC25</f>
        <v/>
      </c>
      <c r="BV37" s="384">
        <f>'Headcount &amp; Salaries - 2'!CD25</f>
        <v/>
      </c>
      <c r="BW37" s="384">
        <f>'Headcount &amp; Salaries - 2'!CE25</f>
        <v/>
      </c>
      <c r="BX37" s="383" t="n"/>
      <c r="BY37" s="383" t="n"/>
      <c r="BZ37" s="383" t="n"/>
      <c r="CA37" s="383" t="n"/>
      <c r="CB37" s="383" t="n"/>
      <c r="CC37" s="383" t="n"/>
      <c r="CD37" s="383" t="n"/>
      <c r="CE37" s="383" t="n"/>
      <c r="CF37" s="383" t="n"/>
      <c r="CG37" s="383" t="n"/>
      <c r="CH37" s="383" t="n"/>
      <c r="CI37" s="383" t="n"/>
      <c r="CJ37" s="383" t="n"/>
      <c r="CK37" s="383" t="n"/>
      <c r="CL37" s="383" t="n"/>
      <c r="CM37" s="383" t="n"/>
      <c r="CN37" s="383" t="n"/>
      <c r="CO37" s="383" t="n"/>
      <c r="CP37" s="383" t="n"/>
      <c r="CQ37" s="383" t="n"/>
      <c r="CR37" s="383" t="n"/>
      <c r="CS37" s="383" t="n"/>
      <c r="CT37" s="383" t="n"/>
      <c r="CU37" s="383" t="n"/>
      <c r="CV37" s="383" t="n"/>
      <c r="CW37" s="383" t="n"/>
      <c r="CX37" s="383" t="n"/>
      <c r="CY37" s="383" t="n"/>
      <c r="CZ37" s="383" t="n"/>
      <c r="DA37" s="383" t="n"/>
      <c r="DB37" s="383" t="n"/>
      <c r="DC37" s="383" t="n"/>
      <c r="DD37" s="383" t="n"/>
      <c r="DE37" s="383" t="n"/>
      <c r="DF37" s="383" t="n"/>
      <c r="DG37" s="383" t="n"/>
      <c r="DH37" s="383" t="n"/>
      <c r="DI37" s="383" t="n"/>
      <c r="DJ37" s="383" t="n"/>
      <c r="DK37" s="383" t="n"/>
      <c r="DL37" s="383" t="n"/>
      <c r="DM37" s="383" t="n"/>
      <c r="DN37" s="383" t="n"/>
      <c r="DO37" s="383" t="n"/>
      <c r="DP37" s="383" t="n"/>
      <c r="DQ37" s="383" t="n"/>
      <c r="DR37" s="383" t="n"/>
      <c r="DS37" s="383" t="n"/>
      <c r="DT37" s="383" t="n"/>
      <c r="DU37" s="383" t="n"/>
      <c r="DV37" s="383" t="n"/>
      <c r="DW37" s="383" t="n"/>
      <c r="DX37" s="383" t="n"/>
      <c r="DY37" s="383" t="n"/>
      <c r="DZ37" s="383" t="n"/>
      <c r="EA37" s="383" t="n"/>
      <c r="EB37" s="383" t="n"/>
      <c r="EC37" s="383" t="n"/>
      <c r="ED37" s="383" t="n"/>
      <c r="EE37" s="383" t="n"/>
      <c r="EF37" s="383" t="n"/>
      <c r="EG37" s="383" t="n"/>
      <c r="EH37" s="383" t="n"/>
      <c r="EI37" s="383" t="n"/>
      <c r="EJ37" s="383" t="n"/>
      <c r="EK37" s="383" t="n"/>
      <c r="EL37" s="383" t="n"/>
      <c r="EM37" s="383" t="n"/>
      <c r="EN37" s="383" t="n"/>
      <c r="EO37" s="383" t="n"/>
      <c r="EP37" s="383" t="n"/>
      <c r="EQ37" s="383" t="n"/>
      <c r="ER37" s="383" t="n"/>
      <c r="ES37" s="383" t="n"/>
      <c r="ET37" s="383" t="n"/>
      <c r="EU37" s="383" t="n"/>
      <c r="EV37" s="383" t="n"/>
      <c r="EW37" s="383" t="n"/>
      <c r="EX37" s="383" t="n"/>
      <c r="EY37" s="383" t="n"/>
      <c r="EZ37" s="383" t="n"/>
      <c r="FA37" s="383" t="n"/>
      <c r="FB37" s="383" t="n"/>
      <c r="FC37" s="383" t="n"/>
      <c r="FD37" s="383" t="n"/>
      <c r="FE37" s="383" t="n"/>
      <c r="FF37" s="383" t="n"/>
      <c r="FG37" s="383" t="n"/>
      <c r="FH37" s="383" t="n"/>
      <c r="FI37" s="383" t="n"/>
      <c r="FJ37" s="383" t="n"/>
      <c r="FK37" s="383" t="n"/>
      <c r="FL37" s="383" t="n"/>
      <c r="FM37" s="383" t="n"/>
      <c r="FN37" s="383" t="n"/>
      <c r="FO37" s="383" t="n"/>
      <c r="FP37" s="383" t="n"/>
      <c r="FQ37" s="383" t="n"/>
      <c r="FR37" s="383" t="n"/>
      <c r="FS37" s="383" t="n"/>
      <c r="FT37" s="383" t="n"/>
      <c r="FU37" s="383" t="n"/>
      <c r="FV37" s="383" t="n"/>
      <c r="FW37" s="383" t="n"/>
      <c r="FX37" s="383" t="n"/>
      <c r="FY37" s="383" t="n"/>
      <c r="FZ37" s="383" t="n"/>
      <c r="GA37" s="383" t="n"/>
      <c r="GB37" s="383" t="n"/>
      <c r="GC37" s="383" t="n"/>
      <c r="GD37" s="383" t="n"/>
      <c r="GE37" s="383" t="n"/>
      <c r="GF37" s="383" t="n"/>
      <c r="GG37" s="383" t="n"/>
      <c r="GH37" s="383" t="n"/>
      <c r="GI37" s="383" t="n"/>
      <c r="GJ37" s="383" t="n"/>
      <c r="GK37" s="383" t="n"/>
      <c r="GL37" s="383" t="n"/>
      <c r="GM37" s="383" t="n"/>
      <c r="GN37" s="383" t="n"/>
      <c r="GO37" s="383" t="n"/>
      <c r="GP37" s="383" t="n"/>
      <c r="GQ37" s="383" t="n"/>
      <c r="GR37" s="383" t="n"/>
      <c r="GS37" s="383" t="n"/>
      <c r="GT37" s="383" t="n"/>
      <c r="GU37" s="383" t="n"/>
      <c r="GV37" s="383" t="n"/>
      <c r="GW37" s="383" t="n"/>
      <c r="GX37" s="383" t="n"/>
      <c r="GY37" s="383" t="n"/>
    </row>
    <row r="38" ht="15" customHeight="1" s="1883">
      <c r="A38" s="383" t="n"/>
      <c r="B38" s="133" t="inlineStr">
        <is>
          <t>√</t>
        </is>
      </c>
      <c r="C38" s="383" t="n"/>
      <c r="D38" s="390" t="inlineStr">
        <is>
          <t>●</t>
        </is>
      </c>
      <c r="E38" s="668" t="inlineStr">
        <is>
          <t>Ahsen Awan - Technical Director</t>
        </is>
      </c>
      <c r="F38" s="696" t="n"/>
      <c r="G38" s="696" t="n"/>
      <c r="H38" s="696" t="n"/>
      <c r="I38" s="383" t="n"/>
      <c r="J38" s="701" t="n">
        <v>70000</v>
      </c>
      <c r="K38" s="1282">
        <f>J38*1.03</f>
        <v/>
      </c>
      <c r="L38" s="1282">
        <f>K38*1.03</f>
        <v/>
      </c>
      <c r="M38" s="1282">
        <f>L38*1.03</f>
        <v/>
      </c>
      <c r="N38" s="1282">
        <f>M38*1.03</f>
        <v/>
      </c>
      <c r="O38" s="383" t="n"/>
      <c r="P38" s="384">
        <f>'Headcount &amp; Salaries - 2'!X26</f>
        <v/>
      </c>
      <c r="Q38" s="384">
        <f>'Headcount &amp; Salaries - 2'!Y26</f>
        <v/>
      </c>
      <c r="R38" s="384">
        <f>'Headcount &amp; Salaries - 2'!Z26</f>
        <v/>
      </c>
      <c r="S38" s="384">
        <f>'Headcount &amp; Salaries - 2'!AA26</f>
        <v/>
      </c>
      <c r="T38" s="384">
        <f>'Headcount &amp; Salaries - 2'!AB26</f>
        <v/>
      </c>
      <c r="U38" s="384">
        <f>'Headcount &amp; Salaries - 2'!AC26</f>
        <v/>
      </c>
      <c r="V38" s="384">
        <f>'Headcount &amp; Salaries - 2'!AD26</f>
        <v/>
      </c>
      <c r="W38" s="384">
        <f>'Headcount &amp; Salaries - 2'!AE26</f>
        <v/>
      </c>
      <c r="X38" s="384">
        <f>'Headcount &amp; Salaries - 2'!AF26</f>
        <v/>
      </c>
      <c r="Y38" s="384">
        <f>'Headcount &amp; Salaries - 2'!AG26</f>
        <v/>
      </c>
      <c r="Z38" s="384">
        <f>'Headcount &amp; Salaries - 2'!AH26</f>
        <v/>
      </c>
      <c r="AA38" s="384">
        <f>'Headcount &amp; Salaries - 2'!AI26</f>
        <v/>
      </c>
      <c r="AB38" s="542">
        <f>'Headcount &amp; Salaries - 2'!AJ26</f>
        <v/>
      </c>
      <c r="AC38" s="384">
        <f>'Headcount &amp; Salaries - 2'!AK26</f>
        <v/>
      </c>
      <c r="AD38" s="384">
        <f>'Headcount &amp; Salaries - 2'!AL26</f>
        <v/>
      </c>
      <c r="AE38" s="384">
        <f>'Headcount &amp; Salaries - 2'!AM26</f>
        <v/>
      </c>
      <c r="AF38" s="384">
        <f>'Headcount &amp; Salaries - 2'!AN26</f>
        <v/>
      </c>
      <c r="AG38" s="384">
        <f>'Headcount &amp; Salaries - 2'!AO26</f>
        <v/>
      </c>
      <c r="AH38" s="384">
        <f>'Headcount &amp; Salaries - 2'!AP26</f>
        <v/>
      </c>
      <c r="AI38" s="384">
        <f>'Headcount &amp; Salaries - 2'!AQ26</f>
        <v/>
      </c>
      <c r="AJ38" s="384">
        <f>'Headcount &amp; Salaries - 2'!AR26</f>
        <v/>
      </c>
      <c r="AK38" s="384">
        <f>'Headcount &amp; Salaries - 2'!AS26</f>
        <v/>
      </c>
      <c r="AL38" s="384">
        <f>'Headcount &amp; Salaries - 2'!AT26</f>
        <v/>
      </c>
      <c r="AM38" s="384">
        <f>'Headcount &amp; Salaries - 2'!AU26</f>
        <v/>
      </c>
      <c r="AN38" s="542">
        <f>'Headcount &amp; Salaries - 2'!AV26</f>
        <v/>
      </c>
      <c r="AO38" s="384">
        <f>'Headcount &amp; Salaries - 2'!AW26</f>
        <v/>
      </c>
      <c r="AP38" s="384">
        <f>'Headcount &amp; Salaries - 2'!AX26</f>
        <v/>
      </c>
      <c r="AQ38" s="384">
        <f>'Headcount &amp; Salaries - 2'!AY26</f>
        <v/>
      </c>
      <c r="AR38" s="384">
        <f>'Headcount &amp; Salaries - 2'!AZ26</f>
        <v/>
      </c>
      <c r="AS38" s="384">
        <f>'Headcount &amp; Salaries - 2'!BA26</f>
        <v/>
      </c>
      <c r="AT38" s="384">
        <f>'Headcount &amp; Salaries - 2'!BB26</f>
        <v/>
      </c>
      <c r="AU38" s="384">
        <f>'Headcount &amp; Salaries - 2'!BC26</f>
        <v/>
      </c>
      <c r="AV38" s="384">
        <f>'Headcount &amp; Salaries - 2'!BD26</f>
        <v/>
      </c>
      <c r="AW38" s="384">
        <f>'Headcount &amp; Salaries - 2'!BE26</f>
        <v/>
      </c>
      <c r="AX38" s="384">
        <f>'Headcount &amp; Salaries - 2'!BF26</f>
        <v/>
      </c>
      <c r="AY38" s="565">
        <f>'Headcount &amp; Salaries - 2'!BG26</f>
        <v/>
      </c>
      <c r="AZ38" s="542">
        <f>'Headcount &amp; Salaries - 2'!BH26</f>
        <v/>
      </c>
      <c r="BA38" s="384">
        <f>'Headcount &amp; Salaries - 2'!BI26</f>
        <v/>
      </c>
      <c r="BB38" s="384">
        <f>'Headcount &amp; Salaries - 2'!BJ26</f>
        <v/>
      </c>
      <c r="BC38" s="384">
        <f>'Headcount &amp; Salaries - 2'!BK26</f>
        <v/>
      </c>
      <c r="BD38" s="384">
        <f>'Headcount &amp; Salaries - 2'!BL26</f>
        <v/>
      </c>
      <c r="BE38" s="384">
        <f>'Headcount &amp; Salaries - 2'!BM26</f>
        <v/>
      </c>
      <c r="BF38" s="384">
        <f>'Headcount &amp; Salaries - 2'!BN26</f>
        <v/>
      </c>
      <c r="BG38" s="384">
        <f>'Headcount &amp; Salaries - 2'!BO26</f>
        <v/>
      </c>
      <c r="BH38" s="384">
        <f>'Headcount &amp; Salaries - 2'!BP26</f>
        <v/>
      </c>
      <c r="BI38" s="384">
        <f>'Headcount &amp; Salaries - 2'!BQ26</f>
        <v/>
      </c>
      <c r="BJ38" s="384">
        <f>'Headcount &amp; Salaries - 2'!BR26</f>
        <v/>
      </c>
      <c r="BK38" s="384">
        <f>'Headcount &amp; Salaries - 2'!BS26</f>
        <v/>
      </c>
      <c r="BL38" s="542">
        <f>'Headcount &amp; Salaries - 2'!BT26</f>
        <v/>
      </c>
      <c r="BM38" s="384">
        <f>'Headcount &amp; Salaries - 2'!BU26</f>
        <v/>
      </c>
      <c r="BN38" s="384">
        <f>'Headcount &amp; Salaries - 2'!BV26</f>
        <v/>
      </c>
      <c r="BO38" s="384">
        <f>'Headcount &amp; Salaries - 2'!BW26</f>
        <v/>
      </c>
      <c r="BP38" s="384">
        <f>'Headcount &amp; Salaries - 2'!BX26</f>
        <v/>
      </c>
      <c r="BQ38" s="384">
        <f>'Headcount &amp; Salaries - 2'!BY26</f>
        <v/>
      </c>
      <c r="BR38" s="384">
        <f>'Headcount &amp; Salaries - 2'!BZ26</f>
        <v/>
      </c>
      <c r="BS38" s="384">
        <f>'Headcount &amp; Salaries - 2'!CA26</f>
        <v/>
      </c>
      <c r="BT38" s="384">
        <f>'Headcount &amp; Salaries - 2'!CB26</f>
        <v/>
      </c>
      <c r="BU38" s="384">
        <f>'Headcount &amp; Salaries - 2'!CC26</f>
        <v/>
      </c>
      <c r="BV38" s="384">
        <f>'Headcount &amp; Salaries - 2'!CD26</f>
        <v/>
      </c>
      <c r="BW38" s="384">
        <f>'Headcount &amp; Salaries - 2'!CE26</f>
        <v/>
      </c>
      <c r="BX38" s="383" t="n"/>
      <c r="BY38" s="383" t="n"/>
      <c r="BZ38" s="383" t="n"/>
      <c r="CA38" s="383" t="n"/>
      <c r="CB38" s="383" t="n"/>
      <c r="CC38" s="383" t="n"/>
      <c r="CD38" s="383" t="n"/>
      <c r="CE38" s="383" t="n"/>
      <c r="CF38" s="383" t="n"/>
      <c r="CG38" s="383" t="n"/>
      <c r="CH38" s="383" t="n"/>
      <c r="CI38" s="383" t="n"/>
      <c r="CJ38" s="383" t="n"/>
      <c r="CK38" s="383" t="n"/>
      <c r="CL38" s="383" t="n"/>
      <c r="CM38" s="383" t="n"/>
      <c r="CN38" s="383" t="n"/>
      <c r="CO38" s="383" t="n"/>
      <c r="CP38" s="383" t="n"/>
      <c r="CQ38" s="383" t="n"/>
      <c r="CR38" s="383" t="n"/>
      <c r="CS38" s="383" t="n"/>
      <c r="CT38" s="383" t="n"/>
      <c r="CU38" s="383" t="n"/>
      <c r="CV38" s="383" t="n"/>
      <c r="CW38" s="383" t="n"/>
      <c r="CX38" s="383" t="n"/>
      <c r="CY38" s="383" t="n"/>
      <c r="CZ38" s="383" t="n"/>
      <c r="DA38" s="383" t="n"/>
      <c r="DB38" s="383" t="n"/>
      <c r="DC38" s="383" t="n"/>
      <c r="DD38" s="383" t="n"/>
      <c r="DE38" s="383" t="n"/>
      <c r="DF38" s="383" t="n"/>
      <c r="DG38" s="383" t="n"/>
      <c r="DH38" s="383" t="n"/>
      <c r="DI38" s="383" t="n"/>
      <c r="DJ38" s="383" t="n"/>
      <c r="DK38" s="383" t="n"/>
      <c r="DL38" s="383" t="n"/>
      <c r="DM38" s="383" t="n"/>
      <c r="DN38" s="383" t="n"/>
      <c r="DO38" s="383" t="n"/>
      <c r="DP38" s="383" t="n"/>
      <c r="DQ38" s="383" t="n"/>
      <c r="DR38" s="383" t="n"/>
      <c r="DS38" s="383" t="n"/>
      <c r="DT38" s="383" t="n"/>
      <c r="DU38" s="383" t="n"/>
      <c r="DV38" s="383" t="n"/>
      <c r="DW38" s="383" t="n"/>
      <c r="DX38" s="383" t="n"/>
      <c r="DY38" s="383" t="n"/>
      <c r="DZ38" s="383" t="n"/>
      <c r="EA38" s="383" t="n"/>
      <c r="EB38" s="383" t="n"/>
      <c r="EC38" s="383" t="n"/>
      <c r="ED38" s="383" t="n"/>
      <c r="EE38" s="383" t="n"/>
      <c r="EF38" s="383" t="n"/>
      <c r="EG38" s="383" t="n"/>
      <c r="EH38" s="383" t="n"/>
      <c r="EI38" s="383" t="n"/>
      <c r="EJ38" s="383" t="n"/>
      <c r="EK38" s="383" t="n"/>
      <c r="EL38" s="383" t="n"/>
      <c r="EM38" s="383" t="n"/>
      <c r="EN38" s="383" t="n"/>
      <c r="EO38" s="383" t="n"/>
      <c r="EP38" s="383" t="n"/>
      <c r="EQ38" s="383" t="n"/>
      <c r="ER38" s="383" t="n"/>
      <c r="ES38" s="383" t="n"/>
      <c r="ET38" s="383" t="n"/>
      <c r="EU38" s="383" t="n"/>
      <c r="EV38" s="383" t="n"/>
      <c r="EW38" s="383" t="n"/>
      <c r="EX38" s="383" t="n"/>
      <c r="EY38" s="383" t="n"/>
      <c r="EZ38" s="383" t="n"/>
      <c r="FA38" s="383" t="n"/>
      <c r="FB38" s="383" t="n"/>
      <c r="FC38" s="383" t="n"/>
      <c r="FD38" s="383" t="n"/>
      <c r="FE38" s="383" t="n"/>
      <c r="FF38" s="383" t="n"/>
      <c r="FG38" s="383" t="n"/>
      <c r="FH38" s="383" t="n"/>
      <c r="FI38" s="383" t="n"/>
      <c r="FJ38" s="383" t="n"/>
      <c r="FK38" s="383" t="n"/>
      <c r="FL38" s="383" t="n"/>
      <c r="FM38" s="383" t="n"/>
      <c r="FN38" s="383" t="n"/>
      <c r="FO38" s="383" t="n"/>
      <c r="FP38" s="383" t="n"/>
      <c r="FQ38" s="383" t="n"/>
      <c r="FR38" s="383" t="n"/>
      <c r="FS38" s="383" t="n"/>
      <c r="FT38" s="383" t="n"/>
      <c r="FU38" s="383" t="n"/>
      <c r="FV38" s="383" t="n"/>
      <c r="FW38" s="383" t="n"/>
      <c r="FX38" s="383" t="n"/>
      <c r="FY38" s="383" t="n"/>
      <c r="FZ38" s="383" t="n"/>
      <c r="GA38" s="383" t="n"/>
      <c r="GB38" s="383" t="n"/>
      <c r="GC38" s="383" t="n"/>
      <c r="GD38" s="383" t="n"/>
      <c r="GE38" s="383" t="n"/>
      <c r="GF38" s="383" t="n"/>
      <c r="GG38" s="383" t="n"/>
      <c r="GH38" s="383" t="n"/>
      <c r="GI38" s="383" t="n"/>
      <c r="GJ38" s="383" t="n"/>
      <c r="GK38" s="383" t="n"/>
      <c r="GL38" s="383" t="n"/>
      <c r="GM38" s="383" t="n"/>
      <c r="GN38" s="383" t="n"/>
      <c r="GO38" s="383" t="n"/>
      <c r="GP38" s="383" t="n"/>
      <c r="GQ38" s="383" t="n"/>
      <c r="GR38" s="383" t="n"/>
      <c r="GS38" s="383" t="n"/>
      <c r="GT38" s="383" t="n"/>
      <c r="GU38" s="383" t="n"/>
      <c r="GV38" s="383" t="n"/>
      <c r="GW38" s="383" t="n"/>
      <c r="GX38" s="383" t="n"/>
      <c r="GY38" s="383" t="n"/>
    </row>
    <row r="39" ht="15" customHeight="1" s="1883">
      <c r="A39" s="383" t="n"/>
      <c r="B39" s="133" t="inlineStr">
        <is>
          <t>√</t>
        </is>
      </c>
      <c r="C39" s="383" t="n"/>
      <c r="D39" s="390" t="inlineStr">
        <is>
          <t>●</t>
        </is>
      </c>
      <c r="E39" s="668" t="inlineStr">
        <is>
          <t>Zafeer Hassan - Manager, Commercial Operations</t>
        </is>
      </c>
      <c r="F39" s="696" t="n"/>
      <c r="G39" s="696" t="n"/>
      <c r="H39" s="696" t="n"/>
      <c r="I39" s="383" t="n"/>
      <c r="J39" s="701" t="n">
        <v>40000</v>
      </c>
      <c r="K39" s="1282">
        <f>J39*1.03</f>
        <v/>
      </c>
      <c r="L39" s="1282">
        <f>K39*1.03</f>
        <v/>
      </c>
      <c r="M39" s="1282">
        <f>L39*1.03</f>
        <v/>
      </c>
      <c r="N39" s="1282">
        <f>M39*1.03</f>
        <v/>
      </c>
      <c r="O39" s="383" t="n"/>
      <c r="P39" s="384" t="n">
        <v>1</v>
      </c>
      <c r="Q39" s="384" t="n">
        <v>1</v>
      </c>
      <c r="R39" s="384" t="n">
        <v>1</v>
      </c>
      <c r="S39" s="384" t="n">
        <v>1</v>
      </c>
      <c r="T39" s="384" t="n">
        <v>1</v>
      </c>
      <c r="U39" s="384" t="n">
        <v>1</v>
      </c>
      <c r="V39" s="384" t="n">
        <v>1</v>
      </c>
      <c r="W39" s="384" t="n">
        <v>1</v>
      </c>
      <c r="X39" s="384" t="n">
        <v>1</v>
      </c>
      <c r="Y39" s="384" t="n">
        <v>1</v>
      </c>
      <c r="Z39" s="384" t="n">
        <v>1</v>
      </c>
      <c r="AA39" s="384" t="n">
        <v>1</v>
      </c>
      <c r="AB39" s="542">
        <f>'Headcount &amp; Salaries - 2'!AJ27</f>
        <v/>
      </c>
      <c r="AC39" s="384">
        <f>'Headcount &amp; Salaries - 2'!AK27</f>
        <v/>
      </c>
      <c r="AD39" s="384">
        <f>'Headcount &amp; Salaries - 2'!AL27</f>
        <v/>
      </c>
      <c r="AE39" s="384">
        <f>'Headcount &amp; Salaries - 2'!AM27</f>
        <v/>
      </c>
      <c r="AF39" s="384">
        <f>'Headcount &amp; Salaries - 2'!AN27</f>
        <v/>
      </c>
      <c r="AG39" s="384">
        <f>'Headcount &amp; Salaries - 2'!AO27</f>
        <v/>
      </c>
      <c r="AH39" s="384">
        <f>'Headcount &amp; Salaries - 2'!AP27</f>
        <v/>
      </c>
      <c r="AI39" s="384">
        <f>'Headcount &amp; Salaries - 2'!AQ27</f>
        <v/>
      </c>
      <c r="AJ39" s="384">
        <f>'Headcount &amp; Salaries - 2'!AR27</f>
        <v/>
      </c>
      <c r="AK39" s="384">
        <f>'Headcount &amp; Salaries - 2'!AS27</f>
        <v/>
      </c>
      <c r="AL39" s="384">
        <f>'Headcount &amp; Salaries - 2'!AT27</f>
        <v/>
      </c>
      <c r="AM39" s="384">
        <f>'Headcount &amp; Salaries - 2'!AU27</f>
        <v/>
      </c>
      <c r="AN39" s="542">
        <f>'Headcount &amp; Salaries - 2'!AV27</f>
        <v/>
      </c>
      <c r="AO39" s="384">
        <f>'Headcount &amp; Salaries - 2'!AW27</f>
        <v/>
      </c>
      <c r="AP39" s="384">
        <f>'Headcount &amp; Salaries - 2'!AX27</f>
        <v/>
      </c>
      <c r="AQ39" s="384">
        <f>'Headcount &amp; Salaries - 2'!AY27</f>
        <v/>
      </c>
      <c r="AR39" s="384">
        <f>'Headcount &amp; Salaries - 2'!AZ27</f>
        <v/>
      </c>
      <c r="AS39" s="384">
        <f>'Headcount &amp; Salaries - 2'!BA27</f>
        <v/>
      </c>
      <c r="AT39" s="384">
        <f>'Headcount &amp; Salaries - 2'!BB27</f>
        <v/>
      </c>
      <c r="AU39" s="384">
        <f>'Headcount &amp; Salaries - 2'!BC27</f>
        <v/>
      </c>
      <c r="AV39" s="384">
        <f>'Headcount &amp; Salaries - 2'!BD27</f>
        <v/>
      </c>
      <c r="AW39" s="384">
        <f>'Headcount &amp; Salaries - 2'!BE27</f>
        <v/>
      </c>
      <c r="AX39" s="384">
        <f>'Headcount &amp; Salaries - 2'!BF27</f>
        <v/>
      </c>
      <c r="AY39" s="565">
        <f>'Headcount &amp; Salaries - 2'!BG27</f>
        <v/>
      </c>
      <c r="AZ39" s="542">
        <f>'Headcount &amp; Salaries - 2'!BH27</f>
        <v/>
      </c>
      <c r="BA39" s="384">
        <f>'Headcount &amp; Salaries - 2'!BI27</f>
        <v/>
      </c>
      <c r="BB39" s="384">
        <f>'Headcount &amp; Salaries - 2'!BJ27</f>
        <v/>
      </c>
      <c r="BC39" s="384">
        <f>'Headcount &amp; Salaries - 2'!BK27</f>
        <v/>
      </c>
      <c r="BD39" s="384">
        <f>'Headcount &amp; Salaries - 2'!BL27</f>
        <v/>
      </c>
      <c r="BE39" s="384">
        <f>'Headcount &amp; Salaries - 2'!BM27</f>
        <v/>
      </c>
      <c r="BF39" s="384">
        <f>'Headcount &amp; Salaries - 2'!BN27</f>
        <v/>
      </c>
      <c r="BG39" s="384">
        <f>'Headcount &amp; Salaries - 2'!BO27</f>
        <v/>
      </c>
      <c r="BH39" s="384">
        <f>'Headcount &amp; Salaries - 2'!BP27</f>
        <v/>
      </c>
      <c r="BI39" s="384">
        <f>'Headcount &amp; Salaries - 2'!BQ27</f>
        <v/>
      </c>
      <c r="BJ39" s="384">
        <f>'Headcount &amp; Salaries - 2'!BR27</f>
        <v/>
      </c>
      <c r="BK39" s="384">
        <f>'Headcount &amp; Salaries - 2'!BS27</f>
        <v/>
      </c>
      <c r="BL39" s="542">
        <f>'Headcount &amp; Salaries - 2'!BT27</f>
        <v/>
      </c>
      <c r="BM39" s="384">
        <f>'Headcount &amp; Salaries - 2'!BU27</f>
        <v/>
      </c>
      <c r="BN39" s="384">
        <f>'Headcount &amp; Salaries - 2'!BV27</f>
        <v/>
      </c>
      <c r="BO39" s="384">
        <f>'Headcount &amp; Salaries - 2'!BW27</f>
        <v/>
      </c>
      <c r="BP39" s="384">
        <f>'Headcount &amp; Salaries - 2'!BX27</f>
        <v/>
      </c>
      <c r="BQ39" s="384">
        <f>'Headcount &amp; Salaries - 2'!BY27</f>
        <v/>
      </c>
      <c r="BR39" s="384">
        <f>'Headcount &amp; Salaries - 2'!BZ27</f>
        <v/>
      </c>
      <c r="BS39" s="384">
        <f>'Headcount &amp; Salaries - 2'!CA27</f>
        <v/>
      </c>
      <c r="BT39" s="384">
        <f>'Headcount &amp; Salaries - 2'!CB27</f>
        <v/>
      </c>
      <c r="BU39" s="384">
        <f>'Headcount &amp; Salaries - 2'!CC27</f>
        <v/>
      </c>
      <c r="BV39" s="384">
        <f>'Headcount &amp; Salaries - 2'!CD27</f>
        <v/>
      </c>
      <c r="BW39" s="384">
        <f>'Headcount &amp; Salaries - 2'!CE27</f>
        <v/>
      </c>
      <c r="BX39" s="383" t="n"/>
      <c r="BY39" s="383" t="n"/>
      <c r="BZ39" s="383" t="n"/>
      <c r="CA39" s="383" t="n"/>
      <c r="CB39" s="383" t="n"/>
      <c r="CC39" s="383" t="n"/>
      <c r="CD39" s="383" t="n"/>
      <c r="CE39" s="383" t="n"/>
      <c r="CF39" s="383" t="n"/>
      <c r="CG39" s="383" t="n"/>
      <c r="CH39" s="383" t="n"/>
      <c r="CI39" s="383" t="n"/>
      <c r="CJ39" s="383" t="n"/>
      <c r="CK39" s="383" t="n"/>
      <c r="CL39" s="383" t="n"/>
      <c r="CM39" s="383" t="n"/>
      <c r="CN39" s="383" t="n"/>
      <c r="CO39" s="383" t="n"/>
      <c r="CP39" s="383" t="n"/>
      <c r="CQ39" s="383" t="n"/>
      <c r="CR39" s="383" t="n"/>
      <c r="CS39" s="383" t="n"/>
      <c r="CT39" s="383" t="n"/>
      <c r="CU39" s="383" t="n"/>
      <c r="CV39" s="383" t="n"/>
      <c r="CW39" s="383" t="n"/>
      <c r="CX39" s="383" t="n"/>
      <c r="CY39" s="383" t="n"/>
      <c r="CZ39" s="383" t="n"/>
      <c r="DA39" s="383" t="n"/>
      <c r="DB39" s="383" t="n"/>
      <c r="DC39" s="383" t="n"/>
      <c r="DD39" s="383" t="n"/>
      <c r="DE39" s="383" t="n"/>
      <c r="DF39" s="383" t="n"/>
      <c r="DG39" s="383" t="n"/>
      <c r="DH39" s="383" t="n"/>
      <c r="DI39" s="383" t="n"/>
      <c r="DJ39" s="383" t="n"/>
      <c r="DK39" s="383" t="n"/>
      <c r="DL39" s="383" t="n"/>
      <c r="DM39" s="383" t="n"/>
      <c r="DN39" s="383" t="n"/>
      <c r="DO39" s="383" t="n"/>
      <c r="DP39" s="383" t="n"/>
      <c r="DQ39" s="383" t="n"/>
      <c r="DR39" s="383" t="n"/>
      <c r="DS39" s="383" t="n"/>
      <c r="DT39" s="383" t="n"/>
      <c r="DU39" s="383" t="n"/>
      <c r="DV39" s="383" t="n"/>
      <c r="DW39" s="383" t="n"/>
      <c r="DX39" s="383" t="n"/>
      <c r="DY39" s="383" t="n"/>
      <c r="DZ39" s="383" t="n"/>
      <c r="EA39" s="383" t="n"/>
      <c r="EB39" s="383" t="n"/>
      <c r="EC39" s="383" t="n"/>
      <c r="ED39" s="383" t="n"/>
      <c r="EE39" s="383" t="n"/>
      <c r="EF39" s="383" t="n"/>
      <c r="EG39" s="383" t="n"/>
      <c r="EH39" s="383" t="n"/>
      <c r="EI39" s="383" t="n"/>
      <c r="EJ39" s="383" t="n"/>
      <c r="EK39" s="383" t="n"/>
      <c r="EL39" s="383" t="n"/>
      <c r="EM39" s="383" t="n"/>
      <c r="EN39" s="383" t="n"/>
      <c r="EO39" s="383" t="n"/>
      <c r="EP39" s="383" t="n"/>
      <c r="EQ39" s="383" t="n"/>
      <c r="ER39" s="383" t="n"/>
      <c r="ES39" s="383" t="n"/>
      <c r="ET39" s="383" t="n"/>
      <c r="EU39" s="383" t="n"/>
      <c r="EV39" s="383" t="n"/>
      <c r="EW39" s="383" t="n"/>
      <c r="EX39" s="383" t="n"/>
      <c r="EY39" s="383" t="n"/>
      <c r="EZ39" s="383" t="n"/>
      <c r="FA39" s="383" t="n"/>
      <c r="FB39" s="383" t="n"/>
      <c r="FC39" s="383" t="n"/>
      <c r="FD39" s="383" t="n"/>
      <c r="FE39" s="383" t="n"/>
      <c r="FF39" s="383" t="n"/>
      <c r="FG39" s="383" t="n"/>
      <c r="FH39" s="383" t="n"/>
      <c r="FI39" s="383" t="n"/>
      <c r="FJ39" s="383" t="n"/>
      <c r="FK39" s="383" t="n"/>
      <c r="FL39" s="383" t="n"/>
      <c r="FM39" s="383" t="n"/>
      <c r="FN39" s="383" t="n"/>
      <c r="FO39" s="383" t="n"/>
      <c r="FP39" s="383" t="n"/>
      <c r="FQ39" s="383" t="n"/>
      <c r="FR39" s="383" t="n"/>
      <c r="FS39" s="383" t="n"/>
      <c r="FT39" s="383" t="n"/>
      <c r="FU39" s="383" t="n"/>
      <c r="FV39" s="383" t="n"/>
      <c r="FW39" s="383" t="n"/>
      <c r="FX39" s="383" t="n"/>
      <c r="FY39" s="383" t="n"/>
      <c r="FZ39" s="383" t="n"/>
      <c r="GA39" s="383" t="n"/>
      <c r="GB39" s="383" t="n"/>
      <c r="GC39" s="383" t="n"/>
      <c r="GD39" s="383" t="n"/>
      <c r="GE39" s="383" t="n"/>
      <c r="GF39" s="383" t="n"/>
      <c r="GG39" s="383" t="n"/>
      <c r="GH39" s="383" t="n"/>
      <c r="GI39" s="383" t="n"/>
      <c r="GJ39" s="383" t="n"/>
      <c r="GK39" s="383" t="n"/>
      <c r="GL39" s="383" t="n"/>
      <c r="GM39" s="383" t="n"/>
      <c r="GN39" s="383" t="n"/>
      <c r="GO39" s="383" t="n"/>
      <c r="GP39" s="383" t="n"/>
      <c r="GQ39" s="383" t="n"/>
      <c r="GR39" s="383" t="n"/>
      <c r="GS39" s="383" t="n"/>
      <c r="GT39" s="383" t="n"/>
      <c r="GU39" s="383" t="n"/>
      <c r="GV39" s="383" t="n"/>
      <c r="GW39" s="383" t="n"/>
      <c r="GX39" s="383" t="n"/>
      <c r="GY39" s="383" t="n"/>
    </row>
    <row r="40" ht="15" customHeight="1" s="1883">
      <c r="A40" s="383" t="n"/>
      <c r="B40" s="133" t="inlineStr">
        <is>
          <t>√</t>
        </is>
      </c>
      <c r="C40" s="383" t="n"/>
      <c r="D40" s="390" t="inlineStr">
        <is>
          <t>●</t>
        </is>
      </c>
      <c r="E40" s="668" t="inlineStr">
        <is>
          <t>Shabaz Ali - Manager, Documentation</t>
        </is>
      </c>
      <c r="F40" s="696" t="n"/>
      <c r="G40" s="696" t="n"/>
      <c r="H40" s="696" t="n"/>
      <c r="I40" s="383" t="n"/>
      <c r="J40" s="701" t="n">
        <v>40000</v>
      </c>
      <c r="K40" s="1282">
        <f>J40*1.03</f>
        <v/>
      </c>
      <c r="L40" s="1282">
        <f>K40*1.03</f>
        <v/>
      </c>
      <c r="M40" s="1282">
        <f>L40*1.03</f>
        <v/>
      </c>
      <c r="N40" s="1282">
        <f>M40*1.03</f>
        <v/>
      </c>
      <c r="O40" s="383" t="n"/>
      <c r="P40" s="384" t="n">
        <v>1</v>
      </c>
      <c r="Q40" s="384" t="n">
        <v>1</v>
      </c>
      <c r="R40" s="384" t="n">
        <v>1</v>
      </c>
      <c r="S40" s="384" t="n">
        <v>1</v>
      </c>
      <c r="T40" s="384" t="n">
        <v>1</v>
      </c>
      <c r="U40" s="384" t="n">
        <v>1</v>
      </c>
      <c r="V40" s="384" t="n">
        <v>1</v>
      </c>
      <c r="W40" s="384" t="n">
        <v>1</v>
      </c>
      <c r="X40" s="384" t="n">
        <v>1</v>
      </c>
      <c r="Y40" s="384" t="n">
        <v>1</v>
      </c>
      <c r="Z40" s="384" t="n">
        <v>1</v>
      </c>
      <c r="AA40" s="384" t="n">
        <v>1</v>
      </c>
      <c r="AB40" s="542">
        <f>'Headcount &amp; Salaries - 2'!AJ30</f>
        <v/>
      </c>
      <c r="AC40" s="384">
        <f>'Headcount &amp; Salaries - 2'!AK30</f>
        <v/>
      </c>
      <c r="AD40" s="384">
        <f>'Headcount &amp; Salaries - 2'!AL30</f>
        <v/>
      </c>
      <c r="AE40" s="384">
        <f>'Headcount &amp; Salaries - 2'!AM30</f>
        <v/>
      </c>
      <c r="AF40" s="384">
        <f>'Headcount &amp; Salaries - 2'!AN30</f>
        <v/>
      </c>
      <c r="AG40" s="384">
        <f>'Headcount &amp; Salaries - 2'!AO30</f>
        <v/>
      </c>
      <c r="AH40" s="384">
        <f>'Headcount &amp; Salaries - 2'!AP30</f>
        <v/>
      </c>
      <c r="AI40" s="384">
        <f>'Headcount &amp; Salaries - 2'!AQ30</f>
        <v/>
      </c>
      <c r="AJ40" s="384">
        <f>'Headcount &amp; Salaries - 2'!AR30</f>
        <v/>
      </c>
      <c r="AK40" s="384">
        <f>'Headcount &amp; Salaries - 2'!AS30</f>
        <v/>
      </c>
      <c r="AL40" s="384">
        <f>'Headcount &amp; Salaries - 2'!AT30</f>
        <v/>
      </c>
      <c r="AM40" s="384">
        <f>'Headcount &amp; Salaries - 2'!AU30</f>
        <v/>
      </c>
      <c r="AN40" s="542">
        <f>'Headcount &amp; Salaries - 2'!AV30</f>
        <v/>
      </c>
      <c r="AO40" s="384">
        <f>'Headcount &amp; Salaries - 2'!AW30</f>
        <v/>
      </c>
      <c r="AP40" s="384">
        <f>'Headcount &amp; Salaries - 2'!AX30</f>
        <v/>
      </c>
      <c r="AQ40" s="384">
        <f>'Headcount &amp; Salaries - 2'!AY30</f>
        <v/>
      </c>
      <c r="AR40" s="384">
        <f>'Headcount &amp; Salaries - 2'!AZ30</f>
        <v/>
      </c>
      <c r="AS40" s="384">
        <f>'Headcount &amp; Salaries - 2'!BA30</f>
        <v/>
      </c>
      <c r="AT40" s="384">
        <f>'Headcount &amp; Salaries - 2'!BB30</f>
        <v/>
      </c>
      <c r="AU40" s="384">
        <f>'Headcount &amp; Salaries - 2'!BC30</f>
        <v/>
      </c>
      <c r="AV40" s="384">
        <f>'Headcount &amp; Salaries - 2'!BD30</f>
        <v/>
      </c>
      <c r="AW40" s="384">
        <f>'Headcount &amp; Salaries - 2'!BE30</f>
        <v/>
      </c>
      <c r="AX40" s="384">
        <f>'Headcount &amp; Salaries - 2'!BF30</f>
        <v/>
      </c>
      <c r="AY40" s="565">
        <f>'Headcount &amp; Salaries - 2'!BG30</f>
        <v/>
      </c>
      <c r="AZ40" s="542">
        <f>'Headcount &amp; Salaries - 2'!BH30</f>
        <v/>
      </c>
      <c r="BA40" s="384">
        <f>'Headcount &amp; Salaries - 2'!BI30</f>
        <v/>
      </c>
      <c r="BB40" s="384">
        <f>'Headcount &amp; Salaries - 2'!BJ30</f>
        <v/>
      </c>
      <c r="BC40" s="384">
        <f>'Headcount &amp; Salaries - 2'!BK30</f>
        <v/>
      </c>
      <c r="BD40" s="384">
        <f>'Headcount &amp; Salaries - 2'!BL30</f>
        <v/>
      </c>
      <c r="BE40" s="384">
        <f>'Headcount &amp; Salaries - 2'!BM30</f>
        <v/>
      </c>
      <c r="BF40" s="384">
        <f>'Headcount &amp; Salaries - 2'!BN30</f>
        <v/>
      </c>
      <c r="BG40" s="384">
        <f>'Headcount &amp; Salaries - 2'!BO30</f>
        <v/>
      </c>
      <c r="BH40" s="384">
        <f>'Headcount &amp; Salaries - 2'!BP30</f>
        <v/>
      </c>
      <c r="BI40" s="384">
        <f>'Headcount &amp; Salaries - 2'!BQ30</f>
        <v/>
      </c>
      <c r="BJ40" s="384">
        <f>'Headcount &amp; Salaries - 2'!BR30</f>
        <v/>
      </c>
      <c r="BK40" s="384">
        <f>'Headcount &amp; Salaries - 2'!BS30</f>
        <v/>
      </c>
      <c r="BL40" s="542">
        <f>'Headcount &amp; Salaries - 2'!BT30</f>
        <v/>
      </c>
      <c r="BM40" s="384">
        <f>'Headcount &amp; Salaries - 2'!BU30</f>
        <v/>
      </c>
      <c r="BN40" s="384">
        <f>'Headcount &amp; Salaries - 2'!BV30</f>
        <v/>
      </c>
      <c r="BO40" s="384">
        <f>'Headcount &amp; Salaries - 2'!BW30</f>
        <v/>
      </c>
      <c r="BP40" s="384">
        <f>'Headcount &amp; Salaries - 2'!BX30</f>
        <v/>
      </c>
      <c r="BQ40" s="384">
        <f>'Headcount &amp; Salaries - 2'!BY30</f>
        <v/>
      </c>
      <c r="BR40" s="384">
        <f>'Headcount &amp; Salaries - 2'!BZ30</f>
        <v/>
      </c>
      <c r="BS40" s="384">
        <f>'Headcount &amp; Salaries - 2'!CA30</f>
        <v/>
      </c>
      <c r="BT40" s="384">
        <f>'Headcount &amp; Salaries - 2'!CB30</f>
        <v/>
      </c>
      <c r="BU40" s="384">
        <f>'Headcount &amp; Salaries - 2'!CC30</f>
        <v/>
      </c>
      <c r="BV40" s="384">
        <f>'Headcount &amp; Salaries - 2'!CD30</f>
        <v/>
      </c>
      <c r="BW40" s="384">
        <f>'Headcount &amp; Salaries - 2'!CE30</f>
        <v/>
      </c>
      <c r="BX40" s="383" t="n"/>
      <c r="BY40" s="383" t="n"/>
      <c r="BZ40" s="383" t="n"/>
      <c r="CA40" s="383" t="n"/>
      <c r="CB40" s="383" t="n"/>
      <c r="CC40" s="383" t="n"/>
      <c r="CD40" s="383" t="n"/>
      <c r="CE40" s="383" t="n"/>
      <c r="CF40" s="383" t="n"/>
      <c r="CG40" s="383" t="n"/>
      <c r="CH40" s="383" t="n"/>
      <c r="CI40" s="383" t="n"/>
      <c r="CJ40" s="383" t="n"/>
      <c r="CK40" s="383" t="n"/>
      <c r="CL40" s="383" t="n"/>
      <c r="CM40" s="383" t="n"/>
      <c r="CN40" s="383" t="n"/>
      <c r="CO40" s="383" t="n"/>
      <c r="CP40" s="383" t="n"/>
      <c r="CQ40" s="383" t="n"/>
      <c r="CR40" s="383" t="n"/>
      <c r="CS40" s="383" t="n"/>
      <c r="CT40" s="383" t="n"/>
      <c r="CU40" s="383" t="n"/>
      <c r="CV40" s="383" t="n"/>
      <c r="CW40" s="383" t="n"/>
      <c r="CX40" s="383" t="n"/>
      <c r="CY40" s="383" t="n"/>
      <c r="CZ40" s="383" t="n"/>
      <c r="DA40" s="383" t="n"/>
      <c r="DB40" s="383" t="n"/>
      <c r="DC40" s="383" t="n"/>
      <c r="DD40" s="383" t="n"/>
      <c r="DE40" s="383" t="n"/>
      <c r="DF40" s="383" t="n"/>
      <c r="DG40" s="383" t="n"/>
      <c r="DH40" s="383" t="n"/>
      <c r="DI40" s="383" t="n"/>
      <c r="DJ40" s="383" t="n"/>
      <c r="DK40" s="383" t="n"/>
      <c r="DL40" s="383" t="n"/>
      <c r="DM40" s="383" t="n"/>
      <c r="DN40" s="383" t="n"/>
      <c r="DO40" s="383" t="n"/>
      <c r="DP40" s="383" t="n"/>
      <c r="DQ40" s="383" t="n"/>
      <c r="DR40" s="383" t="n"/>
      <c r="DS40" s="383" t="n"/>
      <c r="DT40" s="383" t="n"/>
      <c r="DU40" s="383" t="n"/>
      <c r="DV40" s="383" t="n"/>
      <c r="DW40" s="383" t="n"/>
      <c r="DX40" s="383" t="n"/>
      <c r="DY40" s="383" t="n"/>
      <c r="DZ40" s="383" t="n"/>
      <c r="EA40" s="383" t="n"/>
      <c r="EB40" s="383" t="n"/>
      <c r="EC40" s="383" t="n"/>
      <c r="ED40" s="383" t="n"/>
      <c r="EE40" s="383" t="n"/>
      <c r="EF40" s="383" t="n"/>
      <c r="EG40" s="383" t="n"/>
      <c r="EH40" s="383" t="n"/>
      <c r="EI40" s="383" t="n"/>
      <c r="EJ40" s="383" t="n"/>
      <c r="EK40" s="383" t="n"/>
      <c r="EL40" s="383" t="n"/>
      <c r="EM40" s="383" t="n"/>
      <c r="EN40" s="383" t="n"/>
      <c r="EO40" s="383" t="n"/>
      <c r="EP40" s="383" t="n"/>
      <c r="EQ40" s="383" t="n"/>
      <c r="ER40" s="383" t="n"/>
      <c r="ES40" s="383" t="n"/>
      <c r="ET40" s="383" t="n"/>
      <c r="EU40" s="383" t="n"/>
      <c r="EV40" s="383" t="n"/>
      <c r="EW40" s="383" t="n"/>
      <c r="EX40" s="383" t="n"/>
      <c r="EY40" s="383" t="n"/>
      <c r="EZ40" s="383" t="n"/>
      <c r="FA40" s="383" t="n"/>
      <c r="FB40" s="383" t="n"/>
      <c r="FC40" s="383" t="n"/>
      <c r="FD40" s="383" t="n"/>
      <c r="FE40" s="383" t="n"/>
      <c r="FF40" s="383" t="n"/>
      <c r="FG40" s="383" t="n"/>
      <c r="FH40" s="383" t="n"/>
      <c r="FI40" s="383" t="n"/>
      <c r="FJ40" s="383" t="n"/>
      <c r="FK40" s="383" t="n"/>
      <c r="FL40" s="383" t="n"/>
      <c r="FM40" s="383" t="n"/>
      <c r="FN40" s="383" t="n"/>
      <c r="FO40" s="383" t="n"/>
      <c r="FP40" s="383" t="n"/>
      <c r="FQ40" s="383" t="n"/>
      <c r="FR40" s="383" t="n"/>
      <c r="FS40" s="383" t="n"/>
      <c r="FT40" s="383" t="n"/>
      <c r="FU40" s="383" t="n"/>
      <c r="FV40" s="383" t="n"/>
      <c r="FW40" s="383" t="n"/>
      <c r="FX40" s="383" t="n"/>
      <c r="FY40" s="383" t="n"/>
      <c r="FZ40" s="383" t="n"/>
      <c r="GA40" s="383" t="n"/>
      <c r="GB40" s="383" t="n"/>
      <c r="GC40" s="383" t="n"/>
      <c r="GD40" s="383" t="n"/>
      <c r="GE40" s="383" t="n"/>
      <c r="GF40" s="383" t="n"/>
      <c r="GG40" s="383" t="n"/>
      <c r="GH40" s="383" t="n"/>
      <c r="GI40" s="383" t="n"/>
      <c r="GJ40" s="383" t="n"/>
      <c r="GK40" s="383" t="n"/>
      <c r="GL40" s="383" t="n"/>
      <c r="GM40" s="383" t="n"/>
      <c r="GN40" s="383" t="n"/>
      <c r="GO40" s="383" t="n"/>
      <c r="GP40" s="383" t="n"/>
      <c r="GQ40" s="383" t="n"/>
      <c r="GR40" s="383" t="n"/>
      <c r="GS40" s="383" t="n"/>
      <c r="GT40" s="383" t="n"/>
      <c r="GU40" s="383" t="n"/>
      <c r="GV40" s="383" t="n"/>
      <c r="GW40" s="383" t="n"/>
      <c r="GX40" s="383" t="n"/>
      <c r="GY40" s="383" t="n"/>
    </row>
    <row r="41" ht="15" customHeight="1" s="1883">
      <c r="A41" s="383" t="n"/>
      <c r="B41" s="133" t="inlineStr">
        <is>
          <t>√</t>
        </is>
      </c>
      <c r="C41" s="383" t="n"/>
      <c r="D41" s="390" t="inlineStr">
        <is>
          <t>●</t>
        </is>
      </c>
      <c r="E41" s="668" t="inlineStr">
        <is>
          <t>TBD - Director, Sales</t>
        </is>
      </c>
      <c r="F41" s="696" t="n"/>
      <c r="G41" s="696" t="n"/>
      <c r="H41" s="696" t="n"/>
      <c r="I41" s="383" t="n"/>
      <c r="J41" s="701" t="n">
        <v>135000</v>
      </c>
      <c r="K41" s="1282">
        <f>J41*1.03</f>
        <v/>
      </c>
      <c r="L41" s="1282">
        <f>K41*1.03</f>
        <v/>
      </c>
      <c r="M41" s="1282">
        <f>L41*1.03</f>
        <v/>
      </c>
      <c r="N41" s="1282">
        <f>M41*1.03</f>
        <v/>
      </c>
      <c r="O41" s="383" t="n"/>
      <c r="P41" s="384">
        <f>'Headcount &amp; Salaries - 2'!X31</f>
        <v/>
      </c>
      <c r="Q41" s="384">
        <f>'Headcount &amp; Salaries - 2'!Y31</f>
        <v/>
      </c>
      <c r="R41" s="384">
        <f>'Headcount &amp; Salaries - 2'!Z31</f>
        <v/>
      </c>
      <c r="S41" s="384">
        <f>'Headcount &amp; Salaries - 2'!AA31</f>
        <v/>
      </c>
      <c r="T41" s="384">
        <f>'Headcount &amp; Salaries - 2'!AB31</f>
        <v/>
      </c>
      <c r="U41" s="384">
        <f>'Headcount &amp; Salaries - 2'!AC31</f>
        <v/>
      </c>
      <c r="V41" s="384">
        <f>'Headcount &amp; Salaries - 2'!AD31</f>
        <v/>
      </c>
      <c r="W41" s="384" t="n">
        <v>1</v>
      </c>
      <c r="X41" s="384">
        <f>'Headcount &amp; Salaries - 2'!AF30</f>
        <v/>
      </c>
      <c r="Y41" s="384">
        <f>'Headcount &amp; Salaries - 2'!AG30</f>
        <v/>
      </c>
      <c r="Z41" s="384">
        <f>'Headcount &amp; Salaries - 2'!AH30</f>
        <v/>
      </c>
      <c r="AA41" s="384">
        <f>'Headcount &amp; Salaries - 2'!AI30</f>
        <v/>
      </c>
      <c r="AB41" s="542">
        <f>'Headcount &amp; Salaries - 2'!AJ30</f>
        <v/>
      </c>
      <c r="AC41" s="384">
        <f>'Headcount &amp; Salaries - 2'!AK30</f>
        <v/>
      </c>
      <c r="AD41" s="384">
        <f>'Headcount &amp; Salaries - 2'!AL30</f>
        <v/>
      </c>
      <c r="AE41" s="384">
        <f>'Headcount &amp; Salaries - 2'!AM30</f>
        <v/>
      </c>
      <c r="AF41" s="384">
        <f>'Headcount &amp; Salaries - 2'!AN30</f>
        <v/>
      </c>
      <c r="AG41" s="384">
        <f>'Headcount &amp; Salaries - 2'!AO30</f>
        <v/>
      </c>
      <c r="AH41" s="384">
        <f>'Headcount &amp; Salaries - 2'!AP30</f>
        <v/>
      </c>
      <c r="AI41" s="384">
        <f>'Headcount &amp; Salaries - 2'!AQ30</f>
        <v/>
      </c>
      <c r="AJ41" s="384">
        <f>'Headcount &amp; Salaries - 2'!AR30</f>
        <v/>
      </c>
      <c r="AK41" s="384">
        <f>'Headcount &amp; Salaries - 2'!AS30</f>
        <v/>
      </c>
      <c r="AL41" s="384">
        <f>'Headcount &amp; Salaries - 2'!AT30</f>
        <v/>
      </c>
      <c r="AM41" s="384">
        <f>'Headcount &amp; Salaries - 2'!AU30</f>
        <v/>
      </c>
      <c r="AN41" s="542">
        <f>'Headcount &amp; Salaries - 2'!AV30</f>
        <v/>
      </c>
      <c r="AO41" s="384">
        <f>'Headcount &amp; Salaries - 2'!AW30</f>
        <v/>
      </c>
      <c r="AP41" s="384">
        <f>'Headcount &amp; Salaries - 2'!AX30</f>
        <v/>
      </c>
      <c r="AQ41" s="384">
        <f>'Headcount &amp; Salaries - 2'!AY30</f>
        <v/>
      </c>
      <c r="AR41" s="384">
        <f>'Headcount &amp; Salaries - 2'!AZ30</f>
        <v/>
      </c>
      <c r="AS41" s="384">
        <f>'Headcount &amp; Salaries - 2'!BA30</f>
        <v/>
      </c>
      <c r="AT41" s="384">
        <f>'Headcount &amp; Salaries - 2'!BB30</f>
        <v/>
      </c>
      <c r="AU41" s="384">
        <f>'Headcount &amp; Salaries - 2'!BC30</f>
        <v/>
      </c>
      <c r="AV41" s="384">
        <f>'Headcount &amp; Salaries - 2'!BD30</f>
        <v/>
      </c>
      <c r="AW41" s="384">
        <f>'Headcount &amp; Salaries - 2'!BE30</f>
        <v/>
      </c>
      <c r="AX41" s="384">
        <f>'Headcount &amp; Salaries - 2'!BF30</f>
        <v/>
      </c>
      <c r="AY41" s="565">
        <f>'Headcount &amp; Salaries - 2'!BG30</f>
        <v/>
      </c>
      <c r="AZ41" s="542">
        <f>'Headcount &amp; Salaries - 2'!BH30</f>
        <v/>
      </c>
      <c r="BA41" s="384">
        <f>'Headcount &amp; Salaries - 2'!BI30</f>
        <v/>
      </c>
      <c r="BB41" s="384">
        <f>'Headcount &amp; Salaries - 2'!BJ30</f>
        <v/>
      </c>
      <c r="BC41" s="384">
        <f>'Headcount &amp; Salaries - 2'!BK30</f>
        <v/>
      </c>
      <c r="BD41" s="384">
        <f>'Headcount &amp; Salaries - 2'!BL30</f>
        <v/>
      </c>
      <c r="BE41" s="384">
        <f>'Headcount &amp; Salaries - 2'!BM30</f>
        <v/>
      </c>
      <c r="BF41" s="384">
        <f>'Headcount &amp; Salaries - 2'!BN30</f>
        <v/>
      </c>
      <c r="BG41" s="384">
        <f>'Headcount &amp; Salaries - 2'!BO30</f>
        <v/>
      </c>
      <c r="BH41" s="384">
        <f>'Headcount &amp; Salaries - 2'!BP30</f>
        <v/>
      </c>
      <c r="BI41" s="384">
        <f>'Headcount &amp; Salaries - 2'!BQ30</f>
        <v/>
      </c>
      <c r="BJ41" s="384">
        <f>'Headcount &amp; Salaries - 2'!BR30</f>
        <v/>
      </c>
      <c r="BK41" s="384">
        <f>'Headcount &amp; Salaries - 2'!BS30</f>
        <v/>
      </c>
      <c r="BL41" s="542">
        <f>'Headcount &amp; Salaries - 2'!BT30</f>
        <v/>
      </c>
      <c r="BM41" s="384">
        <f>'Headcount &amp; Salaries - 2'!BU30</f>
        <v/>
      </c>
      <c r="BN41" s="384">
        <f>'Headcount &amp; Salaries - 2'!BV30</f>
        <v/>
      </c>
      <c r="BO41" s="384">
        <f>'Headcount &amp; Salaries - 2'!BW30</f>
        <v/>
      </c>
      <c r="BP41" s="384">
        <f>'Headcount &amp; Salaries - 2'!BX30</f>
        <v/>
      </c>
      <c r="BQ41" s="384">
        <f>'Headcount &amp; Salaries - 2'!BY30</f>
        <v/>
      </c>
      <c r="BR41" s="384">
        <f>'Headcount &amp; Salaries - 2'!BZ30</f>
        <v/>
      </c>
      <c r="BS41" s="384">
        <f>'Headcount &amp; Salaries - 2'!CA30</f>
        <v/>
      </c>
      <c r="BT41" s="384">
        <f>'Headcount &amp; Salaries - 2'!CB30</f>
        <v/>
      </c>
      <c r="BU41" s="384">
        <f>'Headcount &amp; Salaries - 2'!CC30</f>
        <v/>
      </c>
      <c r="BV41" s="384">
        <f>'Headcount &amp; Salaries - 2'!CD30</f>
        <v/>
      </c>
      <c r="BW41" s="384">
        <f>'Headcount &amp; Salaries - 2'!CE30</f>
        <v/>
      </c>
      <c r="BX41" s="383" t="n"/>
      <c r="BY41" s="383" t="n"/>
      <c r="BZ41" s="383" t="n"/>
      <c r="CA41" s="383" t="n"/>
      <c r="CB41" s="383" t="n"/>
      <c r="CC41" s="383" t="n"/>
      <c r="CD41" s="383" t="n"/>
      <c r="CE41" s="383" t="n"/>
      <c r="CF41" s="383" t="n"/>
      <c r="CG41" s="383" t="n"/>
      <c r="CH41" s="383" t="n"/>
      <c r="CI41" s="383" t="n"/>
      <c r="CJ41" s="383" t="n"/>
      <c r="CK41" s="383" t="n"/>
      <c r="CL41" s="383" t="n"/>
      <c r="CM41" s="383" t="n"/>
      <c r="CN41" s="383" t="n"/>
      <c r="CO41" s="383" t="n"/>
      <c r="CP41" s="383" t="n"/>
      <c r="CQ41" s="383" t="n"/>
      <c r="CR41" s="383" t="n"/>
      <c r="CS41" s="383" t="n"/>
      <c r="CT41" s="383" t="n"/>
      <c r="CU41" s="383" t="n"/>
      <c r="CV41" s="383" t="n"/>
      <c r="CW41" s="383" t="n"/>
      <c r="CX41" s="383" t="n"/>
      <c r="CY41" s="383" t="n"/>
      <c r="CZ41" s="383" t="n"/>
      <c r="DA41" s="383" t="n"/>
      <c r="DB41" s="383" t="n"/>
      <c r="DC41" s="383" t="n"/>
      <c r="DD41" s="383" t="n"/>
      <c r="DE41" s="383" t="n"/>
      <c r="DF41" s="383" t="n"/>
      <c r="DG41" s="383" t="n"/>
      <c r="DH41" s="383" t="n"/>
      <c r="DI41" s="383" t="n"/>
      <c r="DJ41" s="383" t="n"/>
      <c r="DK41" s="383" t="n"/>
      <c r="DL41" s="383" t="n"/>
      <c r="DM41" s="383" t="n"/>
      <c r="DN41" s="383" t="n"/>
      <c r="DO41" s="383" t="n"/>
      <c r="DP41" s="383" t="n"/>
      <c r="DQ41" s="383" t="n"/>
      <c r="DR41" s="383" t="n"/>
      <c r="DS41" s="383" t="n"/>
      <c r="DT41" s="383" t="n"/>
      <c r="DU41" s="383" t="n"/>
      <c r="DV41" s="383" t="n"/>
      <c r="DW41" s="383" t="n"/>
      <c r="DX41" s="383" t="n"/>
      <c r="DY41" s="383" t="n"/>
      <c r="DZ41" s="383" t="n"/>
      <c r="EA41" s="383" t="n"/>
      <c r="EB41" s="383" t="n"/>
      <c r="EC41" s="383" t="n"/>
      <c r="ED41" s="383" t="n"/>
      <c r="EE41" s="383" t="n"/>
      <c r="EF41" s="383" t="n"/>
      <c r="EG41" s="383" t="n"/>
      <c r="EH41" s="383" t="n"/>
      <c r="EI41" s="383" t="n"/>
      <c r="EJ41" s="383" t="n"/>
      <c r="EK41" s="383" t="n"/>
      <c r="EL41" s="383" t="n"/>
      <c r="EM41" s="383" t="n"/>
      <c r="EN41" s="383" t="n"/>
      <c r="EO41" s="383" t="n"/>
      <c r="EP41" s="383" t="n"/>
      <c r="EQ41" s="383" t="n"/>
      <c r="ER41" s="383" t="n"/>
      <c r="ES41" s="383" t="n"/>
      <c r="ET41" s="383" t="n"/>
      <c r="EU41" s="383" t="n"/>
      <c r="EV41" s="383" t="n"/>
      <c r="EW41" s="383" t="n"/>
      <c r="EX41" s="383" t="n"/>
      <c r="EY41" s="383" t="n"/>
      <c r="EZ41" s="383" t="n"/>
      <c r="FA41" s="383" t="n"/>
      <c r="FB41" s="383" t="n"/>
      <c r="FC41" s="383" t="n"/>
      <c r="FD41" s="383" t="n"/>
      <c r="FE41" s="383" t="n"/>
      <c r="FF41" s="383" t="n"/>
      <c r="FG41" s="383" t="n"/>
      <c r="FH41" s="383" t="n"/>
      <c r="FI41" s="383" t="n"/>
      <c r="FJ41" s="383" t="n"/>
      <c r="FK41" s="383" t="n"/>
      <c r="FL41" s="383" t="n"/>
      <c r="FM41" s="383" t="n"/>
      <c r="FN41" s="383" t="n"/>
      <c r="FO41" s="383" t="n"/>
      <c r="FP41" s="383" t="n"/>
      <c r="FQ41" s="383" t="n"/>
      <c r="FR41" s="383" t="n"/>
      <c r="FS41" s="383" t="n"/>
      <c r="FT41" s="383" t="n"/>
      <c r="FU41" s="383" t="n"/>
      <c r="FV41" s="383" t="n"/>
      <c r="FW41" s="383" t="n"/>
      <c r="FX41" s="383" t="n"/>
      <c r="FY41" s="383" t="n"/>
      <c r="FZ41" s="383" t="n"/>
      <c r="GA41" s="383" t="n"/>
      <c r="GB41" s="383" t="n"/>
      <c r="GC41" s="383" t="n"/>
      <c r="GD41" s="383" t="n"/>
      <c r="GE41" s="383" t="n"/>
      <c r="GF41" s="383" t="n"/>
      <c r="GG41" s="383" t="n"/>
      <c r="GH41" s="383" t="n"/>
      <c r="GI41" s="383" t="n"/>
      <c r="GJ41" s="383" t="n"/>
      <c r="GK41" s="383" t="n"/>
      <c r="GL41" s="383" t="n"/>
      <c r="GM41" s="383" t="n"/>
      <c r="GN41" s="383" t="n"/>
      <c r="GO41" s="383" t="n"/>
      <c r="GP41" s="383" t="n"/>
      <c r="GQ41" s="383" t="n"/>
      <c r="GR41" s="383" t="n"/>
      <c r="GS41" s="383" t="n"/>
      <c r="GT41" s="383" t="n"/>
      <c r="GU41" s="383" t="n"/>
      <c r="GV41" s="383" t="n"/>
      <c r="GW41" s="383" t="n"/>
      <c r="GX41" s="383" t="n"/>
      <c r="GY41" s="383" t="n"/>
    </row>
    <row r="42" ht="15" customHeight="1" s="1883">
      <c r="A42" s="383" t="n"/>
      <c r="B42" s="133" t="inlineStr">
        <is>
          <t>√</t>
        </is>
      </c>
      <c r="C42" s="383" t="n"/>
      <c r="D42" s="390" t="inlineStr">
        <is>
          <t>●</t>
        </is>
      </c>
      <c r="E42" s="668" t="inlineStr">
        <is>
          <t xml:space="preserve"> Latasha Owens - Director, Commercial</t>
        </is>
      </c>
      <c r="F42" s="696" t="n"/>
      <c r="G42" s="696" t="n"/>
      <c r="H42" s="696" t="n"/>
      <c r="I42" s="383" t="n"/>
      <c r="J42" s="701" t="n">
        <v>135000</v>
      </c>
      <c r="K42" s="1282">
        <f>J42*1.03</f>
        <v/>
      </c>
      <c r="L42" s="1282">
        <f>K42*1.03</f>
        <v/>
      </c>
      <c r="M42" s="1282">
        <f>L42*1.03</f>
        <v/>
      </c>
      <c r="N42" s="1282">
        <f>M42*1.03</f>
        <v/>
      </c>
      <c r="O42" s="383" t="n"/>
      <c r="P42" s="384">
        <f>'Headcount &amp; Salaries - 2'!X31</f>
        <v/>
      </c>
      <c r="Q42" s="384">
        <f>'Headcount &amp; Salaries - 2'!Y31</f>
        <v/>
      </c>
      <c r="R42" s="384">
        <f>'Headcount &amp; Salaries - 2'!Z31</f>
        <v/>
      </c>
      <c r="S42" s="384">
        <f>'Headcount &amp; Salaries - 2'!AA31</f>
        <v/>
      </c>
      <c r="T42" s="384">
        <f>'Headcount &amp; Salaries - 2'!AB31</f>
        <v/>
      </c>
      <c r="U42" s="384">
        <f>'Headcount &amp; Salaries - 2'!AC31</f>
        <v/>
      </c>
      <c r="V42" s="384">
        <f>'Headcount &amp; Salaries - 2'!AD31</f>
        <v/>
      </c>
      <c r="W42" s="384">
        <f>'Headcount &amp; Salaries - 2'!AE31</f>
        <v/>
      </c>
      <c r="X42" s="384">
        <f>'Headcount &amp; Salaries - 2'!AF31</f>
        <v/>
      </c>
      <c r="Y42" s="384">
        <f>'Headcount &amp; Salaries - 2'!AG31</f>
        <v/>
      </c>
      <c r="Z42" s="384">
        <f>'Headcount &amp; Salaries - 2'!AH31</f>
        <v/>
      </c>
      <c r="AA42" s="384">
        <f>'Headcount &amp; Salaries - 2'!AI31</f>
        <v/>
      </c>
      <c r="AB42" s="542">
        <f>'Headcount &amp; Salaries - 2'!AJ31</f>
        <v/>
      </c>
      <c r="AC42" s="384">
        <f>'Headcount &amp; Salaries - 2'!AK31</f>
        <v/>
      </c>
      <c r="AD42" s="384">
        <f>'Headcount &amp; Salaries - 2'!AL31</f>
        <v/>
      </c>
      <c r="AE42" s="384">
        <f>'Headcount &amp; Salaries - 2'!AM31</f>
        <v/>
      </c>
      <c r="AF42" s="384">
        <f>'Headcount &amp; Salaries - 2'!AN31</f>
        <v/>
      </c>
      <c r="AG42" s="384">
        <f>'Headcount &amp; Salaries - 2'!AO31</f>
        <v/>
      </c>
      <c r="AH42" s="384">
        <f>'Headcount &amp; Salaries - 2'!AP31</f>
        <v/>
      </c>
      <c r="AI42" s="384">
        <f>'Headcount &amp; Salaries - 2'!AQ31</f>
        <v/>
      </c>
      <c r="AJ42" s="384">
        <f>'Headcount &amp; Salaries - 2'!AR31</f>
        <v/>
      </c>
      <c r="AK42" s="384">
        <f>'Headcount &amp; Salaries - 2'!AS31</f>
        <v/>
      </c>
      <c r="AL42" s="384">
        <f>'Headcount &amp; Salaries - 2'!AT31</f>
        <v/>
      </c>
      <c r="AM42" s="384">
        <f>'Headcount &amp; Salaries - 2'!AU31</f>
        <v/>
      </c>
      <c r="AN42" s="542">
        <f>'Headcount &amp; Salaries - 2'!AV31</f>
        <v/>
      </c>
      <c r="AO42" s="384">
        <f>'Headcount &amp; Salaries - 2'!AW31</f>
        <v/>
      </c>
      <c r="AP42" s="384">
        <f>'Headcount &amp; Salaries - 2'!AX31</f>
        <v/>
      </c>
      <c r="AQ42" s="384">
        <f>'Headcount &amp; Salaries - 2'!AY31</f>
        <v/>
      </c>
      <c r="AR42" s="384">
        <f>'Headcount &amp; Salaries - 2'!AZ31</f>
        <v/>
      </c>
      <c r="AS42" s="384">
        <f>'Headcount &amp; Salaries - 2'!BA31</f>
        <v/>
      </c>
      <c r="AT42" s="384">
        <f>'Headcount &amp; Salaries - 2'!BB31</f>
        <v/>
      </c>
      <c r="AU42" s="384">
        <f>'Headcount &amp; Salaries - 2'!BC31</f>
        <v/>
      </c>
      <c r="AV42" s="384">
        <f>'Headcount &amp; Salaries - 2'!BD31</f>
        <v/>
      </c>
      <c r="AW42" s="384">
        <f>'Headcount &amp; Salaries - 2'!BE31</f>
        <v/>
      </c>
      <c r="AX42" s="384">
        <f>'Headcount &amp; Salaries - 2'!BF31</f>
        <v/>
      </c>
      <c r="AY42" s="565">
        <f>'Headcount &amp; Salaries - 2'!BG31</f>
        <v/>
      </c>
      <c r="AZ42" s="542">
        <f>'Headcount &amp; Salaries - 2'!BH31</f>
        <v/>
      </c>
      <c r="BA42" s="384">
        <f>'Headcount &amp; Salaries - 2'!BI31</f>
        <v/>
      </c>
      <c r="BB42" s="384">
        <f>'Headcount &amp; Salaries - 2'!BJ31</f>
        <v/>
      </c>
      <c r="BC42" s="384">
        <f>'Headcount &amp; Salaries - 2'!BK31</f>
        <v/>
      </c>
      <c r="BD42" s="384">
        <f>'Headcount &amp; Salaries - 2'!BL31</f>
        <v/>
      </c>
      <c r="BE42" s="384">
        <f>'Headcount &amp; Salaries - 2'!BM31</f>
        <v/>
      </c>
      <c r="BF42" s="384">
        <f>'Headcount &amp; Salaries - 2'!BN31</f>
        <v/>
      </c>
      <c r="BG42" s="384">
        <f>'Headcount &amp; Salaries - 2'!BO31</f>
        <v/>
      </c>
      <c r="BH42" s="384">
        <f>'Headcount &amp; Salaries - 2'!BP31</f>
        <v/>
      </c>
      <c r="BI42" s="384">
        <f>'Headcount &amp; Salaries - 2'!BQ31</f>
        <v/>
      </c>
      <c r="BJ42" s="384">
        <f>'Headcount &amp; Salaries - 2'!BR31</f>
        <v/>
      </c>
      <c r="BK42" s="384">
        <f>'Headcount &amp; Salaries - 2'!BS31</f>
        <v/>
      </c>
      <c r="BL42" s="542">
        <f>'Headcount &amp; Salaries - 2'!BT31</f>
        <v/>
      </c>
      <c r="BM42" s="384">
        <f>'Headcount &amp; Salaries - 2'!BU31</f>
        <v/>
      </c>
      <c r="BN42" s="384">
        <f>'Headcount &amp; Salaries - 2'!BV31</f>
        <v/>
      </c>
      <c r="BO42" s="384">
        <f>'Headcount &amp; Salaries - 2'!BW31</f>
        <v/>
      </c>
      <c r="BP42" s="384">
        <f>'Headcount &amp; Salaries - 2'!BX31</f>
        <v/>
      </c>
      <c r="BQ42" s="384">
        <f>'Headcount &amp; Salaries - 2'!BY31</f>
        <v/>
      </c>
      <c r="BR42" s="384">
        <f>'Headcount &amp; Salaries - 2'!BZ31</f>
        <v/>
      </c>
      <c r="BS42" s="384">
        <f>'Headcount &amp; Salaries - 2'!CA31</f>
        <v/>
      </c>
      <c r="BT42" s="384">
        <f>'Headcount &amp; Salaries - 2'!CB31</f>
        <v/>
      </c>
      <c r="BU42" s="384">
        <f>'Headcount &amp; Salaries - 2'!CC31</f>
        <v/>
      </c>
      <c r="BV42" s="384">
        <f>'Headcount &amp; Salaries - 2'!CD31</f>
        <v/>
      </c>
      <c r="BW42" s="384">
        <f>'Headcount &amp; Salaries - 2'!CE31</f>
        <v/>
      </c>
      <c r="BX42" s="383" t="n"/>
      <c r="BY42" s="383" t="n"/>
      <c r="BZ42" s="383" t="n"/>
      <c r="CA42" s="383" t="n"/>
      <c r="CB42" s="383" t="n"/>
      <c r="CC42" s="383" t="n"/>
      <c r="CD42" s="383" t="n"/>
      <c r="CE42" s="383" t="n"/>
      <c r="CF42" s="383" t="n"/>
      <c r="CG42" s="383" t="n"/>
      <c r="CH42" s="383" t="n"/>
      <c r="CI42" s="383" t="n"/>
      <c r="CJ42" s="383" t="n"/>
      <c r="CK42" s="383" t="n"/>
      <c r="CL42" s="383" t="n"/>
      <c r="CM42" s="383" t="n"/>
      <c r="CN42" s="383" t="n"/>
      <c r="CO42" s="383" t="n"/>
      <c r="CP42" s="383" t="n"/>
      <c r="CQ42" s="383" t="n"/>
      <c r="CR42" s="383" t="n"/>
      <c r="CS42" s="383" t="n"/>
      <c r="CT42" s="383" t="n"/>
      <c r="CU42" s="383" t="n"/>
      <c r="CV42" s="383" t="n"/>
      <c r="CW42" s="383" t="n"/>
      <c r="CX42" s="383" t="n"/>
      <c r="CY42" s="383" t="n"/>
      <c r="CZ42" s="383" t="n"/>
      <c r="DA42" s="383" t="n"/>
      <c r="DB42" s="383" t="n"/>
      <c r="DC42" s="383" t="n"/>
      <c r="DD42" s="383" t="n"/>
      <c r="DE42" s="383" t="n"/>
      <c r="DF42" s="383" t="n"/>
      <c r="DG42" s="383" t="n"/>
      <c r="DH42" s="383" t="n"/>
      <c r="DI42" s="383" t="n"/>
      <c r="DJ42" s="383" t="n"/>
      <c r="DK42" s="383" t="n"/>
      <c r="DL42" s="383" t="n"/>
      <c r="DM42" s="383" t="n"/>
      <c r="DN42" s="383" t="n"/>
      <c r="DO42" s="383" t="n"/>
      <c r="DP42" s="383" t="n"/>
      <c r="DQ42" s="383" t="n"/>
      <c r="DR42" s="383" t="n"/>
      <c r="DS42" s="383" t="n"/>
      <c r="DT42" s="383" t="n"/>
      <c r="DU42" s="383" t="n"/>
      <c r="DV42" s="383" t="n"/>
      <c r="DW42" s="383" t="n"/>
      <c r="DX42" s="383" t="n"/>
      <c r="DY42" s="383" t="n"/>
      <c r="DZ42" s="383" t="n"/>
      <c r="EA42" s="383" t="n"/>
      <c r="EB42" s="383" t="n"/>
      <c r="EC42" s="383" t="n"/>
      <c r="ED42" s="383" t="n"/>
      <c r="EE42" s="383" t="n"/>
      <c r="EF42" s="383" t="n"/>
      <c r="EG42" s="383" t="n"/>
      <c r="EH42" s="383" t="n"/>
      <c r="EI42" s="383" t="n"/>
      <c r="EJ42" s="383" t="n"/>
      <c r="EK42" s="383" t="n"/>
      <c r="EL42" s="383" t="n"/>
      <c r="EM42" s="383" t="n"/>
      <c r="EN42" s="383" t="n"/>
      <c r="EO42" s="383" t="n"/>
      <c r="EP42" s="383" t="n"/>
      <c r="EQ42" s="383" t="n"/>
      <c r="ER42" s="383" t="n"/>
      <c r="ES42" s="383" t="n"/>
      <c r="ET42" s="383" t="n"/>
      <c r="EU42" s="383" t="n"/>
      <c r="EV42" s="383" t="n"/>
      <c r="EW42" s="383" t="n"/>
      <c r="EX42" s="383" t="n"/>
      <c r="EY42" s="383" t="n"/>
      <c r="EZ42" s="383" t="n"/>
      <c r="FA42" s="383" t="n"/>
      <c r="FB42" s="383" t="n"/>
      <c r="FC42" s="383" t="n"/>
      <c r="FD42" s="383" t="n"/>
      <c r="FE42" s="383" t="n"/>
      <c r="FF42" s="383" t="n"/>
      <c r="FG42" s="383" t="n"/>
      <c r="FH42" s="383" t="n"/>
      <c r="FI42" s="383" t="n"/>
      <c r="FJ42" s="383" t="n"/>
      <c r="FK42" s="383" t="n"/>
      <c r="FL42" s="383" t="n"/>
      <c r="FM42" s="383" t="n"/>
      <c r="FN42" s="383" t="n"/>
      <c r="FO42" s="383" t="n"/>
      <c r="FP42" s="383" t="n"/>
      <c r="FQ42" s="383" t="n"/>
      <c r="FR42" s="383" t="n"/>
      <c r="FS42" s="383" t="n"/>
      <c r="FT42" s="383" t="n"/>
      <c r="FU42" s="383" t="n"/>
      <c r="FV42" s="383" t="n"/>
      <c r="FW42" s="383" t="n"/>
      <c r="FX42" s="383" t="n"/>
      <c r="FY42" s="383" t="n"/>
      <c r="FZ42" s="383" t="n"/>
      <c r="GA42" s="383" t="n"/>
      <c r="GB42" s="383" t="n"/>
      <c r="GC42" s="383" t="n"/>
      <c r="GD42" s="383" t="n"/>
      <c r="GE42" s="383" t="n"/>
      <c r="GF42" s="383" t="n"/>
      <c r="GG42" s="383" t="n"/>
      <c r="GH42" s="383" t="n"/>
      <c r="GI42" s="383" t="n"/>
      <c r="GJ42" s="383" t="n"/>
      <c r="GK42" s="383" t="n"/>
      <c r="GL42" s="383" t="n"/>
      <c r="GM42" s="383" t="n"/>
      <c r="GN42" s="383" t="n"/>
      <c r="GO42" s="383" t="n"/>
      <c r="GP42" s="383" t="n"/>
      <c r="GQ42" s="383" t="n"/>
      <c r="GR42" s="383" t="n"/>
      <c r="GS42" s="383" t="n"/>
      <c r="GT42" s="383" t="n"/>
      <c r="GU42" s="383" t="n"/>
      <c r="GV42" s="383" t="n"/>
      <c r="GW42" s="383" t="n"/>
      <c r="GX42" s="383" t="n"/>
      <c r="GY42" s="383" t="n"/>
    </row>
    <row r="43" ht="15" customHeight="1" s="1883">
      <c r="A43" s="383" t="n"/>
      <c r="B43" s="133" t="inlineStr">
        <is>
          <t>√</t>
        </is>
      </c>
      <c r="C43" s="383" t="n"/>
      <c r="D43" s="390" t="inlineStr">
        <is>
          <t>●</t>
        </is>
      </c>
      <c r="E43" s="668" t="inlineStr">
        <is>
          <t>TBD  - Marketing Project Managers</t>
        </is>
      </c>
      <c r="F43" s="696" t="n"/>
      <c r="G43" s="696" t="n"/>
      <c r="H43" s="696" t="n"/>
      <c r="I43" s="383" t="n"/>
      <c r="J43" s="701">
        <f>'Headcount &amp; Salaries - 2'!G33</f>
        <v/>
      </c>
      <c r="K43" s="1282">
        <f>J43*1.03</f>
        <v/>
      </c>
      <c r="L43" s="1282">
        <f>K43*1.03</f>
        <v/>
      </c>
      <c r="M43" s="1282">
        <f>L43*1.03</f>
        <v/>
      </c>
      <c r="N43" s="1282">
        <f>M43*1.03</f>
        <v/>
      </c>
      <c r="O43" s="383" t="n"/>
      <c r="P43" s="384" t="n">
        <v>1</v>
      </c>
      <c r="Q43" s="384" t="n">
        <v>1</v>
      </c>
      <c r="R43" s="384" t="n">
        <v>1</v>
      </c>
      <c r="S43" s="384" t="n">
        <v>1</v>
      </c>
      <c r="T43" s="384" t="n">
        <v>1</v>
      </c>
      <c r="U43" s="384" t="n">
        <v>1</v>
      </c>
      <c r="V43" s="384" t="n">
        <v>1</v>
      </c>
      <c r="W43" s="384" t="n">
        <v>1</v>
      </c>
      <c r="X43" s="384" t="n">
        <v>1</v>
      </c>
      <c r="Y43" s="384" t="n">
        <v>1</v>
      </c>
      <c r="Z43" s="384" t="n">
        <v>1</v>
      </c>
      <c r="AA43" s="384" t="n">
        <v>1</v>
      </c>
      <c r="AB43" s="542">
        <f>'Headcount &amp; Salaries - 2'!AJ33</f>
        <v/>
      </c>
      <c r="AC43" s="384">
        <f>'Headcount &amp; Salaries - 2'!AK33</f>
        <v/>
      </c>
      <c r="AD43" s="384">
        <f>'Headcount &amp; Salaries - 2'!AL33</f>
        <v/>
      </c>
      <c r="AE43" s="384">
        <f>'Headcount &amp; Salaries - 2'!AM33</f>
        <v/>
      </c>
      <c r="AF43" s="384">
        <f>'Headcount &amp; Salaries - 2'!AN33</f>
        <v/>
      </c>
      <c r="AG43" s="384">
        <f>'Headcount &amp; Salaries - 2'!AO33</f>
        <v/>
      </c>
      <c r="AH43" s="384">
        <f>'Headcount &amp; Salaries - 2'!AP33</f>
        <v/>
      </c>
      <c r="AI43" s="384">
        <f>'Headcount &amp; Salaries - 2'!AQ33</f>
        <v/>
      </c>
      <c r="AJ43" s="384">
        <f>'Headcount &amp; Salaries - 2'!AR33</f>
        <v/>
      </c>
      <c r="AK43" s="384">
        <f>'Headcount &amp; Salaries - 2'!AS33</f>
        <v/>
      </c>
      <c r="AL43" s="384">
        <f>'Headcount &amp; Salaries - 2'!AT33</f>
        <v/>
      </c>
      <c r="AM43" s="384">
        <f>'Headcount &amp; Salaries - 2'!AU33</f>
        <v/>
      </c>
      <c r="AN43" s="542">
        <f>'Headcount &amp; Salaries - 2'!AV33</f>
        <v/>
      </c>
      <c r="AO43" s="384">
        <f>'Headcount &amp; Salaries - 2'!AW33</f>
        <v/>
      </c>
      <c r="AP43" s="384">
        <f>'Headcount &amp; Salaries - 2'!AX33</f>
        <v/>
      </c>
      <c r="AQ43" s="384">
        <f>'Headcount &amp; Salaries - 2'!AY33</f>
        <v/>
      </c>
      <c r="AR43" s="384">
        <f>'Headcount &amp; Salaries - 2'!AZ33</f>
        <v/>
      </c>
      <c r="AS43" s="384">
        <f>'Headcount &amp; Salaries - 2'!BA33</f>
        <v/>
      </c>
      <c r="AT43" s="384">
        <f>'Headcount &amp; Salaries - 2'!BB33</f>
        <v/>
      </c>
      <c r="AU43" s="384">
        <f>'Headcount &amp; Salaries - 2'!BC33</f>
        <v/>
      </c>
      <c r="AV43" s="384">
        <f>'Headcount &amp; Salaries - 2'!BD33</f>
        <v/>
      </c>
      <c r="AW43" s="384">
        <f>'Headcount &amp; Salaries - 2'!BE33</f>
        <v/>
      </c>
      <c r="AX43" s="384">
        <f>'Headcount &amp; Salaries - 2'!BF33</f>
        <v/>
      </c>
      <c r="AY43" s="565">
        <f>'Headcount &amp; Salaries - 2'!BG33</f>
        <v/>
      </c>
      <c r="AZ43" s="542">
        <f>'Headcount &amp; Salaries - 2'!BH33</f>
        <v/>
      </c>
      <c r="BA43" s="384">
        <f>'Headcount &amp; Salaries - 2'!BI33</f>
        <v/>
      </c>
      <c r="BB43" s="384">
        <f>'Headcount &amp; Salaries - 2'!BJ33</f>
        <v/>
      </c>
      <c r="BC43" s="384">
        <f>'Headcount &amp; Salaries - 2'!BK33</f>
        <v/>
      </c>
      <c r="BD43" s="384">
        <f>'Headcount &amp; Salaries - 2'!BL33</f>
        <v/>
      </c>
      <c r="BE43" s="384">
        <f>'Headcount &amp; Salaries - 2'!BM33</f>
        <v/>
      </c>
      <c r="BF43" s="384">
        <f>'Headcount &amp; Salaries - 2'!BN33</f>
        <v/>
      </c>
      <c r="BG43" s="384">
        <f>'Headcount &amp; Salaries - 2'!BO33</f>
        <v/>
      </c>
      <c r="BH43" s="384">
        <f>'Headcount &amp; Salaries - 2'!BP33</f>
        <v/>
      </c>
      <c r="BI43" s="384">
        <f>'Headcount &amp; Salaries - 2'!BQ33</f>
        <v/>
      </c>
      <c r="BJ43" s="384">
        <f>'Headcount &amp; Salaries - 2'!BR33</f>
        <v/>
      </c>
      <c r="BK43" s="384">
        <f>'Headcount &amp; Salaries - 2'!BS33</f>
        <v/>
      </c>
      <c r="BL43" s="542">
        <f>'Headcount &amp; Salaries - 2'!BT33</f>
        <v/>
      </c>
      <c r="BM43" s="384">
        <f>'Headcount &amp; Salaries - 2'!BU33</f>
        <v/>
      </c>
      <c r="BN43" s="384">
        <f>'Headcount &amp; Salaries - 2'!BV33</f>
        <v/>
      </c>
      <c r="BO43" s="384">
        <f>'Headcount &amp; Salaries - 2'!BW33</f>
        <v/>
      </c>
      <c r="BP43" s="384">
        <f>'Headcount &amp; Salaries - 2'!BX33</f>
        <v/>
      </c>
      <c r="BQ43" s="384">
        <f>'Headcount &amp; Salaries - 2'!BY33</f>
        <v/>
      </c>
      <c r="BR43" s="384">
        <f>'Headcount &amp; Salaries - 2'!BZ33</f>
        <v/>
      </c>
      <c r="BS43" s="384">
        <f>'Headcount &amp; Salaries - 2'!CA33</f>
        <v/>
      </c>
      <c r="BT43" s="384">
        <f>'Headcount &amp; Salaries - 2'!CB33</f>
        <v/>
      </c>
      <c r="BU43" s="384">
        <f>'Headcount &amp; Salaries - 2'!CC33</f>
        <v/>
      </c>
      <c r="BV43" s="384">
        <f>'Headcount &amp; Salaries - 2'!CD33</f>
        <v/>
      </c>
      <c r="BW43" s="384">
        <f>'Headcount &amp; Salaries - 2'!CE33</f>
        <v/>
      </c>
      <c r="BX43" s="383" t="n"/>
      <c r="BY43" s="383" t="n"/>
      <c r="BZ43" s="383" t="n"/>
      <c r="CA43" s="383" t="n"/>
      <c r="CB43" s="383" t="n"/>
      <c r="CC43" s="383" t="n"/>
      <c r="CD43" s="383" t="n"/>
      <c r="CE43" s="383" t="n"/>
      <c r="CF43" s="383" t="n"/>
      <c r="CG43" s="383" t="n"/>
      <c r="CH43" s="383" t="n"/>
      <c r="CI43" s="383" t="n"/>
      <c r="CJ43" s="383" t="n"/>
      <c r="CK43" s="383" t="n"/>
      <c r="CL43" s="383" t="n"/>
      <c r="CM43" s="383" t="n"/>
      <c r="CN43" s="383" t="n"/>
      <c r="CO43" s="383" t="n"/>
      <c r="CP43" s="383" t="n"/>
      <c r="CQ43" s="383" t="n"/>
      <c r="CR43" s="383" t="n"/>
      <c r="CS43" s="383" t="n"/>
      <c r="CT43" s="383" t="n"/>
      <c r="CU43" s="383" t="n"/>
      <c r="CV43" s="383" t="n"/>
      <c r="CW43" s="383" t="n"/>
      <c r="CX43" s="383" t="n"/>
      <c r="CY43" s="383" t="n"/>
      <c r="CZ43" s="383" t="n"/>
      <c r="DA43" s="383" t="n"/>
      <c r="DB43" s="383" t="n"/>
      <c r="DC43" s="383" t="n"/>
      <c r="DD43" s="383" t="n"/>
      <c r="DE43" s="383" t="n"/>
      <c r="DF43" s="383" t="n"/>
      <c r="DG43" s="383" t="n"/>
      <c r="DH43" s="383" t="n"/>
      <c r="DI43" s="383" t="n"/>
      <c r="DJ43" s="383" t="n"/>
      <c r="DK43" s="383" t="n"/>
      <c r="DL43" s="383" t="n"/>
      <c r="DM43" s="383" t="n"/>
      <c r="DN43" s="383" t="n"/>
      <c r="DO43" s="383" t="n"/>
      <c r="DP43" s="383" t="n"/>
      <c r="DQ43" s="383" t="n"/>
      <c r="DR43" s="383" t="n"/>
      <c r="DS43" s="383" t="n"/>
      <c r="DT43" s="383" t="n"/>
      <c r="DU43" s="383" t="n"/>
      <c r="DV43" s="383" t="n"/>
      <c r="DW43" s="383" t="n"/>
      <c r="DX43" s="383" t="n"/>
      <c r="DY43" s="383" t="n"/>
      <c r="DZ43" s="383" t="n"/>
      <c r="EA43" s="383" t="n"/>
      <c r="EB43" s="383" t="n"/>
      <c r="EC43" s="383" t="n"/>
      <c r="ED43" s="383" t="n"/>
      <c r="EE43" s="383" t="n"/>
      <c r="EF43" s="383" t="n"/>
      <c r="EG43" s="383" t="n"/>
      <c r="EH43" s="383" t="n"/>
      <c r="EI43" s="383" t="n"/>
      <c r="EJ43" s="383" t="n"/>
      <c r="EK43" s="383" t="n"/>
      <c r="EL43" s="383" t="n"/>
      <c r="EM43" s="383" t="n"/>
      <c r="EN43" s="383" t="n"/>
      <c r="EO43" s="383" t="n"/>
      <c r="EP43" s="383" t="n"/>
      <c r="EQ43" s="383" t="n"/>
      <c r="ER43" s="383" t="n"/>
      <c r="ES43" s="383" t="n"/>
      <c r="ET43" s="383" t="n"/>
      <c r="EU43" s="383" t="n"/>
      <c r="EV43" s="383" t="n"/>
      <c r="EW43" s="383" t="n"/>
      <c r="EX43" s="383" t="n"/>
      <c r="EY43" s="383" t="n"/>
      <c r="EZ43" s="383" t="n"/>
      <c r="FA43" s="383" t="n"/>
      <c r="FB43" s="383" t="n"/>
      <c r="FC43" s="383" t="n"/>
      <c r="FD43" s="383" t="n"/>
      <c r="FE43" s="383" t="n"/>
      <c r="FF43" s="383" t="n"/>
      <c r="FG43" s="383" t="n"/>
      <c r="FH43" s="383" t="n"/>
      <c r="FI43" s="383" t="n"/>
      <c r="FJ43" s="383" t="n"/>
      <c r="FK43" s="383" t="n"/>
      <c r="FL43" s="383" t="n"/>
      <c r="FM43" s="383" t="n"/>
      <c r="FN43" s="383" t="n"/>
      <c r="FO43" s="383" t="n"/>
      <c r="FP43" s="383" t="n"/>
      <c r="FQ43" s="383" t="n"/>
      <c r="FR43" s="383" t="n"/>
      <c r="FS43" s="383" t="n"/>
      <c r="FT43" s="383" t="n"/>
      <c r="FU43" s="383" t="n"/>
      <c r="FV43" s="383" t="n"/>
      <c r="FW43" s="383" t="n"/>
      <c r="FX43" s="383" t="n"/>
      <c r="FY43" s="383" t="n"/>
      <c r="FZ43" s="383" t="n"/>
      <c r="GA43" s="383" t="n"/>
      <c r="GB43" s="383" t="n"/>
      <c r="GC43" s="383" t="n"/>
      <c r="GD43" s="383" t="n"/>
      <c r="GE43" s="383" t="n"/>
      <c r="GF43" s="383" t="n"/>
      <c r="GG43" s="383" t="n"/>
      <c r="GH43" s="383" t="n"/>
      <c r="GI43" s="383" t="n"/>
      <c r="GJ43" s="383" t="n"/>
      <c r="GK43" s="383" t="n"/>
      <c r="GL43" s="383" t="n"/>
      <c r="GM43" s="383" t="n"/>
      <c r="GN43" s="383" t="n"/>
      <c r="GO43" s="383" t="n"/>
      <c r="GP43" s="383" t="n"/>
      <c r="GQ43" s="383" t="n"/>
      <c r="GR43" s="383" t="n"/>
      <c r="GS43" s="383" t="n"/>
      <c r="GT43" s="383" t="n"/>
      <c r="GU43" s="383" t="n"/>
      <c r="GV43" s="383" t="n"/>
      <c r="GW43" s="383" t="n"/>
      <c r="GX43" s="383" t="n"/>
      <c r="GY43" s="383" t="n"/>
    </row>
    <row r="44" ht="15" customHeight="1" s="1883">
      <c r="A44" s="383" t="n"/>
      <c r="B44" s="133" t="inlineStr">
        <is>
          <t>√</t>
        </is>
      </c>
      <c r="C44" s="383" t="n"/>
      <c r="D44" s="390" t="inlineStr">
        <is>
          <t>●</t>
        </is>
      </c>
      <c r="E44" s="668" t="inlineStr">
        <is>
          <t>TBD  - Operations Project Managers</t>
        </is>
      </c>
      <c r="F44" s="696" t="n"/>
      <c r="G44" s="696" t="n"/>
      <c r="H44" s="696" t="n"/>
      <c r="I44" s="383" t="n"/>
      <c r="J44" s="701">
        <f>'Headcount &amp; Salaries - 2'!G34</f>
        <v/>
      </c>
      <c r="K44" s="1282">
        <f>J44*1.03</f>
        <v/>
      </c>
      <c r="L44" s="1282">
        <f>K44*1.03</f>
        <v/>
      </c>
      <c r="M44" s="1282">
        <f>L44*1.03</f>
        <v/>
      </c>
      <c r="N44" s="1282">
        <f>M44*1.03</f>
        <v/>
      </c>
      <c r="O44" s="383" t="n"/>
      <c r="P44" s="384" t="n">
        <v>1</v>
      </c>
      <c r="Q44" s="384" t="n">
        <v>1</v>
      </c>
      <c r="R44" s="384" t="n">
        <v>1</v>
      </c>
      <c r="S44" s="384" t="n">
        <v>1</v>
      </c>
      <c r="T44" s="384" t="n">
        <v>1</v>
      </c>
      <c r="U44" s="384" t="n">
        <v>1</v>
      </c>
      <c r="V44" s="384" t="n">
        <v>1</v>
      </c>
      <c r="W44" s="384" t="n">
        <v>1</v>
      </c>
      <c r="X44" s="384" t="n">
        <v>1</v>
      </c>
      <c r="Y44" s="384" t="n">
        <v>1</v>
      </c>
      <c r="Z44" s="384" t="n">
        <v>1</v>
      </c>
      <c r="AA44" s="384" t="n">
        <v>1</v>
      </c>
      <c r="AB44" s="542">
        <f>'Headcount &amp; Salaries - 2'!AJ34</f>
        <v/>
      </c>
      <c r="AC44" s="384">
        <f>'Headcount &amp; Salaries - 2'!AK34</f>
        <v/>
      </c>
      <c r="AD44" s="384">
        <f>'Headcount &amp; Salaries - 2'!AL34</f>
        <v/>
      </c>
      <c r="AE44" s="384">
        <f>'Headcount &amp; Salaries - 2'!AM34</f>
        <v/>
      </c>
      <c r="AF44" s="384">
        <f>'Headcount &amp; Salaries - 2'!AN34</f>
        <v/>
      </c>
      <c r="AG44" s="384">
        <f>'Headcount &amp; Salaries - 2'!AO34</f>
        <v/>
      </c>
      <c r="AH44" s="384">
        <f>'Headcount &amp; Salaries - 2'!AP34</f>
        <v/>
      </c>
      <c r="AI44" s="384">
        <f>'Headcount &amp; Salaries - 2'!AQ34</f>
        <v/>
      </c>
      <c r="AJ44" s="384">
        <f>'Headcount &amp; Salaries - 2'!AR34</f>
        <v/>
      </c>
      <c r="AK44" s="384">
        <f>'Headcount &amp; Salaries - 2'!AS34</f>
        <v/>
      </c>
      <c r="AL44" s="384">
        <f>'Headcount &amp; Salaries - 2'!AT34</f>
        <v/>
      </c>
      <c r="AM44" s="384">
        <f>'Headcount &amp; Salaries - 2'!AU34</f>
        <v/>
      </c>
      <c r="AN44" s="542">
        <f>'Headcount &amp; Salaries - 2'!AV34</f>
        <v/>
      </c>
      <c r="AO44" s="384">
        <f>'Headcount &amp; Salaries - 2'!AW34</f>
        <v/>
      </c>
      <c r="AP44" s="384">
        <f>'Headcount &amp; Salaries - 2'!AX34</f>
        <v/>
      </c>
      <c r="AQ44" s="384">
        <f>'Headcount &amp; Salaries - 2'!AY34</f>
        <v/>
      </c>
      <c r="AR44" s="384">
        <f>'Headcount &amp; Salaries - 2'!AZ34</f>
        <v/>
      </c>
      <c r="AS44" s="384">
        <f>'Headcount &amp; Salaries - 2'!BA34</f>
        <v/>
      </c>
      <c r="AT44" s="384">
        <f>'Headcount &amp; Salaries - 2'!BB34</f>
        <v/>
      </c>
      <c r="AU44" s="384">
        <f>'Headcount &amp; Salaries - 2'!BC34</f>
        <v/>
      </c>
      <c r="AV44" s="384">
        <f>'Headcount &amp; Salaries - 2'!BD34</f>
        <v/>
      </c>
      <c r="AW44" s="384">
        <f>'Headcount &amp; Salaries - 2'!BE34</f>
        <v/>
      </c>
      <c r="AX44" s="384">
        <f>'Headcount &amp; Salaries - 2'!BF34</f>
        <v/>
      </c>
      <c r="AY44" s="565">
        <f>'Headcount &amp; Salaries - 2'!BG34</f>
        <v/>
      </c>
      <c r="AZ44" s="542">
        <f>'Headcount &amp; Salaries - 2'!BH34</f>
        <v/>
      </c>
      <c r="BA44" s="384">
        <f>'Headcount &amp; Salaries - 2'!BI34</f>
        <v/>
      </c>
      <c r="BB44" s="384">
        <f>'Headcount &amp; Salaries - 2'!BJ34</f>
        <v/>
      </c>
      <c r="BC44" s="384">
        <f>'Headcount &amp; Salaries - 2'!BK34</f>
        <v/>
      </c>
      <c r="BD44" s="384">
        <f>'Headcount &amp; Salaries - 2'!BL34</f>
        <v/>
      </c>
      <c r="BE44" s="384">
        <f>'Headcount &amp; Salaries - 2'!BM34</f>
        <v/>
      </c>
      <c r="BF44" s="384">
        <f>'Headcount &amp; Salaries - 2'!BN34</f>
        <v/>
      </c>
      <c r="BG44" s="384">
        <f>'Headcount &amp; Salaries - 2'!BO34</f>
        <v/>
      </c>
      <c r="BH44" s="384">
        <f>'Headcount &amp; Salaries - 2'!BP34</f>
        <v/>
      </c>
      <c r="BI44" s="384">
        <f>'Headcount &amp; Salaries - 2'!BQ34</f>
        <v/>
      </c>
      <c r="BJ44" s="384">
        <f>'Headcount &amp; Salaries - 2'!BR34</f>
        <v/>
      </c>
      <c r="BK44" s="384">
        <f>'Headcount &amp; Salaries - 2'!BS34</f>
        <v/>
      </c>
      <c r="BL44" s="542">
        <f>'Headcount &amp; Salaries - 2'!BT34</f>
        <v/>
      </c>
      <c r="BM44" s="384">
        <f>'Headcount &amp; Salaries - 2'!BU34</f>
        <v/>
      </c>
      <c r="BN44" s="384">
        <f>'Headcount &amp; Salaries - 2'!BV34</f>
        <v/>
      </c>
      <c r="BO44" s="384">
        <f>'Headcount &amp; Salaries - 2'!BW34</f>
        <v/>
      </c>
      <c r="BP44" s="384">
        <f>'Headcount &amp; Salaries - 2'!BX34</f>
        <v/>
      </c>
      <c r="BQ44" s="384">
        <f>'Headcount &amp; Salaries - 2'!BY34</f>
        <v/>
      </c>
      <c r="BR44" s="384">
        <f>'Headcount &amp; Salaries - 2'!BZ34</f>
        <v/>
      </c>
      <c r="BS44" s="384">
        <f>'Headcount &amp; Salaries - 2'!CA34</f>
        <v/>
      </c>
      <c r="BT44" s="384">
        <f>'Headcount &amp; Salaries - 2'!CB34</f>
        <v/>
      </c>
      <c r="BU44" s="384">
        <f>'Headcount &amp; Salaries - 2'!CC34</f>
        <v/>
      </c>
      <c r="BV44" s="384">
        <f>'Headcount &amp; Salaries - 2'!CD34</f>
        <v/>
      </c>
      <c r="BW44" s="384">
        <f>'Headcount &amp; Salaries - 2'!CE34</f>
        <v/>
      </c>
      <c r="BX44" s="383" t="n"/>
      <c r="BY44" s="383" t="n"/>
      <c r="BZ44" s="383" t="n"/>
      <c r="CA44" s="383" t="n"/>
      <c r="CB44" s="383" t="n"/>
      <c r="CC44" s="383" t="n"/>
      <c r="CD44" s="383" t="n"/>
      <c r="CE44" s="383" t="n"/>
      <c r="CF44" s="383" t="n"/>
      <c r="CG44" s="383" t="n"/>
      <c r="CH44" s="383" t="n"/>
      <c r="CI44" s="383" t="n"/>
      <c r="CJ44" s="383" t="n"/>
      <c r="CK44" s="383" t="n"/>
      <c r="CL44" s="383" t="n"/>
      <c r="CM44" s="383" t="n"/>
      <c r="CN44" s="383" t="n"/>
      <c r="CO44" s="383" t="n"/>
      <c r="CP44" s="383" t="n"/>
      <c r="CQ44" s="383" t="n"/>
      <c r="CR44" s="383" t="n"/>
      <c r="CS44" s="383" t="n"/>
      <c r="CT44" s="383" t="n"/>
      <c r="CU44" s="383" t="n"/>
      <c r="CV44" s="383" t="n"/>
      <c r="CW44" s="383" t="n"/>
      <c r="CX44" s="383" t="n"/>
      <c r="CY44" s="383" t="n"/>
      <c r="CZ44" s="383" t="n"/>
      <c r="DA44" s="383" t="n"/>
      <c r="DB44" s="383" t="n"/>
      <c r="DC44" s="383" t="n"/>
      <c r="DD44" s="383" t="n"/>
      <c r="DE44" s="383" t="n"/>
      <c r="DF44" s="383" t="n"/>
      <c r="DG44" s="383" t="n"/>
      <c r="DH44" s="383" t="n"/>
      <c r="DI44" s="383" t="n"/>
      <c r="DJ44" s="383" t="n"/>
      <c r="DK44" s="383" t="n"/>
      <c r="DL44" s="383" t="n"/>
      <c r="DM44" s="383" t="n"/>
      <c r="DN44" s="383" t="n"/>
      <c r="DO44" s="383" t="n"/>
      <c r="DP44" s="383" t="n"/>
      <c r="DQ44" s="383" t="n"/>
      <c r="DR44" s="383" t="n"/>
      <c r="DS44" s="383" t="n"/>
      <c r="DT44" s="383" t="n"/>
      <c r="DU44" s="383" t="n"/>
      <c r="DV44" s="383" t="n"/>
      <c r="DW44" s="383" t="n"/>
      <c r="DX44" s="383" t="n"/>
      <c r="DY44" s="383" t="n"/>
      <c r="DZ44" s="383" t="n"/>
      <c r="EA44" s="383" t="n"/>
      <c r="EB44" s="383" t="n"/>
      <c r="EC44" s="383" t="n"/>
      <c r="ED44" s="383" t="n"/>
      <c r="EE44" s="383" t="n"/>
      <c r="EF44" s="383" t="n"/>
      <c r="EG44" s="383" t="n"/>
      <c r="EH44" s="383" t="n"/>
      <c r="EI44" s="383" t="n"/>
      <c r="EJ44" s="383" t="n"/>
      <c r="EK44" s="383" t="n"/>
      <c r="EL44" s="383" t="n"/>
      <c r="EM44" s="383" t="n"/>
      <c r="EN44" s="383" t="n"/>
      <c r="EO44" s="383" t="n"/>
      <c r="EP44" s="383" t="n"/>
      <c r="EQ44" s="383" t="n"/>
      <c r="ER44" s="383" t="n"/>
      <c r="ES44" s="383" t="n"/>
      <c r="ET44" s="383" t="n"/>
      <c r="EU44" s="383" t="n"/>
      <c r="EV44" s="383" t="n"/>
      <c r="EW44" s="383" t="n"/>
      <c r="EX44" s="383" t="n"/>
      <c r="EY44" s="383" t="n"/>
      <c r="EZ44" s="383" t="n"/>
      <c r="FA44" s="383" t="n"/>
      <c r="FB44" s="383" t="n"/>
      <c r="FC44" s="383" t="n"/>
      <c r="FD44" s="383" t="n"/>
      <c r="FE44" s="383" t="n"/>
      <c r="FF44" s="383" t="n"/>
      <c r="FG44" s="383" t="n"/>
      <c r="FH44" s="383" t="n"/>
      <c r="FI44" s="383" t="n"/>
      <c r="FJ44" s="383" t="n"/>
      <c r="FK44" s="383" t="n"/>
      <c r="FL44" s="383" t="n"/>
      <c r="FM44" s="383" t="n"/>
      <c r="FN44" s="383" t="n"/>
      <c r="FO44" s="383" t="n"/>
      <c r="FP44" s="383" t="n"/>
      <c r="FQ44" s="383" t="n"/>
      <c r="FR44" s="383" t="n"/>
      <c r="FS44" s="383" t="n"/>
      <c r="FT44" s="383" t="n"/>
      <c r="FU44" s="383" t="n"/>
      <c r="FV44" s="383" t="n"/>
      <c r="FW44" s="383" t="n"/>
      <c r="FX44" s="383" t="n"/>
      <c r="FY44" s="383" t="n"/>
      <c r="FZ44" s="383" t="n"/>
      <c r="GA44" s="383" t="n"/>
      <c r="GB44" s="383" t="n"/>
      <c r="GC44" s="383" t="n"/>
      <c r="GD44" s="383" t="n"/>
      <c r="GE44" s="383" t="n"/>
      <c r="GF44" s="383" t="n"/>
      <c r="GG44" s="383" t="n"/>
      <c r="GH44" s="383" t="n"/>
      <c r="GI44" s="383" t="n"/>
      <c r="GJ44" s="383" t="n"/>
      <c r="GK44" s="383" t="n"/>
      <c r="GL44" s="383" t="n"/>
      <c r="GM44" s="383" t="n"/>
      <c r="GN44" s="383" t="n"/>
      <c r="GO44" s="383" t="n"/>
      <c r="GP44" s="383" t="n"/>
      <c r="GQ44" s="383" t="n"/>
      <c r="GR44" s="383" t="n"/>
      <c r="GS44" s="383" t="n"/>
      <c r="GT44" s="383" t="n"/>
      <c r="GU44" s="383" t="n"/>
      <c r="GV44" s="383" t="n"/>
      <c r="GW44" s="383" t="n"/>
      <c r="GX44" s="383" t="n"/>
      <c r="GY44" s="383" t="n"/>
    </row>
    <row r="45" ht="15" customHeight="1" s="1883">
      <c r="A45" s="383" t="n"/>
      <c r="B45" s="133" t="inlineStr">
        <is>
          <t>√</t>
        </is>
      </c>
      <c r="C45" s="383" t="n"/>
      <c r="D45" s="390" t="inlineStr">
        <is>
          <t>●</t>
        </is>
      </c>
      <c r="E45" s="668" t="inlineStr">
        <is>
          <t>Natasha Green - Director, Operations  Pure Marketing</t>
        </is>
      </c>
      <c r="F45" s="696" t="n"/>
      <c r="G45" s="696" t="n"/>
      <c r="H45" s="696" t="n"/>
      <c r="I45" s="383" t="n"/>
      <c r="J45" s="701">
        <f>'Headcount &amp; Salaries - 2'!G35</f>
        <v/>
      </c>
      <c r="K45" s="1282">
        <f>J45*1.03</f>
        <v/>
      </c>
      <c r="L45" s="1282">
        <f>K45*1.03</f>
        <v/>
      </c>
      <c r="M45" s="1282">
        <f>L45*1.03</f>
        <v/>
      </c>
      <c r="N45" s="1282">
        <f>M45*1.03</f>
        <v/>
      </c>
      <c r="O45" s="383" t="n"/>
      <c r="P45" s="384" t="n">
        <v>1</v>
      </c>
      <c r="Q45" s="384" t="n">
        <v>1</v>
      </c>
      <c r="R45" s="384" t="n">
        <v>1</v>
      </c>
      <c r="S45" s="384" t="n">
        <v>1</v>
      </c>
      <c r="T45" s="384" t="n">
        <v>1</v>
      </c>
      <c r="U45" s="384" t="n">
        <v>1</v>
      </c>
      <c r="V45" s="384" t="n">
        <v>1</v>
      </c>
      <c r="W45" s="384" t="n">
        <v>1</v>
      </c>
      <c r="X45" s="384" t="n">
        <v>1</v>
      </c>
      <c r="Y45" s="384" t="n">
        <v>1</v>
      </c>
      <c r="Z45" s="384" t="n">
        <v>1</v>
      </c>
      <c r="AA45" s="384" t="n">
        <v>1</v>
      </c>
      <c r="AB45" s="542">
        <f>'Headcount &amp; Salaries - 2'!AJ35</f>
        <v/>
      </c>
      <c r="AC45" s="384">
        <f>'Headcount &amp; Salaries - 2'!AK35</f>
        <v/>
      </c>
      <c r="AD45" s="384">
        <f>'Headcount &amp; Salaries - 2'!AL35</f>
        <v/>
      </c>
      <c r="AE45" s="384">
        <f>'Headcount &amp; Salaries - 2'!AM35</f>
        <v/>
      </c>
      <c r="AF45" s="384">
        <f>'Headcount &amp; Salaries - 2'!AN35</f>
        <v/>
      </c>
      <c r="AG45" s="384">
        <f>'Headcount &amp; Salaries - 2'!AO35</f>
        <v/>
      </c>
      <c r="AH45" s="384">
        <f>'Headcount &amp; Salaries - 2'!AP35</f>
        <v/>
      </c>
      <c r="AI45" s="384">
        <f>'Headcount &amp; Salaries - 2'!AQ35</f>
        <v/>
      </c>
      <c r="AJ45" s="384">
        <f>'Headcount &amp; Salaries - 2'!AR35</f>
        <v/>
      </c>
      <c r="AK45" s="384">
        <f>'Headcount &amp; Salaries - 2'!AS35</f>
        <v/>
      </c>
      <c r="AL45" s="384">
        <f>'Headcount &amp; Salaries - 2'!AT35</f>
        <v/>
      </c>
      <c r="AM45" s="384">
        <f>'Headcount &amp; Salaries - 2'!AU35</f>
        <v/>
      </c>
      <c r="AN45" s="542">
        <f>'Headcount &amp; Salaries - 2'!AV35</f>
        <v/>
      </c>
      <c r="AO45" s="384">
        <f>'Headcount &amp; Salaries - 2'!AW35</f>
        <v/>
      </c>
      <c r="AP45" s="384">
        <f>'Headcount &amp; Salaries - 2'!AX35</f>
        <v/>
      </c>
      <c r="AQ45" s="384">
        <f>'Headcount &amp; Salaries - 2'!AY35</f>
        <v/>
      </c>
      <c r="AR45" s="384">
        <f>'Headcount &amp; Salaries - 2'!AZ35</f>
        <v/>
      </c>
      <c r="AS45" s="384">
        <f>'Headcount &amp; Salaries - 2'!BA35</f>
        <v/>
      </c>
      <c r="AT45" s="384">
        <f>'Headcount &amp; Salaries - 2'!BB35</f>
        <v/>
      </c>
      <c r="AU45" s="384">
        <f>'Headcount &amp; Salaries - 2'!BC35</f>
        <v/>
      </c>
      <c r="AV45" s="384">
        <f>'Headcount &amp; Salaries - 2'!BD35</f>
        <v/>
      </c>
      <c r="AW45" s="384">
        <f>'Headcount &amp; Salaries - 2'!BE35</f>
        <v/>
      </c>
      <c r="AX45" s="384">
        <f>'Headcount &amp; Salaries - 2'!BF35</f>
        <v/>
      </c>
      <c r="AY45" s="565">
        <f>'Headcount &amp; Salaries - 2'!BG35</f>
        <v/>
      </c>
      <c r="AZ45" s="542">
        <f>'Headcount &amp; Salaries - 2'!BH35</f>
        <v/>
      </c>
      <c r="BA45" s="384">
        <f>'Headcount &amp; Salaries - 2'!BI35</f>
        <v/>
      </c>
      <c r="BB45" s="384">
        <f>'Headcount &amp; Salaries - 2'!BJ35</f>
        <v/>
      </c>
      <c r="BC45" s="384">
        <f>'Headcount &amp; Salaries - 2'!BK35</f>
        <v/>
      </c>
      <c r="BD45" s="384">
        <f>'Headcount &amp; Salaries - 2'!BL35</f>
        <v/>
      </c>
      <c r="BE45" s="384">
        <f>'Headcount &amp; Salaries - 2'!BM35</f>
        <v/>
      </c>
      <c r="BF45" s="384">
        <f>'Headcount &amp; Salaries - 2'!BN35</f>
        <v/>
      </c>
      <c r="BG45" s="384">
        <f>'Headcount &amp; Salaries - 2'!BO35</f>
        <v/>
      </c>
      <c r="BH45" s="384">
        <f>'Headcount &amp; Salaries - 2'!BP35</f>
        <v/>
      </c>
      <c r="BI45" s="384">
        <f>'Headcount &amp; Salaries - 2'!BQ35</f>
        <v/>
      </c>
      <c r="BJ45" s="384">
        <f>'Headcount &amp; Salaries - 2'!BR35</f>
        <v/>
      </c>
      <c r="BK45" s="384">
        <f>'Headcount &amp; Salaries - 2'!BS35</f>
        <v/>
      </c>
      <c r="BL45" s="542">
        <f>'Headcount &amp; Salaries - 2'!BT35</f>
        <v/>
      </c>
      <c r="BM45" s="384">
        <f>'Headcount &amp; Salaries - 2'!BU35</f>
        <v/>
      </c>
      <c r="BN45" s="384">
        <f>'Headcount &amp; Salaries - 2'!BV35</f>
        <v/>
      </c>
      <c r="BO45" s="384">
        <f>'Headcount &amp; Salaries - 2'!BW35</f>
        <v/>
      </c>
      <c r="BP45" s="384">
        <f>'Headcount &amp; Salaries - 2'!BX35</f>
        <v/>
      </c>
      <c r="BQ45" s="384">
        <f>'Headcount &amp; Salaries - 2'!BY35</f>
        <v/>
      </c>
      <c r="BR45" s="384">
        <f>'Headcount &amp; Salaries - 2'!BZ35</f>
        <v/>
      </c>
      <c r="BS45" s="384">
        <f>'Headcount &amp; Salaries - 2'!CA35</f>
        <v/>
      </c>
      <c r="BT45" s="384">
        <f>'Headcount &amp; Salaries - 2'!CB35</f>
        <v/>
      </c>
      <c r="BU45" s="384">
        <f>'Headcount &amp; Salaries - 2'!CC35</f>
        <v/>
      </c>
      <c r="BV45" s="384">
        <f>'Headcount &amp; Salaries - 2'!CD35</f>
        <v/>
      </c>
      <c r="BW45" s="384">
        <f>'Headcount &amp; Salaries - 2'!CE35</f>
        <v/>
      </c>
      <c r="BX45" s="383" t="n"/>
      <c r="BY45" s="383" t="n"/>
      <c r="BZ45" s="383" t="n"/>
      <c r="CA45" s="383" t="n"/>
      <c r="CB45" s="383" t="n"/>
      <c r="CC45" s="383" t="n"/>
      <c r="CD45" s="383" t="n"/>
      <c r="CE45" s="383" t="n"/>
      <c r="CF45" s="383" t="n"/>
      <c r="CG45" s="383" t="n"/>
      <c r="CH45" s="383" t="n"/>
      <c r="CI45" s="383" t="n"/>
      <c r="CJ45" s="383" t="n"/>
      <c r="CK45" s="383" t="n"/>
      <c r="CL45" s="383" t="n"/>
      <c r="CM45" s="383" t="n"/>
      <c r="CN45" s="383" t="n"/>
      <c r="CO45" s="383" t="n"/>
      <c r="CP45" s="383" t="n"/>
      <c r="CQ45" s="383" t="n"/>
      <c r="CR45" s="383" t="n"/>
      <c r="CS45" s="383" t="n"/>
      <c r="CT45" s="383" t="n"/>
      <c r="CU45" s="383" t="n"/>
      <c r="CV45" s="383" t="n"/>
      <c r="CW45" s="383" t="n"/>
      <c r="CX45" s="383" t="n"/>
      <c r="CY45" s="383" t="n"/>
      <c r="CZ45" s="383" t="n"/>
      <c r="DA45" s="383" t="n"/>
      <c r="DB45" s="383" t="n"/>
      <c r="DC45" s="383" t="n"/>
      <c r="DD45" s="383" t="n"/>
      <c r="DE45" s="383" t="n"/>
      <c r="DF45" s="383" t="n"/>
      <c r="DG45" s="383" t="n"/>
      <c r="DH45" s="383" t="n"/>
      <c r="DI45" s="383" t="n"/>
      <c r="DJ45" s="383" t="n"/>
      <c r="DK45" s="383" t="n"/>
      <c r="DL45" s="383" t="n"/>
      <c r="DM45" s="383" t="n"/>
      <c r="DN45" s="383" t="n"/>
      <c r="DO45" s="383" t="n"/>
      <c r="DP45" s="383" t="n"/>
      <c r="DQ45" s="383" t="n"/>
      <c r="DR45" s="383" t="n"/>
      <c r="DS45" s="383" t="n"/>
      <c r="DT45" s="383" t="n"/>
      <c r="DU45" s="383" t="n"/>
      <c r="DV45" s="383" t="n"/>
      <c r="DW45" s="383" t="n"/>
      <c r="DX45" s="383" t="n"/>
      <c r="DY45" s="383" t="n"/>
      <c r="DZ45" s="383" t="n"/>
      <c r="EA45" s="383" t="n"/>
      <c r="EB45" s="383" t="n"/>
      <c r="EC45" s="383" t="n"/>
      <c r="ED45" s="383" t="n"/>
      <c r="EE45" s="383" t="n"/>
      <c r="EF45" s="383" t="n"/>
      <c r="EG45" s="383" t="n"/>
      <c r="EH45" s="383" t="n"/>
      <c r="EI45" s="383" t="n"/>
      <c r="EJ45" s="383" t="n"/>
      <c r="EK45" s="383" t="n"/>
      <c r="EL45" s="383" t="n"/>
      <c r="EM45" s="383" t="n"/>
      <c r="EN45" s="383" t="n"/>
      <c r="EO45" s="383" t="n"/>
      <c r="EP45" s="383" t="n"/>
      <c r="EQ45" s="383" t="n"/>
      <c r="ER45" s="383" t="n"/>
      <c r="ES45" s="383" t="n"/>
      <c r="ET45" s="383" t="n"/>
      <c r="EU45" s="383" t="n"/>
      <c r="EV45" s="383" t="n"/>
      <c r="EW45" s="383" t="n"/>
      <c r="EX45" s="383" t="n"/>
      <c r="EY45" s="383" t="n"/>
      <c r="EZ45" s="383" t="n"/>
      <c r="FA45" s="383" t="n"/>
      <c r="FB45" s="383" t="n"/>
      <c r="FC45" s="383" t="n"/>
      <c r="FD45" s="383" t="n"/>
      <c r="FE45" s="383" t="n"/>
      <c r="FF45" s="383" t="n"/>
      <c r="FG45" s="383" t="n"/>
      <c r="FH45" s="383" t="n"/>
      <c r="FI45" s="383" t="n"/>
      <c r="FJ45" s="383" t="n"/>
      <c r="FK45" s="383" t="n"/>
      <c r="FL45" s="383" t="n"/>
      <c r="FM45" s="383" t="n"/>
      <c r="FN45" s="383" t="n"/>
      <c r="FO45" s="383" t="n"/>
      <c r="FP45" s="383" t="n"/>
      <c r="FQ45" s="383" t="n"/>
      <c r="FR45" s="383" t="n"/>
      <c r="FS45" s="383" t="n"/>
      <c r="FT45" s="383" t="n"/>
      <c r="FU45" s="383" t="n"/>
      <c r="FV45" s="383" t="n"/>
      <c r="FW45" s="383" t="n"/>
      <c r="FX45" s="383" t="n"/>
      <c r="FY45" s="383" t="n"/>
      <c r="FZ45" s="383" t="n"/>
      <c r="GA45" s="383" t="n"/>
      <c r="GB45" s="383" t="n"/>
      <c r="GC45" s="383" t="n"/>
      <c r="GD45" s="383" t="n"/>
      <c r="GE45" s="383" t="n"/>
      <c r="GF45" s="383" t="n"/>
      <c r="GG45" s="383" t="n"/>
      <c r="GH45" s="383" t="n"/>
      <c r="GI45" s="383" t="n"/>
      <c r="GJ45" s="383" t="n"/>
      <c r="GK45" s="383" t="n"/>
      <c r="GL45" s="383" t="n"/>
      <c r="GM45" s="383" t="n"/>
      <c r="GN45" s="383" t="n"/>
      <c r="GO45" s="383" t="n"/>
      <c r="GP45" s="383" t="n"/>
      <c r="GQ45" s="383" t="n"/>
      <c r="GR45" s="383" t="n"/>
      <c r="GS45" s="383" t="n"/>
      <c r="GT45" s="383" t="n"/>
      <c r="GU45" s="383" t="n"/>
      <c r="GV45" s="383" t="n"/>
      <c r="GW45" s="383" t="n"/>
      <c r="GX45" s="383" t="n"/>
      <c r="GY45" s="383" t="n"/>
    </row>
    <row r="46" ht="15" customHeight="1" s="1883">
      <c r="A46" s="383" t="n"/>
      <c r="B46" s="133" t="inlineStr">
        <is>
          <t>√</t>
        </is>
      </c>
      <c r="C46" s="383" t="n"/>
      <c r="D46" s="390" t="inlineStr">
        <is>
          <t>●</t>
        </is>
      </c>
      <c r="E46" s="699" t="inlineStr">
        <is>
          <t>Mireille Dirany - Operations Lead</t>
        </is>
      </c>
      <c r="F46" s="696" t="n"/>
      <c r="G46" s="696" t="n"/>
      <c r="H46" s="696" t="n"/>
      <c r="I46" s="383" t="n"/>
      <c r="J46" s="700" t="n">
        <v>75000</v>
      </c>
      <c r="K46" s="1282">
        <f>J46*1.03</f>
        <v/>
      </c>
      <c r="L46" s="1282">
        <f>K46*1.03</f>
        <v/>
      </c>
      <c r="M46" s="1282">
        <f>L46*1.03</f>
        <v/>
      </c>
      <c r="N46" s="1282">
        <f>M46*1.03</f>
        <v/>
      </c>
      <c r="O46" s="383" t="n"/>
      <c r="P46" s="384" t="n">
        <v>1</v>
      </c>
      <c r="Q46" s="384" t="n">
        <v>1</v>
      </c>
      <c r="R46" s="384" t="n">
        <v>1</v>
      </c>
      <c r="S46" s="384" t="n">
        <v>1</v>
      </c>
      <c r="T46" s="384" t="n">
        <v>1</v>
      </c>
      <c r="U46" s="384" t="n">
        <v>1</v>
      </c>
      <c r="V46" s="384" t="n">
        <v>1</v>
      </c>
      <c r="W46" s="384" t="n">
        <v>1</v>
      </c>
      <c r="X46" s="384" t="n">
        <v>1</v>
      </c>
      <c r="Y46" s="384" t="n">
        <v>1</v>
      </c>
      <c r="Z46" s="384" t="n">
        <v>1</v>
      </c>
      <c r="AA46" s="384" t="n">
        <v>1</v>
      </c>
      <c r="AB46" s="542" t="n">
        <v>1</v>
      </c>
      <c r="AC46" s="384" t="n">
        <v>1</v>
      </c>
      <c r="AD46" s="384" t="n">
        <v>1</v>
      </c>
      <c r="AE46" s="384" t="n">
        <v>1</v>
      </c>
      <c r="AF46" s="384" t="n">
        <v>1</v>
      </c>
      <c r="AG46" s="384" t="n">
        <v>1</v>
      </c>
      <c r="AH46" s="384" t="n">
        <v>1</v>
      </c>
      <c r="AI46" s="384" t="n">
        <v>1</v>
      </c>
      <c r="AJ46" s="384" t="n">
        <v>1</v>
      </c>
      <c r="AK46" s="384" t="n">
        <v>1</v>
      </c>
      <c r="AL46" s="384" t="n">
        <v>1</v>
      </c>
      <c r="AM46" s="384" t="n">
        <v>1</v>
      </c>
      <c r="AN46" s="542" t="n">
        <v>1</v>
      </c>
      <c r="AO46" s="384" t="n">
        <v>1</v>
      </c>
      <c r="AP46" s="384" t="n">
        <v>1</v>
      </c>
      <c r="AQ46" s="384" t="n">
        <v>1</v>
      </c>
      <c r="AR46" s="384" t="n">
        <v>1</v>
      </c>
      <c r="AS46" s="384" t="n">
        <v>1</v>
      </c>
      <c r="AT46" s="384" t="n">
        <v>1</v>
      </c>
      <c r="AU46" s="384" t="n">
        <v>1</v>
      </c>
      <c r="AV46" s="384" t="n">
        <v>1</v>
      </c>
      <c r="AW46" s="384" t="n">
        <v>1</v>
      </c>
      <c r="AX46" s="384" t="n">
        <v>1</v>
      </c>
      <c r="AY46" s="384" t="n">
        <v>1</v>
      </c>
      <c r="AZ46" s="542" t="n">
        <v>1</v>
      </c>
      <c r="BA46" s="384" t="n">
        <v>1</v>
      </c>
      <c r="BB46" s="384" t="n">
        <v>1</v>
      </c>
      <c r="BC46" s="384" t="n">
        <v>1</v>
      </c>
      <c r="BD46" s="384" t="n">
        <v>1</v>
      </c>
      <c r="BE46" s="384" t="n">
        <v>1</v>
      </c>
      <c r="BF46" s="384" t="n">
        <v>1</v>
      </c>
      <c r="BG46" s="384" t="n">
        <v>1</v>
      </c>
      <c r="BH46" s="384" t="n">
        <v>1</v>
      </c>
      <c r="BI46" s="384" t="n">
        <v>1</v>
      </c>
      <c r="BJ46" s="384" t="n">
        <v>1</v>
      </c>
      <c r="BK46" s="384" t="n">
        <v>1</v>
      </c>
      <c r="BL46" s="542" t="n">
        <v>1</v>
      </c>
      <c r="BM46" s="384" t="n">
        <v>1</v>
      </c>
      <c r="BN46" s="384" t="n">
        <v>1</v>
      </c>
      <c r="BO46" s="384" t="n">
        <v>1</v>
      </c>
      <c r="BP46" s="384" t="n">
        <v>1</v>
      </c>
      <c r="BQ46" s="384" t="n">
        <v>1</v>
      </c>
      <c r="BR46" s="384" t="n">
        <v>1</v>
      </c>
      <c r="BS46" s="384" t="n">
        <v>1</v>
      </c>
      <c r="BT46" s="384" t="n">
        <v>1</v>
      </c>
      <c r="BU46" s="384" t="n">
        <v>1</v>
      </c>
      <c r="BV46" s="384" t="n">
        <v>1</v>
      </c>
      <c r="BW46" s="384" t="n">
        <v>1</v>
      </c>
      <c r="BX46" s="383" t="n"/>
      <c r="BY46" s="383" t="n"/>
      <c r="BZ46" s="383" t="n"/>
      <c r="CA46" s="383" t="n"/>
      <c r="CB46" s="383" t="n"/>
      <c r="CC46" s="383" t="n"/>
      <c r="CD46" s="383" t="n"/>
      <c r="CE46" s="383" t="n"/>
      <c r="CF46" s="383" t="n"/>
      <c r="CG46" s="383" t="n"/>
      <c r="CH46" s="383" t="n"/>
      <c r="CI46" s="383" t="n"/>
      <c r="CJ46" s="383" t="n"/>
      <c r="CK46" s="383" t="n"/>
      <c r="CL46" s="383" t="n"/>
      <c r="CM46" s="383" t="n"/>
      <c r="CN46" s="383" t="n"/>
      <c r="CO46" s="383" t="n"/>
      <c r="CP46" s="383" t="n"/>
      <c r="CQ46" s="383" t="n"/>
      <c r="CR46" s="383" t="n"/>
      <c r="CS46" s="383" t="n"/>
      <c r="CT46" s="383" t="n"/>
      <c r="CU46" s="383" t="n"/>
      <c r="CV46" s="383" t="n"/>
      <c r="CW46" s="383" t="n"/>
      <c r="CX46" s="383" t="n"/>
      <c r="CY46" s="383" t="n"/>
      <c r="CZ46" s="383" t="n"/>
      <c r="DA46" s="383" t="n"/>
      <c r="DB46" s="383" t="n"/>
      <c r="DC46" s="383" t="n"/>
      <c r="DD46" s="383" t="n"/>
      <c r="DE46" s="383" t="n"/>
      <c r="DF46" s="383" t="n"/>
      <c r="DG46" s="383" t="n"/>
      <c r="DH46" s="383" t="n"/>
      <c r="DI46" s="383" t="n"/>
      <c r="DJ46" s="383" t="n"/>
      <c r="DK46" s="383" t="n"/>
      <c r="DL46" s="383" t="n"/>
      <c r="DM46" s="383" t="n"/>
      <c r="DN46" s="383" t="n"/>
      <c r="DO46" s="383" t="n"/>
      <c r="DP46" s="383" t="n"/>
      <c r="DQ46" s="383" t="n"/>
      <c r="DR46" s="383" t="n"/>
      <c r="DS46" s="383" t="n"/>
      <c r="DT46" s="383" t="n"/>
      <c r="DU46" s="383" t="n"/>
      <c r="DV46" s="383" t="n"/>
      <c r="DW46" s="383" t="n"/>
      <c r="DX46" s="383" t="n"/>
      <c r="DY46" s="383" t="n"/>
      <c r="DZ46" s="383" t="n"/>
      <c r="EA46" s="383" t="n"/>
      <c r="EB46" s="383" t="n"/>
      <c r="EC46" s="383" t="n"/>
      <c r="ED46" s="383" t="n"/>
      <c r="EE46" s="383" t="n"/>
      <c r="EF46" s="383" t="n"/>
      <c r="EG46" s="383" t="n"/>
      <c r="EH46" s="383" t="n"/>
      <c r="EI46" s="383" t="n"/>
      <c r="EJ46" s="383" t="n"/>
      <c r="EK46" s="383" t="n"/>
      <c r="EL46" s="383" t="n"/>
      <c r="EM46" s="383" t="n"/>
      <c r="EN46" s="383" t="n"/>
      <c r="EO46" s="383" t="n"/>
      <c r="EP46" s="383" t="n"/>
      <c r="EQ46" s="383" t="n"/>
      <c r="ER46" s="383" t="n"/>
      <c r="ES46" s="383" t="n"/>
      <c r="ET46" s="383" t="n"/>
      <c r="EU46" s="383" t="n"/>
      <c r="EV46" s="383" t="n"/>
      <c r="EW46" s="383" t="n"/>
      <c r="EX46" s="383" t="n"/>
      <c r="EY46" s="383" t="n"/>
      <c r="EZ46" s="383" t="n"/>
      <c r="FA46" s="383" t="n"/>
      <c r="FB46" s="383" t="n"/>
      <c r="FC46" s="383" t="n"/>
      <c r="FD46" s="383" t="n"/>
      <c r="FE46" s="383" t="n"/>
      <c r="FF46" s="383" t="n"/>
      <c r="FG46" s="383" t="n"/>
      <c r="FH46" s="383" t="n"/>
      <c r="FI46" s="383" t="n"/>
      <c r="FJ46" s="383" t="n"/>
      <c r="FK46" s="383" t="n"/>
      <c r="FL46" s="383" t="n"/>
      <c r="FM46" s="383" t="n"/>
      <c r="FN46" s="383" t="n"/>
      <c r="FO46" s="383" t="n"/>
      <c r="FP46" s="383" t="n"/>
      <c r="FQ46" s="383" t="n"/>
      <c r="FR46" s="383" t="n"/>
      <c r="FS46" s="383" t="n"/>
      <c r="FT46" s="383" t="n"/>
      <c r="FU46" s="383" t="n"/>
      <c r="FV46" s="383" t="n"/>
      <c r="FW46" s="383" t="n"/>
      <c r="FX46" s="383" t="n"/>
      <c r="FY46" s="383" t="n"/>
      <c r="FZ46" s="383" t="n"/>
      <c r="GA46" s="383" t="n"/>
      <c r="GB46" s="383" t="n"/>
      <c r="GC46" s="383" t="n"/>
      <c r="GD46" s="383" t="n"/>
      <c r="GE46" s="383" t="n"/>
      <c r="GF46" s="383" t="n"/>
      <c r="GG46" s="383" t="n"/>
      <c r="GH46" s="383" t="n"/>
      <c r="GI46" s="383" t="n"/>
      <c r="GJ46" s="383" t="n"/>
      <c r="GK46" s="383" t="n"/>
      <c r="GL46" s="383" t="n"/>
      <c r="GM46" s="383" t="n"/>
      <c r="GN46" s="383" t="n"/>
      <c r="GO46" s="383" t="n"/>
      <c r="GP46" s="383" t="n"/>
      <c r="GQ46" s="383" t="n"/>
      <c r="GR46" s="383" t="n"/>
      <c r="GS46" s="383" t="n"/>
      <c r="GT46" s="383" t="n"/>
      <c r="GU46" s="383" t="n"/>
      <c r="GV46" s="383" t="n"/>
      <c r="GW46" s="383" t="n"/>
      <c r="GX46" s="383" t="n"/>
      <c r="GY46" s="383" t="n"/>
    </row>
    <row r="47" ht="15" customHeight="1" s="1883">
      <c r="A47" s="383" t="n"/>
      <c r="B47" s="133" t="inlineStr">
        <is>
          <t>√</t>
        </is>
      </c>
      <c r="C47" s="383" t="n"/>
      <c r="D47" s="390" t="inlineStr">
        <is>
          <t>●</t>
        </is>
      </c>
      <c r="E47" s="699" t="inlineStr">
        <is>
          <t>Micheal Hancock - General Counsel</t>
        </is>
      </c>
      <c r="F47" s="696" t="n"/>
      <c r="G47" s="696" t="n"/>
      <c r="H47" s="696" t="n"/>
      <c r="I47" s="383" t="n"/>
      <c r="J47" s="701" t="n">
        <v>165000</v>
      </c>
      <c r="K47" s="1282">
        <f>J47*1.03</f>
        <v/>
      </c>
      <c r="L47" s="1282">
        <f>K47*1.03</f>
        <v/>
      </c>
      <c r="M47" s="1282">
        <f>L47*1.03</f>
        <v/>
      </c>
      <c r="N47" s="1282">
        <f>M47*1.03</f>
        <v/>
      </c>
      <c r="O47" s="383" t="n"/>
      <c r="P47" s="384" t="n">
        <v>1</v>
      </c>
      <c r="Q47" s="384" t="n">
        <v>1</v>
      </c>
      <c r="R47" s="384" t="n">
        <v>1</v>
      </c>
      <c r="S47" s="384" t="n">
        <v>1</v>
      </c>
      <c r="T47" s="384" t="n">
        <v>1</v>
      </c>
      <c r="U47" s="384" t="n">
        <v>1</v>
      </c>
      <c r="V47" s="384" t="n">
        <v>1</v>
      </c>
      <c r="W47" s="384" t="n">
        <v>1</v>
      </c>
      <c r="X47" s="384" t="n">
        <v>1</v>
      </c>
      <c r="Y47" s="384" t="n">
        <v>1</v>
      </c>
      <c r="Z47" s="384" t="n">
        <v>1</v>
      </c>
      <c r="AA47" s="384" t="n">
        <v>1</v>
      </c>
      <c r="AB47" s="542" t="n">
        <v>1</v>
      </c>
      <c r="AC47" s="384" t="n">
        <v>1</v>
      </c>
      <c r="AD47" s="384" t="n">
        <v>1</v>
      </c>
      <c r="AE47" s="384" t="n">
        <v>1</v>
      </c>
      <c r="AF47" s="384" t="n">
        <v>1</v>
      </c>
      <c r="AG47" s="384" t="n">
        <v>1</v>
      </c>
      <c r="AH47" s="384" t="n">
        <v>1</v>
      </c>
      <c r="AI47" s="384" t="n">
        <v>1</v>
      </c>
      <c r="AJ47" s="384" t="n">
        <v>1</v>
      </c>
      <c r="AK47" s="384" t="n">
        <v>1</v>
      </c>
      <c r="AL47" s="384" t="n">
        <v>1</v>
      </c>
      <c r="AM47" s="384" t="n">
        <v>1</v>
      </c>
      <c r="AN47" s="542" t="n">
        <v>1</v>
      </c>
      <c r="AO47" s="384" t="n">
        <v>1</v>
      </c>
      <c r="AP47" s="384" t="n">
        <v>1</v>
      </c>
      <c r="AQ47" s="384" t="n">
        <v>1</v>
      </c>
      <c r="AR47" s="384" t="n">
        <v>1</v>
      </c>
      <c r="AS47" s="384" t="n">
        <v>1</v>
      </c>
      <c r="AT47" s="384" t="n">
        <v>1</v>
      </c>
      <c r="AU47" s="384" t="n">
        <v>1</v>
      </c>
      <c r="AV47" s="384" t="n">
        <v>1</v>
      </c>
      <c r="AW47" s="384" t="n">
        <v>1</v>
      </c>
      <c r="AX47" s="384" t="n">
        <v>1</v>
      </c>
      <c r="AY47" s="384" t="n">
        <v>1</v>
      </c>
      <c r="AZ47" s="542" t="n">
        <v>1</v>
      </c>
      <c r="BA47" s="384" t="n">
        <v>1</v>
      </c>
      <c r="BB47" s="384" t="n">
        <v>1</v>
      </c>
      <c r="BC47" s="384" t="n">
        <v>1</v>
      </c>
      <c r="BD47" s="384" t="n">
        <v>1</v>
      </c>
      <c r="BE47" s="384" t="n">
        <v>1</v>
      </c>
      <c r="BF47" s="384" t="n">
        <v>1</v>
      </c>
      <c r="BG47" s="384" t="n">
        <v>1</v>
      </c>
      <c r="BH47" s="384" t="n">
        <v>1</v>
      </c>
      <c r="BI47" s="384" t="n">
        <v>1</v>
      </c>
      <c r="BJ47" s="384" t="n">
        <v>1</v>
      </c>
      <c r="BK47" s="384" t="n">
        <v>1</v>
      </c>
      <c r="BL47" s="542" t="n">
        <v>1</v>
      </c>
      <c r="BM47" s="384" t="n">
        <v>1</v>
      </c>
      <c r="BN47" s="384" t="n">
        <v>1</v>
      </c>
      <c r="BO47" s="384" t="n">
        <v>1</v>
      </c>
      <c r="BP47" s="384" t="n">
        <v>1</v>
      </c>
      <c r="BQ47" s="384" t="n">
        <v>1</v>
      </c>
      <c r="BR47" s="384" t="n">
        <v>1</v>
      </c>
      <c r="BS47" s="384" t="n">
        <v>1</v>
      </c>
      <c r="BT47" s="384" t="n">
        <v>1</v>
      </c>
      <c r="BU47" s="384" t="n">
        <v>1</v>
      </c>
      <c r="BV47" s="384" t="n">
        <v>1</v>
      </c>
      <c r="BW47" s="384" t="n">
        <v>1</v>
      </c>
      <c r="BX47" s="383" t="n"/>
      <c r="BY47" s="383" t="n"/>
      <c r="BZ47" s="383" t="n"/>
      <c r="CA47" s="383" t="n"/>
      <c r="CB47" s="383" t="n"/>
      <c r="CC47" s="383" t="n"/>
      <c r="CD47" s="383" t="n"/>
      <c r="CE47" s="383" t="n"/>
      <c r="CF47" s="383" t="n"/>
      <c r="CG47" s="383" t="n"/>
      <c r="CH47" s="383" t="n"/>
      <c r="CI47" s="383" t="n"/>
      <c r="CJ47" s="383" t="n"/>
      <c r="CK47" s="383" t="n"/>
      <c r="CL47" s="383" t="n"/>
      <c r="CM47" s="383" t="n"/>
      <c r="CN47" s="383" t="n"/>
      <c r="CO47" s="383" t="n"/>
      <c r="CP47" s="383" t="n"/>
      <c r="CQ47" s="383" t="n"/>
      <c r="CR47" s="383" t="n"/>
      <c r="CS47" s="383" t="n"/>
      <c r="CT47" s="383" t="n"/>
      <c r="CU47" s="383" t="n"/>
      <c r="CV47" s="383" t="n"/>
      <c r="CW47" s="383" t="n"/>
      <c r="CX47" s="383" t="n"/>
      <c r="CY47" s="383" t="n"/>
      <c r="CZ47" s="383" t="n"/>
      <c r="DA47" s="383" t="n"/>
      <c r="DB47" s="383" t="n"/>
      <c r="DC47" s="383" t="n"/>
      <c r="DD47" s="383" t="n"/>
      <c r="DE47" s="383" t="n"/>
      <c r="DF47" s="383" t="n"/>
      <c r="DG47" s="383" t="n"/>
      <c r="DH47" s="383" t="n"/>
      <c r="DI47" s="383" t="n"/>
      <c r="DJ47" s="383" t="n"/>
      <c r="DK47" s="383" t="n"/>
      <c r="DL47" s="383" t="n"/>
      <c r="DM47" s="383" t="n"/>
      <c r="DN47" s="383" t="n"/>
      <c r="DO47" s="383" t="n"/>
      <c r="DP47" s="383" t="n"/>
      <c r="DQ47" s="383" t="n"/>
      <c r="DR47" s="383" t="n"/>
      <c r="DS47" s="383" t="n"/>
      <c r="DT47" s="383" t="n"/>
      <c r="DU47" s="383" t="n"/>
      <c r="DV47" s="383" t="n"/>
      <c r="DW47" s="383" t="n"/>
      <c r="DX47" s="383" t="n"/>
      <c r="DY47" s="383" t="n"/>
      <c r="DZ47" s="383" t="n"/>
      <c r="EA47" s="383" t="n"/>
      <c r="EB47" s="383" t="n"/>
      <c r="EC47" s="383" t="n"/>
      <c r="ED47" s="383" t="n"/>
      <c r="EE47" s="383" t="n"/>
      <c r="EF47" s="383" t="n"/>
      <c r="EG47" s="383" t="n"/>
      <c r="EH47" s="383" t="n"/>
      <c r="EI47" s="383" t="n"/>
      <c r="EJ47" s="383" t="n"/>
      <c r="EK47" s="383" t="n"/>
      <c r="EL47" s="383" t="n"/>
      <c r="EM47" s="383" t="n"/>
      <c r="EN47" s="383" t="n"/>
      <c r="EO47" s="383" t="n"/>
      <c r="EP47" s="383" t="n"/>
      <c r="EQ47" s="383" t="n"/>
      <c r="ER47" s="383" t="n"/>
      <c r="ES47" s="383" t="n"/>
      <c r="ET47" s="383" t="n"/>
      <c r="EU47" s="383" t="n"/>
      <c r="EV47" s="383" t="n"/>
      <c r="EW47" s="383" t="n"/>
      <c r="EX47" s="383" t="n"/>
      <c r="EY47" s="383" t="n"/>
      <c r="EZ47" s="383" t="n"/>
      <c r="FA47" s="383" t="n"/>
      <c r="FB47" s="383" t="n"/>
      <c r="FC47" s="383" t="n"/>
      <c r="FD47" s="383" t="n"/>
      <c r="FE47" s="383" t="n"/>
      <c r="FF47" s="383" t="n"/>
      <c r="FG47" s="383" t="n"/>
      <c r="FH47" s="383" t="n"/>
      <c r="FI47" s="383" t="n"/>
      <c r="FJ47" s="383" t="n"/>
      <c r="FK47" s="383" t="n"/>
      <c r="FL47" s="383" t="n"/>
      <c r="FM47" s="383" t="n"/>
      <c r="FN47" s="383" t="n"/>
      <c r="FO47" s="383" t="n"/>
      <c r="FP47" s="383" t="n"/>
      <c r="FQ47" s="383" t="n"/>
      <c r="FR47" s="383" t="n"/>
      <c r="FS47" s="383" t="n"/>
      <c r="FT47" s="383" t="n"/>
      <c r="FU47" s="383" t="n"/>
      <c r="FV47" s="383" t="n"/>
      <c r="FW47" s="383" t="n"/>
      <c r="FX47" s="383" t="n"/>
      <c r="FY47" s="383" t="n"/>
      <c r="FZ47" s="383" t="n"/>
      <c r="GA47" s="383" t="n"/>
      <c r="GB47" s="383" t="n"/>
      <c r="GC47" s="383" t="n"/>
      <c r="GD47" s="383" t="n"/>
      <c r="GE47" s="383" t="n"/>
      <c r="GF47" s="383" t="n"/>
      <c r="GG47" s="383" t="n"/>
      <c r="GH47" s="383" t="n"/>
      <c r="GI47" s="383" t="n"/>
      <c r="GJ47" s="383" t="n"/>
      <c r="GK47" s="383" t="n"/>
      <c r="GL47" s="383" t="n"/>
      <c r="GM47" s="383" t="n"/>
      <c r="GN47" s="383" t="n"/>
      <c r="GO47" s="383" t="n"/>
      <c r="GP47" s="383" t="n"/>
      <c r="GQ47" s="383" t="n"/>
      <c r="GR47" s="383" t="n"/>
      <c r="GS47" s="383" t="n"/>
      <c r="GT47" s="383" t="n"/>
      <c r="GU47" s="383" t="n"/>
      <c r="GV47" s="383" t="n"/>
      <c r="GW47" s="383" t="n"/>
      <c r="GX47" s="383" t="n"/>
      <c r="GY47" s="383" t="n"/>
    </row>
    <row r="48" ht="15" customHeight="1" s="1883">
      <c r="A48" s="383" t="n"/>
      <c r="B48" s="133" t="inlineStr">
        <is>
          <t>√</t>
        </is>
      </c>
      <c r="C48" s="383" t="n"/>
      <c r="D48" s="390" t="inlineStr">
        <is>
          <t>●</t>
        </is>
      </c>
      <c r="E48" s="699" t="inlineStr">
        <is>
          <t>Baruch Santana - Business Development Specialist</t>
        </is>
      </c>
      <c r="F48" s="696" t="n"/>
      <c r="G48" s="696" t="n"/>
      <c r="H48" s="696" t="n"/>
      <c r="I48" s="383" t="n"/>
      <c r="J48" s="701" t="n">
        <v>60000</v>
      </c>
      <c r="K48" s="1282">
        <f>J48*1.03</f>
        <v/>
      </c>
      <c r="L48" s="1282">
        <f>K48*1.03</f>
        <v/>
      </c>
      <c r="M48" s="1282">
        <f>L48*1.03</f>
        <v/>
      </c>
      <c r="N48" s="1282">
        <f>M48*1.03</f>
        <v/>
      </c>
      <c r="O48" s="383" t="n"/>
      <c r="P48" s="384" t="n">
        <v>1</v>
      </c>
      <c r="Q48" s="384" t="n">
        <v>1</v>
      </c>
      <c r="R48" s="384" t="n">
        <v>1</v>
      </c>
      <c r="S48" s="384" t="n">
        <v>1</v>
      </c>
      <c r="T48" s="384" t="n">
        <v>1</v>
      </c>
      <c r="U48" s="384" t="n">
        <v>1</v>
      </c>
      <c r="V48" s="384" t="n">
        <v>1</v>
      </c>
      <c r="W48" s="384" t="n">
        <v>1</v>
      </c>
      <c r="X48" s="384" t="n">
        <v>1</v>
      </c>
      <c r="Y48" s="384" t="n">
        <v>1</v>
      </c>
      <c r="Z48" s="384" t="n">
        <v>1</v>
      </c>
      <c r="AA48" s="384" t="n">
        <v>1</v>
      </c>
      <c r="AB48" s="542" t="n">
        <v>1</v>
      </c>
      <c r="AC48" s="384" t="n">
        <v>1</v>
      </c>
      <c r="AD48" s="384" t="n">
        <v>1</v>
      </c>
      <c r="AE48" s="384" t="n">
        <v>1</v>
      </c>
      <c r="AF48" s="384" t="n">
        <v>1</v>
      </c>
      <c r="AG48" s="384" t="n">
        <v>1</v>
      </c>
      <c r="AH48" s="384" t="n">
        <v>1</v>
      </c>
      <c r="AI48" s="384" t="n">
        <v>1</v>
      </c>
      <c r="AJ48" s="384" t="n">
        <v>1</v>
      </c>
      <c r="AK48" s="384" t="n">
        <v>1</v>
      </c>
      <c r="AL48" s="384" t="n">
        <v>1</v>
      </c>
      <c r="AM48" s="384" t="n">
        <v>1</v>
      </c>
      <c r="AN48" s="542" t="n">
        <v>1</v>
      </c>
      <c r="AO48" s="384" t="n">
        <v>1</v>
      </c>
      <c r="AP48" s="384" t="n">
        <v>1</v>
      </c>
      <c r="AQ48" s="384" t="n">
        <v>1</v>
      </c>
      <c r="AR48" s="384" t="n">
        <v>1</v>
      </c>
      <c r="AS48" s="384" t="n">
        <v>1</v>
      </c>
      <c r="AT48" s="384" t="n">
        <v>1</v>
      </c>
      <c r="AU48" s="384" t="n">
        <v>1</v>
      </c>
      <c r="AV48" s="384" t="n">
        <v>1</v>
      </c>
      <c r="AW48" s="384" t="n">
        <v>1</v>
      </c>
      <c r="AX48" s="384" t="n">
        <v>1</v>
      </c>
      <c r="AY48" s="384" t="n">
        <v>1</v>
      </c>
      <c r="AZ48" s="542" t="n">
        <v>1</v>
      </c>
      <c r="BA48" s="384" t="n">
        <v>1</v>
      </c>
      <c r="BB48" s="384" t="n">
        <v>1</v>
      </c>
      <c r="BC48" s="384" t="n">
        <v>1</v>
      </c>
      <c r="BD48" s="384" t="n">
        <v>1</v>
      </c>
      <c r="BE48" s="384" t="n">
        <v>1</v>
      </c>
      <c r="BF48" s="384" t="n">
        <v>1</v>
      </c>
      <c r="BG48" s="384" t="n">
        <v>1</v>
      </c>
      <c r="BH48" s="384" t="n">
        <v>1</v>
      </c>
      <c r="BI48" s="384" t="n">
        <v>1</v>
      </c>
      <c r="BJ48" s="384" t="n">
        <v>1</v>
      </c>
      <c r="BK48" s="384" t="n">
        <v>1</v>
      </c>
      <c r="BL48" s="542" t="n">
        <v>1</v>
      </c>
      <c r="BM48" s="384" t="n">
        <v>1</v>
      </c>
      <c r="BN48" s="384" t="n">
        <v>1</v>
      </c>
      <c r="BO48" s="384" t="n">
        <v>1</v>
      </c>
      <c r="BP48" s="384" t="n">
        <v>1</v>
      </c>
      <c r="BQ48" s="384" t="n">
        <v>1</v>
      </c>
      <c r="BR48" s="384" t="n">
        <v>1</v>
      </c>
      <c r="BS48" s="384" t="n">
        <v>1</v>
      </c>
      <c r="BT48" s="384" t="n">
        <v>1</v>
      </c>
      <c r="BU48" s="384" t="n">
        <v>1</v>
      </c>
      <c r="BV48" s="384" t="n">
        <v>1</v>
      </c>
      <c r="BW48" s="384" t="n">
        <v>1</v>
      </c>
      <c r="BX48" s="383" t="n"/>
      <c r="BY48" s="383" t="n"/>
      <c r="BZ48" s="383" t="n"/>
      <c r="CA48" s="383" t="n"/>
      <c r="CB48" s="383" t="n"/>
      <c r="CC48" s="383" t="n"/>
      <c r="CD48" s="383" t="n"/>
      <c r="CE48" s="383" t="n"/>
      <c r="CF48" s="383" t="n"/>
      <c r="CG48" s="383" t="n"/>
      <c r="CH48" s="383" t="n"/>
      <c r="CI48" s="383" t="n"/>
      <c r="CJ48" s="383" t="n"/>
      <c r="CK48" s="383" t="n"/>
      <c r="CL48" s="383" t="n"/>
      <c r="CM48" s="383" t="n"/>
      <c r="CN48" s="383" t="n"/>
      <c r="CO48" s="383" t="n"/>
      <c r="CP48" s="383" t="n"/>
      <c r="CQ48" s="383" t="n"/>
      <c r="CR48" s="383" t="n"/>
      <c r="CS48" s="383" t="n"/>
      <c r="CT48" s="383" t="n"/>
      <c r="CU48" s="383" t="n"/>
      <c r="CV48" s="383" t="n"/>
      <c r="CW48" s="383" t="n"/>
      <c r="CX48" s="383" t="n"/>
      <c r="CY48" s="383" t="n"/>
      <c r="CZ48" s="383" t="n"/>
      <c r="DA48" s="383" t="n"/>
      <c r="DB48" s="383" t="n"/>
      <c r="DC48" s="383" t="n"/>
      <c r="DD48" s="383" t="n"/>
      <c r="DE48" s="383" t="n"/>
      <c r="DF48" s="383" t="n"/>
      <c r="DG48" s="383" t="n"/>
      <c r="DH48" s="383" t="n"/>
      <c r="DI48" s="383" t="n"/>
      <c r="DJ48" s="383" t="n"/>
      <c r="DK48" s="383" t="n"/>
      <c r="DL48" s="383" t="n"/>
      <c r="DM48" s="383" t="n"/>
      <c r="DN48" s="383" t="n"/>
      <c r="DO48" s="383" t="n"/>
      <c r="DP48" s="383" t="n"/>
      <c r="DQ48" s="383" t="n"/>
      <c r="DR48" s="383" t="n"/>
      <c r="DS48" s="383" t="n"/>
      <c r="DT48" s="383" t="n"/>
      <c r="DU48" s="383" t="n"/>
      <c r="DV48" s="383" t="n"/>
      <c r="DW48" s="383" t="n"/>
      <c r="DX48" s="383" t="n"/>
      <c r="DY48" s="383" t="n"/>
      <c r="DZ48" s="383" t="n"/>
      <c r="EA48" s="383" t="n"/>
      <c r="EB48" s="383" t="n"/>
      <c r="EC48" s="383" t="n"/>
      <c r="ED48" s="383" t="n"/>
      <c r="EE48" s="383" t="n"/>
      <c r="EF48" s="383" t="n"/>
      <c r="EG48" s="383" t="n"/>
      <c r="EH48" s="383" t="n"/>
      <c r="EI48" s="383" t="n"/>
      <c r="EJ48" s="383" t="n"/>
      <c r="EK48" s="383" t="n"/>
      <c r="EL48" s="383" t="n"/>
      <c r="EM48" s="383" t="n"/>
      <c r="EN48" s="383" t="n"/>
      <c r="EO48" s="383" t="n"/>
      <c r="EP48" s="383" t="n"/>
      <c r="EQ48" s="383" t="n"/>
      <c r="ER48" s="383" t="n"/>
      <c r="ES48" s="383" t="n"/>
      <c r="ET48" s="383" t="n"/>
      <c r="EU48" s="383" t="n"/>
      <c r="EV48" s="383" t="n"/>
      <c r="EW48" s="383" t="n"/>
      <c r="EX48" s="383" t="n"/>
      <c r="EY48" s="383" t="n"/>
      <c r="EZ48" s="383" t="n"/>
      <c r="FA48" s="383" t="n"/>
      <c r="FB48" s="383" t="n"/>
      <c r="FC48" s="383" t="n"/>
      <c r="FD48" s="383" t="n"/>
      <c r="FE48" s="383" t="n"/>
      <c r="FF48" s="383" t="n"/>
      <c r="FG48" s="383" t="n"/>
      <c r="FH48" s="383" t="n"/>
      <c r="FI48" s="383" t="n"/>
      <c r="FJ48" s="383" t="n"/>
      <c r="FK48" s="383" t="n"/>
      <c r="FL48" s="383" t="n"/>
      <c r="FM48" s="383" t="n"/>
      <c r="FN48" s="383" t="n"/>
      <c r="FO48" s="383" t="n"/>
      <c r="FP48" s="383" t="n"/>
      <c r="FQ48" s="383" t="n"/>
      <c r="FR48" s="383" t="n"/>
      <c r="FS48" s="383" t="n"/>
      <c r="FT48" s="383" t="n"/>
      <c r="FU48" s="383" t="n"/>
      <c r="FV48" s="383" t="n"/>
      <c r="FW48" s="383" t="n"/>
      <c r="FX48" s="383" t="n"/>
      <c r="FY48" s="383" t="n"/>
      <c r="FZ48" s="383" t="n"/>
      <c r="GA48" s="383" t="n"/>
      <c r="GB48" s="383" t="n"/>
      <c r="GC48" s="383" t="n"/>
      <c r="GD48" s="383" t="n"/>
      <c r="GE48" s="383" t="n"/>
      <c r="GF48" s="383" t="n"/>
      <c r="GG48" s="383" t="n"/>
      <c r="GH48" s="383" t="n"/>
      <c r="GI48" s="383" t="n"/>
      <c r="GJ48" s="383" t="n"/>
      <c r="GK48" s="383" t="n"/>
      <c r="GL48" s="383" t="n"/>
      <c r="GM48" s="383" t="n"/>
      <c r="GN48" s="383" t="n"/>
      <c r="GO48" s="383" t="n"/>
      <c r="GP48" s="383" t="n"/>
      <c r="GQ48" s="383" t="n"/>
      <c r="GR48" s="383" t="n"/>
      <c r="GS48" s="383" t="n"/>
      <c r="GT48" s="383" t="n"/>
      <c r="GU48" s="383" t="n"/>
      <c r="GV48" s="383" t="n"/>
      <c r="GW48" s="383" t="n"/>
      <c r="GX48" s="383" t="n"/>
      <c r="GY48" s="383" t="n"/>
    </row>
    <row r="49" ht="15" customHeight="1" s="1883">
      <c r="A49" s="383" t="n"/>
      <c r="B49" s="133" t="inlineStr">
        <is>
          <t>√</t>
        </is>
      </c>
      <c r="C49" s="383" t="n"/>
      <c r="D49" s="390" t="inlineStr">
        <is>
          <t>●</t>
        </is>
      </c>
      <c r="E49" s="699" t="inlineStr">
        <is>
          <t>Janna Estrada - Business Development &amp; Operations Lead</t>
        </is>
      </c>
      <c r="F49" s="696" t="n"/>
      <c r="G49" s="696" t="n"/>
      <c r="H49" s="696" t="n"/>
      <c r="I49" s="383" t="n"/>
      <c r="J49" s="701" t="n">
        <v>36000</v>
      </c>
      <c r="K49" s="1282">
        <f>J49*1.03</f>
        <v/>
      </c>
      <c r="L49" s="1282">
        <f>K49*1.03</f>
        <v/>
      </c>
      <c r="M49" s="1282">
        <f>L49*1.03</f>
        <v/>
      </c>
      <c r="N49" s="1282">
        <f>M49*1.03</f>
        <v/>
      </c>
      <c r="O49" s="383" t="n"/>
      <c r="P49" s="384" t="n">
        <v>1</v>
      </c>
      <c r="Q49" s="384" t="n">
        <v>1</v>
      </c>
      <c r="R49" s="384" t="n">
        <v>1</v>
      </c>
      <c r="S49" s="384" t="n">
        <v>1</v>
      </c>
      <c r="T49" s="384" t="n">
        <v>1</v>
      </c>
      <c r="U49" s="384" t="n">
        <v>1</v>
      </c>
      <c r="V49" s="384" t="n">
        <v>1</v>
      </c>
      <c r="W49" s="384" t="n">
        <v>1</v>
      </c>
      <c r="X49" s="384" t="n">
        <v>1</v>
      </c>
      <c r="Y49" s="384" t="n">
        <v>1</v>
      </c>
      <c r="Z49" s="384" t="n">
        <v>1</v>
      </c>
      <c r="AA49" s="384" t="n">
        <v>1</v>
      </c>
      <c r="AB49" s="542" t="n">
        <v>1</v>
      </c>
      <c r="AC49" s="384" t="n">
        <v>1</v>
      </c>
      <c r="AD49" s="384" t="n">
        <v>1</v>
      </c>
      <c r="AE49" s="384" t="n">
        <v>1</v>
      </c>
      <c r="AF49" s="384" t="n">
        <v>1</v>
      </c>
      <c r="AG49" s="384" t="n">
        <v>1</v>
      </c>
      <c r="AH49" s="384" t="n">
        <v>1</v>
      </c>
      <c r="AI49" s="384" t="n">
        <v>1</v>
      </c>
      <c r="AJ49" s="384" t="n">
        <v>1</v>
      </c>
      <c r="AK49" s="384" t="n">
        <v>1</v>
      </c>
      <c r="AL49" s="384" t="n">
        <v>1</v>
      </c>
      <c r="AM49" s="384" t="n">
        <v>1</v>
      </c>
      <c r="AN49" s="542" t="n">
        <v>1</v>
      </c>
      <c r="AO49" s="384" t="n">
        <v>1</v>
      </c>
      <c r="AP49" s="384" t="n">
        <v>1</v>
      </c>
      <c r="AQ49" s="384" t="n">
        <v>1</v>
      </c>
      <c r="AR49" s="384" t="n">
        <v>1</v>
      </c>
      <c r="AS49" s="384" t="n">
        <v>1</v>
      </c>
      <c r="AT49" s="384" t="n">
        <v>1</v>
      </c>
      <c r="AU49" s="384" t="n">
        <v>1</v>
      </c>
      <c r="AV49" s="384" t="n">
        <v>1</v>
      </c>
      <c r="AW49" s="384" t="n">
        <v>1</v>
      </c>
      <c r="AX49" s="384" t="n">
        <v>1</v>
      </c>
      <c r="AY49" s="384" t="n">
        <v>1</v>
      </c>
      <c r="AZ49" s="542" t="n">
        <v>1</v>
      </c>
      <c r="BA49" s="384" t="n">
        <v>1</v>
      </c>
      <c r="BB49" s="384" t="n">
        <v>1</v>
      </c>
      <c r="BC49" s="384" t="n">
        <v>1</v>
      </c>
      <c r="BD49" s="384" t="n">
        <v>1</v>
      </c>
      <c r="BE49" s="384" t="n">
        <v>1</v>
      </c>
      <c r="BF49" s="384" t="n">
        <v>1</v>
      </c>
      <c r="BG49" s="384" t="n">
        <v>1</v>
      </c>
      <c r="BH49" s="384" t="n">
        <v>1</v>
      </c>
      <c r="BI49" s="384" t="n">
        <v>1</v>
      </c>
      <c r="BJ49" s="384" t="n">
        <v>1</v>
      </c>
      <c r="BK49" s="384" t="n">
        <v>1</v>
      </c>
      <c r="BL49" s="542" t="n">
        <v>1</v>
      </c>
      <c r="BM49" s="384" t="n">
        <v>1</v>
      </c>
      <c r="BN49" s="384" t="n">
        <v>1</v>
      </c>
      <c r="BO49" s="384" t="n">
        <v>1</v>
      </c>
      <c r="BP49" s="384" t="n">
        <v>1</v>
      </c>
      <c r="BQ49" s="384" t="n">
        <v>1</v>
      </c>
      <c r="BR49" s="384" t="n">
        <v>1</v>
      </c>
      <c r="BS49" s="384" t="n">
        <v>1</v>
      </c>
      <c r="BT49" s="384" t="n">
        <v>1</v>
      </c>
      <c r="BU49" s="384" t="n">
        <v>1</v>
      </c>
      <c r="BV49" s="384" t="n">
        <v>1</v>
      </c>
      <c r="BW49" s="384" t="n">
        <v>1</v>
      </c>
      <c r="BX49" s="383" t="n"/>
      <c r="BY49" s="383" t="n"/>
      <c r="BZ49" s="383" t="n"/>
      <c r="CA49" s="383" t="n"/>
      <c r="CB49" s="383" t="n"/>
      <c r="CC49" s="383" t="n"/>
      <c r="CD49" s="383" t="n"/>
      <c r="CE49" s="383" t="n"/>
      <c r="CF49" s="383" t="n"/>
      <c r="CG49" s="383" t="n"/>
      <c r="CH49" s="383" t="n"/>
      <c r="CI49" s="383" t="n"/>
      <c r="CJ49" s="383" t="n"/>
      <c r="CK49" s="383" t="n"/>
      <c r="CL49" s="383" t="n"/>
      <c r="CM49" s="383" t="n"/>
      <c r="CN49" s="383" t="n"/>
      <c r="CO49" s="383" t="n"/>
      <c r="CP49" s="383" t="n"/>
      <c r="CQ49" s="383" t="n"/>
      <c r="CR49" s="383" t="n"/>
      <c r="CS49" s="383" t="n"/>
      <c r="CT49" s="383" t="n"/>
      <c r="CU49" s="383" t="n"/>
      <c r="CV49" s="383" t="n"/>
      <c r="CW49" s="383" t="n"/>
      <c r="CX49" s="383" t="n"/>
      <c r="CY49" s="383" t="n"/>
      <c r="CZ49" s="383" t="n"/>
      <c r="DA49" s="383" t="n"/>
      <c r="DB49" s="383" t="n"/>
      <c r="DC49" s="383" t="n"/>
      <c r="DD49" s="383" t="n"/>
      <c r="DE49" s="383" t="n"/>
      <c r="DF49" s="383" t="n"/>
      <c r="DG49" s="383" t="n"/>
      <c r="DH49" s="383" t="n"/>
      <c r="DI49" s="383" t="n"/>
      <c r="DJ49" s="383" t="n"/>
      <c r="DK49" s="383" t="n"/>
      <c r="DL49" s="383" t="n"/>
      <c r="DM49" s="383" t="n"/>
      <c r="DN49" s="383" t="n"/>
      <c r="DO49" s="383" t="n"/>
      <c r="DP49" s="383" t="n"/>
      <c r="DQ49" s="383" t="n"/>
      <c r="DR49" s="383" t="n"/>
      <c r="DS49" s="383" t="n"/>
      <c r="DT49" s="383" t="n"/>
      <c r="DU49" s="383" t="n"/>
      <c r="DV49" s="383" t="n"/>
      <c r="DW49" s="383" t="n"/>
      <c r="DX49" s="383" t="n"/>
      <c r="DY49" s="383" t="n"/>
      <c r="DZ49" s="383" t="n"/>
      <c r="EA49" s="383" t="n"/>
      <c r="EB49" s="383" t="n"/>
      <c r="EC49" s="383" t="n"/>
      <c r="ED49" s="383" t="n"/>
      <c r="EE49" s="383" t="n"/>
      <c r="EF49" s="383" t="n"/>
      <c r="EG49" s="383" t="n"/>
      <c r="EH49" s="383" t="n"/>
      <c r="EI49" s="383" t="n"/>
      <c r="EJ49" s="383" t="n"/>
      <c r="EK49" s="383" t="n"/>
      <c r="EL49" s="383" t="n"/>
      <c r="EM49" s="383" t="n"/>
      <c r="EN49" s="383" t="n"/>
      <c r="EO49" s="383" t="n"/>
      <c r="EP49" s="383" t="n"/>
      <c r="EQ49" s="383" t="n"/>
      <c r="ER49" s="383" t="n"/>
      <c r="ES49" s="383" t="n"/>
      <c r="ET49" s="383" t="n"/>
      <c r="EU49" s="383" t="n"/>
      <c r="EV49" s="383" t="n"/>
      <c r="EW49" s="383" t="n"/>
      <c r="EX49" s="383" t="n"/>
      <c r="EY49" s="383" t="n"/>
      <c r="EZ49" s="383" t="n"/>
      <c r="FA49" s="383" t="n"/>
      <c r="FB49" s="383" t="n"/>
      <c r="FC49" s="383" t="n"/>
      <c r="FD49" s="383" t="n"/>
      <c r="FE49" s="383" t="n"/>
      <c r="FF49" s="383" t="n"/>
      <c r="FG49" s="383" t="n"/>
      <c r="FH49" s="383" t="n"/>
      <c r="FI49" s="383" t="n"/>
      <c r="FJ49" s="383" t="n"/>
      <c r="FK49" s="383" t="n"/>
      <c r="FL49" s="383" t="n"/>
      <c r="FM49" s="383" t="n"/>
      <c r="FN49" s="383" t="n"/>
      <c r="FO49" s="383" t="n"/>
      <c r="FP49" s="383" t="n"/>
      <c r="FQ49" s="383" t="n"/>
      <c r="FR49" s="383" t="n"/>
      <c r="FS49" s="383" t="n"/>
      <c r="FT49" s="383" t="n"/>
      <c r="FU49" s="383" t="n"/>
      <c r="FV49" s="383" t="n"/>
      <c r="FW49" s="383" t="n"/>
      <c r="FX49" s="383" t="n"/>
      <c r="FY49" s="383" t="n"/>
      <c r="FZ49" s="383" t="n"/>
      <c r="GA49" s="383" t="n"/>
      <c r="GB49" s="383" t="n"/>
      <c r="GC49" s="383" t="n"/>
      <c r="GD49" s="383" t="n"/>
      <c r="GE49" s="383" t="n"/>
      <c r="GF49" s="383" t="n"/>
      <c r="GG49" s="383" t="n"/>
      <c r="GH49" s="383" t="n"/>
      <c r="GI49" s="383" t="n"/>
      <c r="GJ49" s="383" t="n"/>
      <c r="GK49" s="383" t="n"/>
      <c r="GL49" s="383" t="n"/>
      <c r="GM49" s="383" t="n"/>
      <c r="GN49" s="383" t="n"/>
      <c r="GO49" s="383" t="n"/>
      <c r="GP49" s="383" t="n"/>
      <c r="GQ49" s="383" t="n"/>
      <c r="GR49" s="383" t="n"/>
      <c r="GS49" s="383" t="n"/>
      <c r="GT49" s="383" t="n"/>
      <c r="GU49" s="383" t="n"/>
      <c r="GV49" s="383" t="n"/>
      <c r="GW49" s="383" t="n"/>
      <c r="GX49" s="383" t="n"/>
      <c r="GY49" s="383" t="n"/>
    </row>
    <row r="50" ht="15" customHeight="1" s="1883">
      <c r="A50" s="383" t="n"/>
      <c r="B50" s="133" t="inlineStr">
        <is>
          <t>√</t>
        </is>
      </c>
      <c r="C50" s="383" t="n"/>
      <c r="D50" s="390" t="inlineStr">
        <is>
          <t>●</t>
        </is>
      </c>
      <c r="E50" s="696" t="inlineStr">
        <is>
          <t>Ashley Tom - Intern*</t>
        </is>
      </c>
      <c r="F50" s="696" t="n"/>
      <c r="G50" s="696" t="n"/>
      <c r="H50" s="696" t="n"/>
      <c r="I50" s="383" t="n"/>
      <c r="J50" s="700" t="n">
        <v>20000</v>
      </c>
      <c r="K50" s="1282">
        <f>J50*1.03</f>
        <v/>
      </c>
      <c r="L50" s="1282">
        <f>K50*1.03</f>
        <v/>
      </c>
      <c r="M50" s="1282">
        <f>L50*1.03</f>
        <v/>
      </c>
      <c r="N50" s="1282">
        <f>M50*1.03</f>
        <v/>
      </c>
      <c r="O50" s="383" t="n"/>
      <c r="P50" s="384" t="n">
        <v>1</v>
      </c>
      <c r="Q50" s="384" t="n">
        <v>1</v>
      </c>
      <c r="R50" s="384" t="n">
        <v>1</v>
      </c>
      <c r="S50" s="384" t="n">
        <v>1</v>
      </c>
      <c r="T50" s="384" t="n">
        <v>1</v>
      </c>
      <c r="U50" s="384" t="n">
        <v>1</v>
      </c>
      <c r="V50" s="384" t="n">
        <v>1</v>
      </c>
      <c r="W50" s="384" t="n">
        <v>1</v>
      </c>
      <c r="X50" s="384" t="n">
        <v>1</v>
      </c>
      <c r="Y50" s="384" t="n">
        <v>1</v>
      </c>
      <c r="Z50" s="384" t="n">
        <v>1</v>
      </c>
      <c r="AA50" s="384" t="n">
        <v>1</v>
      </c>
      <c r="AB50" s="542" t="n">
        <v>1</v>
      </c>
      <c r="AC50" s="384" t="n">
        <v>1</v>
      </c>
      <c r="AD50" s="384" t="n">
        <v>1</v>
      </c>
      <c r="AE50" s="384" t="n">
        <v>1</v>
      </c>
      <c r="AF50" s="384" t="n">
        <v>1</v>
      </c>
      <c r="AG50" s="384" t="n">
        <v>1</v>
      </c>
      <c r="AH50" s="384" t="n">
        <v>1</v>
      </c>
      <c r="AI50" s="384" t="n">
        <v>1</v>
      </c>
      <c r="AJ50" s="384" t="n">
        <v>1</v>
      </c>
      <c r="AK50" s="384" t="n">
        <v>1</v>
      </c>
      <c r="AL50" s="384" t="n">
        <v>1</v>
      </c>
      <c r="AM50" s="384" t="n">
        <v>1</v>
      </c>
      <c r="AN50" s="542" t="n">
        <v>1</v>
      </c>
      <c r="AO50" s="384" t="n">
        <v>1</v>
      </c>
      <c r="AP50" s="384" t="n">
        <v>1</v>
      </c>
      <c r="AQ50" s="384" t="n">
        <v>1</v>
      </c>
      <c r="AR50" s="384" t="n">
        <v>1</v>
      </c>
      <c r="AS50" s="384" t="n">
        <v>1</v>
      </c>
      <c r="AT50" s="384" t="n">
        <v>1</v>
      </c>
      <c r="AU50" s="384" t="n">
        <v>1</v>
      </c>
      <c r="AV50" s="384" t="n">
        <v>1</v>
      </c>
      <c r="AW50" s="384" t="n">
        <v>1</v>
      </c>
      <c r="AX50" s="384" t="n">
        <v>1</v>
      </c>
      <c r="AY50" s="384" t="n">
        <v>1</v>
      </c>
      <c r="AZ50" s="542" t="n">
        <v>1</v>
      </c>
      <c r="BA50" s="384" t="n">
        <v>1</v>
      </c>
      <c r="BB50" s="384" t="n">
        <v>1</v>
      </c>
      <c r="BC50" s="384" t="n">
        <v>1</v>
      </c>
      <c r="BD50" s="384" t="n">
        <v>1</v>
      </c>
      <c r="BE50" s="384" t="n">
        <v>1</v>
      </c>
      <c r="BF50" s="384" t="n">
        <v>1</v>
      </c>
      <c r="BG50" s="384" t="n">
        <v>1</v>
      </c>
      <c r="BH50" s="384" t="n">
        <v>1</v>
      </c>
      <c r="BI50" s="384" t="n">
        <v>1</v>
      </c>
      <c r="BJ50" s="384" t="n">
        <v>1</v>
      </c>
      <c r="BK50" s="384" t="n">
        <v>1</v>
      </c>
      <c r="BL50" s="542" t="n">
        <v>1</v>
      </c>
      <c r="BM50" s="384" t="n">
        <v>1</v>
      </c>
      <c r="BN50" s="384" t="n">
        <v>1</v>
      </c>
      <c r="BO50" s="384" t="n">
        <v>1</v>
      </c>
      <c r="BP50" s="384" t="n">
        <v>1</v>
      </c>
      <c r="BQ50" s="384" t="n">
        <v>1</v>
      </c>
      <c r="BR50" s="384" t="n">
        <v>1</v>
      </c>
      <c r="BS50" s="384" t="n">
        <v>1</v>
      </c>
      <c r="BT50" s="384" t="n">
        <v>1</v>
      </c>
      <c r="BU50" s="384" t="n">
        <v>1</v>
      </c>
      <c r="BV50" s="384" t="n">
        <v>1</v>
      </c>
      <c r="BW50" s="384" t="n">
        <v>1</v>
      </c>
      <c r="BX50" s="383" t="n"/>
      <c r="BY50" s="383" t="n"/>
      <c r="BZ50" s="383" t="n"/>
      <c r="CA50" s="383" t="n"/>
      <c r="CB50" s="383" t="n"/>
      <c r="CC50" s="383" t="n"/>
      <c r="CD50" s="383" t="n"/>
      <c r="CE50" s="383" t="n"/>
      <c r="CF50" s="383" t="n"/>
      <c r="CG50" s="383" t="n"/>
      <c r="CH50" s="383" t="n"/>
      <c r="CI50" s="383" t="n"/>
      <c r="CJ50" s="383" t="n"/>
      <c r="CK50" s="383" t="n"/>
      <c r="CL50" s="383" t="n"/>
      <c r="CM50" s="383" t="n"/>
      <c r="CN50" s="383" t="n"/>
      <c r="CO50" s="383" t="n"/>
      <c r="CP50" s="383" t="n"/>
      <c r="CQ50" s="383" t="n"/>
      <c r="CR50" s="383" t="n"/>
      <c r="CS50" s="383" t="n"/>
      <c r="CT50" s="383" t="n"/>
      <c r="CU50" s="383" t="n"/>
      <c r="CV50" s="383" t="n"/>
      <c r="CW50" s="383" t="n"/>
      <c r="CX50" s="383" t="n"/>
      <c r="CY50" s="383" t="n"/>
      <c r="CZ50" s="383" t="n"/>
      <c r="DA50" s="383" t="n"/>
      <c r="DB50" s="383" t="n"/>
      <c r="DC50" s="383" t="n"/>
      <c r="DD50" s="383" t="n"/>
      <c r="DE50" s="383" t="n"/>
      <c r="DF50" s="383" t="n"/>
      <c r="DG50" s="383" t="n"/>
      <c r="DH50" s="383" t="n"/>
      <c r="DI50" s="383" t="n"/>
      <c r="DJ50" s="383" t="n"/>
      <c r="DK50" s="383" t="n"/>
      <c r="DL50" s="383" t="n"/>
      <c r="DM50" s="383" t="n"/>
      <c r="DN50" s="383" t="n"/>
      <c r="DO50" s="383" t="n"/>
      <c r="DP50" s="383" t="n"/>
      <c r="DQ50" s="383" t="n"/>
      <c r="DR50" s="383" t="n"/>
      <c r="DS50" s="383" t="n"/>
      <c r="DT50" s="383" t="n"/>
      <c r="DU50" s="383" t="n"/>
      <c r="DV50" s="383" t="n"/>
      <c r="DW50" s="383" t="n"/>
      <c r="DX50" s="383" t="n"/>
      <c r="DY50" s="383" t="n"/>
      <c r="DZ50" s="383" t="n"/>
      <c r="EA50" s="383" t="n"/>
      <c r="EB50" s="383" t="n"/>
      <c r="EC50" s="383" t="n"/>
      <c r="ED50" s="383" t="n"/>
      <c r="EE50" s="383" t="n"/>
      <c r="EF50" s="383" t="n"/>
      <c r="EG50" s="383" t="n"/>
      <c r="EH50" s="383" t="n"/>
      <c r="EI50" s="383" t="n"/>
      <c r="EJ50" s="383" t="n"/>
      <c r="EK50" s="383" t="n"/>
      <c r="EL50" s="383" t="n"/>
      <c r="EM50" s="383" t="n"/>
      <c r="EN50" s="383" t="n"/>
      <c r="EO50" s="383" t="n"/>
      <c r="EP50" s="383" t="n"/>
      <c r="EQ50" s="383" t="n"/>
      <c r="ER50" s="383" t="n"/>
      <c r="ES50" s="383" t="n"/>
      <c r="ET50" s="383" t="n"/>
      <c r="EU50" s="383" t="n"/>
      <c r="EV50" s="383" t="n"/>
      <c r="EW50" s="383" t="n"/>
      <c r="EX50" s="383" t="n"/>
      <c r="EY50" s="383" t="n"/>
      <c r="EZ50" s="383" t="n"/>
      <c r="FA50" s="383" t="n"/>
      <c r="FB50" s="383" t="n"/>
      <c r="FC50" s="383" t="n"/>
      <c r="FD50" s="383" t="n"/>
      <c r="FE50" s="383" t="n"/>
      <c r="FF50" s="383" t="n"/>
      <c r="FG50" s="383" t="n"/>
      <c r="FH50" s="383" t="n"/>
      <c r="FI50" s="383" t="n"/>
      <c r="FJ50" s="383" t="n"/>
      <c r="FK50" s="383" t="n"/>
      <c r="FL50" s="383" t="n"/>
      <c r="FM50" s="383" t="n"/>
      <c r="FN50" s="383" t="n"/>
      <c r="FO50" s="383" t="n"/>
      <c r="FP50" s="383" t="n"/>
      <c r="FQ50" s="383" t="n"/>
      <c r="FR50" s="383" t="n"/>
      <c r="FS50" s="383" t="n"/>
      <c r="FT50" s="383" t="n"/>
      <c r="FU50" s="383" t="n"/>
      <c r="FV50" s="383" t="n"/>
      <c r="FW50" s="383" t="n"/>
      <c r="FX50" s="383" t="n"/>
      <c r="FY50" s="383" t="n"/>
      <c r="FZ50" s="383" t="n"/>
      <c r="GA50" s="383" t="n"/>
      <c r="GB50" s="383" t="n"/>
      <c r="GC50" s="383" t="n"/>
      <c r="GD50" s="383" t="n"/>
      <c r="GE50" s="383" t="n"/>
      <c r="GF50" s="383" t="n"/>
      <c r="GG50" s="383" t="n"/>
      <c r="GH50" s="383" t="n"/>
      <c r="GI50" s="383" t="n"/>
      <c r="GJ50" s="383" t="n"/>
      <c r="GK50" s="383" t="n"/>
      <c r="GL50" s="383" t="n"/>
      <c r="GM50" s="383" t="n"/>
      <c r="GN50" s="383" t="n"/>
      <c r="GO50" s="383" t="n"/>
      <c r="GP50" s="383" t="n"/>
      <c r="GQ50" s="383" t="n"/>
      <c r="GR50" s="383" t="n"/>
      <c r="GS50" s="383" t="n"/>
      <c r="GT50" s="383" t="n"/>
      <c r="GU50" s="383" t="n"/>
      <c r="GV50" s="383" t="n"/>
      <c r="GW50" s="383" t="n"/>
      <c r="GX50" s="383" t="n"/>
      <c r="GY50" s="383" t="n"/>
    </row>
    <row r="51" ht="15" customHeight="1" s="1883">
      <c r="A51" s="383" t="n"/>
      <c r="B51" s="133" t="inlineStr">
        <is>
          <t>√</t>
        </is>
      </c>
      <c r="C51" s="383" t="n"/>
      <c r="D51" s="390" t="inlineStr">
        <is>
          <t>●</t>
        </is>
      </c>
      <c r="E51" s="696" t="inlineStr">
        <is>
          <t xml:space="preserve">Pierre Salvador - Director, Operations </t>
        </is>
      </c>
      <c r="F51" s="696" t="n"/>
      <c r="G51" s="696" t="n"/>
      <c r="H51" s="696" t="n"/>
      <c r="I51" s="383" t="n"/>
      <c r="J51" s="701" t="n">
        <v>90000</v>
      </c>
      <c r="K51" s="1282">
        <f>J51*1.03</f>
        <v/>
      </c>
      <c r="L51" s="1282">
        <f>K51*1.03</f>
        <v/>
      </c>
      <c r="M51" s="1282">
        <f>L51*1.03</f>
        <v/>
      </c>
      <c r="N51" s="1282">
        <f>M51*1.03</f>
        <v/>
      </c>
      <c r="O51" s="383" t="n"/>
      <c r="P51" s="384" t="n">
        <v>1</v>
      </c>
      <c r="Q51" s="384" t="n">
        <v>1</v>
      </c>
      <c r="R51" s="384" t="n">
        <v>1</v>
      </c>
      <c r="S51" s="384" t="n">
        <v>1</v>
      </c>
      <c r="T51" s="384" t="n">
        <v>1</v>
      </c>
      <c r="U51" s="384" t="n">
        <v>1</v>
      </c>
      <c r="V51" s="384" t="n">
        <v>1</v>
      </c>
      <c r="W51" s="384" t="n">
        <v>1</v>
      </c>
      <c r="X51" s="384" t="n">
        <v>1</v>
      </c>
      <c r="Y51" s="384" t="n">
        <v>1</v>
      </c>
      <c r="Z51" s="384" t="n">
        <v>1</v>
      </c>
      <c r="AA51" s="384" t="n">
        <v>1</v>
      </c>
      <c r="AB51" s="542">
        <f>'Headcount &amp; Salaries - 2'!AJ36</f>
        <v/>
      </c>
      <c r="AC51" s="384">
        <f>'Headcount &amp; Salaries - 2'!AK36</f>
        <v/>
      </c>
      <c r="AD51" s="384">
        <f>'Headcount &amp; Salaries - 2'!AL36</f>
        <v/>
      </c>
      <c r="AE51" s="384">
        <f>'Headcount &amp; Salaries - 2'!AM36</f>
        <v/>
      </c>
      <c r="AF51" s="384">
        <f>'Headcount &amp; Salaries - 2'!AN36</f>
        <v/>
      </c>
      <c r="AG51" s="384">
        <f>'Headcount &amp; Salaries - 2'!AO36</f>
        <v/>
      </c>
      <c r="AH51" s="384">
        <f>'Headcount &amp; Salaries - 2'!AP36</f>
        <v/>
      </c>
      <c r="AI51" s="384">
        <f>'Headcount &amp; Salaries - 2'!AQ36</f>
        <v/>
      </c>
      <c r="AJ51" s="384">
        <f>'Headcount &amp; Salaries - 2'!AR36</f>
        <v/>
      </c>
      <c r="AK51" s="384">
        <f>'Headcount &amp; Salaries - 2'!AS36</f>
        <v/>
      </c>
      <c r="AL51" s="384">
        <f>'Headcount &amp; Salaries - 2'!AT36</f>
        <v/>
      </c>
      <c r="AM51" s="384">
        <f>'Headcount &amp; Salaries - 2'!AU36</f>
        <v/>
      </c>
      <c r="AN51" s="542">
        <f>'Headcount &amp; Salaries - 2'!AV36</f>
        <v/>
      </c>
      <c r="AO51" s="384">
        <f>'Headcount &amp; Salaries - 2'!AW36</f>
        <v/>
      </c>
      <c r="AP51" s="384">
        <f>'Headcount &amp; Salaries - 2'!AX36</f>
        <v/>
      </c>
      <c r="AQ51" s="384">
        <f>'Headcount &amp; Salaries - 2'!AY36</f>
        <v/>
      </c>
      <c r="AR51" s="384">
        <f>'Headcount &amp; Salaries - 2'!AZ36</f>
        <v/>
      </c>
      <c r="AS51" s="384">
        <f>'Headcount &amp; Salaries - 2'!BA36</f>
        <v/>
      </c>
      <c r="AT51" s="384">
        <f>'Headcount &amp; Salaries - 2'!BB36</f>
        <v/>
      </c>
      <c r="AU51" s="384">
        <f>'Headcount &amp; Salaries - 2'!BC36</f>
        <v/>
      </c>
      <c r="AV51" s="384">
        <f>'Headcount &amp; Salaries - 2'!BD36</f>
        <v/>
      </c>
      <c r="AW51" s="384">
        <f>'Headcount &amp; Salaries - 2'!BE36</f>
        <v/>
      </c>
      <c r="AX51" s="384">
        <f>'Headcount &amp; Salaries - 2'!BF36</f>
        <v/>
      </c>
      <c r="AY51" s="565">
        <f>'Headcount &amp; Salaries - 2'!BG36</f>
        <v/>
      </c>
      <c r="AZ51" s="542">
        <f>'Headcount &amp; Salaries - 2'!BH36</f>
        <v/>
      </c>
      <c r="BA51" s="384">
        <f>'Headcount &amp; Salaries - 2'!BI36</f>
        <v/>
      </c>
      <c r="BB51" s="384">
        <f>'Headcount &amp; Salaries - 2'!BJ36</f>
        <v/>
      </c>
      <c r="BC51" s="384">
        <f>'Headcount &amp; Salaries - 2'!BK36</f>
        <v/>
      </c>
      <c r="BD51" s="384">
        <f>'Headcount &amp; Salaries - 2'!BL36</f>
        <v/>
      </c>
      <c r="BE51" s="384">
        <f>'Headcount &amp; Salaries - 2'!BM36</f>
        <v/>
      </c>
      <c r="BF51" s="384">
        <f>'Headcount &amp; Salaries - 2'!BN36</f>
        <v/>
      </c>
      <c r="BG51" s="384">
        <f>'Headcount &amp; Salaries - 2'!BO36</f>
        <v/>
      </c>
      <c r="BH51" s="384">
        <f>'Headcount &amp; Salaries - 2'!BP36</f>
        <v/>
      </c>
      <c r="BI51" s="384">
        <f>'Headcount &amp; Salaries - 2'!BQ36</f>
        <v/>
      </c>
      <c r="BJ51" s="384">
        <f>'Headcount &amp; Salaries - 2'!BR36</f>
        <v/>
      </c>
      <c r="BK51" s="384">
        <f>'Headcount &amp; Salaries - 2'!BS36</f>
        <v/>
      </c>
      <c r="BL51" s="542">
        <f>'Headcount &amp; Salaries - 2'!BT36</f>
        <v/>
      </c>
      <c r="BM51" s="384">
        <f>'Headcount &amp; Salaries - 2'!BU36</f>
        <v/>
      </c>
      <c r="BN51" s="384">
        <f>'Headcount &amp; Salaries - 2'!BV36</f>
        <v/>
      </c>
      <c r="BO51" s="384">
        <f>'Headcount &amp; Salaries - 2'!BW36</f>
        <v/>
      </c>
      <c r="BP51" s="384">
        <f>'Headcount &amp; Salaries - 2'!BX36</f>
        <v/>
      </c>
      <c r="BQ51" s="384">
        <f>'Headcount &amp; Salaries - 2'!BY36</f>
        <v/>
      </c>
      <c r="BR51" s="384">
        <f>'Headcount &amp; Salaries - 2'!BZ36</f>
        <v/>
      </c>
      <c r="BS51" s="384">
        <f>'Headcount &amp; Salaries - 2'!CA36</f>
        <v/>
      </c>
      <c r="BT51" s="384">
        <f>'Headcount &amp; Salaries - 2'!CB36</f>
        <v/>
      </c>
      <c r="BU51" s="384">
        <f>'Headcount &amp; Salaries - 2'!CC36</f>
        <v/>
      </c>
      <c r="BV51" s="384">
        <f>'Headcount &amp; Salaries - 2'!CD36</f>
        <v/>
      </c>
      <c r="BW51" s="384">
        <f>'Headcount &amp; Salaries - 2'!CE36</f>
        <v/>
      </c>
      <c r="BX51" s="383" t="n"/>
      <c r="BY51" s="383" t="n"/>
      <c r="BZ51" s="383" t="n"/>
      <c r="CA51" s="383" t="n"/>
      <c r="CB51" s="383" t="n"/>
      <c r="CC51" s="383" t="n"/>
      <c r="CD51" s="383" t="n"/>
      <c r="CE51" s="383" t="n"/>
      <c r="CF51" s="383" t="n"/>
      <c r="CG51" s="383" t="n"/>
      <c r="CH51" s="383" t="n"/>
      <c r="CI51" s="383" t="n"/>
      <c r="CJ51" s="383" t="n"/>
      <c r="CK51" s="383" t="n"/>
      <c r="CL51" s="383" t="n"/>
      <c r="CM51" s="383" t="n"/>
      <c r="CN51" s="383" t="n"/>
      <c r="CO51" s="383" t="n"/>
      <c r="CP51" s="383" t="n"/>
      <c r="CQ51" s="383" t="n"/>
      <c r="CR51" s="383" t="n"/>
      <c r="CS51" s="383" t="n"/>
      <c r="CT51" s="383" t="n"/>
      <c r="CU51" s="383" t="n"/>
      <c r="CV51" s="383" t="n"/>
      <c r="CW51" s="383" t="n"/>
      <c r="CX51" s="383" t="n"/>
      <c r="CY51" s="383" t="n"/>
      <c r="CZ51" s="383" t="n"/>
      <c r="DA51" s="383" t="n"/>
      <c r="DB51" s="383" t="n"/>
      <c r="DC51" s="383" t="n"/>
      <c r="DD51" s="383" t="n"/>
      <c r="DE51" s="383" t="n"/>
      <c r="DF51" s="383" t="n"/>
      <c r="DG51" s="383" t="n"/>
      <c r="DH51" s="383" t="n"/>
      <c r="DI51" s="383" t="n"/>
      <c r="DJ51" s="383" t="n"/>
      <c r="DK51" s="383" t="n"/>
      <c r="DL51" s="383" t="n"/>
      <c r="DM51" s="383" t="n"/>
      <c r="DN51" s="383" t="n"/>
      <c r="DO51" s="383" t="n"/>
      <c r="DP51" s="383" t="n"/>
      <c r="DQ51" s="383" t="n"/>
      <c r="DR51" s="383" t="n"/>
      <c r="DS51" s="383" t="n"/>
      <c r="DT51" s="383" t="n"/>
      <c r="DU51" s="383" t="n"/>
      <c r="DV51" s="383" t="n"/>
      <c r="DW51" s="383" t="n"/>
      <c r="DX51" s="383" t="n"/>
      <c r="DY51" s="383" t="n"/>
      <c r="DZ51" s="383" t="n"/>
      <c r="EA51" s="383" t="n"/>
      <c r="EB51" s="383" t="n"/>
      <c r="EC51" s="383" t="n"/>
      <c r="ED51" s="383" t="n"/>
      <c r="EE51" s="383" t="n"/>
      <c r="EF51" s="383" t="n"/>
      <c r="EG51" s="383" t="n"/>
      <c r="EH51" s="383" t="n"/>
      <c r="EI51" s="383" t="n"/>
      <c r="EJ51" s="383" t="n"/>
      <c r="EK51" s="383" t="n"/>
      <c r="EL51" s="383" t="n"/>
      <c r="EM51" s="383" t="n"/>
      <c r="EN51" s="383" t="n"/>
      <c r="EO51" s="383" t="n"/>
      <c r="EP51" s="383" t="n"/>
      <c r="EQ51" s="383" t="n"/>
      <c r="ER51" s="383" t="n"/>
      <c r="ES51" s="383" t="n"/>
      <c r="ET51" s="383" t="n"/>
      <c r="EU51" s="383" t="n"/>
      <c r="EV51" s="383" t="n"/>
      <c r="EW51" s="383" t="n"/>
      <c r="EX51" s="383" t="n"/>
      <c r="EY51" s="383" t="n"/>
      <c r="EZ51" s="383" t="n"/>
      <c r="FA51" s="383" t="n"/>
      <c r="FB51" s="383" t="n"/>
      <c r="FC51" s="383" t="n"/>
      <c r="FD51" s="383" t="n"/>
      <c r="FE51" s="383" t="n"/>
      <c r="FF51" s="383" t="n"/>
      <c r="FG51" s="383" t="n"/>
      <c r="FH51" s="383" t="n"/>
      <c r="FI51" s="383" t="n"/>
      <c r="FJ51" s="383" t="n"/>
      <c r="FK51" s="383" t="n"/>
      <c r="FL51" s="383" t="n"/>
      <c r="FM51" s="383" t="n"/>
      <c r="FN51" s="383" t="n"/>
      <c r="FO51" s="383" t="n"/>
      <c r="FP51" s="383" t="n"/>
      <c r="FQ51" s="383" t="n"/>
      <c r="FR51" s="383" t="n"/>
      <c r="FS51" s="383" t="n"/>
      <c r="FT51" s="383" t="n"/>
      <c r="FU51" s="383" t="n"/>
      <c r="FV51" s="383" t="n"/>
      <c r="FW51" s="383" t="n"/>
      <c r="FX51" s="383" t="n"/>
      <c r="FY51" s="383" t="n"/>
      <c r="FZ51" s="383" t="n"/>
      <c r="GA51" s="383" t="n"/>
      <c r="GB51" s="383" t="n"/>
      <c r="GC51" s="383" t="n"/>
      <c r="GD51" s="383" t="n"/>
      <c r="GE51" s="383" t="n"/>
      <c r="GF51" s="383" t="n"/>
      <c r="GG51" s="383" t="n"/>
      <c r="GH51" s="383" t="n"/>
      <c r="GI51" s="383" t="n"/>
      <c r="GJ51" s="383" t="n"/>
      <c r="GK51" s="383" t="n"/>
      <c r="GL51" s="383" t="n"/>
      <c r="GM51" s="383" t="n"/>
      <c r="GN51" s="383" t="n"/>
      <c r="GO51" s="383" t="n"/>
      <c r="GP51" s="383" t="n"/>
      <c r="GQ51" s="383" t="n"/>
      <c r="GR51" s="383" t="n"/>
      <c r="GS51" s="383" t="n"/>
      <c r="GT51" s="383" t="n"/>
      <c r="GU51" s="383" t="n"/>
      <c r="GV51" s="383" t="n"/>
      <c r="GW51" s="383" t="n"/>
      <c r="GX51" s="383" t="n"/>
      <c r="GY51" s="383" t="n"/>
    </row>
    <row r="52" ht="15" customHeight="1" s="1883">
      <c r="A52" s="383" t="n"/>
      <c r="B52" s="133" t="inlineStr">
        <is>
          <t>√</t>
        </is>
      </c>
      <c r="C52" s="383" t="n"/>
      <c r="D52" s="390" t="inlineStr">
        <is>
          <t>●</t>
        </is>
      </c>
      <c r="E52" s="699" t="inlineStr">
        <is>
          <t xml:space="preserve"> - VP , Compliance</t>
        </is>
      </c>
      <c r="F52" s="696" t="n"/>
      <c r="G52" s="696" t="n"/>
      <c r="H52" s="696" t="n"/>
      <c r="I52" s="383" t="n"/>
      <c r="J52" s="700" t="n">
        <v>95000</v>
      </c>
      <c r="K52" s="1282">
        <f>J52*1.03</f>
        <v/>
      </c>
      <c r="L52" s="1282">
        <f>K52*1.03</f>
        <v/>
      </c>
      <c r="M52" s="1282">
        <f>L52*1.03</f>
        <v/>
      </c>
      <c r="N52" s="1282">
        <f>M52*1.03</f>
        <v/>
      </c>
      <c r="O52" s="383" t="n"/>
      <c r="P52" s="384" t="n">
        <v>1</v>
      </c>
      <c r="Q52" s="384" t="n">
        <v>1</v>
      </c>
      <c r="R52" s="384" t="n">
        <v>1</v>
      </c>
      <c r="S52" s="384" t="n">
        <v>1</v>
      </c>
      <c r="T52" s="384" t="n">
        <v>1</v>
      </c>
      <c r="U52" s="384" t="n">
        <v>1</v>
      </c>
      <c r="V52" s="384" t="n">
        <v>1</v>
      </c>
      <c r="W52" s="384">
        <f>'Headcount &amp; Salaries - 2'!AE40</f>
        <v/>
      </c>
      <c r="X52" s="384">
        <f>'Headcount &amp; Salaries - 2'!AF40</f>
        <v/>
      </c>
      <c r="Y52" s="384">
        <f>'Headcount &amp; Salaries - 2'!AG40</f>
        <v/>
      </c>
      <c r="Z52" s="384">
        <f>'Headcount &amp; Salaries - 2'!AH40</f>
        <v/>
      </c>
      <c r="AA52" s="384">
        <f>'Headcount &amp; Salaries - 2'!AI40</f>
        <v/>
      </c>
      <c r="AB52" s="542">
        <f>'Headcount &amp; Salaries - 2'!AJ40</f>
        <v/>
      </c>
      <c r="AC52" s="384">
        <f>'Headcount &amp; Salaries - 2'!AK40</f>
        <v/>
      </c>
      <c r="AD52" s="384">
        <f>'Headcount &amp; Salaries - 2'!AL40</f>
        <v/>
      </c>
      <c r="AE52" s="384">
        <f>'Headcount &amp; Salaries - 2'!AM40</f>
        <v/>
      </c>
      <c r="AF52" s="384">
        <f>'Headcount &amp; Salaries - 2'!AN40</f>
        <v/>
      </c>
      <c r="AG52" s="384">
        <f>'Headcount &amp; Salaries - 2'!AO40</f>
        <v/>
      </c>
      <c r="AH52" s="384">
        <f>'Headcount &amp; Salaries - 2'!AP40</f>
        <v/>
      </c>
      <c r="AI52" s="384">
        <f>'Headcount &amp; Salaries - 2'!AQ40</f>
        <v/>
      </c>
      <c r="AJ52" s="384">
        <f>'Headcount &amp; Salaries - 2'!AR40</f>
        <v/>
      </c>
      <c r="AK52" s="384">
        <f>'Headcount &amp; Salaries - 2'!AS40</f>
        <v/>
      </c>
      <c r="AL52" s="384">
        <f>'Headcount &amp; Salaries - 2'!AT40</f>
        <v/>
      </c>
      <c r="AM52" s="384">
        <f>'Headcount &amp; Salaries - 2'!AU40</f>
        <v/>
      </c>
      <c r="AN52" s="542">
        <f>'Headcount &amp; Salaries - 2'!AV40</f>
        <v/>
      </c>
      <c r="AO52" s="384">
        <f>'Headcount &amp; Salaries - 2'!AW40</f>
        <v/>
      </c>
      <c r="AP52" s="384">
        <f>'Headcount &amp; Salaries - 2'!AX40</f>
        <v/>
      </c>
      <c r="AQ52" s="384">
        <f>'Headcount &amp; Salaries - 2'!AY40</f>
        <v/>
      </c>
      <c r="AR52" s="384">
        <f>'Headcount &amp; Salaries - 2'!AZ40</f>
        <v/>
      </c>
      <c r="AS52" s="384">
        <f>'Headcount &amp; Salaries - 2'!BA40</f>
        <v/>
      </c>
      <c r="AT52" s="384">
        <f>'Headcount &amp; Salaries - 2'!BB40</f>
        <v/>
      </c>
      <c r="AU52" s="384">
        <f>'Headcount &amp; Salaries - 2'!BC40</f>
        <v/>
      </c>
      <c r="AV52" s="384">
        <f>'Headcount &amp; Salaries - 2'!BD40</f>
        <v/>
      </c>
      <c r="AW52" s="384">
        <f>'Headcount &amp; Salaries - 2'!BE40</f>
        <v/>
      </c>
      <c r="AX52" s="384">
        <f>'Headcount &amp; Salaries - 2'!BF40</f>
        <v/>
      </c>
      <c r="AY52" s="565">
        <f>'Headcount &amp; Salaries - 2'!BG40</f>
        <v/>
      </c>
      <c r="AZ52" s="542">
        <f>'Headcount &amp; Salaries - 2'!BH40</f>
        <v/>
      </c>
      <c r="BA52" s="384">
        <f>'Headcount &amp; Salaries - 2'!BI40</f>
        <v/>
      </c>
      <c r="BB52" s="384">
        <f>'Headcount &amp; Salaries - 2'!BJ40</f>
        <v/>
      </c>
      <c r="BC52" s="384">
        <f>'Headcount &amp; Salaries - 2'!BK40</f>
        <v/>
      </c>
      <c r="BD52" s="384">
        <f>'Headcount &amp; Salaries - 2'!BL40</f>
        <v/>
      </c>
      <c r="BE52" s="384">
        <f>'Headcount &amp; Salaries - 2'!BM40</f>
        <v/>
      </c>
      <c r="BF52" s="384">
        <f>'Headcount &amp; Salaries - 2'!BN40</f>
        <v/>
      </c>
      <c r="BG52" s="384">
        <f>'Headcount &amp; Salaries - 2'!BO40</f>
        <v/>
      </c>
      <c r="BH52" s="384">
        <f>'Headcount &amp; Salaries - 2'!BP40</f>
        <v/>
      </c>
      <c r="BI52" s="384">
        <f>'Headcount &amp; Salaries - 2'!BQ40</f>
        <v/>
      </c>
      <c r="BJ52" s="384">
        <f>'Headcount &amp; Salaries - 2'!BR40</f>
        <v/>
      </c>
      <c r="BK52" s="384">
        <f>'Headcount &amp; Salaries - 2'!BS40</f>
        <v/>
      </c>
      <c r="BL52" s="542">
        <f>'Headcount &amp; Salaries - 2'!BT40</f>
        <v/>
      </c>
      <c r="BM52" s="384">
        <f>'Headcount &amp; Salaries - 2'!BU40</f>
        <v/>
      </c>
      <c r="BN52" s="384">
        <f>'Headcount &amp; Salaries - 2'!BV40</f>
        <v/>
      </c>
      <c r="BO52" s="384">
        <f>'Headcount &amp; Salaries - 2'!BW40</f>
        <v/>
      </c>
      <c r="BP52" s="384">
        <f>'Headcount &amp; Salaries - 2'!BX40</f>
        <v/>
      </c>
      <c r="BQ52" s="384">
        <f>'Headcount &amp; Salaries - 2'!BY40</f>
        <v/>
      </c>
      <c r="BR52" s="384">
        <f>'Headcount &amp; Salaries - 2'!BZ40</f>
        <v/>
      </c>
      <c r="BS52" s="384">
        <f>'Headcount &amp; Salaries - 2'!CA40</f>
        <v/>
      </c>
      <c r="BT52" s="384">
        <f>'Headcount &amp; Salaries - 2'!CB40</f>
        <v/>
      </c>
      <c r="BU52" s="384">
        <f>'Headcount &amp; Salaries - 2'!CC40</f>
        <v/>
      </c>
      <c r="BV52" s="384">
        <f>'Headcount &amp; Salaries - 2'!CD40</f>
        <v/>
      </c>
      <c r="BW52" s="384">
        <f>'Headcount &amp; Salaries - 2'!CE40</f>
        <v/>
      </c>
      <c r="BX52" s="383" t="n"/>
      <c r="BY52" s="383" t="n"/>
      <c r="BZ52" s="383" t="n"/>
      <c r="CA52" s="383" t="n"/>
      <c r="CB52" s="383" t="n"/>
      <c r="CC52" s="383" t="n"/>
      <c r="CD52" s="383" t="n"/>
      <c r="CE52" s="383" t="n"/>
      <c r="CF52" s="383" t="n"/>
      <c r="CG52" s="383" t="n"/>
      <c r="CH52" s="383" t="n"/>
      <c r="CI52" s="383" t="n"/>
      <c r="CJ52" s="383" t="n"/>
      <c r="CK52" s="383" t="n"/>
      <c r="CL52" s="383" t="n"/>
      <c r="CM52" s="383" t="n"/>
      <c r="CN52" s="383" t="n"/>
      <c r="CO52" s="383" t="n"/>
      <c r="CP52" s="383" t="n"/>
      <c r="CQ52" s="383" t="n"/>
      <c r="CR52" s="383" t="n"/>
      <c r="CS52" s="383" t="n"/>
      <c r="CT52" s="383" t="n"/>
      <c r="CU52" s="383" t="n"/>
      <c r="CV52" s="383" t="n"/>
      <c r="CW52" s="383" t="n"/>
      <c r="CX52" s="383" t="n"/>
      <c r="CY52" s="383" t="n"/>
      <c r="CZ52" s="383" t="n"/>
      <c r="DA52" s="383" t="n"/>
      <c r="DB52" s="383" t="n"/>
      <c r="DC52" s="383" t="n"/>
      <c r="DD52" s="383" t="n"/>
      <c r="DE52" s="383" t="n"/>
      <c r="DF52" s="383" t="n"/>
      <c r="DG52" s="383" t="n"/>
      <c r="DH52" s="383" t="n"/>
      <c r="DI52" s="383" t="n"/>
      <c r="DJ52" s="383" t="n"/>
      <c r="DK52" s="383" t="n"/>
      <c r="DL52" s="383" t="n"/>
      <c r="DM52" s="383" t="n"/>
      <c r="DN52" s="383" t="n"/>
      <c r="DO52" s="383" t="n"/>
      <c r="DP52" s="383" t="n"/>
      <c r="DQ52" s="383" t="n"/>
      <c r="DR52" s="383" t="n"/>
      <c r="DS52" s="383" t="n"/>
      <c r="DT52" s="383" t="n"/>
      <c r="DU52" s="383" t="n"/>
      <c r="DV52" s="383" t="n"/>
      <c r="DW52" s="383" t="n"/>
      <c r="DX52" s="383" t="n"/>
      <c r="DY52" s="383" t="n"/>
      <c r="DZ52" s="383" t="n"/>
      <c r="EA52" s="383" t="n"/>
      <c r="EB52" s="383" t="n"/>
      <c r="EC52" s="383" t="n"/>
      <c r="ED52" s="383" t="n"/>
      <c r="EE52" s="383" t="n"/>
      <c r="EF52" s="383" t="n"/>
      <c r="EG52" s="383" t="n"/>
      <c r="EH52" s="383" t="n"/>
      <c r="EI52" s="383" t="n"/>
      <c r="EJ52" s="383" t="n"/>
      <c r="EK52" s="383" t="n"/>
      <c r="EL52" s="383" t="n"/>
      <c r="EM52" s="383" t="n"/>
      <c r="EN52" s="383" t="n"/>
      <c r="EO52" s="383" t="n"/>
      <c r="EP52" s="383" t="n"/>
      <c r="EQ52" s="383" t="n"/>
      <c r="ER52" s="383" t="n"/>
      <c r="ES52" s="383" t="n"/>
      <c r="ET52" s="383" t="n"/>
      <c r="EU52" s="383" t="n"/>
      <c r="EV52" s="383" t="n"/>
      <c r="EW52" s="383" t="n"/>
      <c r="EX52" s="383" t="n"/>
      <c r="EY52" s="383" t="n"/>
      <c r="EZ52" s="383" t="n"/>
      <c r="FA52" s="383" t="n"/>
      <c r="FB52" s="383" t="n"/>
      <c r="FC52" s="383" t="n"/>
      <c r="FD52" s="383" t="n"/>
      <c r="FE52" s="383" t="n"/>
      <c r="FF52" s="383" t="n"/>
      <c r="FG52" s="383" t="n"/>
      <c r="FH52" s="383" t="n"/>
      <c r="FI52" s="383" t="n"/>
      <c r="FJ52" s="383" t="n"/>
      <c r="FK52" s="383" t="n"/>
      <c r="FL52" s="383" t="n"/>
      <c r="FM52" s="383" t="n"/>
      <c r="FN52" s="383" t="n"/>
      <c r="FO52" s="383" t="n"/>
      <c r="FP52" s="383" t="n"/>
      <c r="FQ52" s="383" t="n"/>
      <c r="FR52" s="383" t="n"/>
      <c r="FS52" s="383" t="n"/>
      <c r="FT52" s="383" t="n"/>
      <c r="FU52" s="383" t="n"/>
      <c r="FV52" s="383" t="n"/>
      <c r="FW52" s="383" t="n"/>
      <c r="FX52" s="383" t="n"/>
      <c r="FY52" s="383" t="n"/>
      <c r="FZ52" s="383" t="n"/>
      <c r="GA52" s="383" t="n"/>
      <c r="GB52" s="383" t="n"/>
      <c r="GC52" s="383" t="n"/>
      <c r="GD52" s="383" t="n"/>
      <c r="GE52" s="383" t="n"/>
      <c r="GF52" s="383" t="n"/>
      <c r="GG52" s="383" t="n"/>
      <c r="GH52" s="383" t="n"/>
      <c r="GI52" s="383" t="n"/>
      <c r="GJ52" s="383" t="n"/>
      <c r="GK52" s="383" t="n"/>
      <c r="GL52" s="383" t="n"/>
      <c r="GM52" s="383" t="n"/>
      <c r="GN52" s="383" t="n"/>
      <c r="GO52" s="383" t="n"/>
      <c r="GP52" s="383" t="n"/>
      <c r="GQ52" s="383" t="n"/>
      <c r="GR52" s="383" t="n"/>
      <c r="GS52" s="383" t="n"/>
      <c r="GT52" s="383" t="n"/>
      <c r="GU52" s="383" t="n"/>
      <c r="GV52" s="383" t="n"/>
      <c r="GW52" s="383" t="n"/>
      <c r="GX52" s="383" t="n"/>
      <c r="GY52" s="383" t="n"/>
    </row>
    <row r="53" ht="15" customHeight="1" s="1883">
      <c r="A53" s="383" t="n"/>
      <c r="B53" s="383" t="n"/>
      <c r="C53" s="383" t="n"/>
      <c r="F53" s="383" t="n"/>
      <c r="G53" s="383" t="n"/>
      <c r="H53" s="383" t="n"/>
      <c r="I53" s="383" t="n"/>
      <c r="J53" s="383" t="n"/>
      <c r="K53" s="462" t="n"/>
      <c r="L53" s="383" t="n"/>
      <c r="M53" s="383" t="n"/>
      <c r="N53" s="383" t="n"/>
      <c r="O53" s="383" t="n"/>
      <c r="P53" s="383" t="n"/>
      <c r="Q53" s="383" t="n"/>
      <c r="R53" s="383" t="n"/>
      <c r="S53" s="383" t="n"/>
      <c r="T53" s="383" t="n"/>
      <c r="U53" s="383" t="n"/>
      <c r="V53" s="383" t="n"/>
      <c r="W53" s="383" t="n"/>
      <c r="X53" s="383" t="n"/>
      <c r="Y53" s="383" t="n"/>
      <c r="Z53" s="383" t="n"/>
      <c r="AA53" s="383" t="n"/>
      <c r="AB53" s="541" t="n"/>
      <c r="AC53" s="383" t="n"/>
      <c r="AD53" s="383" t="n"/>
      <c r="AE53" s="383" t="n"/>
      <c r="AF53" s="383" t="n"/>
      <c r="AG53" s="383" t="n"/>
      <c r="AH53" s="383" t="n"/>
      <c r="AI53" s="383" t="n"/>
      <c r="AJ53" s="383" t="n"/>
      <c r="AK53" s="383" t="n"/>
      <c r="AL53" s="383" t="n"/>
      <c r="AM53" s="383" t="n"/>
      <c r="AN53" s="541" t="n"/>
      <c r="AO53" s="383" t="n"/>
      <c r="AP53" s="383" t="n"/>
      <c r="AQ53" s="383" t="n"/>
      <c r="AR53" s="383" t="n"/>
      <c r="AS53" s="383" t="n"/>
      <c r="AT53" s="383" t="n"/>
      <c r="AU53" s="383" t="n"/>
      <c r="AV53" s="383" t="n"/>
      <c r="AW53" s="383" t="n"/>
      <c r="AX53" s="383" t="n"/>
      <c r="AY53" s="1910" t="n"/>
      <c r="AZ53" s="541" t="n"/>
      <c r="BA53" s="383" t="n"/>
      <c r="BB53" s="383" t="n"/>
      <c r="BC53" s="383" t="n"/>
      <c r="BD53" s="383" t="n"/>
      <c r="BE53" s="383" t="n"/>
      <c r="BF53" s="383" t="n"/>
      <c r="BG53" s="383" t="n"/>
      <c r="BH53" s="383" t="n"/>
      <c r="BI53" s="383" t="n"/>
      <c r="BJ53" s="383" t="n"/>
      <c r="BK53" s="383" t="n"/>
      <c r="BL53" s="541" t="n"/>
      <c r="BM53" s="383" t="n"/>
      <c r="BN53" s="383" t="n"/>
      <c r="BO53" s="383" t="n"/>
      <c r="BP53" s="383" t="n"/>
      <c r="BQ53" s="383" t="n"/>
      <c r="BR53" s="383" t="n"/>
      <c r="BS53" s="383" t="n"/>
      <c r="BT53" s="383" t="n"/>
      <c r="BU53" s="383" t="n"/>
      <c r="BV53" s="383" t="n"/>
      <c r="BW53" s="383" t="n"/>
      <c r="BX53" s="383" t="n"/>
      <c r="BY53" s="383" t="n"/>
      <c r="BZ53" s="383" t="n"/>
      <c r="CA53" s="383" t="n"/>
      <c r="CB53" s="383" t="n"/>
      <c r="CC53" s="383" t="n"/>
      <c r="CD53" s="383" t="n"/>
      <c r="CE53" s="383" t="n"/>
      <c r="CF53" s="383" t="n"/>
      <c r="CG53" s="383" t="n"/>
      <c r="CH53" s="383" t="n"/>
      <c r="CI53" s="383" t="n"/>
      <c r="CJ53" s="383" t="n"/>
      <c r="CK53" s="383" t="n"/>
      <c r="CL53" s="383" t="n"/>
      <c r="CM53" s="383" t="n"/>
      <c r="CN53" s="383" t="n"/>
      <c r="CO53" s="383" t="n"/>
      <c r="CP53" s="383" t="n"/>
      <c r="CQ53" s="383" t="n"/>
      <c r="CR53" s="383" t="n"/>
      <c r="CS53" s="383" t="n"/>
      <c r="CT53" s="383" t="n"/>
      <c r="CU53" s="383" t="n"/>
      <c r="CV53" s="383" t="n"/>
      <c r="CW53" s="383" t="n"/>
      <c r="CX53" s="383" t="n"/>
      <c r="CY53" s="383" t="n"/>
      <c r="CZ53" s="383" t="n"/>
      <c r="DA53" s="383" t="n"/>
      <c r="DB53" s="383" t="n"/>
      <c r="DC53" s="383" t="n"/>
      <c r="DD53" s="383" t="n"/>
      <c r="DE53" s="383" t="n"/>
      <c r="DF53" s="383" t="n"/>
      <c r="DG53" s="383" t="n"/>
      <c r="DH53" s="383" t="n"/>
      <c r="DI53" s="383" t="n"/>
      <c r="DJ53" s="383" t="n"/>
      <c r="DK53" s="383" t="n"/>
      <c r="DL53" s="383" t="n"/>
      <c r="DM53" s="383" t="n"/>
      <c r="DN53" s="383" t="n"/>
      <c r="DO53" s="383" t="n"/>
      <c r="DP53" s="383" t="n"/>
      <c r="DQ53" s="383" t="n"/>
      <c r="DR53" s="383" t="n"/>
      <c r="DS53" s="383" t="n"/>
      <c r="DT53" s="383" t="n"/>
      <c r="DU53" s="383" t="n"/>
      <c r="DV53" s="383" t="n"/>
      <c r="DW53" s="383" t="n"/>
      <c r="DX53" s="383" t="n"/>
      <c r="DY53" s="383" t="n"/>
      <c r="DZ53" s="383" t="n"/>
      <c r="EA53" s="383" t="n"/>
      <c r="EB53" s="383" t="n"/>
      <c r="EC53" s="383" t="n"/>
      <c r="ED53" s="383" t="n"/>
      <c r="EE53" s="383" t="n"/>
      <c r="EF53" s="383" t="n"/>
      <c r="EG53" s="383" t="n"/>
      <c r="EH53" s="383" t="n"/>
      <c r="EI53" s="383" t="n"/>
      <c r="EJ53" s="383" t="n"/>
      <c r="EK53" s="383" t="n"/>
      <c r="EL53" s="383" t="n"/>
      <c r="EM53" s="383" t="n"/>
      <c r="EN53" s="383" t="n"/>
      <c r="EO53" s="383" t="n"/>
      <c r="EP53" s="383" t="n"/>
      <c r="EQ53" s="383" t="n"/>
      <c r="ER53" s="383" t="n"/>
      <c r="ES53" s="383" t="n"/>
      <c r="ET53" s="383" t="n"/>
      <c r="EU53" s="383" t="n"/>
      <c r="EV53" s="383" t="n"/>
      <c r="EW53" s="383" t="n"/>
      <c r="EX53" s="383" t="n"/>
      <c r="EY53" s="383" t="n"/>
      <c r="EZ53" s="383" t="n"/>
      <c r="FA53" s="383" t="n"/>
      <c r="FB53" s="383" t="n"/>
      <c r="FC53" s="383" t="n"/>
      <c r="FD53" s="383" t="n"/>
      <c r="FE53" s="383" t="n"/>
      <c r="FF53" s="383" t="n"/>
      <c r="FG53" s="383" t="n"/>
      <c r="FH53" s="383" t="n"/>
      <c r="FI53" s="383" t="n"/>
      <c r="FJ53" s="383" t="n"/>
      <c r="FK53" s="383" t="n"/>
      <c r="FL53" s="383" t="n"/>
      <c r="FM53" s="383" t="n"/>
      <c r="FN53" s="383" t="n"/>
      <c r="FO53" s="383" t="n"/>
      <c r="FP53" s="383" t="n"/>
      <c r="FQ53" s="383" t="n"/>
      <c r="FR53" s="383" t="n"/>
      <c r="FS53" s="383" t="n"/>
      <c r="FT53" s="383" t="n"/>
      <c r="FU53" s="383" t="n"/>
      <c r="FV53" s="383" t="n"/>
      <c r="FW53" s="383" t="n"/>
      <c r="FX53" s="383" t="n"/>
      <c r="FY53" s="383" t="n"/>
      <c r="FZ53" s="383" t="n"/>
      <c r="GA53" s="383" t="n"/>
      <c r="GB53" s="383" t="n"/>
      <c r="GC53" s="383" t="n"/>
      <c r="GD53" s="383" t="n"/>
      <c r="GE53" s="383" t="n"/>
      <c r="GF53" s="383" t="n"/>
      <c r="GG53" s="383" t="n"/>
      <c r="GH53" s="383" t="n"/>
      <c r="GI53" s="383" t="n"/>
      <c r="GJ53" s="383" t="n"/>
      <c r="GK53" s="383" t="n"/>
      <c r="GL53" s="383" t="n"/>
      <c r="GM53" s="383" t="n"/>
      <c r="GN53" s="383" t="n"/>
      <c r="GO53" s="383" t="n"/>
      <c r="GP53" s="383" t="n"/>
      <c r="GQ53" s="383" t="n"/>
      <c r="GR53" s="383" t="n"/>
      <c r="GS53" s="383" t="n"/>
      <c r="GT53" s="383" t="n"/>
      <c r="GU53" s="383" t="n"/>
      <c r="GV53" s="383" t="n"/>
      <c r="GW53" s="383" t="n"/>
      <c r="GX53" s="383" t="n"/>
      <c r="GY53" s="383" t="n"/>
    </row>
    <row r="54" ht="15" customHeight="1" s="1883">
      <c r="A54" s="383" t="n"/>
      <c r="B54" s="383" t="n"/>
      <c r="C54" s="383" t="n"/>
      <c r="D54" s="383" t="n"/>
      <c r="E54" s="383" t="n"/>
      <c r="F54" s="383" t="n"/>
      <c r="G54" s="383" t="n"/>
      <c r="H54" s="383" t="n"/>
      <c r="I54" s="383" t="n"/>
      <c r="J54" s="539" t="n"/>
      <c r="K54" s="462" t="n"/>
      <c r="L54" s="1971" t="inlineStr">
        <is>
          <t>Total Management Payroll, by Month, Months 1 - 60</t>
        </is>
      </c>
      <c r="O54" s="526" t="n"/>
      <c r="P54" s="543">
        <f>ROUND(SUMPRODUCT($J17:$J52,P17:P52)/12,0)</f>
        <v/>
      </c>
      <c r="Q54" s="543">
        <f>ROUND(SUMPRODUCT($J17:$J52,Q17:Q52)/12,0)</f>
        <v/>
      </c>
      <c r="R54" s="543">
        <f>ROUND(SUMPRODUCT($J17:$J52,R17:R52)/12,0)</f>
        <v/>
      </c>
      <c r="S54" s="543">
        <f>ROUND(SUMPRODUCT($J17:$J52,S17:S52)/12,0)</f>
        <v/>
      </c>
      <c r="T54" s="543">
        <f>ROUND(SUMPRODUCT($J17:$J52,T17:T52)/12,0)</f>
        <v/>
      </c>
      <c r="U54" s="543">
        <f>ROUND(SUMPRODUCT($J17:$J52,U17:U52)/12,0)</f>
        <v/>
      </c>
      <c r="V54" s="543">
        <f>ROUND(SUMPRODUCT($J17:$J52,V17:V52)/12,0)</f>
        <v/>
      </c>
      <c r="W54" s="543">
        <f>ROUND(SUMPRODUCT($J17:$J52,W17:W52)/12,0)</f>
        <v/>
      </c>
      <c r="X54" s="543">
        <f>ROUND(SUMPRODUCT($J17:$J52,X17:X52)/12,0)</f>
        <v/>
      </c>
      <c r="Y54" s="543">
        <f>ROUND(SUMPRODUCT($J17:$J52,Y17:Y52)/12,0)</f>
        <v/>
      </c>
      <c r="Z54" s="543">
        <f>ROUND(SUMPRODUCT($J17:$J52,Z17:Z52)/12,0)</f>
        <v/>
      </c>
      <c r="AA54" s="543">
        <f>ROUND(SUMPRODUCT($J17:$J52,AA17:AA52)/12,0)</f>
        <v/>
      </c>
      <c r="AB54" s="544">
        <f>ROUND(SUMPRODUCT($K17:$K52,AB17:AB52)/12,0)</f>
        <v/>
      </c>
      <c r="AC54" s="543">
        <f>ROUND(SUMPRODUCT($K17:$K52,AC17:AC52)/12,0)</f>
        <v/>
      </c>
      <c r="AD54" s="543">
        <f>ROUND(SUMPRODUCT($K17:$K52,AD17:AD52)/12,0)</f>
        <v/>
      </c>
      <c r="AE54" s="543">
        <f>ROUND(SUMPRODUCT($K17:$K52,AE17:AE52)/12,0)</f>
        <v/>
      </c>
      <c r="AF54" s="543">
        <f>ROUND(SUMPRODUCT($K17:$K52,AF17:AF52)/12,0)</f>
        <v/>
      </c>
      <c r="AG54" s="543">
        <f>ROUND(SUMPRODUCT($K17:$K52,AG17:AG52)/12,0)</f>
        <v/>
      </c>
      <c r="AH54" s="543">
        <f>ROUND(SUMPRODUCT($K17:$K52,AH17:AH52)/12,0)</f>
        <v/>
      </c>
      <c r="AI54" s="543">
        <f>ROUND(SUMPRODUCT($K17:$K52,AI17:AI52)/12,0)</f>
        <v/>
      </c>
      <c r="AJ54" s="543">
        <f>ROUND(SUMPRODUCT($K17:$K52,AJ17:AJ52)/12,0)</f>
        <v/>
      </c>
      <c r="AK54" s="543">
        <f>ROUND(SUMPRODUCT($K17:$K52,AK17:AK52)/12,0)</f>
        <v/>
      </c>
      <c r="AL54" s="543">
        <f>ROUND(SUMPRODUCT($K17:$K52,AL17:AL52)/12,0)</f>
        <v/>
      </c>
      <c r="AM54" s="543">
        <f>ROUND(SUMPRODUCT($K17:$K52,AM17:AM52)/12,0)</f>
        <v/>
      </c>
      <c r="AN54" s="544">
        <f>ROUND(SUMPRODUCT($L17:$L52,AN17:AN52)/12,0)</f>
        <v/>
      </c>
      <c r="AO54" s="543">
        <f>ROUND(SUMPRODUCT($L17:$L52,AO17:AO52)/12,0)</f>
        <v/>
      </c>
      <c r="AP54" s="543">
        <f>ROUND(SUMPRODUCT($L17:$L52,AP17:AP52)/12,0)</f>
        <v/>
      </c>
      <c r="AQ54" s="543">
        <f>ROUND(SUMPRODUCT($L17:$L52,AQ17:AQ52)/12,0)</f>
        <v/>
      </c>
      <c r="AR54" s="543">
        <f>ROUND(SUMPRODUCT($L17:$L52,AR17:AR52)/12,0)</f>
        <v/>
      </c>
      <c r="AS54" s="543">
        <f>ROUND(SUMPRODUCT($L17:$L52,AS17:AS52)/12,0)</f>
        <v/>
      </c>
      <c r="AT54" s="543">
        <f>ROUND(SUMPRODUCT($L17:$L52,AT17:AT52)/12,0)</f>
        <v/>
      </c>
      <c r="AU54" s="543">
        <f>ROUND(SUMPRODUCT($L17:$L52,AU17:AU52)/12,0)</f>
        <v/>
      </c>
      <c r="AV54" s="543">
        <f>ROUND(SUMPRODUCT($L17:$L52,AV17:AV52)/12,0)</f>
        <v/>
      </c>
      <c r="AW54" s="543">
        <f>ROUND(SUMPRODUCT($L17:$L52,AW17:AW52)/12,0)</f>
        <v/>
      </c>
      <c r="AX54" s="543">
        <f>ROUND(SUMPRODUCT($L17:$L52,AX17:AX52)/12,0)</f>
        <v/>
      </c>
      <c r="AY54" s="566">
        <f>ROUND(SUMPRODUCT($L17:$L52,AY17:AY52)/12,0)</f>
        <v/>
      </c>
      <c r="AZ54" s="544">
        <f>ROUND(SUMPRODUCT($M17:$M52,AZ17:AZ52)/12,0)</f>
        <v/>
      </c>
      <c r="BA54" s="543">
        <f>ROUND(SUMPRODUCT($M17:$M52,BA17:BA52)/12,0)</f>
        <v/>
      </c>
      <c r="BB54" s="543">
        <f>ROUND(SUMPRODUCT($M17:$M52,BB17:BB52)/12,0)</f>
        <v/>
      </c>
      <c r="BC54" s="543">
        <f>ROUND(SUMPRODUCT($M17:$M52,BC17:BC52)/12,0)</f>
        <v/>
      </c>
      <c r="BD54" s="543">
        <f>ROUND(SUMPRODUCT($M17:$M52,BD17:BD52)/12,0)</f>
        <v/>
      </c>
      <c r="BE54" s="543">
        <f>ROUND(SUMPRODUCT($M17:$M52,BE17:BE52)/12,0)</f>
        <v/>
      </c>
      <c r="BF54" s="543">
        <f>ROUND(SUMPRODUCT($M17:$M52,BF17:BF52)/12,0)</f>
        <v/>
      </c>
      <c r="BG54" s="543">
        <f>ROUND(SUMPRODUCT($M17:$M52,BG17:BG52)/12,0)</f>
        <v/>
      </c>
      <c r="BH54" s="543">
        <f>ROUND(SUMPRODUCT($M17:$M52,BH17:BH52)/12,0)</f>
        <v/>
      </c>
      <c r="BI54" s="543">
        <f>ROUND(SUMPRODUCT($M17:$M52,BI17:BI52)/12,0)</f>
        <v/>
      </c>
      <c r="BJ54" s="543">
        <f>ROUND(SUMPRODUCT($M17:$M52,BJ17:BJ52)/12,0)</f>
        <v/>
      </c>
      <c r="BK54" s="543">
        <f>ROUND(SUMPRODUCT($M17:$M52,BK17:BK52)/12,0)</f>
        <v/>
      </c>
      <c r="BL54" s="544">
        <f>ROUND(SUMPRODUCT($N17:$N52,BL17:BL52)/12,0)</f>
        <v/>
      </c>
      <c r="BM54" s="543">
        <f>ROUND(SUMPRODUCT($N17:$N52,BM17:BM52)/12,0)</f>
        <v/>
      </c>
      <c r="BN54" s="543">
        <f>ROUND(SUMPRODUCT($N17:$N52,BN17:BN52)/12,0)</f>
        <v/>
      </c>
      <c r="BO54" s="543">
        <f>ROUND(SUMPRODUCT($N17:$N52,BO17:BO52)/12,0)</f>
        <v/>
      </c>
      <c r="BP54" s="543">
        <f>ROUND(SUMPRODUCT($N17:$N52,BP17:BP52)/12,0)</f>
        <v/>
      </c>
      <c r="BQ54" s="543">
        <f>ROUND(SUMPRODUCT($N17:$N52,BQ17:BQ52)/12,0)</f>
        <v/>
      </c>
      <c r="BR54" s="543">
        <f>ROUND(SUMPRODUCT($N17:$N52,BR17:BR52)/12,0)</f>
        <v/>
      </c>
      <c r="BS54" s="543">
        <f>ROUND(SUMPRODUCT($N17:$N52,BS17:BS52)/12,0)</f>
        <v/>
      </c>
      <c r="BT54" s="543">
        <f>ROUND(SUMPRODUCT($N17:$N52,BT17:BT52)/12,0)</f>
        <v/>
      </c>
      <c r="BU54" s="543">
        <f>ROUND(SUMPRODUCT($N17:$N52,BU17:BU52)/12,0)</f>
        <v/>
      </c>
      <c r="BV54" s="543">
        <f>ROUND(SUMPRODUCT($N17:$N52,BV17:BV52)/12,0)</f>
        <v/>
      </c>
      <c r="BW54" s="543">
        <f>ROUND(SUMPRODUCT($N17:$N52,BW17:BW52)/12,0)</f>
        <v/>
      </c>
      <c r="BX54" s="383" t="n"/>
      <c r="BY54" s="383" t="n"/>
      <c r="BZ54" s="383" t="n"/>
      <c r="CA54" s="383" t="n"/>
      <c r="CB54" s="383" t="n"/>
      <c r="CC54" s="383" t="n"/>
      <c r="CD54" s="383" t="n"/>
      <c r="CE54" s="383" t="n"/>
      <c r="CF54" s="383" t="n"/>
      <c r="CG54" s="383" t="n"/>
      <c r="CH54" s="383" t="n"/>
      <c r="CI54" s="383" t="n"/>
      <c r="CJ54" s="383" t="n"/>
      <c r="CK54" s="383" t="n"/>
      <c r="CL54" s="383" t="n"/>
      <c r="CM54" s="383" t="n"/>
      <c r="CN54" s="383" t="n"/>
      <c r="CO54" s="383" t="n"/>
      <c r="CP54" s="383" t="n"/>
      <c r="CQ54" s="383" t="n"/>
      <c r="CR54" s="383" t="n"/>
      <c r="CS54" s="383" t="n"/>
      <c r="CT54" s="383" t="n"/>
      <c r="CU54" s="383" t="n"/>
      <c r="CV54" s="383" t="n"/>
      <c r="CW54" s="383" t="n"/>
      <c r="CX54" s="383" t="n"/>
      <c r="CY54" s="383" t="n"/>
      <c r="CZ54" s="383" t="n"/>
      <c r="DA54" s="383" t="n"/>
      <c r="DB54" s="383" t="n"/>
      <c r="DC54" s="383" t="n"/>
      <c r="DD54" s="383" t="n"/>
      <c r="DE54" s="383" t="n"/>
      <c r="DF54" s="383" t="n"/>
      <c r="DG54" s="383" t="n"/>
      <c r="DH54" s="383" t="n"/>
      <c r="DI54" s="383" t="n"/>
      <c r="DJ54" s="383" t="n"/>
      <c r="DK54" s="383" t="n"/>
      <c r="DL54" s="383" t="n"/>
      <c r="DM54" s="383" t="n"/>
      <c r="DN54" s="383" t="n"/>
      <c r="DO54" s="383" t="n"/>
      <c r="DP54" s="383" t="n"/>
      <c r="DQ54" s="383" t="n"/>
      <c r="DR54" s="383" t="n"/>
      <c r="DS54" s="383" t="n"/>
      <c r="DT54" s="383" t="n"/>
      <c r="DU54" s="383" t="n"/>
      <c r="DV54" s="383" t="n"/>
      <c r="DW54" s="383" t="n"/>
      <c r="DX54" s="383" t="n"/>
      <c r="DY54" s="383" t="n"/>
      <c r="DZ54" s="383" t="n"/>
      <c r="EA54" s="383" t="n"/>
      <c r="EB54" s="383" t="n"/>
      <c r="EC54" s="383" t="n"/>
      <c r="ED54" s="383" t="n"/>
      <c r="EE54" s="383" t="n"/>
      <c r="EF54" s="383" t="n"/>
      <c r="EG54" s="383" t="n"/>
      <c r="EH54" s="383" t="n"/>
      <c r="EI54" s="383" t="n"/>
      <c r="EJ54" s="383" t="n"/>
      <c r="EK54" s="383" t="n"/>
      <c r="EL54" s="383" t="n"/>
      <c r="EM54" s="383" t="n"/>
      <c r="EN54" s="383" t="n"/>
      <c r="EO54" s="383" t="n"/>
      <c r="EP54" s="383" t="n"/>
      <c r="EQ54" s="383" t="n"/>
      <c r="ER54" s="383" t="n"/>
      <c r="ES54" s="383" t="n"/>
      <c r="ET54" s="383" t="n"/>
      <c r="EU54" s="383" t="n"/>
      <c r="EV54" s="383" t="n"/>
      <c r="EW54" s="383" t="n"/>
      <c r="EX54" s="383" t="n"/>
      <c r="EY54" s="383" t="n"/>
      <c r="EZ54" s="383" t="n"/>
      <c r="FA54" s="383" t="n"/>
      <c r="FB54" s="383" t="n"/>
      <c r="FC54" s="383" t="n"/>
      <c r="FD54" s="383" t="n"/>
      <c r="FE54" s="383" t="n"/>
      <c r="FF54" s="383" t="n"/>
      <c r="FG54" s="383" t="n"/>
      <c r="FH54" s="383" t="n"/>
      <c r="FI54" s="383" t="n"/>
      <c r="FJ54" s="383" t="n"/>
      <c r="FK54" s="383" t="n"/>
      <c r="FL54" s="383" t="n"/>
      <c r="FM54" s="383" t="n"/>
      <c r="FN54" s="383" t="n"/>
      <c r="FO54" s="383" t="n"/>
      <c r="FP54" s="383" t="n"/>
      <c r="FQ54" s="383" t="n"/>
      <c r="FR54" s="383" t="n"/>
      <c r="FS54" s="383" t="n"/>
      <c r="FT54" s="383" t="n"/>
      <c r="FU54" s="383" t="n"/>
      <c r="FV54" s="383" t="n"/>
      <c r="FW54" s="383" t="n"/>
      <c r="FX54" s="383" t="n"/>
      <c r="FY54" s="383" t="n"/>
      <c r="FZ54" s="383" t="n"/>
      <c r="GA54" s="383" t="n"/>
      <c r="GB54" s="383" t="n"/>
      <c r="GC54" s="383" t="n"/>
      <c r="GD54" s="383" t="n"/>
      <c r="GE54" s="383" t="n"/>
      <c r="GF54" s="383" t="n"/>
      <c r="GG54" s="383" t="n"/>
      <c r="GH54" s="383" t="n"/>
      <c r="GI54" s="383" t="n"/>
      <c r="GJ54" s="383" t="n"/>
      <c r="GK54" s="383" t="n"/>
      <c r="GL54" s="383" t="n"/>
      <c r="GM54" s="383" t="n"/>
      <c r="GN54" s="383" t="n"/>
      <c r="GO54" s="383" t="n"/>
      <c r="GP54" s="383" t="n"/>
      <c r="GQ54" s="383" t="n"/>
      <c r="GR54" s="383" t="n"/>
      <c r="GS54" s="383" t="n"/>
      <c r="GT54" s="383" t="n"/>
      <c r="GU54" s="383" t="n"/>
      <c r="GV54" s="383" t="n"/>
      <c r="GW54" s="383" t="n"/>
      <c r="GX54" s="383" t="n"/>
      <c r="GY54" s="383" t="n"/>
    </row>
    <row r="55" ht="15" customHeight="1" s="1883">
      <c r="A55" s="383" t="n"/>
      <c r="B55" s="383" t="n"/>
      <c r="C55" s="383" t="n"/>
      <c r="D55" s="383" t="n"/>
      <c r="E55" s="383" t="n"/>
      <c r="F55" s="383" t="n"/>
      <c r="G55" s="383" t="n"/>
      <c r="H55" s="383" t="n"/>
      <c r="I55" s="383" t="n"/>
      <c r="J55" s="383" t="n"/>
      <c r="K55" s="462" t="n"/>
      <c r="L55" s="383" t="n"/>
      <c r="M55" s="383" t="n"/>
      <c r="N55" s="383" t="n"/>
      <c r="O55" s="383" t="n"/>
      <c r="P55" s="383" t="n"/>
      <c r="Q55" s="383" t="n"/>
      <c r="R55" s="383" t="n"/>
      <c r="S55" s="383" t="n"/>
      <c r="T55" s="383" t="n"/>
      <c r="U55" s="383" t="n"/>
      <c r="V55" s="383" t="n"/>
      <c r="W55" s="383" t="n"/>
      <c r="X55" s="383" t="n"/>
      <c r="Y55" s="383" t="n"/>
      <c r="Z55" s="383" t="n"/>
      <c r="AA55" s="383" t="n"/>
      <c r="AB55" s="541" t="n"/>
      <c r="AC55" s="383" t="n"/>
      <c r="AD55" s="383" t="n"/>
      <c r="AE55" s="383" t="n"/>
      <c r="AF55" s="383" t="n"/>
      <c r="AG55" s="383" t="n"/>
      <c r="AH55" s="383" t="n"/>
      <c r="AI55" s="383" t="n"/>
      <c r="AJ55" s="383" t="n"/>
      <c r="AK55" s="383" t="n"/>
      <c r="AL55" s="383" t="n"/>
      <c r="AM55" s="383" t="n"/>
      <c r="AN55" s="541" t="n"/>
      <c r="AO55" s="383" t="n"/>
      <c r="AP55" s="383" t="n"/>
      <c r="AQ55" s="383" t="n"/>
      <c r="AR55" s="383" t="n"/>
      <c r="AS55" s="383" t="n"/>
      <c r="AT55" s="383" t="n"/>
      <c r="AU55" s="383" t="n"/>
      <c r="AV55" s="383" t="n"/>
      <c r="AW55" s="383" t="n"/>
      <c r="AX55" s="383" t="n"/>
      <c r="AY55" s="1910" t="n"/>
      <c r="AZ55" s="541" t="n"/>
      <c r="BA55" s="383" t="n"/>
      <c r="BB55" s="383" t="n"/>
      <c r="BC55" s="383" t="n"/>
      <c r="BD55" s="383" t="n"/>
      <c r="BE55" s="383" t="n"/>
      <c r="BF55" s="383" t="n"/>
      <c r="BG55" s="383" t="n"/>
      <c r="BH55" s="383" t="n"/>
      <c r="BI55" s="383" t="n"/>
      <c r="BJ55" s="383" t="n"/>
      <c r="BK55" s="383" t="n"/>
      <c r="BL55" s="541" t="n"/>
      <c r="BM55" s="383" t="n"/>
      <c r="BN55" s="383" t="n"/>
      <c r="BO55" s="383" t="n"/>
      <c r="BP55" s="383" t="n"/>
      <c r="BQ55" s="383" t="n"/>
      <c r="BR55" s="383" t="n"/>
      <c r="BS55" s="383" t="n"/>
      <c r="BT55" s="383" t="n"/>
      <c r="BU55" s="383" t="n"/>
      <c r="BV55" s="383" t="n"/>
      <c r="BW55" s="383" t="n"/>
      <c r="BX55" s="383" t="n"/>
      <c r="BY55" s="383" t="n"/>
      <c r="BZ55" s="383" t="n"/>
      <c r="CA55" s="383" t="n"/>
      <c r="CB55" s="383" t="n"/>
      <c r="CC55" s="383" t="n"/>
      <c r="CD55" s="383" t="n"/>
      <c r="CE55" s="383" t="n"/>
      <c r="CF55" s="383" t="n"/>
      <c r="CG55" s="383" t="n"/>
      <c r="CH55" s="383" t="n"/>
      <c r="CI55" s="383" t="n"/>
      <c r="CJ55" s="383" t="n"/>
      <c r="CK55" s="383" t="n"/>
      <c r="CL55" s="383" t="n"/>
      <c r="CM55" s="383" t="n"/>
      <c r="CN55" s="383" t="n"/>
      <c r="CO55" s="383" t="n"/>
      <c r="CP55" s="383" t="n"/>
      <c r="CQ55" s="383" t="n"/>
      <c r="CR55" s="383" t="n"/>
      <c r="CS55" s="383" t="n"/>
      <c r="CT55" s="383" t="n"/>
      <c r="CU55" s="383" t="n"/>
      <c r="CV55" s="383" t="n"/>
      <c r="CW55" s="383" t="n"/>
      <c r="CX55" s="383" t="n"/>
      <c r="CY55" s="383" t="n"/>
      <c r="CZ55" s="383" t="n"/>
      <c r="DA55" s="383" t="n"/>
      <c r="DB55" s="383" t="n"/>
      <c r="DC55" s="383" t="n"/>
      <c r="DD55" s="383" t="n"/>
      <c r="DE55" s="383" t="n"/>
      <c r="DF55" s="383" t="n"/>
      <c r="DG55" s="383" t="n"/>
      <c r="DH55" s="383" t="n"/>
      <c r="DI55" s="383" t="n"/>
      <c r="DJ55" s="383" t="n"/>
      <c r="DK55" s="383" t="n"/>
      <c r="DL55" s="383" t="n"/>
      <c r="DM55" s="383" t="n"/>
      <c r="DN55" s="383" t="n"/>
      <c r="DO55" s="383" t="n"/>
      <c r="DP55" s="383" t="n"/>
      <c r="DQ55" s="383" t="n"/>
      <c r="DR55" s="383" t="n"/>
      <c r="DS55" s="383" t="n"/>
      <c r="DT55" s="383" t="n"/>
      <c r="DU55" s="383" t="n"/>
      <c r="DV55" s="383" t="n"/>
      <c r="DW55" s="383" t="n"/>
      <c r="DX55" s="383" t="n"/>
      <c r="DY55" s="383" t="n"/>
      <c r="DZ55" s="383" t="n"/>
      <c r="EA55" s="383" t="n"/>
      <c r="EB55" s="383" t="n"/>
      <c r="EC55" s="383" t="n"/>
      <c r="ED55" s="383" t="n"/>
      <c r="EE55" s="383" t="n"/>
      <c r="EF55" s="383" t="n"/>
      <c r="EG55" s="383" t="n"/>
      <c r="EH55" s="383" t="n"/>
      <c r="EI55" s="383" t="n"/>
      <c r="EJ55" s="383" t="n"/>
      <c r="EK55" s="383" t="n"/>
      <c r="EL55" s="383" t="n"/>
      <c r="EM55" s="383" t="n"/>
      <c r="EN55" s="383" t="n"/>
      <c r="EO55" s="383" t="n"/>
      <c r="EP55" s="383" t="n"/>
      <c r="EQ55" s="383" t="n"/>
      <c r="ER55" s="383" t="n"/>
      <c r="ES55" s="383" t="n"/>
      <c r="ET55" s="383" t="n"/>
      <c r="EU55" s="383" t="n"/>
      <c r="EV55" s="383" t="n"/>
      <c r="EW55" s="383" t="n"/>
      <c r="EX55" s="383" t="n"/>
      <c r="EY55" s="383" t="n"/>
      <c r="EZ55" s="383" t="n"/>
      <c r="FA55" s="383" t="n"/>
      <c r="FB55" s="383" t="n"/>
      <c r="FC55" s="383" t="n"/>
      <c r="FD55" s="383" t="n"/>
      <c r="FE55" s="383" t="n"/>
      <c r="FF55" s="383" t="n"/>
      <c r="FG55" s="383" t="n"/>
      <c r="FH55" s="383" t="n"/>
      <c r="FI55" s="383" t="n"/>
      <c r="FJ55" s="383" t="n"/>
      <c r="FK55" s="383" t="n"/>
      <c r="FL55" s="383" t="n"/>
      <c r="FM55" s="383" t="n"/>
      <c r="FN55" s="383" t="n"/>
      <c r="FO55" s="383" t="n"/>
      <c r="FP55" s="383" t="n"/>
      <c r="FQ55" s="383" t="n"/>
      <c r="FR55" s="383" t="n"/>
      <c r="FS55" s="383" t="n"/>
      <c r="FT55" s="383" t="n"/>
      <c r="FU55" s="383" t="n"/>
      <c r="FV55" s="383" t="n"/>
      <c r="FW55" s="383" t="n"/>
      <c r="FX55" s="383" t="n"/>
      <c r="FY55" s="383" t="n"/>
      <c r="FZ55" s="383" t="n"/>
      <c r="GA55" s="383" t="n"/>
      <c r="GB55" s="383" t="n"/>
      <c r="GC55" s="383" t="n"/>
      <c r="GD55" s="383" t="n"/>
      <c r="GE55" s="383" t="n"/>
      <c r="GF55" s="383" t="n"/>
      <c r="GG55" s="383" t="n"/>
      <c r="GH55" s="383" t="n"/>
      <c r="GI55" s="383" t="n"/>
      <c r="GJ55" s="383" t="n"/>
      <c r="GK55" s="383" t="n"/>
      <c r="GL55" s="383" t="n"/>
      <c r="GM55" s="383" t="n"/>
      <c r="GN55" s="383" t="n"/>
      <c r="GO55" s="383" t="n"/>
      <c r="GP55" s="383" t="n"/>
      <c r="GQ55" s="383" t="n"/>
      <c r="GR55" s="383" t="n"/>
      <c r="GS55" s="383" t="n"/>
      <c r="GT55" s="383" t="n"/>
      <c r="GU55" s="383" t="n"/>
      <c r="GV55" s="383" t="n"/>
      <c r="GW55" s="383" t="n"/>
      <c r="GX55" s="383" t="n"/>
      <c r="GY55" s="383" t="n"/>
    </row>
    <row r="56" ht="15" customHeight="1" s="1883">
      <c r="A56" s="383" t="n"/>
      <c r="B56" s="383" t="n"/>
      <c r="C56" s="383" t="n"/>
      <c r="D56" s="383" t="n"/>
      <c r="E56" s="383" t="n"/>
      <c r="F56" s="383" t="n"/>
      <c r="G56" s="383" t="n"/>
      <c r="H56" s="383" t="n"/>
      <c r="I56" s="383" t="n"/>
      <c r="J56" s="383" t="n"/>
      <c r="K56" s="462" t="n"/>
      <c r="L56" s="383" t="n"/>
      <c r="M56" s="383" t="n"/>
      <c r="N56" s="383" t="n"/>
      <c r="O56" s="383" t="n"/>
      <c r="P56" s="383" t="n"/>
      <c r="Q56" s="383" t="n"/>
      <c r="R56" s="383" t="n"/>
      <c r="S56" s="383" t="n"/>
      <c r="T56" s="383" t="n"/>
      <c r="U56" s="383" t="n"/>
      <c r="V56" s="383" t="n"/>
      <c r="W56" s="383" t="n"/>
      <c r="X56" s="383" t="n"/>
      <c r="Y56" s="383" t="n"/>
      <c r="Z56" s="383" t="n"/>
      <c r="AA56" s="383" t="n"/>
      <c r="AB56" s="383" t="n"/>
      <c r="AC56" s="383" t="n"/>
      <c r="AD56" s="383" t="n"/>
      <c r="AE56" s="383" t="n"/>
      <c r="AF56" s="383" t="n"/>
      <c r="AG56" s="383" t="n"/>
      <c r="AH56" s="383" t="n"/>
      <c r="AI56" s="383" t="n"/>
      <c r="AJ56" s="383" t="n"/>
      <c r="AK56" s="383" t="n"/>
      <c r="AL56" s="383" t="n"/>
      <c r="AM56" s="383" t="n"/>
      <c r="AN56" s="383" t="n"/>
      <c r="AO56" s="383" t="n"/>
      <c r="AP56" s="383" t="n"/>
      <c r="AQ56" s="383" t="n"/>
      <c r="AR56" s="383" t="n"/>
      <c r="AS56" s="383" t="n"/>
      <c r="AT56" s="383" t="n"/>
      <c r="AU56" s="383" t="n"/>
      <c r="AV56" s="383" t="n"/>
      <c r="AW56" s="383" t="n"/>
      <c r="AX56" s="383" t="n"/>
      <c r="AY56" s="383" t="n"/>
      <c r="AZ56" s="383" t="n"/>
      <c r="BA56" s="383" t="n"/>
      <c r="BB56" s="383" t="n"/>
      <c r="BC56" s="383" t="n"/>
      <c r="BD56" s="383" t="n"/>
      <c r="BE56" s="383" t="n"/>
      <c r="BF56" s="383" t="n"/>
      <c r="BG56" s="383" t="n"/>
      <c r="BH56" s="383" t="n"/>
      <c r="BI56" s="383" t="n"/>
      <c r="BJ56" s="383" t="n"/>
      <c r="BK56" s="383" t="n"/>
      <c r="BL56" s="383" t="n"/>
      <c r="BM56" s="383" t="n"/>
      <c r="BN56" s="383" t="n"/>
      <c r="BO56" s="383" t="n"/>
      <c r="BP56" s="383" t="n"/>
      <c r="BQ56" s="383" t="n"/>
      <c r="BR56" s="383" t="n"/>
      <c r="BS56" s="383" t="n"/>
      <c r="BT56" s="383" t="n"/>
      <c r="BU56" s="383" t="n"/>
      <c r="BV56" s="383" t="n"/>
      <c r="BW56" s="383" t="n"/>
      <c r="BX56" s="383" t="n"/>
      <c r="BY56" s="383" t="n"/>
      <c r="BZ56" s="383" t="n"/>
      <c r="CA56" s="383" t="n"/>
      <c r="CB56" s="383" t="n"/>
      <c r="CC56" s="383" t="n"/>
      <c r="CD56" s="383" t="n"/>
      <c r="CE56" s="383" t="n"/>
      <c r="CF56" s="383" t="n"/>
      <c r="CG56" s="383" t="n"/>
      <c r="CH56" s="383" t="n"/>
      <c r="CI56" s="383" t="n"/>
      <c r="CJ56" s="383" t="n"/>
      <c r="CK56" s="383" t="n"/>
      <c r="CL56" s="383" t="n"/>
      <c r="CM56" s="383" t="n"/>
      <c r="CN56" s="383" t="n"/>
      <c r="CO56" s="383" t="n"/>
      <c r="CP56" s="383" t="n"/>
      <c r="CQ56" s="383" t="n"/>
      <c r="CR56" s="383" t="n"/>
      <c r="CS56" s="383" t="n"/>
      <c r="CT56" s="383" t="n"/>
      <c r="CU56" s="383" t="n"/>
      <c r="CV56" s="383" t="n"/>
      <c r="CW56" s="383" t="n"/>
      <c r="CX56" s="383" t="n"/>
      <c r="CY56" s="383" t="n"/>
      <c r="CZ56" s="383" t="n"/>
      <c r="DA56" s="383" t="n"/>
      <c r="DB56" s="383" t="n"/>
      <c r="DC56" s="383" t="n"/>
      <c r="DD56" s="383" t="n"/>
      <c r="DE56" s="383" t="n"/>
      <c r="DF56" s="383" t="n"/>
      <c r="DG56" s="383" t="n"/>
      <c r="DH56" s="383" t="n"/>
      <c r="DI56" s="383" t="n"/>
      <c r="DJ56" s="383" t="n"/>
      <c r="DK56" s="383" t="n"/>
      <c r="DL56" s="383" t="n"/>
      <c r="DM56" s="383" t="n"/>
      <c r="DN56" s="383" t="n"/>
      <c r="DO56" s="383" t="n"/>
      <c r="DP56" s="383" t="n"/>
      <c r="DQ56" s="383" t="n"/>
      <c r="DR56" s="383" t="n"/>
      <c r="DS56" s="383" t="n"/>
      <c r="DT56" s="383" t="n"/>
      <c r="DU56" s="383" t="n"/>
      <c r="DV56" s="383" t="n"/>
      <c r="DW56" s="383" t="n"/>
      <c r="DX56" s="383" t="n"/>
      <c r="DY56" s="383" t="n"/>
      <c r="DZ56" s="383" t="n"/>
      <c r="EA56" s="383" t="n"/>
      <c r="EB56" s="383" t="n"/>
      <c r="EC56" s="383" t="n"/>
      <c r="ED56" s="383" t="n"/>
      <c r="EE56" s="383" t="n"/>
      <c r="EF56" s="383" t="n"/>
      <c r="EG56" s="383" t="n"/>
      <c r="EH56" s="383" t="n"/>
      <c r="EI56" s="383" t="n"/>
      <c r="EJ56" s="383" t="n"/>
      <c r="EK56" s="383" t="n"/>
      <c r="EL56" s="383" t="n"/>
      <c r="EM56" s="383" t="n"/>
      <c r="EN56" s="383" t="n"/>
      <c r="EO56" s="383" t="n"/>
      <c r="EP56" s="383" t="n"/>
      <c r="EQ56" s="383" t="n"/>
      <c r="ER56" s="383" t="n"/>
      <c r="ES56" s="383" t="n"/>
      <c r="ET56" s="383" t="n"/>
      <c r="EU56" s="383" t="n"/>
      <c r="EV56" s="383" t="n"/>
      <c r="EW56" s="383" t="n"/>
      <c r="EX56" s="383" t="n"/>
      <c r="EY56" s="383" t="n"/>
      <c r="EZ56" s="383" t="n"/>
      <c r="FA56" s="383" t="n"/>
      <c r="FB56" s="383" t="n"/>
      <c r="FC56" s="383" t="n"/>
      <c r="FD56" s="383" t="n"/>
      <c r="FE56" s="383" t="n"/>
      <c r="FF56" s="383" t="n"/>
      <c r="FG56" s="383" t="n"/>
      <c r="FH56" s="383" t="n"/>
      <c r="FI56" s="383" t="n"/>
      <c r="FJ56" s="383" t="n"/>
      <c r="FK56" s="383" t="n"/>
      <c r="FL56" s="383" t="n"/>
      <c r="FM56" s="383" t="n"/>
      <c r="FN56" s="383" t="n"/>
      <c r="FO56" s="383" t="n"/>
      <c r="FP56" s="383" t="n"/>
      <c r="FQ56" s="383" t="n"/>
      <c r="FR56" s="383" t="n"/>
      <c r="FS56" s="383" t="n"/>
      <c r="FT56" s="383" t="n"/>
      <c r="FU56" s="383" t="n"/>
      <c r="FV56" s="383" t="n"/>
      <c r="FW56" s="383" t="n"/>
      <c r="FX56" s="383" t="n"/>
      <c r="FY56" s="383" t="n"/>
      <c r="FZ56" s="383" t="n"/>
      <c r="GA56" s="383" t="n"/>
      <c r="GB56" s="383" t="n"/>
      <c r="GC56" s="383" t="n"/>
      <c r="GD56" s="383" t="n"/>
      <c r="GE56" s="383" t="n"/>
      <c r="GF56" s="383" t="n"/>
      <c r="GG56" s="383" t="n"/>
      <c r="GH56" s="383" t="n"/>
      <c r="GI56" s="383" t="n"/>
      <c r="GJ56" s="383" t="n"/>
      <c r="GK56" s="383" t="n"/>
      <c r="GL56" s="383" t="n"/>
      <c r="GM56" s="383" t="n"/>
      <c r="GN56" s="383" t="n"/>
      <c r="GO56" s="383" t="n"/>
      <c r="GP56" s="383" t="n"/>
      <c r="GQ56" s="383" t="n"/>
      <c r="GR56" s="383" t="n"/>
      <c r="GS56" s="383" t="n"/>
      <c r="GT56" s="383" t="n"/>
      <c r="GU56" s="383" t="n"/>
      <c r="GV56" s="383" t="n"/>
      <c r="GW56" s="383" t="n"/>
      <c r="GX56" s="383" t="n"/>
      <c r="GY56" s="383" t="n"/>
    </row>
    <row r="57" ht="15" customHeight="1" s="1883">
      <c r="A57" s="383" t="n"/>
      <c r="B57" s="535" t="inlineStr">
        <is>
          <t>II.</t>
        </is>
      </c>
      <c r="C57" s="383" t="n"/>
      <c r="D57" s="385" t="inlineStr">
        <is>
          <t>Support</t>
        </is>
      </c>
      <c r="E57" s="383" t="n"/>
      <c r="F57" s="383" t="n"/>
      <c r="G57" s="383" t="n"/>
      <c r="H57" s="383" t="n"/>
      <c r="I57" s="383" t="n"/>
      <c r="J57" s="1882" t="inlineStr">
        <is>
          <t>Annual Salary, Per Position, By Year</t>
        </is>
      </c>
      <c r="O57" s="383" t="n"/>
      <c r="P57" s="1882" t="inlineStr">
        <is>
          <t>Number of Positions, By Month, Months 1 - 60</t>
        </is>
      </c>
      <c r="BX57" s="383" t="n"/>
      <c r="BY57" s="383" t="n"/>
      <c r="BZ57" s="383" t="n"/>
      <c r="CA57" s="383" t="n"/>
      <c r="CB57" s="383" t="n"/>
      <c r="CC57" s="383" t="n"/>
      <c r="CD57" s="383" t="n"/>
      <c r="CE57" s="383" t="n"/>
      <c r="CF57" s="383" t="n"/>
      <c r="CG57" s="383" t="n"/>
      <c r="CH57" s="383" t="n"/>
      <c r="CI57" s="383" t="n"/>
      <c r="CJ57" s="383" t="n"/>
      <c r="CK57" s="383" t="n"/>
      <c r="CL57" s="383" t="n"/>
      <c r="CM57" s="383" t="n"/>
      <c r="CN57" s="383" t="n"/>
      <c r="CO57" s="383" t="n"/>
      <c r="CP57" s="383" t="n"/>
      <c r="CQ57" s="383" t="n"/>
      <c r="CR57" s="383" t="n"/>
      <c r="CS57" s="383" t="n"/>
      <c r="CT57" s="383" t="n"/>
      <c r="CU57" s="383" t="n"/>
      <c r="CV57" s="383" t="n"/>
      <c r="CW57" s="383" t="n"/>
      <c r="CX57" s="383" t="n"/>
      <c r="CY57" s="383" t="n"/>
      <c r="CZ57" s="383" t="n"/>
      <c r="DA57" s="383" t="n"/>
      <c r="DB57" s="383" t="n"/>
      <c r="DC57" s="383" t="n"/>
      <c r="DD57" s="383" t="n"/>
      <c r="DE57" s="383" t="n"/>
      <c r="DF57" s="383" t="n"/>
      <c r="DG57" s="383" t="n"/>
      <c r="DH57" s="383" t="n"/>
      <c r="DI57" s="383" t="n"/>
      <c r="DJ57" s="383" t="n"/>
      <c r="DK57" s="383" t="n"/>
      <c r="DL57" s="383" t="n"/>
      <c r="DM57" s="383" t="n"/>
      <c r="DN57" s="383" t="n"/>
      <c r="DO57" s="383" t="n"/>
      <c r="DP57" s="383" t="n"/>
      <c r="DQ57" s="383" t="n"/>
      <c r="DR57" s="383" t="n"/>
      <c r="DS57" s="383" t="n"/>
      <c r="DT57" s="383" t="n"/>
      <c r="DU57" s="383" t="n"/>
      <c r="DV57" s="383" t="n"/>
      <c r="DW57" s="383" t="n"/>
      <c r="DX57" s="383" t="n"/>
      <c r="DY57" s="383" t="n"/>
      <c r="DZ57" s="383" t="n"/>
      <c r="EA57" s="383" t="n"/>
      <c r="EB57" s="383" t="n"/>
      <c r="EC57" s="383" t="n"/>
      <c r="ED57" s="383" t="n"/>
      <c r="EE57" s="383" t="n"/>
      <c r="EF57" s="383" t="n"/>
      <c r="EG57" s="383" t="n"/>
      <c r="EH57" s="383" t="n"/>
      <c r="EI57" s="383" t="n"/>
      <c r="EJ57" s="383" t="n"/>
      <c r="EK57" s="383" t="n"/>
      <c r="EL57" s="383" t="n"/>
      <c r="EM57" s="383" t="n"/>
      <c r="EN57" s="383" t="n"/>
      <c r="EO57" s="383" t="n"/>
      <c r="EP57" s="383" t="n"/>
      <c r="EQ57" s="383" t="n"/>
      <c r="ER57" s="383" t="n"/>
      <c r="ES57" s="383" t="n"/>
      <c r="ET57" s="383" t="n"/>
      <c r="EU57" s="383" t="n"/>
      <c r="EV57" s="383" t="n"/>
      <c r="EW57" s="383" t="n"/>
      <c r="EX57" s="383" t="n"/>
      <c r="EY57" s="383" t="n"/>
      <c r="EZ57" s="383" t="n"/>
      <c r="FA57" s="383" t="n"/>
      <c r="FB57" s="383" t="n"/>
      <c r="FC57" s="383" t="n"/>
      <c r="FD57" s="383" t="n"/>
      <c r="FE57" s="383" t="n"/>
      <c r="FF57" s="383" t="n"/>
      <c r="FG57" s="383" t="n"/>
      <c r="FH57" s="383" t="n"/>
      <c r="FI57" s="383" t="n"/>
      <c r="FJ57" s="383" t="n"/>
      <c r="FK57" s="383" t="n"/>
      <c r="FL57" s="383" t="n"/>
      <c r="FM57" s="383" t="n"/>
      <c r="FN57" s="383" t="n"/>
      <c r="FO57" s="383" t="n"/>
      <c r="FP57" s="383" t="n"/>
      <c r="FQ57" s="383" t="n"/>
      <c r="FR57" s="383" t="n"/>
      <c r="FS57" s="383" t="n"/>
      <c r="FT57" s="383" t="n"/>
      <c r="FU57" s="383" t="n"/>
      <c r="FV57" s="383" t="n"/>
      <c r="FW57" s="383" t="n"/>
      <c r="FX57" s="383" t="n"/>
      <c r="FY57" s="383" t="n"/>
      <c r="FZ57" s="383" t="n"/>
      <c r="GA57" s="383" t="n"/>
      <c r="GB57" s="383" t="n"/>
      <c r="GC57" s="383" t="n"/>
      <c r="GD57" s="383" t="n"/>
      <c r="GE57" s="383" t="n"/>
      <c r="GF57" s="383" t="n"/>
      <c r="GG57" s="383" t="n"/>
      <c r="GH57" s="383" t="n"/>
      <c r="GI57" s="383" t="n"/>
      <c r="GJ57" s="383" t="n"/>
      <c r="GK57" s="383" t="n"/>
      <c r="GL57" s="383" t="n"/>
      <c r="GM57" s="383" t="n"/>
      <c r="GN57" s="383" t="n"/>
      <c r="GO57" s="383" t="n"/>
      <c r="GP57" s="383" t="n"/>
      <c r="GQ57" s="383" t="n"/>
      <c r="GR57" s="383" t="n"/>
      <c r="GS57" s="383" t="n"/>
      <c r="GT57" s="383" t="n"/>
      <c r="GU57" s="383" t="n"/>
      <c r="GV57" s="383" t="n"/>
      <c r="GW57" s="383" t="n"/>
      <c r="GX57" s="383" t="n"/>
      <c r="GY57" s="383" t="n"/>
    </row>
    <row r="58" ht="3" customHeight="1" s="1883">
      <c r="A58" s="383" t="n"/>
      <c r="B58" s="383" t="n"/>
      <c r="C58" s="383" t="n"/>
      <c r="D58" s="387" t="n"/>
      <c r="E58" s="387" t="n"/>
      <c r="F58" s="387" t="n"/>
      <c r="G58" s="387" t="n"/>
      <c r="H58" s="387" t="n"/>
      <c r="I58" s="383" t="n"/>
      <c r="J58" s="387" t="n"/>
      <c r="K58" s="387" t="n"/>
      <c r="L58" s="387" t="n"/>
      <c r="M58" s="387" t="n"/>
      <c r="N58" s="387" t="n"/>
      <c r="O58" s="383" t="n"/>
      <c r="P58" s="387" t="n"/>
      <c r="Q58" s="387" t="n"/>
      <c r="R58" s="387" t="n"/>
      <c r="S58" s="387" t="n"/>
      <c r="T58" s="387" t="n"/>
      <c r="U58" s="387" t="n"/>
      <c r="V58" s="387" t="n"/>
      <c r="W58" s="387" t="n"/>
      <c r="X58" s="387" t="n"/>
      <c r="Y58" s="387" t="n"/>
      <c r="Z58" s="387" t="n"/>
      <c r="AA58" s="387" t="n"/>
      <c r="AB58" s="387" t="n"/>
      <c r="AC58" s="387" t="n"/>
      <c r="AD58" s="387" t="n"/>
      <c r="AE58" s="387" t="n"/>
      <c r="AF58" s="387" t="n"/>
      <c r="AG58" s="387" t="n"/>
      <c r="AH58" s="387" t="n"/>
      <c r="AI58" s="387" t="n"/>
      <c r="AJ58" s="387" t="n"/>
      <c r="AK58" s="387" t="n"/>
      <c r="AL58" s="387" t="n"/>
      <c r="AM58" s="387" t="n"/>
      <c r="AN58" s="387" t="n"/>
      <c r="AO58" s="387" t="n"/>
      <c r="AP58" s="387" t="n"/>
      <c r="AQ58" s="387" t="n"/>
      <c r="AR58" s="387" t="n"/>
      <c r="AS58" s="387" t="n"/>
      <c r="AT58" s="387" t="n"/>
      <c r="AU58" s="387" t="n"/>
      <c r="AV58" s="387" t="n"/>
      <c r="AW58" s="387" t="n"/>
      <c r="AX58" s="387" t="n"/>
      <c r="AY58" s="387" t="n"/>
      <c r="AZ58" s="387" t="n"/>
      <c r="BA58" s="387" t="n"/>
      <c r="BB58" s="387" t="n"/>
      <c r="BC58" s="387" t="n"/>
      <c r="BD58" s="387" t="n"/>
      <c r="BE58" s="387" t="n"/>
      <c r="BF58" s="387" t="n"/>
      <c r="BG58" s="387" t="n"/>
      <c r="BH58" s="387" t="n"/>
      <c r="BI58" s="387" t="n"/>
      <c r="BJ58" s="387" t="n"/>
      <c r="BK58" s="387" t="n"/>
      <c r="BL58" s="387" t="n"/>
      <c r="BM58" s="387" t="n"/>
      <c r="BN58" s="387" t="n"/>
      <c r="BO58" s="387" t="n"/>
      <c r="BP58" s="387" t="n"/>
      <c r="BQ58" s="387" t="n"/>
      <c r="BR58" s="387" t="n"/>
      <c r="BS58" s="387" t="n"/>
      <c r="BT58" s="387" t="n"/>
      <c r="BU58" s="387" t="n"/>
      <c r="BV58" s="387" t="n"/>
      <c r="BW58" s="387" t="n"/>
      <c r="BX58" s="383" t="n"/>
      <c r="BY58" s="383" t="n"/>
      <c r="BZ58" s="383" t="n"/>
      <c r="CA58" s="383" t="n"/>
      <c r="CB58" s="383" t="n"/>
      <c r="CC58" s="383" t="n"/>
      <c r="CD58" s="383" t="n"/>
      <c r="CE58" s="383" t="n"/>
      <c r="CF58" s="383" t="n"/>
      <c r="CG58" s="383" t="n"/>
      <c r="CH58" s="383" t="n"/>
      <c r="CI58" s="383" t="n"/>
      <c r="CJ58" s="383" t="n"/>
      <c r="CK58" s="383" t="n"/>
      <c r="CL58" s="383" t="n"/>
      <c r="CM58" s="383" t="n"/>
      <c r="CN58" s="383" t="n"/>
      <c r="CO58" s="383" t="n"/>
      <c r="CP58" s="383" t="n"/>
      <c r="CQ58" s="383" t="n"/>
      <c r="CR58" s="383" t="n"/>
      <c r="CS58" s="383" t="n"/>
      <c r="CT58" s="383" t="n"/>
      <c r="CU58" s="383" t="n"/>
      <c r="CV58" s="383" t="n"/>
      <c r="CW58" s="383" t="n"/>
      <c r="CX58" s="383" t="n"/>
      <c r="CY58" s="383" t="n"/>
      <c r="CZ58" s="383" t="n"/>
      <c r="DA58" s="383" t="n"/>
      <c r="DB58" s="383" t="n"/>
      <c r="DC58" s="383" t="n"/>
      <c r="DD58" s="383" t="n"/>
      <c r="DE58" s="383" t="n"/>
      <c r="DF58" s="383" t="n"/>
      <c r="DG58" s="383" t="n"/>
      <c r="DH58" s="383" t="n"/>
      <c r="DI58" s="383" t="n"/>
      <c r="DJ58" s="383" t="n"/>
      <c r="DK58" s="383" t="n"/>
      <c r="DL58" s="383" t="n"/>
      <c r="DM58" s="383" t="n"/>
      <c r="DN58" s="383" t="n"/>
      <c r="DO58" s="383" t="n"/>
      <c r="DP58" s="383" t="n"/>
      <c r="DQ58" s="383" t="n"/>
      <c r="DR58" s="383" t="n"/>
      <c r="DS58" s="383" t="n"/>
      <c r="DT58" s="383" t="n"/>
      <c r="DU58" s="383" t="n"/>
      <c r="DV58" s="383" t="n"/>
      <c r="DW58" s="383" t="n"/>
      <c r="DX58" s="383" t="n"/>
      <c r="DY58" s="383" t="n"/>
      <c r="DZ58" s="383" t="n"/>
      <c r="EA58" s="383" t="n"/>
      <c r="EB58" s="383" t="n"/>
      <c r="EC58" s="383" t="n"/>
      <c r="ED58" s="383" t="n"/>
      <c r="EE58" s="383" t="n"/>
      <c r="EF58" s="383" t="n"/>
      <c r="EG58" s="383" t="n"/>
      <c r="EH58" s="383" t="n"/>
      <c r="EI58" s="383" t="n"/>
      <c r="EJ58" s="383" t="n"/>
      <c r="EK58" s="383" t="n"/>
      <c r="EL58" s="383" t="n"/>
      <c r="EM58" s="383" t="n"/>
      <c r="EN58" s="383" t="n"/>
      <c r="EO58" s="383" t="n"/>
      <c r="EP58" s="383" t="n"/>
      <c r="EQ58" s="383" t="n"/>
      <c r="ER58" s="383" t="n"/>
      <c r="ES58" s="383" t="n"/>
      <c r="ET58" s="383" t="n"/>
      <c r="EU58" s="383" t="n"/>
      <c r="EV58" s="383" t="n"/>
      <c r="EW58" s="383" t="n"/>
      <c r="EX58" s="383" t="n"/>
      <c r="EY58" s="383" t="n"/>
      <c r="EZ58" s="383" t="n"/>
      <c r="FA58" s="383" t="n"/>
      <c r="FB58" s="383" t="n"/>
      <c r="FC58" s="383" t="n"/>
      <c r="FD58" s="383" t="n"/>
      <c r="FE58" s="383" t="n"/>
      <c r="FF58" s="383" t="n"/>
      <c r="FG58" s="383" t="n"/>
      <c r="FH58" s="383" t="n"/>
      <c r="FI58" s="383" t="n"/>
      <c r="FJ58" s="383" t="n"/>
      <c r="FK58" s="383" t="n"/>
      <c r="FL58" s="383" t="n"/>
      <c r="FM58" s="383" t="n"/>
      <c r="FN58" s="383" t="n"/>
      <c r="FO58" s="383" t="n"/>
      <c r="FP58" s="383" t="n"/>
      <c r="FQ58" s="383" t="n"/>
      <c r="FR58" s="383" t="n"/>
      <c r="FS58" s="383" t="n"/>
      <c r="FT58" s="383" t="n"/>
      <c r="FU58" s="383" t="n"/>
      <c r="FV58" s="383" t="n"/>
      <c r="FW58" s="383" t="n"/>
      <c r="FX58" s="383" t="n"/>
      <c r="FY58" s="383" t="n"/>
      <c r="FZ58" s="383" t="n"/>
      <c r="GA58" s="383" t="n"/>
      <c r="GB58" s="383" t="n"/>
      <c r="GC58" s="383" t="n"/>
      <c r="GD58" s="383" t="n"/>
      <c r="GE58" s="383" t="n"/>
      <c r="GF58" s="383" t="n"/>
      <c r="GG58" s="383" t="n"/>
      <c r="GH58" s="383" t="n"/>
      <c r="GI58" s="383" t="n"/>
      <c r="GJ58" s="383" t="n"/>
      <c r="GK58" s="383" t="n"/>
      <c r="GL58" s="383" t="n"/>
      <c r="GM58" s="383" t="n"/>
      <c r="GN58" s="383" t="n"/>
      <c r="GO58" s="383" t="n"/>
      <c r="GP58" s="383" t="n"/>
      <c r="GQ58" s="383" t="n"/>
      <c r="GR58" s="383" t="n"/>
      <c r="GS58" s="383" t="n"/>
      <c r="GT58" s="383" t="n"/>
      <c r="GU58" s="383" t="n"/>
      <c r="GV58" s="383" t="n"/>
      <c r="GW58" s="383" t="n"/>
      <c r="GX58" s="383" t="n"/>
      <c r="GY58" s="383" t="n"/>
    </row>
    <row r="59" ht="3" customHeight="1" s="1883">
      <c r="A59" s="383" t="n"/>
      <c r="B59" s="383" t="n"/>
      <c r="C59" s="383" t="n"/>
      <c r="D59" s="383" t="n"/>
      <c r="E59" s="383" t="n"/>
      <c r="F59" s="383" t="n"/>
      <c r="G59" s="383" t="n"/>
      <c r="H59" s="383" t="n"/>
      <c r="I59" s="383" t="n"/>
      <c r="J59" s="383" t="n"/>
      <c r="K59" s="383" t="n"/>
      <c r="L59" s="383" t="n"/>
      <c r="M59" s="383" t="n"/>
      <c r="N59" s="383" t="n"/>
      <c r="O59" s="383" t="n"/>
      <c r="P59" s="383" t="n"/>
      <c r="Q59" s="383" t="n"/>
      <c r="R59" s="383" t="n"/>
      <c r="S59" s="383" t="n"/>
      <c r="T59" s="383" t="n"/>
      <c r="U59" s="383" t="n"/>
      <c r="V59" s="383" t="n"/>
      <c r="W59" s="383" t="n"/>
      <c r="X59" s="383" t="n"/>
      <c r="Y59" s="383" t="n"/>
      <c r="Z59" s="383" t="n"/>
      <c r="AA59" s="383" t="n"/>
      <c r="AB59" s="383" t="n"/>
      <c r="AC59" s="383" t="n"/>
      <c r="AD59" s="383" t="n"/>
      <c r="AE59" s="383" t="n"/>
      <c r="AF59" s="383" t="n"/>
      <c r="AG59" s="383" t="n"/>
      <c r="AH59" s="383" t="n"/>
      <c r="AI59" s="383" t="n"/>
      <c r="AJ59" s="383" t="n"/>
      <c r="AK59" s="383" t="n"/>
      <c r="AL59" s="383" t="n"/>
      <c r="AM59" s="383" t="n"/>
      <c r="AN59" s="383" t="n"/>
      <c r="AO59" s="383" t="n"/>
      <c r="AP59" s="383" t="n"/>
      <c r="AQ59" s="383" t="n"/>
      <c r="AR59" s="383" t="n"/>
      <c r="AS59" s="383" t="n"/>
      <c r="AT59" s="383" t="n"/>
      <c r="AU59" s="383" t="n"/>
      <c r="AV59" s="383" t="n"/>
      <c r="AW59" s="383" t="n"/>
      <c r="AX59" s="383" t="n"/>
      <c r="AY59" s="383" t="n"/>
      <c r="AZ59" s="383" t="n"/>
      <c r="BA59" s="383" t="n"/>
      <c r="BB59" s="383" t="n"/>
      <c r="BC59" s="383" t="n"/>
      <c r="BD59" s="383" t="n"/>
      <c r="BE59" s="383" t="n"/>
      <c r="BF59" s="383" t="n"/>
      <c r="BG59" s="383" t="n"/>
      <c r="BH59" s="383" t="n"/>
      <c r="BI59" s="383" t="n"/>
      <c r="BJ59" s="383" t="n"/>
      <c r="BK59" s="383" t="n"/>
      <c r="BL59" s="383" t="n"/>
      <c r="BM59" s="383" t="n"/>
      <c r="BN59" s="383" t="n"/>
      <c r="BO59" s="383" t="n"/>
      <c r="BP59" s="383" t="n"/>
      <c r="BQ59" s="383" t="n"/>
      <c r="BR59" s="383" t="n"/>
      <c r="BS59" s="383" t="n"/>
      <c r="BT59" s="383" t="n"/>
      <c r="BU59" s="383" t="n"/>
      <c r="BV59" s="383" t="n"/>
      <c r="BW59" s="383" t="n"/>
      <c r="BX59" s="383" t="n"/>
      <c r="BY59" s="383" t="n"/>
      <c r="BZ59" s="383" t="n"/>
      <c r="CA59" s="383" t="n"/>
      <c r="CB59" s="383" t="n"/>
      <c r="CC59" s="383" t="n"/>
      <c r="CD59" s="383" t="n"/>
      <c r="CE59" s="383" t="n"/>
      <c r="CF59" s="383" t="n"/>
      <c r="CG59" s="383" t="n"/>
      <c r="CH59" s="383" t="n"/>
      <c r="CI59" s="383" t="n"/>
      <c r="CJ59" s="383" t="n"/>
      <c r="CK59" s="383" t="n"/>
      <c r="CL59" s="383" t="n"/>
      <c r="CM59" s="383" t="n"/>
      <c r="CN59" s="383" t="n"/>
      <c r="CO59" s="383" t="n"/>
      <c r="CP59" s="383" t="n"/>
      <c r="CQ59" s="383" t="n"/>
      <c r="CR59" s="383" t="n"/>
      <c r="CS59" s="383" t="n"/>
      <c r="CT59" s="383" t="n"/>
      <c r="CU59" s="383" t="n"/>
      <c r="CV59" s="383" t="n"/>
      <c r="CW59" s="383" t="n"/>
      <c r="CX59" s="383" t="n"/>
      <c r="CY59" s="383" t="n"/>
      <c r="CZ59" s="383" t="n"/>
      <c r="DA59" s="383" t="n"/>
      <c r="DB59" s="383" t="n"/>
      <c r="DC59" s="383" t="n"/>
      <c r="DD59" s="383" t="n"/>
      <c r="DE59" s="383" t="n"/>
      <c r="DF59" s="383" t="n"/>
      <c r="DG59" s="383" t="n"/>
      <c r="DH59" s="383" t="n"/>
      <c r="DI59" s="383" t="n"/>
      <c r="DJ59" s="383" t="n"/>
      <c r="DK59" s="383" t="n"/>
      <c r="DL59" s="383" t="n"/>
      <c r="DM59" s="383" t="n"/>
      <c r="DN59" s="383" t="n"/>
      <c r="DO59" s="383" t="n"/>
      <c r="DP59" s="383" t="n"/>
      <c r="DQ59" s="383" t="n"/>
      <c r="DR59" s="383" t="n"/>
      <c r="DS59" s="383" t="n"/>
      <c r="DT59" s="383" t="n"/>
      <c r="DU59" s="383" t="n"/>
      <c r="DV59" s="383" t="n"/>
      <c r="DW59" s="383" t="n"/>
      <c r="DX59" s="383" t="n"/>
      <c r="DY59" s="383" t="n"/>
      <c r="DZ59" s="383" t="n"/>
      <c r="EA59" s="383" t="n"/>
      <c r="EB59" s="383" t="n"/>
      <c r="EC59" s="383" t="n"/>
      <c r="ED59" s="383" t="n"/>
      <c r="EE59" s="383" t="n"/>
      <c r="EF59" s="383" t="n"/>
      <c r="EG59" s="383" t="n"/>
      <c r="EH59" s="383" t="n"/>
      <c r="EI59" s="383" t="n"/>
      <c r="EJ59" s="383" t="n"/>
      <c r="EK59" s="383" t="n"/>
      <c r="EL59" s="383" t="n"/>
      <c r="EM59" s="383" t="n"/>
      <c r="EN59" s="383" t="n"/>
      <c r="EO59" s="383" t="n"/>
      <c r="EP59" s="383" t="n"/>
      <c r="EQ59" s="383" t="n"/>
      <c r="ER59" s="383" t="n"/>
      <c r="ES59" s="383" t="n"/>
      <c r="ET59" s="383" t="n"/>
      <c r="EU59" s="383" t="n"/>
      <c r="EV59" s="383" t="n"/>
      <c r="EW59" s="383" t="n"/>
      <c r="EX59" s="383" t="n"/>
      <c r="EY59" s="383" t="n"/>
      <c r="EZ59" s="383" t="n"/>
      <c r="FA59" s="383" t="n"/>
      <c r="FB59" s="383" t="n"/>
      <c r="FC59" s="383" t="n"/>
      <c r="FD59" s="383" t="n"/>
      <c r="FE59" s="383" t="n"/>
      <c r="FF59" s="383" t="n"/>
      <c r="FG59" s="383" t="n"/>
      <c r="FH59" s="383" t="n"/>
      <c r="FI59" s="383" t="n"/>
      <c r="FJ59" s="383" t="n"/>
      <c r="FK59" s="383" t="n"/>
      <c r="FL59" s="383" t="n"/>
      <c r="FM59" s="383" t="n"/>
      <c r="FN59" s="383" t="n"/>
      <c r="FO59" s="383" t="n"/>
      <c r="FP59" s="383" t="n"/>
      <c r="FQ59" s="383" t="n"/>
      <c r="FR59" s="383" t="n"/>
      <c r="FS59" s="383" t="n"/>
      <c r="FT59" s="383" t="n"/>
      <c r="FU59" s="383" t="n"/>
      <c r="FV59" s="383" t="n"/>
      <c r="FW59" s="383" t="n"/>
      <c r="FX59" s="383" t="n"/>
      <c r="FY59" s="383" t="n"/>
      <c r="FZ59" s="383" t="n"/>
      <c r="GA59" s="383" t="n"/>
      <c r="GB59" s="383" t="n"/>
      <c r="GC59" s="383" t="n"/>
      <c r="GD59" s="383" t="n"/>
      <c r="GE59" s="383" t="n"/>
      <c r="GF59" s="383" t="n"/>
      <c r="GG59" s="383" t="n"/>
      <c r="GH59" s="383" t="n"/>
      <c r="GI59" s="383" t="n"/>
      <c r="GJ59" s="383" t="n"/>
      <c r="GK59" s="383" t="n"/>
      <c r="GL59" s="383" t="n"/>
      <c r="GM59" s="383" t="n"/>
      <c r="GN59" s="383" t="n"/>
      <c r="GO59" s="383" t="n"/>
      <c r="GP59" s="383" t="n"/>
      <c r="GQ59" s="383" t="n"/>
      <c r="GR59" s="383" t="n"/>
      <c r="GS59" s="383" t="n"/>
      <c r="GT59" s="383" t="n"/>
      <c r="GU59" s="383" t="n"/>
      <c r="GV59" s="383" t="n"/>
      <c r="GW59" s="383" t="n"/>
      <c r="GX59" s="383" t="n"/>
      <c r="GY59" s="383" t="n"/>
    </row>
    <row r="60" ht="15" customHeight="1" s="1883">
      <c r="A60" s="383" t="n"/>
      <c r="B60" s="383" t="n"/>
      <c r="C60" s="383" t="n"/>
      <c r="D60" s="383" t="n"/>
      <c r="E60" s="383" t="n"/>
      <c r="F60" s="383" t="n"/>
      <c r="G60" s="383" t="n"/>
      <c r="H60" s="383" t="n"/>
      <c r="I60" s="383" t="n"/>
      <c r="J60" s="386" t="inlineStr">
        <is>
          <t>Base Salary</t>
        </is>
      </c>
      <c r="K60" s="386" t="inlineStr">
        <is>
          <t>Base Salary</t>
        </is>
      </c>
      <c r="L60" s="386" t="inlineStr">
        <is>
          <t>Base Salary</t>
        </is>
      </c>
      <c r="M60" s="386" t="inlineStr">
        <is>
          <t>Base Salary</t>
        </is>
      </c>
      <c r="N60" s="386" t="inlineStr">
        <is>
          <t>Base Salary</t>
        </is>
      </c>
      <c r="O60" s="383" t="n"/>
      <c r="P60" s="383" t="n"/>
      <c r="Q60" s="383" t="n"/>
      <c r="R60" s="383" t="n"/>
      <c r="S60" s="383" t="n"/>
      <c r="T60" s="383" t="n"/>
      <c r="U60" s="383" t="n"/>
      <c r="V60" s="383" t="n"/>
      <c r="W60" s="383" t="n"/>
      <c r="X60" s="383" t="n"/>
      <c r="Y60" s="383" t="n"/>
      <c r="Z60" s="383" t="n"/>
      <c r="AA60" s="383" t="n"/>
      <c r="AB60" s="383" t="n"/>
      <c r="AC60" s="383" t="n"/>
      <c r="AD60" s="383" t="n"/>
      <c r="AE60" s="383" t="n"/>
      <c r="AF60" s="383" t="n"/>
      <c r="AG60" s="383" t="n"/>
      <c r="AH60" s="383" t="n"/>
      <c r="AI60" s="383" t="n"/>
      <c r="AJ60" s="383" t="n"/>
      <c r="AK60" s="383" t="n"/>
      <c r="AL60" s="383" t="n"/>
      <c r="AM60" s="383" t="n"/>
      <c r="AN60" s="383" t="n"/>
      <c r="AO60" s="383" t="n"/>
      <c r="AP60" s="383" t="n"/>
      <c r="AQ60" s="383" t="n"/>
      <c r="AR60" s="383" t="n"/>
      <c r="AS60" s="383" t="n"/>
      <c r="AT60" s="383" t="n"/>
      <c r="AU60" s="383" t="n"/>
      <c r="AV60" s="383" t="n"/>
      <c r="AW60" s="383" t="n"/>
      <c r="AX60" s="383" t="n"/>
      <c r="AY60" s="383" t="n"/>
      <c r="AZ60" s="383" t="n"/>
      <c r="BA60" s="383" t="n"/>
      <c r="BB60" s="383" t="n"/>
      <c r="BC60" s="383" t="n"/>
      <c r="BD60" s="383" t="n"/>
      <c r="BE60" s="383" t="n"/>
      <c r="BF60" s="383" t="n"/>
      <c r="BG60" s="383" t="n"/>
      <c r="BH60" s="383" t="n"/>
      <c r="BI60" s="383" t="n"/>
      <c r="BJ60" s="383" t="n"/>
      <c r="BK60" s="383" t="n"/>
      <c r="BL60" s="383" t="n"/>
      <c r="BM60" s="383" t="n"/>
      <c r="BN60" s="383" t="n"/>
      <c r="BO60" s="383" t="n"/>
      <c r="BP60" s="383" t="n"/>
      <c r="BQ60" s="383" t="n"/>
      <c r="BR60" s="383" t="n"/>
      <c r="BS60" s="383" t="n"/>
      <c r="BT60" s="383" t="n"/>
      <c r="BU60" s="383" t="n"/>
      <c r="BV60" s="383" t="n"/>
      <c r="BW60" s="383" t="n"/>
      <c r="BX60" s="383" t="n"/>
      <c r="BY60" s="383" t="n"/>
      <c r="BZ60" s="383" t="n"/>
      <c r="CA60" s="383" t="n"/>
      <c r="CB60" s="383" t="n"/>
      <c r="CC60" s="383" t="n"/>
      <c r="CD60" s="383" t="n"/>
      <c r="CE60" s="383" t="n"/>
      <c r="CF60" s="383" t="n"/>
      <c r="CG60" s="383" t="n"/>
      <c r="CH60" s="383" t="n"/>
      <c r="CI60" s="383" t="n"/>
      <c r="CJ60" s="383" t="n"/>
      <c r="CK60" s="383" t="n"/>
      <c r="CL60" s="383" t="n"/>
      <c r="CM60" s="383" t="n"/>
      <c r="CN60" s="383" t="n"/>
      <c r="CO60" s="383" t="n"/>
      <c r="CP60" s="383" t="n"/>
      <c r="CQ60" s="383" t="n"/>
      <c r="CR60" s="383" t="n"/>
      <c r="CS60" s="383" t="n"/>
      <c r="CT60" s="383" t="n"/>
      <c r="CU60" s="383" t="n"/>
      <c r="CV60" s="383" t="n"/>
      <c r="CW60" s="383" t="n"/>
      <c r="CX60" s="383" t="n"/>
      <c r="CY60" s="383" t="n"/>
      <c r="CZ60" s="383" t="n"/>
      <c r="DA60" s="383" t="n"/>
      <c r="DB60" s="383" t="n"/>
      <c r="DC60" s="383" t="n"/>
      <c r="DD60" s="383" t="n"/>
      <c r="DE60" s="383" t="n"/>
      <c r="DF60" s="383" t="n"/>
      <c r="DG60" s="383" t="n"/>
      <c r="DH60" s="383" t="n"/>
      <c r="DI60" s="383" t="n"/>
      <c r="DJ60" s="383" t="n"/>
      <c r="DK60" s="383" t="n"/>
      <c r="DL60" s="383" t="n"/>
      <c r="DM60" s="383" t="n"/>
      <c r="DN60" s="383" t="n"/>
      <c r="DO60" s="383" t="n"/>
      <c r="DP60" s="383" t="n"/>
      <c r="DQ60" s="383" t="n"/>
      <c r="DR60" s="383" t="n"/>
      <c r="DS60" s="383" t="n"/>
      <c r="DT60" s="383" t="n"/>
      <c r="DU60" s="383" t="n"/>
      <c r="DV60" s="383" t="n"/>
      <c r="DW60" s="383" t="n"/>
      <c r="DX60" s="383" t="n"/>
      <c r="DY60" s="383" t="n"/>
      <c r="DZ60" s="383" t="n"/>
      <c r="EA60" s="383" t="n"/>
      <c r="EB60" s="383" t="n"/>
      <c r="EC60" s="383" t="n"/>
      <c r="ED60" s="383" t="n"/>
      <c r="EE60" s="383" t="n"/>
      <c r="EF60" s="383" t="n"/>
      <c r="EG60" s="383" t="n"/>
      <c r="EH60" s="383" t="n"/>
      <c r="EI60" s="383" t="n"/>
      <c r="EJ60" s="383" t="n"/>
      <c r="EK60" s="383" t="n"/>
      <c r="EL60" s="383" t="n"/>
      <c r="EM60" s="383" t="n"/>
      <c r="EN60" s="383" t="n"/>
      <c r="EO60" s="383" t="n"/>
      <c r="EP60" s="383" t="n"/>
      <c r="EQ60" s="383" t="n"/>
      <c r="ER60" s="383" t="n"/>
      <c r="ES60" s="383" t="n"/>
      <c r="ET60" s="383" t="n"/>
      <c r="EU60" s="383" t="n"/>
      <c r="EV60" s="383" t="n"/>
      <c r="EW60" s="383" t="n"/>
      <c r="EX60" s="383" t="n"/>
      <c r="EY60" s="383" t="n"/>
      <c r="EZ60" s="383" t="n"/>
      <c r="FA60" s="383" t="n"/>
      <c r="FB60" s="383" t="n"/>
      <c r="FC60" s="383" t="n"/>
      <c r="FD60" s="383" t="n"/>
      <c r="FE60" s="383" t="n"/>
      <c r="FF60" s="383" t="n"/>
      <c r="FG60" s="383" t="n"/>
      <c r="FH60" s="383" t="n"/>
      <c r="FI60" s="383" t="n"/>
      <c r="FJ60" s="383" t="n"/>
      <c r="FK60" s="383" t="n"/>
      <c r="FL60" s="383" t="n"/>
      <c r="FM60" s="383" t="n"/>
      <c r="FN60" s="383" t="n"/>
      <c r="FO60" s="383" t="n"/>
      <c r="FP60" s="383" t="n"/>
      <c r="FQ60" s="383" t="n"/>
      <c r="FR60" s="383" t="n"/>
      <c r="FS60" s="383" t="n"/>
      <c r="FT60" s="383" t="n"/>
      <c r="FU60" s="383" t="n"/>
      <c r="FV60" s="383" t="n"/>
      <c r="FW60" s="383" t="n"/>
      <c r="FX60" s="383" t="n"/>
      <c r="FY60" s="383" t="n"/>
      <c r="FZ60" s="383" t="n"/>
      <c r="GA60" s="383" t="n"/>
      <c r="GB60" s="383" t="n"/>
      <c r="GC60" s="383" t="n"/>
      <c r="GD60" s="383" t="n"/>
      <c r="GE60" s="383" t="n"/>
      <c r="GF60" s="383" t="n"/>
      <c r="GG60" s="383" t="n"/>
      <c r="GH60" s="383" t="n"/>
      <c r="GI60" s="383" t="n"/>
      <c r="GJ60" s="383" t="n"/>
      <c r="GK60" s="383" t="n"/>
      <c r="GL60" s="383" t="n"/>
      <c r="GM60" s="383" t="n"/>
      <c r="GN60" s="383" t="n"/>
      <c r="GO60" s="383" t="n"/>
      <c r="GP60" s="383" t="n"/>
      <c r="GQ60" s="383" t="n"/>
      <c r="GR60" s="383" t="n"/>
      <c r="GS60" s="383" t="n"/>
      <c r="GT60" s="383" t="n"/>
      <c r="GU60" s="383" t="n"/>
      <c r="GV60" s="383" t="n"/>
      <c r="GW60" s="383" t="n"/>
      <c r="GX60" s="383" t="n"/>
      <c r="GY60" s="383" t="n"/>
    </row>
    <row r="61" ht="15" customHeight="1" s="1883">
      <c r="A61" s="383" t="n"/>
      <c r="B61" s="383" t="n"/>
      <c r="C61" s="383" t="n"/>
      <c r="D61" s="385" t="inlineStr">
        <is>
          <t>Employee Name and Position</t>
        </is>
      </c>
      <c r="E61" s="383" t="n"/>
      <c r="F61" s="383" t="n"/>
      <c r="G61" s="383" t="n"/>
      <c r="H61" s="383" t="n"/>
      <c r="I61" s="383" t="n"/>
      <c r="J61" s="386" t="inlineStr">
        <is>
          <t>Year 1</t>
        </is>
      </c>
      <c r="K61" s="386" t="inlineStr">
        <is>
          <t>Year 2</t>
        </is>
      </c>
      <c r="L61" s="386" t="inlineStr">
        <is>
          <t>Year 3</t>
        </is>
      </c>
      <c r="M61" s="386" t="inlineStr">
        <is>
          <t>Year 4</t>
        </is>
      </c>
      <c r="N61" s="386" t="inlineStr">
        <is>
          <t>Year 5</t>
        </is>
      </c>
      <c r="O61" s="383" t="n"/>
      <c r="P61" s="386" t="inlineStr">
        <is>
          <t>Month 1</t>
        </is>
      </c>
      <c r="Q61" s="386" t="inlineStr">
        <is>
          <t>Month 2</t>
        </is>
      </c>
      <c r="R61" s="386" t="inlineStr">
        <is>
          <t>Month 3</t>
        </is>
      </c>
      <c r="S61" s="386" t="inlineStr">
        <is>
          <t>Month 4</t>
        </is>
      </c>
      <c r="T61" s="386" t="inlineStr">
        <is>
          <t>Month 5</t>
        </is>
      </c>
      <c r="U61" s="386" t="inlineStr">
        <is>
          <t>Month 6</t>
        </is>
      </c>
      <c r="V61" s="386" t="inlineStr">
        <is>
          <t>Month 7</t>
        </is>
      </c>
      <c r="W61" s="386" t="inlineStr">
        <is>
          <t>Month 8</t>
        </is>
      </c>
      <c r="X61" s="386" t="inlineStr">
        <is>
          <t>Month 9</t>
        </is>
      </c>
      <c r="Y61" s="386" t="inlineStr">
        <is>
          <t>Month 10</t>
        </is>
      </c>
      <c r="Z61" s="386" t="inlineStr">
        <is>
          <t>Month 11</t>
        </is>
      </c>
      <c r="AA61" s="386" t="inlineStr">
        <is>
          <t>Month 12</t>
        </is>
      </c>
      <c r="AB61" s="433" t="inlineStr">
        <is>
          <t>Month 13</t>
        </is>
      </c>
      <c r="AC61" s="386" t="inlineStr">
        <is>
          <t>Month 14</t>
        </is>
      </c>
      <c r="AD61" s="386" t="inlineStr">
        <is>
          <t>Month 15</t>
        </is>
      </c>
      <c r="AE61" s="386" t="inlineStr">
        <is>
          <t>Month 16</t>
        </is>
      </c>
      <c r="AF61" s="386" t="inlineStr">
        <is>
          <t>Month 17</t>
        </is>
      </c>
      <c r="AG61" s="386" t="inlineStr">
        <is>
          <t>Month 18</t>
        </is>
      </c>
      <c r="AH61" s="386" t="inlineStr">
        <is>
          <t>Month 19</t>
        </is>
      </c>
      <c r="AI61" s="386" t="inlineStr">
        <is>
          <t>Month 20</t>
        </is>
      </c>
      <c r="AJ61" s="386" t="inlineStr">
        <is>
          <t>Month 21</t>
        </is>
      </c>
      <c r="AK61" s="386" t="inlineStr">
        <is>
          <t>Month 22</t>
        </is>
      </c>
      <c r="AL61" s="386" t="inlineStr">
        <is>
          <t>Month 23</t>
        </is>
      </c>
      <c r="AM61" s="386" t="inlineStr">
        <is>
          <t>Month 24</t>
        </is>
      </c>
      <c r="AN61" s="433" t="inlineStr">
        <is>
          <t>Month 25</t>
        </is>
      </c>
      <c r="AO61" s="386" t="inlineStr">
        <is>
          <t>Month 26</t>
        </is>
      </c>
      <c r="AP61" s="386" t="inlineStr">
        <is>
          <t>Month 27</t>
        </is>
      </c>
      <c r="AQ61" s="386" t="inlineStr">
        <is>
          <t>Month 28</t>
        </is>
      </c>
      <c r="AR61" s="386" t="inlineStr">
        <is>
          <t>Month 29</t>
        </is>
      </c>
      <c r="AS61" s="386" t="inlineStr">
        <is>
          <t>Month 30</t>
        </is>
      </c>
      <c r="AT61" s="386" t="inlineStr">
        <is>
          <t>Month 31</t>
        </is>
      </c>
      <c r="AU61" s="386" t="inlineStr">
        <is>
          <t>Month 32</t>
        </is>
      </c>
      <c r="AV61" s="386" t="inlineStr">
        <is>
          <t>Month 33</t>
        </is>
      </c>
      <c r="AW61" s="386" t="inlineStr">
        <is>
          <t>Month 34</t>
        </is>
      </c>
      <c r="AX61" s="386" t="inlineStr">
        <is>
          <t>Month 35</t>
        </is>
      </c>
      <c r="AY61" s="1882" t="inlineStr">
        <is>
          <t>Month 36</t>
        </is>
      </c>
      <c r="AZ61" s="433" t="inlineStr">
        <is>
          <t>Month 37</t>
        </is>
      </c>
      <c r="BA61" s="386" t="inlineStr">
        <is>
          <t>Month 38</t>
        </is>
      </c>
      <c r="BB61" s="386" t="inlineStr">
        <is>
          <t>Month 39</t>
        </is>
      </c>
      <c r="BC61" s="386" t="inlineStr">
        <is>
          <t>Month 40</t>
        </is>
      </c>
      <c r="BD61" s="386" t="inlineStr">
        <is>
          <t>Month 41</t>
        </is>
      </c>
      <c r="BE61" s="386" t="inlineStr">
        <is>
          <t>Month 42</t>
        </is>
      </c>
      <c r="BF61" s="386" t="inlineStr">
        <is>
          <t>Month 43</t>
        </is>
      </c>
      <c r="BG61" s="386" t="inlineStr">
        <is>
          <t>Month 44</t>
        </is>
      </c>
      <c r="BH61" s="386" t="inlineStr">
        <is>
          <t>Month 45</t>
        </is>
      </c>
      <c r="BI61" s="386" t="inlineStr">
        <is>
          <t>Month 46</t>
        </is>
      </c>
      <c r="BJ61" s="386" t="inlineStr">
        <is>
          <t>Month 47</t>
        </is>
      </c>
      <c r="BK61" s="386" t="inlineStr">
        <is>
          <t>Month 48</t>
        </is>
      </c>
      <c r="BL61" s="433" t="inlineStr">
        <is>
          <t>Month 49</t>
        </is>
      </c>
      <c r="BM61" s="386" t="inlineStr">
        <is>
          <t>Month 50</t>
        </is>
      </c>
      <c r="BN61" s="386" t="inlineStr">
        <is>
          <t>Month 51</t>
        </is>
      </c>
      <c r="BO61" s="386" t="inlineStr">
        <is>
          <t>Month 52</t>
        </is>
      </c>
      <c r="BP61" s="386" t="inlineStr">
        <is>
          <t>Month 53</t>
        </is>
      </c>
      <c r="BQ61" s="386" t="inlineStr">
        <is>
          <t>Month 54</t>
        </is>
      </c>
      <c r="BR61" s="386" t="inlineStr">
        <is>
          <t>Month 55</t>
        </is>
      </c>
      <c r="BS61" s="386" t="inlineStr">
        <is>
          <t>Month 56</t>
        </is>
      </c>
      <c r="BT61" s="386" t="inlineStr">
        <is>
          <t>Month 57</t>
        </is>
      </c>
      <c r="BU61" s="386" t="inlineStr">
        <is>
          <t>Month 58</t>
        </is>
      </c>
      <c r="BV61" s="386" t="inlineStr">
        <is>
          <t>Month 59</t>
        </is>
      </c>
      <c r="BW61" s="386" t="inlineStr">
        <is>
          <t>Month 60</t>
        </is>
      </c>
      <c r="BX61" s="383" t="n"/>
      <c r="BY61" s="383" t="n"/>
      <c r="BZ61" s="383" t="n"/>
      <c r="CA61" s="383" t="n"/>
      <c r="CB61" s="383" t="n"/>
      <c r="CC61" s="383" t="n"/>
      <c r="CD61" s="383" t="n"/>
      <c r="CE61" s="383" t="n"/>
      <c r="CF61" s="383" t="n"/>
      <c r="CG61" s="383" t="n"/>
      <c r="CH61" s="383" t="n"/>
      <c r="CI61" s="383" t="n"/>
      <c r="CJ61" s="383" t="n"/>
      <c r="CK61" s="383" t="n"/>
      <c r="CL61" s="383" t="n"/>
      <c r="CM61" s="383" t="n"/>
      <c r="CN61" s="383" t="n"/>
      <c r="CO61" s="383" t="n"/>
      <c r="CP61" s="383" t="n"/>
      <c r="CQ61" s="383" t="n"/>
      <c r="CR61" s="383" t="n"/>
      <c r="CS61" s="383" t="n"/>
      <c r="CT61" s="383" t="n"/>
      <c r="CU61" s="383" t="n"/>
      <c r="CV61" s="383" t="n"/>
      <c r="CW61" s="383" t="n"/>
      <c r="CX61" s="383" t="n"/>
      <c r="CY61" s="383" t="n"/>
      <c r="CZ61" s="383" t="n"/>
      <c r="DA61" s="383" t="n"/>
      <c r="DB61" s="383" t="n"/>
      <c r="DC61" s="383" t="n"/>
      <c r="DD61" s="383" t="n"/>
      <c r="DE61" s="383" t="n"/>
      <c r="DF61" s="383" t="n"/>
      <c r="DG61" s="383" t="n"/>
      <c r="DH61" s="383" t="n"/>
      <c r="DI61" s="383" t="n"/>
      <c r="DJ61" s="383" t="n"/>
      <c r="DK61" s="383" t="n"/>
      <c r="DL61" s="383" t="n"/>
      <c r="DM61" s="383" t="n"/>
      <c r="DN61" s="383" t="n"/>
      <c r="DO61" s="383" t="n"/>
      <c r="DP61" s="383" t="n"/>
      <c r="DQ61" s="383" t="n"/>
      <c r="DR61" s="383" t="n"/>
      <c r="DS61" s="383" t="n"/>
      <c r="DT61" s="383" t="n"/>
      <c r="DU61" s="383" t="n"/>
      <c r="DV61" s="383" t="n"/>
      <c r="DW61" s="383" t="n"/>
      <c r="DX61" s="383" t="n"/>
      <c r="DY61" s="383" t="n"/>
      <c r="DZ61" s="383" t="n"/>
      <c r="EA61" s="383" t="n"/>
      <c r="EB61" s="383" t="n"/>
      <c r="EC61" s="383" t="n"/>
      <c r="ED61" s="383" t="n"/>
      <c r="EE61" s="383" t="n"/>
      <c r="EF61" s="383" t="n"/>
      <c r="EG61" s="383" t="n"/>
      <c r="EH61" s="383" t="n"/>
      <c r="EI61" s="383" t="n"/>
      <c r="EJ61" s="383" t="n"/>
      <c r="EK61" s="383" t="n"/>
      <c r="EL61" s="383" t="n"/>
      <c r="EM61" s="383" t="n"/>
      <c r="EN61" s="383" t="n"/>
      <c r="EO61" s="383" t="n"/>
      <c r="EP61" s="383" t="n"/>
      <c r="EQ61" s="383" t="n"/>
      <c r="ER61" s="383" t="n"/>
      <c r="ES61" s="383" t="n"/>
      <c r="ET61" s="383" t="n"/>
      <c r="EU61" s="383" t="n"/>
      <c r="EV61" s="383" t="n"/>
      <c r="EW61" s="383" t="n"/>
      <c r="EX61" s="383" t="n"/>
      <c r="EY61" s="383" t="n"/>
      <c r="EZ61" s="383" t="n"/>
      <c r="FA61" s="383" t="n"/>
      <c r="FB61" s="383" t="n"/>
      <c r="FC61" s="383" t="n"/>
      <c r="FD61" s="383" t="n"/>
      <c r="FE61" s="383" t="n"/>
      <c r="FF61" s="383" t="n"/>
      <c r="FG61" s="383" t="n"/>
      <c r="FH61" s="383" t="n"/>
      <c r="FI61" s="383" t="n"/>
      <c r="FJ61" s="383" t="n"/>
      <c r="FK61" s="383" t="n"/>
      <c r="FL61" s="383" t="n"/>
      <c r="FM61" s="383" t="n"/>
      <c r="FN61" s="383" t="n"/>
      <c r="FO61" s="383" t="n"/>
      <c r="FP61" s="383" t="n"/>
      <c r="FQ61" s="383" t="n"/>
      <c r="FR61" s="383" t="n"/>
      <c r="FS61" s="383" t="n"/>
      <c r="FT61" s="383" t="n"/>
      <c r="FU61" s="383" t="n"/>
      <c r="FV61" s="383" t="n"/>
      <c r="FW61" s="383" t="n"/>
      <c r="FX61" s="383" t="n"/>
      <c r="FY61" s="383" t="n"/>
      <c r="FZ61" s="383" t="n"/>
      <c r="GA61" s="383" t="n"/>
      <c r="GB61" s="383" t="n"/>
      <c r="GC61" s="383" t="n"/>
      <c r="GD61" s="383" t="n"/>
      <c r="GE61" s="383" t="n"/>
      <c r="GF61" s="383" t="n"/>
      <c r="GG61" s="383" t="n"/>
      <c r="GH61" s="383" t="n"/>
      <c r="GI61" s="383" t="n"/>
      <c r="GJ61" s="383" t="n"/>
      <c r="GK61" s="383" t="n"/>
      <c r="GL61" s="383" t="n"/>
      <c r="GM61" s="383" t="n"/>
      <c r="GN61" s="383" t="n"/>
      <c r="GO61" s="383" t="n"/>
      <c r="GP61" s="383" t="n"/>
      <c r="GQ61" s="383" t="n"/>
      <c r="GR61" s="383" t="n"/>
      <c r="GS61" s="383" t="n"/>
      <c r="GT61" s="383" t="n"/>
      <c r="GU61" s="383" t="n"/>
      <c r="GV61" s="383" t="n"/>
      <c r="GW61" s="383" t="n"/>
      <c r="GX61" s="383" t="n"/>
      <c r="GY61" s="383" t="n"/>
    </row>
    <row r="62" ht="3" customHeight="1" s="1883">
      <c r="A62" s="383" t="n"/>
      <c r="B62" s="383" t="n"/>
      <c r="C62" s="383" t="n"/>
      <c r="D62" s="387" t="n"/>
      <c r="E62" s="387" t="n"/>
      <c r="F62" s="387" t="n"/>
      <c r="G62" s="387" t="n"/>
      <c r="H62" s="387" t="n"/>
      <c r="I62" s="383" t="n"/>
      <c r="J62" s="387" t="n"/>
      <c r="K62" s="508" t="n"/>
      <c r="L62" s="387" t="n"/>
      <c r="M62" s="387" t="n"/>
      <c r="N62" s="387" t="n"/>
      <c r="O62" s="383" t="n"/>
      <c r="P62" s="387" t="n"/>
      <c r="Q62" s="387" t="n"/>
      <c r="R62" s="387" t="n"/>
      <c r="S62" s="387" t="n"/>
      <c r="T62" s="387" t="n"/>
      <c r="U62" s="387" t="n"/>
      <c r="V62" s="387" t="n"/>
      <c r="W62" s="387" t="n"/>
      <c r="X62" s="387" t="n"/>
      <c r="Y62" s="387" t="n"/>
      <c r="Z62" s="387" t="n"/>
      <c r="AA62" s="387" t="n"/>
      <c r="AB62" s="540" t="n"/>
      <c r="AC62" s="387" t="n"/>
      <c r="AD62" s="387" t="n"/>
      <c r="AE62" s="387" t="n"/>
      <c r="AF62" s="387" t="n"/>
      <c r="AG62" s="387" t="n"/>
      <c r="AH62" s="387" t="n"/>
      <c r="AI62" s="387" t="n"/>
      <c r="AJ62" s="387" t="n"/>
      <c r="AK62" s="387" t="n"/>
      <c r="AL62" s="387" t="n"/>
      <c r="AM62" s="387" t="n"/>
      <c r="AN62" s="540" t="n"/>
      <c r="AO62" s="387" t="n"/>
      <c r="AP62" s="387" t="n"/>
      <c r="AQ62" s="387" t="n"/>
      <c r="AR62" s="387" t="n"/>
      <c r="AS62" s="387" t="n"/>
      <c r="AT62" s="387" t="n"/>
      <c r="AU62" s="387" t="n"/>
      <c r="AV62" s="387" t="n"/>
      <c r="AW62" s="387" t="n"/>
      <c r="AX62" s="387" t="n"/>
      <c r="AY62" s="387" t="n"/>
      <c r="AZ62" s="540" t="n"/>
      <c r="BA62" s="387" t="n"/>
      <c r="BB62" s="387" t="n"/>
      <c r="BC62" s="387" t="n"/>
      <c r="BD62" s="387" t="n"/>
      <c r="BE62" s="387" t="n"/>
      <c r="BF62" s="387" t="n"/>
      <c r="BG62" s="387" t="n"/>
      <c r="BH62" s="387" t="n"/>
      <c r="BI62" s="387" t="n"/>
      <c r="BJ62" s="387" t="n"/>
      <c r="BK62" s="387" t="n"/>
      <c r="BL62" s="540" t="n"/>
      <c r="BM62" s="387" t="n"/>
      <c r="BN62" s="387" t="n"/>
      <c r="BO62" s="387" t="n"/>
      <c r="BP62" s="387" t="n"/>
      <c r="BQ62" s="387" t="n"/>
      <c r="BR62" s="387" t="n"/>
      <c r="BS62" s="387" t="n"/>
      <c r="BT62" s="387" t="n"/>
      <c r="BU62" s="387" t="n"/>
      <c r="BV62" s="387" t="n"/>
      <c r="BW62" s="387" t="n"/>
      <c r="BX62" s="383" t="n"/>
      <c r="BY62" s="383" t="n"/>
      <c r="BZ62" s="383" t="n"/>
      <c r="CA62" s="383" t="n"/>
      <c r="CB62" s="383" t="n"/>
      <c r="CC62" s="383" t="n"/>
      <c r="CD62" s="383" t="n"/>
      <c r="CE62" s="383" t="n"/>
      <c r="CF62" s="383" t="n"/>
      <c r="CG62" s="383" t="n"/>
      <c r="CH62" s="383" t="n"/>
      <c r="CI62" s="383" t="n"/>
      <c r="CJ62" s="383" t="n"/>
      <c r="CK62" s="383" t="n"/>
      <c r="CL62" s="383" t="n"/>
      <c r="CM62" s="383" t="n"/>
      <c r="CN62" s="383" t="n"/>
      <c r="CO62" s="383" t="n"/>
      <c r="CP62" s="383" t="n"/>
      <c r="CQ62" s="383" t="n"/>
      <c r="CR62" s="383" t="n"/>
      <c r="CS62" s="383" t="n"/>
      <c r="CT62" s="383" t="n"/>
      <c r="CU62" s="383" t="n"/>
      <c r="CV62" s="383" t="n"/>
      <c r="CW62" s="383" t="n"/>
      <c r="CX62" s="383" t="n"/>
      <c r="CY62" s="383" t="n"/>
      <c r="CZ62" s="383" t="n"/>
      <c r="DA62" s="383" t="n"/>
      <c r="DB62" s="383" t="n"/>
      <c r="DC62" s="383" t="n"/>
      <c r="DD62" s="383" t="n"/>
      <c r="DE62" s="383" t="n"/>
      <c r="DF62" s="383" t="n"/>
      <c r="DG62" s="383" t="n"/>
      <c r="DH62" s="383" t="n"/>
      <c r="DI62" s="383" t="n"/>
      <c r="DJ62" s="383" t="n"/>
      <c r="DK62" s="383" t="n"/>
      <c r="DL62" s="383" t="n"/>
      <c r="DM62" s="383" t="n"/>
      <c r="DN62" s="383" t="n"/>
      <c r="DO62" s="383" t="n"/>
      <c r="DP62" s="383" t="n"/>
      <c r="DQ62" s="383" t="n"/>
      <c r="DR62" s="383" t="n"/>
      <c r="DS62" s="383" t="n"/>
      <c r="DT62" s="383" t="n"/>
      <c r="DU62" s="383" t="n"/>
      <c r="DV62" s="383" t="n"/>
      <c r="DW62" s="383" t="n"/>
      <c r="DX62" s="383" t="n"/>
      <c r="DY62" s="383" t="n"/>
      <c r="DZ62" s="383" t="n"/>
      <c r="EA62" s="383" t="n"/>
      <c r="EB62" s="383" t="n"/>
      <c r="EC62" s="383" t="n"/>
      <c r="ED62" s="383" t="n"/>
      <c r="EE62" s="383" t="n"/>
      <c r="EF62" s="383" t="n"/>
      <c r="EG62" s="383" t="n"/>
      <c r="EH62" s="383" t="n"/>
      <c r="EI62" s="383" t="n"/>
      <c r="EJ62" s="383" t="n"/>
      <c r="EK62" s="383" t="n"/>
      <c r="EL62" s="383" t="n"/>
      <c r="EM62" s="383" t="n"/>
      <c r="EN62" s="383" t="n"/>
      <c r="EO62" s="383" t="n"/>
      <c r="EP62" s="383" t="n"/>
      <c r="EQ62" s="383" t="n"/>
      <c r="ER62" s="383" t="n"/>
      <c r="ES62" s="383" t="n"/>
      <c r="ET62" s="383" t="n"/>
      <c r="EU62" s="383" t="n"/>
      <c r="EV62" s="383" t="n"/>
      <c r="EW62" s="383" t="n"/>
      <c r="EX62" s="383" t="n"/>
      <c r="EY62" s="383" t="n"/>
      <c r="EZ62" s="383" t="n"/>
      <c r="FA62" s="383" t="n"/>
      <c r="FB62" s="383" t="n"/>
      <c r="FC62" s="383" t="n"/>
      <c r="FD62" s="383" t="n"/>
      <c r="FE62" s="383" t="n"/>
      <c r="FF62" s="383" t="n"/>
      <c r="FG62" s="383" t="n"/>
      <c r="FH62" s="383" t="n"/>
      <c r="FI62" s="383" t="n"/>
      <c r="FJ62" s="383" t="n"/>
      <c r="FK62" s="383" t="n"/>
      <c r="FL62" s="383" t="n"/>
      <c r="FM62" s="383" t="n"/>
      <c r="FN62" s="383" t="n"/>
      <c r="FO62" s="383" t="n"/>
      <c r="FP62" s="383" t="n"/>
      <c r="FQ62" s="383" t="n"/>
      <c r="FR62" s="383" t="n"/>
      <c r="FS62" s="383" t="n"/>
      <c r="FT62" s="383" t="n"/>
      <c r="FU62" s="383" t="n"/>
      <c r="FV62" s="383" t="n"/>
      <c r="FW62" s="383" t="n"/>
      <c r="FX62" s="383" t="n"/>
      <c r="FY62" s="383" t="n"/>
      <c r="FZ62" s="383" t="n"/>
      <c r="GA62" s="383" t="n"/>
      <c r="GB62" s="383" t="n"/>
      <c r="GC62" s="383" t="n"/>
      <c r="GD62" s="383" t="n"/>
      <c r="GE62" s="383" t="n"/>
      <c r="GF62" s="383" t="n"/>
      <c r="GG62" s="383" t="n"/>
      <c r="GH62" s="383" t="n"/>
      <c r="GI62" s="383" t="n"/>
      <c r="GJ62" s="383" t="n"/>
      <c r="GK62" s="383" t="n"/>
      <c r="GL62" s="383" t="n"/>
      <c r="GM62" s="383" t="n"/>
      <c r="GN62" s="383" t="n"/>
      <c r="GO62" s="383" t="n"/>
      <c r="GP62" s="383" t="n"/>
      <c r="GQ62" s="383" t="n"/>
      <c r="GR62" s="383" t="n"/>
      <c r="GS62" s="383" t="n"/>
      <c r="GT62" s="383" t="n"/>
      <c r="GU62" s="383" t="n"/>
      <c r="GV62" s="383" t="n"/>
      <c r="GW62" s="383" t="n"/>
      <c r="GX62" s="383" t="n"/>
      <c r="GY62" s="383" t="n"/>
    </row>
    <row r="63" ht="3" customHeight="1" s="1883">
      <c r="A63" s="383" t="n"/>
      <c r="B63" s="383" t="n"/>
      <c r="C63" s="383" t="n"/>
      <c r="D63" s="383" t="n"/>
      <c r="E63" s="383" t="n"/>
      <c r="F63" s="383" t="n"/>
      <c r="G63" s="383" t="n"/>
      <c r="H63" s="383" t="n"/>
      <c r="I63" s="383" t="n"/>
      <c r="J63" s="383" t="n"/>
      <c r="K63" s="462" t="n"/>
      <c r="L63" s="383" t="n"/>
      <c r="M63" s="383" t="n"/>
      <c r="N63" s="383" t="n"/>
      <c r="O63" s="383" t="n"/>
      <c r="P63" s="383" t="n"/>
      <c r="Q63" s="383" t="n"/>
      <c r="R63" s="383" t="n"/>
      <c r="S63" s="383" t="n"/>
      <c r="T63" s="383" t="n"/>
      <c r="U63" s="383" t="n"/>
      <c r="V63" s="383" t="n"/>
      <c r="W63" s="383" t="n"/>
      <c r="X63" s="383" t="n"/>
      <c r="Y63" s="383" t="n"/>
      <c r="Z63" s="383" t="n"/>
      <c r="AA63" s="383" t="n"/>
      <c r="AB63" s="541" t="n"/>
      <c r="AC63" s="383" t="n"/>
      <c r="AD63" s="383" t="n"/>
      <c r="AE63" s="383" t="n"/>
      <c r="AF63" s="383" t="n"/>
      <c r="AG63" s="383" t="n"/>
      <c r="AH63" s="383" t="n"/>
      <c r="AI63" s="383" t="n"/>
      <c r="AJ63" s="383" t="n"/>
      <c r="AK63" s="383" t="n"/>
      <c r="AL63" s="383" t="n"/>
      <c r="AM63" s="383" t="n"/>
      <c r="AN63" s="541" t="n"/>
      <c r="AO63" s="383" t="n"/>
      <c r="AP63" s="383" t="n"/>
      <c r="AQ63" s="383" t="n"/>
      <c r="AR63" s="383" t="n"/>
      <c r="AS63" s="383" t="n"/>
      <c r="AT63" s="383" t="n"/>
      <c r="AU63" s="383" t="n"/>
      <c r="AV63" s="383" t="n"/>
      <c r="AW63" s="383" t="n"/>
      <c r="AX63" s="383" t="n"/>
      <c r="AY63" s="1910" t="n"/>
      <c r="AZ63" s="541" t="n"/>
      <c r="BA63" s="383" t="n"/>
      <c r="BB63" s="383" t="n"/>
      <c r="BC63" s="383" t="n"/>
      <c r="BD63" s="383" t="n"/>
      <c r="BE63" s="383" t="n"/>
      <c r="BF63" s="383" t="n"/>
      <c r="BG63" s="383" t="n"/>
      <c r="BH63" s="383" t="n"/>
      <c r="BI63" s="383" t="n"/>
      <c r="BJ63" s="383" t="n"/>
      <c r="BK63" s="383" t="n"/>
      <c r="BL63" s="541" t="n"/>
      <c r="BM63" s="383" t="n"/>
      <c r="BN63" s="383" t="n"/>
      <c r="BO63" s="383" t="n"/>
      <c r="BP63" s="383" t="n"/>
      <c r="BQ63" s="383" t="n"/>
      <c r="BR63" s="383" t="n"/>
      <c r="BS63" s="383" t="n"/>
      <c r="BT63" s="383" t="n"/>
      <c r="BU63" s="383" t="n"/>
      <c r="BV63" s="383" t="n"/>
      <c r="BW63" s="383" t="n"/>
      <c r="BX63" s="383" t="n"/>
      <c r="BY63" s="383" t="n"/>
      <c r="BZ63" s="383" t="n"/>
      <c r="CA63" s="383" t="n"/>
      <c r="CB63" s="383" t="n"/>
      <c r="CC63" s="383" t="n"/>
      <c r="CD63" s="383" t="n"/>
      <c r="CE63" s="383" t="n"/>
      <c r="CF63" s="383" t="n"/>
      <c r="CG63" s="383" t="n"/>
      <c r="CH63" s="383" t="n"/>
      <c r="CI63" s="383" t="n"/>
      <c r="CJ63" s="383" t="n"/>
      <c r="CK63" s="383" t="n"/>
      <c r="CL63" s="383" t="n"/>
      <c r="CM63" s="383" t="n"/>
      <c r="CN63" s="383" t="n"/>
      <c r="CO63" s="383" t="n"/>
      <c r="CP63" s="383" t="n"/>
      <c r="CQ63" s="383" t="n"/>
      <c r="CR63" s="383" t="n"/>
      <c r="CS63" s="383" t="n"/>
      <c r="CT63" s="383" t="n"/>
      <c r="CU63" s="383" t="n"/>
      <c r="CV63" s="383" t="n"/>
      <c r="CW63" s="383" t="n"/>
      <c r="CX63" s="383" t="n"/>
      <c r="CY63" s="383" t="n"/>
      <c r="CZ63" s="383" t="n"/>
      <c r="DA63" s="383" t="n"/>
      <c r="DB63" s="383" t="n"/>
      <c r="DC63" s="383" t="n"/>
      <c r="DD63" s="383" t="n"/>
      <c r="DE63" s="383" t="n"/>
      <c r="DF63" s="383" t="n"/>
      <c r="DG63" s="383" t="n"/>
      <c r="DH63" s="383" t="n"/>
      <c r="DI63" s="383" t="n"/>
      <c r="DJ63" s="383" t="n"/>
      <c r="DK63" s="383" t="n"/>
      <c r="DL63" s="383" t="n"/>
      <c r="DM63" s="383" t="n"/>
      <c r="DN63" s="383" t="n"/>
      <c r="DO63" s="383" t="n"/>
      <c r="DP63" s="383" t="n"/>
      <c r="DQ63" s="383" t="n"/>
      <c r="DR63" s="383" t="n"/>
      <c r="DS63" s="383" t="n"/>
      <c r="DT63" s="383" t="n"/>
      <c r="DU63" s="383" t="n"/>
      <c r="DV63" s="383" t="n"/>
      <c r="DW63" s="383" t="n"/>
      <c r="DX63" s="383" t="n"/>
      <c r="DY63" s="383" t="n"/>
      <c r="DZ63" s="383" t="n"/>
      <c r="EA63" s="383" t="n"/>
      <c r="EB63" s="383" t="n"/>
      <c r="EC63" s="383" t="n"/>
      <c r="ED63" s="383" t="n"/>
      <c r="EE63" s="383" t="n"/>
      <c r="EF63" s="383" t="n"/>
      <c r="EG63" s="383" t="n"/>
      <c r="EH63" s="383" t="n"/>
      <c r="EI63" s="383" t="n"/>
      <c r="EJ63" s="383" t="n"/>
      <c r="EK63" s="383" t="n"/>
      <c r="EL63" s="383" t="n"/>
      <c r="EM63" s="383" t="n"/>
      <c r="EN63" s="383" t="n"/>
      <c r="EO63" s="383" t="n"/>
      <c r="EP63" s="383" t="n"/>
      <c r="EQ63" s="383" t="n"/>
      <c r="ER63" s="383" t="n"/>
      <c r="ES63" s="383" t="n"/>
      <c r="ET63" s="383" t="n"/>
      <c r="EU63" s="383" t="n"/>
      <c r="EV63" s="383" t="n"/>
      <c r="EW63" s="383" t="n"/>
      <c r="EX63" s="383" t="n"/>
      <c r="EY63" s="383" t="n"/>
      <c r="EZ63" s="383" t="n"/>
      <c r="FA63" s="383" t="n"/>
      <c r="FB63" s="383" t="n"/>
      <c r="FC63" s="383" t="n"/>
      <c r="FD63" s="383" t="n"/>
      <c r="FE63" s="383" t="n"/>
      <c r="FF63" s="383" t="n"/>
      <c r="FG63" s="383" t="n"/>
      <c r="FH63" s="383" t="n"/>
      <c r="FI63" s="383" t="n"/>
      <c r="FJ63" s="383" t="n"/>
      <c r="FK63" s="383" t="n"/>
      <c r="FL63" s="383" t="n"/>
      <c r="FM63" s="383" t="n"/>
      <c r="FN63" s="383" t="n"/>
      <c r="FO63" s="383" t="n"/>
      <c r="FP63" s="383" t="n"/>
      <c r="FQ63" s="383" t="n"/>
      <c r="FR63" s="383" t="n"/>
      <c r="FS63" s="383" t="n"/>
      <c r="FT63" s="383" t="n"/>
      <c r="FU63" s="383" t="n"/>
      <c r="FV63" s="383" t="n"/>
      <c r="FW63" s="383" t="n"/>
      <c r="FX63" s="383" t="n"/>
      <c r="FY63" s="383" t="n"/>
      <c r="FZ63" s="383" t="n"/>
      <c r="GA63" s="383" t="n"/>
      <c r="GB63" s="383" t="n"/>
      <c r="GC63" s="383" t="n"/>
      <c r="GD63" s="383" t="n"/>
      <c r="GE63" s="383" t="n"/>
      <c r="GF63" s="383" t="n"/>
      <c r="GG63" s="383" t="n"/>
      <c r="GH63" s="383" t="n"/>
      <c r="GI63" s="383" t="n"/>
      <c r="GJ63" s="383" t="n"/>
      <c r="GK63" s="383" t="n"/>
      <c r="GL63" s="383" t="n"/>
      <c r="GM63" s="383" t="n"/>
      <c r="GN63" s="383" t="n"/>
      <c r="GO63" s="383" t="n"/>
      <c r="GP63" s="383" t="n"/>
      <c r="GQ63" s="383" t="n"/>
      <c r="GR63" s="383" t="n"/>
      <c r="GS63" s="383" t="n"/>
      <c r="GT63" s="383" t="n"/>
      <c r="GU63" s="383" t="n"/>
      <c r="GV63" s="383" t="n"/>
      <c r="GW63" s="383" t="n"/>
      <c r="GX63" s="383" t="n"/>
      <c r="GY63" s="383" t="n"/>
    </row>
    <row r="64" ht="15" customHeight="1" s="1883">
      <c r="A64" s="383" t="n"/>
      <c r="B64" s="383" t="n"/>
      <c r="C64" s="383" t="n"/>
      <c r="D64" s="390" t="inlineStr">
        <is>
          <t>●</t>
        </is>
      </c>
      <c r="E64" s="545" t="inlineStr">
        <is>
          <t>Executive Assistants</t>
        </is>
      </c>
      <c r="F64" s="383" t="n"/>
      <c r="G64" s="383" t="n"/>
      <c r="H64" s="383" t="n"/>
      <c r="I64" s="383" t="n"/>
      <c r="J64" s="462">
        <f>'Headcount &amp; Salaries - 2'!G38</f>
        <v/>
      </c>
      <c r="K64" s="462">
        <f>'Headcount &amp; Salaries - 2'!H38</f>
        <v/>
      </c>
      <c r="L64" s="462">
        <f>'Headcount &amp; Salaries - 2'!I38</f>
        <v/>
      </c>
      <c r="M64" s="462">
        <f>'Headcount &amp; Salaries - 2'!J38</f>
        <v/>
      </c>
      <c r="N64" s="462">
        <f>'Headcount &amp; Salaries - 2'!K38</f>
        <v/>
      </c>
      <c r="O64" s="383" t="n"/>
      <c r="P64" s="384">
        <f>'Headcount &amp; Salaries - 2'!X38</f>
        <v/>
      </c>
      <c r="Q64" s="384">
        <f>'Headcount &amp; Salaries - 2'!Y38</f>
        <v/>
      </c>
      <c r="R64" s="384">
        <f>'Headcount &amp; Salaries - 2'!Z38</f>
        <v/>
      </c>
      <c r="S64" s="384">
        <f>'Headcount &amp; Salaries - 2'!AA38</f>
        <v/>
      </c>
      <c r="T64" s="384">
        <f>'Headcount &amp; Salaries - 2'!AB38</f>
        <v/>
      </c>
      <c r="U64" s="384">
        <f>'Headcount &amp; Salaries - 2'!AC38</f>
        <v/>
      </c>
      <c r="V64" s="384">
        <f>'Headcount &amp; Salaries - 2'!AD38</f>
        <v/>
      </c>
      <c r="W64" s="384">
        <f>'Headcount &amp; Salaries - 2'!AE38</f>
        <v/>
      </c>
      <c r="X64" s="384">
        <f>'Headcount &amp; Salaries - 2'!AF38</f>
        <v/>
      </c>
      <c r="Y64" s="384">
        <f>'Headcount &amp; Salaries - 2'!AG38</f>
        <v/>
      </c>
      <c r="Z64" s="384">
        <f>'Headcount &amp; Salaries - 2'!AH38</f>
        <v/>
      </c>
      <c r="AA64" s="384">
        <f>'Headcount &amp; Salaries - 2'!AI38</f>
        <v/>
      </c>
      <c r="AB64" s="542">
        <f>'Headcount &amp; Salaries - 2'!AJ38</f>
        <v/>
      </c>
      <c r="AC64" s="384">
        <f>'Headcount &amp; Salaries - 2'!AK38</f>
        <v/>
      </c>
      <c r="AD64" s="384">
        <f>'Headcount &amp; Salaries - 2'!AL38</f>
        <v/>
      </c>
      <c r="AE64" s="384">
        <f>'Headcount &amp; Salaries - 2'!AM38</f>
        <v/>
      </c>
      <c r="AF64" s="384">
        <f>'Headcount &amp; Salaries - 2'!AN38</f>
        <v/>
      </c>
      <c r="AG64" s="384">
        <f>'Headcount &amp; Salaries - 2'!AO38</f>
        <v/>
      </c>
      <c r="AH64" s="384">
        <f>'Headcount &amp; Salaries - 2'!AP38</f>
        <v/>
      </c>
      <c r="AI64" s="384">
        <f>'Headcount &amp; Salaries - 2'!AQ38</f>
        <v/>
      </c>
      <c r="AJ64" s="384">
        <f>'Headcount &amp; Salaries - 2'!AR38</f>
        <v/>
      </c>
      <c r="AK64" s="384">
        <f>'Headcount &amp; Salaries - 2'!AS38</f>
        <v/>
      </c>
      <c r="AL64" s="384">
        <f>'Headcount &amp; Salaries - 2'!AT38</f>
        <v/>
      </c>
      <c r="AM64" s="384">
        <f>'Headcount &amp; Salaries - 2'!AU38</f>
        <v/>
      </c>
      <c r="AN64" s="542">
        <f>'Headcount &amp; Salaries - 2'!AV38</f>
        <v/>
      </c>
      <c r="AO64" s="384">
        <f>'Headcount &amp; Salaries - 2'!AW38</f>
        <v/>
      </c>
      <c r="AP64" s="384">
        <f>'Headcount &amp; Salaries - 2'!AX38</f>
        <v/>
      </c>
      <c r="AQ64" s="384">
        <f>'Headcount &amp; Salaries - 2'!AY38</f>
        <v/>
      </c>
      <c r="AR64" s="384">
        <f>'Headcount &amp; Salaries - 2'!AZ38</f>
        <v/>
      </c>
      <c r="AS64" s="384">
        <f>'Headcount &amp; Salaries - 2'!BA38</f>
        <v/>
      </c>
      <c r="AT64" s="384">
        <f>'Headcount &amp; Salaries - 2'!BB38</f>
        <v/>
      </c>
      <c r="AU64" s="384">
        <f>'Headcount &amp; Salaries - 2'!BC38</f>
        <v/>
      </c>
      <c r="AV64" s="384">
        <f>'Headcount &amp; Salaries - 2'!BD38</f>
        <v/>
      </c>
      <c r="AW64" s="384">
        <f>'Headcount &amp; Salaries - 2'!BE38</f>
        <v/>
      </c>
      <c r="AX64" s="384">
        <f>'Headcount &amp; Salaries - 2'!BF38</f>
        <v/>
      </c>
      <c r="AY64" s="565">
        <f>'Headcount &amp; Salaries - 2'!BG38</f>
        <v/>
      </c>
      <c r="AZ64" s="542">
        <f>'Headcount &amp; Salaries - 2'!BH38</f>
        <v/>
      </c>
      <c r="BA64" s="384">
        <f>'Headcount &amp; Salaries - 2'!BI38</f>
        <v/>
      </c>
      <c r="BB64" s="384">
        <f>'Headcount &amp; Salaries - 2'!BJ38</f>
        <v/>
      </c>
      <c r="BC64" s="384">
        <f>'Headcount &amp; Salaries - 2'!BK38</f>
        <v/>
      </c>
      <c r="BD64" s="384">
        <f>'Headcount &amp; Salaries - 2'!BL38</f>
        <v/>
      </c>
      <c r="BE64" s="384">
        <f>'Headcount &amp; Salaries - 2'!BM38</f>
        <v/>
      </c>
      <c r="BF64" s="384">
        <f>'Headcount &amp; Salaries - 2'!BN38</f>
        <v/>
      </c>
      <c r="BG64" s="384">
        <f>'Headcount &amp; Salaries - 2'!BO38</f>
        <v/>
      </c>
      <c r="BH64" s="384">
        <f>'Headcount &amp; Salaries - 2'!BP38</f>
        <v/>
      </c>
      <c r="BI64" s="384">
        <f>'Headcount &amp; Salaries - 2'!BQ38</f>
        <v/>
      </c>
      <c r="BJ64" s="384">
        <f>'Headcount &amp; Salaries - 2'!BR38</f>
        <v/>
      </c>
      <c r="BK64" s="384">
        <f>'Headcount &amp; Salaries - 2'!BS38</f>
        <v/>
      </c>
      <c r="BL64" s="542">
        <f>'Headcount &amp; Salaries - 2'!BT38</f>
        <v/>
      </c>
      <c r="BM64" s="384">
        <f>'Headcount &amp; Salaries - 2'!BU38</f>
        <v/>
      </c>
      <c r="BN64" s="384">
        <f>'Headcount &amp; Salaries - 2'!BV38</f>
        <v/>
      </c>
      <c r="BO64" s="384">
        <f>'Headcount &amp; Salaries - 2'!BW38</f>
        <v/>
      </c>
      <c r="BP64" s="384">
        <f>'Headcount &amp; Salaries - 2'!BX38</f>
        <v/>
      </c>
      <c r="BQ64" s="384">
        <f>'Headcount &amp; Salaries - 2'!BY38</f>
        <v/>
      </c>
      <c r="BR64" s="384">
        <f>'Headcount &amp; Salaries - 2'!BZ38</f>
        <v/>
      </c>
      <c r="BS64" s="384">
        <f>'Headcount &amp; Salaries - 2'!CA38</f>
        <v/>
      </c>
      <c r="BT64" s="384">
        <f>'Headcount &amp; Salaries - 2'!CB38</f>
        <v/>
      </c>
      <c r="BU64" s="384">
        <f>'Headcount &amp; Salaries - 2'!CC38</f>
        <v/>
      </c>
      <c r="BV64" s="384">
        <f>'Headcount &amp; Salaries - 2'!CD38</f>
        <v/>
      </c>
      <c r="BW64" s="384">
        <f>'Headcount &amp; Salaries - 2'!CE38</f>
        <v/>
      </c>
      <c r="BX64" s="383" t="n"/>
      <c r="BY64" s="383" t="n"/>
      <c r="BZ64" s="383" t="n"/>
      <c r="CA64" s="383" t="n"/>
      <c r="CB64" s="383" t="n"/>
      <c r="CC64" s="383" t="n"/>
      <c r="CD64" s="383" t="n"/>
      <c r="CE64" s="383" t="n"/>
      <c r="CF64" s="383" t="n"/>
      <c r="CG64" s="383" t="n"/>
      <c r="CH64" s="383" t="n"/>
      <c r="CI64" s="383" t="n"/>
      <c r="CJ64" s="383" t="n"/>
      <c r="CK64" s="383" t="n"/>
      <c r="CL64" s="383" t="n"/>
      <c r="CM64" s="383" t="n"/>
      <c r="CN64" s="383" t="n"/>
      <c r="CO64" s="383" t="n"/>
      <c r="CP64" s="383" t="n"/>
      <c r="CQ64" s="383" t="n"/>
      <c r="CR64" s="383" t="n"/>
      <c r="CS64" s="383" t="n"/>
      <c r="CT64" s="383" t="n"/>
      <c r="CU64" s="383" t="n"/>
      <c r="CV64" s="383" t="n"/>
      <c r="CW64" s="383" t="n"/>
      <c r="CX64" s="383" t="n"/>
      <c r="CY64" s="383" t="n"/>
      <c r="CZ64" s="383" t="n"/>
      <c r="DA64" s="383" t="n"/>
      <c r="DB64" s="383" t="n"/>
      <c r="DC64" s="383" t="n"/>
      <c r="DD64" s="383" t="n"/>
      <c r="DE64" s="383" t="n"/>
      <c r="DF64" s="383" t="n"/>
      <c r="DG64" s="383" t="n"/>
      <c r="DH64" s="383" t="n"/>
      <c r="DI64" s="383" t="n"/>
      <c r="DJ64" s="383" t="n"/>
      <c r="DK64" s="383" t="n"/>
      <c r="DL64" s="383" t="n"/>
      <c r="DM64" s="383" t="n"/>
      <c r="DN64" s="383" t="n"/>
      <c r="DO64" s="383" t="n"/>
      <c r="DP64" s="383" t="n"/>
      <c r="DQ64" s="383" t="n"/>
      <c r="DR64" s="383" t="n"/>
      <c r="DS64" s="383" t="n"/>
      <c r="DT64" s="383" t="n"/>
      <c r="DU64" s="383" t="n"/>
      <c r="DV64" s="383" t="n"/>
      <c r="DW64" s="383" t="n"/>
      <c r="DX64" s="383" t="n"/>
      <c r="DY64" s="383" t="n"/>
      <c r="DZ64" s="383" t="n"/>
      <c r="EA64" s="383" t="n"/>
      <c r="EB64" s="383" t="n"/>
      <c r="EC64" s="383" t="n"/>
      <c r="ED64" s="383" t="n"/>
      <c r="EE64" s="383" t="n"/>
      <c r="EF64" s="383" t="n"/>
      <c r="EG64" s="383" t="n"/>
      <c r="EH64" s="383" t="n"/>
      <c r="EI64" s="383" t="n"/>
      <c r="EJ64" s="383" t="n"/>
      <c r="EK64" s="383" t="n"/>
      <c r="EL64" s="383" t="n"/>
      <c r="EM64" s="383" t="n"/>
      <c r="EN64" s="383" t="n"/>
      <c r="EO64" s="383" t="n"/>
      <c r="EP64" s="383" t="n"/>
      <c r="EQ64" s="383" t="n"/>
      <c r="ER64" s="383" t="n"/>
      <c r="ES64" s="383" t="n"/>
      <c r="ET64" s="383" t="n"/>
      <c r="EU64" s="383" t="n"/>
      <c r="EV64" s="383" t="n"/>
      <c r="EW64" s="383" t="n"/>
      <c r="EX64" s="383" t="n"/>
      <c r="EY64" s="383" t="n"/>
      <c r="EZ64" s="383" t="n"/>
      <c r="FA64" s="383" t="n"/>
      <c r="FB64" s="383" t="n"/>
      <c r="FC64" s="383" t="n"/>
      <c r="FD64" s="383" t="n"/>
      <c r="FE64" s="383" t="n"/>
      <c r="FF64" s="383" t="n"/>
      <c r="FG64" s="383" t="n"/>
      <c r="FH64" s="383" t="n"/>
      <c r="FI64" s="383" t="n"/>
      <c r="FJ64" s="383" t="n"/>
      <c r="FK64" s="383" t="n"/>
      <c r="FL64" s="383" t="n"/>
      <c r="FM64" s="383" t="n"/>
      <c r="FN64" s="383" t="n"/>
      <c r="FO64" s="383" t="n"/>
      <c r="FP64" s="383" t="n"/>
      <c r="FQ64" s="383" t="n"/>
      <c r="FR64" s="383" t="n"/>
      <c r="FS64" s="383" t="n"/>
      <c r="FT64" s="383" t="n"/>
      <c r="FU64" s="383" t="n"/>
      <c r="FV64" s="383" t="n"/>
      <c r="FW64" s="383" t="n"/>
      <c r="FX64" s="383" t="n"/>
      <c r="FY64" s="383" t="n"/>
      <c r="FZ64" s="383" t="n"/>
      <c r="GA64" s="383" t="n"/>
      <c r="GB64" s="383" t="n"/>
      <c r="GC64" s="383" t="n"/>
      <c r="GD64" s="383" t="n"/>
      <c r="GE64" s="383" t="n"/>
      <c r="GF64" s="383" t="n"/>
      <c r="GG64" s="383" t="n"/>
      <c r="GH64" s="383" t="n"/>
      <c r="GI64" s="383" t="n"/>
      <c r="GJ64" s="383" t="n"/>
      <c r="GK64" s="383" t="n"/>
      <c r="GL64" s="383" t="n"/>
      <c r="GM64" s="383" t="n"/>
      <c r="GN64" s="383" t="n"/>
      <c r="GO64" s="383" t="n"/>
      <c r="GP64" s="383" t="n"/>
      <c r="GQ64" s="383" t="n"/>
      <c r="GR64" s="383" t="n"/>
      <c r="GS64" s="383" t="n"/>
      <c r="GT64" s="383" t="n"/>
      <c r="GU64" s="383" t="n"/>
      <c r="GV64" s="383" t="n"/>
      <c r="GW64" s="383" t="n"/>
      <c r="GX64" s="383" t="n"/>
      <c r="GY64" s="383" t="n"/>
    </row>
    <row r="65" ht="15" customHeight="1" s="1883">
      <c r="A65" s="383" t="n"/>
      <c r="B65" s="383" t="n"/>
      <c r="C65" s="383" t="n"/>
      <c r="D65" s="390" t="inlineStr">
        <is>
          <t>●</t>
        </is>
      </c>
      <c r="E65" s="545" t="inlineStr">
        <is>
          <t>Admin &amp; Office Managers</t>
        </is>
      </c>
      <c r="F65" s="383" t="n"/>
      <c r="G65" s="383" t="n"/>
      <c r="H65" s="383" t="n"/>
      <c r="I65" s="383" t="n"/>
      <c r="J65" s="462">
        <f>'Headcount &amp; Salaries - 2'!G39</f>
        <v/>
      </c>
      <c r="K65" s="462">
        <f>'Headcount &amp; Salaries - 2'!H39</f>
        <v/>
      </c>
      <c r="L65" s="462">
        <f>'Headcount &amp; Salaries - 2'!I39</f>
        <v/>
      </c>
      <c r="M65" s="462">
        <f>'Headcount &amp; Salaries - 2'!J39</f>
        <v/>
      </c>
      <c r="N65" s="462">
        <f>'Headcount &amp; Salaries - 2'!K39</f>
        <v/>
      </c>
      <c r="O65" s="383" t="n"/>
      <c r="P65" s="384">
        <f>'Headcount &amp; Salaries - 2'!X39</f>
        <v/>
      </c>
      <c r="Q65" s="384">
        <f>'Headcount &amp; Salaries - 2'!Y39</f>
        <v/>
      </c>
      <c r="R65" s="384">
        <f>'Headcount &amp; Salaries - 2'!Z39</f>
        <v/>
      </c>
      <c r="S65" s="384">
        <f>'Headcount &amp; Salaries - 2'!AA39</f>
        <v/>
      </c>
      <c r="T65" s="384">
        <f>'Headcount &amp; Salaries - 2'!AB39</f>
        <v/>
      </c>
      <c r="U65" s="384">
        <f>'Headcount &amp; Salaries - 2'!AC39</f>
        <v/>
      </c>
      <c r="V65" s="384">
        <f>'Headcount &amp; Salaries - 2'!AD39</f>
        <v/>
      </c>
      <c r="W65" s="384">
        <f>'Headcount &amp; Salaries - 2'!AE39</f>
        <v/>
      </c>
      <c r="X65" s="384">
        <f>'Headcount &amp; Salaries - 2'!AF39</f>
        <v/>
      </c>
      <c r="Y65" s="384">
        <f>'Headcount &amp; Salaries - 2'!AG39</f>
        <v/>
      </c>
      <c r="Z65" s="384">
        <f>'Headcount &amp; Salaries - 2'!AH39</f>
        <v/>
      </c>
      <c r="AA65" s="384">
        <f>'Headcount &amp; Salaries - 2'!AI39</f>
        <v/>
      </c>
      <c r="AB65" s="542">
        <f>'Headcount &amp; Salaries - 2'!AJ39</f>
        <v/>
      </c>
      <c r="AC65" s="384">
        <f>'Headcount &amp; Salaries - 2'!AK39</f>
        <v/>
      </c>
      <c r="AD65" s="384">
        <f>'Headcount &amp; Salaries - 2'!AL39</f>
        <v/>
      </c>
      <c r="AE65" s="384">
        <f>'Headcount &amp; Salaries - 2'!AM39</f>
        <v/>
      </c>
      <c r="AF65" s="384">
        <f>'Headcount &amp; Salaries - 2'!AN39</f>
        <v/>
      </c>
      <c r="AG65" s="384">
        <f>'Headcount &amp; Salaries - 2'!AO39</f>
        <v/>
      </c>
      <c r="AH65" s="384">
        <f>'Headcount &amp; Salaries - 2'!AP39</f>
        <v/>
      </c>
      <c r="AI65" s="384">
        <f>'Headcount &amp; Salaries - 2'!AQ39</f>
        <v/>
      </c>
      <c r="AJ65" s="384">
        <f>'Headcount &amp; Salaries - 2'!AR39</f>
        <v/>
      </c>
      <c r="AK65" s="384">
        <f>'Headcount &amp; Salaries - 2'!AS39</f>
        <v/>
      </c>
      <c r="AL65" s="384">
        <f>'Headcount &amp; Salaries - 2'!AT39</f>
        <v/>
      </c>
      <c r="AM65" s="384">
        <f>'Headcount &amp; Salaries - 2'!AU39</f>
        <v/>
      </c>
      <c r="AN65" s="542">
        <f>'Headcount &amp; Salaries - 2'!AV39</f>
        <v/>
      </c>
      <c r="AO65" s="384">
        <f>'Headcount &amp; Salaries - 2'!AW39</f>
        <v/>
      </c>
      <c r="AP65" s="384">
        <f>'Headcount &amp; Salaries - 2'!AX39</f>
        <v/>
      </c>
      <c r="AQ65" s="384">
        <f>'Headcount &amp; Salaries - 2'!AY39</f>
        <v/>
      </c>
      <c r="AR65" s="384">
        <f>'Headcount &amp; Salaries - 2'!AZ39</f>
        <v/>
      </c>
      <c r="AS65" s="384">
        <f>'Headcount &amp; Salaries - 2'!BA39</f>
        <v/>
      </c>
      <c r="AT65" s="384">
        <f>'Headcount &amp; Salaries - 2'!BB39</f>
        <v/>
      </c>
      <c r="AU65" s="384">
        <f>'Headcount &amp; Salaries - 2'!BC39</f>
        <v/>
      </c>
      <c r="AV65" s="384">
        <f>'Headcount &amp; Salaries - 2'!BD39</f>
        <v/>
      </c>
      <c r="AW65" s="384">
        <f>'Headcount &amp; Salaries - 2'!BE39</f>
        <v/>
      </c>
      <c r="AX65" s="384">
        <f>'Headcount &amp; Salaries - 2'!BF39</f>
        <v/>
      </c>
      <c r="AY65" s="565">
        <f>'Headcount &amp; Salaries - 2'!BG39</f>
        <v/>
      </c>
      <c r="AZ65" s="542">
        <f>'Headcount &amp; Salaries - 2'!BH39</f>
        <v/>
      </c>
      <c r="BA65" s="384">
        <f>'Headcount &amp; Salaries - 2'!BI39</f>
        <v/>
      </c>
      <c r="BB65" s="384">
        <f>'Headcount &amp; Salaries - 2'!BJ39</f>
        <v/>
      </c>
      <c r="BC65" s="384">
        <f>'Headcount &amp; Salaries - 2'!BK39</f>
        <v/>
      </c>
      <c r="BD65" s="384">
        <f>'Headcount &amp; Salaries - 2'!BL39</f>
        <v/>
      </c>
      <c r="BE65" s="384">
        <f>'Headcount &amp; Salaries - 2'!BM39</f>
        <v/>
      </c>
      <c r="BF65" s="384">
        <f>'Headcount &amp; Salaries - 2'!BN39</f>
        <v/>
      </c>
      <c r="BG65" s="384">
        <f>'Headcount &amp; Salaries - 2'!BO39</f>
        <v/>
      </c>
      <c r="BH65" s="384">
        <f>'Headcount &amp; Salaries - 2'!BP39</f>
        <v/>
      </c>
      <c r="BI65" s="384">
        <f>'Headcount &amp; Salaries - 2'!BQ39</f>
        <v/>
      </c>
      <c r="BJ65" s="384">
        <f>'Headcount &amp; Salaries - 2'!BR39</f>
        <v/>
      </c>
      <c r="BK65" s="384">
        <f>'Headcount &amp; Salaries - 2'!BS39</f>
        <v/>
      </c>
      <c r="BL65" s="542">
        <f>'Headcount &amp; Salaries - 2'!BT39</f>
        <v/>
      </c>
      <c r="BM65" s="384">
        <f>'Headcount &amp; Salaries - 2'!BU39</f>
        <v/>
      </c>
      <c r="BN65" s="384">
        <f>'Headcount &amp; Salaries - 2'!BV39</f>
        <v/>
      </c>
      <c r="BO65" s="384">
        <f>'Headcount &amp; Salaries - 2'!BW39</f>
        <v/>
      </c>
      <c r="BP65" s="384">
        <f>'Headcount &amp; Salaries - 2'!BX39</f>
        <v/>
      </c>
      <c r="BQ65" s="384">
        <f>'Headcount &amp; Salaries - 2'!BY39</f>
        <v/>
      </c>
      <c r="BR65" s="384">
        <f>'Headcount &amp; Salaries - 2'!BZ39</f>
        <v/>
      </c>
      <c r="BS65" s="384">
        <f>'Headcount &amp; Salaries - 2'!CA39</f>
        <v/>
      </c>
      <c r="BT65" s="384">
        <f>'Headcount &amp; Salaries - 2'!CB39</f>
        <v/>
      </c>
      <c r="BU65" s="384">
        <f>'Headcount &amp; Salaries - 2'!CC39</f>
        <v/>
      </c>
      <c r="BV65" s="384">
        <f>'Headcount &amp; Salaries - 2'!CD39</f>
        <v/>
      </c>
      <c r="BW65" s="384">
        <f>'Headcount &amp; Salaries - 2'!CE39</f>
        <v/>
      </c>
      <c r="BX65" s="383" t="n"/>
      <c r="BY65" s="383" t="n"/>
      <c r="BZ65" s="383" t="n"/>
      <c r="CA65" s="383" t="n"/>
      <c r="CB65" s="383" t="n"/>
      <c r="CC65" s="383" t="n"/>
      <c r="CD65" s="383" t="n"/>
      <c r="CE65" s="383" t="n"/>
      <c r="CF65" s="383" t="n"/>
      <c r="CG65" s="383" t="n"/>
      <c r="CH65" s="383" t="n"/>
      <c r="CI65" s="383" t="n"/>
      <c r="CJ65" s="383" t="n"/>
      <c r="CK65" s="383" t="n"/>
      <c r="CL65" s="383" t="n"/>
      <c r="CM65" s="383" t="n"/>
      <c r="CN65" s="383" t="n"/>
      <c r="CO65" s="383" t="n"/>
      <c r="CP65" s="383" t="n"/>
      <c r="CQ65" s="383" t="n"/>
      <c r="CR65" s="383" t="n"/>
      <c r="CS65" s="383" t="n"/>
      <c r="CT65" s="383" t="n"/>
      <c r="CU65" s="383" t="n"/>
      <c r="CV65" s="383" t="n"/>
      <c r="CW65" s="383" t="n"/>
      <c r="CX65" s="383" t="n"/>
      <c r="CY65" s="383" t="n"/>
      <c r="CZ65" s="383" t="n"/>
      <c r="DA65" s="383" t="n"/>
      <c r="DB65" s="383" t="n"/>
      <c r="DC65" s="383" t="n"/>
      <c r="DD65" s="383" t="n"/>
      <c r="DE65" s="383" t="n"/>
      <c r="DF65" s="383" t="n"/>
      <c r="DG65" s="383" t="n"/>
      <c r="DH65" s="383" t="n"/>
      <c r="DI65" s="383" t="n"/>
      <c r="DJ65" s="383" t="n"/>
      <c r="DK65" s="383" t="n"/>
      <c r="DL65" s="383" t="n"/>
      <c r="DM65" s="383" t="n"/>
      <c r="DN65" s="383" t="n"/>
      <c r="DO65" s="383" t="n"/>
      <c r="DP65" s="383" t="n"/>
      <c r="DQ65" s="383" t="n"/>
      <c r="DR65" s="383" t="n"/>
      <c r="DS65" s="383" t="n"/>
      <c r="DT65" s="383" t="n"/>
      <c r="DU65" s="383" t="n"/>
      <c r="DV65" s="383" t="n"/>
      <c r="DW65" s="383" t="n"/>
      <c r="DX65" s="383" t="n"/>
      <c r="DY65" s="383" t="n"/>
      <c r="DZ65" s="383" t="n"/>
      <c r="EA65" s="383" t="n"/>
      <c r="EB65" s="383" t="n"/>
      <c r="EC65" s="383" t="n"/>
      <c r="ED65" s="383" t="n"/>
      <c r="EE65" s="383" t="n"/>
      <c r="EF65" s="383" t="n"/>
      <c r="EG65" s="383" t="n"/>
      <c r="EH65" s="383" t="n"/>
      <c r="EI65" s="383" t="n"/>
      <c r="EJ65" s="383" t="n"/>
      <c r="EK65" s="383" t="n"/>
      <c r="EL65" s="383" t="n"/>
      <c r="EM65" s="383" t="n"/>
      <c r="EN65" s="383" t="n"/>
      <c r="EO65" s="383" t="n"/>
      <c r="EP65" s="383" t="n"/>
      <c r="EQ65" s="383" t="n"/>
      <c r="ER65" s="383" t="n"/>
      <c r="ES65" s="383" t="n"/>
      <c r="ET65" s="383" t="n"/>
      <c r="EU65" s="383" t="n"/>
      <c r="EV65" s="383" t="n"/>
      <c r="EW65" s="383" t="n"/>
      <c r="EX65" s="383" t="n"/>
      <c r="EY65" s="383" t="n"/>
      <c r="EZ65" s="383" t="n"/>
      <c r="FA65" s="383" t="n"/>
      <c r="FB65" s="383" t="n"/>
      <c r="FC65" s="383" t="n"/>
      <c r="FD65" s="383" t="n"/>
      <c r="FE65" s="383" t="n"/>
      <c r="FF65" s="383" t="n"/>
      <c r="FG65" s="383" t="n"/>
      <c r="FH65" s="383" t="n"/>
      <c r="FI65" s="383" t="n"/>
      <c r="FJ65" s="383" t="n"/>
      <c r="FK65" s="383" t="n"/>
      <c r="FL65" s="383" t="n"/>
      <c r="FM65" s="383" t="n"/>
      <c r="FN65" s="383" t="n"/>
      <c r="FO65" s="383" t="n"/>
      <c r="FP65" s="383" t="n"/>
      <c r="FQ65" s="383" t="n"/>
      <c r="FR65" s="383" t="n"/>
      <c r="FS65" s="383" t="n"/>
      <c r="FT65" s="383" t="n"/>
      <c r="FU65" s="383" t="n"/>
      <c r="FV65" s="383" t="n"/>
      <c r="FW65" s="383" t="n"/>
      <c r="FX65" s="383" t="n"/>
      <c r="FY65" s="383" t="n"/>
      <c r="FZ65" s="383" t="n"/>
      <c r="GA65" s="383" t="n"/>
      <c r="GB65" s="383" t="n"/>
      <c r="GC65" s="383" t="n"/>
      <c r="GD65" s="383" t="n"/>
      <c r="GE65" s="383" t="n"/>
      <c r="GF65" s="383" t="n"/>
      <c r="GG65" s="383" t="n"/>
      <c r="GH65" s="383" t="n"/>
      <c r="GI65" s="383" t="n"/>
      <c r="GJ65" s="383" t="n"/>
      <c r="GK65" s="383" t="n"/>
      <c r="GL65" s="383" t="n"/>
      <c r="GM65" s="383" t="n"/>
      <c r="GN65" s="383" t="n"/>
      <c r="GO65" s="383" t="n"/>
      <c r="GP65" s="383" t="n"/>
      <c r="GQ65" s="383" t="n"/>
      <c r="GR65" s="383" t="n"/>
      <c r="GS65" s="383" t="n"/>
      <c r="GT65" s="383" t="n"/>
      <c r="GU65" s="383" t="n"/>
      <c r="GV65" s="383" t="n"/>
      <c r="GW65" s="383" t="n"/>
      <c r="GX65" s="383" t="n"/>
      <c r="GY65" s="383" t="n"/>
    </row>
    <row r="66" ht="15" customHeight="1" s="1883">
      <c r="A66" s="383" t="n"/>
      <c r="B66" s="383" t="n"/>
      <c r="C66" s="383" t="n"/>
      <c r="D66" s="390" t="inlineStr">
        <is>
          <t>●</t>
        </is>
      </c>
      <c r="E66" s="665" t="inlineStr">
        <is>
          <t>Administrative Team</t>
        </is>
      </c>
      <c r="F66" s="383" t="n"/>
      <c r="G66" s="383" t="n"/>
      <c r="H66" s="383" t="n"/>
      <c r="I66" s="383" t="n"/>
      <c r="J66" s="462">
        <f>'Headcount &amp; Salaries - 2'!G43</f>
        <v/>
      </c>
      <c r="K66" s="462">
        <f>'Headcount &amp; Salaries - 2'!H43</f>
        <v/>
      </c>
      <c r="L66" s="462">
        <f>'Headcount &amp; Salaries - 2'!I43</f>
        <v/>
      </c>
      <c r="M66" s="462">
        <f>'Headcount &amp; Salaries - 2'!J43</f>
        <v/>
      </c>
      <c r="N66" s="462">
        <f>'Headcount &amp; Salaries - 2'!K43</f>
        <v/>
      </c>
      <c r="O66" s="383" t="n"/>
      <c r="P66" s="384">
        <f>'Headcount &amp; Salaries - 2'!X43</f>
        <v/>
      </c>
      <c r="Q66" s="384">
        <f>'Headcount &amp; Salaries - 2'!Y43</f>
        <v/>
      </c>
      <c r="R66" s="384">
        <f>'Headcount &amp; Salaries - 2'!Z43</f>
        <v/>
      </c>
      <c r="S66" s="384">
        <f>'Headcount &amp; Salaries - 2'!AA43</f>
        <v/>
      </c>
      <c r="T66" s="384">
        <f>'Headcount &amp; Salaries - 2'!AB43</f>
        <v/>
      </c>
      <c r="U66" s="384">
        <f>'Headcount &amp; Salaries - 2'!AC43</f>
        <v/>
      </c>
      <c r="V66" s="384">
        <f>'Headcount &amp; Salaries - 2'!AD43</f>
        <v/>
      </c>
      <c r="W66" s="384">
        <f>'Headcount &amp; Salaries - 2'!AE43</f>
        <v/>
      </c>
      <c r="X66" s="384">
        <f>'Headcount &amp; Salaries - 2'!AF43</f>
        <v/>
      </c>
      <c r="Y66" s="384">
        <f>'Headcount &amp; Salaries - 2'!AG43</f>
        <v/>
      </c>
      <c r="Z66" s="384">
        <f>'Headcount &amp; Salaries - 2'!AH43</f>
        <v/>
      </c>
      <c r="AA66" s="384">
        <f>'Headcount &amp; Salaries - 2'!AI43</f>
        <v/>
      </c>
      <c r="AB66" s="542">
        <f>'Headcount &amp; Salaries - 2'!AJ43</f>
        <v/>
      </c>
      <c r="AC66" s="384">
        <f>'Headcount &amp; Salaries - 2'!AK43</f>
        <v/>
      </c>
      <c r="AD66" s="384">
        <f>'Headcount &amp; Salaries - 2'!AL43</f>
        <v/>
      </c>
      <c r="AE66" s="384">
        <f>'Headcount &amp; Salaries - 2'!AM43</f>
        <v/>
      </c>
      <c r="AF66" s="384">
        <f>'Headcount &amp; Salaries - 2'!AN43</f>
        <v/>
      </c>
      <c r="AG66" s="384">
        <f>'Headcount &amp; Salaries - 2'!AO43</f>
        <v/>
      </c>
      <c r="AH66" s="384">
        <f>'Headcount &amp; Salaries - 2'!AP43</f>
        <v/>
      </c>
      <c r="AI66" s="384">
        <f>'Headcount &amp; Salaries - 2'!AQ43</f>
        <v/>
      </c>
      <c r="AJ66" s="384">
        <f>'Headcount &amp; Salaries - 2'!AR43</f>
        <v/>
      </c>
      <c r="AK66" s="384">
        <f>'Headcount &amp; Salaries - 2'!AS43</f>
        <v/>
      </c>
      <c r="AL66" s="384">
        <f>'Headcount &amp; Salaries - 2'!AT43</f>
        <v/>
      </c>
      <c r="AM66" s="384">
        <f>'Headcount &amp; Salaries - 2'!AU43</f>
        <v/>
      </c>
      <c r="AN66" s="542">
        <f>'Headcount &amp; Salaries - 2'!AV43</f>
        <v/>
      </c>
      <c r="AO66" s="384">
        <f>'Headcount &amp; Salaries - 2'!AW43</f>
        <v/>
      </c>
      <c r="AP66" s="384">
        <f>'Headcount &amp; Salaries - 2'!AX43</f>
        <v/>
      </c>
      <c r="AQ66" s="384">
        <f>'Headcount &amp; Salaries - 2'!AY43</f>
        <v/>
      </c>
      <c r="AR66" s="384">
        <f>'Headcount &amp; Salaries - 2'!AZ43</f>
        <v/>
      </c>
      <c r="AS66" s="384">
        <f>'Headcount &amp; Salaries - 2'!BA43</f>
        <v/>
      </c>
      <c r="AT66" s="384">
        <f>'Headcount &amp; Salaries - 2'!BB43</f>
        <v/>
      </c>
      <c r="AU66" s="384">
        <f>'Headcount &amp; Salaries - 2'!BC43</f>
        <v/>
      </c>
      <c r="AV66" s="384">
        <f>'Headcount &amp; Salaries - 2'!BD43</f>
        <v/>
      </c>
      <c r="AW66" s="384">
        <f>'Headcount &amp; Salaries - 2'!BE43</f>
        <v/>
      </c>
      <c r="AX66" s="384">
        <f>'Headcount &amp; Salaries - 2'!BF43</f>
        <v/>
      </c>
      <c r="AY66" s="565">
        <f>'Headcount &amp; Salaries - 2'!BG43</f>
        <v/>
      </c>
      <c r="AZ66" s="542">
        <f>'Headcount &amp; Salaries - 2'!BH43</f>
        <v/>
      </c>
      <c r="BA66" s="384">
        <f>'Headcount &amp; Salaries - 2'!BI43</f>
        <v/>
      </c>
      <c r="BB66" s="384">
        <f>'Headcount &amp; Salaries - 2'!BJ43</f>
        <v/>
      </c>
      <c r="BC66" s="384">
        <f>'Headcount &amp; Salaries - 2'!BK43</f>
        <v/>
      </c>
      <c r="BD66" s="384">
        <f>'Headcount &amp; Salaries - 2'!BL43</f>
        <v/>
      </c>
      <c r="BE66" s="384">
        <f>'Headcount &amp; Salaries - 2'!BM43</f>
        <v/>
      </c>
      <c r="BF66" s="384">
        <f>'Headcount &amp; Salaries - 2'!BN43</f>
        <v/>
      </c>
      <c r="BG66" s="384">
        <f>'Headcount &amp; Salaries - 2'!BO43</f>
        <v/>
      </c>
      <c r="BH66" s="384">
        <f>'Headcount &amp; Salaries - 2'!BP43</f>
        <v/>
      </c>
      <c r="BI66" s="384">
        <f>'Headcount &amp; Salaries - 2'!BQ43</f>
        <v/>
      </c>
      <c r="BJ66" s="384">
        <f>'Headcount &amp; Salaries - 2'!BR43</f>
        <v/>
      </c>
      <c r="BK66" s="384">
        <f>'Headcount &amp; Salaries - 2'!BS43</f>
        <v/>
      </c>
      <c r="BL66" s="542">
        <f>'Headcount &amp; Salaries - 2'!BT43</f>
        <v/>
      </c>
      <c r="BM66" s="384">
        <f>'Headcount &amp; Salaries - 2'!BU43</f>
        <v/>
      </c>
      <c r="BN66" s="384">
        <f>'Headcount &amp; Salaries - 2'!BV43</f>
        <v/>
      </c>
      <c r="BO66" s="384">
        <f>'Headcount &amp; Salaries - 2'!BW43</f>
        <v/>
      </c>
      <c r="BP66" s="384">
        <f>'Headcount &amp; Salaries - 2'!BX43</f>
        <v/>
      </c>
      <c r="BQ66" s="384">
        <f>'Headcount &amp; Salaries - 2'!BY43</f>
        <v/>
      </c>
      <c r="BR66" s="384">
        <f>'Headcount &amp; Salaries - 2'!BZ43</f>
        <v/>
      </c>
      <c r="BS66" s="384">
        <f>'Headcount &amp; Salaries - 2'!CA43</f>
        <v/>
      </c>
      <c r="BT66" s="384">
        <f>'Headcount &amp; Salaries - 2'!CB43</f>
        <v/>
      </c>
      <c r="BU66" s="384">
        <f>'Headcount &amp; Salaries - 2'!CC43</f>
        <v/>
      </c>
      <c r="BV66" s="384">
        <f>'Headcount &amp; Salaries - 2'!CD43</f>
        <v/>
      </c>
      <c r="BW66" s="384">
        <f>'Headcount &amp; Salaries - 2'!CE43</f>
        <v/>
      </c>
      <c r="BX66" s="383" t="n"/>
      <c r="BY66" s="383" t="n"/>
      <c r="BZ66" s="383" t="n"/>
      <c r="CA66" s="383" t="n"/>
      <c r="CB66" s="383" t="n"/>
      <c r="CC66" s="383" t="n"/>
      <c r="CD66" s="383" t="n"/>
      <c r="CE66" s="383" t="n"/>
      <c r="CF66" s="383" t="n"/>
      <c r="CG66" s="383" t="n"/>
      <c r="CH66" s="383" t="n"/>
      <c r="CI66" s="383" t="n"/>
      <c r="CJ66" s="383" t="n"/>
      <c r="CK66" s="383" t="n"/>
      <c r="CL66" s="383" t="n"/>
      <c r="CM66" s="383" t="n"/>
      <c r="CN66" s="383" t="n"/>
      <c r="CO66" s="383" t="n"/>
      <c r="CP66" s="383" t="n"/>
      <c r="CQ66" s="383" t="n"/>
      <c r="CR66" s="383" t="n"/>
      <c r="CS66" s="383" t="n"/>
      <c r="CT66" s="383" t="n"/>
      <c r="CU66" s="383" t="n"/>
      <c r="CV66" s="383" t="n"/>
      <c r="CW66" s="383" t="n"/>
      <c r="CX66" s="383" t="n"/>
      <c r="CY66" s="383" t="n"/>
      <c r="CZ66" s="383" t="n"/>
      <c r="DA66" s="383" t="n"/>
      <c r="DB66" s="383" t="n"/>
      <c r="DC66" s="383" t="n"/>
      <c r="DD66" s="383" t="n"/>
      <c r="DE66" s="383" t="n"/>
      <c r="DF66" s="383" t="n"/>
      <c r="DG66" s="383" t="n"/>
      <c r="DH66" s="383" t="n"/>
      <c r="DI66" s="383" t="n"/>
      <c r="DJ66" s="383" t="n"/>
      <c r="DK66" s="383" t="n"/>
      <c r="DL66" s="383" t="n"/>
      <c r="DM66" s="383" t="n"/>
      <c r="DN66" s="383" t="n"/>
      <c r="DO66" s="383" t="n"/>
      <c r="DP66" s="383" t="n"/>
      <c r="DQ66" s="383" t="n"/>
      <c r="DR66" s="383" t="n"/>
      <c r="DS66" s="383" t="n"/>
      <c r="DT66" s="383" t="n"/>
      <c r="DU66" s="383" t="n"/>
      <c r="DV66" s="383" t="n"/>
      <c r="DW66" s="383" t="n"/>
      <c r="DX66" s="383" t="n"/>
      <c r="DY66" s="383" t="n"/>
      <c r="DZ66" s="383" t="n"/>
      <c r="EA66" s="383" t="n"/>
      <c r="EB66" s="383" t="n"/>
      <c r="EC66" s="383" t="n"/>
      <c r="ED66" s="383" t="n"/>
      <c r="EE66" s="383" t="n"/>
      <c r="EF66" s="383" t="n"/>
      <c r="EG66" s="383" t="n"/>
      <c r="EH66" s="383" t="n"/>
      <c r="EI66" s="383" t="n"/>
      <c r="EJ66" s="383" t="n"/>
      <c r="EK66" s="383" t="n"/>
      <c r="EL66" s="383" t="n"/>
      <c r="EM66" s="383" t="n"/>
      <c r="EN66" s="383" t="n"/>
      <c r="EO66" s="383" t="n"/>
      <c r="EP66" s="383" t="n"/>
      <c r="EQ66" s="383" t="n"/>
      <c r="ER66" s="383" t="n"/>
      <c r="ES66" s="383" t="n"/>
      <c r="ET66" s="383" t="n"/>
      <c r="EU66" s="383" t="n"/>
      <c r="EV66" s="383" t="n"/>
      <c r="EW66" s="383" t="n"/>
      <c r="EX66" s="383" t="n"/>
      <c r="EY66" s="383" t="n"/>
      <c r="EZ66" s="383" t="n"/>
      <c r="FA66" s="383" t="n"/>
      <c r="FB66" s="383" t="n"/>
      <c r="FC66" s="383" t="n"/>
      <c r="FD66" s="383" t="n"/>
      <c r="FE66" s="383" t="n"/>
      <c r="FF66" s="383" t="n"/>
      <c r="FG66" s="383" t="n"/>
      <c r="FH66" s="383" t="n"/>
      <c r="FI66" s="383" t="n"/>
      <c r="FJ66" s="383" t="n"/>
      <c r="FK66" s="383" t="n"/>
      <c r="FL66" s="383" t="n"/>
      <c r="FM66" s="383" t="n"/>
      <c r="FN66" s="383" t="n"/>
      <c r="FO66" s="383" t="n"/>
      <c r="FP66" s="383" t="n"/>
      <c r="FQ66" s="383" t="n"/>
      <c r="FR66" s="383" t="n"/>
      <c r="FS66" s="383" t="n"/>
      <c r="FT66" s="383" t="n"/>
      <c r="FU66" s="383" t="n"/>
      <c r="FV66" s="383" t="n"/>
      <c r="FW66" s="383" t="n"/>
      <c r="FX66" s="383" t="n"/>
      <c r="FY66" s="383" t="n"/>
      <c r="FZ66" s="383" t="n"/>
      <c r="GA66" s="383" t="n"/>
      <c r="GB66" s="383" t="n"/>
      <c r="GC66" s="383" t="n"/>
      <c r="GD66" s="383" t="n"/>
      <c r="GE66" s="383" t="n"/>
      <c r="GF66" s="383" t="n"/>
      <c r="GG66" s="383" t="n"/>
      <c r="GH66" s="383" t="n"/>
      <c r="GI66" s="383" t="n"/>
      <c r="GJ66" s="383" t="n"/>
      <c r="GK66" s="383" t="n"/>
      <c r="GL66" s="383" t="n"/>
      <c r="GM66" s="383" t="n"/>
      <c r="GN66" s="383" t="n"/>
      <c r="GO66" s="383" t="n"/>
      <c r="GP66" s="383" t="n"/>
      <c r="GQ66" s="383" t="n"/>
      <c r="GR66" s="383" t="n"/>
      <c r="GS66" s="383" t="n"/>
      <c r="GT66" s="383" t="n"/>
      <c r="GU66" s="383" t="n"/>
      <c r="GV66" s="383" t="n"/>
      <c r="GW66" s="383" t="n"/>
      <c r="GX66" s="383" t="n"/>
      <c r="GY66" s="383" t="n"/>
    </row>
    <row r="67" ht="15" customHeight="1" s="1883">
      <c r="A67" s="383" t="n"/>
      <c r="B67" s="383" t="n"/>
      <c r="C67" s="383" t="n"/>
      <c r="D67" s="390" t="inlineStr">
        <is>
          <t>●</t>
        </is>
      </c>
      <c r="E67" s="665" t="inlineStr">
        <is>
          <t>Advisor</t>
        </is>
      </c>
      <c r="F67" s="383" t="n"/>
      <c r="G67" s="383" t="n"/>
      <c r="H67" s="383" t="n"/>
      <c r="I67" s="383" t="n"/>
      <c r="J67" s="462">
        <f>'Headcount &amp; Salaries - 2'!G44</f>
        <v/>
      </c>
      <c r="K67" s="462">
        <f>'Headcount &amp; Salaries - 2'!H44</f>
        <v/>
      </c>
      <c r="L67" s="462">
        <f>'Headcount &amp; Salaries - 2'!I44</f>
        <v/>
      </c>
      <c r="M67" s="462">
        <f>'Headcount &amp; Salaries - 2'!J44</f>
        <v/>
      </c>
      <c r="N67" s="462">
        <f>'Headcount &amp; Salaries - 2'!K44</f>
        <v/>
      </c>
      <c r="O67" s="383" t="n"/>
      <c r="P67" s="384" t="n">
        <v>2</v>
      </c>
      <c r="Q67" s="384" t="n">
        <v>2</v>
      </c>
      <c r="R67" s="384" t="n">
        <v>2</v>
      </c>
      <c r="S67" s="384" t="n">
        <v>2</v>
      </c>
      <c r="T67" s="384" t="n">
        <v>2</v>
      </c>
      <c r="U67" s="384" t="n">
        <v>2</v>
      </c>
      <c r="V67" s="384">
        <f>'Headcount &amp; Salaries - 2'!AD44</f>
        <v/>
      </c>
      <c r="W67" s="384">
        <f>'Headcount &amp; Salaries - 2'!AE44</f>
        <v/>
      </c>
      <c r="X67" s="384">
        <f>'Headcount &amp; Salaries - 2'!AF44</f>
        <v/>
      </c>
      <c r="Y67" s="384">
        <f>'Headcount &amp; Salaries - 2'!AG44</f>
        <v/>
      </c>
      <c r="Z67" s="384">
        <f>'Headcount &amp; Salaries - 2'!AH44</f>
        <v/>
      </c>
      <c r="AA67" s="384">
        <f>'Headcount &amp; Salaries - 2'!AI44</f>
        <v/>
      </c>
      <c r="AB67" s="542">
        <f>'Headcount &amp; Salaries - 2'!AJ44</f>
        <v/>
      </c>
      <c r="AC67" s="384">
        <f>'Headcount &amp; Salaries - 2'!AK44</f>
        <v/>
      </c>
      <c r="AD67" s="384">
        <f>'Headcount &amp; Salaries - 2'!AL44</f>
        <v/>
      </c>
      <c r="AE67" s="384">
        <f>'Headcount &amp; Salaries - 2'!AM44</f>
        <v/>
      </c>
      <c r="AF67" s="384">
        <f>'Headcount &amp; Salaries - 2'!AN44</f>
        <v/>
      </c>
      <c r="AG67" s="384">
        <f>'Headcount &amp; Salaries - 2'!AO44</f>
        <v/>
      </c>
      <c r="AH67" s="384">
        <f>'Headcount &amp; Salaries - 2'!AP44</f>
        <v/>
      </c>
      <c r="AI67" s="384">
        <f>'Headcount &amp; Salaries - 2'!AQ44</f>
        <v/>
      </c>
      <c r="AJ67" s="384">
        <f>'Headcount &amp; Salaries - 2'!AR44</f>
        <v/>
      </c>
      <c r="AK67" s="384">
        <f>'Headcount &amp; Salaries - 2'!AS44</f>
        <v/>
      </c>
      <c r="AL67" s="384">
        <f>'Headcount &amp; Salaries - 2'!AT44</f>
        <v/>
      </c>
      <c r="AM67" s="384">
        <f>'Headcount &amp; Salaries - 2'!AU44</f>
        <v/>
      </c>
      <c r="AN67" s="542">
        <f>'Headcount &amp; Salaries - 2'!AV44</f>
        <v/>
      </c>
      <c r="AO67" s="384">
        <f>'Headcount &amp; Salaries - 2'!AW44</f>
        <v/>
      </c>
      <c r="AP67" s="384">
        <f>'Headcount &amp; Salaries - 2'!AX44</f>
        <v/>
      </c>
      <c r="AQ67" s="384">
        <f>'Headcount &amp; Salaries - 2'!AY44</f>
        <v/>
      </c>
      <c r="AR67" s="384">
        <f>'Headcount &amp; Salaries - 2'!AZ44</f>
        <v/>
      </c>
      <c r="AS67" s="384">
        <f>'Headcount &amp; Salaries - 2'!BA44</f>
        <v/>
      </c>
      <c r="AT67" s="384">
        <f>'Headcount &amp; Salaries - 2'!BB44</f>
        <v/>
      </c>
      <c r="AU67" s="384">
        <f>'Headcount &amp; Salaries - 2'!BC44</f>
        <v/>
      </c>
      <c r="AV67" s="384">
        <f>'Headcount &amp; Salaries - 2'!BD44</f>
        <v/>
      </c>
      <c r="AW67" s="384">
        <f>'Headcount &amp; Salaries - 2'!BE44</f>
        <v/>
      </c>
      <c r="AX67" s="384">
        <f>'Headcount &amp; Salaries - 2'!BF44</f>
        <v/>
      </c>
      <c r="AY67" s="565">
        <f>'Headcount &amp; Salaries - 2'!BG44</f>
        <v/>
      </c>
      <c r="AZ67" s="542">
        <f>'Headcount &amp; Salaries - 2'!BH44</f>
        <v/>
      </c>
      <c r="BA67" s="384">
        <f>'Headcount &amp; Salaries - 2'!BI44</f>
        <v/>
      </c>
      <c r="BB67" s="384">
        <f>'Headcount &amp; Salaries - 2'!BJ44</f>
        <v/>
      </c>
      <c r="BC67" s="384">
        <f>'Headcount &amp; Salaries - 2'!BK44</f>
        <v/>
      </c>
      <c r="BD67" s="384">
        <f>'Headcount &amp; Salaries - 2'!BL44</f>
        <v/>
      </c>
      <c r="BE67" s="384">
        <f>'Headcount &amp; Salaries - 2'!BM44</f>
        <v/>
      </c>
      <c r="BF67" s="384">
        <f>'Headcount &amp; Salaries - 2'!BN44</f>
        <v/>
      </c>
      <c r="BG67" s="384">
        <f>'Headcount &amp; Salaries - 2'!BO44</f>
        <v/>
      </c>
      <c r="BH67" s="384">
        <f>'Headcount &amp; Salaries - 2'!BP44</f>
        <v/>
      </c>
      <c r="BI67" s="384">
        <f>'Headcount &amp; Salaries - 2'!BQ44</f>
        <v/>
      </c>
      <c r="BJ67" s="384">
        <f>'Headcount &amp; Salaries - 2'!BR44</f>
        <v/>
      </c>
      <c r="BK67" s="384">
        <f>'Headcount &amp; Salaries - 2'!BS44</f>
        <v/>
      </c>
      <c r="BL67" s="542">
        <f>'Headcount &amp; Salaries - 2'!BT44</f>
        <v/>
      </c>
      <c r="BM67" s="384">
        <f>'Headcount &amp; Salaries - 2'!BU44</f>
        <v/>
      </c>
      <c r="BN67" s="384">
        <f>'Headcount &amp; Salaries - 2'!BV44</f>
        <v/>
      </c>
      <c r="BO67" s="384">
        <f>'Headcount &amp; Salaries - 2'!BW44</f>
        <v/>
      </c>
      <c r="BP67" s="384">
        <f>'Headcount &amp; Salaries - 2'!BX44</f>
        <v/>
      </c>
      <c r="BQ67" s="384">
        <f>'Headcount &amp; Salaries - 2'!BY44</f>
        <v/>
      </c>
      <c r="BR67" s="384">
        <f>'Headcount &amp; Salaries - 2'!BZ44</f>
        <v/>
      </c>
      <c r="BS67" s="384">
        <f>'Headcount &amp; Salaries - 2'!CA44</f>
        <v/>
      </c>
      <c r="BT67" s="384">
        <f>'Headcount &amp; Salaries - 2'!CB44</f>
        <v/>
      </c>
      <c r="BU67" s="384">
        <f>'Headcount &amp; Salaries - 2'!CC44</f>
        <v/>
      </c>
      <c r="BV67" s="384">
        <f>'Headcount &amp; Salaries - 2'!CD44</f>
        <v/>
      </c>
      <c r="BW67" s="384">
        <f>'Headcount &amp; Salaries - 2'!CE44</f>
        <v/>
      </c>
      <c r="BX67" s="383" t="n"/>
      <c r="BY67" s="383" t="n"/>
      <c r="BZ67" s="383" t="n"/>
      <c r="CA67" s="383" t="n"/>
      <c r="CB67" s="383" t="n"/>
      <c r="CC67" s="383" t="n"/>
      <c r="CD67" s="383" t="n"/>
      <c r="CE67" s="383" t="n"/>
      <c r="CF67" s="383" t="n"/>
      <c r="CG67" s="383" t="n"/>
      <c r="CH67" s="383" t="n"/>
      <c r="CI67" s="383" t="n"/>
      <c r="CJ67" s="383" t="n"/>
      <c r="CK67" s="383" t="n"/>
      <c r="CL67" s="383" t="n"/>
      <c r="CM67" s="383" t="n"/>
      <c r="CN67" s="383" t="n"/>
      <c r="CO67" s="383" t="n"/>
      <c r="CP67" s="383" t="n"/>
      <c r="CQ67" s="383" t="n"/>
      <c r="CR67" s="383" t="n"/>
      <c r="CS67" s="383" t="n"/>
      <c r="CT67" s="383" t="n"/>
      <c r="CU67" s="383" t="n"/>
      <c r="CV67" s="383" t="n"/>
      <c r="CW67" s="383" t="n"/>
      <c r="CX67" s="383" t="n"/>
      <c r="CY67" s="383" t="n"/>
      <c r="CZ67" s="383" t="n"/>
      <c r="DA67" s="383" t="n"/>
      <c r="DB67" s="383" t="n"/>
      <c r="DC67" s="383" t="n"/>
      <c r="DD67" s="383" t="n"/>
      <c r="DE67" s="383" t="n"/>
      <c r="DF67" s="383" t="n"/>
      <c r="DG67" s="383" t="n"/>
      <c r="DH67" s="383" t="n"/>
      <c r="DI67" s="383" t="n"/>
      <c r="DJ67" s="383" t="n"/>
      <c r="DK67" s="383" t="n"/>
      <c r="DL67" s="383" t="n"/>
      <c r="DM67" s="383" t="n"/>
      <c r="DN67" s="383" t="n"/>
      <c r="DO67" s="383" t="n"/>
      <c r="DP67" s="383" t="n"/>
      <c r="DQ67" s="383" t="n"/>
      <c r="DR67" s="383" t="n"/>
      <c r="DS67" s="383" t="n"/>
      <c r="DT67" s="383" t="n"/>
      <c r="DU67" s="383" t="n"/>
      <c r="DV67" s="383" t="n"/>
      <c r="DW67" s="383" t="n"/>
      <c r="DX67" s="383" t="n"/>
      <c r="DY67" s="383" t="n"/>
      <c r="DZ67" s="383" t="n"/>
      <c r="EA67" s="383" t="n"/>
      <c r="EB67" s="383" t="n"/>
      <c r="EC67" s="383" t="n"/>
      <c r="ED67" s="383" t="n"/>
      <c r="EE67" s="383" t="n"/>
      <c r="EF67" s="383" t="n"/>
      <c r="EG67" s="383" t="n"/>
      <c r="EH67" s="383" t="n"/>
      <c r="EI67" s="383" t="n"/>
      <c r="EJ67" s="383" t="n"/>
      <c r="EK67" s="383" t="n"/>
      <c r="EL67" s="383" t="n"/>
      <c r="EM67" s="383" t="n"/>
      <c r="EN67" s="383" t="n"/>
      <c r="EO67" s="383" t="n"/>
      <c r="EP67" s="383" t="n"/>
      <c r="EQ67" s="383" t="n"/>
      <c r="ER67" s="383" t="n"/>
      <c r="ES67" s="383" t="n"/>
      <c r="ET67" s="383" t="n"/>
      <c r="EU67" s="383" t="n"/>
      <c r="EV67" s="383" t="n"/>
      <c r="EW67" s="383" t="n"/>
      <c r="EX67" s="383" t="n"/>
      <c r="EY67" s="383" t="n"/>
      <c r="EZ67" s="383" t="n"/>
      <c r="FA67" s="383" t="n"/>
      <c r="FB67" s="383" t="n"/>
      <c r="FC67" s="383" t="n"/>
      <c r="FD67" s="383" t="n"/>
      <c r="FE67" s="383" t="n"/>
      <c r="FF67" s="383" t="n"/>
      <c r="FG67" s="383" t="n"/>
      <c r="FH67" s="383" t="n"/>
      <c r="FI67" s="383" t="n"/>
      <c r="FJ67" s="383" t="n"/>
      <c r="FK67" s="383" t="n"/>
      <c r="FL67" s="383" t="n"/>
      <c r="FM67" s="383" t="n"/>
      <c r="FN67" s="383" t="n"/>
      <c r="FO67" s="383" t="n"/>
      <c r="FP67" s="383" t="n"/>
      <c r="FQ67" s="383" t="n"/>
      <c r="FR67" s="383" t="n"/>
      <c r="FS67" s="383" t="n"/>
      <c r="FT67" s="383" t="n"/>
      <c r="FU67" s="383" t="n"/>
      <c r="FV67" s="383" t="n"/>
      <c r="FW67" s="383" t="n"/>
      <c r="FX67" s="383" t="n"/>
      <c r="FY67" s="383" t="n"/>
      <c r="FZ67" s="383" t="n"/>
      <c r="GA67" s="383" t="n"/>
      <c r="GB67" s="383" t="n"/>
      <c r="GC67" s="383" t="n"/>
      <c r="GD67" s="383" t="n"/>
      <c r="GE67" s="383" t="n"/>
      <c r="GF67" s="383" t="n"/>
      <c r="GG67" s="383" t="n"/>
      <c r="GH67" s="383" t="n"/>
      <c r="GI67" s="383" t="n"/>
      <c r="GJ67" s="383" t="n"/>
      <c r="GK67" s="383" t="n"/>
      <c r="GL67" s="383" t="n"/>
      <c r="GM67" s="383" t="n"/>
      <c r="GN67" s="383" t="n"/>
      <c r="GO67" s="383" t="n"/>
      <c r="GP67" s="383" t="n"/>
      <c r="GQ67" s="383" t="n"/>
      <c r="GR67" s="383" t="n"/>
      <c r="GS67" s="383" t="n"/>
      <c r="GT67" s="383" t="n"/>
      <c r="GU67" s="383" t="n"/>
      <c r="GV67" s="383" t="n"/>
      <c r="GW67" s="383" t="n"/>
      <c r="GX67" s="383" t="n"/>
      <c r="GY67" s="383" t="n"/>
    </row>
    <row r="68" ht="15" customHeight="1" s="1883">
      <c r="A68" s="383" t="n"/>
      <c r="B68" s="383" t="n"/>
      <c r="C68" s="383" t="n"/>
      <c r="D68" s="390" t="inlineStr">
        <is>
          <t>●</t>
        </is>
      </c>
      <c r="E68" s="665" t="inlineStr">
        <is>
          <t>Sales Team</t>
        </is>
      </c>
      <c r="F68" s="383" t="n"/>
      <c r="G68" s="383" t="n"/>
      <c r="H68" s="383" t="n"/>
      <c r="I68" s="383" t="n"/>
      <c r="J68" s="462">
        <f>'Headcount &amp; Salaries - 2'!G45</f>
        <v/>
      </c>
      <c r="K68" s="462">
        <f>'Headcount &amp; Salaries - 2'!H45</f>
        <v/>
      </c>
      <c r="L68" s="462">
        <f>'Headcount &amp; Salaries - 2'!I45</f>
        <v/>
      </c>
      <c r="M68" s="462">
        <f>'Headcount &amp; Salaries - 2'!J45</f>
        <v/>
      </c>
      <c r="N68" s="462">
        <f>'Headcount &amp; Salaries - 2'!K45</f>
        <v/>
      </c>
      <c r="O68" s="383" t="n"/>
      <c r="P68" s="384" t="n">
        <v>25</v>
      </c>
      <c r="Q68" s="384" t="n">
        <v>25</v>
      </c>
      <c r="R68" s="384" t="n">
        <v>25</v>
      </c>
      <c r="S68" s="384">
        <f>'Headcount &amp; Salaries - 2'!AA45</f>
        <v/>
      </c>
      <c r="T68" s="384">
        <f>'Headcount &amp; Salaries - 2'!AB45</f>
        <v/>
      </c>
      <c r="U68" s="384">
        <f>'Headcount &amp; Salaries - 2'!AC45</f>
        <v/>
      </c>
      <c r="V68" s="384">
        <f>'Headcount &amp; Salaries - 2'!AD45</f>
        <v/>
      </c>
      <c r="W68" s="384">
        <f>'Headcount &amp; Salaries - 2'!AE45</f>
        <v/>
      </c>
      <c r="X68" s="384">
        <f>'Headcount &amp; Salaries - 2'!AF45</f>
        <v/>
      </c>
      <c r="Y68" s="384">
        <f>'Headcount &amp; Salaries - 2'!AG45</f>
        <v/>
      </c>
      <c r="Z68" s="384">
        <f>'Headcount &amp; Salaries - 2'!AH45</f>
        <v/>
      </c>
      <c r="AA68" s="384">
        <f>'Headcount &amp; Salaries - 2'!AI45</f>
        <v/>
      </c>
      <c r="AB68" s="542">
        <f>'Headcount &amp; Salaries - 2'!AJ45</f>
        <v/>
      </c>
      <c r="AC68" s="384">
        <f>'Headcount &amp; Salaries - 2'!AK45</f>
        <v/>
      </c>
      <c r="AD68" s="384">
        <f>'Headcount &amp; Salaries - 2'!AL45</f>
        <v/>
      </c>
      <c r="AE68" s="384">
        <f>'Headcount &amp; Salaries - 2'!AM45</f>
        <v/>
      </c>
      <c r="AF68" s="384">
        <f>'Headcount &amp; Salaries - 2'!AN45</f>
        <v/>
      </c>
      <c r="AG68" s="384">
        <f>'Headcount &amp; Salaries - 2'!AO45</f>
        <v/>
      </c>
      <c r="AH68" s="384">
        <f>'Headcount &amp; Salaries - 2'!AP45</f>
        <v/>
      </c>
      <c r="AI68" s="384">
        <f>'Headcount &amp; Salaries - 2'!AQ45</f>
        <v/>
      </c>
      <c r="AJ68" s="384">
        <f>'Headcount &amp; Salaries - 2'!AR45</f>
        <v/>
      </c>
      <c r="AK68" s="384">
        <f>'Headcount &amp; Salaries - 2'!AS45</f>
        <v/>
      </c>
      <c r="AL68" s="384">
        <f>'Headcount &amp; Salaries - 2'!AT45</f>
        <v/>
      </c>
      <c r="AM68" s="384">
        <f>'Headcount &amp; Salaries - 2'!AU45</f>
        <v/>
      </c>
      <c r="AN68" s="542">
        <f>'Headcount &amp; Salaries - 2'!AV45</f>
        <v/>
      </c>
      <c r="AO68" s="384">
        <f>'Headcount &amp; Salaries - 2'!AW45</f>
        <v/>
      </c>
      <c r="AP68" s="384">
        <f>'Headcount &amp; Salaries - 2'!AX45</f>
        <v/>
      </c>
      <c r="AQ68" s="384">
        <f>'Headcount &amp; Salaries - 2'!AY45</f>
        <v/>
      </c>
      <c r="AR68" s="384">
        <f>'Headcount &amp; Salaries - 2'!AZ45</f>
        <v/>
      </c>
      <c r="AS68" s="384">
        <f>'Headcount &amp; Salaries - 2'!BA45</f>
        <v/>
      </c>
      <c r="AT68" s="384">
        <f>'Headcount &amp; Salaries - 2'!BB45</f>
        <v/>
      </c>
      <c r="AU68" s="384">
        <f>'Headcount &amp; Salaries - 2'!BC45</f>
        <v/>
      </c>
      <c r="AV68" s="384">
        <f>'Headcount &amp; Salaries - 2'!BD45</f>
        <v/>
      </c>
      <c r="AW68" s="384">
        <f>'Headcount &amp; Salaries - 2'!BE45</f>
        <v/>
      </c>
      <c r="AX68" s="384">
        <f>'Headcount &amp; Salaries - 2'!BF45</f>
        <v/>
      </c>
      <c r="AY68" s="565">
        <f>'Headcount &amp; Salaries - 2'!BG45</f>
        <v/>
      </c>
      <c r="AZ68" s="542">
        <f>'Headcount &amp; Salaries - 2'!BH45</f>
        <v/>
      </c>
      <c r="BA68" s="384">
        <f>'Headcount &amp; Salaries - 2'!BI45</f>
        <v/>
      </c>
      <c r="BB68" s="384">
        <f>'Headcount &amp; Salaries - 2'!BJ45</f>
        <v/>
      </c>
      <c r="BC68" s="384">
        <f>'Headcount &amp; Salaries - 2'!BK45</f>
        <v/>
      </c>
      <c r="BD68" s="384">
        <f>'Headcount &amp; Salaries - 2'!BL45</f>
        <v/>
      </c>
      <c r="BE68" s="384">
        <f>'Headcount &amp; Salaries - 2'!BM45</f>
        <v/>
      </c>
      <c r="BF68" s="384">
        <f>'Headcount &amp; Salaries - 2'!BN45</f>
        <v/>
      </c>
      <c r="BG68" s="384">
        <f>'Headcount &amp; Salaries - 2'!BO45</f>
        <v/>
      </c>
      <c r="BH68" s="384">
        <f>'Headcount &amp; Salaries - 2'!BP45</f>
        <v/>
      </c>
      <c r="BI68" s="384">
        <f>'Headcount &amp; Salaries - 2'!BQ45</f>
        <v/>
      </c>
      <c r="BJ68" s="384">
        <f>'Headcount &amp; Salaries - 2'!BR45</f>
        <v/>
      </c>
      <c r="BK68" s="384">
        <f>'Headcount &amp; Salaries - 2'!BS45</f>
        <v/>
      </c>
      <c r="BL68" s="542">
        <f>'Headcount &amp; Salaries - 2'!BT45</f>
        <v/>
      </c>
      <c r="BM68" s="384">
        <f>'Headcount &amp; Salaries - 2'!BU45</f>
        <v/>
      </c>
      <c r="BN68" s="384">
        <f>'Headcount &amp; Salaries - 2'!BV45</f>
        <v/>
      </c>
      <c r="BO68" s="384">
        <f>'Headcount &amp; Salaries - 2'!BW45</f>
        <v/>
      </c>
      <c r="BP68" s="384">
        <f>'Headcount &amp; Salaries - 2'!BX45</f>
        <v/>
      </c>
      <c r="BQ68" s="384">
        <f>'Headcount &amp; Salaries - 2'!BY45</f>
        <v/>
      </c>
      <c r="BR68" s="384">
        <f>'Headcount &amp; Salaries - 2'!BZ45</f>
        <v/>
      </c>
      <c r="BS68" s="384">
        <f>'Headcount &amp; Salaries - 2'!CA45</f>
        <v/>
      </c>
      <c r="BT68" s="384">
        <f>'Headcount &amp; Salaries - 2'!CB45</f>
        <v/>
      </c>
      <c r="BU68" s="384">
        <f>'Headcount &amp; Salaries - 2'!CC45</f>
        <v/>
      </c>
      <c r="BV68" s="384">
        <f>'Headcount &amp; Salaries - 2'!CD45</f>
        <v/>
      </c>
      <c r="BW68" s="384">
        <f>'Headcount &amp; Salaries - 2'!CE45</f>
        <v/>
      </c>
      <c r="BX68" s="383" t="n"/>
      <c r="BY68" s="383" t="n"/>
      <c r="BZ68" s="383" t="n"/>
      <c r="CA68" s="383" t="n"/>
      <c r="CB68" s="383" t="n"/>
      <c r="CC68" s="383" t="n"/>
      <c r="CD68" s="383" t="n"/>
      <c r="CE68" s="383" t="n"/>
      <c r="CF68" s="383" t="n"/>
      <c r="CG68" s="383" t="n"/>
      <c r="CH68" s="383" t="n"/>
      <c r="CI68" s="383" t="n"/>
      <c r="CJ68" s="383" t="n"/>
      <c r="CK68" s="383" t="n"/>
      <c r="CL68" s="383" t="n"/>
      <c r="CM68" s="383" t="n"/>
      <c r="CN68" s="383" t="n"/>
      <c r="CO68" s="383" t="n"/>
      <c r="CP68" s="383" t="n"/>
      <c r="CQ68" s="383" t="n"/>
      <c r="CR68" s="383" t="n"/>
      <c r="CS68" s="383" t="n"/>
      <c r="CT68" s="383" t="n"/>
      <c r="CU68" s="383" t="n"/>
      <c r="CV68" s="383" t="n"/>
      <c r="CW68" s="383" t="n"/>
      <c r="CX68" s="383" t="n"/>
      <c r="CY68" s="383" t="n"/>
      <c r="CZ68" s="383" t="n"/>
      <c r="DA68" s="383" t="n"/>
      <c r="DB68" s="383" t="n"/>
      <c r="DC68" s="383" t="n"/>
      <c r="DD68" s="383" t="n"/>
      <c r="DE68" s="383" t="n"/>
      <c r="DF68" s="383" t="n"/>
      <c r="DG68" s="383" t="n"/>
      <c r="DH68" s="383" t="n"/>
      <c r="DI68" s="383" t="n"/>
      <c r="DJ68" s="383" t="n"/>
      <c r="DK68" s="383" t="n"/>
      <c r="DL68" s="383" t="n"/>
      <c r="DM68" s="383" t="n"/>
      <c r="DN68" s="383" t="n"/>
      <c r="DO68" s="383" t="n"/>
      <c r="DP68" s="383" t="n"/>
      <c r="DQ68" s="383" t="n"/>
      <c r="DR68" s="383" t="n"/>
      <c r="DS68" s="383" t="n"/>
      <c r="DT68" s="383" t="n"/>
      <c r="DU68" s="383" t="n"/>
      <c r="DV68" s="383" t="n"/>
      <c r="DW68" s="383" t="n"/>
      <c r="DX68" s="383" t="n"/>
      <c r="DY68" s="383" t="n"/>
      <c r="DZ68" s="383" t="n"/>
      <c r="EA68" s="383" t="n"/>
      <c r="EB68" s="383" t="n"/>
      <c r="EC68" s="383" t="n"/>
      <c r="ED68" s="383" t="n"/>
      <c r="EE68" s="383" t="n"/>
      <c r="EF68" s="383" t="n"/>
      <c r="EG68" s="383" t="n"/>
      <c r="EH68" s="383" t="n"/>
      <c r="EI68" s="383" t="n"/>
      <c r="EJ68" s="383" t="n"/>
      <c r="EK68" s="383" t="n"/>
      <c r="EL68" s="383" t="n"/>
      <c r="EM68" s="383" t="n"/>
      <c r="EN68" s="383" t="n"/>
      <c r="EO68" s="383" t="n"/>
      <c r="EP68" s="383" t="n"/>
      <c r="EQ68" s="383" t="n"/>
      <c r="ER68" s="383" t="n"/>
      <c r="ES68" s="383" t="n"/>
      <c r="ET68" s="383" t="n"/>
      <c r="EU68" s="383" t="n"/>
      <c r="EV68" s="383" t="n"/>
      <c r="EW68" s="383" t="n"/>
      <c r="EX68" s="383" t="n"/>
      <c r="EY68" s="383" t="n"/>
      <c r="EZ68" s="383" t="n"/>
      <c r="FA68" s="383" t="n"/>
      <c r="FB68" s="383" t="n"/>
      <c r="FC68" s="383" t="n"/>
      <c r="FD68" s="383" t="n"/>
      <c r="FE68" s="383" t="n"/>
      <c r="FF68" s="383" t="n"/>
      <c r="FG68" s="383" t="n"/>
      <c r="FH68" s="383" t="n"/>
      <c r="FI68" s="383" t="n"/>
      <c r="FJ68" s="383" t="n"/>
      <c r="FK68" s="383" t="n"/>
      <c r="FL68" s="383" t="n"/>
      <c r="FM68" s="383" t="n"/>
      <c r="FN68" s="383" t="n"/>
      <c r="FO68" s="383" t="n"/>
      <c r="FP68" s="383" t="n"/>
      <c r="FQ68" s="383" t="n"/>
      <c r="FR68" s="383" t="n"/>
      <c r="FS68" s="383" t="n"/>
      <c r="FT68" s="383" t="n"/>
      <c r="FU68" s="383" t="n"/>
      <c r="FV68" s="383" t="n"/>
      <c r="FW68" s="383" t="n"/>
      <c r="FX68" s="383" t="n"/>
      <c r="FY68" s="383" t="n"/>
      <c r="FZ68" s="383" t="n"/>
      <c r="GA68" s="383" t="n"/>
      <c r="GB68" s="383" t="n"/>
      <c r="GC68" s="383" t="n"/>
      <c r="GD68" s="383" t="n"/>
      <c r="GE68" s="383" t="n"/>
      <c r="GF68" s="383" t="n"/>
      <c r="GG68" s="383" t="n"/>
      <c r="GH68" s="383" t="n"/>
      <c r="GI68" s="383" t="n"/>
      <c r="GJ68" s="383" t="n"/>
      <c r="GK68" s="383" t="n"/>
      <c r="GL68" s="383" t="n"/>
      <c r="GM68" s="383" t="n"/>
      <c r="GN68" s="383" t="n"/>
      <c r="GO68" s="383" t="n"/>
      <c r="GP68" s="383" t="n"/>
      <c r="GQ68" s="383" t="n"/>
      <c r="GR68" s="383" t="n"/>
      <c r="GS68" s="383" t="n"/>
      <c r="GT68" s="383" t="n"/>
      <c r="GU68" s="383" t="n"/>
      <c r="GV68" s="383" t="n"/>
      <c r="GW68" s="383" t="n"/>
      <c r="GX68" s="383" t="n"/>
      <c r="GY68" s="383" t="n"/>
    </row>
    <row r="69" ht="15" customFormat="1" customHeight="1" s="690">
      <c r="A69" s="383" t="n"/>
      <c r="B69" s="383" t="n"/>
      <c r="C69" s="383" t="n"/>
      <c r="D69" s="390" t="inlineStr">
        <is>
          <t>●</t>
        </is>
      </c>
      <c r="E69" s="686" t="inlineStr">
        <is>
          <t>Pure Marketing Group - Marketing Team**</t>
        </is>
      </c>
      <c r="F69" s="593" t="n"/>
      <c r="G69" s="593" t="n"/>
      <c r="H69" s="686" t="n"/>
      <c r="I69" s="593" t="n"/>
      <c r="J69" s="687">
        <f>'Headcount &amp; Salaries - 2'!G46</f>
        <v/>
      </c>
      <c r="K69" s="687">
        <f>'Headcount &amp; Salaries - 2'!H46</f>
        <v/>
      </c>
      <c r="L69" s="687">
        <f>'Headcount &amp; Salaries - 2'!I46</f>
        <v/>
      </c>
      <c r="M69" s="687">
        <f>'Headcount &amp; Salaries - 2'!J46</f>
        <v/>
      </c>
      <c r="N69" s="687">
        <f>'Headcount &amp; Salaries - 2'!K46</f>
        <v/>
      </c>
      <c r="O69" s="593" t="n"/>
      <c r="P69" s="675">
        <f>'Headcount &amp; Salaries - 2'!X45</f>
        <v/>
      </c>
      <c r="Q69" s="675">
        <f>'Headcount &amp; Salaries - 2'!Y45</f>
        <v/>
      </c>
      <c r="R69" s="675">
        <f>'Headcount &amp; Salaries - 2'!Z45</f>
        <v/>
      </c>
      <c r="S69" s="675">
        <f>'Headcount &amp; Salaries - 2'!AA45</f>
        <v/>
      </c>
      <c r="T69" s="675">
        <f>'Headcount &amp; Salaries - 2'!AB45</f>
        <v/>
      </c>
      <c r="U69" s="675">
        <f>'Headcount &amp; Salaries - 2'!AC45</f>
        <v/>
      </c>
      <c r="V69" s="675">
        <f>'Headcount &amp; Salaries - 2'!AD45</f>
        <v/>
      </c>
      <c r="W69" s="675">
        <f>'Headcount &amp; Salaries - 2'!AE45</f>
        <v/>
      </c>
      <c r="X69" s="675">
        <f>'Headcount &amp; Salaries - 2'!AF45</f>
        <v/>
      </c>
      <c r="Y69" s="675">
        <f>'Headcount &amp; Salaries - 2'!AG45</f>
        <v/>
      </c>
      <c r="Z69" s="675">
        <f>'Headcount &amp; Salaries - 2'!AH45</f>
        <v/>
      </c>
      <c r="AA69" s="675">
        <f>'Headcount &amp; Salaries - 2'!AI45</f>
        <v/>
      </c>
      <c r="AB69" s="688">
        <f>'Headcount &amp; Salaries - 2'!AJ45</f>
        <v/>
      </c>
      <c r="AC69" s="675">
        <f>'Headcount &amp; Salaries - 2'!AK45</f>
        <v/>
      </c>
      <c r="AD69" s="675">
        <f>'Headcount &amp; Salaries - 2'!AL45</f>
        <v/>
      </c>
      <c r="AE69" s="675">
        <f>'Headcount &amp; Salaries - 2'!AM45</f>
        <v/>
      </c>
      <c r="AF69" s="675">
        <f>'Headcount &amp; Salaries - 2'!AN45</f>
        <v/>
      </c>
      <c r="AG69" s="675">
        <f>'Headcount &amp; Salaries - 2'!AO45</f>
        <v/>
      </c>
      <c r="AH69" s="675">
        <f>'Headcount &amp; Salaries - 2'!AP45</f>
        <v/>
      </c>
      <c r="AI69" s="675">
        <f>'Headcount &amp; Salaries - 2'!AQ45</f>
        <v/>
      </c>
      <c r="AJ69" s="675">
        <f>'Headcount &amp; Salaries - 2'!AR45</f>
        <v/>
      </c>
      <c r="AK69" s="675">
        <f>'Headcount &amp; Salaries - 2'!AS45</f>
        <v/>
      </c>
      <c r="AL69" s="675">
        <f>'Headcount &amp; Salaries - 2'!AT45</f>
        <v/>
      </c>
      <c r="AM69" s="675">
        <f>'Headcount &amp; Salaries - 2'!AU45</f>
        <v/>
      </c>
      <c r="AN69" s="688">
        <f>'Headcount &amp; Salaries - 2'!AV45</f>
        <v/>
      </c>
      <c r="AO69" s="675">
        <f>'Headcount &amp; Salaries - 2'!AW45</f>
        <v/>
      </c>
      <c r="AP69" s="675">
        <f>'Headcount &amp; Salaries - 2'!AX45</f>
        <v/>
      </c>
      <c r="AQ69" s="675">
        <f>'Headcount &amp; Salaries - 2'!AY45</f>
        <v/>
      </c>
      <c r="AR69" s="675">
        <f>'Headcount &amp; Salaries - 2'!AZ45</f>
        <v/>
      </c>
      <c r="AS69" s="675">
        <f>'Headcount &amp; Salaries - 2'!BA45</f>
        <v/>
      </c>
      <c r="AT69" s="675">
        <f>'Headcount &amp; Salaries - 2'!BB45</f>
        <v/>
      </c>
      <c r="AU69" s="675">
        <f>'Headcount &amp; Salaries - 2'!BC45</f>
        <v/>
      </c>
      <c r="AV69" s="675">
        <f>'Headcount &amp; Salaries - 2'!BD45</f>
        <v/>
      </c>
      <c r="AW69" s="675">
        <f>'Headcount &amp; Salaries - 2'!BE45</f>
        <v/>
      </c>
      <c r="AX69" s="675">
        <f>'Headcount &amp; Salaries - 2'!BF45</f>
        <v/>
      </c>
      <c r="AY69" s="689">
        <f>'Headcount &amp; Salaries - 2'!BG45</f>
        <v/>
      </c>
      <c r="AZ69" s="688">
        <f>'Headcount &amp; Salaries - 2'!BH45</f>
        <v/>
      </c>
      <c r="BA69" s="675">
        <f>'Headcount &amp; Salaries - 2'!BI45</f>
        <v/>
      </c>
      <c r="BB69" s="675">
        <f>'Headcount &amp; Salaries - 2'!BJ45</f>
        <v/>
      </c>
      <c r="BC69" s="675">
        <f>'Headcount &amp; Salaries - 2'!BK45</f>
        <v/>
      </c>
      <c r="BD69" s="675">
        <f>'Headcount &amp; Salaries - 2'!BL45</f>
        <v/>
      </c>
      <c r="BE69" s="675">
        <f>'Headcount &amp; Salaries - 2'!BM45</f>
        <v/>
      </c>
      <c r="BF69" s="675">
        <f>'Headcount &amp; Salaries - 2'!BN45</f>
        <v/>
      </c>
      <c r="BG69" s="675">
        <f>'Headcount &amp; Salaries - 2'!BO45</f>
        <v/>
      </c>
      <c r="BH69" s="675">
        <f>'Headcount &amp; Salaries - 2'!BP45</f>
        <v/>
      </c>
      <c r="BI69" s="675">
        <f>'Headcount &amp; Salaries - 2'!BQ45</f>
        <v/>
      </c>
      <c r="BJ69" s="675">
        <f>'Headcount &amp; Salaries - 2'!BR45</f>
        <v/>
      </c>
      <c r="BK69" s="675">
        <f>'Headcount &amp; Salaries - 2'!BS45</f>
        <v/>
      </c>
      <c r="BL69" s="688">
        <f>'Headcount &amp; Salaries - 2'!BT45</f>
        <v/>
      </c>
      <c r="BM69" s="675">
        <f>'Headcount &amp; Salaries - 2'!BU45</f>
        <v/>
      </c>
      <c r="BN69" s="675">
        <f>'Headcount &amp; Salaries - 2'!BV45</f>
        <v/>
      </c>
      <c r="BO69" s="675">
        <f>'Headcount &amp; Salaries - 2'!BW45</f>
        <v/>
      </c>
      <c r="BP69" s="675">
        <f>'Headcount &amp; Salaries - 2'!BX45</f>
        <v/>
      </c>
      <c r="BQ69" s="675">
        <f>'Headcount &amp; Salaries - 2'!BY45</f>
        <v/>
      </c>
      <c r="BR69" s="675">
        <f>'Headcount &amp; Salaries - 2'!BZ45</f>
        <v/>
      </c>
      <c r="BS69" s="675">
        <f>'Headcount &amp; Salaries - 2'!CA45</f>
        <v/>
      </c>
      <c r="BT69" s="675">
        <f>'Headcount &amp; Salaries - 2'!CB45</f>
        <v/>
      </c>
      <c r="BU69" s="675">
        <f>'Headcount &amp; Salaries - 2'!CC45</f>
        <v/>
      </c>
      <c r="BV69" s="675">
        <f>'Headcount &amp; Salaries - 2'!CD45</f>
        <v/>
      </c>
      <c r="BW69" s="675">
        <f>'Headcount &amp; Salaries - 2'!CE45</f>
        <v/>
      </c>
      <c r="BX69" s="593" t="n"/>
      <c r="BY69" s="593" t="n"/>
      <c r="BZ69" s="593" t="n"/>
      <c r="CA69" s="593" t="n"/>
      <c r="CB69" s="593" t="n"/>
      <c r="CC69" s="593" t="n"/>
      <c r="CD69" s="593" t="n"/>
      <c r="CE69" s="593" t="n"/>
      <c r="CF69" s="593" t="n"/>
      <c r="CG69" s="593" t="n"/>
      <c r="CH69" s="593" t="n"/>
      <c r="CI69" s="593" t="n"/>
      <c r="CJ69" s="593" t="n"/>
      <c r="CK69" s="593" t="n"/>
      <c r="CL69" s="593" t="n"/>
      <c r="CM69" s="593" t="n"/>
      <c r="CN69" s="593" t="n"/>
      <c r="CO69" s="593" t="n"/>
      <c r="CP69" s="593" t="n"/>
      <c r="CQ69" s="593" t="n"/>
      <c r="CR69" s="593" t="n"/>
      <c r="CS69" s="593" t="n"/>
      <c r="CT69" s="593" t="n"/>
      <c r="CU69" s="593" t="n"/>
      <c r="CV69" s="593" t="n"/>
      <c r="CW69" s="593" t="n"/>
      <c r="CX69" s="593" t="n"/>
      <c r="CY69" s="593" t="n"/>
      <c r="CZ69" s="593" t="n"/>
      <c r="DA69" s="593" t="n"/>
      <c r="DB69" s="593" t="n"/>
      <c r="DC69" s="593" t="n"/>
      <c r="DD69" s="593" t="n"/>
      <c r="DE69" s="593" t="n"/>
      <c r="DF69" s="593" t="n"/>
      <c r="DG69" s="593" t="n"/>
      <c r="DH69" s="593" t="n"/>
      <c r="DI69" s="593" t="n"/>
      <c r="DJ69" s="593" t="n"/>
      <c r="DK69" s="593" t="n"/>
      <c r="DL69" s="593" t="n"/>
      <c r="DM69" s="593" t="n"/>
      <c r="DN69" s="593" t="n"/>
      <c r="DO69" s="593" t="n"/>
      <c r="DP69" s="593" t="n"/>
      <c r="DQ69" s="593" t="n"/>
      <c r="DR69" s="593" t="n"/>
      <c r="DS69" s="593" t="n"/>
      <c r="DT69" s="593" t="n"/>
      <c r="DU69" s="593" t="n"/>
      <c r="DV69" s="593" t="n"/>
      <c r="DW69" s="593" t="n"/>
      <c r="DX69" s="593" t="n"/>
      <c r="DY69" s="593" t="n"/>
      <c r="DZ69" s="593" t="n"/>
      <c r="EA69" s="593" t="n"/>
      <c r="EB69" s="593" t="n"/>
      <c r="EC69" s="593" t="n"/>
      <c r="ED69" s="593" t="n"/>
      <c r="EE69" s="593" t="n"/>
      <c r="EF69" s="593" t="n"/>
      <c r="EG69" s="593" t="n"/>
      <c r="EH69" s="593" t="n"/>
      <c r="EI69" s="593" t="n"/>
      <c r="EJ69" s="593" t="n"/>
      <c r="EK69" s="593" t="n"/>
      <c r="EL69" s="593" t="n"/>
      <c r="EM69" s="593" t="n"/>
      <c r="EN69" s="593" t="n"/>
      <c r="EO69" s="593" t="n"/>
      <c r="EP69" s="593" t="n"/>
      <c r="EQ69" s="593" t="n"/>
      <c r="ER69" s="593" t="n"/>
      <c r="ES69" s="593" t="n"/>
      <c r="ET69" s="593" t="n"/>
      <c r="EU69" s="593" t="n"/>
      <c r="EV69" s="593" t="n"/>
      <c r="EW69" s="593" t="n"/>
      <c r="EX69" s="593" t="n"/>
      <c r="EY69" s="593" t="n"/>
      <c r="EZ69" s="593" t="n"/>
      <c r="FA69" s="593" t="n"/>
      <c r="FB69" s="593" t="n"/>
      <c r="FC69" s="593" t="n"/>
      <c r="FD69" s="593" t="n"/>
      <c r="FE69" s="593" t="n"/>
      <c r="FF69" s="593" t="n"/>
      <c r="FG69" s="593" t="n"/>
      <c r="FH69" s="593" t="n"/>
      <c r="FI69" s="593" t="n"/>
      <c r="FJ69" s="593" t="n"/>
      <c r="FK69" s="593" t="n"/>
      <c r="FL69" s="593" t="n"/>
      <c r="FM69" s="593" t="n"/>
      <c r="FN69" s="593" t="n"/>
      <c r="FO69" s="593" t="n"/>
      <c r="FP69" s="593" t="n"/>
      <c r="FQ69" s="593" t="n"/>
      <c r="FR69" s="593" t="n"/>
      <c r="FS69" s="593" t="n"/>
      <c r="FT69" s="593" t="n"/>
      <c r="FU69" s="593" t="n"/>
      <c r="FV69" s="593" t="n"/>
      <c r="FW69" s="593" t="n"/>
      <c r="FX69" s="593" t="n"/>
      <c r="FY69" s="593" t="n"/>
      <c r="FZ69" s="593" t="n"/>
      <c r="GA69" s="593" t="n"/>
      <c r="GB69" s="593" t="n"/>
      <c r="GC69" s="593" t="n"/>
      <c r="GD69" s="593" t="n"/>
      <c r="GE69" s="593" t="n"/>
      <c r="GF69" s="593" t="n"/>
      <c r="GG69" s="593" t="n"/>
      <c r="GH69" s="593" t="n"/>
      <c r="GI69" s="593" t="n"/>
      <c r="GJ69" s="593" t="n"/>
      <c r="GK69" s="593" t="n"/>
      <c r="GL69" s="593" t="n"/>
      <c r="GM69" s="593" t="n"/>
      <c r="GN69" s="593" t="n"/>
      <c r="GO69" s="593" t="n"/>
      <c r="GP69" s="593" t="n"/>
      <c r="GQ69" s="593" t="n"/>
      <c r="GR69" s="593" t="n"/>
      <c r="GS69" s="593" t="n"/>
      <c r="GT69" s="593" t="n"/>
      <c r="GU69" s="593" t="n"/>
      <c r="GV69" s="593" t="n"/>
      <c r="GW69" s="593" t="n"/>
      <c r="GX69" s="593" t="n"/>
      <c r="GY69" s="593" t="n"/>
    </row>
    <row r="70" ht="15" customFormat="1" customHeight="1" s="690">
      <c r="A70" s="383" t="n"/>
      <c r="B70" s="383" t="n"/>
      <c r="C70" s="383" t="n"/>
      <c r="D70" s="390" t="inlineStr">
        <is>
          <t>●</t>
        </is>
      </c>
      <c r="E70" s="686" t="inlineStr">
        <is>
          <t>Pure Tech Marketing Team**</t>
        </is>
      </c>
      <c r="F70" s="593" t="n"/>
      <c r="G70" s="593" t="n"/>
      <c r="H70" s="593" t="n"/>
      <c r="I70" s="593" t="n"/>
      <c r="J70" s="687">
        <f>'Headcount &amp; Salaries - 2'!G47</f>
        <v/>
      </c>
      <c r="K70" s="687">
        <f>'Headcount &amp; Salaries - 2'!H47</f>
        <v/>
      </c>
      <c r="L70" s="687">
        <f>'Headcount &amp; Salaries - 2'!I47</f>
        <v/>
      </c>
      <c r="M70" s="687">
        <f>'Headcount &amp; Salaries - 2'!J47</f>
        <v/>
      </c>
      <c r="N70" s="687">
        <f>'Headcount &amp; Salaries - 2'!K47</f>
        <v/>
      </c>
      <c r="O70" s="593" t="n"/>
      <c r="P70" s="675">
        <f>'Headcount &amp; Salaries - 2'!X47</f>
        <v/>
      </c>
      <c r="Q70" s="675">
        <f>'Headcount &amp; Salaries - 2'!Y47</f>
        <v/>
      </c>
      <c r="R70" s="675">
        <f>'Headcount &amp; Salaries - 2'!Z47</f>
        <v/>
      </c>
      <c r="S70" s="675">
        <f>'Headcount &amp; Salaries - 2'!AA47</f>
        <v/>
      </c>
      <c r="T70" s="675">
        <f>'Headcount &amp; Salaries - 2'!AB47</f>
        <v/>
      </c>
      <c r="U70" s="675">
        <f>'Headcount &amp; Salaries - 2'!AC47</f>
        <v/>
      </c>
      <c r="V70" s="675">
        <f>'Headcount &amp; Salaries - 2'!AD47</f>
        <v/>
      </c>
      <c r="W70" s="675">
        <f>'Headcount &amp; Salaries - 2'!AE47</f>
        <v/>
      </c>
      <c r="X70" s="675">
        <f>'Headcount &amp; Salaries - 2'!AF47</f>
        <v/>
      </c>
      <c r="Y70" s="675">
        <f>'Headcount &amp; Salaries - 2'!AG47</f>
        <v/>
      </c>
      <c r="Z70" s="675">
        <f>'Headcount &amp; Salaries - 2'!AH47</f>
        <v/>
      </c>
      <c r="AA70" s="675">
        <f>'Headcount &amp; Salaries - 2'!AI47</f>
        <v/>
      </c>
      <c r="AB70" s="688">
        <f>'Headcount &amp; Salaries - 2'!AJ47</f>
        <v/>
      </c>
      <c r="AC70" s="675">
        <f>'Headcount &amp; Salaries - 2'!AK47</f>
        <v/>
      </c>
      <c r="AD70" s="675">
        <f>'Headcount &amp; Salaries - 2'!AL47</f>
        <v/>
      </c>
      <c r="AE70" s="675">
        <f>'Headcount &amp; Salaries - 2'!AM47</f>
        <v/>
      </c>
      <c r="AF70" s="675">
        <f>'Headcount &amp; Salaries - 2'!AN47</f>
        <v/>
      </c>
      <c r="AG70" s="675">
        <f>'Headcount &amp; Salaries - 2'!AO47</f>
        <v/>
      </c>
      <c r="AH70" s="675">
        <f>'Headcount &amp; Salaries - 2'!AP47</f>
        <v/>
      </c>
      <c r="AI70" s="675">
        <f>'Headcount &amp; Salaries - 2'!AQ47</f>
        <v/>
      </c>
      <c r="AJ70" s="675">
        <f>'Headcount &amp; Salaries - 2'!AR47</f>
        <v/>
      </c>
      <c r="AK70" s="675">
        <f>'Headcount &amp; Salaries - 2'!AS47</f>
        <v/>
      </c>
      <c r="AL70" s="675">
        <f>'Headcount &amp; Salaries - 2'!AT47</f>
        <v/>
      </c>
      <c r="AM70" s="675">
        <f>'Headcount &amp; Salaries - 2'!AU47</f>
        <v/>
      </c>
      <c r="AN70" s="688">
        <f>'Headcount &amp; Salaries - 2'!AV47</f>
        <v/>
      </c>
      <c r="AO70" s="675">
        <f>'Headcount &amp; Salaries - 2'!AW47</f>
        <v/>
      </c>
      <c r="AP70" s="675">
        <f>'Headcount &amp; Salaries - 2'!AX47</f>
        <v/>
      </c>
      <c r="AQ70" s="675">
        <f>'Headcount &amp; Salaries - 2'!AY47</f>
        <v/>
      </c>
      <c r="AR70" s="675">
        <f>'Headcount &amp; Salaries - 2'!AZ47</f>
        <v/>
      </c>
      <c r="AS70" s="675">
        <f>'Headcount &amp; Salaries - 2'!BA47</f>
        <v/>
      </c>
      <c r="AT70" s="675">
        <f>'Headcount &amp; Salaries - 2'!BB47</f>
        <v/>
      </c>
      <c r="AU70" s="675">
        <f>'Headcount &amp; Salaries - 2'!BC47</f>
        <v/>
      </c>
      <c r="AV70" s="675">
        <f>'Headcount &amp; Salaries - 2'!BD47</f>
        <v/>
      </c>
      <c r="AW70" s="675">
        <f>'Headcount &amp; Salaries - 2'!BE47</f>
        <v/>
      </c>
      <c r="AX70" s="675">
        <f>'Headcount &amp; Salaries - 2'!BF47</f>
        <v/>
      </c>
      <c r="AY70" s="689">
        <f>'Headcount &amp; Salaries - 2'!BG47</f>
        <v/>
      </c>
      <c r="AZ70" s="688">
        <f>'Headcount &amp; Salaries - 2'!BH47</f>
        <v/>
      </c>
      <c r="BA70" s="675">
        <f>'Headcount &amp; Salaries - 2'!BI47</f>
        <v/>
      </c>
      <c r="BB70" s="675">
        <f>'Headcount &amp; Salaries - 2'!BJ47</f>
        <v/>
      </c>
      <c r="BC70" s="675">
        <f>'Headcount &amp; Salaries - 2'!BK47</f>
        <v/>
      </c>
      <c r="BD70" s="675">
        <f>'Headcount &amp; Salaries - 2'!BL47</f>
        <v/>
      </c>
      <c r="BE70" s="675">
        <f>'Headcount &amp; Salaries - 2'!BM47</f>
        <v/>
      </c>
      <c r="BF70" s="675">
        <f>'Headcount &amp; Salaries - 2'!BN47</f>
        <v/>
      </c>
      <c r="BG70" s="675">
        <f>'Headcount &amp; Salaries - 2'!BO47</f>
        <v/>
      </c>
      <c r="BH70" s="675">
        <f>'Headcount &amp; Salaries - 2'!BP47</f>
        <v/>
      </c>
      <c r="BI70" s="675">
        <f>'Headcount &amp; Salaries - 2'!BQ47</f>
        <v/>
      </c>
      <c r="BJ70" s="675">
        <f>'Headcount &amp; Salaries - 2'!BR47</f>
        <v/>
      </c>
      <c r="BK70" s="675">
        <f>'Headcount &amp; Salaries - 2'!BS47</f>
        <v/>
      </c>
      <c r="BL70" s="688">
        <f>'Headcount &amp; Salaries - 2'!BT47</f>
        <v/>
      </c>
      <c r="BM70" s="675">
        <f>'Headcount &amp; Salaries - 2'!BU47</f>
        <v/>
      </c>
      <c r="BN70" s="675">
        <f>'Headcount &amp; Salaries - 2'!BV47</f>
        <v/>
      </c>
      <c r="BO70" s="675">
        <f>'Headcount &amp; Salaries - 2'!BW47</f>
        <v/>
      </c>
      <c r="BP70" s="675">
        <f>'Headcount &amp; Salaries - 2'!BX47</f>
        <v/>
      </c>
      <c r="BQ70" s="675">
        <f>'Headcount &amp; Salaries - 2'!BY47</f>
        <v/>
      </c>
      <c r="BR70" s="675">
        <f>'Headcount &amp; Salaries - 2'!BZ47</f>
        <v/>
      </c>
      <c r="BS70" s="675">
        <f>'Headcount &amp; Salaries - 2'!CA47</f>
        <v/>
      </c>
      <c r="BT70" s="675">
        <f>'Headcount &amp; Salaries - 2'!CB47</f>
        <v/>
      </c>
      <c r="BU70" s="675">
        <f>'Headcount &amp; Salaries - 2'!CC47</f>
        <v/>
      </c>
      <c r="BV70" s="675">
        <f>'Headcount &amp; Salaries - 2'!CD47</f>
        <v/>
      </c>
      <c r="BW70" s="675">
        <f>'Headcount &amp; Salaries - 2'!CE47</f>
        <v/>
      </c>
      <c r="BX70" s="593" t="n"/>
      <c r="BY70" s="593" t="n"/>
      <c r="BZ70" s="593" t="n"/>
      <c r="CA70" s="593" t="n"/>
      <c r="CB70" s="593" t="n"/>
      <c r="CC70" s="593" t="n"/>
      <c r="CD70" s="593" t="n"/>
      <c r="CE70" s="593" t="n"/>
      <c r="CF70" s="593" t="n"/>
      <c r="CG70" s="593" t="n"/>
      <c r="CH70" s="593" t="n"/>
      <c r="CI70" s="593" t="n"/>
      <c r="CJ70" s="593" t="n"/>
      <c r="CK70" s="593" t="n"/>
      <c r="CL70" s="593" t="n"/>
      <c r="CM70" s="593" t="n"/>
      <c r="CN70" s="593" t="n"/>
      <c r="CO70" s="593" t="n"/>
      <c r="CP70" s="593" t="n"/>
      <c r="CQ70" s="593" t="n"/>
      <c r="CR70" s="593" t="n"/>
      <c r="CS70" s="593" t="n"/>
      <c r="CT70" s="593" t="n"/>
      <c r="CU70" s="593" t="n"/>
      <c r="CV70" s="593" t="n"/>
      <c r="CW70" s="593" t="n"/>
      <c r="CX70" s="593" t="n"/>
      <c r="CY70" s="593" t="n"/>
      <c r="CZ70" s="593" t="n"/>
      <c r="DA70" s="593" t="n"/>
      <c r="DB70" s="593" t="n"/>
      <c r="DC70" s="593" t="n"/>
      <c r="DD70" s="593" t="n"/>
      <c r="DE70" s="593" t="n"/>
      <c r="DF70" s="593" t="n"/>
      <c r="DG70" s="593" t="n"/>
      <c r="DH70" s="593" t="n"/>
      <c r="DI70" s="593" t="n"/>
      <c r="DJ70" s="593" t="n"/>
      <c r="DK70" s="593" t="n"/>
      <c r="DL70" s="593" t="n"/>
      <c r="DM70" s="593" t="n"/>
      <c r="DN70" s="593" t="n"/>
      <c r="DO70" s="593" t="n"/>
      <c r="DP70" s="593" t="n"/>
      <c r="DQ70" s="593" t="n"/>
      <c r="DR70" s="593" t="n"/>
      <c r="DS70" s="593" t="n"/>
      <c r="DT70" s="593" t="n"/>
      <c r="DU70" s="593" t="n"/>
      <c r="DV70" s="593" t="n"/>
      <c r="DW70" s="593" t="n"/>
      <c r="DX70" s="593" t="n"/>
      <c r="DY70" s="593" t="n"/>
      <c r="DZ70" s="593" t="n"/>
      <c r="EA70" s="593" t="n"/>
      <c r="EB70" s="593" t="n"/>
      <c r="EC70" s="593" t="n"/>
      <c r="ED70" s="593" t="n"/>
      <c r="EE70" s="593" t="n"/>
      <c r="EF70" s="593" t="n"/>
      <c r="EG70" s="593" t="n"/>
      <c r="EH70" s="593" t="n"/>
      <c r="EI70" s="593" t="n"/>
      <c r="EJ70" s="593" t="n"/>
      <c r="EK70" s="593" t="n"/>
      <c r="EL70" s="593" t="n"/>
      <c r="EM70" s="593" t="n"/>
      <c r="EN70" s="593" t="n"/>
      <c r="EO70" s="593" t="n"/>
      <c r="EP70" s="593" t="n"/>
      <c r="EQ70" s="593" t="n"/>
      <c r="ER70" s="593" t="n"/>
      <c r="ES70" s="593" t="n"/>
      <c r="ET70" s="593" t="n"/>
      <c r="EU70" s="593" t="n"/>
      <c r="EV70" s="593" t="n"/>
      <c r="EW70" s="593" t="n"/>
      <c r="EX70" s="593" t="n"/>
      <c r="EY70" s="593" t="n"/>
      <c r="EZ70" s="593" t="n"/>
      <c r="FA70" s="593" t="n"/>
      <c r="FB70" s="593" t="n"/>
      <c r="FC70" s="593" t="n"/>
      <c r="FD70" s="593" t="n"/>
      <c r="FE70" s="593" t="n"/>
      <c r="FF70" s="593" t="n"/>
      <c r="FG70" s="593" t="n"/>
      <c r="FH70" s="593" t="n"/>
      <c r="FI70" s="593" t="n"/>
      <c r="FJ70" s="593" t="n"/>
      <c r="FK70" s="593" t="n"/>
      <c r="FL70" s="593" t="n"/>
      <c r="FM70" s="593" t="n"/>
      <c r="FN70" s="593" t="n"/>
      <c r="FO70" s="593" t="n"/>
      <c r="FP70" s="593" t="n"/>
      <c r="FQ70" s="593" t="n"/>
      <c r="FR70" s="593" t="n"/>
      <c r="FS70" s="593" t="n"/>
      <c r="FT70" s="593" t="n"/>
      <c r="FU70" s="593" t="n"/>
      <c r="FV70" s="593" t="n"/>
      <c r="FW70" s="593" t="n"/>
      <c r="FX70" s="593" t="n"/>
      <c r="FY70" s="593" t="n"/>
      <c r="FZ70" s="593" t="n"/>
      <c r="GA70" s="593" t="n"/>
      <c r="GB70" s="593" t="n"/>
      <c r="GC70" s="593" t="n"/>
      <c r="GD70" s="593" t="n"/>
      <c r="GE70" s="593" t="n"/>
      <c r="GF70" s="593" t="n"/>
      <c r="GG70" s="593" t="n"/>
      <c r="GH70" s="593" t="n"/>
      <c r="GI70" s="593" t="n"/>
      <c r="GJ70" s="593" t="n"/>
      <c r="GK70" s="593" t="n"/>
      <c r="GL70" s="593" t="n"/>
      <c r="GM70" s="593" t="n"/>
      <c r="GN70" s="593" t="n"/>
      <c r="GO70" s="593" t="n"/>
      <c r="GP70" s="593" t="n"/>
      <c r="GQ70" s="593" t="n"/>
      <c r="GR70" s="593" t="n"/>
      <c r="GS70" s="593" t="n"/>
      <c r="GT70" s="593" t="n"/>
      <c r="GU70" s="593" t="n"/>
      <c r="GV70" s="593" t="n"/>
      <c r="GW70" s="593" t="n"/>
      <c r="GX70" s="593" t="n"/>
      <c r="GY70" s="593" t="n"/>
    </row>
    <row r="71" ht="15" customHeight="1" s="1883">
      <c r="A71" s="383" t="n"/>
      <c r="B71" s="383" t="n"/>
      <c r="C71" s="383" t="n"/>
      <c r="D71" s="390" t="inlineStr">
        <is>
          <t>●</t>
        </is>
      </c>
      <c r="E71" s="545" t="inlineStr">
        <is>
          <t>Operations Team</t>
        </is>
      </c>
      <c r="F71" s="383" t="n"/>
      <c r="G71" s="383" t="n"/>
      <c r="H71" s="383" t="n"/>
      <c r="I71" s="383" t="n"/>
      <c r="J71" s="462">
        <f>'Headcount &amp; Salaries - 2'!G48</f>
        <v/>
      </c>
      <c r="K71" s="462">
        <f>'Headcount &amp; Salaries - 2'!H48</f>
        <v/>
      </c>
      <c r="L71" s="462">
        <f>'Headcount &amp; Salaries - 2'!I48</f>
        <v/>
      </c>
      <c r="M71" s="462">
        <f>'Headcount &amp; Salaries - 2'!J48</f>
        <v/>
      </c>
      <c r="N71" s="462">
        <f>'Headcount &amp; Salaries - 2'!K48</f>
        <v/>
      </c>
      <c r="O71" s="383" t="n"/>
      <c r="P71" s="384">
        <f>'Headcount &amp; Salaries - 2'!X48</f>
        <v/>
      </c>
      <c r="Q71" s="384">
        <f>'Headcount &amp; Salaries - 2'!Y48</f>
        <v/>
      </c>
      <c r="R71" s="384">
        <f>'Headcount &amp; Salaries - 2'!Z48</f>
        <v/>
      </c>
      <c r="S71" s="384">
        <f>'Headcount &amp; Salaries - 2'!AA48</f>
        <v/>
      </c>
      <c r="T71" s="384">
        <f>'Headcount &amp; Salaries - 2'!AB48</f>
        <v/>
      </c>
      <c r="U71" s="384">
        <f>'Headcount &amp; Salaries - 2'!AC48</f>
        <v/>
      </c>
      <c r="V71" s="384">
        <f>'Headcount &amp; Salaries - 2'!AD48</f>
        <v/>
      </c>
      <c r="W71" s="384">
        <f>'Headcount &amp; Salaries - 2'!AE48</f>
        <v/>
      </c>
      <c r="X71" s="384">
        <f>'Headcount &amp; Salaries - 2'!AF48</f>
        <v/>
      </c>
      <c r="Y71" s="384">
        <f>'Headcount &amp; Salaries - 2'!AG48</f>
        <v/>
      </c>
      <c r="Z71" s="384">
        <f>'Headcount &amp; Salaries - 2'!AH48</f>
        <v/>
      </c>
      <c r="AA71" s="384">
        <f>'Headcount &amp; Salaries - 2'!AI48</f>
        <v/>
      </c>
      <c r="AB71" s="542">
        <f>'Headcount &amp; Salaries - 2'!AJ48</f>
        <v/>
      </c>
      <c r="AC71" s="384">
        <f>'Headcount &amp; Salaries - 2'!AK48</f>
        <v/>
      </c>
      <c r="AD71" s="384">
        <f>'Headcount &amp; Salaries - 2'!AL48</f>
        <v/>
      </c>
      <c r="AE71" s="384">
        <f>'Headcount &amp; Salaries - 2'!AM48</f>
        <v/>
      </c>
      <c r="AF71" s="384">
        <f>'Headcount &amp; Salaries - 2'!AN48</f>
        <v/>
      </c>
      <c r="AG71" s="384">
        <f>'Headcount &amp; Salaries - 2'!AO48</f>
        <v/>
      </c>
      <c r="AH71" s="384">
        <f>'Headcount &amp; Salaries - 2'!AP48</f>
        <v/>
      </c>
      <c r="AI71" s="384">
        <f>'Headcount &amp; Salaries - 2'!AQ48</f>
        <v/>
      </c>
      <c r="AJ71" s="384">
        <f>'Headcount &amp; Salaries - 2'!AR48</f>
        <v/>
      </c>
      <c r="AK71" s="384">
        <f>'Headcount &amp; Salaries - 2'!AS48</f>
        <v/>
      </c>
      <c r="AL71" s="384">
        <f>'Headcount &amp; Salaries - 2'!AT48</f>
        <v/>
      </c>
      <c r="AM71" s="384">
        <f>'Headcount &amp; Salaries - 2'!AU48</f>
        <v/>
      </c>
      <c r="AN71" s="542">
        <f>'Headcount &amp; Salaries - 2'!AV48</f>
        <v/>
      </c>
      <c r="AO71" s="384">
        <f>'Headcount &amp; Salaries - 2'!AW48</f>
        <v/>
      </c>
      <c r="AP71" s="384">
        <f>'Headcount &amp; Salaries - 2'!AX48</f>
        <v/>
      </c>
      <c r="AQ71" s="384">
        <f>'Headcount &amp; Salaries - 2'!AY48</f>
        <v/>
      </c>
      <c r="AR71" s="384">
        <f>'Headcount &amp; Salaries - 2'!AZ48</f>
        <v/>
      </c>
      <c r="AS71" s="384">
        <f>'Headcount &amp; Salaries - 2'!BA48</f>
        <v/>
      </c>
      <c r="AT71" s="384">
        <f>'Headcount &amp; Salaries - 2'!BB48</f>
        <v/>
      </c>
      <c r="AU71" s="384">
        <f>'Headcount &amp; Salaries - 2'!BC48</f>
        <v/>
      </c>
      <c r="AV71" s="384">
        <f>'Headcount &amp; Salaries - 2'!BD48</f>
        <v/>
      </c>
      <c r="AW71" s="384">
        <f>'Headcount &amp; Salaries - 2'!BE48</f>
        <v/>
      </c>
      <c r="AX71" s="384">
        <f>'Headcount &amp; Salaries - 2'!BF48</f>
        <v/>
      </c>
      <c r="AY71" s="565">
        <f>'Headcount &amp; Salaries - 2'!BG48</f>
        <v/>
      </c>
      <c r="AZ71" s="542">
        <f>'Headcount &amp; Salaries - 2'!BH48</f>
        <v/>
      </c>
      <c r="BA71" s="384">
        <f>'Headcount &amp; Salaries - 2'!BI48</f>
        <v/>
      </c>
      <c r="BB71" s="384">
        <f>'Headcount &amp; Salaries - 2'!BJ48</f>
        <v/>
      </c>
      <c r="BC71" s="384">
        <f>'Headcount &amp; Salaries - 2'!BK48</f>
        <v/>
      </c>
      <c r="BD71" s="384">
        <f>'Headcount &amp; Salaries - 2'!BL48</f>
        <v/>
      </c>
      <c r="BE71" s="384">
        <f>'Headcount &amp; Salaries - 2'!BM48</f>
        <v/>
      </c>
      <c r="BF71" s="384">
        <f>'Headcount &amp; Salaries - 2'!BN48</f>
        <v/>
      </c>
      <c r="BG71" s="384">
        <f>'Headcount &amp; Salaries - 2'!BO48</f>
        <v/>
      </c>
      <c r="BH71" s="384">
        <f>'Headcount &amp; Salaries - 2'!BP48</f>
        <v/>
      </c>
      <c r="BI71" s="384">
        <f>'Headcount &amp; Salaries - 2'!BQ48</f>
        <v/>
      </c>
      <c r="BJ71" s="384">
        <f>'Headcount &amp; Salaries - 2'!BR48</f>
        <v/>
      </c>
      <c r="BK71" s="384">
        <f>'Headcount &amp; Salaries - 2'!BS48</f>
        <v/>
      </c>
      <c r="BL71" s="542">
        <f>'Headcount &amp; Salaries - 2'!BT48</f>
        <v/>
      </c>
      <c r="BM71" s="384">
        <f>'Headcount &amp; Salaries - 2'!BU48</f>
        <v/>
      </c>
      <c r="BN71" s="384">
        <f>'Headcount &amp; Salaries - 2'!BV48</f>
        <v/>
      </c>
      <c r="BO71" s="384">
        <f>'Headcount &amp; Salaries - 2'!BW48</f>
        <v/>
      </c>
      <c r="BP71" s="384">
        <f>'Headcount &amp; Salaries - 2'!BX48</f>
        <v/>
      </c>
      <c r="BQ71" s="384">
        <f>'Headcount &amp; Salaries - 2'!BY48</f>
        <v/>
      </c>
      <c r="BR71" s="384">
        <f>'Headcount &amp; Salaries - 2'!BZ48</f>
        <v/>
      </c>
      <c r="BS71" s="384">
        <f>'Headcount &amp; Salaries - 2'!CA48</f>
        <v/>
      </c>
      <c r="BT71" s="384">
        <f>'Headcount &amp; Salaries - 2'!CB48</f>
        <v/>
      </c>
      <c r="BU71" s="384">
        <f>'Headcount &amp; Salaries - 2'!CC48</f>
        <v/>
      </c>
      <c r="BV71" s="384">
        <f>'Headcount &amp; Salaries - 2'!CD48</f>
        <v/>
      </c>
      <c r="BW71" s="384">
        <f>'Headcount &amp; Salaries - 2'!CE48</f>
        <v/>
      </c>
      <c r="BX71" s="383" t="n"/>
      <c r="BY71" s="383" t="n"/>
      <c r="BZ71" s="383" t="n"/>
      <c r="CA71" s="383" t="n"/>
      <c r="CB71" s="383" t="n"/>
      <c r="CC71" s="383" t="n"/>
      <c r="CD71" s="383" t="n"/>
      <c r="CE71" s="383" t="n"/>
      <c r="CF71" s="383" t="n"/>
      <c r="CG71" s="383" t="n"/>
      <c r="CH71" s="383" t="n"/>
      <c r="CI71" s="383" t="n"/>
      <c r="CJ71" s="383" t="n"/>
      <c r="CK71" s="383" t="n"/>
      <c r="CL71" s="383" t="n"/>
      <c r="CM71" s="383" t="n"/>
      <c r="CN71" s="383" t="n"/>
      <c r="CO71" s="383" t="n"/>
      <c r="CP71" s="383" t="n"/>
      <c r="CQ71" s="383" t="n"/>
      <c r="CR71" s="383" t="n"/>
      <c r="CS71" s="383" t="n"/>
      <c r="CT71" s="383" t="n"/>
      <c r="CU71" s="383" t="n"/>
      <c r="CV71" s="383" t="n"/>
      <c r="CW71" s="383" t="n"/>
      <c r="CX71" s="383" t="n"/>
      <c r="CY71" s="383" t="n"/>
      <c r="CZ71" s="383" t="n"/>
      <c r="DA71" s="383" t="n"/>
      <c r="DB71" s="383" t="n"/>
      <c r="DC71" s="383" t="n"/>
      <c r="DD71" s="383" t="n"/>
      <c r="DE71" s="383" t="n"/>
      <c r="DF71" s="383" t="n"/>
      <c r="DG71" s="383" t="n"/>
      <c r="DH71" s="383" t="n"/>
      <c r="DI71" s="383" t="n"/>
      <c r="DJ71" s="383" t="n"/>
      <c r="DK71" s="383" t="n"/>
      <c r="DL71" s="383" t="n"/>
      <c r="DM71" s="383" t="n"/>
      <c r="DN71" s="383" t="n"/>
      <c r="DO71" s="383" t="n"/>
      <c r="DP71" s="383" t="n"/>
      <c r="DQ71" s="383" t="n"/>
      <c r="DR71" s="383" t="n"/>
      <c r="DS71" s="383" t="n"/>
      <c r="DT71" s="383" t="n"/>
      <c r="DU71" s="383" t="n"/>
      <c r="DV71" s="383" t="n"/>
      <c r="DW71" s="383" t="n"/>
      <c r="DX71" s="383" t="n"/>
      <c r="DY71" s="383" t="n"/>
      <c r="DZ71" s="383" t="n"/>
      <c r="EA71" s="383" t="n"/>
      <c r="EB71" s="383" t="n"/>
      <c r="EC71" s="383" t="n"/>
      <c r="ED71" s="383" t="n"/>
      <c r="EE71" s="383" t="n"/>
      <c r="EF71" s="383" t="n"/>
      <c r="EG71" s="383" t="n"/>
      <c r="EH71" s="383" t="n"/>
      <c r="EI71" s="383" t="n"/>
      <c r="EJ71" s="383" t="n"/>
      <c r="EK71" s="383" t="n"/>
      <c r="EL71" s="383" t="n"/>
      <c r="EM71" s="383" t="n"/>
      <c r="EN71" s="383" t="n"/>
      <c r="EO71" s="383" t="n"/>
      <c r="EP71" s="383" t="n"/>
      <c r="EQ71" s="383" t="n"/>
      <c r="ER71" s="383" t="n"/>
      <c r="ES71" s="383" t="n"/>
      <c r="ET71" s="383" t="n"/>
      <c r="EU71" s="383" t="n"/>
      <c r="EV71" s="383" t="n"/>
      <c r="EW71" s="383" t="n"/>
      <c r="EX71" s="383" t="n"/>
      <c r="EY71" s="383" t="n"/>
      <c r="EZ71" s="383" t="n"/>
      <c r="FA71" s="383" t="n"/>
      <c r="FB71" s="383" t="n"/>
      <c r="FC71" s="383" t="n"/>
      <c r="FD71" s="383" t="n"/>
      <c r="FE71" s="383" t="n"/>
      <c r="FF71" s="383" t="n"/>
      <c r="FG71" s="383" t="n"/>
      <c r="FH71" s="383" t="n"/>
      <c r="FI71" s="383" t="n"/>
      <c r="FJ71" s="383" t="n"/>
      <c r="FK71" s="383" t="n"/>
      <c r="FL71" s="383" t="n"/>
      <c r="FM71" s="383" t="n"/>
      <c r="FN71" s="383" t="n"/>
      <c r="FO71" s="383" t="n"/>
      <c r="FP71" s="383" t="n"/>
      <c r="FQ71" s="383" t="n"/>
      <c r="FR71" s="383" t="n"/>
      <c r="FS71" s="383" t="n"/>
      <c r="FT71" s="383" t="n"/>
      <c r="FU71" s="383" t="n"/>
      <c r="FV71" s="383" t="n"/>
      <c r="FW71" s="383" t="n"/>
      <c r="FX71" s="383" t="n"/>
      <c r="FY71" s="383" t="n"/>
      <c r="FZ71" s="383" t="n"/>
      <c r="GA71" s="383" t="n"/>
      <c r="GB71" s="383" t="n"/>
      <c r="GC71" s="383" t="n"/>
      <c r="GD71" s="383" t="n"/>
      <c r="GE71" s="383" t="n"/>
      <c r="GF71" s="383" t="n"/>
      <c r="GG71" s="383" t="n"/>
      <c r="GH71" s="383" t="n"/>
      <c r="GI71" s="383" t="n"/>
      <c r="GJ71" s="383" t="n"/>
      <c r="GK71" s="383" t="n"/>
      <c r="GL71" s="383" t="n"/>
      <c r="GM71" s="383" t="n"/>
      <c r="GN71" s="383" t="n"/>
      <c r="GO71" s="383" t="n"/>
      <c r="GP71" s="383" t="n"/>
      <c r="GQ71" s="383" t="n"/>
      <c r="GR71" s="383" t="n"/>
      <c r="GS71" s="383" t="n"/>
      <c r="GT71" s="383" t="n"/>
      <c r="GU71" s="383" t="n"/>
      <c r="GV71" s="383" t="n"/>
      <c r="GW71" s="383" t="n"/>
      <c r="GX71" s="383" t="n"/>
      <c r="GY71" s="383" t="n"/>
    </row>
    <row r="72" ht="15" customHeight="1" s="1883">
      <c r="A72" s="383" t="n"/>
      <c r="B72" s="383" t="n"/>
      <c r="C72" s="383" t="n"/>
      <c r="D72" s="390" t="inlineStr">
        <is>
          <t>●</t>
        </is>
      </c>
      <c r="E72" s="545" t="inlineStr">
        <is>
          <t xml:space="preserve">Finance Team </t>
        </is>
      </c>
      <c r="F72" s="383" t="n"/>
      <c r="G72" s="383" t="n"/>
      <c r="H72" s="383" t="n"/>
      <c r="I72" s="383" t="n"/>
      <c r="J72" s="462">
        <f>'Headcount &amp; Salaries - 2'!G49</f>
        <v/>
      </c>
      <c r="K72" s="462">
        <f>'Headcount &amp; Salaries - 2'!H49</f>
        <v/>
      </c>
      <c r="L72" s="462">
        <f>'Headcount &amp; Salaries - 2'!I49</f>
        <v/>
      </c>
      <c r="M72" s="462">
        <f>'Headcount &amp; Salaries - 2'!J49</f>
        <v/>
      </c>
      <c r="N72" s="462">
        <f>'Headcount &amp; Salaries - 2'!K49</f>
        <v/>
      </c>
      <c r="O72" s="383" t="n"/>
      <c r="P72" s="384" t="n">
        <v>3</v>
      </c>
      <c r="Q72" s="384" t="n">
        <v>3</v>
      </c>
      <c r="R72" s="384" t="n">
        <v>3</v>
      </c>
      <c r="S72" s="384" t="n">
        <v>5</v>
      </c>
      <c r="T72" s="384" t="n">
        <v>5</v>
      </c>
      <c r="U72" s="384" t="n">
        <v>5</v>
      </c>
      <c r="V72" s="384" t="n">
        <v>7</v>
      </c>
      <c r="W72" s="384" t="n">
        <v>7</v>
      </c>
      <c r="X72" s="384" t="n">
        <v>7</v>
      </c>
      <c r="Y72" s="384" t="n">
        <v>11</v>
      </c>
      <c r="Z72" s="384" t="n">
        <v>11</v>
      </c>
      <c r="AA72" s="384" t="n">
        <v>11</v>
      </c>
      <c r="AB72" s="542">
        <f>'Headcount &amp; Salaries - 2'!AJ49</f>
        <v/>
      </c>
      <c r="AC72" s="384">
        <f>'Headcount &amp; Salaries - 2'!AK49</f>
        <v/>
      </c>
      <c r="AD72" s="384">
        <f>'Headcount &amp; Salaries - 2'!AL49</f>
        <v/>
      </c>
      <c r="AE72" s="384">
        <f>'Headcount &amp; Salaries - 2'!AM49</f>
        <v/>
      </c>
      <c r="AF72" s="384">
        <f>'Headcount &amp; Salaries - 2'!AN49</f>
        <v/>
      </c>
      <c r="AG72" s="384">
        <f>'Headcount &amp; Salaries - 2'!AO49</f>
        <v/>
      </c>
      <c r="AH72" s="384">
        <f>'Headcount &amp; Salaries - 2'!AP49</f>
        <v/>
      </c>
      <c r="AI72" s="384">
        <f>'Headcount &amp; Salaries - 2'!AQ49</f>
        <v/>
      </c>
      <c r="AJ72" s="384">
        <f>'Headcount &amp; Salaries - 2'!AR49</f>
        <v/>
      </c>
      <c r="AK72" s="384">
        <f>'Headcount &amp; Salaries - 2'!AS49</f>
        <v/>
      </c>
      <c r="AL72" s="384">
        <f>'Headcount &amp; Salaries - 2'!AT49</f>
        <v/>
      </c>
      <c r="AM72" s="384">
        <f>'Headcount &amp; Salaries - 2'!AU49</f>
        <v/>
      </c>
      <c r="AN72" s="542">
        <f>'Headcount &amp; Salaries - 2'!AV49</f>
        <v/>
      </c>
      <c r="AO72" s="384">
        <f>'Headcount &amp; Salaries - 2'!AW49</f>
        <v/>
      </c>
      <c r="AP72" s="384">
        <f>'Headcount &amp; Salaries - 2'!AX49</f>
        <v/>
      </c>
      <c r="AQ72" s="384">
        <f>'Headcount &amp; Salaries - 2'!AY49</f>
        <v/>
      </c>
      <c r="AR72" s="384">
        <f>'Headcount &amp; Salaries - 2'!AZ49</f>
        <v/>
      </c>
      <c r="AS72" s="384">
        <f>'Headcount &amp; Salaries - 2'!BA49</f>
        <v/>
      </c>
      <c r="AT72" s="384">
        <f>'Headcount &amp; Salaries - 2'!BB49</f>
        <v/>
      </c>
      <c r="AU72" s="384">
        <f>'Headcount &amp; Salaries - 2'!BC49</f>
        <v/>
      </c>
      <c r="AV72" s="384">
        <f>'Headcount &amp; Salaries - 2'!BD49</f>
        <v/>
      </c>
      <c r="AW72" s="384">
        <f>'Headcount &amp; Salaries - 2'!BE49</f>
        <v/>
      </c>
      <c r="AX72" s="384">
        <f>'Headcount &amp; Salaries - 2'!BF49</f>
        <v/>
      </c>
      <c r="AY72" s="565">
        <f>'Headcount &amp; Salaries - 2'!BG49</f>
        <v/>
      </c>
      <c r="AZ72" s="542">
        <f>'Headcount &amp; Salaries - 2'!BH49</f>
        <v/>
      </c>
      <c r="BA72" s="384">
        <f>'Headcount &amp; Salaries - 2'!BI49</f>
        <v/>
      </c>
      <c r="BB72" s="384">
        <f>'Headcount &amp; Salaries - 2'!BJ49</f>
        <v/>
      </c>
      <c r="BC72" s="384">
        <f>'Headcount &amp; Salaries - 2'!BK49</f>
        <v/>
      </c>
      <c r="BD72" s="384">
        <f>'Headcount &amp; Salaries - 2'!BL49</f>
        <v/>
      </c>
      <c r="BE72" s="384">
        <f>'Headcount &amp; Salaries - 2'!BM49</f>
        <v/>
      </c>
      <c r="BF72" s="384">
        <f>'Headcount &amp; Salaries - 2'!BN49</f>
        <v/>
      </c>
      <c r="BG72" s="384">
        <f>'Headcount &amp; Salaries - 2'!BO49</f>
        <v/>
      </c>
      <c r="BH72" s="384">
        <f>'Headcount &amp; Salaries - 2'!BP49</f>
        <v/>
      </c>
      <c r="BI72" s="384">
        <f>'Headcount &amp; Salaries - 2'!BQ49</f>
        <v/>
      </c>
      <c r="BJ72" s="384">
        <f>'Headcount &amp; Salaries - 2'!BR49</f>
        <v/>
      </c>
      <c r="BK72" s="384">
        <f>'Headcount &amp; Salaries - 2'!BS49</f>
        <v/>
      </c>
      <c r="BL72" s="542">
        <f>'Headcount &amp; Salaries - 2'!BT49</f>
        <v/>
      </c>
      <c r="BM72" s="384">
        <f>'Headcount &amp; Salaries - 2'!BU49</f>
        <v/>
      </c>
      <c r="BN72" s="384">
        <f>'Headcount &amp; Salaries - 2'!BV49</f>
        <v/>
      </c>
      <c r="BO72" s="384">
        <f>'Headcount &amp; Salaries - 2'!BW49</f>
        <v/>
      </c>
      <c r="BP72" s="384">
        <f>'Headcount &amp; Salaries - 2'!BX49</f>
        <v/>
      </c>
      <c r="BQ72" s="384">
        <f>'Headcount &amp; Salaries - 2'!BY49</f>
        <v/>
      </c>
      <c r="BR72" s="384">
        <f>'Headcount &amp; Salaries - 2'!BZ49</f>
        <v/>
      </c>
      <c r="BS72" s="384">
        <f>'Headcount &amp; Salaries - 2'!CA49</f>
        <v/>
      </c>
      <c r="BT72" s="384">
        <f>'Headcount &amp; Salaries - 2'!CB49</f>
        <v/>
      </c>
      <c r="BU72" s="384">
        <f>'Headcount &amp; Salaries - 2'!CC49</f>
        <v/>
      </c>
      <c r="BV72" s="384">
        <f>'Headcount &amp; Salaries - 2'!CD49</f>
        <v/>
      </c>
      <c r="BW72" s="384">
        <f>'Headcount &amp; Salaries - 2'!CE49</f>
        <v/>
      </c>
      <c r="BX72" s="383" t="n"/>
      <c r="BY72" s="383" t="n"/>
      <c r="BZ72" s="383" t="n"/>
      <c r="CA72" s="383" t="n"/>
      <c r="CB72" s="383" t="n"/>
      <c r="CC72" s="383" t="n"/>
      <c r="CD72" s="383" t="n"/>
      <c r="CE72" s="383" t="n"/>
      <c r="CF72" s="383" t="n"/>
      <c r="CG72" s="383" t="n"/>
      <c r="CH72" s="383" t="n"/>
      <c r="CI72" s="383" t="n"/>
      <c r="CJ72" s="383" t="n"/>
      <c r="CK72" s="383" t="n"/>
      <c r="CL72" s="383" t="n"/>
      <c r="CM72" s="383" t="n"/>
      <c r="CN72" s="383" t="n"/>
      <c r="CO72" s="383" t="n"/>
      <c r="CP72" s="383" t="n"/>
      <c r="CQ72" s="383" t="n"/>
      <c r="CR72" s="383" t="n"/>
      <c r="CS72" s="383" t="n"/>
      <c r="CT72" s="383" t="n"/>
      <c r="CU72" s="383" t="n"/>
      <c r="CV72" s="383" t="n"/>
      <c r="CW72" s="383" t="n"/>
      <c r="CX72" s="383" t="n"/>
      <c r="CY72" s="383" t="n"/>
      <c r="CZ72" s="383" t="n"/>
      <c r="DA72" s="383" t="n"/>
      <c r="DB72" s="383" t="n"/>
      <c r="DC72" s="383" t="n"/>
      <c r="DD72" s="383" t="n"/>
      <c r="DE72" s="383" t="n"/>
      <c r="DF72" s="383" t="n"/>
      <c r="DG72" s="383" t="n"/>
      <c r="DH72" s="383" t="n"/>
      <c r="DI72" s="383" t="n"/>
      <c r="DJ72" s="383" t="n"/>
      <c r="DK72" s="383" t="n"/>
      <c r="DL72" s="383" t="n"/>
      <c r="DM72" s="383" t="n"/>
      <c r="DN72" s="383" t="n"/>
      <c r="DO72" s="383" t="n"/>
      <c r="DP72" s="383" t="n"/>
      <c r="DQ72" s="383" t="n"/>
      <c r="DR72" s="383" t="n"/>
      <c r="DS72" s="383" t="n"/>
      <c r="DT72" s="383" t="n"/>
      <c r="DU72" s="383" t="n"/>
      <c r="DV72" s="383" t="n"/>
      <c r="DW72" s="383" t="n"/>
      <c r="DX72" s="383" t="n"/>
      <c r="DY72" s="383" t="n"/>
      <c r="DZ72" s="383" t="n"/>
      <c r="EA72" s="383" t="n"/>
      <c r="EB72" s="383" t="n"/>
      <c r="EC72" s="383" t="n"/>
      <c r="ED72" s="383" t="n"/>
      <c r="EE72" s="383" t="n"/>
      <c r="EF72" s="383" t="n"/>
      <c r="EG72" s="383" t="n"/>
      <c r="EH72" s="383" t="n"/>
      <c r="EI72" s="383" t="n"/>
      <c r="EJ72" s="383" t="n"/>
      <c r="EK72" s="383" t="n"/>
      <c r="EL72" s="383" t="n"/>
      <c r="EM72" s="383" t="n"/>
      <c r="EN72" s="383" t="n"/>
      <c r="EO72" s="383" t="n"/>
      <c r="EP72" s="383" t="n"/>
      <c r="EQ72" s="383" t="n"/>
      <c r="ER72" s="383" t="n"/>
      <c r="ES72" s="383" t="n"/>
      <c r="ET72" s="383" t="n"/>
      <c r="EU72" s="383" t="n"/>
      <c r="EV72" s="383" t="n"/>
      <c r="EW72" s="383" t="n"/>
      <c r="EX72" s="383" t="n"/>
      <c r="EY72" s="383" t="n"/>
      <c r="EZ72" s="383" t="n"/>
      <c r="FA72" s="383" t="n"/>
      <c r="FB72" s="383" t="n"/>
      <c r="FC72" s="383" t="n"/>
      <c r="FD72" s="383" t="n"/>
      <c r="FE72" s="383" t="n"/>
      <c r="FF72" s="383" t="n"/>
      <c r="FG72" s="383" t="n"/>
      <c r="FH72" s="383" t="n"/>
      <c r="FI72" s="383" t="n"/>
      <c r="FJ72" s="383" t="n"/>
      <c r="FK72" s="383" t="n"/>
      <c r="FL72" s="383" t="n"/>
      <c r="FM72" s="383" t="n"/>
      <c r="FN72" s="383" t="n"/>
      <c r="FO72" s="383" t="n"/>
      <c r="FP72" s="383" t="n"/>
      <c r="FQ72" s="383" t="n"/>
      <c r="FR72" s="383" t="n"/>
      <c r="FS72" s="383" t="n"/>
      <c r="FT72" s="383" t="n"/>
      <c r="FU72" s="383" t="n"/>
      <c r="FV72" s="383" t="n"/>
      <c r="FW72" s="383" t="n"/>
      <c r="FX72" s="383" t="n"/>
      <c r="FY72" s="383" t="n"/>
      <c r="FZ72" s="383" t="n"/>
      <c r="GA72" s="383" t="n"/>
      <c r="GB72" s="383" t="n"/>
      <c r="GC72" s="383" t="n"/>
      <c r="GD72" s="383" t="n"/>
      <c r="GE72" s="383" t="n"/>
      <c r="GF72" s="383" t="n"/>
      <c r="GG72" s="383" t="n"/>
      <c r="GH72" s="383" t="n"/>
      <c r="GI72" s="383" t="n"/>
      <c r="GJ72" s="383" t="n"/>
      <c r="GK72" s="383" t="n"/>
      <c r="GL72" s="383" t="n"/>
      <c r="GM72" s="383" t="n"/>
      <c r="GN72" s="383" t="n"/>
      <c r="GO72" s="383" t="n"/>
      <c r="GP72" s="383" t="n"/>
      <c r="GQ72" s="383" t="n"/>
      <c r="GR72" s="383" t="n"/>
      <c r="GS72" s="383" t="n"/>
      <c r="GT72" s="383" t="n"/>
      <c r="GU72" s="383" t="n"/>
      <c r="GV72" s="383" t="n"/>
      <c r="GW72" s="383" t="n"/>
      <c r="GX72" s="383" t="n"/>
      <c r="GY72" s="383" t="n"/>
    </row>
    <row r="73" ht="15" customHeight="1" s="1883">
      <c r="A73" s="383" t="n"/>
      <c r="B73" s="383" t="n"/>
      <c r="C73" s="383" t="n"/>
      <c r="D73" s="390" t="inlineStr">
        <is>
          <t>●</t>
        </is>
      </c>
      <c r="E73" s="545" t="inlineStr">
        <is>
          <t>Product Development Team + Mechanical Engineer</t>
        </is>
      </c>
      <c r="F73" s="383" t="n"/>
      <c r="G73" s="383" t="n"/>
      <c r="H73" s="383" t="n"/>
      <c r="I73" s="383" t="n"/>
      <c r="J73" s="462">
        <f>'Headcount &amp; Salaries - 2'!G50</f>
        <v/>
      </c>
      <c r="K73" s="462">
        <f>'Headcount &amp; Salaries - 2'!H50</f>
        <v/>
      </c>
      <c r="L73" s="462">
        <f>'Headcount &amp; Salaries - 2'!I50</f>
        <v/>
      </c>
      <c r="M73" s="462">
        <f>'Headcount &amp; Salaries - 2'!J50</f>
        <v/>
      </c>
      <c r="N73" s="462">
        <f>'Headcount &amp; Salaries - 2'!K50</f>
        <v/>
      </c>
      <c r="O73" s="383" t="n"/>
      <c r="P73" s="384">
        <f>'Headcount &amp; Salaries - 2'!X50</f>
        <v/>
      </c>
      <c r="Q73" s="384">
        <f>'Headcount &amp; Salaries - 2'!Y50</f>
        <v/>
      </c>
      <c r="R73" s="384">
        <f>'Headcount &amp; Salaries - 2'!Z50</f>
        <v/>
      </c>
      <c r="S73" s="384">
        <f>'Headcount &amp; Salaries - 2'!AA50</f>
        <v/>
      </c>
      <c r="T73" s="384">
        <f>'Headcount &amp; Salaries - 2'!AB50</f>
        <v/>
      </c>
      <c r="U73" s="384">
        <f>'Headcount &amp; Salaries - 2'!AC50</f>
        <v/>
      </c>
      <c r="V73" s="384">
        <f>'Headcount &amp; Salaries - 2'!AD50</f>
        <v/>
      </c>
      <c r="W73" s="384">
        <f>'Headcount &amp; Salaries - 2'!AE50</f>
        <v/>
      </c>
      <c r="X73" s="384">
        <f>'Headcount &amp; Salaries - 2'!AF50</f>
        <v/>
      </c>
      <c r="Y73" s="384">
        <f>'Headcount &amp; Salaries - 2'!AG50</f>
        <v/>
      </c>
      <c r="Z73" s="384">
        <f>'Headcount &amp; Salaries - 2'!AH50</f>
        <v/>
      </c>
      <c r="AA73" s="384">
        <f>'Headcount &amp; Salaries - 2'!AI50</f>
        <v/>
      </c>
      <c r="AB73" s="542">
        <f>'Headcount &amp; Salaries - 2'!AJ50</f>
        <v/>
      </c>
      <c r="AC73" s="384">
        <f>'Headcount &amp; Salaries - 2'!AK50</f>
        <v/>
      </c>
      <c r="AD73" s="384">
        <f>'Headcount &amp; Salaries - 2'!AL50</f>
        <v/>
      </c>
      <c r="AE73" s="384">
        <f>'Headcount &amp; Salaries - 2'!AM50</f>
        <v/>
      </c>
      <c r="AF73" s="384">
        <f>'Headcount &amp; Salaries - 2'!AN50</f>
        <v/>
      </c>
      <c r="AG73" s="384">
        <f>'Headcount &amp; Salaries - 2'!AO50</f>
        <v/>
      </c>
      <c r="AH73" s="384">
        <f>'Headcount &amp; Salaries - 2'!AP50</f>
        <v/>
      </c>
      <c r="AI73" s="384">
        <f>'Headcount &amp; Salaries - 2'!AQ50</f>
        <v/>
      </c>
      <c r="AJ73" s="384">
        <f>'Headcount &amp; Salaries - 2'!AR50</f>
        <v/>
      </c>
      <c r="AK73" s="384">
        <f>'Headcount &amp; Salaries - 2'!AS50</f>
        <v/>
      </c>
      <c r="AL73" s="384">
        <f>'Headcount &amp; Salaries - 2'!AT50</f>
        <v/>
      </c>
      <c r="AM73" s="384">
        <f>'Headcount &amp; Salaries - 2'!AU50</f>
        <v/>
      </c>
      <c r="AN73" s="542">
        <f>'Headcount &amp; Salaries - 2'!AV50</f>
        <v/>
      </c>
      <c r="AO73" s="384">
        <f>'Headcount &amp; Salaries - 2'!AW50</f>
        <v/>
      </c>
      <c r="AP73" s="384">
        <f>'Headcount &amp; Salaries - 2'!AX50</f>
        <v/>
      </c>
      <c r="AQ73" s="384">
        <f>'Headcount &amp; Salaries - 2'!AY50</f>
        <v/>
      </c>
      <c r="AR73" s="384">
        <f>'Headcount &amp; Salaries - 2'!AZ50</f>
        <v/>
      </c>
      <c r="AS73" s="384">
        <f>'Headcount &amp; Salaries - 2'!BA50</f>
        <v/>
      </c>
      <c r="AT73" s="384">
        <f>'Headcount &amp; Salaries - 2'!BB50</f>
        <v/>
      </c>
      <c r="AU73" s="384">
        <f>'Headcount &amp; Salaries - 2'!BC50</f>
        <v/>
      </c>
      <c r="AV73" s="384">
        <f>'Headcount &amp; Salaries - 2'!BD50</f>
        <v/>
      </c>
      <c r="AW73" s="384">
        <f>'Headcount &amp; Salaries - 2'!BE50</f>
        <v/>
      </c>
      <c r="AX73" s="384">
        <f>'Headcount &amp; Salaries - 2'!BF50</f>
        <v/>
      </c>
      <c r="AY73" s="565">
        <f>'Headcount &amp; Salaries - 2'!BG50</f>
        <v/>
      </c>
      <c r="AZ73" s="542">
        <f>'Headcount &amp; Salaries - 2'!BH50</f>
        <v/>
      </c>
      <c r="BA73" s="384">
        <f>'Headcount &amp; Salaries - 2'!BI50</f>
        <v/>
      </c>
      <c r="BB73" s="384">
        <f>'Headcount &amp; Salaries - 2'!BJ50</f>
        <v/>
      </c>
      <c r="BC73" s="384">
        <f>'Headcount &amp; Salaries - 2'!BK50</f>
        <v/>
      </c>
      <c r="BD73" s="384">
        <f>'Headcount &amp; Salaries - 2'!BL50</f>
        <v/>
      </c>
      <c r="BE73" s="384">
        <f>'Headcount &amp; Salaries - 2'!BM50</f>
        <v/>
      </c>
      <c r="BF73" s="384">
        <f>'Headcount &amp; Salaries - 2'!BN50</f>
        <v/>
      </c>
      <c r="BG73" s="384">
        <f>'Headcount &amp; Salaries - 2'!BO50</f>
        <v/>
      </c>
      <c r="BH73" s="384">
        <f>'Headcount &amp; Salaries - 2'!BP50</f>
        <v/>
      </c>
      <c r="BI73" s="384">
        <f>'Headcount &amp; Salaries - 2'!BQ50</f>
        <v/>
      </c>
      <c r="BJ73" s="384">
        <f>'Headcount &amp; Salaries - 2'!BR50</f>
        <v/>
      </c>
      <c r="BK73" s="384">
        <f>'Headcount &amp; Salaries - 2'!BS50</f>
        <v/>
      </c>
      <c r="BL73" s="542">
        <f>'Headcount &amp; Salaries - 2'!BT50</f>
        <v/>
      </c>
      <c r="BM73" s="384">
        <f>'Headcount &amp; Salaries - 2'!BU50</f>
        <v/>
      </c>
      <c r="BN73" s="384">
        <f>'Headcount &amp; Salaries - 2'!BV50</f>
        <v/>
      </c>
      <c r="BO73" s="384">
        <f>'Headcount &amp; Salaries - 2'!BW50</f>
        <v/>
      </c>
      <c r="BP73" s="384">
        <f>'Headcount &amp; Salaries - 2'!BX50</f>
        <v/>
      </c>
      <c r="BQ73" s="384">
        <f>'Headcount &amp; Salaries - 2'!BY50</f>
        <v/>
      </c>
      <c r="BR73" s="384">
        <f>'Headcount &amp; Salaries - 2'!BZ50</f>
        <v/>
      </c>
      <c r="BS73" s="384">
        <f>'Headcount &amp; Salaries - 2'!CA50</f>
        <v/>
      </c>
      <c r="BT73" s="384">
        <f>'Headcount &amp; Salaries - 2'!CB50</f>
        <v/>
      </c>
      <c r="BU73" s="384">
        <f>'Headcount &amp; Salaries - 2'!CC50</f>
        <v/>
      </c>
      <c r="BV73" s="384">
        <f>'Headcount &amp; Salaries - 2'!CD50</f>
        <v/>
      </c>
      <c r="BW73" s="384">
        <f>'Headcount &amp; Salaries - 2'!CE50</f>
        <v/>
      </c>
      <c r="BX73" s="383" t="n"/>
      <c r="BY73" s="383" t="n"/>
      <c r="BZ73" s="383" t="n"/>
      <c r="CA73" s="383" t="n"/>
      <c r="CB73" s="383" t="n"/>
      <c r="CC73" s="383" t="n"/>
      <c r="CD73" s="383" t="n"/>
      <c r="CE73" s="383" t="n"/>
      <c r="CF73" s="383" t="n"/>
      <c r="CG73" s="383" t="n"/>
      <c r="CH73" s="383" t="n"/>
      <c r="CI73" s="383" t="n"/>
      <c r="CJ73" s="383" t="n"/>
      <c r="CK73" s="383" t="n"/>
      <c r="CL73" s="383" t="n"/>
      <c r="CM73" s="383" t="n"/>
      <c r="CN73" s="383" t="n"/>
      <c r="CO73" s="383" t="n"/>
      <c r="CP73" s="383" t="n"/>
      <c r="CQ73" s="383" t="n"/>
      <c r="CR73" s="383" t="n"/>
      <c r="CS73" s="383" t="n"/>
      <c r="CT73" s="383" t="n"/>
      <c r="CU73" s="383" t="n"/>
      <c r="CV73" s="383" t="n"/>
      <c r="CW73" s="383" t="n"/>
      <c r="CX73" s="383" t="n"/>
      <c r="CY73" s="383" t="n"/>
      <c r="CZ73" s="383" t="n"/>
      <c r="DA73" s="383" t="n"/>
      <c r="DB73" s="383" t="n"/>
      <c r="DC73" s="383" t="n"/>
      <c r="DD73" s="383" t="n"/>
      <c r="DE73" s="383" t="n"/>
      <c r="DF73" s="383" t="n"/>
      <c r="DG73" s="383" t="n"/>
      <c r="DH73" s="383" t="n"/>
      <c r="DI73" s="383" t="n"/>
      <c r="DJ73" s="383" t="n"/>
      <c r="DK73" s="383" t="n"/>
      <c r="DL73" s="383" t="n"/>
      <c r="DM73" s="383" t="n"/>
      <c r="DN73" s="383" t="n"/>
      <c r="DO73" s="383" t="n"/>
      <c r="DP73" s="383" t="n"/>
      <c r="DQ73" s="383" t="n"/>
      <c r="DR73" s="383" t="n"/>
      <c r="DS73" s="383" t="n"/>
      <c r="DT73" s="383" t="n"/>
      <c r="DU73" s="383" t="n"/>
      <c r="DV73" s="383" t="n"/>
      <c r="DW73" s="383" t="n"/>
      <c r="DX73" s="383" t="n"/>
      <c r="DY73" s="383" t="n"/>
      <c r="DZ73" s="383" t="n"/>
      <c r="EA73" s="383" t="n"/>
      <c r="EB73" s="383" t="n"/>
      <c r="EC73" s="383" t="n"/>
      <c r="ED73" s="383" t="n"/>
      <c r="EE73" s="383" t="n"/>
      <c r="EF73" s="383" t="n"/>
      <c r="EG73" s="383" t="n"/>
      <c r="EH73" s="383" t="n"/>
      <c r="EI73" s="383" t="n"/>
      <c r="EJ73" s="383" t="n"/>
      <c r="EK73" s="383" t="n"/>
      <c r="EL73" s="383" t="n"/>
      <c r="EM73" s="383" t="n"/>
      <c r="EN73" s="383" t="n"/>
      <c r="EO73" s="383" t="n"/>
      <c r="EP73" s="383" t="n"/>
      <c r="EQ73" s="383" t="n"/>
      <c r="ER73" s="383" t="n"/>
      <c r="ES73" s="383" t="n"/>
      <c r="ET73" s="383" t="n"/>
      <c r="EU73" s="383" t="n"/>
      <c r="EV73" s="383" t="n"/>
      <c r="EW73" s="383" t="n"/>
      <c r="EX73" s="383" t="n"/>
      <c r="EY73" s="383" t="n"/>
      <c r="EZ73" s="383" t="n"/>
      <c r="FA73" s="383" t="n"/>
      <c r="FB73" s="383" t="n"/>
      <c r="FC73" s="383" t="n"/>
      <c r="FD73" s="383" t="n"/>
      <c r="FE73" s="383" t="n"/>
      <c r="FF73" s="383" t="n"/>
      <c r="FG73" s="383" t="n"/>
      <c r="FH73" s="383" t="n"/>
      <c r="FI73" s="383" t="n"/>
      <c r="FJ73" s="383" t="n"/>
      <c r="FK73" s="383" t="n"/>
      <c r="FL73" s="383" t="n"/>
      <c r="FM73" s="383" t="n"/>
      <c r="FN73" s="383" t="n"/>
      <c r="FO73" s="383" t="n"/>
      <c r="FP73" s="383" t="n"/>
      <c r="FQ73" s="383" t="n"/>
      <c r="FR73" s="383" t="n"/>
      <c r="FS73" s="383" t="n"/>
      <c r="FT73" s="383" t="n"/>
      <c r="FU73" s="383" t="n"/>
      <c r="FV73" s="383" t="n"/>
      <c r="FW73" s="383" t="n"/>
      <c r="FX73" s="383" t="n"/>
      <c r="FY73" s="383" t="n"/>
      <c r="FZ73" s="383" t="n"/>
      <c r="GA73" s="383" t="n"/>
      <c r="GB73" s="383" t="n"/>
      <c r="GC73" s="383" t="n"/>
      <c r="GD73" s="383" t="n"/>
      <c r="GE73" s="383" t="n"/>
      <c r="GF73" s="383" t="n"/>
      <c r="GG73" s="383" t="n"/>
      <c r="GH73" s="383" t="n"/>
      <c r="GI73" s="383" t="n"/>
      <c r="GJ73" s="383" t="n"/>
      <c r="GK73" s="383" t="n"/>
      <c r="GL73" s="383" t="n"/>
      <c r="GM73" s="383" t="n"/>
      <c r="GN73" s="383" t="n"/>
      <c r="GO73" s="383" t="n"/>
      <c r="GP73" s="383" t="n"/>
      <c r="GQ73" s="383" t="n"/>
      <c r="GR73" s="383" t="n"/>
      <c r="GS73" s="383" t="n"/>
      <c r="GT73" s="383" t="n"/>
      <c r="GU73" s="383" t="n"/>
      <c r="GV73" s="383" t="n"/>
      <c r="GW73" s="383" t="n"/>
      <c r="GX73" s="383" t="n"/>
      <c r="GY73" s="383" t="n"/>
    </row>
    <row r="74" ht="15" customHeight="1" s="1883">
      <c r="A74" s="383" t="n"/>
      <c r="B74" s="383" t="n"/>
      <c r="C74" s="383" t="n"/>
      <c r="D74" s="390" t="inlineStr">
        <is>
          <t>●</t>
        </is>
      </c>
      <c r="E74" s="665" t="inlineStr">
        <is>
          <t>Software Development Team + Data Scientists/Engineers</t>
        </is>
      </c>
      <c r="F74" s="383" t="n"/>
      <c r="G74" s="383" t="n"/>
      <c r="H74" s="383" t="n"/>
      <c r="I74" s="383" t="n"/>
      <c r="J74" s="462">
        <f>'Headcount &amp; Salaries - 2'!G51</f>
        <v/>
      </c>
      <c r="K74" s="462">
        <f>'Headcount &amp; Salaries - 2'!H51</f>
        <v/>
      </c>
      <c r="L74" s="462">
        <f>'Headcount &amp; Salaries - 2'!I51</f>
        <v/>
      </c>
      <c r="M74" s="462">
        <f>'Headcount &amp; Salaries - 2'!J51</f>
        <v/>
      </c>
      <c r="N74" s="462">
        <f>'Headcount &amp; Salaries - 2'!K51</f>
        <v/>
      </c>
      <c r="O74" s="383" t="n"/>
      <c r="P74" s="384">
        <f>'Headcount &amp; Salaries - 2'!X51</f>
        <v/>
      </c>
      <c r="Q74" s="384">
        <f>'Headcount &amp; Salaries - 2'!Y51</f>
        <v/>
      </c>
      <c r="R74" s="384">
        <f>'Headcount &amp; Salaries - 2'!Z51</f>
        <v/>
      </c>
      <c r="S74" s="384">
        <f>'Headcount &amp; Salaries - 2'!AA51</f>
        <v/>
      </c>
      <c r="T74" s="384">
        <f>'Headcount &amp; Salaries - 2'!AB51</f>
        <v/>
      </c>
      <c r="U74" s="384">
        <f>'Headcount &amp; Salaries - 2'!AC51</f>
        <v/>
      </c>
      <c r="V74" s="384">
        <f>'Headcount &amp; Salaries - 2'!AD51</f>
        <v/>
      </c>
      <c r="W74" s="384">
        <f>'Headcount &amp; Salaries - 2'!AE51</f>
        <v/>
      </c>
      <c r="X74" s="384">
        <f>'Headcount &amp; Salaries - 2'!AF51</f>
        <v/>
      </c>
      <c r="Y74" s="384">
        <f>'Headcount &amp; Salaries - 2'!AG51</f>
        <v/>
      </c>
      <c r="Z74" s="384">
        <f>'Headcount &amp; Salaries - 2'!AH51</f>
        <v/>
      </c>
      <c r="AA74" s="384">
        <f>'Headcount &amp; Salaries - 2'!AI51</f>
        <v/>
      </c>
      <c r="AB74" s="542">
        <f>'Headcount &amp; Salaries - 2'!AJ51</f>
        <v/>
      </c>
      <c r="AC74" s="384">
        <f>'Headcount &amp; Salaries - 2'!AK51</f>
        <v/>
      </c>
      <c r="AD74" s="384">
        <f>'Headcount &amp; Salaries - 2'!AL51</f>
        <v/>
      </c>
      <c r="AE74" s="384">
        <f>'Headcount &amp; Salaries - 2'!AM51</f>
        <v/>
      </c>
      <c r="AF74" s="384">
        <f>'Headcount &amp; Salaries - 2'!AN51</f>
        <v/>
      </c>
      <c r="AG74" s="384">
        <f>'Headcount &amp; Salaries - 2'!AO51</f>
        <v/>
      </c>
      <c r="AH74" s="384">
        <f>'Headcount &amp; Salaries - 2'!AP51</f>
        <v/>
      </c>
      <c r="AI74" s="384">
        <f>'Headcount &amp; Salaries - 2'!AQ51</f>
        <v/>
      </c>
      <c r="AJ74" s="384">
        <f>'Headcount &amp; Salaries - 2'!AR51</f>
        <v/>
      </c>
      <c r="AK74" s="384">
        <f>'Headcount &amp; Salaries - 2'!AS51</f>
        <v/>
      </c>
      <c r="AL74" s="384">
        <f>'Headcount &amp; Salaries - 2'!AT51</f>
        <v/>
      </c>
      <c r="AM74" s="384">
        <f>'Headcount &amp; Salaries - 2'!AU51</f>
        <v/>
      </c>
      <c r="AN74" s="542">
        <f>'Headcount &amp; Salaries - 2'!AV51</f>
        <v/>
      </c>
      <c r="AO74" s="384">
        <f>'Headcount &amp; Salaries - 2'!AW51</f>
        <v/>
      </c>
      <c r="AP74" s="384">
        <f>'Headcount &amp; Salaries - 2'!AX51</f>
        <v/>
      </c>
      <c r="AQ74" s="384">
        <f>'Headcount &amp; Salaries - 2'!AY51</f>
        <v/>
      </c>
      <c r="AR74" s="384">
        <f>'Headcount &amp; Salaries - 2'!AZ51</f>
        <v/>
      </c>
      <c r="AS74" s="384">
        <f>'Headcount &amp; Salaries - 2'!BA51</f>
        <v/>
      </c>
      <c r="AT74" s="384">
        <f>'Headcount &amp; Salaries - 2'!BB51</f>
        <v/>
      </c>
      <c r="AU74" s="384">
        <f>'Headcount &amp; Salaries - 2'!BC51</f>
        <v/>
      </c>
      <c r="AV74" s="384">
        <f>'Headcount &amp; Salaries - 2'!BD51</f>
        <v/>
      </c>
      <c r="AW74" s="384">
        <f>'Headcount &amp; Salaries - 2'!BE51</f>
        <v/>
      </c>
      <c r="AX74" s="384">
        <f>'Headcount &amp; Salaries - 2'!BF51</f>
        <v/>
      </c>
      <c r="AY74" s="565">
        <f>'Headcount &amp; Salaries - 2'!BG51</f>
        <v/>
      </c>
      <c r="AZ74" s="542">
        <f>'Headcount &amp; Salaries - 2'!BH51</f>
        <v/>
      </c>
      <c r="BA74" s="384">
        <f>'Headcount &amp; Salaries - 2'!BI51</f>
        <v/>
      </c>
      <c r="BB74" s="384">
        <f>'Headcount &amp; Salaries - 2'!BJ51</f>
        <v/>
      </c>
      <c r="BC74" s="384">
        <f>'Headcount &amp; Salaries - 2'!BK51</f>
        <v/>
      </c>
      <c r="BD74" s="384">
        <f>'Headcount &amp; Salaries - 2'!BL51</f>
        <v/>
      </c>
      <c r="BE74" s="384">
        <f>'Headcount &amp; Salaries - 2'!BM51</f>
        <v/>
      </c>
      <c r="BF74" s="384">
        <f>'Headcount &amp; Salaries - 2'!BN51</f>
        <v/>
      </c>
      <c r="BG74" s="384">
        <f>'Headcount &amp; Salaries - 2'!BO51</f>
        <v/>
      </c>
      <c r="BH74" s="384">
        <f>'Headcount &amp; Salaries - 2'!BP51</f>
        <v/>
      </c>
      <c r="BI74" s="384">
        <f>'Headcount &amp; Salaries - 2'!BQ51</f>
        <v/>
      </c>
      <c r="BJ74" s="384">
        <f>'Headcount &amp; Salaries - 2'!BR51</f>
        <v/>
      </c>
      <c r="BK74" s="384">
        <f>'Headcount &amp; Salaries - 2'!BS51</f>
        <v/>
      </c>
      <c r="BL74" s="542">
        <f>'Headcount &amp; Salaries - 2'!BT51</f>
        <v/>
      </c>
      <c r="BM74" s="384">
        <f>'Headcount &amp; Salaries - 2'!BU51</f>
        <v/>
      </c>
      <c r="BN74" s="384">
        <f>'Headcount &amp; Salaries - 2'!BV51</f>
        <v/>
      </c>
      <c r="BO74" s="384">
        <f>'Headcount &amp; Salaries - 2'!BW51</f>
        <v/>
      </c>
      <c r="BP74" s="384">
        <f>'Headcount &amp; Salaries - 2'!BX51</f>
        <v/>
      </c>
      <c r="BQ74" s="384">
        <f>'Headcount &amp; Salaries - 2'!BY51</f>
        <v/>
      </c>
      <c r="BR74" s="384">
        <f>'Headcount &amp; Salaries - 2'!BZ51</f>
        <v/>
      </c>
      <c r="BS74" s="384">
        <f>'Headcount &amp; Salaries - 2'!CA51</f>
        <v/>
      </c>
      <c r="BT74" s="384">
        <f>'Headcount &amp; Salaries - 2'!CB51</f>
        <v/>
      </c>
      <c r="BU74" s="384">
        <f>'Headcount &amp; Salaries - 2'!CC51</f>
        <v/>
      </c>
      <c r="BV74" s="384">
        <f>'Headcount &amp; Salaries - 2'!CD51</f>
        <v/>
      </c>
      <c r="BW74" s="384">
        <f>'Headcount &amp; Salaries - 2'!CE51</f>
        <v/>
      </c>
      <c r="BX74" s="383" t="n"/>
      <c r="BY74" s="383" t="n"/>
      <c r="BZ74" s="383" t="n"/>
      <c r="CA74" s="383" t="n"/>
      <c r="CB74" s="383" t="n"/>
      <c r="CC74" s="383" t="n"/>
      <c r="CD74" s="383" t="n"/>
      <c r="CE74" s="383" t="n"/>
      <c r="CF74" s="383" t="n"/>
      <c r="CG74" s="383" t="n"/>
      <c r="CH74" s="383" t="n"/>
      <c r="CI74" s="383" t="n"/>
      <c r="CJ74" s="383" t="n"/>
      <c r="CK74" s="383" t="n"/>
      <c r="CL74" s="383" t="n"/>
      <c r="CM74" s="383" t="n"/>
      <c r="CN74" s="383" t="n"/>
      <c r="CO74" s="383" t="n"/>
      <c r="CP74" s="383" t="n"/>
      <c r="CQ74" s="383" t="n"/>
      <c r="CR74" s="383" t="n"/>
      <c r="CS74" s="383" t="n"/>
      <c r="CT74" s="383" t="n"/>
      <c r="CU74" s="383" t="n"/>
      <c r="CV74" s="383" t="n"/>
      <c r="CW74" s="383" t="n"/>
      <c r="CX74" s="383" t="n"/>
      <c r="CY74" s="383" t="n"/>
      <c r="CZ74" s="383" t="n"/>
      <c r="DA74" s="383" t="n"/>
      <c r="DB74" s="383" t="n"/>
      <c r="DC74" s="383" t="n"/>
      <c r="DD74" s="383" t="n"/>
      <c r="DE74" s="383" t="n"/>
      <c r="DF74" s="383" t="n"/>
      <c r="DG74" s="383" t="n"/>
      <c r="DH74" s="383" t="n"/>
      <c r="DI74" s="383" t="n"/>
      <c r="DJ74" s="383" t="n"/>
      <c r="DK74" s="383" t="n"/>
      <c r="DL74" s="383" t="n"/>
      <c r="DM74" s="383" t="n"/>
      <c r="DN74" s="383" t="n"/>
      <c r="DO74" s="383" t="n"/>
      <c r="DP74" s="383" t="n"/>
      <c r="DQ74" s="383" t="n"/>
      <c r="DR74" s="383" t="n"/>
      <c r="DS74" s="383" t="n"/>
      <c r="DT74" s="383" t="n"/>
      <c r="DU74" s="383" t="n"/>
      <c r="DV74" s="383" t="n"/>
      <c r="DW74" s="383" t="n"/>
      <c r="DX74" s="383" t="n"/>
      <c r="DY74" s="383" t="n"/>
      <c r="DZ74" s="383" t="n"/>
      <c r="EA74" s="383" t="n"/>
      <c r="EB74" s="383" t="n"/>
      <c r="EC74" s="383" t="n"/>
      <c r="ED74" s="383" t="n"/>
      <c r="EE74" s="383" t="n"/>
      <c r="EF74" s="383" t="n"/>
      <c r="EG74" s="383" t="n"/>
      <c r="EH74" s="383" t="n"/>
      <c r="EI74" s="383" t="n"/>
      <c r="EJ74" s="383" t="n"/>
      <c r="EK74" s="383" t="n"/>
      <c r="EL74" s="383" t="n"/>
      <c r="EM74" s="383" t="n"/>
      <c r="EN74" s="383" t="n"/>
      <c r="EO74" s="383" t="n"/>
      <c r="EP74" s="383" t="n"/>
      <c r="EQ74" s="383" t="n"/>
      <c r="ER74" s="383" t="n"/>
      <c r="ES74" s="383" t="n"/>
      <c r="ET74" s="383" t="n"/>
      <c r="EU74" s="383" t="n"/>
      <c r="EV74" s="383" t="n"/>
      <c r="EW74" s="383" t="n"/>
      <c r="EX74" s="383" t="n"/>
      <c r="EY74" s="383" t="n"/>
      <c r="EZ74" s="383" t="n"/>
      <c r="FA74" s="383" t="n"/>
      <c r="FB74" s="383" t="n"/>
      <c r="FC74" s="383" t="n"/>
      <c r="FD74" s="383" t="n"/>
      <c r="FE74" s="383" t="n"/>
      <c r="FF74" s="383" t="n"/>
      <c r="FG74" s="383" t="n"/>
      <c r="FH74" s="383" t="n"/>
      <c r="FI74" s="383" t="n"/>
      <c r="FJ74" s="383" t="n"/>
      <c r="FK74" s="383" t="n"/>
      <c r="FL74" s="383" t="n"/>
      <c r="FM74" s="383" t="n"/>
      <c r="FN74" s="383" t="n"/>
      <c r="FO74" s="383" t="n"/>
      <c r="FP74" s="383" t="n"/>
      <c r="FQ74" s="383" t="n"/>
      <c r="FR74" s="383" t="n"/>
      <c r="FS74" s="383" t="n"/>
      <c r="FT74" s="383" t="n"/>
      <c r="FU74" s="383" t="n"/>
      <c r="FV74" s="383" t="n"/>
      <c r="FW74" s="383" t="n"/>
      <c r="FX74" s="383" t="n"/>
      <c r="FY74" s="383" t="n"/>
      <c r="FZ74" s="383" t="n"/>
      <c r="GA74" s="383" t="n"/>
      <c r="GB74" s="383" t="n"/>
      <c r="GC74" s="383" t="n"/>
      <c r="GD74" s="383" t="n"/>
      <c r="GE74" s="383" t="n"/>
      <c r="GF74" s="383" t="n"/>
      <c r="GG74" s="383" t="n"/>
      <c r="GH74" s="383" t="n"/>
      <c r="GI74" s="383" t="n"/>
      <c r="GJ74" s="383" t="n"/>
      <c r="GK74" s="383" t="n"/>
      <c r="GL74" s="383" t="n"/>
      <c r="GM74" s="383" t="n"/>
      <c r="GN74" s="383" t="n"/>
      <c r="GO74" s="383" t="n"/>
      <c r="GP74" s="383" t="n"/>
      <c r="GQ74" s="383" t="n"/>
      <c r="GR74" s="383" t="n"/>
      <c r="GS74" s="383" t="n"/>
      <c r="GT74" s="383" t="n"/>
      <c r="GU74" s="383" t="n"/>
      <c r="GV74" s="383" t="n"/>
      <c r="GW74" s="383" t="n"/>
      <c r="GX74" s="383" t="n"/>
      <c r="GY74" s="383" t="n"/>
    </row>
    <row r="75" ht="15" customHeight="1" s="1883">
      <c r="A75" s="383" t="n"/>
      <c r="B75" s="383" t="n"/>
      <c r="C75" s="383" t="n"/>
      <c r="D75" s="390" t="inlineStr">
        <is>
          <t>●</t>
        </is>
      </c>
      <c r="E75" s="824" t="inlineStr">
        <is>
          <t>Economist + Crypto Tokenomics</t>
        </is>
      </c>
      <c r="F75" s="825" t="n"/>
      <c r="G75" s="825" t="n"/>
      <c r="H75" s="825" t="n"/>
      <c r="I75" s="825" t="n"/>
      <c r="J75" s="828">
        <f>'Headcount &amp; Salaries - 2'!G52</f>
        <v/>
      </c>
      <c r="K75" s="828">
        <f>'Headcount &amp; Salaries - 2'!H52</f>
        <v/>
      </c>
      <c r="L75" s="828">
        <f>'Headcount &amp; Salaries - 2'!I52</f>
        <v/>
      </c>
      <c r="M75" s="828">
        <f>'Headcount &amp; Salaries - 2'!J52</f>
        <v/>
      </c>
      <c r="N75" s="828">
        <f>'Headcount &amp; Salaries - 2'!K52</f>
        <v/>
      </c>
      <c r="O75" s="825" t="n"/>
      <c r="P75" s="829">
        <f>'Headcount &amp; Salaries - 2'!X52</f>
        <v/>
      </c>
      <c r="Q75" s="384">
        <f>'Headcount &amp; Salaries - 2'!Y52</f>
        <v/>
      </c>
      <c r="R75" s="384">
        <f>'Headcount &amp; Salaries - 2'!Z52</f>
        <v/>
      </c>
      <c r="S75" s="384">
        <f>'Headcount &amp; Salaries - 2'!AA52</f>
        <v/>
      </c>
      <c r="T75" s="384">
        <f>'Headcount &amp; Salaries - 2'!AB52</f>
        <v/>
      </c>
      <c r="U75" s="384">
        <f>'Headcount &amp; Salaries - 2'!AC52</f>
        <v/>
      </c>
      <c r="V75" s="384">
        <f>'Headcount &amp; Salaries - 2'!AD52</f>
        <v/>
      </c>
      <c r="W75" s="384">
        <f>'Headcount &amp; Salaries - 2'!AE52</f>
        <v/>
      </c>
      <c r="X75" s="384">
        <f>'Headcount &amp; Salaries - 2'!AF52</f>
        <v/>
      </c>
      <c r="Y75" s="384">
        <f>'Headcount &amp; Salaries - 2'!AG52</f>
        <v/>
      </c>
      <c r="Z75" s="384">
        <f>'Headcount &amp; Salaries - 2'!AH52</f>
        <v/>
      </c>
      <c r="AA75" s="384">
        <f>'Headcount &amp; Salaries - 2'!AI52</f>
        <v/>
      </c>
      <c r="AB75" s="542">
        <f>'Headcount &amp; Salaries - 2'!AJ52</f>
        <v/>
      </c>
      <c r="AC75" s="384">
        <f>'Headcount &amp; Salaries - 2'!AK52</f>
        <v/>
      </c>
      <c r="AD75" s="384">
        <f>'Headcount &amp; Salaries - 2'!AL52</f>
        <v/>
      </c>
      <c r="AE75" s="384">
        <f>'Headcount &amp; Salaries - 2'!AM52</f>
        <v/>
      </c>
      <c r="AF75" s="384">
        <f>'Headcount &amp; Salaries - 2'!AN52</f>
        <v/>
      </c>
      <c r="AG75" s="384">
        <f>'Headcount &amp; Salaries - 2'!AO52</f>
        <v/>
      </c>
      <c r="AH75" s="384">
        <f>'Headcount &amp; Salaries - 2'!AP52</f>
        <v/>
      </c>
      <c r="AI75" s="384">
        <f>'Headcount &amp; Salaries - 2'!AQ52</f>
        <v/>
      </c>
      <c r="AJ75" s="384">
        <f>'Headcount &amp; Salaries - 2'!AR52</f>
        <v/>
      </c>
      <c r="AK75" s="384">
        <f>'Headcount &amp; Salaries - 2'!AS52</f>
        <v/>
      </c>
      <c r="AL75" s="384">
        <f>'Headcount &amp; Salaries - 2'!AT52</f>
        <v/>
      </c>
      <c r="AM75" s="384">
        <f>'Headcount &amp; Salaries - 2'!AU52</f>
        <v/>
      </c>
      <c r="AN75" s="542">
        <f>'Headcount &amp; Salaries - 2'!AV52</f>
        <v/>
      </c>
      <c r="AO75" s="384">
        <f>'Headcount &amp; Salaries - 2'!AW52</f>
        <v/>
      </c>
      <c r="AP75" s="384">
        <f>'Headcount &amp; Salaries - 2'!AX52</f>
        <v/>
      </c>
      <c r="AQ75" s="384">
        <f>'Headcount &amp; Salaries - 2'!AY52</f>
        <v/>
      </c>
      <c r="AR75" s="384">
        <f>'Headcount &amp; Salaries - 2'!AZ52</f>
        <v/>
      </c>
      <c r="AS75" s="384">
        <f>'Headcount &amp; Salaries - 2'!BA52</f>
        <v/>
      </c>
      <c r="AT75" s="384">
        <f>'Headcount &amp; Salaries - 2'!BB52</f>
        <v/>
      </c>
      <c r="AU75" s="384">
        <f>'Headcount &amp; Salaries - 2'!BC52</f>
        <v/>
      </c>
      <c r="AV75" s="384">
        <f>'Headcount &amp; Salaries - 2'!BD52</f>
        <v/>
      </c>
      <c r="AW75" s="384">
        <f>'Headcount &amp; Salaries - 2'!BE52</f>
        <v/>
      </c>
      <c r="AX75" s="384">
        <f>'Headcount &amp; Salaries - 2'!BF52</f>
        <v/>
      </c>
      <c r="AY75" s="565">
        <f>'Headcount &amp; Salaries - 2'!BG52</f>
        <v/>
      </c>
      <c r="AZ75" s="542">
        <f>'Headcount &amp; Salaries - 2'!BH52</f>
        <v/>
      </c>
      <c r="BA75" s="384">
        <f>'Headcount &amp; Salaries - 2'!BI52</f>
        <v/>
      </c>
      <c r="BB75" s="384">
        <f>'Headcount &amp; Salaries - 2'!BJ52</f>
        <v/>
      </c>
      <c r="BC75" s="384">
        <f>'Headcount &amp; Salaries - 2'!BK52</f>
        <v/>
      </c>
      <c r="BD75" s="384">
        <f>'Headcount &amp; Salaries - 2'!BL52</f>
        <v/>
      </c>
      <c r="BE75" s="384">
        <f>'Headcount &amp; Salaries - 2'!BM52</f>
        <v/>
      </c>
      <c r="BF75" s="384">
        <f>'Headcount &amp; Salaries - 2'!BN52</f>
        <v/>
      </c>
      <c r="BG75" s="384">
        <f>'Headcount &amp; Salaries - 2'!BO52</f>
        <v/>
      </c>
      <c r="BH75" s="384">
        <f>'Headcount &amp; Salaries - 2'!BP52</f>
        <v/>
      </c>
      <c r="BI75" s="384">
        <f>'Headcount &amp; Salaries - 2'!BQ52</f>
        <v/>
      </c>
      <c r="BJ75" s="384">
        <f>'Headcount &amp; Salaries - 2'!BR52</f>
        <v/>
      </c>
      <c r="BK75" s="384">
        <f>'Headcount &amp; Salaries - 2'!BS52</f>
        <v/>
      </c>
      <c r="BL75" s="542">
        <f>'Headcount &amp; Salaries - 2'!BT52</f>
        <v/>
      </c>
      <c r="BM75" s="384">
        <f>'Headcount &amp; Salaries - 2'!BU52</f>
        <v/>
      </c>
      <c r="BN75" s="384">
        <f>'Headcount &amp; Salaries - 2'!BV52</f>
        <v/>
      </c>
      <c r="BO75" s="384">
        <f>'Headcount &amp; Salaries - 2'!BW52</f>
        <v/>
      </c>
      <c r="BP75" s="384">
        <f>'Headcount &amp; Salaries - 2'!BX52</f>
        <v/>
      </c>
      <c r="BQ75" s="384">
        <f>'Headcount &amp; Salaries - 2'!BY52</f>
        <v/>
      </c>
      <c r="BR75" s="384">
        <f>'Headcount &amp; Salaries - 2'!BZ52</f>
        <v/>
      </c>
      <c r="BS75" s="384">
        <f>'Headcount &amp; Salaries - 2'!CA52</f>
        <v/>
      </c>
      <c r="BT75" s="384">
        <f>'Headcount &amp; Salaries - 2'!CB52</f>
        <v/>
      </c>
      <c r="BU75" s="384">
        <f>'Headcount &amp; Salaries - 2'!CC52</f>
        <v/>
      </c>
      <c r="BV75" s="384">
        <f>'Headcount &amp; Salaries - 2'!CD52</f>
        <v/>
      </c>
      <c r="BW75" s="384">
        <f>'Headcount &amp; Salaries - 2'!CE52</f>
        <v/>
      </c>
      <c r="BX75" s="383" t="n"/>
      <c r="BY75" s="383" t="n"/>
      <c r="BZ75" s="383" t="n"/>
      <c r="CA75" s="383" t="n"/>
      <c r="CB75" s="383" t="n"/>
      <c r="CC75" s="383" t="n"/>
      <c r="CD75" s="383" t="n"/>
      <c r="CE75" s="383" t="n"/>
      <c r="CF75" s="383" t="n"/>
      <c r="CG75" s="383" t="n"/>
      <c r="CH75" s="383" t="n"/>
      <c r="CI75" s="383" t="n"/>
      <c r="CJ75" s="383" t="n"/>
      <c r="CK75" s="383" t="n"/>
      <c r="CL75" s="383" t="n"/>
      <c r="CM75" s="383" t="n"/>
      <c r="CN75" s="383" t="n"/>
      <c r="CO75" s="383" t="n"/>
      <c r="CP75" s="383" t="n"/>
      <c r="CQ75" s="383" t="n"/>
      <c r="CR75" s="383" t="n"/>
      <c r="CS75" s="383" t="n"/>
      <c r="CT75" s="383" t="n"/>
      <c r="CU75" s="383" t="n"/>
      <c r="CV75" s="383" t="n"/>
      <c r="CW75" s="383" t="n"/>
      <c r="CX75" s="383" t="n"/>
      <c r="CY75" s="383" t="n"/>
      <c r="CZ75" s="383" t="n"/>
      <c r="DA75" s="383" t="n"/>
      <c r="DB75" s="383" t="n"/>
      <c r="DC75" s="383" t="n"/>
      <c r="DD75" s="383" t="n"/>
      <c r="DE75" s="383" t="n"/>
      <c r="DF75" s="383" t="n"/>
      <c r="DG75" s="383" t="n"/>
      <c r="DH75" s="383" t="n"/>
      <c r="DI75" s="383" t="n"/>
      <c r="DJ75" s="383" t="n"/>
      <c r="DK75" s="383" t="n"/>
      <c r="DL75" s="383" t="n"/>
      <c r="DM75" s="383" t="n"/>
      <c r="DN75" s="383" t="n"/>
      <c r="DO75" s="383" t="n"/>
      <c r="DP75" s="383" t="n"/>
      <c r="DQ75" s="383" t="n"/>
      <c r="DR75" s="383" t="n"/>
      <c r="DS75" s="383" t="n"/>
      <c r="DT75" s="383" t="n"/>
      <c r="DU75" s="383" t="n"/>
      <c r="DV75" s="383" t="n"/>
      <c r="DW75" s="383" t="n"/>
      <c r="DX75" s="383" t="n"/>
      <c r="DY75" s="383" t="n"/>
      <c r="DZ75" s="383" t="n"/>
      <c r="EA75" s="383" t="n"/>
      <c r="EB75" s="383" t="n"/>
      <c r="EC75" s="383" t="n"/>
      <c r="ED75" s="383" t="n"/>
      <c r="EE75" s="383" t="n"/>
      <c r="EF75" s="383" t="n"/>
      <c r="EG75" s="383" t="n"/>
      <c r="EH75" s="383" t="n"/>
      <c r="EI75" s="383" t="n"/>
      <c r="EJ75" s="383" t="n"/>
      <c r="EK75" s="383" t="n"/>
      <c r="EL75" s="383" t="n"/>
      <c r="EM75" s="383" t="n"/>
      <c r="EN75" s="383" t="n"/>
      <c r="EO75" s="383" t="n"/>
      <c r="EP75" s="383" t="n"/>
      <c r="EQ75" s="383" t="n"/>
      <c r="ER75" s="383" t="n"/>
      <c r="ES75" s="383" t="n"/>
      <c r="ET75" s="383" t="n"/>
      <c r="EU75" s="383" t="n"/>
      <c r="EV75" s="383" t="n"/>
      <c r="EW75" s="383" t="n"/>
      <c r="EX75" s="383" t="n"/>
      <c r="EY75" s="383" t="n"/>
      <c r="EZ75" s="383" t="n"/>
      <c r="FA75" s="383" t="n"/>
      <c r="FB75" s="383" t="n"/>
      <c r="FC75" s="383" t="n"/>
      <c r="FD75" s="383" t="n"/>
      <c r="FE75" s="383" t="n"/>
      <c r="FF75" s="383" t="n"/>
      <c r="FG75" s="383" t="n"/>
      <c r="FH75" s="383" t="n"/>
      <c r="FI75" s="383" t="n"/>
      <c r="FJ75" s="383" t="n"/>
      <c r="FK75" s="383" t="n"/>
      <c r="FL75" s="383" t="n"/>
      <c r="FM75" s="383" t="n"/>
      <c r="FN75" s="383" t="n"/>
      <c r="FO75" s="383" t="n"/>
      <c r="FP75" s="383" t="n"/>
      <c r="FQ75" s="383" t="n"/>
      <c r="FR75" s="383" t="n"/>
      <c r="FS75" s="383" t="n"/>
      <c r="FT75" s="383" t="n"/>
      <c r="FU75" s="383" t="n"/>
      <c r="FV75" s="383" t="n"/>
      <c r="FW75" s="383" t="n"/>
      <c r="FX75" s="383" t="n"/>
      <c r="FY75" s="383" t="n"/>
      <c r="FZ75" s="383" t="n"/>
      <c r="GA75" s="383" t="n"/>
      <c r="GB75" s="383" t="n"/>
      <c r="GC75" s="383" t="n"/>
      <c r="GD75" s="383" t="n"/>
      <c r="GE75" s="383" t="n"/>
      <c r="GF75" s="383" t="n"/>
      <c r="GG75" s="383" t="n"/>
      <c r="GH75" s="383" t="n"/>
      <c r="GI75" s="383" t="n"/>
      <c r="GJ75" s="383" t="n"/>
      <c r="GK75" s="383" t="n"/>
      <c r="GL75" s="383" t="n"/>
      <c r="GM75" s="383" t="n"/>
      <c r="GN75" s="383" t="n"/>
      <c r="GO75" s="383" t="n"/>
      <c r="GP75" s="383" t="n"/>
      <c r="GQ75" s="383" t="n"/>
      <c r="GR75" s="383" t="n"/>
      <c r="GS75" s="383" t="n"/>
      <c r="GT75" s="383" t="n"/>
      <c r="GU75" s="383" t="n"/>
      <c r="GV75" s="383" t="n"/>
      <c r="GW75" s="383" t="n"/>
      <c r="GX75" s="383" t="n"/>
      <c r="GY75" s="383" t="n"/>
    </row>
    <row r="76" ht="15" customHeight="1" s="1883">
      <c r="A76" s="383" t="n"/>
      <c r="B76" s="383" t="n"/>
      <c r="C76" s="383" t="n"/>
      <c r="D76" s="390" t="inlineStr">
        <is>
          <t>●</t>
        </is>
      </c>
      <c r="E76" s="545" t="inlineStr">
        <is>
          <t>IT &amp; Tech Team</t>
        </is>
      </c>
      <c r="F76" s="383" t="n"/>
      <c r="G76" s="383" t="n"/>
      <c r="H76" s="383" t="n"/>
      <c r="I76" s="383" t="n"/>
      <c r="J76" s="462">
        <f>'Headcount &amp; Salaries - 2'!G53</f>
        <v/>
      </c>
      <c r="K76" s="462">
        <f>'Headcount &amp; Salaries - 2'!H53</f>
        <v/>
      </c>
      <c r="L76" s="462">
        <f>'Headcount &amp; Salaries - 2'!I53</f>
        <v/>
      </c>
      <c r="M76" s="462">
        <f>'Headcount &amp; Salaries - 2'!J53</f>
        <v/>
      </c>
      <c r="N76" s="462">
        <f>'Headcount &amp; Salaries - 2'!K53</f>
        <v/>
      </c>
      <c r="O76" s="383" t="n"/>
      <c r="P76" s="384">
        <f>'Headcount &amp; Salaries - 2'!X53</f>
        <v/>
      </c>
      <c r="Q76" s="384">
        <f>'Headcount &amp; Salaries - 2'!Y53</f>
        <v/>
      </c>
      <c r="R76" s="384">
        <f>'Headcount &amp; Salaries - 2'!Z53</f>
        <v/>
      </c>
      <c r="S76" s="384">
        <f>'Headcount &amp; Salaries - 2'!AA53</f>
        <v/>
      </c>
      <c r="T76" s="384">
        <f>'Headcount &amp; Salaries - 2'!AB53</f>
        <v/>
      </c>
      <c r="U76" s="384">
        <f>'Headcount &amp; Salaries - 2'!AC53</f>
        <v/>
      </c>
      <c r="V76" s="384">
        <f>'Headcount &amp; Salaries - 2'!AD53</f>
        <v/>
      </c>
      <c r="W76" s="384">
        <f>'Headcount &amp; Salaries - 2'!AE53</f>
        <v/>
      </c>
      <c r="X76" s="384">
        <f>'Headcount &amp; Salaries - 2'!AF53</f>
        <v/>
      </c>
      <c r="Y76" s="384">
        <f>'Headcount &amp; Salaries - 2'!AG53</f>
        <v/>
      </c>
      <c r="Z76" s="384">
        <f>'Headcount &amp; Salaries - 2'!AH53</f>
        <v/>
      </c>
      <c r="AA76" s="384">
        <f>'Headcount &amp; Salaries - 2'!AI53</f>
        <v/>
      </c>
      <c r="AB76" s="542">
        <f>'Headcount &amp; Salaries - 2'!AJ53</f>
        <v/>
      </c>
      <c r="AC76" s="384">
        <f>'Headcount &amp; Salaries - 2'!AK53</f>
        <v/>
      </c>
      <c r="AD76" s="384">
        <f>'Headcount &amp; Salaries - 2'!AL53</f>
        <v/>
      </c>
      <c r="AE76" s="384">
        <f>'Headcount &amp; Salaries - 2'!AM53</f>
        <v/>
      </c>
      <c r="AF76" s="384">
        <f>'Headcount &amp; Salaries - 2'!AN53</f>
        <v/>
      </c>
      <c r="AG76" s="384">
        <f>'Headcount &amp; Salaries - 2'!AO53</f>
        <v/>
      </c>
      <c r="AH76" s="384">
        <f>'Headcount &amp; Salaries - 2'!AP53</f>
        <v/>
      </c>
      <c r="AI76" s="384">
        <f>'Headcount &amp; Salaries - 2'!AQ53</f>
        <v/>
      </c>
      <c r="AJ76" s="384">
        <f>'Headcount &amp; Salaries - 2'!AR53</f>
        <v/>
      </c>
      <c r="AK76" s="384">
        <f>'Headcount &amp; Salaries - 2'!AS53</f>
        <v/>
      </c>
      <c r="AL76" s="384">
        <f>'Headcount &amp; Salaries - 2'!AT53</f>
        <v/>
      </c>
      <c r="AM76" s="384">
        <f>'Headcount &amp; Salaries - 2'!AU53</f>
        <v/>
      </c>
      <c r="AN76" s="542">
        <f>'Headcount &amp; Salaries - 2'!AV53</f>
        <v/>
      </c>
      <c r="AO76" s="384">
        <f>'Headcount &amp; Salaries - 2'!AW53</f>
        <v/>
      </c>
      <c r="AP76" s="384">
        <f>'Headcount &amp; Salaries - 2'!AX53</f>
        <v/>
      </c>
      <c r="AQ76" s="384">
        <f>'Headcount &amp; Salaries - 2'!AY53</f>
        <v/>
      </c>
      <c r="AR76" s="384">
        <f>'Headcount &amp; Salaries - 2'!AZ53</f>
        <v/>
      </c>
      <c r="AS76" s="384">
        <f>'Headcount &amp; Salaries - 2'!BA53</f>
        <v/>
      </c>
      <c r="AT76" s="384">
        <f>'Headcount &amp; Salaries - 2'!BB53</f>
        <v/>
      </c>
      <c r="AU76" s="384">
        <f>'Headcount &amp; Salaries - 2'!BC53</f>
        <v/>
      </c>
      <c r="AV76" s="384">
        <f>'Headcount &amp; Salaries - 2'!BD53</f>
        <v/>
      </c>
      <c r="AW76" s="384">
        <f>'Headcount &amp; Salaries - 2'!BE53</f>
        <v/>
      </c>
      <c r="AX76" s="384">
        <f>'Headcount &amp; Salaries - 2'!BF53</f>
        <v/>
      </c>
      <c r="AY76" s="565">
        <f>'Headcount &amp; Salaries - 2'!BG53</f>
        <v/>
      </c>
      <c r="AZ76" s="542">
        <f>'Headcount &amp; Salaries - 2'!BH53</f>
        <v/>
      </c>
      <c r="BA76" s="384">
        <f>'Headcount &amp; Salaries - 2'!BI53</f>
        <v/>
      </c>
      <c r="BB76" s="384">
        <f>'Headcount &amp; Salaries - 2'!BJ53</f>
        <v/>
      </c>
      <c r="BC76" s="384">
        <f>'Headcount &amp; Salaries - 2'!BK53</f>
        <v/>
      </c>
      <c r="BD76" s="384">
        <f>'Headcount &amp; Salaries - 2'!BL53</f>
        <v/>
      </c>
      <c r="BE76" s="384">
        <f>'Headcount &amp; Salaries - 2'!BM53</f>
        <v/>
      </c>
      <c r="BF76" s="384">
        <f>'Headcount &amp; Salaries - 2'!BN53</f>
        <v/>
      </c>
      <c r="BG76" s="384">
        <f>'Headcount &amp; Salaries - 2'!BO53</f>
        <v/>
      </c>
      <c r="BH76" s="384">
        <f>'Headcount &amp; Salaries - 2'!BP53</f>
        <v/>
      </c>
      <c r="BI76" s="384">
        <f>'Headcount &amp; Salaries - 2'!BQ53</f>
        <v/>
      </c>
      <c r="BJ76" s="384">
        <f>'Headcount &amp; Salaries - 2'!BR53</f>
        <v/>
      </c>
      <c r="BK76" s="384">
        <f>'Headcount &amp; Salaries - 2'!BS53</f>
        <v/>
      </c>
      <c r="BL76" s="542">
        <f>'Headcount &amp; Salaries - 2'!BT53</f>
        <v/>
      </c>
      <c r="BM76" s="384">
        <f>'Headcount &amp; Salaries - 2'!BU53</f>
        <v/>
      </c>
      <c r="BN76" s="384">
        <f>'Headcount &amp; Salaries - 2'!BV53</f>
        <v/>
      </c>
      <c r="BO76" s="384">
        <f>'Headcount &amp; Salaries - 2'!BW53</f>
        <v/>
      </c>
      <c r="BP76" s="384">
        <f>'Headcount &amp; Salaries - 2'!BX53</f>
        <v/>
      </c>
      <c r="BQ76" s="384">
        <f>'Headcount &amp; Salaries - 2'!BY53</f>
        <v/>
      </c>
      <c r="BR76" s="384">
        <f>'Headcount &amp; Salaries - 2'!BZ53</f>
        <v/>
      </c>
      <c r="BS76" s="384">
        <f>'Headcount &amp; Salaries - 2'!CA53</f>
        <v/>
      </c>
      <c r="BT76" s="384">
        <f>'Headcount &amp; Salaries - 2'!CB53</f>
        <v/>
      </c>
      <c r="BU76" s="384">
        <f>'Headcount &amp; Salaries - 2'!CC53</f>
        <v/>
      </c>
      <c r="BV76" s="384">
        <f>'Headcount &amp; Salaries - 2'!CD53</f>
        <v/>
      </c>
      <c r="BW76" s="384">
        <f>'Headcount &amp; Salaries - 2'!CE53</f>
        <v/>
      </c>
      <c r="BX76" s="383" t="n"/>
      <c r="BY76" s="383" t="n"/>
      <c r="BZ76" s="383" t="n"/>
      <c r="CA76" s="383" t="n"/>
      <c r="CB76" s="383" t="n"/>
      <c r="CC76" s="383" t="n"/>
      <c r="CD76" s="383" t="n"/>
      <c r="CE76" s="383" t="n"/>
      <c r="CF76" s="383" t="n"/>
      <c r="CG76" s="383" t="n"/>
      <c r="CH76" s="383" t="n"/>
      <c r="CI76" s="383" t="n"/>
      <c r="CJ76" s="383" t="n"/>
      <c r="CK76" s="383" t="n"/>
      <c r="CL76" s="383" t="n"/>
      <c r="CM76" s="383" t="n"/>
      <c r="CN76" s="383" t="n"/>
      <c r="CO76" s="383" t="n"/>
      <c r="CP76" s="383" t="n"/>
      <c r="CQ76" s="383" t="n"/>
      <c r="CR76" s="383" t="n"/>
      <c r="CS76" s="383" t="n"/>
      <c r="CT76" s="383" t="n"/>
      <c r="CU76" s="383" t="n"/>
      <c r="CV76" s="383" t="n"/>
      <c r="CW76" s="383" t="n"/>
      <c r="CX76" s="383" t="n"/>
      <c r="CY76" s="383" t="n"/>
      <c r="CZ76" s="383" t="n"/>
      <c r="DA76" s="383" t="n"/>
      <c r="DB76" s="383" t="n"/>
      <c r="DC76" s="383" t="n"/>
      <c r="DD76" s="383" t="n"/>
      <c r="DE76" s="383" t="n"/>
      <c r="DF76" s="383" t="n"/>
      <c r="DG76" s="383" t="n"/>
      <c r="DH76" s="383" t="n"/>
      <c r="DI76" s="383" t="n"/>
      <c r="DJ76" s="383" t="n"/>
      <c r="DK76" s="383" t="n"/>
      <c r="DL76" s="383" t="n"/>
      <c r="DM76" s="383" t="n"/>
      <c r="DN76" s="383" t="n"/>
      <c r="DO76" s="383" t="n"/>
      <c r="DP76" s="383" t="n"/>
      <c r="DQ76" s="383" t="n"/>
      <c r="DR76" s="383" t="n"/>
      <c r="DS76" s="383" t="n"/>
      <c r="DT76" s="383" t="n"/>
      <c r="DU76" s="383" t="n"/>
      <c r="DV76" s="383" t="n"/>
      <c r="DW76" s="383" t="n"/>
      <c r="DX76" s="383" t="n"/>
      <c r="DY76" s="383" t="n"/>
      <c r="DZ76" s="383" t="n"/>
      <c r="EA76" s="383" t="n"/>
      <c r="EB76" s="383" t="n"/>
      <c r="EC76" s="383" t="n"/>
      <c r="ED76" s="383" t="n"/>
      <c r="EE76" s="383" t="n"/>
      <c r="EF76" s="383" t="n"/>
      <c r="EG76" s="383" t="n"/>
      <c r="EH76" s="383" t="n"/>
      <c r="EI76" s="383" t="n"/>
      <c r="EJ76" s="383" t="n"/>
      <c r="EK76" s="383" t="n"/>
      <c r="EL76" s="383" t="n"/>
      <c r="EM76" s="383" t="n"/>
      <c r="EN76" s="383" t="n"/>
      <c r="EO76" s="383" t="n"/>
      <c r="EP76" s="383" t="n"/>
      <c r="EQ76" s="383" t="n"/>
      <c r="ER76" s="383" t="n"/>
      <c r="ES76" s="383" t="n"/>
      <c r="ET76" s="383" t="n"/>
      <c r="EU76" s="383" t="n"/>
      <c r="EV76" s="383" t="n"/>
      <c r="EW76" s="383" t="n"/>
      <c r="EX76" s="383" t="n"/>
      <c r="EY76" s="383" t="n"/>
      <c r="EZ76" s="383" t="n"/>
      <c r="FA76" s="383" t="n"/>
      <c r="FB76" s="383" t="n"/>
      <c r="FC76" s="383" t="n"/>
      <c r="FD76" s="383" t="n"/>
      <c r="FE76" s="383" t="n"/>
      <c r="FF76" s="383" t="n"/>
      <c r="FG76" s="383" t="n"/>
      <c r="FH76" s="383" t="n"/>
      <c r="FI76" s="383" t="n"/>
      <c r="FJ76" s="383" t="n"/>
      <c r="FK76" s="383" t="n"/>
      <c r="FL76" s="383" t="n"/>
      <c r="FM76" s="383" t="n"/>
      <c r="FN76" s="383" t="n"/>
      <c r="FO76" s="383" t="n"/>
      <c r="FP76" s="383" t="n"/>
      <c r="FQ76" s="383" t="n"/>
      <c r="FR76" s="383" t="n"/>
      <c r="FS76" s="383" t="n"/>
      <c r="FT76" s="383" t="n"/>
      <c r="FU76" s="383" t="n"/>
      <c r="FV76" s="383" t="n"/>
      <c r="FW76" s="383" t="n"/>
      <c r="FX76" s="383" t="n"/>
      <c r="FY76" s="383" t="n"/>
      <c r="FZ76" s="383" t="n"/>
      <c r="GA76" s="383" t="n"/>
      <c r="GB76" s="383" t="n"/>
      <c r="GC76" s="383" t="n"/>
      <c r="GD76" s="383" t="n"/>
      <c r="GE76" s="383" t="n"/>
      <c r="GF76" s="383" t="n"/>
      <c r="GG76" s="383" t="n"/>
      <c r="GH76" s="383" t="n"/>
      <c r="GI76" s="383" t="n"/>
      <c r="GJ76" s="383" t="n"/>
      <c r="GK76" s="383" t="n"/>
      <c r="GL76" s="383" t="n"/>
      <c r="GM76" s="383" t="n"/>
      <c r="GN76" s="383" t="n"/>
      <c r="GO76" s="383" t="n"/>
      <c r="GP76" s="383" t="n"/>
      <c r="GQ76" s="383" t="n"/>
      <c r="GR76" s="383" t="n"/>
      <c r="GS76" s="383" t="n"/>
      <c r="GT76" s="383" t="n"/>
      <c r="GU76" s="383" t="n"/>
      <c r="GV76" s="383" t="n"/>
      <c r="GW76" s="383" t="n"/>
      <c r="GX76" s="383" t="n"/>
      <c r="GY76" s="383" t="n"/>
    </row>
    <row r="77" ht="15" customHeight="1" s="1883">
      <c r="A77" s="383" t="n"/>
      <c r="B77" s="383" t="n"/>
      <c r="C77" s="383" t="n"/>
      <c r="D77" s="390" t="inlineStr">
        <is>
          <t>●</t>
        </is>
      </c>
      <c r="E77" s="545" t="inlineStr">
        <is>
          <t>Virtual Assistants</t>
        </is>
      </c>
      <c r="F77" s="383" t="n"/>
      <c r="G77" s="383" t="n"/>
      <c r="H77" s="383" t="n"/>
      <c r="I77" s="383" t="n"/>
      <c r="J77" s="462" t="n">
        <v>12000</v>
      </c>
      <c r="K77" s="462">
        <f>J77*1.03</f>
        <v/>
      </c>
      <c r="L77" s="462">
        <f>K77*1.03</f>
        <v/>
      </c>
      <c r="M77" s="462">
        <f>L77*1.03</f>
        <v/>
      </c>
      <c r="N77" s="462">
        <f>M77*1.03</f>
        <v/>
      </c>
      <c r="O77" s="383" t="n"/>
      <c r="P77" s="384" t="n">
        <v>16</v>
      </c>
      <c r="Q77" s="384" t="n">
        <v>16</v>
      </c>
      <c r="R77" s="384" t="n">
        <v>16</v>
      </c>
      <c r="S77" s="384" t="n">
        <v>16</v>
      </c>
      <c r="T77" s="384" t="n">
        <v>16</v>
      </c>
      <c r="U77" s="384" t="n">
        <v>16</v>
      </c>
      <c r="V77" s="384" t="n">
        <v>16</v>
      </c>
      <c r="W77" s="384" t="n">
        <v>25</v>
      </c>
      <c r="X77" s="384" t="n">
        <v>25</v>
      </c>
      <c r="Y77" s="384" t="n">
        <v>25</v>
      </c>
      <c r="Z77" s="384" t="n">
        <v>25</v>
      </c>
      <c r="AA77" s="384" t="n">
        <v>25</v>
      </c>
      <c r="AB77" s="542" t="n">
        <v>35</v>
      </c>
      <c r="AC77" s="542" t="n">
        <v>35</v>
      </c>
      <c r="AD77" s="542" t="n">
        <v>35</v>
      </c>
      <c r="AE77" s="542" t="n">
        <v>35</v>
      </c>
      <c r="AF77" s="542" t="n">
        <v>35</v>
      </c>
      <c r="AG77" s="542" t="n">
        <v>35</v>
      </c>
      <c r="AH77" s="384" t="n">
        <v>45</v>
      </c>
      <c r="AI77" s="384" t="n">
        <v>45</v>
      </c>
      <c r="AJ77" s="384" t="n">
        <v>45</v>
      </c>
      <c r="AK77" s="384" t="n">
        <v>45</v>
      </c>
      <c r="AL77" s="384" t="n">
        <v>45</v>
      </c>
      <c r="AM77" s="384" t="n">
        <v>45</v>
      </c>
      <c r="AN77" s="542" t="n">
        <v>55</v>
      </c>
      <c r="AO77" s="542" t="n">
        <v>55</v>
      </c>
      <c r="AP77" s="542" t="n">
        <v>55</v>
      </c>
      <c r="AQ77" s="542" t="n">
        <v>55</v>
      </c>
      <c r="AR77" s="542" t="n">
        <v>55</v>
      </c>
      <c r="AS77" s="542" t="n">
        <v>55</v>
      </c>
      <c r="AT77" s="542" t="n">
        <v>55</v>
      </c>
      <c r="AU77" s="542" t="n">
        <v>55</v>
      </c>
      <c r="AV77" s="542" t="n">
        <v>55</v>
      </c>
      <c r="AW77" s="542" t="n">
        <v>55</v>
      </c>
      <c r="AX77" s="542" t="n">
        <v>55</v>
      </c>
      <c r="AY77" s="542" t="n">
        <v>55</v>
      </c>
      <c r="AZ77" s="542" t="n">
        <v>75</v>
      </c>
      <c r="BA77" s="542" t="n">
        <v>75</v>
      </c>
      <c r="BB77" s="542" t="n">
        <v>75</v>
      </c>
      <c r="BC77" s="542" t="n">
        <v>75</v>
      </c>
      <c r="BD77" s="542" t="n">
        <v>75</v>
      </c>
      <c r="BE77" s="542" t="n">
        <v>75</v>
      </c>
      <c r="BF77" s="542" t="n">
        <v>75</v>
      </c>
      <c r="BG77" s="542" t="n">
        <v>75</v>
      </c>
      <c r="BH77" s="542" t="n">
        <v>75</v>
      </c>
      <c r="BI77" s="542" t="n">
        <v>75</v>
      </c>
      <c r="BJ77" s="542" t="n">
        <v>75</v>
      </c>
      <c r="BK77" s="542" t="n">
        <v>75</v>
      </c>
      <c r="BL77" s="542" t="n">
        <v>90</v>
      </c>
      <c r="BM77" s="542" t="n">
        <v>90</v>
      </c>
      <c r="BN77" s="542" t="n">
        <v>90</v>
      </c>
      <c r="BO77" s="542" t="n">
        <v>90</v>
      </c>
      <c r="BP77" s="542" t="n">
        <v>90</v>
      </c>
      <c r="BQ77" s="542" t="n">
        <v>90</v>
      </c>
      <c r="BR77" s="542" t="n">
        <v>90</v>
      </c>
      <c r="BS77" s="542" t="n">
        <v>90</v>
      </c>
      <c r="BT77" s="542" t="n">
        <v>90</v>
      </c>
      <c r="BU77" s="542" t="n">
        <v>90</v>
      </c>
      <c r="BV77" s="542" t="n">
        <v>90</v>
      </c>
      <c r="BW77" s="542" t="n">
        <v>90</v>
      </c>
      <c r="BX77" s="383" t="n"/>
      <c r="BY77" s="383" t="n"/>
      <c r="BZ77" s="383" t="n"/>
      <c r="CA77" s="383" t="n"/>
      <c r="CB77" s="383" t="n"/>
      <c r="CC77" s="383" t="n"/>
      <c r="CD77" s="383" t="n"/>
      <c r="CE77" s="383" t="n"/>
      <c r="CF77" s="383" t="n"/>
      <c r="CG77" s="383" t="n"/>
      <c r="CH77" s="383" t="n"/>
      <c r="CI77" s="383" t="n"/>
      <c r="CJ77" s="383" t="n"/>
      <c r="CK77" s="383" t="n"/>
      <c r="CL77" s="383" t="n"/>
      <c r="CM77" s="383" t="n"/>
      <c r="CN77" s="383" t="n"/>
      <c r="CO77" s="383" t="n"/>
      <c r="CP77" s="383" t="n"/>
      <c r="CQ77" s="383" t="n"/>
      <c r="CR77" s="383" t="n"/>
      <c r="CS77" s="383" t="n"/>
      <c r="CT77" s="383" t="n"/>
      <c r="CU77" s="383" t="n"/>
      <c r="CV77" s="383" t="n"/>
      <c r="CW77" s="383" t="n"/>
      <c r="CX77" s="383" t="n"/>
      <c r="CY77" s="383" t="n"/>
      <c r="CZ77" s="383" t="n"/>
      <c r="DA77" s="383" t="n"/>
      <c r="DB77" s="383" t="n"/>
      <c r="DC77" s="383" t="n"/>
      <c r="DD77" s="383" t="n"/>
      <c r="DE77" s="383" t="n"/>
      <c r="DF77" s="383" t="n"/>
      <c r="DG77" s="383" t="n"/>
      <c r="DH77" s="383" t="n"/>
      <c r="DI77" s="383" t="n"/>
      <c r="DJ77" s="383" t="n"/>
      <c r="DK77" s="383" t="n"/>
      <c r="DL77" s="383" t="n"/>
      <c r="DM77" s="383" t="n"/>
      <c r="DN77" s="383" t="n"/>
      <c r="DO77" s="383" t="n"/>
      <c r="DP77" s="383" t="n"/>
      <c r="DQ77" s="383" t="n"/>
      <c r="DR77" s="383" t="n"/>
      <c r="DS77" s="383" t="n"/>
      <c r="DT77" s="383" t="n"/>
      <c r="DU77" s="383" t="n"/>
      <c r="DV77" s="383" t="n"/>
      <c r="DW77" s="383" t="n"/>
      <c r="DX77" s="383" t="n"/>
      <c r="DY77" s="383" t="n"/>
      <c r="DZ77" s="383" t="n"/>
      <c r="EA77" s="383" t="n"/>
      <c r="EB77" s="383" t="n"/>
      <c r="EC77" s="383" t="n"/>
      <c r="ED77" s="383" t="n"/>
      <c r="EE77" s="383" t="n"/>
      <c r="EF77" s="383" t="n"/>
      <c r="EG77" s="383" t="n"/>
      <c r="EH77" s="383" t="n"/>
      <c r="EI77" s="383" t="n"/>
      <c r="EJ77" s="383" t="n"/>
      <c r="EK77" s="383" t="n"/>
      <c r="EL77" s="383" t="n"/>
      <c r="EM77" s="383" t="n"/>
      <c r="EN77" s="383" t="n"/>
      <c r="EO77" s="383" t="n"/>
      <c r="EP77" s="383" t="n"/>
      <c r="EQ77" s="383" t="n"/>
      <c r="ER77" s="383" t="n"/>
      <c r="ES77" s="383" t="n"/>
      <c r="ET77" s="383" t="n"/>
      <c r="EU77" s="383" t="n"/>
      <c r="EV77" s="383" t="n"/>
      <c r="EW77" s="383" t="n"/>
      <c r="EX77" s="383" t="n"/>
      <c r="EY77" s="383" t="n"/>
      <c r="EZ77" s="383" t="n"/>
      <c r="FA77" s="383" t="n"/>
      <c r="FB77" s="383" t="n"/>
      <c r="FC77" s="383" t="n"/>
      <c r="FD77" s="383" t="n"/>
      <c r="FE77" s="383" t="n"/>
      <c r="FF77" s="383" t="n"/>
      <c r="FG77" s="383" t="n"/>
      <c r="FH77" s="383" t="n"/>
      <c r="FI77" s="383" t="n"/>
      <c r="FJ77" s="383" t="n"/>
      <c r="FK77" s="383" t="n"/>
      <c r="FL77" s="383" t="n"/>
      <c r="FM77" s="383" t="n"/>
      <c r="FN77" s="383" t="n"/>
      <c r="FO77" s="383" t="n"/>
      <c r="FP77" s="383" t="n"/>
      <c r="FQ77" s="383" t="n"/>
      <c r="FR77" s="383" t="n"/>
      <c r="FS77" s="383" t="n"/>
      <c r="FT77" s="383" t="n"/>
      <c r="FU77" s="383" t="n"/>
      <c r="FV77" s="383" t="n"/>
      <c r="FW77" s="383" t="n"/>
      <c r="FX77" s="383" t="n"/>
      <c r="FY77" s="383" t="n"/>
      <c r="FZ77" s="383" t="n"/>
      <c r="GA77" s="383" t="n"/>
      <c r="GB77" s="383" t="n"/>
      <c r="GC77" s="383" t="n"/>
      <c r="GD77" s="383" t="n"/>
      <c r="GE77" s="383" t="n"/>
      <c r="GF77" s="383" t="n"/>
      <c r="GG77" s="383" t="n"/>
      <c r="GH77" s="383" t="n"/>
      <c r="GI77" s="383" t="n"/>
      <c r="GJ77" s="383" t="n"/>
      <c r="GK77" s="383" t="n"/>
      <c r="GL77" s="383" t="n"/>
      <c r="GM77" s="383" t="n"/>
      <c r="GN77" s="383" t="n"/>
      <c r="GO77" s="383" t="n"/>
      <c r="GP77" s="383" t="n"/>
      <c r="GQ77" s="383" t="n"/>
      <c r="GR77" s="383" t="n"/>
      <c r="GS77" s="383" t="n"/>
      <c r="GT77" s="383" t="n"/>
      <c r="GU77" s="383" t="n"/>
      <c r="GV77" s="383" t="n"/>
      <c r="GW77" s="383" t="n"/>
      <c r="GX77" s="383" t="n"/>
      <c r="GY77" s="383" t="n"/>
    </row>
    <row r="78" ht="15" customHeight="1" s="1883">
      <c r="A78" s="383" t="n"/>
      <c r="B78" s="383" t="n"/>
      <c r="C78" s="383" t="n"/>
      <c r="D78" s="383" t="n"/>
      <c r="E78" s="383" t="n"/>
      <c r="F78" s="383" t="n"/>
      <c r="G78" s="383" t="n"/>
      <c r="H78" s="383" t="n"/>
      <c r="I78" s="383" t="n"/>
      <c r="J78" s="462" t="n"/>
      <c r="K78" s="462" t="n"/>
      <c r="L78" s="462" t="n"/>
      <c r="M78" s="462" t="n"/>
      <c r="N78" s="462" t="n"/>
      <c r="O78" s="383" t="n"/>
      <c r="P78" s="383" t="n"/>
      <c r="Q78" s="383" t="n"/>
      <c r="R78" s="383" t="n"/>
      <c r="S78" s="383" t="n"/>
      <c r="T78" s="383" t="n"/>
      <c r="U78" s="383" t="n"/>
      <c r="V78" s="383" t="n"/>
      <c r="W78" s="383" t="n"/>
      <c r="X78" s="383" t="n"/>
      <c r="Y78" s="383" t="n"/>
      <c r="Z78" s="383" t="n"/>
      <c r="AA78" s="383" t="n"/>
      <c r="AB78" s="541" t="n"/>
      <c r="AC78" s="383" t="n"/>
      <c r="AD78" s="383" t="n"/>
      <c r="AE78" s="383" t="n"/>
      <c r="AF78" s="383" t="n"/>
      <c r="AG78" s="383" t="n"/>
      <c r="AH78" s="383" t="n"/>
      <c r="AI78" s="383" t="n"/>
      <c r="AJ78" s="383" t="n"/>
      <c r="AK78" s="383" t="n"/>
      <c r="AL78" s="383" t="n"/>
      <c r="AM78" s="383" t="n"/>
      <c r="AN78" s="541" t="n"/>
      <c r="AO78" s="383" t="n"/>
      <c r="AP78" s="383" t="n"/>
      <c r="AQ78" s="383" t="n"/>
      <c r="AR78" s="383" t="n"/>
      <c r="AS78" s="383" t="n"/>
      <c r="AT78" s="383" t="n"/>
      <c r="AU78" s="383" t="n"/>
      <c r="AV78" s="383" t="n"/>
      <c r="AW78" s="383" t="n"/>
      <c r="AX78" s="383" t="n"/>
      <c r="AY78" s="1910" t="n"/>
      <c r="AZ78" s="541" t="n"/>
      <c r="BA78" s="383" t="n"/>
      <c r="BB78" s="383" t="n"/>
      <c r="BC78" s="383" t="n"/>
      <c r="BD78" s="383" t="n"/>
      <c r="BE78" s="383" t="n"/>
      <c r="BF78" s="383" t="n"/>
      <c r="BG78" s="383" t="n"/>
      <c r="BH78" s="383" t="n"/>
      <c r="BI78" s="383" t="n"/>
      <c r="BJ78" s="383" t="n"/>
      <c r="BK78" s="383" t="n"/>
      <c r="BL78" s="541" t="n"/>
      <c r="BM78" s="383" t="n"/>
      <c r="BN78" s="383" t="n"/>
      <c r="BO78" s="383" t="n"/>
      <c r="BP78" s="383" t="n"/>
      <c r="BQ78" s="383" t="n"/>
      <c r="BR78" s="383" t="n"/>
      <c r="BS78" s="383" t="n"/>
      <c r="BT78" s="383" t="n"/>
      <c r="BU78" s="383" t="n"/>
      <c r="BV78" s="383" t="n"/>
      <c r="BW78" s="383" t="n"/>
      <c r="BX78" s="383" t="n"/>
      <c r="BY78" s="383" t="n"/>
      <c r="BZ78" s="383" t="n"/>
      <c r="CA78" s="383" t="n"/>
      <c r="CB78" s="383" t="n"/>
      <c r="CC78" s="383" t="n"/>
      <c r="CD78" s="383" t="n"/>
      <c r="CE78" s="383" t="n"/>
      <c r="CF78" s="383" t="n"/>
      <c r="CG78" s="383" t="n"/>
      <c r="CH78" s="383" t="n"/>
      <c r="CI78" s="383" t="n"/>
      <c r="CJ78" s="383" t="n"/>
      <c r="CK78" s="383" t="n"/>
      <c r="CL78" s="383" t="n"/>
      <c r="CM78" s="383" t="n"/>
      <c r="CN78" s="383" t="n"/>
      <c r="CO78" s="383" t="n"/>
      <c r="CP78" s="383" t="n"/>
      <c r="CQ78" s="383" t="n"/>
      <c r="CR78" s="383" t="n"/>
      <c r="CS78" s="383" t="n"/>
      <c r="CT78" s="383" t="n"/>
      <c r="CU78" s="383" t="n"/>
      <c r="CV78" s="383" t="n"/>
      <c r="CW78" s="383" t="n"/>
      <c r="CX78" s="383" t="n"/>
      <c r="CY78" s="383" t="n"/>
      <c r="CZ78" s="383" t="n"/>
      <c r="DA78" s="383" t="n"/>
      <c r="DB78" s="383" t="n"/>
      <c r="DC78" s="383" t="n"/>
      <c r="DD78" s="383" t="n"/>
      <c r="DE78" s="383" t="n"/>
      <c r="DF78" s="383" t="n"/>
      <c r="DG78" s="383" t="n"/>
      <c r="DH78" s="383" t="n"/>
      <c r="DI78" s="383" t="n"/>
      <c r="DJ78" s="383" t="n"/>
      <c r="DK78" s="383" t="n"/>
      <c r="DL78" s="383" t="n"/>
      <c r="DM78" s="383" t="n"/>
      <c r="DN78" s="383" t="n"/>
      <c r="DO78" s="383" t="n"/>
      <c r="DP78" s="383" t="n"/>
      <c r="DQ78" s="383" t="n"/>
      <c r="DR78" s="383" t="n"/>
      <c r="DS78" s="383" t="n"/>
      <c r="DT78" s="383" t="n"/>
      <c r="DU78" s="383" t="n"/>
      <c r="DV78" s="383" t="n"/>
      <c r="DW78" s="383" t="n"/>
      <c r="DX78" s="383" t="n"/>
      <c r="DY78" s="383" t="n"/>
      <c r="DZ78" s="383" t="n"/>
      <c r="EA78" s="383" t="n"/>
      <c r="EB78" s="383" t="n"/>
      <c r="EC78" s="383" t="n"/>
      <c r="ED78" s="383" t="n"/>
      <c r="EE78" s="383" t="n"/>
      <c r="EF78" s="383" t="n"/>
      <c r="EG78" s="383" t="n"/>
      <c r="EH78" s="383" t="n"/>
      <c r="EI78" s="383" t="n"/>
      <c r="EJ78" s="383" t="n"/>
      <c r="EK78" s="383" t="n"/>
      <c r="EL78" s="383" t="n"/>
      <c r="EM78" s="383" t="n"/>
      <c r="EN78" s="383" t="n"/>
      <c r="EO78" s="383" t="n"/>
      <c r="EP78" s="383" t="n"/>
      <c r="EQ78" s="383" t="n"/>
      <c r="ER78" s="383" t="n"/>
      <c r="ES78" s="383" t="n"/>
      <c r="ET78" s="383" t="n"/>
      <c r="EU78" s="383" t="n"/>
      <c r="EV78" s="383" t="n"/>
      <c r="EW78" s="383" t="n"/>
      <c r="EX78" s="383" t="n"/>
      <c r="EY78" s="383" t="n"/>
      <c r="EZ78" s="383" t="n"/>
      <c r="FA78" s="383" t="n"/>
      <c r="FB78" s="383" t="n"/>
      <c r="FC78" s="383" t="n"/>
      <c r="FD78" s="383" t="n"/>
      <c r="FE78" s="383" t="n"/>
      <c r="FF78" s="383" t="n"/>
      <c r="FG78" s="383" t="n"/>
      <c r="FH78" s="383" t="n"/>
      <c r="FI78" s="383" t="n"/>
      <c r="FJ78" s="383" t="n"/>
      <c r="FK78" s="383" t="n"/>
      <c r="FL78" s="383" t="n"/>
      <c r="FM78" s="383" t="n"/>
      <c r="FN78" s="383" t="n"/>
      <c r="FO78" s="383" t="n"/>
      <c r="FP78" s="383" t="n"/>
      <c r="FQ78" s="383" t="n"/>
      <c r="FR78" s="383" t="n"/>
      <c r="FS78" s="383" t="n"/>
      <c r="FT78" s="383" t="n"/>
      <c r="FU78" s="383" t="n"/>
      <c r="FV78" s="383" t="n"/>
      <c r="FW78" s="383" t="n"/>
      <c r="FX78" s="383" t="n"/>
      <c r="FY78" s="383" t="n"/>
      <c r="FZ78" s="383" t="n"/>
      <c r="GA78" s="383" t="n"/>
      <c r="GB78" s="383" t="n"/>
      <c r="GC78" s="383" t="n"/>
      <c r="GD78" s="383" t="n"/>
      <c r="GE78" s="383" t="n"/>
      <c r="GF78" s="383" t="n"/>
      <c r="GG78" s="383" t="n"/>
      <c r="GH78" s="383" t="n"/>
      <c r="GI78" s="383" t="n"/>
      <c r="GJ78" s="383" t="n"/>
      <c r="GK78" s="383" t="n"/>
      <c r="GL78" s="383" t="n"/>
      <c r="GM78" s="383" t="n"/>
      <c r="GN78" s="383" t="n"/>
      <c r="GO78" s="383" t="n"/>
      <c r="GP78" s="383" t="n"/>
      <c r="GQ78" s="383" t="n"/>
      <c r="GR78" s="383" t="n"/>
      <c r="GS78" s="383" t="n"/>
      <c r="GT78" s="383" t="n"/>
      <c r="GU78" s="383" t="n"/>
      <c r="GV78" s="383" t="n"/>
      <c r="GW78" s="383" t="n"/>
      <c r="GX78" s="383" t="n"/>
      <c r="GY78" s="383" t="n"/>
    </row>
    <row r="79" ht="15" customHeight="1" s="1883">
      <c r="A79" s="383" t="n"/>
      <c r="B79" s="383" t="n"/>
      <c r="C79" s="383" t="n"/>
      <c r="D79" s="383" t="n"/>
      <c r="E79" s="383" t="n"/>
      <c r="F79" s="383" t="n"/>
      <c r="G79" s="383" t="n"/>
      <c r="H79" s="383" t="n"/>
      <c r="I79" s="383" t="n"/>
      <c r="J79" s="462" t="n"/>
      <c r="K79" s="462" t="n"/>
      <c r="L79" s="1971" t="inlineStr">
        <is>
          <t>Total Support Payroll, by Month, Months 1 - 60</t>
        </is>
      </c>
      <c r="O79" s="526" t="n"/>
      <c r="P79" s="543">
        <f>ROUND(SUMPRODUCT($J64:$J77,P64:P77)/12,0)</f>
        <v/>
      </c>
      <c r="Q79" s="543">
        <f>ROUND(SUMPRODUCT($J64:$J77,Q64:Q77)/12,0)</f>
        <v/>
      </c>
      <c r="R79" s="543">
        <f>ROUND(SUMPRODUCT($J64:$J77,R64:R77)/12,0)</f>
        <v/>
      </c>
      <c r="S79" s="543">
        <f>ROUND(SUMPRODUCT($J64:$J77,S64:S77)/12,0)</f>
        <v/>
      </c>
      <c r="T79" s="543">
        <f>ROUND(SUMPRODUCT($J64:$J77,T64:T77)/12,0)</f>
        <v/>
      </c>
      <c r="U79" s="543">
        <f>ROUND(SUMPRODUCT($J64:$J77,U64:U77)/12,0)</f>
        <v/>
      </c>
      <c r="V79" s="543">
        <f>ROUND(SUMPRODUCT($J64:$J77,V64:V77)/12,0)</f>
        <v/>
      </c>
      <c r="W79" s="543">
        <f>ROUND(SUMPRODUCT($J64:$J77,W64:W77)/12,0)</f>
        <v/>
      </c>
      <c r="X79" s="543">
        <f>ROUND(SUMPRODUCT($J64:$J77,X64:X77)/12,0)</f>
        <v/>
      </c>
      <c r="Y79" s="543">
        <f>ROUND(SUMPRODUCT($J64:$J77,Y64:Y77)/12,0)</f>
        <v/>
      </c>
      <c r="Z79" s="543">
        <f>ROUND(SUMPRODUCT($J64:$J77,Z64:Z77)/12,0)</f>
        <v/>
      </c>
      <c r="AA79" s="543">
        <f>ROUND(SUMPRODUCT($J64:$J77,AA64:AA77)/12,0)</f>
        <v/>
      </c>
      <c r="AB79" s="544">
        <f>ROUND(SUMPRODUCT($K64:$K77,AB64:AB77)/12,0)</f>
        <v/>
      </c>
      <c r="AC79" s="544">
        <f>ROUND(SUMPRODUCT($K64:$K77,AC64:AC77)/12,0)</f>
        <v/>
      </c>
      <c r="AD79" s="544">
        <f>ROUND(SUMPRODUCT($K64:$K77,AD64:AD77)/12,0)</f>
        <v/>
      </c>
      <c r="AE79" s="544">
        <f>ROUND(SUMPRODUCT($K64:$K77,AE64:AE77)/12,0)</f>
        <v/>
      </c>
      <c r="AF79" s="544">
        <f>ROUND(SUMPRODUCT($K64:$K77,AF64:AF77)/12,0)</f>
        <v/>
      </c>
      <c r="AG79" s="544">
        <f>ROUND(SUMPRODUCT($K64:$K77,AG64:AG77)/12,0)</f>
        <v/>
      </c>
      <c r="AH79" s="544">
        <f>ROUND(SUMPRODUCT($K64:$K77,AH64:AH77)/12,0)</f>
        <v/>
      </c>
      <c r="AI79" s="544">
        <f>ROUND(SUMPRODUCT($K64:$K77,AI64:AI77)/12,0)</f>
        <v/>
      </c>
      <c r="AJ79" s="544">
        <f>ROUND(SUMPRODUCT($K64:$K77,AJ64:AJ77)/12,0)</f>
        <v/>
      </c>
      <c r="AK79" s="544">
        <f>ROUND(SUMPRODUCT($K64:$K77,AK64:AK77)/12,0)</f>
        <v/>
      </c>
      <c r="AL79" s="544">
        <f>ROUND(SUMPRODUCT($K64:$K77,AL64:AL77)/12,0)</f>
        <v/>
      </c>
      <c r="AM79" s="544">
        <f>ROUND(SUMPRODUCT($K64:$K77,AM64:AM77)/12,0)</f>
        <v/>
      </c>
      <c r="AN79" s="544">
        <f>ROUND(SUMPRODUCT($L64:$L77,AN64:AN77)/12,0)</f>
        <v/>
      </c>
      <c r="AO79" s="544">
        <f>ROUND(SUMPRODUCT($L64:$L77,AO64:AO77)/12,0)</f>
        <v/>
      </c>
      <c r="AP79" s="544">
        <f>ROUND(SUMPRODUCT($L64:$L77,AP64:AP77)/12,0)</f>
        <v/>
      </c>
      <c r="AQ79" s="544">
        <f>ROUND(SUMPRODUCT($L64:$L77,AQ64:AQ77)/12,0)</f>
        <v/>
      </c>
      <c r="AR79" s="544">
        <f>ROUND(SUMPRODUCT($L64:$L77,AR64:AR77)/12,0)</f>
        <v/>
      </c>
      <c r="AS79" s="544">
        <f>ROUND(SUMPRODUCT($L64:$L77,AS64:AS77)/12,0)</f>
        <v/>
      </c>
      <c r="AT79" s="544">
        <f>ROUND(SUMPRODUCT($L64:$L77,AT64:AT77)/12,0)</f>
        <v/>
      </c>
      <c r="AU79" s="544">
        <f>ROUND(SUMPRODUCT($L64:$L77,AU64:AU77)/12,0)</f>
        <v/>
      </c>
      <c r="AV79" s="544">
        <f>ROUND(SUMPRODUCT($L64:$L77,AV64:AV77)/12,0)</f>
        <v/>
      </c>
      <c r="AW79" s="544">
        <f>ROUND(SUMPRODUCT($L64:$L77,AW64:AW77)/12,0)</f>
        <v/>
      </c>
      <c r="AX79" s="544">
        <f>ROUND(SUMPRODUCT($L64:$L77,AX64:AX77)/12,0)</f>
        <v/>
      </c>
      <c r="AY79" s="544">
        <f>ROUND(SUMPRODUCT($L64:$L77,AY64:AY77)/12,0)</f>
        <v/>
      </c>
      <c r="AZ79" s="544">
        <f>ROUND(SUMPRODUCT($M64:$M77,AZ64:AZ77)/12,0)</f>
        <v/>
      </c>
      <c r="BA79" s="544">
        <f>ROUND(SUMPRODUCT($M64:$M77,BA64:BA77)/12,0)</f>
        <v/>
      </c>
      <c r="BB79" s="544">
        <f>ROUND(SUMPRODUCT($M64:$M77,BB64:BB77)/12,0)</f>
        <v/>
      </c>
      <c r="BC79" s="544">
        <f>ROUND(SUMPRODUCT($M64:$M77,BC64:BC77)/12,0)</f>
        <v/>
      </c>
      <c r="BD79" s="544">
        <f>ROUND(SUMPRODUCT($M64:$M77,BD64:BD77)/12,0)</f>
        <v/>
      </c>
      <c r="BE79" s="544">
        <f>ROUND(SUMPRODUCT($M64:$M77,BE64:BE77)/12,0)</f>
        <v/>
      </c>
      <c r="BF79" s="544">
        <f>ROUND(SUMPRODUCT($M64:$M77,BF64:BF77)/12,0)</f>
        <v/>
      </c>
      <c r="BG79" s="544">
        <f>ROUND(SUMPRODUCT($M64:$M77,BG64:BG77)/12,0)</f>
        <v/>
      </c>
      <c r="BH79" s="544">
        <f>ROUND(SUMPRODUCT($M64:$M77,BH64:BH77)/12,0)</f>
        <v/>
      </c>
      <c r="BI79" s="544">
        <f>ROUND(SUMPRODUCT($M64:$M77,BI64:BI77)/12,0)</f>
        <v/>
      </c>
      <c r="BJ79" s="544">
        <f>ROUND(SUMPRODUCT($M64:$M77,BJ64:BJ77)/12,0)</f>
        <v/>
      </c>
      <c r="BK79" s="544">
        <f>ROUND(SUMPRODUCT($M64:$M77,BK64:BK77)/12,0)</f>
        <v/>
      </c>
      <c r="BL79" s="544">
        <f>ROUND(SUMPRODUCT($N64:$N77,BL64:BL77)/12,0)</f>
        <v/>
      </c>
      <c r="BM79" s="544">
        <f>ROUND(SUMPRODUCT($N64:$N77,BM64:BM77)/12,0)</f>
        <v/>
      </c>
      <c r="BN79" s="544">
        <f>ROUND(SUMPRODUCT($N64:$N77,BN64:BN77)/12,0)</f>
        <v/>
      </c>
      <c r="BO79" s="544">
        <f>ROUND(SUMPRODUCT($N64:$N77,BO64:BO77)/12,0)</f>
        <v/>
      </c>
      <c r="BP79" s="544">
        <f>ROUND(SUMPRODUCT($N64:$N77,BP64:BP77)/12,0)</f>
        <v/>
      </c>
      <c r="BQ79" s="544">
        <f>ROUND(SUMPRODUCT($N64:$N77,BQ64:BQ77)/12,0)</f>
        <v/>
      </c>
      <c r="BR79" s="544">
        <f>ROUND(SUMPRODUCT($N64:$N77,BR64:BR77)/12,0)</f>
        <v/>
      </c>
      <c r="BS79" s="544">
        <f>ROUND(SUMPRODUCT($N64:$N77,BS64:BS77)/12,0)</f>
        <v/>
      </c>
      <c r="BT79" s="544">
        <f>ROUND(SUMPRODUCT($N64:$N77,BT64:BT77)/12,0)</f>
        <v/>
      </c>
      <c r="BU79" s="544">
        <f>ROUND(SUMPRODUCT($N64:$N77,BU64:BU77)/12,0)</f>
        <v/>
      </c>
      <c r="BV79" s="544">
        <f>ROUND(SUMPRODUCT($N64:$N77,BV64:BV77)/12,0)</f>
        <v/>
      </c>
      <c r="BW79" s="544">
        <f>ROUND(SUMPRODUCT($N64:$N77,BW64:BW77)/12,0)</f>
        <v/>
      </c>
      <c r="BX79" s="383" t="n"/>
      <c r="BY79" s="383" t="n"/>
      <c r="BZ79" s="383" t="n"/>
      <c r="CA79" s="383" t="n"/>
      <c r="CB79" s="383" t="n"/>
      <c r="CC79" s="383" t="n"/>
      <c r="CD79" s="383" t="n"/>
      <c r="CE79" s="383" t="n"/>
      <c r="CF79" s="383" t="n"/>
      <c r="CG79" s="383" t="n"/>
      <c r="CH79" s="383" t="n"/>
      <c r="CI79" s="383" t="n"/>
      <c r="CJ79" s="383" t="n"/>
      <c r="CK79" s="383" t="n"/>
      <c r="CL79" s="383" t="n"/>
      <c r="CM79" s="383" t="n"/>
      <c r="CN79" s="383" t="n"/>
      <c r="CO79" s="383" t="n"/>
      <c r="CP79" s="383" t="n"/>
      <c r="CQ79" s="383" t="n"/>
      <c r="CR79" s="383" t="n"/>
      <c r="CS79" s="383" t="n"/>
      <c r="CT79" s="383" t="n"/>
      <c r="CU79" s="383" t="n"/>
      <c r="CV79" s="383" t="n"/>
      <c r="CW79" s="383" t="n"/>
      <c r="CX79" s="383" t="n"/>
      <c r="CY79" s="383" t="n"/>
      <c r="CZ79" s="383" t="n"/>
      <c r="DA79" s="383" t="n"/>
      <c r="DB79" s="383" t="n"/>
      <c r="DC79" s="383" t="n"/>
      <c r="DD79" s="383" t="n"/>
      <c r="DE79" s="383" t="n"/>
      <c r="DF79" s="383" t="n"/>
      <c r="DG79" s="383" t="n"/>
      <c r="DH79" s="383" t="n"/>
      <c r="DI79" s="383" t="n"/>
      <c r="DJ79" s="383" t="n"/>
      <c r="DK79" s="383" t="n"/>
      <c r="DL79" s="383" t="n"/>
      <c r="DM79" s="383" t="n"/>
      <c r="DN79" s="383" t="n"/>
      <c r="DO79" s="383" t="n"/>
      <c r="DP79" s="383" t="n"/>
      <c r="DQ79" s="383" t="n"/>
      <c r="DR79" s="383" t="n"/>
      <c r="DS79" s="383" t="n"/>
      <c r="DT79" s="383" t="n"/>
      <c r="DU79" s="383" t="n"/>
      <c r="DV79" s="383" t="n"/>
      <c r="DW79" s="383" t="n"/>
      <c r="DX79" s="383" t="n"/>
      <c r="DY79" s="383" t="n"/>
      <c r="DZ79" s="383" t="n"/>
      <c r="EA79" s="383" t="n"/>
      <c r="EB79" s="383" t="n"/>
      <c r="EC79" s="383" t="n"/>
      <c r="ED79" s="383" t="n"/>
      <c r="EE79" s="383" t="n"/>
      <c r="EF79" s="383" t="n"/>
      <c r="EG79" s="383" t="n"/>
      <c r="EH79" s="383" t="n"/>
      <c r="EI79" s="383" t="n"/>
      <c r="EJ79" s="383" t="n"/>
      <c r="EK79" s="383" t="n"/>
      <c r="EL79" s="383" t="n"/>
      <c r="EM79" s="383" t="n"/>
      <c r="EN79" s="383" t="n"/>
      <c r="EO79" s="383" t="n"/>
      <c r="EP79" s="383" t="n"/>
      <c r="EQ79" s="383" t="n"/>
      <c r="ER79" s="383" t="n"/>
      <c r="ES79" s="383" t="n"/>
      <c r="ET79" s="383" t="n"/>
      <c r="EU79" s="383" t="n"/>
      <c r="EV79" s="383" t="n"/>
      <c r="EW79" s="383" t="n"/>
      <c r="EX79" s="383" t="n"/>
      <c r="EY79" s="383" t="n"/>
      <c r="EZ79" s="383" t="n"/>
      <c r="FA79" s="383" t="n"/>
      <c r="FB79" s="383" t="n"/>
      <c r="FC79" s="383" t="n"/>
      <c r="FD79" s="383" t="n"/>
      <c r="FE79" s="383" t="n"/>
      <c r="FF79" s="383" t="n"/>
      <c r="FG79" s="383" t="n"/>
      <c r="FH79" s="383" t="n"/>
      <c r="FI79" s="383" t="n"/>
      <c r="FJ79" s="383" t="n"/>
      <c r="FK79" s="383" t="n"/>
      <c r="FL79" s="383" t="n"/>
      <c r="FM79" s="383" t="n"/>
      <c r="FN79" s="383" t="n"/>
      <c r="FO79" s="383" t="n"/>
      <c r="FP79" s="383" t="n"/>
      <c r="FQ79" s="383" t="n"/>
      <c r="FR79" s="383" t="n"/>
      <c r="FS79" s="383" t="n"/>
      <c r="FT79" s="383" t="n"/>
      <c r="FU79" s="383" t="n"/>
      <c r="FV79" s="383" t="n"/>
      <c r="FW79" s="383" t="n"/>
      <c r="FX79" s="383" t="n"/>
      <c r="FY79" s="383" t="n"/>
      <c r="FZ79" s="383" t="n"/>
      <c r="GA79" s="383" t="n"/>
      <c r="GB79" s="383" t="n"/>
      <c r="GC79" s="383" t="n"/>
      <c r="GD79" s="383" t="n"/>
      <c r="GE79" s="383" t="n"/>
      <c r="GF79" s="383" t="n"/>
      <c r="GG79" s="383" t="n"/>
      <c r="GH79" s="383" t="n"/>
      <c r="GI79" s="383" t="n"/>
      <c r="GJ79" s="383" t="n"/>
      <c r="GK79" s="383" t="n"/>
      <c r="GL79" s="383" t="n"/>
      <c r="GM79" s="383" t="n"/>
      <c r="GN79" s="383" t="n"/>
      <c r="GO79" s="383" t="n"/>
      <c r="GP79" s="383" t="n"/>
      <c r="GQ79" s="383" t="n"/>
      <c r="GR79" s="383" t="n"/>
      <c r="GS79" s="383" t="n"/>
      <c r="GT79" s="383" t="n"/>
      <c r="GU79" s="383" t="n"/>
      <c r="GV79" s="383" t="n"/>
      <c r="GW79" s="383" t="n"/>
      <c r="GX79" s="383" t="n"/>
      <c r="GY79" s="383" t="n"/>
    </row>
    <row r="80" ht="15" customHeight="1" s="1883">
      <c r="A80" s="383" t="n"/>
      <c r="B80" s="383" t="n"/>
      <c r="C80" s="383" t="n"/>
      <c r="D80" s="383" t="n"/>
      <c r="E80" s="383" t="n"/>
      <c r="F80" s="383" t="n"/>
      <c r="G80" s="383" t="n"/>
      <c r="H80" s="383" t="n"/>
      <c r="I80" s="383" t="n"/>
      <c r="J80" s="462" t="n"/>
      <c r="K80" s="462" t="n"/>
      <c r="L80" s="535" t="n"/>
      <c r="M80" s="535" t="n"/>
      <c r="N80" s="535" t="n"/>
      <c r="O80" s="383" t="n"/>
      <c r="P80" s="549" t="n"/>
      <c r="Q80" s="549" t="n"/>
      <c r="R80" s="549" t="n"/>
      <c r="S80" s="549" t="n"/>
      <c r="T80" s="549" t="n"/>
      <c r="U80" s="549" t="n"/>
      <c r="V80" s="549" t="n"/>
      <c r="W80" s="549" t="n"/>
      <c r="X80" s="549" t="n"/>
      <c r="Y80" s="549" t="n"/>
      <c r="Z80" s="549" t="n"/>
      <c r="AA80" s="549" t="n"/>
      <c r="AB80" s="550" t="n"/>
      <c r="AC80" s="549" t="n"/>
      <c r="AD80" s="549" t="n"/>
      <c r="AE80" s="549" t="n"/>
      <c r="AF80" s="549" t="n"/>
      <c r="AG80" s="549" t="n"/>
      <c r="AH80" s="549" t="n"/>
      <c r="AI80" s="549" t="n"/>
      <c r="AJ80" s="549" t="n"/>
      <c r="AK80" s="549" t="n"/>
      <c r="AL80" s="549" t="n"/>
      <c r="AM80" s="549" t="n"/>
      <c r="AN80" s="550" t="n"/>
      <c r="AO80" s="549" t="n"/>
      <c r="AP80" s="549" t="n"/>
      <c r="AQ80" s="549" t="n"/>
      <c r="AR80" s="549" t="n"/>
      <c r="AS80" s="549" t="n"/>
      <c r="AT80" s="549" t="n"/>
      <c r="AU80" s="549" t="n"/>
      <c r="AV80" s="549" t="n"/>
      <c r="AW80" s="549" t="n"/>
      <c r="AX80" s="549" t="n"/>
      <c r="AY80" s="567" t="n"/>
      <c r="AZ80" s="550" t="n"/>
      <c r="BA80" s="549" t="n"/>
      <c r="BB80" s="549" t="n"/>
      <c r="BC80" s="549" t="n"/>
      <c r="BD80" s="549" t="n"/>
      <c r="BE80" s="549" t="n"/>
      <c r="BF80" s="549" t="n"/>
      <c r="BG80" s="549" t="n"/>
      <c r="BH80" s="549" t="n"/>
      <c r="BI80" s="549" t="n"/>
      <c r="BJ80" s="549" t="n"/>
      <c r="BK80" s="549" t="n"/>
      <c r="BL80" s="550" t="n"/>
      <c r="BM80" s="549" t="n"/>
      <c r="BN80" s="549" t="n"/>
      <c r="BO80" s="549" t="n"/>
      <c r="BP80" s="549" t="n"/>
      <c r="BQ80" s="549" t="n"/>
      <c r="BR80" s="549" t="n"/>
      <c r="BS80" s="549" t="n"/>
      <c r="BT80" s="549" t="n"/>
      <c r="BU80" s="549" t="n"/>
      <c r="BV80" s="549" t="n"/>
      <c r="BW80" s="549" t="n"/>
      <c r="BX80" s="383" t="n"/>
      <c r="BY80" s="383" t="n"/>
      <c r="BZ80" s="383" t="n"/>
      <c r="CA80" s="383" t="n"/>
      <c r="CB80" s="383" t="n"/>
      <c r="CC80" s="383" t="n"/>
      <c r="CD80" s="383" t="n"/>
      <c r="CE80" s="383" t="n"/>
      <c r="CF80" s="383" t="n"/>
      <c r="CG80" s="383" t="n"/>
      <c r="CH80" s="383" t="n"/>
      <c r="CI80" s="383" t="n"/>
      <c r="CJ80" s="383" t="n"/>
      <c r="CK80" s="383" t="n"/>
      <c r="CL80" s="383" t="n"/>
      <c r="CM80" s="383" t="n"/>
      <c r="CN80" s="383" t="n"/>
      <c r="CO80" s="383" t="n"/>
      <c r="CP80" s="383" t="n"/>
      <c r="CQ80" s="383" t="n"/>
      <c r="CR80" s="383" t="n"/>
      <c r="CS80" s="383" t="n"/>
      <c r="CT80" s="383" t="n"/>
      <c r="CU80" s="383" t="n"/>
      <c r="CV80" s="383" t="n"/>
      <c r="CW80" s="383" t="n"/>
      <c r="CX80" s="383" t="n"/>
      <c r="CY80" s="383" t="n"/>
      <c r="CZ80" s="383" t="n"/>
      <c r="DA80" s="383" t="n"/>
      <c r="DB80" s="383" t="n"/>
      <c r="DC80" s="383" t="n"/>
      <c r="DD80" s="383" t="n"/>
      <c r="DE80" s="383" t="n"/>
      <c r="DF80" s="383" t="n"/>
      <c r="DG80" s="383" t="n"/>
      <c r="DH80" s="383" t="n"/>
      <c r="DI80" s="383" t="n"/>
      <c r="DJ80" s="383" t="n"/>
      <c r="DK80" s="383" t="n"/>
      <c r="DL80" s="383" t="n"/>
      <c r="DM80" s="383" t="n"/>
      <c r="DN80" s="383" t="n"/>
      <c r="DO80" s="383" t="n"/>
      <c r="DP80" s="383" t="n"/>
      <c r="DQ80" s="383" t="n"/>
      <c r="DR80" s="383" t="n"/>
      <c r="DS80" s="383" t="n"/>
      <c r="DT80" s="383" t="n"/>
      <c r="DU80" s="383" t="n"/>
      <c r="DV80" s="383" t="n"/>
      <c r="DW80" s="383" t="n"/>
      <c r="DX80" s="383" t="n"/>
      <c r="DY80" s="383" t="n"/>
      <c r="DZ80" s="383" t="n"/>
      <c r="EA80" s="383" t="n"/>
      <c r="EB80" s="383" t="n"/>
      <c r="EC80" s="383" t="n"/>
      <c r="ED80" s="383" t="n"/>
      <c r="EE80" s="383" t="n"/>
      <c r="EF80" s="383" t="n"/>
      <c r="EG80" s="383" t="n"/>
      <c r="EH80" s="383" t="n"/>
      <c r="EI80" s="383" t="n"/>
      <c r="EJ80" s="383" t="n"/>
      <c r="EK80" s="383" t="n"/>
      <c r="EL80" s="383" t="n"/>
      <c r="EM80" s="383" t="n"/>
      <c r="EN80" s="383" t="n"/>
      <c r="EO80" s="383" t="n"/>
      <c r="EP80" s="383" t="n"/>
      <c r="EQ80" s="383" t="n"/>
      <c r="ER80" s="383" t="n"/>
      <c r="ES80" s="383" t="n"/>
      <c r="ET80" s="383" t="n"/>
      <c r="EU80" s="383" t="n"/>
      <c r="EV80" s="383" t="n"/>
      <c r="EW80" s="383" t="n"/>
      <c r="EX80" s="383" t="n"/>
      <c r="EY80" s="383" t="n"/>
      <c r="EZ80" s="383" t="n"/>
      <c r="FA80" s="383" t="n"/>
      <c r="FB80" s="383" t="n"/>
      <c r="FC80" s="383" t="n"/>
      <c r="FD80" s="383" t="n"/>
      <c r="FE80" s="383" t="n"/>
      <c r="FF80" s="383" t="n"/>
      <c r="FG80" s="383" t="n"/>
      <c r="FH80" s="383" t="n"/>
      <c r="FI80" s="383" t="n"/>
      <c r="FJ80" s="383" t="n"/>
      <c r="FK80" s="383" t="n"/>
      <c r="FL80" s="383" t="n"/>
      <c r="FM80" s="383" t="n"/>
      <c r="FN80" s="383" t="n"/>
      <c r="FO80" s="383" t="n"/>
      <c r="FP80" s="383" t="n"/>
      <c r="FQ80" s="383" t="n"/>
      <c r="FR80" s="383" t="n"/>
      <c r="FS80" s="383" t="n"/>
      <c r="FT80" s="383" t="n"/>
      <c r="FU80" s="383" t="n"/>
      <c r="FV80" s="383" t="n"/>
      <c r="FW80" s="383" t="n"/>
      <c r="FX80" s="383" t="n"/>
      <c r="FY80" s="383" t="n"/>
      <c r="FZ80" s="383" t="n"/>
      <c r="GA80" s="383" t="n"/>
      <c r="GB80" s="383" t="n"/>
      <c r="GC80" s="383" t="n"/>
      <c r="GD80" s="383" t="n"/>
      <c r="GE80" s="383" t="n"/>
      <c r="GF80" s="383" t="n"/>
      <c r="GG80" s="383" t="n"/>
      <c r="GH80" s="383" t="n"/>
      <c r="GI80" s="383" t="n"/>
      <c r="GJ80" s="383" t="n"/>
      <c r="GK80" s="383" t="n"/>
      <c r="GL80" s="383" t="n"/>
      <c r="GM80" s="383" t="n"/>
      <c r="GN80" s="383" t="n"/>
      <c r="GO80" s="383" t="n"/>
      <c r="GP80" s="383" t="n"/>
      <c r="GQ80" s="383" t="n"/>
      <c r="GR80" s="383" t="n"/>
      <c r="GS80" s="383" t="n"/>
      <c r="GT80" s="383" t="n"/>
      <c r="GU80" s="383" t="n"/>
      <c r="GV80" s="383" t="n"/>
      <c r="GW80" s="383" t="n"/>
      <c r="GX80" s="383" t="n"/>
      <c r="GY80" s="383" t="n"/>
    </row>
    <row r="81" ht="3" customHeight="1" s="1883">
      <c r="A81" s="383" t="n"/>
      <c r="B81" s="383" t="n"/>
      <c r="C81" s="383" t="n"/>
      <c r="D81" s="383" t="n"/>
      <c r="E81" s="383" t="n"/>
      <c r="F81" s="383" t="n"/>
      <c r="G81" s="383" t="n"/>
      <c r="H81" s="383" t="n"/>
      <c r="I81" s="383" t="n"/>
      <c r="J81" s="462" t="n"/>
      <c r="K81" s="462" t="n"/>
      <c r="L81" s="462" t="n"/>
      <c r="M81" s="462" t="n"/>
      <c r="N81" s="462" t="n"/>
      <c r="O81" s="383" t="n"/>
      <c r="P81" s="387" t="n"/>
      <c r="Q81" s="387" t="n"/>
      <c r="R81" s="387" t="n"/>
      <c r="S81" s="387" t="n"/>
      <c r="T81" s="387" t="n"/>
      <c r="U81" s="387" t="n"/>
      <c r="V81" s="387" t="n"/>
      <c r="W81" s="387" t="n"/>
      <c r="X81" s="387" t="n"/>
      <c r="Y81" s="387" t="n"/>
      <c r="Z81" s="387" t="n"/>
      <c r="AA81" s="387" t="n"/>
      <c r="AB81" s="540" t="n"/>
      <c r="AC81" s="387" t="n"/>
      <c r="AD81" s="387" t="n"/>
      <c r="AE81" s="387" t="n"/>
      <c r="AF81" s="387" t="n"/>
      <c r="AG81" s="387" t="n"/>
      <c r="AH81" s="387" t="n"/>
      <c r="AI81" s="387" t="n"/>
      <c r="AJ81" s="387" t="n"/>
      <c r="AK81" s="387" t="n"/>
      <c r="AL81" s="387" t="n"/>
      <c r="AM81" s="387" t="n"/>
      <c r="AN81" s="540" t="n"/>
      <c r="AO81" s="387" t="n"/>
      <c r="AP81" s="387" t="n"/>
      <c r="AQ81" s="387" t="n"/>
      <c r="AR81" s="387" t="n"/>
      <c r="AS81" s="387" t="n"/>
      <c r="AT81" s="387" t="n"/>
      <c r="AU81" s="387" t="n"/>
      <c r="AV81" s="387" t="n"/>
      <c r="AW81" s="387" t="n"/>
      <c r="AX81" s="387" t="n"/>
      <c r="AY81" s="572" t="n"/>
      <c r="AZ81" s="540" t="n"/>
      <c r="BA81" s="387" t="n"/>
      <c r="BB81" s="387" t="n"/>
      <c r="BC81" s="387" t="n"/>
      <c r="BD81" s="387" t="n"/>
      <c r="BE81" s="387" t="n"/>
      <c r="BF81" s="387" t="n"/>
      <c r="BG81" s="387" t="n"/>
      <c r="BH81" s="387" t="n"/>
      <c r="BI81" s="387" t="n"/>
      <c r="BJ81" s="387" t="n"/>
      <c r="BK81" s="387" t="n"/>
      <c r="BL81" s="540" t="n"/>
      <c r="BM81" s="387" t="n"/>
      <c r="BN81" s="387" t="n"/>
      <c r="BO81" s="387" t="n"/>
      <c r="BP81" s="387" t="n"/>
      <c r="BQ81" s="387" t="n"/>
      <c r="BR81" s="387" t="n"/>
      <c r="BS81" s="387" t="n"/>
      <c r="BT81" s="387" t="n"/>
      <c r="BU81" s="387" t="n"/>
      <c r="BV81" s="387" t="n"/>
      <c r="BW81" s="387" t="n"/>
      <c r="BX81" s="383" t="n"/>
      <c r="BY81" s="383" t="n"/>
      <c r="BZ81" s="383" t="n"/>
      <c r="CA81" s="383" t="n"/>
      <c r="CB81" s="383" t="n"/>
      <c r="CC81" s="383" t="n"/>
      <c r="CD81" s="383" t="n"/>
      <c r="CE81" s="383" t="n"/>
      <c r="CF81" s="383" t="n"/>
      <c r="CG81" s="383" t="n"/>
      <c r="CH81" s="383" t="n"/>
      <c r="CI81" s="383" t="n"/>
      <c r="CJ81" s="383" t="n"/>
      <c r="CK81" s="383" t="n"/>
      <c r="CL81" s="383" t="n"/>
      <c r="CM81" s="383" t="n"/>
      <c r="CN81" s="383" t="n"/>
      <c r="CO81" s="383" t="n"/>
      <c r="CP81" s="383" t="n"/>
      <c r="CQ81" s="383" t="n"/>
      <c r="CR81" s="383" t="n"/>
      <c r="CS81" s="383" t="n"/>
      <c r="CT81" s="383" t="n"/>
      <c r="CU81" s="383" t="n"/>
      <c r="CV81" s="383" t="n"/>
      <c r="CW81" s="383" t="n"/>
      <c r="CX81" s="383" t="n"/>
      <c r="CY81" s="383" t="n"/>
      <c r="CZ81" s="383" t="n"/>
      <c r="DA81" s="383" t="n"/>
      <c r="DB81" s="383" t="n"/>
      <c r="DC81" s="383" t="n"/>
      <c r="DD81" s="383" t="n"/>
      <c r="DE81" s="383" t="n"/>
      <c r="DF81" s="383" t="n"/>
      <c r="DG81" s="383" t="n"/>
      <c r="DH81" s="383" t="n"/>
      <c r="DI81" s="383" t="n"/>
      <c r="DJ81" s="383" t="n"/>
      <c r="DK81" s="383" t="n"/>
      <c r="DL81" s="383" t="n"/>
      <c r="DM81" s="383" t="n"/>
      <c r="DN81" s="383" t="n"/>
      <c r="DO81" s="383" t="n"/>
      <c r="DP81" s="383" t="n"/>
      <c r="DQ81" s="383" t="n"/>
      <c r="DR81" s="383" t="n"/>
      <c r="DS81" s="383" t="n"/>
      <c r="DT81" s="383" t="n"/>
      <c r="DU81" s="383" t="n"/>
      <c r="DV81" s="383" t="n"/>
      <c r="DW81" s="383" t="n"/>
      <c r="DX81" s="383" t="n"/>
      <c r="DY81" s="383" t="n"/>
      <c r="DZ81" s="383" t="n"/>
      <c r="EA81" s="383" t="n"/>
      <c r="EB81" s="383" t="n"/>
      <c r="EC81" s="383" t="n"/>
      <c r="ED81" s="383" t="n"/>
      <c r="EE81" s="383" t="n"/>
      <c r="EF81" s="383" t="n"/>
      <c r="EG81" s="383" t="n"/>
      <c r="EH81" s="383" t="n"/>
      <c r="EI81" s="383" t="n"/>
      <c r="EJ81" s="383" t="n"/>
      <c r="EK81" s="383" t="n"/>
      <c r="EL81" s="383" t="n"/>
      <c r="EM81" s="383" t="n"/>
      <c r="EN81" s="383" t="n"/>
      <c r="EO81" s="383" t="n"/>
      <c r="EP81" s="383" t="n"/>
      <c r="EQ81" s="383" t="n"/>
      <c r="ER81" s="383" t="n"/>
      <c r="ES81" s="383" t="n"/>
      <c r="ET81" s="383" t="n"/>
      <c r="EU81" s="383" t="n"/>
      <c r="EV81" s="383" t="n"/>
      <c r="EW81" s="383" t="n"/>
      <c r="EX81" s="383" t="n"/>
      <c r="EY81" s="383" t="n"/>
      <c r="EZ81" s="383" t="n"/>
      <c r="FA81" s="383" t="n"/>
      <c r="FB81" s="383" t="n"/>
      <c r="FC81" s="383" t="n"/>
      <c r="FD81" s="383" t="n"/>
      <c r="FE81" s="383" t="n"/>
      <c r="FF81" s="383" t="n"/>
      <c r="FG81" s="383" t="n"/>
      <c r="FH81" s="383" t="n"/>
      <c r="FI81" s="383" t="n"/>
      <c r="FJ81" s="383" t="n"/>
      <c r="FK81" s="383" t="n"/>
      <c r="FL81" s="383" t="n"/>
      <c r="FM81" s="383" t="n"/>
      <c r="FN81" s="383" t="n"/>
      <c r="FO81" s="383" t="n"/>
      <c r="FP81" s="383" t="n"/>
      <c r="FQ81" s="383" t="n"/>
      <c r="FR81" s="383" t="n"/>
      <c r="FS81" s="383" t="n"/>
      <c r="FT81" s="383" t="n"/>
      <c r="FU81" s="383" t="n"/>
      <c r="FV81" s="383" t="n"/>
      <c r="FW81" s="383" t="n"/>
      <c r="FX81" s="383" t="n"/>
      <c r="FY81" s="383" t="n"/>
      <c r="FZ81" s="383" t="n"/>
      <c r="GA81" s="383" t="n"/>
      <c r="GB81" s="383" t="n"/>
      <c r="GC81" s="383" t="n"/>
      <c r="GD81" s="383" t="n"/>
      <c r="GE81" s="383" t="n"/>
      <c r="GF81" s="383" t="n"/>
      <c r="GG81" s="383" t="n"/>
      <c r="GH81" s="383" t="n"/>
      <c r="GI81" s="383" t="n"/>
      <c r="GJ81" s="383" t="n"/>
      <c r="GK81" s="383" t="n"/>
      <c r="GL81" s="383" t="n"/>
      <c r="GM81" s="383" t="n"/>
      <c r="GN81" s="383" t="n"/>
      <c r="GO81" s="383" t="n"/>
      <c r="GP81" s="383" t="n"/>
      <c r="GQ81" s="383" t="n"/>
      <c r="GR81" s="383" t="n"/>
      <c r="GS81" s="383" t="n"/>
      <c r="GT81" s="383" t="n"/>
      <c r="GU81" s="383" t="n"/>
      <c r="GV81" s="383" t="n"/>
      <c r="GW81" s="383" t="n"/>
      <c r="GX81" s="383" t="n"/>
      <c r="GY81" s="383" t="n"/>
    </row>
    <row r="82" ht="3" customHeight="1" s="1883">
      <c r="A82" s="383" t="n"/>
      <c r="B82" s="383" t="n"/>
      <c r="C82" s="383" t="n"/>
      <c r="D82" s="383" t="n"/>
      <c r="E82" s="383" t="n"/>
      <c r="F82" s="383" t="n"/>
      <c r="G82" s="383" t="n"/>
      <c r="H82" s="383" t="n"/>
      <c r="I82" s="383" t="n"/>
      <c r="J82" s="462" t="n"/>
      <c r="K82" s="462" t="n"/>
      <c r="L82" s="462" t="n"/>
      <c r="M82" s="462" t="n"/>
      <c r="N82" s="462" t="n"/>
      <c r="O82" s="383" t="n"/>
      <c r="P82" s="383" t="n"/>
      <c r="Q82" s="383" t="n"/>
      <c r="R82" s="383" t="n"/>
      <c r="S82" s="383" t="n"/>
      <c r="T82" s="383" t="n"/>
      <c r="U82" s="383" t="n"/>
      <c r="V82" s="383" t="n"/>
      <c r="W82" s="383" t="n"/>
      <c r="X82" s="383" t="n"/>
      <c r="Y82" s="383" t="n"/>
      <c r="Z82" s="383" t="n"/>
      <c r="AA82" s="383" t="n"/>
      <c r="AB82" s="541" t="n"/>
      <c r="AC82" s="383" t="n"/>
      <c r="AD82" s="383" t="n"/>
      <c r="AE82" s="383" t="n"/>
      <c r="AF82" s="383" t="n"/>
      <c r="AG82" s="383" t="n"/>
      <c r="AH82" s="383" t="n"/>
      <c r="AI82" s="383" t="n"/>
      <c r="AJ82" s="383" t="n"/>
      <c r="AK82" s="383" t="n"/>
      <c r="AL82" s="383" t="n"/>
      <c r="AM82" s="383" t="n"/>
      <c r="AN82" s="541" t="n"/>
      <c r="AO82" s="383" t="n"/>
      <c r="AP82" s="383" t="n"/>
      <c r="AQ82" s="383" t="n"/>
      <c r="AR82" s="383" t="n"/>
      <c r="AS82" s="383" t="n"/>
      <c r="AT82" s="383" t="n"/>
      <c r="AU82" s="383" t="n"/>
      <c r="AV82" s="383" t="n"/>
      <c r="AW82" s="383" t="n"/>
      <c r="AX82" s="383" t="n"/>
      <c r="AY82" s="1910" t="n"/>
      <c r="AZ82" s="541" t="n"/>
      <c r="BA82" s="383" t="n"/>
      <c r="BB82" s="383" t="n"/>
      <c r="BC82" s="383" t="n"/>
      <c r="BD82" s="383" t="n"/>
      <c r="BE82" s="383" t="n"/>
      <c r="BF82" s="383" t="n"/>
      <c r="BG82" s="383" t="n"/>
      <c r="BH82" s="383" t="n"/>
      <c r="BI82" s="383" t="n"/>
      <c r="BJ82" s="383" t="n"/>
      <c r="BK82" s="383" t="n"/>
      <c r="BL82" s="541" t="n"/>
      <c r="BM82" s="383" t="n"/>
      <c r="BN82" s="383" t="n"/>
      <c r="BO82" s="383" t="n"/>
      <c r="BP82" s="383" t="n"/>
      <c r="BQ82" s="383" t="n"/>
      <c r="BR82" s="383" t="n"/>
      <c r="BS82" s="383" t="n"/>
      <c r="BT82" s="383" t="n"/>
      <c r="BU82" s="383" t="n"/>
      <c r="BV82" s="383" t="n"/>
      <c r="BW82" s="383" t="n"/>
      <c r="BX82" s="383" t="n"/>
      <c r="BY82" s="383" t="n"/>
      <c r="BZ82" s="383" t="n"/>
      <c r="CA82" s="383" t="n"/>
      <c r="CB82" s="383" t="n"/>
      <c r="CC82" s="383" t="n"/>
      <c r="CD82" s="383" t="n"/>
      <c r="CE82" s="383" t="n"/>
      <c r="CF82" s="383" t="n"/>
      <c r="CG82" s="383" t="n"/>
      <c r="CH82" s="383" t="n"/>
      <c r="CI82" s="383" t="n"/>
      <c r="CJ82" s="383" t="n"/>
      <c r="CK82" s="383" t="n"/>
      <c r="CL82" s="383" t="n"/>
      <c r="CM82" s="383" t="n"/>
      <c r="CN82" s="383" t="n"/>
      <c r="CO82" s="383" t="n"/>
      <c r="CP82" s="383" t="n"/>
      <c r="CQ82" s="383" t="n"/>
      <c r="CR82" s="383" t="n"/>
      <c r="CS82" s="383" t="n"/>
      <c r="CT82" s="383" t="n"/>
      <c r="CU82" s="383" t="n"/>
      <c r="CV82" s="383" t="n"/>
      <c r="CW82" s="383" t="n"/>
      <c r="CX82" s="383" t="n"/>
      <c r="CY82" s="383" t="n"/>
      <c r="CZ82" s="383" t="n"/>
      <c r="DA82" s="383" t="n"/>
      <c r="DB82" s="383" t="n"/>
      <c r="DC82" s="383" t="n"/>
      <c r="DD82" s="383" t="n"/>
      <c r="DE82" s="383" t="n"/>
      <c r="DF82" s="383" t="n"/>
      <c r="DG82" s="383" t="n"/>
      <c r="DH82" s="383" t="n"/>
      <c r="DI82" s="383" t="n"/>
      <c r="DJ82" s="383" t="n"/>
      <c r="DK82" s="383" t="n"/>
      <c r="DL82" s="383" t="n"/>
      <c r="DM82" s="383" t="n"/>
      <c r="DN82" s="383" t="n"/>
      <c r="DO82" s="383" t="n"/>
      <c r="DP82" s="383" t="n"/>
      <c r="DQ82" s="383" t="n"/>
      <c r="DR82" s="383" t="n"/>
      <c r="DS82" s="383" t="n"/>
      <c r="DT82" s="383" t="n"/>
      <c r="DU82" s="383" t="n"/>
      <c r="DV82" s="383" t="n"/>
      <c r="DW82" s="383" t="n"/>
      <c r="DX82" s="383" t="n"/>
      <c r="DY82" s="383" t="n"/>
      <c r="DZ82" s="383" t="n"/>
      <c r="EA82" s="383" t="n"/>
      <c r="EB82" s="383" t="n"/>
      <c r="EC82" s="383" t="n"/>
      <c r="ED82" s="383" t="n"/>
      <c r="EE82" s="383" t="n"/>
      <c r="EF82" s="383" t="n"/>
      <c r="EG82" s="383" t="n"/>
      <c r="EH82" s="383" t="n"/>
      <c r="EI82" s="383" t="n"/>
      <c r="EJ82" s="383" t="n"/>
      <c r="EK82" s="383" t="n"/>
      <c r="EL82" s="383" t="n"/>
      <c r="EM82" s="383" t="n"/>
      <c r="EN82" s="383" t="n"/>
      <c r="EO82" s="383" t="n"/>
      <c r="EP82" s="383" t="n"/>
      <c r="EQ82" s="383" t="n"/>
      <c r="ER82" s="383" t="n"/>
      <c r="ES82" s="383" t="n"/>
      <c r="ET82" s="383" t="n"/>
      <c r="EU82" s="383" t="n"/>
      <c r="EV82" s="383" t="n"/>
      <c r="EW82" s="383" t="n"/>
      <c r="EX82" s="383" t="n"/>
      <c r="EY82" s="383" t="n"/>
      <c r="EZ82" s="383" t="n"/>
      <c r="FA82" s="383" t="n"/>
      <c r="FB82" s="383" t="n"/>
      <c r="FC82" s="383" t="n"/>
      <c r="FD82" s="383" t="n"/>
      <c r="FE82" s="383" t="n"/>
      <c r="FF82" s="383" t="n"/>
      <c r="FG82" s="383" t="n"/>
      <c r="FH82" s="383" t="n"/>
      <c r="FI82" s="383" t="n"/>
      <c r="FJ82" s="383" t="n"/>
      <c r="FK82" s="383" t="n"/>
      <c r="FL82" s="383" t="n"/>
      <c r="FM82" s="383" t="n"/>
      <c r="FN82" s="383" t="n"/>
      <c r="FO82" s="383" t="n"/>
      <c r="FP82" s="383" t="n"/>
      <c r="FQ82" s="383" t="n"/>
      <c r="FR82" s="383" t="n"/>
      <c r="FS82" s="383" t="n"/>
      <c r="FT82" s="383" t="n"/>
      <c r="FU82" s="383" t="n"/>
      <c r="FV82" s="383" t="n"/>
      <c r="FW82" s="383" t="n"/>
      <c r="FX82" s="383" t="n"/>
      <c r="FY82" s="383" t="n"/>
      <c r="FZ82" s="383" t="n"/>
      <c r="GA82" s="383" t="n"/>
      <c r="GB82" s="383" t="n"/>
      <c r="GC82" s="383" t="n"/>
      <c r="GD82" s="383" t="n"/>
      <c r="GE82" s="383" t="n"/>
      <c r="GF82" s="383" t="n"/>
      <c r="GG82" s="383" t="n"/>
      <c r="GH82" s="383" t="n"/>
      <c r="GI82" s="383" t="n"/>
      <c r="GJ82" s="383" t="n"/>
      <c r="GK82" s="383" t="n"/>
      <c r="GL82" s="383" t="n"/>
      <c r="GM82" s="383" t="n"/>
      <c r="GN82" s="383" t="n"/>
      <c r="GO82" s="383" t="n"/>
      <c r="GP82" s="383" t="n"/>
      <c r="GQ82" s="383" t="n"/>
      <c r="GR82" s="383" t="n"/>
      <c r="GS82" s="383" t="n"/>
      <c r="GT82" s="383" t="n"/>
      <c r="GU82" s="383" t="n"/>
      <c r="GV82" s="383" t="n"/>
      <c r="GW82" s="383" t="n"/>
      <c r="GX82" s="383" t="n"/>
      <c r="GY82" s="383" t="n"/>
    </row>
    <row r="83" ht="15" customHeight="1" s="1883">
      <c r="A83" s="383" t="n"/>
      <c r="B83" s="383" t="n"/>
      <c r="C83" s="383" t="n"/>
      <c r="D83" s="383" t="n"/>
      <c r="E83" s="383" t="n"/>
      <c r="F83" s="383" t="n"/>
      <c r="G83" s="383" t="n"/>
      <c r="H83" s="383" t="n"/>
      <c r="I83" s="383" t="n"/>
      <c r="J83" s="1971" t="inlineStr">
        <is>
          <t>Total Management Payroll + Support Payroll, by Month, Months 1 - 60</t>
        </is>
      </c>
      <c r="O83" s="526" t="n"/>
      <c r="P83" s="548">
        <f>((P54)+(P79))</f>
        <v/>
      </c>
      <c r="Q83" s="548">
        <f>((Q54)+(Q79))</f>
        <v/>
      </c>
      <c r="R83" s="548">
        <f>((R54)+(R79))</f>
        <v/>
      </c>
      <c r="S83" s="548">
        <f>((S54)+(S79))</f>
        <v/>
      </c>
      <c r="T83" s="548">
        <f>((T54)+(T79))</f>
        <v/>
      </c>
      <c r="U83" s="548">
        <f>((U54)+(U79))</f>
        <v/>
      </c>
      <c r="V83" s="548">
        <f>((V54)+(V79))</f>
        <v/>
      </c>
      <c r="W83" s="548">
        <f>((W54)+(W79))</f>
        <v/>
      </c>
      <c r="X83" s="548">
        <f>((X54)+(X79))</f>
        <v/>
      </c>
      <c r="Y83" s="548">
        <f>((Y54)+(Y79))</f>
        <v/>
      </c>
      <c r="Z83" s="548">
        <f>((Z54)+(Z79))</f>
        <v/>
      </c>
      <c r="AA83" s="548">
        <f>((AA54)+(AA79))</f>
        <v/>
      </c>
      <c r="AB83" s="551">
        <f>((AB54)+(AB79))</f>
        <v/>
      </c>
      <c r="AC83" s="548">
        <f>((AC54)+(AC79))</f>
        <v/>
      </c>
      <c r="AD83" s="548">
        <f>((AD54)+(AD79))</f>
        <v/>
      </c>
      <c r="AE83" s="548">
        <f>((AE54)+(AE79))</f>
        <v/>
      </c>
      <c r="AF83" s="548">
        <f>((AF54)+(AF79))</f>
        <v/>
      </c>
      <c r="AG83" s="548">
        <f>((AG54)+(AG79))</f>
        <v/>
      </c>
      <c r="AH83" s="548">
        <f>((AH54)+(AH79))</f>
        <v/>
      </c>
      <c r="AI83" s="548">
        <f>((AI54)+(AI79))</f>
        <v/>
      </c>
      <c r="AJ83" s="548">
        <f>((AJ54)+(AJ79))</f>
        <v/>
      </c>
      <c r="AK83" s="548">
        <f>((AK54)+(AK79))</f>
        <v/>
      </c>
      <c r="AL83" s="548">
        <f>((AL54)+(AL79))</f>
        <v/>
      </c>
      <c r="AM83" s="548">
        <f>((AM54)+(AM79))</f>
        <v/>
      </c>
      <c r="AN83" s="551">
        <f>((AN54)+(AN79))</f>
        <v/>
      </c>
      <c r="AO83" s="548">
        <f>((AO54)+(AO79))</f>
        <v/>
      </c>
      <c r="AP83" s="548">
        <f>((AP54)+(AP79))</f>
        <v/>
      </c>
      <c r="AQ83" s="548">
        <f>((AQ54)+(AQ79))</f>
        <v/>
      </c>
      <c r="AR83" s="548">
        <f>((AR54)+(AR79))</f>
        <v/>
      </c>
      <c r="AS83" s="548">
        <f>((AS54)+(AS79))</f>
        <v/>
      </c>
      <c r="AT83" s="548">
        <f>((AT54)+(AT79))</f>
        <v/>
      </c>
      <c r="AU83" s="548">
        <f>((AU54)+(AU79))</f>
        <v/>
      </c>
      <c r="AV83" s="548">
        <f>((AV54)+(AV79))</f>
        <v/>
      </c>
      <c r="AW83" s="548">
        <f>((AW54)+(AW79))</f>
        <v/>
      </c>
      <c r="AX83" s="548">
        <f>((AX54)+(AX79))</f>
        <v/>
      </c>
      <c r="AY83" s="568">
        <f>((AY54)+(AY79))</f>
        <v/>
      </c>
      <c r="AZ83" s="551">
        <f>((AZ54)+(AZ79))</f>
        <v/>
      </c>
      <c r="BA83" s="548">
        <f>((BA54)+(BA79))</f>
        <v/>
      </c>
      <c r="BB83" s="548">
        <f>((BB54)+(BB79))</f>
        <v/>
      </c>
      <c r="BC83" s="548">
        <f>((BC54)+(BC79))</f>
        <v/>
      </c>
      <c r="BD83" s="548">
        <f>((BD54)+(BD79))</f>
        <v/>
      </c>
      <c r="BE83" s="548">
        <f>((BE54)+(BE79))</f>
        <v/>
      </c>
      <c r="BF83" s="548">
        <f>((BF54)+(BF79))</f>
        <v/>
      </c>
      <c r="BG83" s="548">
        <f>((BG54)+(BG79))</f>
        <v/>
      </c>
      <c r="BH83" s="548">
        <f>((BH54)+(BH79))</f>
        <v/>
      </c>
      <c r="BI83" s="548">
        <f>((BI54)+(BI79))</f>
        <v/>
      </c>
      <c r="BJ83" s="548">
        <f>((BJ54)+(BJ79))</f>
        <v/>
      </c>
      <c r="BK83" s="548">
        <f>((BK54)+(BK79))</f>
        <v/>
      </c>
      <c r="BL83" s="551">
        <f>((BL54)+(BL79))</f>
        <v/>
      </c>
      <c r="BM83" s="548">
        <f>((BM54)+(BM79))</f>
        <v/>
      </c>
      <c r="BN83" s="548">
        <f>((BN54)+(BN79))</f>
        <v/>
      </c>
      <c r="BO83" s="548">
        <f>((BO54)+(BO79))</f>
        <v/>
      </c>
      <c r="BP83" s="548">
        <f>((BP54)+(BP79))</f>
        <v/>
      </c>
      <c r="BQ83" s="548">
        <f>((BQ54)+(BQ79))</f>
        <v/>
      </c>
      <c r="BR83" s="548">
        <f>((BR54)+(BR79))</f>
        <v/>
      </c>
      <c r="BS83" s="548">
        <f>((BS54)+(BS79))</f>
        <v/>
      </c>
      <c r="BT83" s="548">
        <f>((BT54)+(BT79))</f>
        <v/>
      </c>
      <c r="BU83" s="548">
        <f>((BU54)+(BU79))</f>
        <v/>
      </c>
      <c r="BV83" s="548">
        <f>((BV54)+(BV79))</f>
        <v/>
      </c>
      <c r="BW83" s="548">
        <f>((BW54)+(BW79))</f>
        <v/>
      </c>
      <c r="BX83" s="383" t="n"/>
      <c r="BY83" s="383" t="n"/>
      <c r="BZ83" s="383" t="n"/>
      <c r="CA83" s="383" t="n"/>
      <c r="CB83" s="383" t="n"/>
      <c r="CC83" s="383" t="n"/>
      <c r="CD83" s="383" t="n"/>
      <c r="CE83" s="383" t="n"/>
      <c r="CF83" s="383" t="n"/>
      <c r="CG83" s="383" t="n"/>
      <c r="CH83" s="383" t="n"/>
      <c r="CI83" s="383" t="n"/>
      <c r="CJ83" s="383" t="n"/>
      <c r="CK83" s="383" t="n"/>
      <c r="CL83" s="383" t="n"/>
      <c r="CM83" s="383" t="n"/>
      <c r="CN83" s="383" t="n"/>
      <c r="CO83" s="383" t="n"/>
      <c r="CP83" s="383" t="n"/>
      <c r="CQ83" s="383" t="n"/>
      <c r="CR83" s="383" t="n"/>
      <c r="CS83" s="383" t="n"/>
      <c r="CT83" s="383" t="n"/>
      <c r="CU83" s="383" t="n"/>
      <c r="CV83" s="383" t="n"/>
      <c r="CW83" s="383" t="n"/>
      <c r="CX83" s="383" t="n"/>
      <c r="CY83" s="383" t="n"/>
      <c r="CZ83" s="383" t="n"/>
      <c r="DA83" s="383" t="n"/>
      <c r="DB83" s="383" t="n"/>
      <c r="DC83" s="383" t="n"/>
      <c r="DD83" s="383" t="n"/>
      <c r="DE83" s="383" t="n"/>
      <c r="DF83" s="383" t="n"/>
      <c r="DG83" s="383" t="n"/>
      <c r="DH83" s="383" t="n"/>
      <c r="DI83" s="383" t="n"/>
      <c r="DJ83" s="383" t="n"/>
      <c r="DK83" s="383" t="n"/>
      <c r="DL83" s="383" t="n"/>
      <c r="DM83" s="383" t="n"/>
      <c r="DN83" s="383" t="n"/>
      <c r="DO83" s="383" t="n"/>
      <c r="DP83" s="383" t="n"/>
      <c r="DQ83" s="383" t="n"/>
      <c r="DR83" s="383" t="n"/>
      <c r="DS83" s="383" t="n"/>
      <c r="DT83" s="383" t="n"/>
      <c r="DU83" s="383" t="n"/>
      <c r="DV83" s="383" t="n"/>
      <c r="DW83" s="383" t="n"/>
      <c r="DX83" s="383" t="n"/>
      <c r="DY83" s="383" t="n"/>
      <c r="DZ83" s="383" t="n"/>
      <c r="EA83" s="383" t="n"/>
      <c r="EB83" s="383" t="n"/>
      <c r="EC83" s="383" t="n"/>
      <c r="ED83" s="383" t="n"/>
      <c r="EE83" s="383" t="n"/>
      <c r="EF83" s="383" t="n"/>
      <c r="EG83" s="383" t="n"/>
      <c r="EH83" s="383" t="n"/>
      <c r="EI83" s="383" t="n"/>
      <c r="EJ83" s="383" t="n"/>
      <c r="EK83" s="383" t="n"/>
      <c r="EL83" s="383" t="n"/>
      <c r="EM83" s="383" t="n"/>
      <c r="EN83" s="383" t="n"/>
      <c r="EO83" s="383" t="n"/>
      <c r="EP83" s="383" t="n"/>
      <c r="EQ83" s="383" t="n"/>
      <c r="ER83" s="383" t="n"/>
      <c r="ES83" s="383" t="n"/>
      <c r="ET83" s="383" t="n"/>
      <c r="EU83" s="383" t="n"/>
      <c r="EV83" s="383" t="n"/>
      <c r="EW83" s="383" t="n"/>
      <c r="EX83" s="383" t="n"/>
      <c r="EY83" s="383" t="n"/>
      <c r="EZ83" s="383" t="n"/>
      <c r="FA83" s="383" t="n"/>
      <c r="FB83" s="383" t="n"/>
      <c r="FC83" s="383" t="n"/>
      <c r="FD83" s="383" t="n"/>
      <c r="FE83" s="383" t="n"/>
      <c r="FF83" s="383" t="n"/>
      <c r="FG83" s="383" t="n"/>
      <c r="FH83" s="383" t="n"/>
      <c r="FI83" s="383" t="n"/>
      <c r="FJ83" s="383" t="n"/>
      <c r="FK83" s="383" t="n"/>
      <c r="FL83" s="383" t="n"/>
      <c r="FM83" s="383" t="n"/>
      <c r="FN83" s="383" t="n"/>
      <c r="FO83" s="383" t="n"/>
      <c r="FP83" s="383" t="n"/>
      <c r="FQ83" s="383" t="n"/>
      <c r="FR83" s="383" t="n"/>
      <c r="FS83" s="383" t="n"/>
      <c r="FT83" s="383" t="n"/>
      <c r="FU83" s="383" t="n"/>
      <c r="FV83" s="383" t="n"/>
      <c r="FW83" s="383" t="n"/>
      <c r="FX83" s="383" t="n"/>
      <c r="FY83" s="383" t="n"/>
      <c r="FZ83" s="383" t="n"/>
      <c r="GA83" s="383" t="n"/>
      <c r="GB83" s="383" t="n"/>
      <c r="GC83" s="383" t="n"/>
      <c r="GD83" s="383" t="n"/>
      <c r="GE83" s="383" t="n"/>
      <c r="GF83" s="383" t="n"/>
      <c r="GG83" s="383" t="n"/>
      <c r="GH83" s="383" t="n"/>
      <c r="GI83" s="383" t="n"/>
      <c r="GJ83" s="383" t="n"/>
      <c r="GK83" s="383" t="n"/>
      <c r="GL83" s="383" t="n"/>
      <c r="GM83" s="383" t="n"/>
      <c r="GN83" s="383" t="n"/>
      <c r="GO83" s="383" t="n"/>
      <c r="GP83" s="383" t="n"/>
      <c r="GQ83" s="383" t="n"/>
      <c r="GR83" s="383" t="n"/>
      <c r="GS83" s="383" t="n"/>
      <c r="GT83" s="383" t="n"/>
      <c r="GU83" s="383" t="n"/>
      <c r="GV83" s="383" t="n"/>
      <c r="GW83" s="383" t="n"/>
      <c r="GX83" s="383" t="n"/>
      <c r="GY83" s="383" t="n"/>
    </row>
    <row r="84" ht="3" customHeight="1" s="1883">
      <c r="A84" s="383" t="n"/>
      <c r="B84" s="383" t="n"/>
      <c r="C84" s="383" t="n"/>
      <c r="D84" s="383" t="n"/>
      <c r="E84" s="383" t="n"/>
      <c r="F84" s="383" t="n"/>
      <c r="G84" s="383" t="n"/>
      <c r="H84" s="383" t="n"/>
      <c r="I84" s="383" t="n"/>
      <c r="J84" s="383" t="n"/>
      <c r="K84" s="462" t="n"/>
      <c r="L84" s="383" t="n"/>
      <c r="M84" s="383" t="n"/>
      <c r="N84" s="383" t="n"/>
      <c r="O84" s="383" t="n"/>
      <c r="P84" s="387" t="n"/>
      <c r="Q84" s="387" t="n"/>
      <c r="R84" s="387" t="n"/>
      <c r="S84" s="387" t="n"/>
      <c r="T84" s="387" t="n"/>
      <c r="U84" s="387" t="n"/>
      <c r="V84" s="387" t="n"/>
      <c r="W84" s="387" t="n"/>
      <c r="X84" s="387" t="n"/>
      <c r="Y84" s="387" t="n"/>
      <c r="Z84" s="387" t="n"/>
      <c r="AA84" s="387" t="n"/>
      <c r="AB84" s="540" t="n"/>
      <c r="AC84" s="387" t="n"/>
      <c r="AD84" s="387" t="n"/>
      <c r="AE84" s="387" t="n"/>
      <c r="AF84" s="387" t="n"/>
      <c r="AG84" s="387" t="n"/>
      <c r="AH84" s="387" t="n"/>
      <c r="AI84" s="387" t="n"/>
      <c r="AJ84" s="387" t="n"/>
      <c r="AK84" s="387" t="n"/>
      <c r="AL84" s="387" t="n"/>
      <c r="AM84" s="387" t="n"/>
      <c r="AN84" s="540" t="n"/>
      <c r="AO84" s="387" t="n"/>
      <c r="AP84" s="387" t="n"/>
      <c r="AQ84" s="387" t="n"/>
      <c r="AR84" s="387" t="n"/>
      <c r="AS84" s="387" t="n"/>
      <c r="AT84" s="387" t="n"/>
      <c r="AU84" s="387" t="n"/>
      <c r="AV84" s="387" t="n"/>
      <c r="AW84" s="387" t="n"/>
      <c r="AX84" s="387" t="n"/>
      <c r="AY84" s="572" t="n"/>
      <c r="AZ84" s="540" t="n"/>
      <c r="BA84" s="387" t="n"/>
      <c r="BB84" s="387" t="n"/>
      <c r="BC84" s="387" t="n"/>
      <c r="BD84" s="387" t="n"/>
      <c r="BE84" s="387" t="n"/>
      <c r="BF84" s="387" t="n"/>
      <c r="BG84" s="387" t="n"/>
      <c r="BH84" s="387" t="n"/>
      <c r="BI84" s="387" t="n"/>
      <c r="BJ84" s="387" t="n"/>
      <c r="BK84" s="387" t="n"/>
      <c r="BL84" s="540" t="n"/>
      <c r="BM84" s="387" t="n"/>
      <c r="BN84" s="387" t="n"/>
      <c r="BO84" s="387" t="n"/>
      <c r="BP84" s="387" t="n"/>
      <c r="BQ84" s="387" t="n"/>
      <c r="BR84" s="387" t="n"/>
      <c r="BS84" s="387" t="n"/>
      <c r="BT84" s="387" t="n"/>
      <c r="BU84" s="387" t="n"/>
      <c r="BV84" s="387" t="n"/>
      <c r="BW84" s="387" t="n"/>
      <c r="BX84" s="383" t="n"/>
      <c r="BY84" s="383" t="n"/>
      <c r="BZ84" s="383" t="n"/>
      <c r="CA84" s="383" t="n"/>
      <c r="CB84" s="383" t="n"/>
      <c r="CC84" s="383" t="n"/>
      <c r="CD84" s="383" t="n"/>
      <c r="CE84" s="383" t="n"/>
      <c r="CF84" s="383" t="n"/>
      <c r="CG84" s="383" t="n"/>
      <c r="CH84" s="383" t="n"/>
      <c r="CI84" s="383" t="n"/>
      <c r="CJ84" s="383" t="n"/>
      <c r="CK84" s="383" t="n"/>
      <c r="CL84" s="383" t="n"/>
      <c r="CM84" s="383" t="n"/>
      <c r="CN84" s="383" t="n"/>
      <c r="CO84" s="383" t="n"/>
      <c r="CP84" s="383" t="n"/>
      <c r="CQ84" s="383" t="n"/>
      <c r="CR84" s="383" t="n"/>
      <c r="CS84" s="383" t="n"/>
      <c r="CT84" s="383" t="n"/>
      <c r="CU84" s="383" t="n"/>
      <c r="CV84" s="383" t="n"/>
      <c r="CW84" s="383" t="n"/>
      <c r="CX84" s="383" t="n"/>
      <c r="CY84" s="383" t="n"/>
      <c r="CZ84" s="383" t="n"/>
      <c r="DA84" s="383" t="n"/>
      <c r="DB84" s="383" t="n"/>
      <c r="DC84" s="383" t="n"/>
      <c r="DD84" s="383" t="n"/>
      <c r="DE84" s="383" t="n"/>
      <c r="DF84" s="383" t="n"/>
      <c r="DG84" s="383" t="n"/>
      <c r="DH84" s="383" t="n"/>
      <c r="DI84" s="383" t="n"/>
      <c r="DJ84" s="383" t="n"/>
      <c r="DK84" s="383" t="n"/>
      <c r="DL84" s="383" t="n"/>
      <c r="DM84" s="383" t="n"/>
      <c r="DN84" s="383" t="n"/>
      <c r="DO84" s="383" t="n"/>
      <c r="DP84" s="383" t="n"/>
      <c r="DQ84" s="383" t="n"/>
      <c r="DR84" s="383" t="n"/>
      <c r="DS84" s="383" t="n"/>
      <c r="DT84" s="383" t="n"/>
      <c r="DU84" s="383" t="n"/>
      <c r="DV84" s="383" t="n"/>
      <c r="DW84" s="383" t="n"/>
      <c r="DX84" s="383" t="n"/>
      <c r="DY84" s="383" t="n"/>
      <c r="DZ84" s="383" t="n"/>
      <c r="EA84" s="383" t="n"/>
      <c r="EB84" s="383" t="n"/>
      <c r="EC84" s="383" t="n"/>
      <c r="ED84" s="383" t="n"/>
      <c r="EE84" s="383" t="n"/>
      <c r="EF84" s="383" t="n"/>
      <c r="EG84" s="383" t="n"/>
      <c r="EH84" s="383" t="n"/>
      <c r="EI84" s="383" t="n"/>
      <c r="EJ84" s="383" t="n"/>
      <c r="EK84" s="383" t="n"/>
      <c r="EL84" s="383" t="n"/>
      <c r="EM84" s="383" t="n"/>
      <c r="EN84" s="383" t="n"/>
      <c r="EO84" s="383" t="n"/>
      <c r="EP84" s="383" t="n"/>
      <c r="EQ84" s="383" t="n"/>
      <c r="ER84" s="383" t="n"/>
      <c r="ES84" s="383" t="n"/>
      <c r="ET84" s="383" t="n"/>
      <c r="EU84" s="383" t="n"/>
      <c r="EV84" s="383" t="n"/>
      <c r="EW84" s="383" t="n"/>
      <c r="EX84" s="383" t="n"/>
      <c r="EY84" s="383" t="n"/>
      <c r="EZ84" s="383" t="n"/>
      <c r="FA84" s="383" t="n"/>
      <c r="FB84" s="383" t="n"/>
      <c r="FC84" s="383" t="n"/>
      <c r="FD84" s="383" t="n"/>
      <c r="FE84" s="383" t="n"/>
      <c r="FF84" s="383" t="n"/>
      <c r="FG84" s="383" t="n"/>
      <c r="FH84" s="383" t="n"/>
      <c r="FI84" s="383" t="n"/>
      <c r="FJ84" s="383" t="n"/>
      <c r="FK84" s="383" t="n"/>
      <c r="FL84" s="383" t="n"/>
      <c r="FM84" s="383" t="n"/>
      <c r="FN84" s="383" t="n"/>
      <c r="FO84" s="383" t="n"/>
      <c r="FP84" s="383" t="n"/>
      <c r="FQ84" s="383" t="n"/>
      <c r="FR84" s="383" t="n"/>
      <c r="FS84" s="383" t="n"/>
      <c r="FT84" s="383" t="n"/>
      <c r="FU84" s="383" t="n"/>
      <c r="FV84" s="383" t="n"/>
      <c r="FW84" s="383" t="n"/>
      <c r="FX84" s="383" t="n"/>
      <c r="FY84" s="383" t="n"/>
      <c r="FZ84" s="383" t="n"/>
      <c r="GA84" s="383" t="n"/>
      <c r="GB84" s="383" t="n"/>
      <c r="GC84" s="383" t="n"/>
      <c r="GD84" s="383" t="n"/>
      <c r="GE84" s="383" t="n"/>
      <c r="GF84" s="383" t="n"/>
      <c r="GG84" s="383" t="n"/>
      <c r="GH84" s="383" t="n"/>
      <c r="GI84" s="383" t="n"/>
      <c r="GJ84" s="383" t="n"/>
      <c r="GK84" s="383" t="n"/>
      <c r="GL84" s="383" t="n"/>
      <c r="GM84" s="383" t="n"/>
      <c r="GN84" s="383" t="n"/>
      <c r="GO84" s="383" t="n"/>
      <c r="GP84" s="383" t="n"/>
      <c r="GQ84" s="383" t="n"/>
      <c r="GR84" s="383" t="n"/>
      <c r="GS84" s="383" t="n"/>
      <c r="GT84" s="383" t="n"/>
      <c r="GU84" s="383" t="n"/>
      <c r="GV84" s="383" t="n"/>
      <c r="GW84" s="383" t="n"/>
      <c r="GX84" s="383" t="n"/>
      <c r="GY84" s="383" t="n"/>
    </row>
    <row r="85" ht="3" customHeight="1" s="1883">
      <c r="A85" s="383" t="n"/>
      <c r="B85" s="383" t="n"/>
      <c r="C85" s="383" t="n"/>
      <c r="D85" s="383" t="n"/>
      <c r="E85" s="383" t="n"/>
      <c r="F85" s="383" t="n"/>
      <c r="G85" s="383" t="n"/>
      <c r="H85" s="383" t="n"/>
      <c r="I85" s="383" t="n"/>
      <c r="J85" s="383" t="n"/>
      <c r="K85" s="462" t="n"/>
      <c r="L85" s="383" t="n"/>
      <c r="M85" s="383" t="n"/>
      <c r="N85" s="383" t="n"/>
      <c r="O85" s="383" t="n"/>
      <c r="P85" s="383" t="n"/>
      <c r="Q85" s="383" t="n"/>
      <c r="R85" s="383" t="n"/>
      <c r="S85" s="383" t="n"/>
      <c r="T85" s="383" t="n"/>
      <c r="U85" s="383" t="n"/>
      <c r="V85" s="383" t="n"/>
      <c r="W85" s="383" t="n"/>
      <c r="X85" s="383" t="n"/>
      <c r="Y85" s="383" t="n"/>
      <c r="Z85" s="383" t="n"/>
      <c r="AA85" s="383" t="n"/>
      <c r="AB85" s="541" t="n"/>
      <c r="AC85" s="383" t="n"/>
      <c r="AD85" s="383" t="n"/>
      <c r="AE85" s="383" t="n"/>
      <c r="AF85" s="383" t="n"/>
      <c r="AG85" s="383" t="n"/>
      <c r="AH85" s="383" t="n"/>
      <c r="AI85" s="383" t="n"/>
      <c r="AJ85" s="383" t="n"/>
      <c r="AK85" s="383" t="n"/>
      <c r="AL85" s="383" t="n"/>
      <c r="AM85" s="383" t="n"/>
      <c r="AN85" s="541" t="n"/>
      <c r="AO85" s="383" t="n"/>
      <c r="AP85" s="383" t="n"/>
      <c r="AQ85" s="383" t="n"/>
      <c r="AR85" s="383" t="n"/>
      <c r="AS85" s="383" t="n"/>
      <c r="AT85" s="383" t="n"/>
      <c r="AU85" s="383" t="n"/>
      <c r="AV85" s="383" t="n"/>
      <c r="AW85" s="383" t="n"/>
      <c r="AX85" s="383" t="n"/>
      <c r="AY85" s="1910" t="n"/>
      <c r="AZ85" s="541" t="n"/>
      <c r="BA85" s="383" t="n"/>
      <c r="BB85" s="383" t="n"/>
      <c r="BC85" s="383" t="n"/>
      <c r="BD85" s="383" t="n"/>
      <c r="BE85" s="383" t="n"/>
      <c r="BF85" s="383" t="n"/>
      <c r="BG85" s="383" t="n"/>
      <c r="BH85" s="383" t="n"/>
      <c r="BI85" s="383" t="n"/>
      <c r="BJ85" s="383" t="n"/>
      <c r="BK85" s="383" t="n"/>
      <c r="BL85" s="541" t="n"/>
      <c r="BM85" s="383" t="n"/>
      <c r="BN85" s="383" t="n"/>
      <c r="BO85" s="383" t="n"/>
      <c r="BP85" s="383" t="n"/>
      <c r="BQ85" s="383" t="n"/>
      <c r="BR85" s="383" t="n"/>
      <c r="BS85" s="383" t="n"/>
      <c r="BT85" s="383" t="n"/>
      <c r="BU85" s="383" t="n"/>
      <c r="BV85" s="383" t="n"/>
      <c r="BW85" s="383" t="n"/>
      <c r="BX85" s="383" t="n"/>
      <c r="BY85" s="383" t="n"/>
      <c r="BZ85" s="383" t="n"/>
      <c r="CA85" s="383" t="n"/>
      <c r="CB85" s="383" t="n"/>
      <c r="CC85" s="383" t="n"/>
      <c r="CD85" s="383" t="n"/>
      <c r="CE85" s="383" t="n"/>
      <c r="CF85" s="383" t="n"/>
      <c r="CG85" s="383" t="n"/>
      <c r="CH85" s="383" t="n"/>
      <c r="CI85" s="383" t="n"/>
      <c r="CJ85" s="383" t="n"/>
      <c r="CK85" s="383" t="n"/>
      <c r="CL85" s="383" t="n"/>
      <c r="CM85" s="383" t="n"/>
      <c r="CN85" s="383" t="n"/>
      <c r="CO85" s="383" t="n"/>
      <c r="CP85" s="383" t="n"/>
      <c r="CQ85" s="383" t="n"/>
      <c r="CR85" s="383" t="n"/>
      <c r="CS85" s="383" t="n"/>
      <c r="CT85" s="383" t="n"/>
      <c r="CU85" s="383" t="n"/>
      <c r="CV85" s="383" t="n"/>
      <c r="CW85" s="383" t="n"/>
      <c r="CX85" s="383" t="n"/>
      <c r="CY85" s="383" t="n"/>
      <c r="CZ85" s="383" t="n"/>
      <c r="DA85" s="383" t="n"/>
      <c r="DB85" s="383" t="n"/>
      <c r="DC85" s="383" t="n"/>
      <c r="DD85" s="383" t="n"/>
      <c r="DE85" s="383" t="n"/>
      <c r="DF85" s="383" t="n"/>
      <c r="DG85" s="383" t="n"/>
      <c r="DH85" s="383" t="n"/>
      <c r="DI85" s="383" t="n"/>
      <c r="DJ85" s="383" t="n"/>
      <c r="DK85" s="383" t="n"/>
      <c r="DL85" s="383" t="n"/>
      <c r="DM85" s="383" t="n"/>
      <c r="DN85" s="383" t="n"/>
      <c r="DO85" s="383" t="n"/>
      <c r="DP85" s="383" t="n"/>
      <c r="DQ85" s="383" t="n"/>
      <c r="DR85" s="383" t="n"/>
      <c r="DS85" s="383" t="n"/>
      <c r="DT85" s="383" t="n"/>
      <c r="DU85" s="383" t="n"/>
      <c r="DV85" s="383" t="n"/>
      <c r="DW85" s="383" t="n"/>
      <c r="DX85" s="383" t="n"/>
      <c r="DY85" s="383" t="n"/>
      <c r="DZ85" s="383" t="n"/>
      <c r="EA85" s="383" t="n"/>
      <c r="EB85" s="383" t="n"/>
      <c r="EC85" s="383" t="n"/>
      <c r="ED85" s="383" t="n"/>
      <c r="EE85" s="383" t="n"/>
      <c r="EF85" s="383" t="n"/>
      <c r="EG85" s="383" t="n"/>
      <c r="EH85" s="383" t="n"/>
      <c r="EI85" s="383" t="n"/>
      <c r="EJ85" s="383" t="n"/>
      <c r="EK85" s="383" t="n"/>
      <c r="EL85" s="383" t="n"/>
      <c r="EM85" s="383" t="n"/>
      <c r="EN85" s="383" t="n"/>
      <c r="EO85" s="383" t="n"/>
      <c r="EP85" s="383" t="n"/>
      <c r="EQ85" s="383" t="n"/>
      <c r="ER85" s="383" t="n"/>
      <c r="ES85" s="383" t="n"/>
      <c r="ET85" s="383" t="n"/>
      <c r="EU85" s="383" t="n"/>
      <c r="EV85" s="383" t="n"/>
      <c r="EW85" s="383" t="n"/>
      <c r="EX85" s="383" t="n"/>
      <c r="EY85" s="383" t="n"/>
      <c r="EZ85" s="383" t="n"/>
      <c r="FA85" s="383" t="n"/>
      <c r="FB85" s="383" t="n"/>
      <c r="FC85" s="383" t="n"/>
      <c r="FD85" s="383" t="n"/>
      <c r="FE85" s="383" t="n"/>
      <c r="FF85" s="383" t="n"/>
      <c r="FG85" s="383" t="n"/>
      <c r="FH85" s="383" t="n"/>
      <c r="FI85" s="383" t="n"/>
      <c r="FJ85" s="383" t="n"/>
      <c r="FK85" s="383" t="n"/>
      <c r="FL85" s="383" t="n"/>
      <c r="FM85" s="383" t="n"/>
      <c r="FN85" s="383" t="n"/>
      <c r="FO85" s="383" t="n"/>
      <c r="FP85" s="383" t="n"/>
      <c r="FQ85" s="383" t="n"/>
      <c r="FR85" s="383" t="n"/>
      <c r="FS85" s="383" t="n"/>
      <c r="FT85" s="383" t="n"/>
      <c r="FU85" s="383" t="n"/>
      <c r="FV85" s="383" t="n"/>
      <c r="FW85" s="383" t="n"/>
      <c r="FX85" s="383" t="n"/>
      <c r="FY85" s="383" t="n"/>
      <c r="FZ85" s="383" t="n"/>
      <c r="GA85" s="383" t="n"/>
      <c r="GB85" s="383" t="n"/>
      <c r="GC85" s="383" t="n"/>
      <c r="GD85" s="383" t="n"/>
      <c r="GE85" s="383" t="n"/>
      <c r="GF85" s="383" t="n"/>
      <c r="GG85" s="383" t="n"/>
      <c r="GH85" s="383" t="n"/>
      <c r="GI85" s="383" t="n"/>
      <c r="GJ85" s="383" t="n"/>
      <c r="GK85" s="383" t="n"/>
      <c r="GL85" s="383" t="n"/>
      <c r="GM85" s="383" t="n"/>
      <c r="GN85" s="383" t="n"/>
      <c r="GO85" s="383" t="n"/>
      <c r="GP85" s="383" t="n"/>
      <c r="GQ85" s="383" t="n"/>
      <c r="GR85" s="383" t="n"/>
      <c r="GS85" s="383" t="n"/>
      <c r="GT85" s="383" t="n"/>
      <c r="GU85" s="383" t="n"/>
      <c r="GV85" s="383" t="n"/>
      <c r="GW85" s="383" t="n"/>
      <c r="GX85" s="383" t="n"/>
      <c r="GY85" s="383" t="n"/>
    </row>
    <row r="86" ht="15" customHeight="1" s="1883">
      <c r="A86" s="383" t="n"/>
      <c r="B86" s="383" t="n"/>
      <c r="C86" s="383" t="n"/>
      <c r="D86" s="383" t="n"/>
      <c r="E86" s="383" t="n"/>
      <c r="F86" s="383" t="n"/>
      <c r="G86" s="383" t="n"/>
      <c r="H86" s="383" t="n"/>
      <c r="I86" s="383" t="n"/>
      <c r="J86" s="383" t="n"/>
      <c r="K86" s="462" t="n"/>
      <c r="L86" s="383" t="n"/>
      <c r="M86" s="383" t="n"/>
      <c r="N86" s="383" t="n"/>
      <c r="O86" s="383" t="n"/>
      <c r="P86" s="383" t="n"/>
      <c r="Q86" s="383" t="n"/>
      <c r="R86" s="383" t="n"/>
      <c r="S86" s="383" t="n"/>
      <c r="T86" s="383" t="n"/>
      <c r="U86" s="383" t="n"/>
      <c r="V86" s="383" t="n"/>
      <c r="W86" s="383" t="n"/>
      <c r="X86" s="383" t="n"/>
      <c r="Y86" s="383" t="n"/>
      <c r="Z86" s="383" t="n"/>
      <c r="AA86" s="383" t="n"/>
      <c r="AB86" s="541" t="n"/>
      <c r="AC86" s="383" t="n"/>
      <c r="AD86" s="383" t="n"/>
      <c r="AE86" s="383" t="n"/>
      <c r="AF86" s="383" t="n"/>
      <c r="AG86" s="383" t="n"/>
      <c r="AH86" s="383" t="n"/>
      <c r="AI86" s="383" t="n"/>
      <c r="AJ86" s="383" t="n"/>
      <c r="AK86" s="383" t="n"/>
      <c r="AL86" s="383" t="n"/>
      <c r="AM86" s="383" t="n"/>
      <c r="AN86" s="541" t="n"/>
      <c r="AO86" s="383" t="n"/>
      <c r="AP86" s="383" t="n"/>
      <c r="AQ86" s="383" t="n"/>
      <c r="AR86" s="383" t="n"/>
      <c r="AS86" s="383" t="n"/>
      <c r="AT86" s="383" t="n"/>
      <c r="AU86" s="383" t="n"/>
      <c r="AV86" s="383" t="n"/>
      <c r="AW86" s="383" t="n"/>
      <c r="AX86" s="383" t="n"/>
      <c r="AY86" s="1910" t="n"/>
      <c r="AZ86" s="541" t="n"/>
      <c r="BA86" s="383" t="n"/>
      <c r="BB86" s="383" t="n"/>
      <c r="BC86" s="383" t="n"/>
      <c r="BD86" s="383" t="n"/>
      <c r="BE86" s="383" t="n"/>
      <c r="BF86" s="383" t="n"/>
      <c r="BG86" s="383" t="n"/>
      <c r="BH86" s="383" t="n"/>
      <c r="BI86" s="383" t="n"/>
      <c r="BJ86" s="383" t="n"/>
      <c r="BK86" s="383" t="n"/>
      <c r="BL86" s="541" t="n"/>
      <c r="BM86" s="383" t="n"/>
      <c r="BN86" s="383" t="n"/>
      <c r="BO86" s="383" t="n"/>
      <c r="BP86" s="383" t="n"/>
      <c r="BQ86" s="383" t="n"/>
      <c r="BR86" s="383" t="n"/>
      <c r="BS86" s="383" t="n"/>
      <c r="BT86" s="383" t="n"/>
      <c r="BU86" s="383" t="n"/>
      <c r="BV86" s="383" t="n"/>
      <c r="BW86" s="383" t="n"/>
      <c r="BX86" s="383" t="n"/>
      <c r="BY86" s="383" t="n"/>
      <c r="BZ86" s="383" t="n"/>
      <c r="CA86" s="383" t="n"/>
      <c r="CB86" s="383" t="n"/>
      <c r="CC86" s="383" t="n"/>
      <c r="CD86" s="383" t="n"/>
      <c r="CE86" s="383" t="n"/>
      <c r="CF86" s="383" t="n"/>
      <c r="CG86" s="383" t="n"/>
      <c r="CH86" s="383" t="n"/>
      <c r="CI86" s="383" t="n"/>
      <c r="CJ86" s="383" t="n"/>
      <c r="CK86" s="383" t="n"/>
      <c r="CL86" s="383" t="n"/>
      <c r="CM86" s="383" t="n"/>
      <c r="CN86" s="383" t="n"/>
      <c r="CO86" s="383" t="n"/>
      <c r="CP86" s="383" t="n"/>
      <c r="CQ86" s="383" t="n"/>
      <c r="CR86" s="383" t="n"/>
      <c r="CS86" s="383" t="n"/>
      <c r="CT86" s="383" t="n"/>
      <c r="CU86" s="383" t="n"/>
      <c r="CV86" s="383" t="n"/>
      <c r="CW86" s="383" t="n"/>
      <c r="CX86" s="383" t="n"/>
      <c r="CY86" s="383" t="n"/>
      <c r="CZ86" s="383" t="n"/>
      <c r="DA86" s="383" t="n"/>
      <c r="DB86" s="383" t="n"/>
      <c r="DC86" s="383" t="n"/>
      <c r="DD86" s="383" t="n"/>
      <c r="DE86" s="383" t="n"/>
      <c r="DF86" s="383" t="n"/>
      <c r="DG86" s="383" t="n"/>
      <c r="DH86" s="383" t="n"/>
      <c r="DI86" s="383" t="n"/>
      <c r="DJ86" s="383" t="n"/>
      <c r="DK86" s="383" t="n"/>
      <c r="DL86" s="383" t="n"/>
      <c r="DM86" s="383" t="n"/>
      <c r="DN86" s="383" t="n"/>
      <c r="DO86" s="383" t="n"/>
      <c r="DP86" s="383" t="n"/>
      <c r="DQ86" s="383" t="n"/>
      <c r="DR86" s="383" t="n"/>
      <c r="DS86" s="383" t="n"/>
      <c r="DT86" s="383" t="n"/>
      <c r="DU86" s="383" t="n"/>
      <c r="DV86" s="383" t="n"/>
      <c r="DW86" s="383" t="n"/>
      <c r="DX86" s="383" t="n"/>
      <c r="DY86" s="383" t="n"/>
      <c r="DZ86" s="383" t="n"/>
      <c r="EA86" s="383" t="n"/>
      <c r="EB86" s="383" t="n"/>
      <c r="EC86" s="383" t="n"/>
      <c r="ED86" s="383" t="n"/>
      <c r="EE86" s="383" t="n"/>
      <c r="EF86" s="383" t="n"/>
      <c r="EG86" s="383" t="n"/>
      <c r="EH86" s="383" t="n"/>
      <c r="EI86" s="383" t="n"/>
      <c r="EJ86" s="383" t="n"/>
      <c r="EK86" s="383" t="n"/>
      <c r="EL86" s="383" t="n"/>
      <c r="EM86" s="383" t="n"/>
      <c r="EN86" s="383" t="n"/>
      <c r="EO86" s="383" t="n"/>
      <c r="EP86" s="383" t="n"/>
      <c r="EQ86" s="383" t="n"/>
      <c r="ER86" s="383" t="n"/>
      <c r="ES86" s="383" t="n"/>
      <c r="ET86" s="383" t="n"/>
      <c r="EU86" s="383" t="n"/>
      <c r="EV86" s="383" t="n"/>
      <c r="EW86" s="383" t="n"/>
      <c r="EX86" s="383" t="n"/>
      <c r="EY86" s="383" t="n"/>
      <c r="EZ86" s="383" t="n"/>
      <c r="FA86" s="383" t="n"/>
      <c r="FB86" s="383" t="n"/>
      <c r="FC86" s="383" t="n"/>
      <c r="FD86" s="383" t="n"/>
      <c r="FE86" s="383" t="n"/>
      <c r="FF86" s="383" t="n"/>
      <c r="FG86" s="383" t="n"/>
      <c r="FH86" s="383" t="n"/>
      <c r="FI86" s="383" t="n"/>
      <c r="FJ86" s="383" t="n"/>
      <c r="FK86" s="383" t="n"/>
      <c r="FL86" s="383" t="n"/>
      <c r="FM86" s="383" t="n"/>
      <c r="FN86" s="383" t="n"/>
      <c r="FO86" s="383" t="n"/>
      <c r="FP86" s="383" t="n"/>
      <c r="FQ86" s="383" t="n"/>
      <c r="FR86" s="383" t="n"/>
      <c r="FS86" s="383" t="n"/>
      <c r="FT86" s="383" t="n"/>
      <c r="FU86" s="383" t="n"/>
      <c r="FV86" s="383" t="n"/>
      <c r="FW86" s="383" t="n"/>
      <c r="FX86" s="383" t="n"/>
      <c r="FY86" s="383" t="n"/>
      <c r="FZ86" s="383" t="n"/>
      <c r="GA86" s="383" t="n"/>
      <c r="GB86" s="383" t="n"/>
      <c r="GC86" s="383" t="n"/>
      <c r="GD86" s="383" t="n"/>
      <c r="GE86" s="383" t="n"/>
      <c r="GF86" s="383" t="n"/>
      <c r="GG86" s="383" t="n"/>
      <c r="GH86" s="383" t="n"/>
      <c r="GI86" s="383" t="n"/>
      <c r="GJ86" s="383" t="n"/>
      <c r="GK86" s="383" t="n"/>
      <c r="GL86" s="383" t="n"/>
      <c r="GM86" s="383" t="n"/>
      <c r="GN86" s="383" t="n"/>
      <c r="GO86" s="383" t="n"/>
      <c r="GP86" s="383" t="n"/>
      <c r="GQ86" s="383" t="n"/>
      <c r="GR86" s="383" t="n"/>
      <c r="GS86" s="383" t="n"/>
      <c r="GT86" s="383" t="n"/>
      <c r="GU86" s="383" t="n"/>
      <c r="GV86" s="383" t="n"/>
      <c r="GW86" s="383" t="n"/>
      <c r="GX86" s="383" t="n"/>
      <c r="GY86" s="383" t="n"/>
    </row>
    <row r="87" ht="15" customHeight="1" s="1883">
      <c r="A87" s="383" t="n"/>
      <c r="B87" s="383" t="n"/>
      <c r="C87" s="383" t="n"/>
      <c r="D87" s="383" t="n"/>
      <c r="E87" s="383" t="n"/>
      <c r="F87" s="383" t="n"/>
      <c r="G87" s="383" t="n"/>
      <c r="H87" s="383" t="n"/>
      <c r="I87" s="383" t="n"/>
      <c r="J87" s="383" t="n"/>
      <c r="K87" s="462" t="n"/>
      <c r="L87" s="383" t="n"/>
      <c r="M87" s="383" t="n"/>
      <c r="N87" s="383" t="n"/>
      <c r="O87" s="383" t="n"/>
      <c r="P87" s="383" t="n"/>
      <c r="Q87" s="383" t="n"/>
      <c r="R87" s="383" t="n"/>
      <c r="S87" s="383" t="n"/>
      <c r="T87" s="383" t="n"/>
      <c r="U87" s="383" t="n"/>
      <c r="V87" s="383" t="n"/>
      <c r="W87" s="383" t="n"/>
      <c r="X87" s="383" t="n"/>
      <c r="Y87" s="383" t="n"/>
      <c r="Z87" s="383" t="n"/>
      <c r="AA87" s="383" t="n"/>
      <c r="AB87" s="541" t="n"/>
      <c r="AC87" s="383" t="n"/>
      <c r="AD87" s="383" t="n"/>
      <c r="AE87" s="383" t="n"/>
      <c r="AF87" s="383" t="n"/>
      <c r="AG87" s="383" t="n"/>
      <c r="AH87" s="383" t="n"/>
      <c r="AI87" s="383" t="n"/>
      <c r="AJ87" s="383" t="n"/>
      <c r="AK87" s="383" t="n"/>
      <c r="AL87" s="383" t="n"/>
      <c r="AM87" s="383" t="n"/>
      <c r="AN87" s="541" t="n"/>
      <c r="AO87" s="383" t="n"/>
      <c r="AP87" s="383" t="n"/>
      <c r="AQ87" s="383" t="n"/>
      <c r="AR87" s="383" t="n"/>
      <c r="AS87" s="383" t="n"/>
      <c r="AT87" s="383" t="n"/>
      <c r="AU87" s="383" t="n"/>
      <c r="AV87" s="383" t="n"/>
      <c r="AW87" s="383" t="n"/>
      <c r="AX87" s="383" t="n"/>
      <c r="AY87" s="1910" t="n"/>
      <c r="AZ87" s="541" t="n"/>
      <c r="BA87" s="383" t="n"/>
      <c r="BB87" s="383" t="n"/>
      <c r="BC87" s="383" t="n"/>
      <c r="BD87" s="383" t="n"/>
      <c r="BE87" s="383" t="n"/>
      <c r="BF87" s="383" t="n"/>
      <c r="BG87" s="383" t="n"/>
      <c r="BH87" s="383" t="n"/>
      <c r="BI87" s="383" t="n"/>
      <c r="BJ87" s="383" t="n"/>
      <c r="BK87" s="383" t="n"/>
      <c r="BL87" s="541" t="n"/>
      <c r="BM87" s="383" t="n"/>
      <c r="BN87" s="383" t="n"/>
      <c r="BO87" s="383" t="n"/>
      <c r="BP87" s="383" t="n"/>
      <c r="BQ87" s="383" t="n"/>
      <c r="BR87" s="383" t="n"/>
      <c r="BS87" s="383" t="n"/>
      <c r="BT87" s="383" t="n"/>
      <c r="BU87" s="383" t="n"/>
      <c r="BV87" s="383" t="n"/>
      <c r="BW87" s="383" t="n"/>
      <c r="BX87" s="383" t="n"/>
      <c r="BY87" s="383" t="n"/>
      <c r="BZ87" s="383" t="n"/>
      <c r="CA87" s="383" t="n"/>
      <c r="CB87" s="383" t="n"/>
      <c r="CC87" s="383" t="n"/>
      <c r="CD87" s="383" t="n"/>
      <c r="CE87" s="383" t="n"/>
      <c r="CF87" s="383" t="n"/>
      <c r="CG87" s="383" t="n"/>
      <c r="CH87" s="383" t="n"/>
      <c r="CI87" s="383" t="n"/>
      <c r="CJ87" s="383" t="n"/>
      <c r="CK87" s="383" t="n"/>
      <c r="CL87" s="383" t="n"/>
      <c r="CM87" s="383" t="n"/>
      <c r="CN87" s="383" t="n"/>
      <c r="CO87" s="383" t="n"/>
      <c r="CP87" s="383" t="n"/>
      <c r="CQ87" s="383" t="n"/>
      <c r="CR87" s="383" t="n"/>
      <c r="CS87" s="383" t="n"/>
      <c r="CT87" s="383" t="n"/>
      <c r="CU87" s="383" t="n"/>
      <c r="CV87" s="383" t="n"/>
      <c r="CW87" s="383" t="n"/>
      <c r="CX87" s="383" t="n"/>
      <c r="CY87" s="383" t="n"/>
      <c r="CZ87" s="383" t="n"/>
      <c r="DA87" s="383" t="n"/>
      <c r="DB87" s="383" t="n"/>
      <c r="DC87" s="383" t="n"/>
      <c r="DD87" s="383" t="n"/>
      <c r="DE87" s="383" t="n"/>
      <c r="DF87" s="383" t="n"/>
      <c r="DG87" s="383" t="n"/>
      <c r="DH87" s="383" t="n"/>
      <c r="DI87" s="383" t="n"/>
      <c r="DJ87" s="383" t="n"/>
      <c r="DK87" s="383" t="n"/>
      <c r="DL87" s="383" t="n"/>
      <c r="DM87" s="383" t="n"/>
      <c r="DN87" s="383" t="n"/>
      <c r="DO87" s="383" t="n"/>
      <c r="DP87" s="383" t="n"/>
      <c r="DQ87" s="383" t="n"/>
      <c r="DR87" s="383" t="n"/>
      <c r="DS87" s="383" t="n"/>
      <c r="DT87" s="383" t="n"/>
      <c r="DU87" s="383" t="n"/>
      <c r="DV87" s="383" t="n"/>
      <c r="DW87" s="383" t="n"/>
      <c r="DX87" s="383" t="n"/>
      <c r="DY87" s="383" t="n"/>
      <c r="DZ87" s="383" t="n"/>
      <c r="EA87" s="383" t="n"/>
      <c r="EB87" s="383" t="n"/>
      <c r="EC87" s="383" t="n"/>
      <c r="ED87" s="383" t="n"/>
      <c r="EE87" s="383" t="n"/>
      <c r="EF87" s="383" t="n"/>
      <c r="EG87" s="383" t="n"/>
      <c r="EH87" s="383" t="n"/>
      <c r="EI87" s="383" t="n"/>
      <c r="EJ87" s="383" t="n"/>
      <c r="EK87" s="383" t="n"/>
      <c r="EL87" s="383" t="n"/>
      <c r="EM87" s="383" t="n"/>
      <c r="EN87" s="383" t="n"/>
      <c r="EO87" s="383" t="n"/>
      <c r="EP87" s="383" t="n"/>
      <c r="EQ87" s="383" t="n"/>
      <c r="ER87" s="383" t="n"/>
      <c r="ES87" s="383" t="n"/>
      <c r="ET87" s="383" t="n"/>
      <c r="EU87" s="383" t="n"/>
      <c r="EV87" s="383" t="n"/>
      <c r="EW87" s="383" t="n"/>
      <c r="EX87" s="383" t="n"/>
      <c r="EY87" s="383" t="n"/>
      <c r="EZ87" s="383" t="n"/>
      <c r="FA87" s="383" t="n"/>
      <c r="FB87" s="383" t="n"/>
      <c r="FC87" s="383" t="n"/>
      <c r="FD87" s="383" t="n"/>
      <c r="FE87" s="383" t="n"/>
      <c r="FF87" s="383" t="n"/>
      <c r="FG87" s="383" t="n"/>
      <c r="FH87" s="383" t="n"/>
      <c r="FI87" s="383" t="n"/>
      <c r="FJ87" s="383" t="n"/>
      <c r="FK87" s="383" t="n"/>
      <c r="FL87" s="383" t="n"/>
      <c r="FM87" s="383" t="n"/>
      <c r="FN87" s="383" t="n"/>
      <c r="FO87" s="383" t="n"/>
      <c r="FP87" s="383" t="n"/>
      <c r="FQ87" s="383" t="n"/>
      <c r="FR87" s="383" t="n"/>
      <c r="FS87" s="383" t="n"/>
      <c r="FT87" s="383" t="n"/>
      <c r="FU87" s="383" t="n"/>
      <c r="FV87" s="383" t="n"/>
      <c r="FW87" s="383" t="n"/>
      <c r="FX87" s="383" t="n"/>
      <c r="FY87" s="383" t="n"/>
      <c r="FZ87" s="383" t="n"/>
      <c r="GA87" s="383" t="n"/>
      <c r="GB87" s="383" t="n"/>
      <c r="GC87" s="383" t="n"/>
      <c r="GD87" s="383" t="n"/>
      <c r="GE87" s="383" t="n"/>
      <c r="GF87" s="383" t="n"/>
      <c r="GG87" s="383" t="n"/>
      <c r="GH87" s="383" t="n"/>
      <c r="GI87" s="383" t="n"/>
      <c r="GJ87" s="383" t="n"/>
      <c r="GK87" s="383" t="n"/>
      <c r="GL87" s="383" t="n"/>
      <c r="GM87" s="383" t="n"/>
      <c r="GN87" s="383" t="n"/>
      <c r="GO87" s="383" t="n"/>
      <c r="GP87" s="383" t="n"/>
      <c r="GQ87" s="383" t="n"/>
      <c r="GR87" s="383" t="n"/>
      <c r="GS87" s="383" t="n"/>
      <c r="GT87" s="383" t="n"/>
      <c r="GU87" s="383" t="n"/>
      <c r="GV87" s="383" t="n"/>
      <c r="GW87" s="383" t="n"/>
      <c r="GX87" s="383" t="n"/>
      <c r="GY87" s="383" t="n"/>
    </row>
    <row r="88" ht="15" customHeight="1" s="1883">
      <c r="A88" s="383" t="n"/>
      <c r="B88" s="383" t="n"/>
      <c r="C88" s="383" t="n"/>
      <c r="D88" s="383" t="n"/>
      <c r="E88" s="383" t="n"/>
      <c r="F88" s="383" t="n"/>
      <c r="G88" s="383" t="n"/>
      <c r="H88" s="383" t="n"/>
      <c r="I88" s="383" t="n"/>
      <c r="J88" s="383" t="n"/>
      <c r="K88" s="462" t="n"/>
      <c r="L88" s="383" t="n"/>
      <c r="N88" s="552" t="inlineStr">
        <is>
          <t>Headcount</t>
        </is>
      </c>
      <c r="O88" s="383" t="n"/>
      <c r="P88" s="383" t="n"/>
      <c r="Q88" s="383" t="n"/>
      <c r="R88" s="383" t="n"/>
      <c r="S88" s="383" t="n"/>
      <c r="T88" s="383" t="n"/>
      <c r="U88" s="383" t="n"/>
      <c r="V88" s="383" t="n"/>
      <c r="W88" s="383" t="n"/>
      <c r="X88" s="383" t="n"/>
      <c r="Y88" s="383" t="n"/>
      <c r="Z88" s="383" t="n"/>
      <c r="AA88" s="383" t="n"/>
      <c r="AB88" s="541" t="n"/>
      <c r="AC88" s="383" t="n"/>
      <c r="AD88" s="383" t="n"/>
      <c r="AE88" s="383" t="n"/>
      <c r="AF88" s="383" t="n"/>
      <c r="AG88" s="383" t="n"/>
      <c r="AH88" s="383" t="n"/>
      <c r="AI88" s="383" t="n"/>
      <c r="AJ88" s="383" t="n"/>
      <c r="AK88" s="383" t="n"/>
      <c r="AL88" s="383" t="n"/>
      <c r="AM88" s="383" t="n"/>
      <c r="AN88" s="541" t="n"/>
      <c r="AO88" s="383" t="n"/>
      <c r="AP88" s="383" t="n"/>
      <c r="AQ88" s="383" t="n"/>
      <c r="AR88" s="383" t="n"/>
      <c r="AS88" s="383" t="n"/>
      <c r="AT88" s="383" t="n"/>
      <c r="AU88" s="383" t="n"/>
      <c r="AV88" s="383" t="n"/>
      <c r="AW88" s="383" t="n"/>
      <c r="AX88" s="383" t="n"/>
      <c r="AY88" s="1910" t="n"/>
      <c r="AZ88" s="541" t="n"/>
      <c r="BA88" s="383" t="n"/>
      <c r="BB88" s="383" t="n"/>
      <c r="BC88" s="383" t="n"/>
      <c r="BD88" s="383" t="n"/>
      <c r="BE88" s="383" t="n"/>
      <c r="BF88" s="383" t="n"/>
      <c r="BG88" s="383" t="n"/>
      <c r="BH88" s="383" t="n"/>
      <c r="BI88" s="383" t="n"/>
      <c r="BJ88" s="383" t="n"/>
      <c r="BK88" s="383" t="n"/>
      <c r="BL88" s="541" t="n"/>
      <c r="BM88" s="383" t="n"/>
      <c r="BN88" s="383" t="n"/>
      <c r="BO88" s="383" t="n"/>
      <c r="BP88" s="383" t="n"/>
      <c r="BQ88" s="383" t="n"/>
      <c r="BR88" s="383" t="n"/>
      <c r="BS88" s="383" t="n"/>
      <c r="BT88" s="383" t="n"/>
      <c r="BU88" s="383" t="n"/>
      <c r="BV88" s="383" t="n"/>
      <c r="BW88" s="383" t="n"/>
      <c r="BX88" s="383" t="n"/>
      <c r="BY88" s="383" t="n"/>
      <c r="BZ88" s="383" t="n"/>
      <c r="CA88" s="383" t="n"/>
      <c r="CB88" s="383" t="n"/>
      <c r="CC88" s="383" t="n"/>
      <c r="CD88" s="383" t="n"/>
      <c r="CE88" s="383" t="n"/>
      <c r="CF88" s="383" t="n"/>
      <c r="CG88" s="383" t="n"/>
      <c r="CH88" s="383" t="n"/>
      <c r="CI88" s="383" t="n"/>
      <c r="CJ88" s="383" t="n"/>
      <c r="CK88" s="383" t="n"/>
      <c r="CL88" s="383" t="n"/>
      <c r="CM88" s="383" t="n"/>
      <c r="CN88" s="383" t="n"/>
      <c r="CO88" s="383" t="n"/>
      <c r="CP88" s="383" t="n"/>
      <c r="CQ88" s="383" t="n"/>
      <c r="CR88" s="383" t="n"/>
      <c r="CS88" s="383" t="n"/>
      <c r="CT88" s="383" t="n"/>
      <c r="CU88" s="383" t="n"/>
      <c r="CV88" s="383" t="n"/>
      <c r="CW88" s="383" t="n"/>
      <c r="CX88" s="383" t="n"/>
      <c r="CY88" s="383" t="n"/>
      <c r="CZ88" s="383" t="n"/>
      <c r="DA88" s="383" t="n"/>
      <c r="DB88" s="383" t="n"/>
      <c r="DC88" s="383" t="n"/>
      <c r="DD88" s="383" t="n"/>
      <c r="DE88" s="383" t="n"/>
      <c r="DF88" s="383" t="n"/>
      <c r="DG88" s="383" t="n"/>
      <c r="DH88" s="383" t="n"/>
      <c r="DI88" s="383" t="n"/>
      <c r="DJ88" s="383" t="n"/>
      <c r="DK88" s="383" t="n"/>
      <c r="DL88" s="383" t="n"/>
      <c r="DM88" s="383" t="n"/>
      <c r="DN88" s="383" t="n"/>
      <c r="DO88" s="383" t="n"/>
      <c r="DP88" s="383" t="n"/>
      <c r="DQ88" s="383" t="n"/>
      <c r="DR88" s="383" t="n"/>
      <c r="DS88" s="383" t="n"/>
      <c r="DT88" s="383" t="n"/>
      <c r="DU88" s="383" t="n"/>
      <c r="DV88" s="383" t="n"/>
      <c r="DW88" s="383" t="n"/>
      <c r="DX88" s="383" t="n"/>
      <c r="DY88" s="383" t="n"/>
      <c r="DZ88" s="383" t="n"/>
      <c r="EA88" s="383" t="n"/>
      <c r="EB88" s="383" t="n"/>
      <c r="EC88" s="383" t="n"/>
      <c r="ED88" s="383" t="n"/>
      <c r="EE88" s="383" t="n"/>
      <c r="EF88" s="383" t="n"/>
      <c r="EG88" s="383" t="n"/>
      <c r="EH88" s="383" t="n"/>
      <c r="EI88" s="383" t="n"/>
      <c r="EJ88" s="383" t="n"/>
      <c r="EK88" s="383" t="n"/>
      <c r="EL88" s="383" t="n"/>
      <c r="EM88" s="383" t="n"/>
      <c r="EN88" s="383" t="n"/>
      <c r="EO88" s="383" t="n"/>
      <c r="EP88" s="383" t="n"/>
      <c r="EQ88" s="383" t="n"/>
      <c r="ER88" s="383" t="n"/>
      <c r="ES88" s="383" t="n"/>
      <c r="ET88" s="383" t="n"/>
      <c r="EU88" s="383" t="n"/>
      <c r="EV88" s="383" t="n"/>
      <c r="EW88" s="383" t="n"/>
      <c r="EX88" s="383" t="n"/>
      <c r="EY88" s="383" t="n"/>
      <c r="EZ88" s="383" t="n"/>
      <c r="FA88" s="383" t="n"/>
      <c r="FB88" s="383" t="n"/>
      <c r="FC88" s="383" t="n"/>
      <c r="FD88" s="383" t="n"/>
      <c r="FE88" s="383" t="n"/>
      <c r="FF88" s="383" t="n"/>
      <c r="FG88" s="383" t="n"/>
      <c r="FH88" s="383" t="n"/>
      <c r="FI88" s="383" t="n"/>
      <c r="FJ88" s="383" t="n"/>
      <c r="FK88" s="383" t="n"/>
      <c r="FL88" s="383" t="n"/>
      <c r="FM88" s="383" t="n"/>
      <c r="FN88" s="383" t="n"/>
      <c r="FO88" s="383" t="n"/>
      <c r="FP88" s="383" t="n"/>
      <c r="FQ88" s="383" t="n"/>
      <c r="FR88" s="383" t="n"/>
      <c r="FS88" s="383" t="n"/>
      <c r="FT88" s="383" t="n"/>
      <c r="FU88" s="383" t="n"/>
      <c r="FV88" s="383" t="n"/>
      <c r="FW88" s="383" t="n"/>
      <c r="FX88" s="383" t="n"/>
      <c r="FY88" s="383" t="n"/>
      <c r="FZ88" s="383" t="n"/>
      <c r="GA88" s="383" t="n"/>
      <c r="GB88" s="383" t="n"/>
      <c r="GC88" s="383" t="n"/>
      <c r="GD88" s="383" t="n"/>
      <c r="GE88" s="383" t="n"/>
      <c r="GF88" s="383" t="n"/>
      <c r="GG88" s="383" t="n"/>
      <c r="GH88" s="383" t="n"/>
      <c r="GI88" s="383" t="n"/>
      <c r="GJ88" s="383" t="n"/>
      <c r="GK88" s="383" t="n"/>
      <c r="GL88" s="383" t="n"/>
      <c r="GM88" s="383" t="n"/>
      <c r="GN88" s="383" t="n"/>
      <c r="GO88" s="383" t="n"/>
      <c r="GP88" s="383" t="n"/>
      <c r="GQ88" s="383" t="n"/>
      <c r="GR88" s="383" t="n"/>
      <c r="GS88" s="383" t="n"/>
      <c r="GT88" s="383" t="n"/>
      <c r="GU88" s="383" t="n"/>
      <c r="GV88" s="383" t="n"/>
      <c r="GW88" s="383" t="n"/>
      <c r="GX88" s="383" t="n"/>
      <c r="GY88" s="383" t="n"/>
    </row>
    <row r="89" ht="15" customHeight="1" s="1883">
      <c r="A89" s="383" t="n"/>
      <c r="B89" s="383" t="n"/>
      <c r="C89" s="383" t="n"/>
      <c r="D89" s="383" t="n"/>
      <c r="E89" s="383" t="n"/>
      <c r="F89" s="383" t="n"/>
      <c r="G89" s="383" t="n"/>
      <c r="H89" s="383" t="n"/>
      <c r="I89" s="383" t="n"/>
      <c r="J89" s="383" t="n"/>
      <c r="K89" s="462" t="n"/>
      <c r="L89" s="383" t="n"/>
      <c r="M89" s="383" t="n"/>
      <c r="N89" s="553" t="inlineStr">
        <is>
          <t>Management</t>
        </is>
      </c>
      <c r="O89" s="383" t="n"/>
      <c r="P89" s="446">
        <f>SUM(P17:P52)</f>
        <v/>
      </c>
      <c r="Q89" s="446">
        <f>SUM(Q17:Q52)</f>
        <v/>
      </c>
      <c r="R89" s="446">
        <f>SUM(R17:R52)</f>
        <v/>
      </c>
      <c r="S89" s="446">
        <f>SUM(S17:S52)</f>
        <v/>
      </c>
      <c r="T89" s="446">
        <f>SUM(T17:T52)</f>
        <v/>
      </c>
      <c r="U89" s="446">
        <f>SUM(U17:U52)</f>
        <v/>
      </c>
      <c r="V89" s="446">
        <f>SUM(V17:V52)</f>
        <v/>
      </c>
      <c r="W89" s="446">
        <f>SUM(W17:W52)</f>
        <v/>
      </c>
      <c r="X89" s="446">
        <f>SUM(X17:X52)</f>
        <v/>
      </c>
      <c r="Y89" s="446">
        <f>SUM(Y17:Y52)</f>
        <v/>
      </c>
      <c r="Z89" s="446">
        <f>SUM(Z17:Z52)</f>
        <v/>
      </c>
      <c r="AA89" s="446">
        <f>SUM(AA17:AA52)</f>
        <v/>
      </c>
      <c r="AB89" s="556">
        <f>SUM(AB17:AB52)</f>
        <v/>
      </c>
      <c r="AC89" s="446">
        <f>SUM(AC17:AC52)</f>
        <v/>
      </c>
      <c r="AD89" s="446">
        <f>SUM(AD17:AD52)</f>
        <v/>
      </c>
      <c r="AE89" s="446">
        <f>SUM(AE17:AE52)</f>
        <v/>
      </c>
      <c r="AF89" s="446">
        <f>SUM(AF17:AF52)</f>
        <v/>
      </c>
      <c r="AG89" s="446">
        <f>SUM(AG17:AG52)</f>
        <v/>
      </c>
      <c r="AH89" s="446">
        <f>SUM(AH17:AH52)</f>
        <v/>
      </c>
      <c r="AI89" s="446">
        <f>SUM(AI17:AI52)</f>
        <v/>
      </c>
      <c r="AJ89" s="446">
        <f>SUM(AJ17:AJ52)</f>
        <v/>
      </c>
      <c r="AK89" s="446">
        <f>SUM(AK17:AK52)</f>
        <v/>
      </c>
      <c r="AL89" s="446">
        <f>SUM(AL17:AL52)</f>
        <v/>
      </c>
      <c r="AM89" s="446">
        <f>SUM(AM17:AM52)</f>
        <v/>
      </c>
      <c r="AN89" s="556">
        <f>SUM(AN17:AN52)</f>
        <v/>
      </c>
      <c r="AO89" s="446">
        <f>SUM(AO17:AO52)</f>
        <v/>
      </c>
      <c r="AP89" s="446">
        <f>SUM(AP17:AP52)</f>
        <v/>
      </c>
      <c r="AQ89" s="446">
        <f>SUM(AQ17:AQ52)</f>
        <v/>
      </c>
      <c r="AR89" s="446">
        <f>SUM(AR17:AR52)</f>
        <v/>
      </c>
      <c r="AS89" s="446">
        <f>SUM(AS17:AS52)</f>
        <v/>
      </c>
      <c r="AT89" s="446">
        <f>SUM(AT17:AT52)</f>
        <v/>
      </c>
      <c r="AU89" s="446">
        <f>SUM(AU17:AU52)</f>
        <v/>
      </c>
      <c r="AV89" s="446">
        <f>SUM(AV17:AV52)</f>
        <v/>
      </c>
      <c r="AW89" s="446">
        <f>SUM(AW17:AW52)</f>
        <v/>
      </c>
      <c r="AX89" s="446">
        <f>SUM(AX17:AX52)</f>
        <v/>
      </c>
      <c r="AY89" s="569">
        <f>SUM(AY17:AY52)</f>
        <v/>
      </c>
      <c r="AZ89" s="556">
        <f>SUM(AZ17:AZ52)</f>
        <v/>
      </c>
      <c r="BA89" s="446">
        <f>SUM(BA17:BA52)</f>
        <v/>
      </c>
      <c r="BB89" s="446">
        <f>SUM(BB17:BB52)</f>
        <v/>
      </c>
      <c r="BC89" s="446">
        <f>SUM(BC17:BC52)</f>
        <v/>
      </c>
      <c r="BD89" s="446">
        <f>SUM(BD17:BD52)</f>
        <v/>
      </c>
      <c r="BE89" s="446">
        <f>SUM(BE17:BE52)</f>
        <v/>
      </c>
      <c r="BF89" s="446">
        <f>SUM(BF17:BF52)</f>
        <v/>
      </c>
      <c r="BG89" s="446">
        <f>SUM(BG17:BG52)</f>
        <v/>
      </c>
      <c r="BH89" s="446">
        <f>SUM(BH17:BH52)</f>
        <v/>
      </c>
      <c r="BI89" s="446">
        <f>SUM(BI17:BI52)</f>
        <v/>
      </c>
      <c r="BJ89" s="446">
        <f>SUM(BJ17:BJ52)</f>
        <v/>
      </c>
      <c r="BK89" s="446">
        <f>SUM(BK17:BK52)</f>
        <v/>
      </c>
      <c r="BL89" s="556">
        <f>SUM(BL17:BL52)</f>
        <v/>
      </c>
      <c r="BM89" s="446">
        <f>SUM(BM17:BM52)</f>
        <v/>
      </c>
      <c r="BN89" s="446">
        <f>SUM(BN17:BN52)</f>
        <v/>
      </c>
      <c r="BO89" s="446">
        <f>SUM(BO17:BO52)</f>
        <v/>
      </c>
      <c r="BP89" s="446">
        <f>SUM(BP17:BP52)</f>
        <v/>
      </c>
      <c r="BQ89" s="446">
        <f>SUM(BQ17:BQ52)</f>
        <v/>
      </c>
      <c r="BR89" s="446">
        <f>SUM(BR17:BR52)</f>
        <v/>
      </c>
      <c r="BS89" s="446">
        <f>SUM(BS17:BS52)</f>
        <v/>
      </c>
      <c r="BT89" s="446">
        <f>SUM(BT17:BT52)</f>
        <v/>
      </c>
      <c r="BU89" s="446">
        <f>SUM(BU17:BU52)</f>
        <v/>
      </c>
      <c r="BV89" s="446">
        <f>SUM(BV17:BV52)</f>
        <v/>
      </c>
      <c r="BW89" s="446">
        <f>SUM(BW17:BW52)</f>
        <v/>
      </c>
      <c r="BX89" s="383" t="n"/>
      <c r="BY89" s="383" t="n"/>
      <c r="BZ89" s="383" t="n"/>
      <c r="CA89" s="383" t="n"/>
      <c r="CB89" s="383" t="n"/>
      <c r="CC89" s="383" t="n"/>
      <c r="CD89" s="383" t="n"/>
      <c r="CE89" s="383" t="n"/>
      <c r="CF89" s="383" t="n"/>
      <c r="CG89" s="383" t="n"/>
      <c r="CH89" s="383" t="n"/>
      <c r="CI89" s="383" t="n"/>
      <c r="CJ89" s="383" t="n"/>
      <c r="CK89" s="383" t="n"/>
      <c r="CL89" s="383" t="n"/>
      <c r="CM89" s="383" t="n"/>
      <c r="CN89" s="383" t="n"/>
      <c r="CO89" s="383" t="n"/>
      <c r="CP89" s="383" t="n"/>
      <c r="CQ89" s="383" t="n"/>
      <c r="CR89" s="383" t="n"/>
      <c r="CS89" s="383" t="n"/>
      <c r="CT89" s="383" t="n"/>
      <c r="CU89" s="383" t="n"/>
      <c r="CV89" s="383" t="n"/>
      <c r="CW89" s="383" t="n"/>
      <c r="CX89" s="383" t="n"/>
      <c r="CY89" s="383" t="n"/>
      <c r="CZ89" s="383" t="n"/>
      <c r="DA89" s="383" t="n"/>
      <c r="DB89" s="383" t="n"/>
      <c r="DC89" s="383" t="n"/>
      <c r="DD89" s="383" t="n"/>
      <c r="DE89" s="383" t="n"/>
      <c r="DF89" s="383" t="n"/>
      <c r="DG89" s="383" t="n"/>
      <c r="DH89" s="383" t="n"/>
      <c r="DI89" s="383" t="n"/>
      <c r="DJ89" s="383" t="n"/>
      <c r="DK89" s="383" t="n"/>
      <c r="DL89" s="383" t="n"/>
      <c r="DM89" s="383" t="n"/>
      <c r="DN89" s="383" t="n"/>
      <c r="DO89" s="383" t="n"/>
      <c r="DP89" s="383" t="n"/>
      <c r="DQ89" s="383" t="n"/>
      <c r="DR89" s="383" t="n"/>
      <c r="DS89" s="383" t="n"/>
      <c r="DT89" s="383" t="n"/>
      <c r="DU89" s="383" t="n"/>
      <c r="DV89" s="383" t="n"/>
      <c r="DW89" s="383" t="n"/>
      <c r="DX89" s="383" t="n"/>
      <c r="DY89" s="383" t="n"/>
      <c r="DZ89" s="383" t="n"/>
      <c r="EA89" s="383" t="n"/>
      <c r="EB89" s="383" t="n"/>
      <c r="EC89" s="383" t="n"/>
      <c r="ED89" s="383" t="n"/>
      <c r="EE89" s="383" t="n"/>
      <c r="EF89" s="383" t="n"/>
      <c r="EG89" s="383" t="n"/>
      <c r="EH89" s="383" t="n"/>
      <c r="EI89" s="383" t="n"/>
      <c r="EJ89" s="383" t="n"/>
      <c r="EK89" s="383" t="n"/>
      <c r="EL89" s="383" t="n"/>
      <c r="EM89" s="383" t="n"/>
      <c r="EN89" s="383" t="n"/>
      <c r="EO89" s="383" t="n"/>
      <c r="EP89" s="383" t="n"/>
      <c r="EQ89" s="383" t="n"/>
      <c r="ER89" s="383" t="n"/>
      <c r="ES89" s="383" t="n"/>
      <c r="ET89" s="383" t="n"/>
      <c r="EU89" s="383" t="n"/>
      <c r="EV89" s="383" t="n"/>
      <c r="EW89" s="383" t="n"/>
      <c r="EX89" s="383" t="n"/>
      <c r="EY89" s="383" t="n"/>
      <c r="EZ89" s="383" t="n"/>
      <c r="FA89" s="383" t="n"/>
      <c r="FB89" s="383" t="n"/>
      <c r="FC89" s="383" t="n"/>
      <c r="FD89" s="383" t="n"/>
      <c r="FE89" s="383" t="n"/>
      <c r="FF89" s="383" t="n"/>
      <c r="FG89" s="383" t="n"/>
      <c r="FH89" s="383" t="n"/>
      <c r="FI89" s="383" t="n"/>
      <c r="FJ89" s="383" t="n"/>
      <c r="FK89" s="383" t="n"/>
      <c r="FL89" s="383" t="n"/>
      <c r="FM89" s="383" t="n"/>
      <c r="FN89" s="383" t="n"/>
      <c r="FO89" s="383" t="n"/>
      <c r="FP89" s="383" t="n"/>
      <c r="FQ89" s="383" t="n"/>
      <c r="FR89" s="383" t="n"/>
      <c r="FS89" s="383" t="n"/>
      <c r="FT89" s="383" t="n"/>
      <c r="FU89" s="383" t="n"/>
      <c r="FV89" s="383" t="n"/>
      <c r="FW89" s="383" t="n"/>
      <c r="FX89" s="383" t="n"/>
      <c r="FY89" s="383" t="n"/>
      <c r="FZ89" s="383" t="n"/>
      <c r="GA89" s="383" t="n"/>
      <c r="GB89" s="383" t="n"/>
      <c r="GC89" s="383" t="n"/>
      <c r="GD89" s="383" t="n"/>
      <c r="GE89" s="383" t="n"/>
      <c r="GF89" s="383" t="n"/>
      <c r="GG89" s="383" t="n"/>
      <c r="GH89" s="383" t="n"/>
      <c r="GI89" s="383" t="n"/>
      <c r="GJ89" s="383" t="n"/>
      <c r="GK89" s="383" t="n"/>
      <c r="GL89" s="383" t="n"/>
      <c r="GM89" s="383" t="n"/>
      <c r="GN89" s="383" t="n"/>
      <c r="GO89" s="383" t="n"/>
      <c r="GP89" s="383" t="n"/>
      <c r="GQ89" s="383" t="n"/>
      <c r="GR89" s="383" t="n"/>
      <c r="GS89" s="383" t="n"/>
      <c r="GT89" s="383" t="n"/>
      <c r="GU89" s="383" t="n"/>
      <c r="GV89" s="383" t="n"/>
      <c r="GW89" s="383" t="n"/>
      <c r="GX89" s="383" t="n"/>
      <c r="GY89" s="383" t="n"/>
    </row>
    <row r="90" ht="15" customHeight="1" s="1883">
      <c r="A90" s="383" t="n"/>
      <c r="B90" s="383" t="n"/>
      <c r="C90" s="383" t="n"/>
      <c r="D90" s="383" t="n"/>
      <c r="E90" s="383" t="n"/>
      <c r="F90" s="383" t="n"/>
      <c r="G90" s="383" t="n"/>
      <c r="H90" s="383" t="n"/>
      <c r="I90" s="383" t="n"/>
      <c r="J90" s="383" t="n"/>
      <c r="K90" s="462" t="n"/>
      <c r="L90" s="383" t="n"/>
      <c r="M90" s="383" t="n"/>
      <c r="N90" s="553" t="inlineStr">
        <is>
          <t>Support</t>
        </is>
      </c>
      <c r="O90" s="383" t="n"/>
      <c r="P90" s="446">
        <f>SUM(P64:P76)</f>
        <v/>
      </c>
      <c r="Q90" s="446">
        <f>SUM(Q64:Q76)</f>
        <v/>
      </c>
      <c r="R90" s="446">
        <f>SUM(R64:R76)</f>
        <v/>
      </c>
      <c r="S90" s="446">
        <f>SUM(S64:S76)</f>
        <v/>
      </c>
      <c r="T90" s="446">
        <f>SUM(T64:T76)</f>
        <v/>
      </c>
      <c r="U90" s="446">
        <f>SUM(U64:U76)</f>
        <v/>
      </c>
      <c r="V90" s="446">
        <f>SUM(V64:V76)</f>
        <v/>
      </c>
      <c r="W90" s="446">
        <f>SUM(W64:W76)</f>
        <v/>
      </c>
      <c r="X90" s="446">
        <f>SUM(X64:X76)</f>
        <v/>
      </c>
      <c r="Y90" s="446">
        <f>SUM(Y64:Y76)</f>
        <v/>
      </c>
      <c r="Z90" s="446">
        <f>SUM(Z64:Z76)</f>
        <v/>
      </c>
      <c r="AA90" s="446">
        <f>SUM(AA64:AA76)</f>
        <v/>
      </c>
      <c r="AB90" s="556">
        <f>SUM(AB64:AB76)</f>
        <v/>
      </c>
      <c r="AC90" s="446">
        <f>SUM(AC64:AC76)</f>
        <v/>
      </c>
      <c r="AD90" s="446">
        <f>SUM(AD64:AD76)</f>
        <v/>
      </c>
      <c r="AE90" s="446">
        <f>SUM(AE64:AE76)</f>
        <v/>
      </c>
      <c r="AF90" s="446">
        <f>SUM(AF64:AF76)</f>
        <v/>
      </c>
      <c r="AG90" s="446">
        <f>SUM(AG64:AG76)</f>
        <v/>
      </c>
      <c r="AH90" s="446">
        <f>SUM(AH64:AH76)</f>
        <v/>
      </c>
      <c r="AI90" s="446">
        <f>SUM(AI64:AI76)</f>
        <v/>
      </c>
      <c r="AJ90" s="446">
        <f>SUM(AJ64:AJ76)</f>
        <v/>
      </c>
      <c r="AK90" s="446">
        <f>SUM(AK64:AK76)</f>
        <v/>
      </c>
      <c r="AL90" s="446">
        <f>SUM(AL64:AL76)</f>
        <v/>
      </c>
      <c r="AM90" s="446">
        <f>SUM(AM64:AM76)</f>
        <v/>
      </c>
      <c r="AN90" s="556">
        <f>SUM(AN64:AN76)</f>
        <v/>
      </c>
      <c r="AO90" s="446">
        <f>SUM(AO64:AO76)</f>
        <v/>
      </c>
      <c r="AP90" s="446">
        <f>SUM(AP64:AP76)</f>
        <v/>
      </c>
      <c r="AQ90" s="446">
        <f>SUM(AQ64:AQ76)</f>
        <v/>
      </c>
      <c r="AR90" s="446">
        <f>SUM(AR64:AR76)</f>
        <v/>
      </c>
      <c r="AS90" s="446">
        <f>SUM(AS64:AS76)</f>
        <v/>
      </c>
      <c r="AT90" s="446">
        <f>SUM(AT64:AT76)</f>
        <v/>
      </c>
      <c r="AU90" s="446">
        <f>SUM(AU64:AU76)</f>
        <v/>
      </c>
      <c r="AV90" s="446">
        <f>SUM(AV64:AV76)</f>
        <v/>
      </c>
      <c r="AW90" s="446">
        <f>SUM(AW64:AW76)</f>
        <v/>
      </c>
      <c r="AX90" s="446">
        <f>SUM(AX64:AX76)</f>
        <v/>
      </c>
      <c r="AY90" s="569">
        <f>SUM(AY64:AY76)</f>
        <v/>
      </c>
      <c r="AZ90" s="556">
        <f>SUM(AZ64:AZ76)</f>
        <v/>
      </c>
      <c r="BA90" s="446">
        <f>SUM(BA64:BA76)</f>
        <v/>
      </c>
      <c r="BB90" s="446">
        <f>SUM(BB64:BB76)</f>
        <v/>
      </c>
      <c r="BC90" s="446">
        <f>SUM(BC64:BC76)</f>
        <v/>
      </c>
      <c r="BD90" s="446">
        <f>SUM(BD64:BD76)</f>
        <v/>
      </c>
      <c r="BE90" s="446">
        <f>SUM(BE64:BE76)</f>
        <v/>
      </c>
      <c r="BF90" s="446">
        <f>SUM(BF64:BF76)</f>
        <v/>
      </c>
      <c r="BG90" s="446">
        <f>SUM(BG64:BG76)</f>
        <v/>
      </c>
      <c r="BH90" s="446">
        <f>SUM(BH64:BH76)</f>
        <v/>
      </c>
      <c r="BI90" s="446">
        <f>SUM(BI64:BI76)</f>
        <v/>
      </c>
      <c r="BJ90" s="446">
        <f>SUM(BJ64:BJ76)</f>
        <v/>
      </c>
      <c r="BK90" s="446">
        <f>SUM(BK64:BK76)</f>
        <v/>
      </c>
      <c r="BL90" s="556">
        <f>SUM(BL64:BL76)</f>
        <v/>
      </c>
      <c r="BM90" s="446">
        <f>SUM(BM64:BM76)</f>
        <v/>
      </c>
      <c r="BN90" s="446">
        <f>SUM(BN64:BN76)</f>
        <v/>
      </c>
      <c r="BO90" s="446">
        <f>SUM(BO64:BO76)</f>
        <v/>
      </c>
      <c r="BP90" s="446">
        <f>SUM(BP64:BP76)</f>
        <v/>
      </c>
      <c r="BQ90" s="446">
        <f>SUM(BQ64:BQ76)</f>
        <v/>
      </c>
      <c r="BR90" s="446">
        <f>SUM(BR64:BR76)</f>
        <v/>
      </c>
      <c r="BS90" s="446">
        <f>SUM(BS64:BS76)</f>
        <v/>
      </c>
      <c r="BT90" s="446">
        <f>SUM(BT64:BT76)</f>
        <v/>
      </c>
      <c r="BU90" s="446">
        <f>SUM(BU64:BU76)</f>
        <v/>
      </c>
      <c r="BV90" s="446">
        <f>SUM(BV64:BV76)</f>
        <v/>
      </c>
      <c r="BW90" s="446">
        <f>SUM(BW64:BW76)</f>
        <v/>
      </c>
      <c r="BX90" s="383" t="n"/>
      <c r="BY90" s="383" t="n"/>
      <c r="BZ90" s="383" t="n"/>
      <c r="CA90" s="383" t="n"/>
      <c r="CB90" s="383" t="n"/>
      <c r="CC90" s="383" t="n"/>
      <c r="CD90" s="383" t="n"/>
      <c r="CE90" s="383" t="n"/>
      <c r="CF90" s="383" t="n"/>
      <c r="CG90" s="383" t="n"/>
      <c r="CH90" s="383" t="n"/>
      <c r="CI90" s="383" t="n"/>
      <c r="CJ90" s="383" t="n"/>
      <c r="CK90" s="383" t="n"/>
      <c r="CL90" s="383" t="n"/>
      <c r="CM90" s="383" t="n"/>
      <c r="CN90" s="383" t="n"/>
      <c r="CO90" s="383" t="n"/>
      <c r="CP90" s="383" t="n"/>
      <c r="CQ90" s="383" t="n"/>
      <c r="CR90" s="383" t="n"/>
      <c r="CS90" s="383" t="n"/>
      <c r="CT90" s="383" t="n"/>
      <c r="CU90" s="383" t="n"/>
      <c r="CV90" s="383" t="n"/>
      <c r="CW90" s="383" t="n"/>
      <c r="CX90" s="383" t="n"/>
      <c r="CY90" s="383" t="n"/>
      <c r="CZ90" s="383" t="n"/>
      <c r="DA90" s="383" t="n"/>
      <c r="DB90" s="383" t="n"/>
      <c r="DC90" s="383" t="n"/>
      <c r="DD90" s="383" t="n"/>
      <c r="DE90" s="383" t="n"/>
      <c r="DF90" s="383" t="n"/>
      <c r="DG90" s="383" t="n"/>
      <c r="DH90" s="383" t="n"/>
      <c r="DI90" s="383" t="n"/>
      <c r="DJ90" s="383" t="n"/>
      <c r="DK90" s="383" t="n"/>
      <c r="DL90" s="383" t="n"/>
      <c r="DM90" s="383" t="n"/>
      <c r="DN90" s="383" t="n"/>
      <c r="DO90" s="383" t="n"/>
      <c r="DP90" s="383" t="n"/>
      <c r="DQ90" s="383" t="n"/>
      <c r="DR90" s="383" t="n"/>
      <c r="DS90" s="383" t="n"/>
      <c r="DT90" s="383" t="n"/>
      <c r="DU90" s="383" t="n"/>
      <c r="DV90" s="383" t="n"/>
      <c r="DW90" s="383" t="n"/>
      <c r="DX90" s="383" t="n"/>
      <c r="DY90" s="383" t="n"/>
      <c r="DZ90" s="383" t="n"/>
      <c r="EA90" s="383" t="n"/>
      <c r="EB90" s="383" t="n"/>
      <c r="EC90" s="383" t="n"/>
      <c r="ED90" s="383" t="n"/>
      <c r="EE90" s="383" t="n"/>
      <c r="EF90" s="383" t="n"/>
      <c r="EG90" s="383" t="n"/>
      <c r="EH90" s="383" t="n"/>
      <c r="EI90" s="383" t="n"/>
      <c r="EJ90" s="383" t="n"/>
      <c r="EK90" s="383" t="n"/>
      <c r="EL90" s="383" t="n"/>
      <c r="EM90" s="383" t="n"/>
      <c r="EN90" s="383" t="n"/>
      <c r="EO90" s="383" t="n"/>
      <c r="EP90" s="383" t="n"/>
      <c r="EQ90" s="383" t="n"/>
      <c r="ER90" s="383" t="n"/>
      <c r="ES90" s="383" t="n"/>
      <c r="ET90" s="383" t="n"/>
      <c r="EU90" s="383" t="n"/>
      <c r="EV90" s="383" t="n"/>
      <c r="EW90" s="383" t="n"/>
      <c r="EX90" s="383" t="n"/>
      <c r="EY90" s="383" t="n"/>
      <c r="EZ90" s="383" t="n"/>
      <c r="FA90" s="383" t="n"/>
      <c r="FB90" s="383" t="n"/>
      <c r="FC90" s="383" t="n"/>
      <c r="FD90" s="383" t="n"/>
      <c r="FE90" s="383" t="n"/>
      <c r="FF90" s="383" t="n"/>
      <c r="FG90" s="383" t="n"/>
      <c r="FH90" s="383" t="n"/>
      <c r="FI90" s="383" t="n"/>
      <c r="FJ90" s="383" t="n"/>
      <c r="FK90" s="383" t="n"/>
      <c r="FL90" s="383" t="n"/>
      <c r="FM90" s="383" t="n"/>
      <c r="FN90" s="383" t="n"/>
      <c r="FO90" s="383" t="n"/>
      <c r="FP90" s="383" t="n"/>
      <c r="FQ90" s="383" t="n"/>
      <c r="FR90" s="383" t="n"/>
      <c r="FS90" s="383" t="n"/>
      <c r="FT90" s="383" t="n"/>
      <c r="FU90" s="383" t="n"/>
      <c r="FV90" s="383" t="n"/>
      <c r="FW90" s="383" t="n"/>
      <c r="FX90" s="383" t="n"/>
      <c r="FY90" s="383" t="n"/>
      <c r="FZ90" s="383" t="n"/>
      <c r="GA90" s="383" t="n"/>
      <c r="GB90" s="383" t="n"/>
      <c r="GC90" s="383" t="n"/>
      <c r="GD90" s="383" t="n"/>
      <c r="GE90" s="383" t="n"/>
      <c r="GF90" s="383" t="n"/>
      <c r="GG90" s="383" t="n"/>
      <c r="GH90" s="383" t="n"/>
      <c r="GI90" s="383" t="n"/>
      <c r="GJ90" s="383" t="n"/>
      <c r="GK90" s="383" t="n"/>
      <c r="GL90" s="383" t="n"/>
      <c r="GM90" s="383" t="n"/>
      <c r="GN90" s="383" t="n"/>
      <c r="GO90" s="383" t="n"/>
      <c r="GP90" s="383" t="n"/>
      <c r="GQ90" s="383" t="n"/>
      <c r="GR90" s="383" t="n"/>
      <c r="GS90" s="383" t="n"/>
      <c r="GT90" s="383" t="n"/>
      <c r="GU90" s="383" t="n"/>
      <c r="GV90" s="383" t="n"/>
      <c r="GW90" s="383" t="n"/>
      <c r="GX90" s="383" t="n"/>
      <c r="GY90" s="383" t="n"/>
    </row>
    <row r="91" ht="3" customHeight="1" s="1883">
      <c r="A91" s="383" t="n"/>
      <c r="B91" s="383" t="n"/>
      <c r="C91" s="383" t="n"/>
      <c r="D91" s="383" t="n"/>
      <c r="E91" s="383" t="n"/>
      <c r="F91" s="383" t="n"/>
      <c r="G91" s="383" t="n"/>
      <c r="H91" s="383" t="n"/>
      <c r="I91" s="383" t="n"/>
      <c r="J91" s="383" t="n"/>
      <c r="K91" s="462" t="n"/>
      <c r="L91" s="383" t="n"/>
      <c r="M91" s="383" t="n"/>
      <c r="N91" s="383" t="n"/>
      <c r="O91" s="383" t="n"/>
      <c r="P91" s="554" t="n"/>
      <c r="Q91" s="554" t="n"/>
      <c r="R91" s="554" t="n"/>
      <c r="S91" s="554" t="n"/>
      <c r="T91" s="554" t="n"/>
      <c r="U91" s="554" t="n"/>
      <c r="V91" s="554" t="n"/>
      <c r="W91" s="554" t="n"/>
      <c r="X91" s="554" t="n"/>
      <c r="Y91" s="554" t="n"/>
      <c r="Z91" s="554" t="n"/>
      <c r="AA91" s="554" t="n"/>
      <c r="AB91" s="557" t="n"/>
      <c r="AC91" s="554" t="n"/>
      <c r="AD91" s="554" t="n"/>
      <c r="AE91" s="554" t="n"/>
      <c r="AF91" s="554" t="n"/>
      <c r="AG91" s="554" t="n"/>
      <c r="AH91" s="554" t="n"/>
      <c r="AI91" s="554" t="n"/>
      <c r="AJ91" s="554" t="n"/>
      <c r="AK91" s="554" t="n"/>
      <c r="AL91" s="554" t="n"/>
      <c r="AM91" s="554" t="n"/>
      <c r="AN91" s="557" t="n"/>
      <c r="AO91" s="554" t="n"/>
      <c r="AP91" s="554" t="n"/>
      <c r="AQ91" s="554" t="n"/>
      <c r="AR91" s="554" t="n"/>
      <c r="AS91" s="554" t="n"/>
      <c r="AT91" s="554" t="n"/>
      <c r="AU91" s="554" t="n"/>
      <c r="AV91" s="554" t="n"/>
      <c r="AW91" s="554" t="n"/>
      <c r="AX91" s="554" t="n"/>
      <c r="AY91" s="571" t="n"/>
      <c r="AZ91" s="557" t="n"/>
      <c r="BA91" s="554" t="n"/>
      <c r="BB91" s="554" t="n"/>
      <c r="BC91" s="554" t="n"/>
      <c r="BD91" s="554" t="n"/>
      <c r="BE91" s="554" t="n"/>
      <c r="BF91" s="554" t="n"/>
      <c r="BG91" s="554" t="n"/>
      <c r="BH91" s="554" t="n"/>
      <c r="BI91" s="554" t="n"/>
      <c r="BJ91" s="554" t="n"/>
      <c r="BK91" s="554" t="n"/>
      <c r="BL91" s="557" t="n"/>
      <c r="BM91" s="554" t="n"/>
      <c r="BN91" s="554" t="n"/>
      <c r="BO91" s="554" t="n"/>
      <c r="BP91" s="554" t="n"/>
      <c r="BQ91" s="554" t="n"/>
      <c r="BR91" s="554" t="n"/>
      <c r="BS91" s="554" t="n"/>
      <c r="BT91" s="554" t="n"/>
      <c r="BU91" s="554" t="n"/>
      <c r="BV91" s="554" t="n"/>
      <c r="BW91" s="554" t="n"/>
      <c r="BX91" s="383" t="n"/>
      <c r="BY91" s="383" t="n"/>
      <c r="BZ91" s="383" t="n"/>
      <c r="CA91" s="383" t="n"/>
      <c r="CB91" s="383" t="n"/>
      <c r="CC91" s="383" t="n"/>
      <c r="CD91" s="383" t="n"/>
      <c r="CE91" s="383" t="n"/>
      <c r="CF91" s="383" t="n"/>
      <c r="CG91" s="383" t="n"/>
      <c r="CH91" s="383" t="n"/>
      <c r="CI91" s="383" t="n"/>
      <c r="CJ91" s="383" t="n"/>
      <c r="CK91" s="383" t="n"/>
      <c r="CL91" s="383" t="n"/>
      <c r="CM91" s="383" t="n"/>
      <c r="CN91" s="383" t="n"/>
      <c r="CO91" s="383" t="n"/>
      <c r="CP91" s="383" t="n"/>
      <c r="CQ91" s="383" t="n"/>
      <c r="CR91" s="383" t="n"/>
      <c r="CS91" s="383" t="n"/>
      <c r="CT91" s="383" t="n"/>
      <c r="CU91" s="383" t="n"/>
      <c r="CV91" s="383" t="n"/>
      <c r="CW91" s="383" t="n"/>
      <c r="CX91" s="383" t="n"/>
      <c r="CY91" s="383" t="n"/>
      <c r="CZ91" s="383" t="n"/>
      <c r="DA91" s="383" t="n"/>
      <c r="DB91" s="383" t="n"/>
      <c r="DC91" s="383" t="n"/>
      <c r="DD91" s="383" t="n"/>
      <c r="DE91" s="383" t="n"/>
      <c r="DF91" s="383" t="n"/>
      <c r="DG91" s="383" t="n"/>
      <c r="DH91" s="383" t="n"/>
      <c r="DI91" s="383" t="n"/>
      <c r="DJ91" s="383" t="n"/>
      <c r="DK91" s="383" t="n"/>
      <c r="DL91" s="383" t="n"/>
      <c r="DM91" s="383" t="n"/>
      <c r="DN91" s="383" t="n"/>
      <c r="DO91" s="383" t="n"/>
      <c r="DP91" s="383" t="n"/>
      <c r="DQ91" s="383" t="n"/>
      <c r="DR91" s="383" t="n"/>
      <c r="DS91" s="383" t="n"/>
      <c r="DT91" s="383" t="n"/>
      <c r="DU91" s="383" t="n"/>
      <c r="DV91" s="383" t="n"/>
      <c r="DW91" s="383" t="n"/>
      <c r="DX91" s="383" t="n"/>
      <c r="DY91" s="383" t="n"/>
      <c r="DZ91" s="383" t="n"/>
      <c r="EA91" s="383" t="n"/>
      <c r="EB91" s="383" t="n"/>
      <c r="EC91" s="383" t="n"/>
      <c r="ED91" s="383" t="n"/>
      <c r="EE91" s="383" t="n"/>
      <c r="EF91" s="383" t="n"/>
      <c r="EG91" s="383" t="n"/>
      <c r="EH91" s="383" t="n"/>
      <c r="EI91" s="383" t="n"/>
      <c r="EJ91" s="383" t="n"/>
      <c r="EK91" s="383" t="n"/>
      <c r="EL91" s="383" t="n"/>
      <c r="EM91" s="383" t="n"/>
      <c r="EN91" s="383" t="n"/>
      <c r="EO91" s="383" t="n"/>
      <c r="EP91" s="383" t="n"/>
      <c r="EQ91" s="383" t="n"/>
      <c r="ER91" s="383" t="n"/>
      <c r="ES91" s="383" t="n"/>
      <c r="ET91" s="383" t="n"/>
      <c r="EU91" s="383" t="n"/>
      <c r="EV91" s="383" t="n"/>
      <c r="EW91" s="383" t="n"/>
      <c r="EX91" s="383" t="n"/>
      <c r="EY91" s="383" t="n"/>
      <c r="EZ91" s="383" t="n"/>
      <c r="FA91" s="383" t="n"/>
      <c r="FB91" s="383" t="n"/>
      <c r="FC91" s="383" t="n"/>
      <c r="FD91" s="383" t="n"/>
      <c r="FE91" s="383" t="n"/>
      <c r="FF91" s="383" t="n"/>
      <c r="FG91" s="383" t="n"/>
      <c r="FH91" s="383" t="n"/>
      <c r="FI91" s="383" t="n"/>
      <c r="FJ91" s="383" t="n"/>
      <c r="FK91" s="383" t="n"/>
      <c r="FL91" s="383" t="n"/>
      <c r="FM91" s="383" t="n"/>
      <c r="FN91" s="383" t="n"/>
      <c r="FO91" s="383" t="n"/>
      <c r="FP91" s="383" t="n"/>
      <c r="FQ91" s="383" t="n"/>
      <c r="FR91" s="383" t="n"/>
      <c r="FS91" s="383" t="n"/>
      <c r="FT91" s="383" t="n"/>
      <c r="FU91" s="383" t="n"/>
      <c r="FV91" s="383" t="n"/>
      <c r="FW91" s="383" t="n"/>
      <c r="FX91" s="383" t="n"/>
      <c r="FY91" s="383" t="n"/>
      <c r="FZ91" s="383" t="n"/>
      <c r="GA91" s="383" t="n"/>
      <c r="GB91" s="383" t="n"/>
      <c r="GC91" s="383" t="n"/>
      <c r="GD91" s="383" t="n"/>
      <c r="GE91" s="383" t="n"/>
      <c r="GF91" s="383" t="n"/>
      <c r="GG91" s="383" t="n"/>
      <c r="GH91" s="383" t="n"/>
      <c r="GI91" s="383" t="n"/>
      <c r="GJ91" s="383" t="n"/>
      <c r="GK91" s="383" t="n"/>
      <c r="GL91" s="383" t="n"/>
      <c r="GM91" s="383" t="n"/>
      <c r="GN91" s="383" t="n"/>
      <c r="GO91" s="383" t="n"/>
      <c r="GP91" s="383" t="n"/>
      <c r="GQ91" s="383" t="n"/>
      <c r="GR91" s="383" t="n"/>
      <c r="GS91" s="383" t="n"/>
      <c r="GT91" s="383" t="n"/>
      <c r="GU91" s="383" t="n"/>
      <c r="GV91" s="383" t="n"/>
      <c r="GW91" s="383" t="n"/>
      <c r="GX91" s="383" t="n"/>
      <c r="GY91" s="383" t="n"/>
    </row>
    <row r="92" ht="3" customHeight="1" s="1883">
      <c r="A92" s="383" t="n"/>
      <c r="B92" s="383" t="n"/>
      <c r="C92" s="383" t="n"/>
      <c r="D92" s="383" t="n"/>
      <c r="E92" s="383" t="n"/>
      <c r="F92" s="383" t="n"/>
      <c r="G92" s="383" t="n"/>
      <c r="H92" s="383" t="n"/>
      <c r="I92" s="383" t="n"/>
      <c r="J92" s="383" t="n"/>
      <c r="K92" s="462" t="n"/>
      <c r="L92" s="383" t="n"/>
      <c r="M92" s="383" t="n"/>
      <c r="N92" s="383" t="n"/>
      <c r="O92" s="383" t="n"/>
      <c r="P92" s="391" t="n"/>
      <c r="Q92" s="391" t="n"/>
      <c r="R92" s="391" t="n"/>
      <c r="S92" s="391" t="n"/>
      <c r="T92" s="391" t="n"/>
      <c r="U92" s="391" t="n"/>
      <c r="V92" s="391" t="n"/>
      <c r="W92" s="391" t="n"/>
      <c r="X92" s="391" t="n"/>
      <c r="Y92" s="391" t="n"/>
      <c r="Z92" s="391" t="n"/>
      <c r="AA92" s="391" t="n"/>
      <c r="AB92" s="442" t="n"/>
      <c r="AC92" s="391" t="n"/>
      <c r="AD92" s="391" t="n"/>
      <c r="AE92" s="391" t="n"/>
      <c r="AF92" s="391" t="n"/>
      <c r="AG92" s="391" t="n"/>
      <c r="AH92" s="391" t="n"/>
      <c r="AI92" s="391" t="n"/>
      <c r="AJ92" s="391" t="n"/>
      <c r="AK92" s="391" t="n"/>
      <c r="AL92" s="391" t="n"/>
      <c r="AM92" s="391" t="n"/>
      <c r="AN92" s="442" t="n"/>
      <c r="AO92" s="391" t="n"/>
      <c r="AP92" s="391" t="n"/>
      <c r="AQ92" s="391" t="n"/>
      <c r="AR92" s="391" t="n"/>
      <c r="AS92" s="391" t="n"/>
      <c r="AT92" s="391" t="n"/>
      <c r="AU92" s="391" t="n"/>
      <c r="AV92" s="391" t="n"/>
      <c r="AW92" s="391" t="n"/>
      <c r="AX92" s="391" t="n"/>
      <c r="AY92" s="441" t="n"/>
      <c r="AZ92" s="442" t="n"/>
      <c r="BA92" s="391" t="n"/>
      <c r="BB92" s="391" t="n"/>
      <c r="BC92" s="391" t="n"/>
      <c r="BD92" s="391" t="n"/>
      <c r="BE92" s="391" t="n"/>
      <c r="BF92" s="391" t="n"/>
      <c r="BG92" s="391" t="n"/>
      <c r="BH92" s="391" t="n"/>
      <c r="BI92" s="391" t="n"/>
      <c r="BJ92" s="391" t="n"/>
      <c r="BK92" s="391" t="n"/>
      <c r="BL92" s="442" t="n"/>
      <c r="BM92" s="391" t="n"/>
      <c r="BN92" s="391" t="n"/>
      <c r="BO92" s="391" t="n"/>
      <c r="BP92" s="391" t="n"/>
      <c r="BQ92" s="391" t="n"/>
      <c r="BR92" s="391" t="n"/>
      <c r="BS92" s="391" t="n"/>
      <c r="BT92" s="391" t="n"/>
      <c r="BU92" s="391" t="n"/>
      <c r="BV92" s="391" t="n"/>
      <c r="BW92" s="391" t="n"/>
      <c r="BX92" s="383" t="n"/>
      <c r="BY92" s="383" t="n"/>
      <c r="BZ92" s="383" t="n"/>
      <c r="CA92" s="383" t="n"/>
      <c r="CB92" s="383" t="n"/>
      <c r="CC92" s="383" t="n"/>
      <c r="CD92" s="383" t="n"/>
      <c r="CE92" s="383" t="n"/>
      <c r="CF92" s="383" t="n"/>
      <c r="CG92" s="383" t="n"/>
      <c r="CH92" s="383" t="n"/>
      <c r="CI92" s="383" t="n"/>
      <c r="CJ92" s="383" t="n"/>
      <c r="CK92" s="383" t="n"/>
      <c r="CL92" s="383" t="n"/>
      <c r="CM92" s="383" t="n"/>
      <c r="CN92" s="383" t="n"/>
      <c r="CO92" s="383" t="n"/>
      <c r="CP92" s="383" t="n"/>
      <c r="CQ92" s="383" t="n"/>
      <c r="CR92" s="383" t="n"/>
      <c r="CS92" s="383" t="n"/>
      <c r="CT92" s="383" t="n"/>
      <c r="CU92" s="383" t="n"/>
      <c r="CV92" s="383" t="n"/>
      <c r="CW92" s="383" t="n"/>
      <c r="CX92" s="383" t="n"/>
      <c r="CY92" s="383" t="n"/>
      <c r="CZ92" s="383" t="n"/>
      <c r="DA92" s="383" t="n"/>
      <c r="DB92" s="383" t="n"/>
      <c r="DC92" s="383" t="n"/>
      <c r="DD92" s="383" t="n"/>
      <c r="DE92" s="383" t="n"/>
      <c r="DF92" s="383" t="n"/>
      <c r="DG92" s="383" t="n"/>
      <c r="DH92" s="383" t="n"/>
      <c r="DI92" s="383" t="n"/>
      <c r="DJ92" s="383" t="n"/>
      <c r="DK92" s="383" t="n"/>
      <c r="DL92" s="383" t="n"/>
      <c r="DM92" s="383" t="n"/>
      <c r="DN92" s="383" t="n"/>
      <c r="DO92" s="383" t="n"/>
      <c r="DP92" s="383" t="n"/>
      <c r="DQ92" s="383" t="n"/>
      <c r="DR92" s="383" t="n"/>
      <c r="DS92" s="383" t="n"/>
      <c r="DT92" s="383" t="n"/>
      <c r="DU92" s="383" t="n"/>
      <c r="DV92" s="383" t="n"/>
      <c r="DW92" s="383" t="n"/>
      <c r="DX92" s="383" t="n"/>
      <c r="DY92" s="383" t="n"/>
      <c r="DZ92" s="383" t="n"/>
      <c r="EA92" s="383" t="n"/>
      <c r="EB92" s="383" t="n"/>
      <c r="EC92" s="383" t="n"/>
      <c r="ED92" s="383" t="n"/>
      <c r="EE92" s="383" t="n"/>
      <c r="EF92" s="383" t="n"/>
      <c r="EG92" s="383" t="n"/>
      <c r="EH92" s="383" t="n"/>
      <c r="EI92" s="383" t="n"/>
      <c r="EJ92" s="383" t="n"/>
      <c r="EK92" s="383" t="n"/>
      <c r="EL92" s="383" t="n"/>
      <c r="EM92" s="383" t="n"/>
      <c r="EN92" s="383" t="n"/>
      <c r="EO92" s="383" t="n"/>
      <c r="EP92" s="383" t="n"/>
      <c r="EQ92" s="383" t="n"/>
      <c r="ER92" s="383" t="n"/>
      <c r="ES92" s="383" t="n"/>
      <c r="ET92" s="383" t="n"/>
      <c r="EU92" s="383" t="n"/>
      <c r="EV92" s="383" t="n"/>
      <c r="EW92" s="383" t="n"/>
      <c r="EX92" s="383" t="n"/>
      <c r="EY92" s="383" t="n"/>
      <c r="EZ92" s="383" t="n"/>
      <c r="FA92" s="383" t="n"/>
      <c r="FB92" s="383" t="n"/>
      <c r="FC92" s="383" t="n"/>
      <c r="FD92" s="383" t="n"/>
      <c r="FE92" s="383" t="n"/>
      <c r="FF92" s="383" t="n"/>
      <c r="FG92" s="383" t="n"/>
      <c r="FH92" s="383" t="n"/>
      <c r="FI92" s="383" t="n"/>
      <c r="FJ92" s="383" t="n"/>
      <c r="FK92" s="383" t="n"/>
      <c r="FL92" s="383" t="n"/>
      <c r="FM92" s="383" t="n"/>
      <c r="FN92" s="383" t="n"/>
      <c r="FO92" s="383" t="n"/>
      <c r="FP92" s="383" t="n"/>
      <c r="FQ92" s="383" t="n"/>
      <c r="FR92" s="383" t="n"/>
      <c r="FS92" s="383" t="n"/>
      <c r="FT92" s="383" t="n"/>
      <c r="FU92" s="383" t="n"/>
      <c r="FV92" s="383" t="n"/>
      <c r="FW92" s="383" t="n"/>
      <c r="FX92" s="383" t="n"/>
      <c r="FY92" s="383" t="n"/>
      <c r="FZ92" s="383" t="n"/>
      <c r="GA92" s="383" t="n"/>
      <c r="GB92" s="383" t="n"/>
      <c r="GC92" s="383" t="n"/>
      <c r="GD92" s="383" t="n"/>
      <c r="GE92" s="383" t="n"/>
      <c r="GF92" s="383" t="n"/>
      <c r="GG92" s="383" t="n"/>
      <c r="GH92" s="383" t="n"/>
      <c r="GI92" s="383" t="n"/>
      <c r="GJ92" s="383" t="n"/>
      <c r="GK92" s="383" t="n"/>
      <c r="GL92" s="383" t="n"/>
      <c r="GM92" s="383" t="n"/>
      <c r="GN92" s="383" t="n"/>
      <c r="GO92" s="383" t="n"/>
      <c r="GP92" s="383" t="n"/>
      <c r="GQ92" s="383" t="n"/>
      <c r="GR92" s="383" t="n"/>
      <c r="GS92" s="383" t="n"/>
      <c r="GT92" s="383" t="n"/>
      <c r="GU92" s="383" t="n"/>
      <c r="GV92" s="383" t="n"/>
      <c r="GW92" s="383" t="n"/>
      <c r="GX92" s="383" t="n"/>
      <c r="GY92" s="383" t="n"/>
    </row>
    <row r="93" ht="15" customHeight="1" s="1883">
      <c r="A93" s="383" t="n"/>
      <c r="B93" s="383" t="n"/>
      <c r="C93" s="383" t="n"/>
      <c r="D93" s="383" t="n"/>
      <c r="E93" s="383" t="n"/>
      <c r="F93" s="383" t="n"/>
      <c r="G93" s="383" t="n"/>
      <c r="H93" s="383" t="n"/>
      <c r="I93" s="383" t="n"/>
      <c r="J93" s="383" t="n"/>
      <c r="K93" s="462" t="n"/>
      <c r="L93" s="383" t="n"/>
      <c r="M93" s="383" t="n"/>
      <c r="N93" s="552" t="inlineStr">
        <is>
          <t>Total Headcount</t>
        </is>
      </c>
      <c r="O93" s="464" t="n"/>
      <c r="P93" s="555">
        <f>SUM(P89:P90)</f>
        <v/>
      </c>
      <c r="Q93" s="555">
        <f>SUM(Q89:Q90)</f>
        <v/>
      </c>
      <c r="R93" s="555">
        <f>SUM(R89:R90)</f>
        <v/>
      </c>
      <c r="S93" s="555">
        <f>SUM(S89:S90)</f>
        <v/>
      </c>
      <c r="T93" s="555">
        <f>SUM(T89:T90)</f>
        <v/>
      </c>
      <c r="U93" s="555">
        <f>SUM(U89:U90)</f>
        <v/>
      </c>
      <c r="V93" s="555">
        <f>SUM(V89:V90)</f>
        <v/>
      </c>
      <c r="W93" s="555">
        <f>SUM(W89:W90)</f>
        <v/>
      </c>
      <c r="X93" s="555">
        <f>SUM(X89:X90)</f>
        <v/>
      </c>
      <c r="Y93" s="555">
        <f>SUM(Y89:Y90)</f>
        <v/>
      </c>
      <c r="Z93" s="555">
        <f>SUM(Z89:Z90)</f>
        <v/>
      </c>
      <c r="AA93" s="555">
        <f>SUM(AA89:AA90)</f>
        <v/>
      </c>
      <c r="AB93" s="558">
        <f>SUM(AB89:AB90)</f>
        <v/>
      </c>
      <c r="AC93" s="555">
        <f>SUM(AC89:AC90)</f>
        <v/>
      </c>
      <c r="AD93" s="555">
        <f>SUM(AD89:AD90)</f>
        <v/>
      </c>
      <c r="AE93" s="555">
        <f>SUM(AE89:AE90)</f>
        <v/>
      </c>
      <c r="AF93" s="555">
        <f>SUM(AF89:AF90)</f>
        <v/>
      </c>
      <c r="AG93" s="555">
        <f>SUM(AG89:AG90)</f>
        <v/>
      </c>
      <c r="AH93" s="555">
        <f>SUM(AH89:AH90)</f>
        <v/>
      </c>
      <c r="AI93" s="555">
        <f>SUM(AI89:AI90)</f>
        <v/>
      </c>
      <c r="AJ93" s="555">
        <f>SUM(AJ89:AJ90)</f>
        <v/>
      </c>
      <c r="AK93" s="555">
        <f>SUM(AK89:AK90)</f>
        <v/>
      </c>
      <c r="AL93" s="555">
        <f>SUM(AL89:AL90)</f>
        <v/>
      </c>
      <c r="AM93" s="555">
        <f>SUM(AM89:AM90)</f>
        <v/>
      </c>
      <c r="AN93" s="558">
        <f>SUM(AN89:AN90)</f>
        <v/>
      </c>
      <c r="AO93" s="555">
        <f>SUM(AO89:AO90)</f>
        <v/>
      </c>
      <c r="AP93" s="555">
        <f>SUM(AP89:AP90)</f>
        <v/>
      </c>
      <c r="AQ93" s="555">
        <f>SUM(AQ89:AQ90)</f>
        <v/>
      </c>
      <c r="AR93" s="555">
        <f>SUM(AR89:AR90)</f>
        <v/>
      </c>
      <c r="AS93" s="555">
        <f>SUM(AS89:AS90)</f>
        <v/>
      </c>
      <c r="AT93" s="555">
        <f>SUM(AT89:AT90)</f>
        <v/>
      </c>
      <c r="AU93" s="555">
        <f>SUM(AU89:AU90)</f>
        <v/>
      </c>
      <c r="AV93" s="555">
        <f>SUM(AV89:AV90)</f>
        <v/>
      </c>
      <c r="AW93" s="555">
        <f>SUM(AW89:AW90)</f>
        <v/>
      </c>
      <c r="AX93" s="555">
        <f>SUM(AX89:AX90)</f>
        <v/>
      </c>
      <c r="AY93" s="570">
        <f>SUM(AY89:AY90)</f>
        <v/>
      </c>
      <c r="AZ93" s="558">
        <f>SUM(AZ89:AZ90)</f>
        <v/>
      </c>
      <c r="BA93" s="555">
        <f>SUM(BA89:BA90)</f>
        <v/>
      </c>
      <c r="BB93" s="555">
        <f>SUM(BB89:BB90)</f>
        <v/>
      </c>
      <c r="BC93" s="555">
        <f>SUM(BC89:BC90)</f>
        <v/>
      </c>
      <c r="BD93" s="555">
        <f>SUM(BD89:BD90)</f>
        <v/>
      </c>
      <c r="BE93" s="555">
        <f>SUM(BE89:BE90)</f>
        <v/>
      </c>
      <c r="BF93" s="555">
        <f>SUM(BF89:BF90)</f>
        <v/>
      </c>
      <c r="BG93" s="555">
        <f>SUM(BG89:BG90)</f>
        <v/>
      </c>
      <c r="BH93" s="555">
        <f>SUM(BH89:BH90)</f>
        <v/>
      </c>
      <c r="BI93" s="555">
        <f>SUM(BI89:BI90)</f>
        <v/>
      </c>
      <c r="BJ93" s="555">
        <f>SUM(BJ89:BJ90)</f>
        <v/>
      </c>
      <c r="BK93" s="555">
        <f>SUM(BK89:BK90)</f>
        <v/>
      </c>
      <c r="BL93" s="558">
        <f>SUM(BL89:BL90)</f>
        <v/>
      </c>
      <c r="BM93" s="555">
        <f>SUM(BM89:BM90)</f>
        <v/>
      </c>
      <c r="BN93" s="555">
        <f>SUM(BN89:BN90)</f>
        <v/>
      </c>
      <c r="BO93" s="555">
        <f>SUM(BO89:BO90)</f>
        <v/>
      </c>
      <c r="BP93" s="555">
        <f>SUM(BP89:BP90)</f>
        <v/>
      </c>
      <c r="BQ93" s="555">
        <f>SUM(BQ89:BQ90)</f>
        <v/>
      </c>
      <c r="BR93" s="555">
        <f>SUM(BR89:BR90)</f>
        <v/>
      </c>
      <c r="BS93" s="555">
        <f>SUM(BS89:BS90)</f>
        <v/>
      </c>
      <c r="BT93" s="555">
        <f>SUM(BT89:BT90)</f>
        <v/>
      </c>
      <c r="BU93" s="555">
        <f>SUM(BU89:BU90)</f>
        <v/>
      </c>
      <c r="BV93" s="555">
        <f>SUM(BV89:BV90)</f>
        <v/>
      </c>
      <c r="BW93" s="555">
        <f>SUM(BW89:BW90)</f>
        <v/>
      </c>
      <c r="BX93" s="383" t="n"/>
      <c r="BY93" s="383" t="n"/>
      <c r="BZ93" s="383" t="n"/>
      <c r="CA93" s="383" t="n"/>
      <c r="CB93" s="383" t="n"/>
      <c r="CC93" s="383" t="n"/>
      <c r="CD93" s="383" t="n"/>
      <c r="CE93" s="383" t="n"/>
      <c r="CF93" s="383" t="n"/>
      <c r="CG93" s="383" t="n"/>
      <c r="CH93" s="383" t="n"/>
      <c r="CI93" s="383" t="n"/>
      <c r="CJ93" s="383" t="n"/>
      <c r="CK93" s="383" t="n"/>
      <c r="CL93" s="383" t="n"/>
      <c r="CM93" s="383" t="n"/>
      <c r="CN93" s="383" t="n"/>
      <c r="CO93" s="383" t="n"/>
      <c r="CP93" s="383" t="n"/>
      <c r="CQ93" s="383" t="n"/>
      <c r="CR93" s="383" t="n"/>
      <c r="CS93" s="383" t="n"/>
      <c r="CT93" s="383" t="n"/>
      <c r="CU93" s="383" t="n"/>
      <c r="CV93" s="383" t="n"/>
      <c r="CW93" s="383" t="n"/>
      <c r="CX93" s="383" t="n"/>
      <c r="CY93" s="383" t="n"/>
      <c r="CZ93" s="383" t="n"/>
      <c r="DA93" s="383" t="n"/>
      <c r="DB93" s="383" t="n"/>
      <c r="DC93" s="383" t="n"/>
      <c r="DD93" s="383" t="n"/>
      <c r="DE93" s="383" t="n"/>
      <c r="DF93" s="383" t="n"/>
      <c r="DG93" s="383" t="n"/>
      <c r="DH93" s="383" t="n"/>
      <c r="DI93" s="383" t="n"/>
      <c r="DJ93" s="383" t="n"/>
      <c r="DK93" s="383" t="n"/>
      <c r="DL93" s="383" t="n"/>
      <c r="DM93" s="383" t="n"/>
      <c r="DN93" s="383" t="n"/>
      <c r="DO93" s="383" t="n"/>
      <c r="DP93" s="383" t="n"/>
      <c r="DQ93" s="383" t="n"/>
      <c r="DR93" s="383" t="n"/>
      <c r="DS93" s="383" t="n"/>
      <c r="DT93" s="383" t="n"/>
      <c r="DU93" s="383" t="n"/>
      <c r="DV93" s="383" t="n"/>
      <c r="DW93" s="383" t="n"/>
      <c r="DX93" s="383" t="n"/>
      <c r="DY93" s="383" t="n"/>
      <c r="DZ93" s="383" t="n"/>
      <c r="EA93" s="383" t="n"/>
      <c r="EB93" s="383" t="n"/>
      <c r="EC93" s="383" t="n"/>
      <c r="ED93" s="383" t="n"/>
      <c r="EE93" s="383" t="n"/>
      <c r="EF93" s="383" t="n"/>
      <c r="EG93" s="383" t="n"/>
      <c r="EH93" s="383" t="n"/>
      <c r="EI93" s="383" t="n"/>
      <c r="EJ93" s="383" t="n"/>
      <c r="EK93" s="383" t="n"/>
      <c r="EL93" s="383" t="n"/>
      <c r="EM93" s="383" t="n"/>
      <c r="EN93" s="383" t="n"/>
      <c r="EO93" s="383" t="n"/>
      <c r="EP93" s="383" t="n"/>
      <c r="EQ93" s="383" t="n"/>
      <c r="ER93" s="383" t="n"/>
      <c r="ES93" s="383" t="n"/>
      <c r="ET93" s="383" t="n"/>
      <c r="EU93" s="383" t="n"/>
      <c r="EV93" s="383" t="n"/>
      <c r="EW93" s="383" t="n"/>
      <c r="EX93" s="383" t="n"/>
      <c r="EY93" s="383" t="n"/>
      <c r="EZ93" s="383" t="n"/>
      <c r="FA93" s="383" t="n"/>
      <c r="FB93" s="383" t="n"/>
      <c r="FC93" s="383" t="n"/>
      <c r="FD93" s="383" t="n"/>
      <c r="FE93" s="383" t="n"/>
      <c r="FF93" s="383" t="n"/>
      <c r="FG93" s="383" t="n"/>
      <c r="FH93" s="383" t="n"/>
      <c r="FI93" s="383" t="n"/>
      <c r="FJ93" s="383" t="n"/>
      <c r="FK93" s="383" t="n"/>
      <c r="FL93" s="383" t="n"/>
      <c r="FM93" s="383" t="n"/>
      <c r="FN93" s="383" t="n"/>
      <c r="FO93" s="383" t="n"/>
      <c r="FP93" s="383" t="n"/>
      <c r="FQ93" s="383" t="n"/>
      <c r="FR93" s="383" t="n"/>
      <c r="FS93" s="383" t="n"/>
      <c r="FT93" s="383" t="n"/>
      <c r="FU93" s="383" t="n"/>
      <c r="FV93" s="383" t="n"/>
      <c r="FW93" s="383" t="n"/>
      <c r="FX93" s="383" t="n"/>
      <c r="FY93" s="383" t="n"/>
      <c r="FZ93" s="383" t="n"/>
      <c r="GA93" s="383" t="n"/>
      <c r="GB93" s="383" t="n"/>
      <c r="GC93" s="383" t="n"/>
      <c r="GD93" s="383" t="n"/>
      <c r="GE93" s="383" t="n"/>
      <c r="GF93" s="383" t="n"/>
      <c r="GG93" s="383" t="n"/>
      <c r="GH93" s="383" t="n"/>
      <c r="GI93" s="383" t="n"/>
      <c r="GJ93" s="383" t="n"/>
      <c r="GK93" s="383" t="n"/>
      <c r="GL93" s="383" t="n"/>
      <c r="GM93" s="383" t="n"/>
      <c r="GN93" s="383" t="n"/>
      <c r="GO93" s="383" t="n"/>
      <c r="GP93" s="383" t="n"/>
      <c r="GQ93" s="383" t="n"/>
      <c r="GR93" s="383" t="n"/>
      <c r="GS93" s="383" t="n"/>
      <c r="GT93" s="383" t="n"/>
      <c r="GU93" s="383" t="n"/>
      <c r="GV93" s="383" t="n"/>
      <c r="GW93" s="383" t="n"/>
      <c r="GX93" s="383" t="n"/>
      <c r="GY93" s="383" t="n"/>
    </row>
    <row r="94" ht="3" customHeight="1" s="1883">
      <c r="A94" s="383" t="n"/>
      <c r="B94" s="383" t="n"/>
      <c r="C94" s="383" t="n"/>
      <c r="D94" s="383" t="n"/>
      <c r="E94" s="383" t="n"/>
      <c r="F94" s="383" t="n"/>
      <c r="G94" s="383" t="n"/>
      <c r="H94" s="383" t="n"/>
      <c r="I94" s="383" t="n"/>
      <c r="J94" s="383" t="n"/>
      <c r="K94" s="462" t="n"/>
      <c r="L94" s="383" t="n"/>
      <c r="M94" s="383" t="n"/>
      <c r="N94" s="383" t="n"/>
      <c r="O94" s="383" t="n"/>
      <c r="P94" s="554" t="n"/>
      <c r="Q94" s="554" t="n"/>
      <c r="R94" s="554" t="n"/>
      <c r="S94" s="554" t="n"/>
      <c r="T94" s="554" t="n"/>
      <c r="U94" s="554" t="n"/>
      <c r="V94" s="554" t="n"/>
      <c r="W94" s="554" t="n"/>
      <c r="X94" s="554" t="n"/>
      <c r="Y94" s="554" t="n"/>
      <c r="Z94" s="554" t="n"/>
      <c r="AA94" s="554" t="n"/>
      <c r="AB94" s="557" t="n"/>
      <c r="AC94" s="554" t="n"/>
      <c r="AD94" s="554" t="n"/>
      <c r="AE94" s="554" t="n"/>
      <c r="AF94" s="554" t="n"/>
      <c r="AG94" s="554" t="n"/>
      <c r="AH94" s="554" t="n"/>
      <c r="AI94" s="554" t="n"/>
      <c r="AJ94" s="554" t="n"/>
      <c r="AK94" s="554" t="n"/>
      <c r="AL94" s="554" t="n"/>
      <c r="AM94" s="554" t="n"/>
      <c r="AN94" s="557" t="n"/>
      <c r="AO94" s="554" t="n"/>
      <c r="AP94" s="554" t="n"/>
      <c r="AQ94" s="554" t="n"/>
      <c r="AR94" s="554" t="n"/>
      <c r="AS94" s="554" t="n"/>
      <c r="AT94" s="554" t="n"/>
      <c r="AU94" s="554" t="n"/>
      <c r="AV94" s="554" t="n"/>
      <c r="AW94" s="554" t="n"/>
      <c r="AX94" s="554" t="n"/>
      <c r="AY94" s="571" t="n"/>
      <c r="AZ94" s="557" t="n"/>
      <c r="BA94" s="554" t="n"/>
      <c r="BB94" s="554" t="n"/>
      <c r="BC94" s="554" t="n"/>
      <c r="BD94" s="554" t="n"/>
      <c r="BE94" s="554" t="n"/>
      <c r="BF94" s="554" t="n"/>
      <c r="BG94" s="554" t="n"/>
      <c r="BH94" s="554" t="n"/>
      <c r="BI94" s="554" t="n"/>
      <c r="BJ94" s="554" t="n"/>
      <c r="BK94" s="554" t="n"/>
      <c r="BL94" s="557" t="n"/>
      <c r="BM94" s="554" t="n"/>
      <c r="BN94" s="554" t="n"/>
      <c r="BO94" s="554" t="n"/>
      <c r="BP94" s="554" t="n"/>
      <c r="BQ94" s="554" t="n"/>
      <c r="BR94" s="554" t="n"/>
      <c r="BS94" s="554" t="n"/>
      <c r="BT94" s="554" t="n"/>
      <c r="BU94" s="554" t="n"/>
      <c r="BV94" s="554" t="n"/>
      <c r="BW94" s="554" t="n"/>
      <c r="BX94" s="383" t="n"/>
      <c r="BY94" s="383" t="n"/>
      <c r="BZ94" s="383" t="n"/>
      <c r="CA94" s="383" t="n"/>
      <c r="CB94" s="383" t="n"/>
      <c r="CC94" s="383" t="n"/>
      <c r="CD94" s="383" t="n"/>
      <c r="CE94" s="383" t="n"/>
      <c r="CF94" s="383" t="n"/>
      <c r="CG94" s="383" t="n"/>
      <c r="CH94" s="383" t="n"/>
      <c r="CI94" s="383" t="n"/>
      <c r="CJ94" s="383" t="n"/>
      <c r="CK94" s="383" t="n"/>
      <c r="CL94" s="383" t="n"/>
      <c r="CM94" s="383" t="n"/>
      <c r="CN94" s="383" t="n"/>
      <c r="CO94" s="383" t="n"/>
      <c r="CP94" s="383" t="n"/>
      <c r="CQ94" s="383" t="n"/>
      <c r="CR94" s="383" t="n"/>
      <c r="CS94" s="383" t="n"/>
      <c r="CT94" s="383" t="n"/>
      <c r="CU94" s="383" t="n"/>
      <c r="CV94" s="383" t="n"/>
      <c r="CW94" s="383" t="n"/>
      <c r="CX94" s="383" t="n"/>
      <c r="CY94" s="383" t="n"/>
      <c r="CZ94" s="383" t="n"/>
      <c r="DA94" s="383" t="n"/>
      <c r="DB94" s="383" t="n"/>
      <c r="DC94" s="383" t="n"/>
      <c r="DD94" s="383" t="n"/>
      <c r="DE94" s="383" t="n"/>
      <c r="DF94" s="383" t="n"/>
      <c r="DG94" s="383" t="n"/>
      <c r="DH94" s="383" t="n"/>
      <c r="DI94" s="383" t="n"/>
      <c r="DJ94" s="383" t="n"/>
      <c r="DK94" s="383" t="n"/>
      <c r="DL94" s="383" t="n"/>
      <c r="DM94" s="383" t="n"/>
      <c r="DN94" s="383" t="n"/>
      <c r="DO94" s="383" t="n"/>
      <c r="DP94" s="383" t="n"/>
      <c r="DQ94" s="383" t="n"/>
      <c r="DR94" s="383" t="n"/>
      <c r="DS94" s="383" t="n"/>
      <c r="DT94" s="383" t="n"/>
      <c r="DU94" s="383" t="n"/>
      <c r="DV94" s="383" t="n"/>
      <c r="DW94" s="383" t="n"/>
      <c r="DX94" s="383" t="n"/>
      <c r="DY94" s="383" t="n"/>
      <c r="DZ94" s="383" t="n"/>
      <c r="EA94" s="383" t="n"/>
      <c r="EB94" s="383" t="n"/>
      <c r="EC94" s="383" t="n"/>
      <c r="ED94" s="383" t="n"/>
      <c r="EE94" s="383" t="n"/>
      <c r="EF94" s="383" t="n"/>
      <c r="EG94" s="383" t="n"/>
      <c r="EH94" s="383" t="n"/>
      <c r="EI94" s="383" t="n"/>
      <c r="EJ94" s="383" t="n"/>
      <c r="EK94" s="383" t="n"/>
      <c r="EL94" s="383" t="n"/>
      <c r="EM94" s="383" t="n"/>
      <c r="EN94" s="383" t="n"/>
      <c r="EO94" s="383" t="n"/>
      <c r="EP94" s="383" t="n"/>
      <c r="EQ94" s="383" t="n"/>
      <c r="ER94" s="383" t="n"/>
      <c r="ES94" s="383" t="n"/>
      <c r="ET94" s="383" t="n"/>
      <c r="EU94" s="383" t="n"/>
      <c r="EV94" s="383" t="n"/>
      <c r="EW94" s="383" t="n"/>
      <c r="EX94" s="383" t="n"/>
      <c r="EY94" s="383" t="n"/>
      <c r="EZ94" s="383" t="n"/>
      <c r="FA94" s="383" t="n"/>
      <c r="FB94" s="383" t="n"/>
      <c r="FC94" s="383" t="n"/>
      <c r="FD94" s="383" t="n"/>
      <c r="FE94" s="383" t="n"/>
      <c r="FF94" s="383" t="n"/>
      <c r="FG94" s="383" t="n"/>
      <c r="FH94" s="383" t="n"/>
      <c r="FI94" s="383" t="n"/>
      <c r="FJ94" s="383" t="n"/>
      <c r="FK94" s="383" t="n"/>
      <c r="FL94" s="383" t="n"/>
      <c r="FM94" s="383" t="n"/>
      <c r="FN94" s="383" t="n"/>
      <c r="FO94" s="383" t="n"/>
      <c r="FP94" s="383" t="n"/>
      <c r="FQ94" s="383" t="n"/>
      <c r="FR94" s="383" t="n"/>
      <c r="FS94" s="383" t="n"/>
      <c r="FT94" s="383" t="n"/>
      <c r="FU94" s="383" t="n"/>
      <c r="FV94" s="383" t="n"/>
      <c r="FW94" s="383" t="n"/>
      <c r="FX94" s="383" t="n"/>
      <c r="FY94" s="383" t="n"/>
      <c r="FZ94" s="383" t="n"/>
      <c r="GA94" s="383" t="n"/>
      <c r="GB94" s="383" t="n"/>
      <c r="GC94" s="383" t="n"/>
      <c r="GD94" s="383" t="n"/>
      <c r="GE94" s="383" t="n"/>
      <c r="GF94" s="383" t="n"/>
      <c r="GG94" s="383" t="n"/>
      <c r="GH94" s="383" t="n"/>
      <c r="GI94" s="383" t="n"/>
      <c r="GJ94" s="383" t="n"/>
      <c r="GK94" s="383" t="n"/>
      <c r="GL94" s="383" t="n"/>
      <c r="GM94" s="383" t="n"/>
      <c r="GN94" s="383" t="n"/>
      <c r="GO94" s="383" t="n"/>
      <c r="GP94" s="383" t="n"/>
      <c r="GQ94" s="383" t="n"/>
      <c r="GR94" s="383" t="n"/>
      <c r="GS94" s="383" t="n"/>
      <c r="GT94" s="383" t="n"/>
      <c r="GU94" s="383" t="n"/>
      <c r="GV94" s="383" t="n"/>
      <c r="GW94" s="383" t="n"/>
      <c r="GX94" s="383" t="n"/>
      <c r="GY94" s="383" t="n"/>
    </row>
    <row r="95" ht="3" customHeight="1" s="1883">
      <c r="A95" s="383" t="n"/>
      <c r="B95" s="383" t="n"/>
      <c r="C95" s="383" t="n"/>
      <c r="D95" s="383" t="n"/>
      <c r="E95" s="383" t="n"/>
      <c r="F95" s="383" t="n"/>
      <c r="G95" s="383" t="n"/>
      <c r="H95" s="383" t="n"/>
      <c r="I95" s="383" t="n"/>
      <c r="J95" s="383" t="n"/>
      <c r="K95" s="462" t="n"/>
      <c r="L95" s="383" t="n"/>
      <c r="M95" s="383" t="n"/>
      <c r="N95" s="383" t="n"/>
      <c r="O95" s="383" t="n"/>
      <c r="P95" s="391" t="n"/>
      <c r="Q95" s="391" t="n"/>
      <c r="R95" s="391" t="n"/>
      <c r="S95" s="391" t="n"/>
      <c r="T95" s="391" t="n"/>
      <c r="U95" s="391" t="n"/>
      <c r="V95" s="391" t="n"/>
      <c r="W95" s="391" t="n"/>
      <c r="X95" s="391" t="n"/>
      <c r="Y95" s="391" t="n"/>
      <c r="Z95" s="391" t="n"/>
      <c r="AA95" s="391" t="n"/>
      <c r="AB95" s="442" t="n"/>
      <c r="AC95" s="391" t="n"/>
      <c r="AD95" s="391" t="n"/>
      <c r="AE95" s="391" t="n"/>
      <c r="AF95" s="391" t="n"/>
      <c r="AG95" s="391" t="n"/>
      <c r="AH95" s="391" t="n"/>
      <c r="AI95" s="391" t="n"/>
      <c r="AJ95" s="391" t="n"/>
      <c r="AK95" s="391" t="n"/>
      <c r="AL95" s="391" t="n"/>
      <c r="AM95" s="391" t="n"/>
      <c r="AN95" s="442" t="n"/>
      <c r="AO95" s="391" t="n"/>
      <c r="AP95" s="391" t="n"/>
      <c r="AQ95" s="391" t="n"/>
      <c r="AR95" s="391" t="n"/>
      <c r="AS95" s="391" t="n"/>
      <c r="AT95" s="391" t="n"/>
      <c r="AU95" s="391" t="n"/>
      <c r="AV95" s="391" t="n"/>
      <c r="AW95" s="391" t="n"/>
      <c r="AX95" s="391" t="n"/>
      <c r="AY95" s="441" t="n"/>
      <c r="AZ95" s="442" t="n"/>
      <c r="BA95" s="391" t="n"/>
      <c r="BB95" s="391" t="n"/>
      <c r="BC95" s="391" t="n"/>
      <c r="BD95" s="391" t="n"/>
      <c r="BE95" s="391" t="n"/>
      <c r="BF95" s="391" t="n"/>
      <c r="BG95" s="391" t="n"/>
      <c r="BH95" s="391" t="n"/>
      <c r="BI95" s="391" t="n"/>
      <c r="BJ95" s="391" t="n"/>
      <c r="BK95" s="391" t="n"/>
      <c r="BL95" s="442" t="n"/>
      <c r="BM95" s="391" t="n"/>
      <c r="BN95" s="391" t="n"/>
      <c r="BO95" s="391" t="n"/>
      <c r="BP95" s="391" t="n"/>
      <c r="BQ95" s="391" t="n"/>
      <c r="BR95" s="391" t="n"/>
      <c r="BS95" s="391" t="n"/>
      <c r="BT95" s="391" t="n"/>
      <c r="BU95" s="391" t="n"/>
      <c r="BV95" s="391" t="n"/>
      <c r="BW95" s="391" t="n"/>
      <c r="BX95" s="383" t="n"/>
      <c r="BY95" s="383" t="n"/>
      <c r="BZ95" s="383" t="n"/>
      <c r="CA95" s="383" t="n"/>
      <c r="CB95" s="383" t="n"/>
      <c r="CC95" s="383" t="n"/>
      <c r="CD95" s="383" t="n"/>
      <c r="CE95" s="383" t="n"/>
      <c r="CF95" s="383" t="n"/>
      <c r="CG95" s="383" t="n"/>
      <c r="CH95" s="383" t="n"/>
      <c r="CI95" s="383" t="n"/>
      <c r="CJ95" s="383" t="n"/>
      <c r="CK95" s="383" t="n"/>
      <c r="CL95" s="383" t="n"/>
      <c r="CM95" s="383" t="n"/>
      <c r="CN95" s="383" t="n"/>
      <c r="CO95" s="383" t="n"/>
      <c r="CP95" s="383" t="n"/>
      <c r="CQ95" s="383" t="n"/>
      <c r="CR95" s="383" t="n"/>
      <c r="CS95" s="383" t="n"/>
      <c r="CT95" s="383" t="n"/>
      <c r="CU95" s="383" t="n"/>
      <c r="CV95" s="383" t="n"/>
      <c r="CW95" s="383" t="n"/>
      <c r="CX95" s="383" t="n"/>
      <c r="CY95" s="383" t="n"/>
      <c r="CZ95" s="383" t="n"/>
      <c r="DA95" s="383" t="n"/>
      <c r="DB95" s="383" t="n"/>
      <c r="DC95" s="383" t="n"/>
      <c r="DD95" s="383" t="n"/>
      <c r="DE95" s="383" t="n"/>
      <c r="DF95" s="383" t="n"/>
      <c r="DG95" s="383" t="n"/>
      <c r="DH95" s="383" t="n"/>
      <c r="DI95" s="383" t="n"/>
      <c r="DJ95" s="383" t="n"/>
      <c r="DK95" s="383" t="n"/>
      <c r="DL95" s="383" t="n"/>
      <c r="DM95" s="383" t="n"/>
      <c r="DN95" s="383" t="n"/>
      <c r="DO95" s="383" t="n"/>
      <c r="DP95" s="383" t="n"/>
      <c r="DQ95" s="383" t="n"/>
      <c r="DR95" s="383" t="n"/>
      <c r="DS95" s="383" t="n"/>
      <c r="DT95" s="383" t="n"/>
      <c r="DU95" s="383" t="n"/>
      <c r="DV95" s="383" t="n"/>
      <c r="DW95" s="383" t="n"/>
      <c r="DX95" s="383" t="n"/>
      <c r="DY95" s="383" t="n"/>
      <c r="DZ95" s="383" t="n"/>
      <c r="EA95" s="383" t="n"/>
      <c r="EB95" s="383" t="n"/>
      <c r="EC95" s="383" t="n"/>
      <c r="ED95" s="383" t="n"/>
      <c r="EE95" s="383" t="n"/>
      <c r="EF95" s="383" t="n"/>
      <c r="EG95" s="383" t="n"/>
      <c r="EH95" s="383" t="n"/>
      <c r="EI95" s="383" t="n"/>
      <c r="EJ95" s="383" t="n"/>
      <c r="EK95" s="383" t="n"/>
      <c r="EL95" s="383" t="n"/>
      <c r="EM95" s="383" t="n"/>
      <c r="EN95" s="383" t="n"/>
      <c r="EO95" s="383" t="n"/>
      <c r="EP95" s="383" t="n"/>
      <c r="EQ95" s="383" t="n"/>
      <c r="ER95" s="383" t="n"/>
      <c r="ES95" s="383" t="n"/>
      <c r="ET95" s="383" t="n"/>
      <c r="EU95" s="383" t="n"/>
      <c r="EV95" s="383" t="n"/>
      <c r="EW95" s="383" t="n"/>
      <c r="EX95" s="383" t="n"/>
      <c r="EY95" s="383" t="n"/>
      <c r="EZ95" s="383" t="n"/>
      <c r="FA95" s="383" t="n"/>
      <c r="FB95" s="383" t="n"/>
      <c r="FC95" s="383" t="n"/>
      <c r="FD95" s="383" t="n"/>
      <c r="FE95" s="383" t="n"/>
      <c r="FF95" s="383" t="n"/>
      <c r="FG95" s="383" t="n"/>
      <c r="FH95" s="383" t="n"/>
      <c r="FI95" s="383" t="n"/>
      <c r="FJ95" s="383" t="n"/>
      <c r="FK95" s="383" t="n"/>
      <c r="FL95" s="383" t="n"/>
      <c r="FM95" s="383" t="n"/>
      <c r="FN95" s="383" t="n"/>
      <c r="FO95" s="383" t="n"/>
      <c r="FP95" s="383" t="n"/>
      <c r="FQ95" s="383" t="n"/>
      <c r="FR95" s="383" t="n"/>
      <c r="FS95" s="383" t="n"/>
      <c r="FT95" s="383" t="n"/>
      <c r="FU95" s="383" t="n"/>
      <c r="FV95" s="383" t="n"/>
      <c r="FW95" s="383" t="n"/>
      <c r="FX95" s="383" t="n"/>
      <c r="FY95" s="383" t="n"/>
      <c r="FZ95" s="383" t="n"/>
      <c r="GA95" s="383" t="n"/>
      <c r="GB95" s="383" t="n"/>
      <c r="GC95" s="383" t="n"/>
      <c r="GD95" s="383" t="n"/>
      <c r="GE95" s="383" t="n"/>
      <c r="GF95" s="383" t="n"/>
      <c r="GG95" s="383" t="n"/>
      <c r="GH95" s="383" t="n"/>
      <c r="GI95" s="383" t="n"/>
      <c r="GJ95" s="383" t="n"/>
      <c r="GK95" s="383" t="n"/>
      <c r="GL95" s="383" t="n"/>
      <c r="GM95" s="383" t="n"/>
      <c r="GN95" s="383" t="n"/>
      <c r="GO95" s="383" t="n"/>
      <c r="GP95" s="383" t="n"/>
      <c r="GQ95" s="383" t="n"/>
      <c r="GR95" s="383" t="n"/>
      <c r="GS95" s="383" t="n"/>
      <c r="GT95" s="383" t="n"/>
      <c r="GU95" s="383" t="n"/>
      <c r="GV95" s="383" t="n"/>
      <c r="GW95" s="383" t="n"/>
      <c r="GX95" s="383" t="n"/>
      <c r="GY95" s="383" t="n"/>
    </row>
    <row r="96" ht="15" customHeight="1" s="1883">
      <c r="A96" s="383" t="n"/>
      <c r="B96" s="383" t="n"/>
      <c r="C96" s="383" t="n"/>
      <c r="D96" s="383" t="n"/>
      <c r="E96" s="383" t="n"/>
      <c r="F96" s="383" t="n"/>
      <c r="G96" s="383" t="n"/>
      <c r="H96" s="383" t="n"/>
      <c r="I96" s="383" t="n"/>
      <c r="J96" s="383" t="n"/>
      <c r="K96" s="462" t="n"/>
      <c r="L96" s="383" t="n"/>
      <c r="M96" s="383" t="n"/>
      <c r="N96" s="383" t="n"/>
      <c r="O96" s="383" t="n"/>
      <c r="P96" s="391" t="n"/>
      <c r="Q96" s="391" t="n"/>
      <c r="R96" s="391" t="n"/>
      <c r="S96" s="391" t="n"/>
      <c r="T96" s="391" t="n"/>
      <c r="U96" s="391" t="n"/>
      <c r="V96" s="391" t="n"/>
      <c r="W96" s="391" t="n"/>
      <c r="X96" s="391" t="n"/>
      <c r="Y96" s="391" t="n"/>
      <c r="Z96" s="391" t="n"/>
      <c r="AA96" s="391" t="n"/>
      <c r="AB96" s="442" t="n"/>
      <c r="AC96" s="391" t="n"/>
      <c r="AD96" s="391" t="n"/>
      <c r="AE96" s="391" t="n"/>
      <c r="AF96" s="391" t="n"/>
      <c r="AG96" s="391" t="n"/>
      <c r="AH96" s="391" t="n"/>
      <c r="AI96" s="391" t="n"/>
      <c r="AJ96" s="391" t="n"/>
      <c r="AK96" s="391" t="n"/>
      <c r="AL96" s="391" t="n"/>
      <c r="AM96" s="391" t="n"/>
      <c r="AN96" s="442" t="n"/>
      <c r="AO96" s="391" t="n"/>
      <c r="AP96" s="391" t="n"/>
      <c r="AQ96" s="391" t="n"/>
      <c r="AR96" s="391" t="n"/>
      <c r="AS96" s="391" t="n"/>
      <c r="AT96" s="391" t="n"/>
      <c r="AU96" s="391" t="n"/>
      <c r="AV96" s="391" t="n"/>
      <c r="AW96" s="391" t="n"/>
      <c r="AX96" s="391" t="n"/>
      <c r="AY96" s="441" t="n"/>
      <c r="AZ96" s="442" t="n"/>
      <c r="BA96" s="391" t="n"/>
      <c r="BB96" s="391" t="n"/>
      <c r="BC96" s="391" t="n"/>
      <c r="BD96" s="391" t="n"/>
      <c r="BE96" s="391" t="n"/>
      <c r="BF96" s="391" t="n"/>
      <c r="BG96" s="391" t="n"/>
      <c r="BH96" s="391" t="n"/>
      <c r="BI96" s="391" t="n"/>
      <c r="BJ96" s="391" t="n"/>
      <c r="BK96" s="391" t="n"/>
      <c r="BL96" s="442" t="n"/>
      <c r="BM96" s="391" t="n"/>
      <c r="BN96" s="391" t="n"/>
      <c r="BO96" s="391" t="n"/>
      <c r="BP96" s="391" t="n"/>
      <c r="BQ96" s="391" t="n"/>
      <c r="BR96" s="391" t="n"/>
      <c r="BS96" s="391" t="n"/>
      <c r="BT96" s="391" t="n"/>
      <c r="BU96" s="391" t="n"/>
      <c r="BV96" s="391" t="n"/>
      <c r="BW96" s="391" t="n"/>
      <c r="BX96" s="383" t="n"/>
      <c r="BY96" s="383" t="n"/>
      <c r="BZ96" s="383" t="n"/>
      <c r="CA96" s="383" t="n"/>
      <c r="CB96" s="383" t="n"/>
      <c r="CC96" s="383" t="n"/>
      <c r="CD96" s="383" t="n"/>
      <c r="CE96" s="383" t="n"/>
      <c r="CF96" s="383" t="n"/>
      <c r="CG96" s="383" t="n"/>
      <c r="CH96" s="383" t="n"/>
      <c r="CI96" s="383" t="n"/>
      <c r="CJ96" s="383" t="n"/>
      <c r="CK96" s="383" t="n"/>
      <c r="CL96" s="383" t="n"/>
      <c r="CM96" s="383" t="n"/>
      <c r="CN96" s="383" t="n"/>
      <c r="CO96" s="383" t="n"/>
      <c r="CP96" s="383" t="n"/>
      <c r="CQ96" s="383" t="n"/>
      <c r="CR96" s="383" t="n"/>
      <c r="CS96" s="383" t="n"/>
      <c r="CT96" s="383" t="n"/>
      <c r="CU96" s="383" t="n"/>
      <c r="CV96" s="383" t="n"/>
      <c r="CW96" s="383" t="n"/>
      <c r="CX96" s="383" t="n"/>
      <c r="CY96" s="383" t="n"/>
      <c r="CZ96" s="383" t="n"/>
      <c r="DA96" s="383" t="n"/>
      <c r="DB96" s="383" t="n"/>
      <c r="DC96" s="383" t="n"/>
      <c r="DD96" s="383" t="n"/>
      <c r="DE96" s="383" t="n"/>
      <c r="DF96" s="383" t="n"/>
      <c r="DG96" s="383" t="n"/>
      <c r="DH96" s="383" t="n"/>
      <c r="DI96" s="383" t="n"/>
      <c r="DJ96" s="383" t="n"/>
      <c r="DK96" s="383" t="n"/>
      <c r="DL96" s="383" t="n"/>
      <c r="DM96" s="383" t="n"/>
      <c r="DN96" s="383" t="n"/>
      <c r="DO96" s="383" t="n"/>
      <c r="DP96" s="383" t="n"/>
      <c r="DQ96" s="383" t="n"/>
      <c r="DR96" s="383" t="n"/>
      <c r="DS96" s="383" t="n"/>
      <c r="DT96" s="383" t="n"/>
      <c r="DU96" s="383" t="n"/>
      <c r="DV96" s="383" t="n"/>
      <c r="DW96" s="383" t="n"/>
      <c r="DX96" s="383" t="n"/>
      <c r="DY96" s="383" t="n"/>
      <c r="DZ96" s="383" t="n"/>
      <c r="EA96" s="383" t="n"/>
      <c r="EB96" s="383" t="n"/>
      <c r="EC96" s="383" t="n"/>
      <c r="ED96" s="383" t="n"/>
      <c r="EE96" s="383" t="n"/>
      <c r="EF96" s="383" t="n"/>
      <c r="EG96" s="383" t="n"/>
      <c r="EH96" s="383" t="n"/>
      <c r="EI96" s="383" t="n"/>
      <c r="EJ96" s="383" t="n"/>
      <c r="EK96" s="383" t="n"/>
      <c r="EL96" s="383" t="n"/>
      <c r="EM96" s="383" t="n"/>
      <c r="EN96" s="383" t="n"/>
      <c r="EO96" s="383" t="n"/>
      <c r="EP96" s="383" t="n"/>
      <c r="EQ96" s="383" t="n"/>
      <c r="ER96" s="383" t="n"/>
      <c r="ES96" s="383" t="n"/>
      <c r="ET96" s="383" t="n"/>
      <c r="EU96" s="383" t="n"/>
      <c r="EV96" s="383" t="n"/>
      <c r="EW96" s="383" t="n"/>
      <c r="EX96" s="383" t="n"/>
      <c r="EY96" s="383" t="n"/>
      <c r="EZ96" s="383" t="n"/>
      <c r="FA96" s="383" t="n"/>
      <c r="FB96" s="383" t="n"/>
      <c r="FC96" s="383" t="n"/>
      <c r="FD96" s="383" t="n"/>
      <c r="FE96" s="383" t="n"/>
      <c r="FF96" s="383" t="n"/>
      <c r="FG96" s="383" t="n"/>
      <c r="FH96" s="383" t="n"/>
      <c r="FI96" s="383" t="n"/>
      <c r="FJ96" s="383" t="n"/>
      <c r="FK96" s="383" t="n"/>
      <c r="FL96" s="383" t="n"/>
      <c r="FM96" s="383" t="n"/>
      <c r="FN96" s="383" t="n"/>
      <c r="FO96" s="383" t="n"/>
      <c r="FP96" s="383" t="n"/>
      <c r="FQ96" s="383" t="n"/>
      <c r="FR96" s="383" t="n"/>
      <c r="FS96" s="383" t="n"/>
      <c r="FT96" s="383" t="n"/>
      <c r="FU96" s="383" t="n"/>
      <c r="FV96" s="383" t="n"/>
      <c r="FW96" s="383" t="n"/>
      <c r="FX96" s="383" t="n"/>
      <c r="FY96" s="383" t="n"/>
      <c r="FZ96" s="383" t="n"/>
      <c r="GA96" s="383" t="n"/>
      <c r="GB96" s="383" t="n"/>
      <c r="GC96" s="383" t="n"/>
      <c r="GD96" s="383" t="n"/>
      <c r="GE96" s="383" t="n"/>
      <c r="GF96" s="383" t="n"/>
      <c r="GG96" s="383" t="n"/>
      <c r="GH96" s="383" t="n"/>
      <c r="GI96" s="383" t="n"/>
      <c r="GJ96" s="383" t="n"/>
      <c r="GK96" s="383" t="n"/>
      <c r="GL96" s="383" t="n"/>
      <c r="GM96" s="383" t="n"/>
      <c r="GN96" s="383" t="n"/>
      <c r="GO96" s="383" t="n"/>
      <c r="GP96" s="383" t="n"/>
      <c r="GQ96" s="383" t="n"/>
      <c r="GR96" s="383" t="n"/>
      <c r="GS96" s="383" t="n"/>
      <c r="GT96" s="383" t="n"/>
      <c r="GU96" s="383" t="n"/>
      <c r="GV96" s="383" t="n"/>
      <c r="GW96" s="383" t="n"/>
      <c r="GX96" s="383" t="n"/>
      <c r="GY96" s="383" t="n"/>
    </row>
    <row r="97" ht="15" customHeight="1" s="1883">
      <c r="A97" s="383" t="n"/>
      <c r="B97" s="383" t="n"/>
      <c r="C97" s="383" t="n"/>
      <c r="D97" s="383" t="n"/>
      <c r="E97" s="383" t="n"/>
      <c r="F97" s="383" t="n"/>
      <c r="G97" s="383" t="n"/>
      <c r="H97" s="383" t="n"/>
      <c r="I97" s="383" t="n"/>
      <c r="J97" s="383" t="n"/>
      <c r="K97" s="462" t="n"/>
      <c r="L97" s="383" t="n"/>
      <c r="M97" s="383" t="n"/>
      <c r="N97" s="383" t="n"/>
      <c r="O97" s="383" t="n"/>
      <c r="P97" s="383" t="n"/>
      <c r="Q97" s="383" t="n"/>
      <c r="R97" s="383" t="n"/>
      <c r="S97" s="383" t="n"/>
      <c r="T97" s="383" t="n"/>
      <c r="U97" s="383" t="n"/>
      <c r="V97" s="383" t="n"/>
      <c r="W97" s="383" t="n"/>
      <c r="X97" s="383" t="n"/>
      <c r="Y97" s="383" t="n"/>
      <c r="Z97" s="383" t="n"/>
      <c r="AA97" s="383" t="n"/>
      <c r="AB97" s="541" t="n"/>
      <c r="AC97" s="383" t="n"/>
      <c r="AD97" s="383" t="n"/>
      <c r="AE97" s="383" t="n"/>
      <c r="AF97" s="383" t="n"/>
      <c r="AG97" s="383" t="n"/>
      <c r="AH97" s="383" t="n"/>
      <c r="AI97" s="383" t="n"/>
      <c r="AJ97" s="383" t="n"/>
      <c r="AK97" s="383" t="n"/>
      <c r="AL97" s="383" t="n"/>
      <c r="AM97" s="383" t="n"/>
      <c r="AN97" s="541" t="n"/>
      <c r="AO97" s="383" t="n"/>
      <c r="AP97" s="383" t="n"/>
      <c r="AQ97" s="383" t="n"/>
      <c r="AR97" s="383" t="n"/>
      <c r="AS97" s="383" t="n"/>
      <c r="AT97" s="383" t="n"/>
      <c r="AU97" s="383" t="n"/>
      <c r="AV97" s="383" t="n"/>
      <c r="AW97" s="383" t="n"/>
      <c r="AX97" s="383" t="n"/>
      <c r="AY97" s="383" t="n"/>
      <c r="AZ97" s="541" t="n"/>
      <c r="BA97" s="383" t="n"/>
      <c r="BB97" s="383" t="n"/>
      <c r="BC97" s="383" t="n"/>
      <c r="BD97" s="383" t="n"/>
      <c r="BE97" s="383" t="n"/>
      <c r="BF97" s="383" t="n"/>
      <c r="BG97" s="383" t="n"/>
      <c r="BH97" s="383" t="n"/>
      <c r="BI97" s="383" t="n"/>
      <c r="BJ97" s="383" t="n"/>
      <c r="BK97" s="383" t="n"/>
      <c r="BL97" s="541" t="n"/>
      <c r="BM97" s="383" t="n"/>
      <c r="BN97" s="383" t="n"/>
      <c r="BO97" s="383" t="n"/>
      <c r="BP97" s="383" t="n"/>
      <c r="BQ97" s="383" t="n"/>
      <c r="BR97" s="383" t="n"/>
      <c r="BS97" s="383" t="n"/>
      <c r="BT97" s="383" t="n"/>
      <c r="BU97" s="383" t="n"/>
      <c r="BV97" s="383" t="n"/>
      <c r="BW97" s="383" t="n"/>
      <c r="BX97" s="383" t="n"/>
      <c r="BY97" s="383" t="n"/>
      <c r="BZ97" s="383" t="n"/>
      <c r="CA97" s="383" t="n"/>
      <c r="CB97" s="383" t="n"/>
      <c r="CC97" s="383" t="n"/>
      <c r="CD97" s="383" t="n"/>
      <c r="CE97" s="383" t="n"/>
      <c r="CF97" s="383" t="n"/>
      <c r="CG97" s="383" t="n"/>
      <c r="CH97" s="383" t="n"/>
      <c r="CI97" s="383" t="n"/>
      <c r="CJ97" s="383" t="n"/>
      <c r="CK97" s="383" t="n"/>
      <c r="CL97" s="383" t="n"/>
      <c r="CM97" s="383" t="n"/>
      <c r="CN97" s="383" t="n"/>
      <c r="CO97" s="383" t="n"/>
      <c r="CP97" s="383" t="n"/>
      <c r="CQ97" s="383" t="n"/>
      <c r="CR97" s="383" t="n"/>
      <c r="CS97" s="383" t="n"/>
      <c r="CT97" s="383" t="n"/>
      <c r="CU97" s="383" t="n"/>
      <c r="CV97" s="383" t="n"/>
      <c r="CW97" s="383" t="n"/>
      <c r="CX97" s="383" t="n"/>
      <c r="CY97" s="383" t="n"/>
      <c r="CZ97" s="383" t="n"/>
      <c r="DA97" s="383" t="n"/>
      <c r="DB97" s="383" t="n"/>
      <c r="DC97" s="383" t="n"/>
      <c r="DD97" s="383" t="n"/>
      <c r="DE97" s="383" t="n"/>
      <c r="DF97" s="383" t="n"/>
      <c r="DG97" s="383" t="n"/>
      <c r="DH97" s="383" t="n"/>
      <c r="DI97" s="383" t="n"/>
      <c r="DJ97" s="383" t="n"/>
      <c r="DK97" s="383" t="n"/>
      <c r="DL97" s="383" t="n"/>
      <c r="DM97" s="383" t="n"/>
      <c r="DN97" s="383" t="n"/>
      <c r="DO97" s="383" t="n"/>
      <c r="DP97" s="383" t="n"/>
      <c r="DQ97" s="383" t="n"/>
      <c r="DR97" s="383" t="n"/>
      <c r="DS97" s="383" t="n"/>
      <c r="DT97" s="383" t="n"/>
      <c r="DU97" s="383" t="n"/>
      <c r="DV97" s="383" t="n"/>
      <c r="DW97" s="383" t="n"/>
      <c r="DX97" s="383" t="n"/>
      <c r="DY97" s="383" t="n"/>
      <c r="DZ97" s="383" t="n"/>
      <c r="EA97" s="383" t="n"/>
      <c r="EB97" s="383" t="n"/>
      <c r="EC97" s="383" t="n"/>
      <c r="ED97" s="383" t="n"/>
      <c r="EE97" s="383" t="n"/>
      <c r="EF97" s="383" t="n"/>
      <c r="EG97" s="383" t="n"/>
      <c r="EH97" s="383" t="n"/>
      <c r="EI97" s="383" t="n"/>
      <c r="EJ97" s="383" t="n"/>
      <c r="EK97" s="383" t="n"/>
      <c r="EL97" s="383" t="n"/>
      <c r="EM97" s="383" t="n"/>
      <c r="EN97" s="383" t="n"/>
      <c r="EO97" s="383" t="n"/>
      <c r="EP97" s="383" t="n"/>
      <c r="EQ97" s="383" t="n"/>
      <c r="ER97" s="383" t="n"/>
      <c r="ES97" s="383" t="n"/>
      <c r="ET97" s="383" t="n"/>
      <c r="EU97" s="383" t="n"/>
      <c r="EV97" s="383" t="n"/>
      <c r="EW97" s="383" t="n"/>
      <c r="EX97" s="383" t="n"/>
      <c r="EY97" s="383" t="n"/>
      <c r="EZ97" s="383" t="n"/>
      <c r="FA97" s="383" t="n"/>
      <c r="FB97" s="383" t="n"/>
      <c r="FC97" s="383" t="n"/>
      <c r="FD97" s="383" t="n"/>
      <c r="FE97" s="383" t="n"/>
      <c r="FF97" s="383" t="n"/>
      <c r="FG97" s="383" t="n"/>
      <c r="FH97" s="383" t="n"/>
      <c r="FI97" s="383" t="n"/>
      <c r="FJ97" s="383" t="n"/>
      <c r="FK97" s="383" t="n"/>
      <c r="FL97" s="383" t="n"/>
      <c r="FM97" s="383" t="n"/>
      <c r="FN97" s="383" t="n"/>
      <c r="FO97" s="383" t="n"/>
      <c r="FP97" s="383" t="n"/>
      <c r="FQ97" s="383" t="n"/>
      <c r="FR97" s="383" t="n"/>
      <c r="FS97" s="383" t="n"/>
      <c r="FT97" s="383" t="n"/>
      <c r="FU97" s="383" t="n"/>
      <c r="FV97" s="383" t="n"/>
      <c r="FW97" s="383" t="n"/>
      <c r="FX97" s="383" t="n"/>
      <c r="FY97" s="383" t="n"/>
      <c r="FZ97" s="383" t="n"/>
      <c r="GA97" s="383" t="n"/>
      <c r="GB97" s="383" t="n"/>
      <c r="GC97" s="383" t="n"/>
      <c r="GD97" s="383" t="n"/>
      <c r="GE97" s="383" t="n"/>
      <c r="GF97" s="383" t="n"/>
      <c r="GG97" s="383" t="n"/>
      <c r="GH97" s="383" t="n"/>
      <c r="GI97" s="383" t="n"/>
      <c r="GJ97" s="383" t="n"/>
      <c r="GK97" s="383" t="n"/>
      <c r="GL97" s="383" t="n"/>
      <c r="GM97" s="383" t="n"/>
      <c r="GN97" s="383" t="n"/>
      <c r="GO97" s="383" t="n"/>
      <c r="GP97" s="383" t="n"/>
      <c r="GQ97" s="383" t="n"/>
      <c r="GR97" s="383" t="n"/>
      <c r="GS97" s="383" t="n"/>
      <c r="GT97" s="383" t="n"/>
      <c r="GU97" s="383" t="n"/>
      <c r="GV97" s="383" t="n"/>
      <c r="GW97" s="383" t="n"/>
      <c r="GX97" s="383" t="n"/>
      <c r="GY97" s="383" t="n"/>
    </row>
    <row r="98" ht="15" customHeight="1" s="1883">
      <c r="A98" s="383" t="n"/>
      <c r="B98" s="383" t="n"/>
      <c r="C98" s="383" t="n"/>
      <c r="D98" s="383" t="n"/>
      <c r="E98" s="383" t="n"/>
      <c r="F98" s="383" t="n"/>
      <c r="G98" s="383" t="n"/>
      <c r="H98" s="383" t="n"/>
      <c r="I98" s="383" t="n"/>
      <c r="J98" s="383" t="n"/>
      <c r="K98" s="462" t="n"/>
      <c r="L98" s="383" t="n"/>
      <c r="M98" s="383" t="n"/>
      <c r="N98" s="559" t="inlineStr">
        <is>
          <t>Net Revenue</t>
        </is>
      </c>
      <c r="O98" s="502" t="n"/>
      <c r="P98" s="512">
        <f>'3A. Tel. - Roll-Up Rev. x Mth.'!J21</f>
        <v/>
      </c>
      <c r="Q98" s="512">
        <f>'3A. Tel. - Roll-Up Rev. x Mth.'!L21</f>
        <v/>
      </c>
      <c r="R98" s="512">
        <f>'3A. Tel. - Roll-Up Rev. x Mth.'!N21</f>
        <v/>
      </c>
      <c r="S98" s="512">
        <f>'3A. Tel. - Roll-Up Rev. x Mth.'!P21</f>
        <v/>
      </c>
      <c r="T98" s="512">
        <f>'3A. Tel. - Roll-Up Rev. x Mth.'!R21</f>
        <v/>
      </c>
      <c r="U98" s="512">
        <f>'3A. Tel. - Roll-Up Rev. x Mth.'!T21</f>
        <v/>
      </c>
      <c r="V98" s="512">
        <f>'3A. Tel. - Roll-Up Rev. x Mth.'!V21</f>
        <v/>
      </c>
      <c r="W98" s="512">
        <f>'3A. Tel. - Roll-Up Rev. x Mth.'!X21</f>
        <v/>
      </c>
      <c r="X98" s="512">
        <f>'3A. Tel. - Roll-Up Rev. x Mth.'!Z21</f>
        <v/>
      </c>
      <c r="Y98" s="512">
        <f>'3A. Tel. - Roll-Up Rev. x Mth.'!AB21</f>
        <v/>
      </c>
      <c r="Z98" s="512">
        <f>'3A. Tel. - Roll-Up Rev. x Mth.'!AD21</f>
        <v/>
      </c>
      <c r="AA98" s="512">
        <f>'3A. Tel. - Roll-Up Rev. x Mth.'!AF21</f>
        <v/>
      </c>
      <c r="AB98" s="573">
        <f>'3A. Tel. - Roll-Up Rev. x Mth.'!J36</f>
        <v/>
      </c>
      <c r="AC98" s="512">
        <f>'3A. Tel. - Roll-Up Rev. x Mth.'!L36</f>
        <v/>
      </c>
      <c r="AD98" s="512">
        <f>'3A. Tel. - Roll-Up Rev. x Mth.'!N36</f>
        <v/>
      </c>
      <c r="AE98" s="512">
        <f>'3A. Tel. - Roll-Up Rev. x Mth.'!P36</f>
        <v/>
      </c>
      <c r="AF98" s="512">
        <f>'3A. Tel. - Roll-Up Rev. x Mth.'!R36</f>
        <v/>
      </c>
      <c r="AG98" s="512">
        <f>'3A. Tel. - Roll-Up Rev. x Mth.'!T36</f>
        <v/>
      </c>
      <c r="AH98" s="512">
        <f>'3A. Tel. - Roll-Up Rev. x Mth.'!V36</f>
        <v/>
      </c>
      <c r="AI98" s="512">
        <f>'3A. Tel. - Roll-Up Rev. x Mth.'!X36</f>
        <v/>
      </c>
      <c r="AJ98" s="512">
        <f>'3A. Tel. - Roll-Up Rev. x Mth.'!Z36</f>
        <v/>
      </c>
      <c r="AK98" s="512">
        <f>'3A. Tel. - Roll-Up Rev. x Mth.'!AB36</f>
        <v/>
      </c>
      <c r="AL98" s="512">
        <f>'3A. Tel. - Roll-Up Rev. x Mth.'!AD36</f>
        <v/>
      </c>
      <c r="AM98" s="512">
        <f>'3A. Tel. - Roll-Up Rev. x Mth.'!AF36</f>
        <v/>
      </c>
      <c r="AN98" s="573">
        <f>'3A. Tel. - Roll-Up Rev. x Mth.'!J51</f>
        <v/>
      </c>
      <c r="AO98" s="512">
        <f>'3A. Tel. - Roll-Up Rev. x Mth.'!L51</f>
        <v/>
      </c>
      <c r="AP98" s="512">
        <f>'3A. Tel. - Roll-Up Rev. x Mth.'!N51</f>
        <v/>
      </c>
      <c r="AQ98" s="512">
        <f>'3A. Tel. - Roll-Up Rev. x Mth.'!P51</f>
        <v/>
      </c>
      <c r="AR98" s="512">
        <f>'3A. Tel. - Roll-Up Rev. x Mth.'!R51</f>
        <v/>
      </c>
      <c r="AS98" s="512">
        <f>'3A. Tel. - Roll-Up Rev. x Mth.'!T51</f>
        <v/>
      </c>
      <c r="AT98" s="512">
        <f>'3A. Tel. - Roll-Up Rev. x Mth.'!V51</f>
        <v/>
      </c>
      <c r="AU98" s="512">
        <f>'3A. Tel. - Roll-Up Rev. x Mth.'!X51</f>
        <v/>
      </c>
      <c r="AV98" s="512">
        <f>'3A. Tel. - Roll-Up Rev. x Mth.'!Z51</f>
        <v/>
      </c>
      <c r="AW98" s="512">
        <f>'3A. Tel. - Roll-Up Rev. x Mth.'!AB51</f>
        <v/>
      </c>
      <c r="AX98" s="512">
        <f>'3A. Tel. - Roll-Up Rev. x Mth.'!AD51</f>
        <v/>
      </c>
      <c r="AY98" s="512">
        <f>'3A. Tel. - Roll-Up Rev. x Mth.'!AF51</f>
        <v/>
      </c>
      <c r="AZ98" s="573">
        <f>'3A. Tel. - Roll-Up Rev. x Mth.'!J66</f>
        <v/>
      </c>
      <c r="BA98" s="512">
        <f>'3A. Tel. - Roll-Up Rev. x Mth.'!L66</f>
        <v/>
      </c>
      <c r="BB98" s="512">
        <f>'3A. Tel. - Roll-Up Rev. x Mth.'!N66</f>
        <v/>
      </c>
      <c r="BC98" s="512">
        <f>'3A. Tel. - Roll-Up Rev. x Mth.'!P66</f>
        <v/>
      </c>
      <c r="BD98" s="512">
        <f>'3A. Tel. - Roll-Up Rev. x Mth.'!R66</f>
        <v/>
      </c>
      <c r="BE98" s="512">
        <f>'3A. Tel. - Roll-Up Rev. x Mth.'!T66</f>
        <v/>
      </c>
      <c r="BF98" s="512">
        <f>'3A. Tel. - Roll-Up Rev. x Mth.'!V66</f>
        <v/>
      </c>
      <c r="BG98" s="512">
        <f>'3A. Tel. - Roll-Up Rev. x Mth.'!X66</f>
        <v/>
      </c>
      <c r="BH98" s="512">
        <f>'3A. Tel. - Roll-Up Rev. x Mth.'!Z66</f>
        <v/>
      </c>
      <c r="BI98" s="512">
        <f>'3A. Tel. - Roll-Up Rev. x Mth.'!AB66</f>
        <v/>
      </c>
      <c r="BJ98" s="512">
        <f>'3A. Tel. - Roll-Up Rev. x Mth.'!AD66</f>
        <v/>
      </c>
      <c r="BK98" s="512">
        <f>'3A. Tel. - Roll-Up Rev. x Mth.'!AF66</f>
        <v/>
      </c>
      <c r="BL98" s="573">
        <f>'3A. Tel. - Roll-Up Rev. x Mth.'!J81</f>
        <v/>
      </c>
      <c r="BM98" s="512">
        <f>'3A. Tel. - Roll-Up Rev. x Mth.'!L81</f>
        <v/>
      </c>
      <c r="BN98" s="512">
        <f>'3A. Tel. - Roll-Up Rev. x Mth.'!N81</f>
        <v/>
      </c>
      <c r="BO98" s="512">
        <f>'3A. Tel. - Roll-Up Rev. x Mth.'!P81</f>
        <v/>
      </c>
      <c r="BP98" s="512">
        <f>'3A. Tel. - Roll-Up Rev. x Mth.'!R81</f>
        <v/>
      </c>
      <c r="BQ98" s="512">
        <f>'3A. Tel. - Roll-Up Rev. x Mth.'!T81</f>
        <v/>
      </c>
      <c r="BR98" s="512">
        <f>'3A. Tel. - Roll-Up Rev. x Mth.'!V81</f>
        <v/>
      </c>
      <c r="BS98" s="512">
        <f>'3A. Tel. - Roll-Up Rev. x Mth.'!X81</f>
        <v/>
      </c>
      <c r="BT98" s="512">
        <f>'3A. Tel. - Roll-Up Rev. x Mth.'!Z81</f>
        <v/>
      </c>
      <c r="BU98" s="512">
        <f>'3A. Tel. - Roll-Up Rev. x Mth.'!AB81</f>
        <v/>
      </c>
      <c r="BV98" s="512">
        <f>'3A. Tel. - Roll-Up Rev. x Mth.'!AD81</f>
        <v/>
      </c>
      <c r="BW98" s="512">
        <f>'3A. Tel. - Roll-Up Rev. x Mth.'!AF81</f>
        <v/>
      </c>
      <c r="BX98" s="383" t="n"/>
      <c r="BY98" s="383" t="n"/>
      <c r="BZ98" s="383" t="n"/>
      <c r="CA98" s="383" t="n"/>
      <c r="CB98" s="383" t="n"/>
      <c r="CC98" s="383" t="n"/>
      <c r="CD98" s="383" t="n"/>
      <c r="CE98" s="383" t="n"/>
      <c r="CF98" s="383" t="n"/>
      <c r="CG98" s="383" t="n"/>
      <c r="CH98" s="383" t="n"/>
      <c r="CI98" s="383" t="n"/>
      <c r="CJ98" s="383" t="n"/>
      <c r="CK98" s="383" t="n"/>
      <c r="CL98" s="383" t="n"/>
      <c r="CM98" s="383" t="n"/>
      <c r="CN98" s="383" t="n"/>
      <c r="CO98" s="383" t="n"/>
      <c r="CP98" s="383" t="n"/>
      <c r="CQ98" s="383" t="n"/>
      <c r="CR98" s="383" t="n"/>
      <c r="CS98" s="383" t="n"/>
      <c r="CT98" s="383" t="n"/>
      <c r="CU98" s="383" t="n"/>
      <c r="CV98" s="383" t="n"/>
      <c r="CW98" s="383" t="n"/>
      <c r="CX98" s="383" t="n"/>
      <c r="CY98" s="383" t="n"/>
      <c r="CZ98" s="383" t="n"/>
      <c r="DA98" s="383" t="n"/>
      <c r="DB98" s="383" t="n"/>
      <c r="DC98" s="383" t="n"/>
      <c r="DD98" s="383" t="n"/>
      <c r="DE98" s="383" t="n"/>
      <c r="DF98" s="383" t="n"/>
      <c r="DG98" s="383" t="n"/>
      <c r="DH98" s="383" t="n"/>
      <c r="DI98" s="383" t="n"/>
      <c r="DJ98" s="383" t="n"/>
      <c r="DK98" s="383" t="n"/>
      <c r="DL98" s="383" t="n"/>
      <c r="DM98" s="383" t="n"/>
      <c r="DN98" s="383" t="n"/>
      <c r="DO98" s="383" t="n"/>
      <c r="DP98" s="383" t="n"/>
      <c r="DQ98" s="383" t="n"/>
      <c r="DR98" s="383" t="n"/>
      <c r="DS98" s="383" t="n"/>
      <c r="DT98" s="383" t="n"/>
      <c r="DU98" s="383" t="n"/>
      <c r="DV98" s="383" t="n"/>
      <c r="DW98" s="383" t="n"/>
      <c r="DX98" s="383" t="n"/>
      <c r="DY98" s="383" t="n"/>
      <c r="DZ98" s="383" t="n"/>
      <c r="EA98" s="383" t="n"/>
      <c r="EB98" s="383" t="n"/>
      <c r="EC98" s="383" t="n"/>
      <c r="ED98" s="383" t="n"/>
      <c r="EE98" s="383" t="n"/>
      <c r="EF98" s="383" t="n"/>
      <c r="EG98" s="383" t="n"/>
      <c r="EH98" s="383" t="n"/>
      <c r="EI98" s="383" t="n"/>
      <c r="EJ98" s="383" t="n"/>
      <c r="EK98" s="383" t="n"/>
      <c r="EL98" s="383" t="n"/>
      <c r="EM98" s="383" t="n"/>
      <c r="EN98" s="383" t="n"/>
      <c r="EO98" s="383" t="n"/>
      <c r="EP98" s="383" t="n"/>
      <c r="EQ98" s="383" t="n"/>
      <c r="ER98" s="383" t="n"/>
      <c r="ES98" s="383" t="n"/>
      <c r="ET98" s="383" t="n"/>
      <c r="EU98" s="383" t="n"/>
      <c r="EV98" s="383" t="n"/>
      <c r="EW98" s="383" t="n"/>
      <c r="EX98" s="383" t="n"/>
      <c r="EY98" s="383" t="n"/>
      <c r="EZ98" s="383" t="n"/>
      <c r="FA98" s="383" t="n"/>
      <c r="FB98" s="383" t="n"/>
      <c r="FC98" s="383" t="n"/>
      <c r="FD98" s="383" t="n"/>
      <c r="FE98" s="383" t="n"/>
      <c r="FF98" s="383" t="n"/>
      <c r="FG98" s="383" t="n"/>
      <c r="FH98" s="383" t="n"/>
      <c r="FI98" s="383" t="n"/>
      <c r="FJ98" s="383" t="n"/>
      <c r="FK98" s="383" t="n"/>
      <c r="FL98" s="383" t="n"/>
      <c r="FM98" s="383" t="n"/>
      <c r="FN98" s="383" t="n"/>
      <c r="FO98" s="383" t="n"/>
      <c r="FP98" s="383" t="n"/>
      <c r="FQ98" s="383" t="n"/>
      <c r="FR98" s="383" t="n"/>
      <c r="FS98" s="383" t="n"/>
      <c r="FT98" s="383" t="n"/>
      <c r="FU98" s="383" t="n"/>
      <c r="FV98" s="383" t="n"/>
      <c r="FW98" s="383" t="n"/>
      <c r="FX98" s="383" t="n"/>
      <c r="FY98" s="383" t="n"/>
      <c r="FZ98" s="383" t="n"/>
      <c r="GA98" s="383" t="n"/>
      <c r="GB98" s="383" t="n"/>
      <c r="GC98" s="383" t="n"/>
      <c r="GD98" s="383" t="n"/>
      <c r="GE98" s="383" t="n"/>
      <c r="GF98" s="383" t="n"/>
      <c r="GG98" s="383" t="n"/>
      <c r="GH98" s="383" t="n"/>
      <c r="GI98" s="383" t="n"/>
      <c r="GJ98" s="383" t="n"/>
      <c r="GK98" s="383" t="n"/>
      <c r="GL98" s="383" t="n"/>
      <c r="GM98" s="383" t="n"/>
      <c r="GN98" s="383" t="n"/>
      <c r="GO98" s="383" t="n"/>
      <c r="GP98" s="383" t="n"/>
      <c r="GQ98" s="383" t="n"/>
      <c r="GR98" s="383" t="n"/>
      <c r="GS98" s="383" t="n"/>
      <c r="GT98" s="383" t="n"/>
      <c r="GU98" s="383" t="n"/>
      <c r="GV98" s="383" t="n"/>
      <c r="GW98" s="383" t="n"/>
      <c r="GX98" s="383" t="n"/>
      <c r="GY98" s="383" t="n"/>
    </row>
    <row r="99" ht="15" customHeight="1" s="1883">
      <c r="A99" s="383" t="n"/>
      <c r="B99" s="383" t="n"/>
      <c r="C99" s="383" t="n"/>
      <c r="D99" s="383" t="n"/>
      <c r="E99" s="383" t="n"/>
      <c r="F99" s="383" t="n"/>
      <c r="G99" s="383" t="n"/>
      <c r="H99" s="383" t="n"/>
      <c r="I99" s="383" t="n"/>
      <c r="J99" s="383" t="n"/>
      <c r="K99" s="462" t="n"/>
      <c r="L99" s="383" t="n"/>
      <c r="M99" s="1970" t="inlineStr">
        <is>
          <t>Net Revenue/Employee</t>
        </is>
      </c>
      <c r="O99" s="503" t="n"/>
      <c r="P99" s="512">
        <f>((P98)/(P93))</f>
        <v/>
      </c>
      <c r="Q99" s="512">
        <f>((Q98)/(Q93))</f>
        <v/>
      </c>
      <c r="R99" s="512">
        <f>((R98)/(R93))</f>
        <v/>
      </c>
      <c r="S99" s="512">
        <f>((S98)/(S93))</f>
        <v/>
      </c>
      <c r="T99" s="512">
        <f>((T98)/(T93))</f>
        <v/>
      </c>
      <c r="U99" s="512">
        <f>((U98)/(U93))</f>
        <v/>
      </c>
      <c r="V99" s="512">
        <f>((V98)/(V93))</f>
        <v/>
      </c>
      <c r="W99" s="512">
        <f>((W98)/(W93))</f>
        <v/>
      </c>
      <c r="X99" s="512">
        <f>((X98)/(X93))</f>
        <v/>
      </c>
      <c r="Y99" s="512">
        <f>((Y98)/(Y93))</f>
        <v/>
      </c>
      <c r="Z99" s="512">
        <f>((Z98)/(Z93))</f>
        <v/>
      </c>
      <c r="AA99" s="512">
        <f>((AA98)/(AA93))</f>
        <v/>
      </c>
      <c r="AB99" s="573">
        <f>((AB98)/(AB93))</f>
        <v/>
      </c>
      <c r="AC99" s="512">
        <f>((AC98)/(AC93))</f>
        <v/>
      </c>
      <c r="AD99" s="512">
        <f>((AD98)/(AD93))</f>
        <v/>
      </c>
      <c r="AE99" s="512">
        <f>((AE98)/(AE93))</f>
        <v/>
      </c>
      <c r="AF99" s="512">
        <f>((AF98)/(AF93))</f>
        <v/>
      </c>
      <c r="AG99" s="512">
        <f>((AG98)/(AG93))</f>
        <v/>
      </c>
      <c r="AH99" s="512">
        <f>((AH98)/(AH93))</f>
        <v/>
      </c>
      <c r="AI99" s="512">
        <f>((AI98)/(AI93))</f>
        <v/>
      </c>
      <c r="AJ99" s="512">
        <f>((AJ98)/(AJ93))</f>
        <v/>
      </c>
      <c r="AK99" s="512">
        <f>((AK98)/(AK93))</f>
        <v/>
      </c>
      <c r="AL99" s="512">
        <f>((AL98)/(AL93))</f>
        <v/>
      </c>
      <c r="AM99" s="512">
        <f>((AM98)/(AM93))</f>
        <v/>
      </c>
      <c r="AN99" s="573">
        <f>((AN98)/(AN93))</f>
        <v/>
      </c>
      <c r="AO99" s="512">
        <f>((AO98)/(AO93))</f>
        <v/>
      </c>
      <c r="AP99" s="512">
        <f>((AP98)/(AP93))</f>
        <v/>
      </c>
      <c r="AQ99" s="512">
        <f>((AQ98)/(AQ93))</f>
        <v/>
      </c>
      <c r="AR99" s="512">
        <f>((AR98)/(AR93))</f>
        <v/>
      </c>
      <c r="AS99" s="512">
        <f>((AS98)/(AS93))</f>
        <v/>
      </c>
      <c r="AT99" s="512">
        <f>((AT98)/(AT93))</f>
        <v/>
      </c>
      <c r="AU99" s="512">
        <f>((AU98)/(AU93))</f>
        <v/>
      </c>
      <c r="AV99" s="512">
        <f>((AV98)/(AV93))</f>
        <v/>
      </c>
      <c r="AW99" s="512">
        <f>((AW98)/(AW93))</f>
        <v/>
      </c>
      <c r="AX99" s="512">
        <f>((AX98)/(AX93))</f>
        <v/>
      </c>
      <c r="AY99" s="512">
        <f>((AY98)/(AY93))</f>
        <v/>
      </c>
      <c r="AZ99" s="573">
        <f>((AZ98)/(AZ93))</f>
        <v/>
      </c>
      <c r="BA99" s="512">
        <f>((BA98)/(BA93))</f>
        <v/>
      </c>
      <c r="BB99" s="512">
        <f>((BB98)/(BB93))</f>
        <v/>
      </c>
      <c r="BC99" s="512">
        <f>((BC98)/(BC93))</f>
        <v/>
      </c>
      <c r="BD99" s="512">
        <f>((BD98)/(BD93))</f>
        <v/>
      </c>
      <c r="BE99" s="512">
        <f>((BE98)/(BE93))</f>
        <v/>
      </c>
      <c r="BF99" s="512">
        <f>((BF98)/(BF93))</f>
        <v/>
      </c>
      <c r="BG99" s="512">
        <f>((BG98)/(BG93))</f>
        <v/>
      </c>
      <c r="BH99" s="512">
        <f>((BH98)/(BH93))</f>
        <v/>
      </c>
      <c r="BI99" s="512">
        <f>((BI98)/(BI93))</f>
        <v/>
      </c>
      <c r="BJ99" s="512">
        <f>((BJ98)/(BJ93))</f>
        <v/>
      </c>
      <c r="BK99" s="512">
        <f>((BK98)/(BK93))</f>
        <v/>
      </c>
      <c r="BL99" s="573">
        <f>((BL98)/(BL93))</f>
        <v/>
      </c>
      <c r="BM99" s="512">
        <f>((BM98)/(BM93))</f>
        <v/>
      </c>
      <c r="BN99" s="512">
        <f>((BN98)/(BN93))</f>
        <v/>
      </c>
      <c r="BO99" s="512">
        <f>((BO98)/(BO93))</f>
        <v/>
      </c>
      <c r="BP99" s="512">
        <f>((BP98)/(BP93))</f>
        <v/>
      </c>
      <c r="BQ99" s="512">
        <f>((BQ98)/(BQ93))</f>
        <v/>
      </c>
      <c r="BR99" s="512">
        <f>((BR98)/(BR93))</f>
        <v/>
      </c>
      <c r="BS99" s="512">
        <f>((BS98)/(BS93))</f>
        <v/>
      </c>
      <c r="BT99" s="512">
        <f>((BT98)/(BT93))</f>
        <v/>
      </c>
      <c r="BU99" s="512">
        <f>((BU98)/(BU93))</f>
        <v/>
      </c>
      <c r="BV99" s="512">
        <f>((BV98)/(BV93))</f>
        <v/>
      </c>
      <c r="BW99" s="512">
        <f>((BW98)/(BW93))</f>
        <v/>
      </c>
      <c r="BX99" s="383" t="n"/>
      <c r="BY99" s="383" t="n"/>
      <c r="BZ99" s="383" t="n"/>
      <c r="CA99" s="383" t="n"/>
      <c r="CB99" s="383" t="n"/>
      <c r="CC99" s="383" t="n"/>
      <c r="CD99" s="383" t="n"/>
      <c r="CE99" s="383" t="n"/>
      <c r="CF99" s="383" t="n"/>
      <c r="CG99" s="383" t="n"/>
      <c r="CH99" s="383" t="n"/>
      <c r="CI99" s="383" t="n"/>
      <c r="CJ99" s="383" t="n"/>
      <c r="CK99" s="383" t="n"/>
      <c r="CL99" s="383" t="n"/>
      <c r="CM99" s="383" t="n"/>
      <c r="CN99" s="383" t="n"/>
      <c r="CO99" s="383" t="n"/>
      <c r="CP99" s="383" t="n"/>
      <c r="CQ99" s="383" t="n"/>
      <c r="CR99" s="383" t="n"/>
      <c r="CS99" s="383" t="n"/>
      <c r="CT99" s="383" t="n"/>
      <c r="CU99" s="383" t="n"/>
      <c r="CV99" s="383" t="n"/>
      <c r="CW99" s="383" t="n"/>
      <c r="CX99" s="383" t="n"/>
      <c r="CY99" s="383" t="n"/>
      <c r="CZ99" s="383" t="n"/>
      <c r="DA99" s="383" t="n"/>
      <c r="DB99" s="383" t="n"/>
      <c r="DC99" s="383" t="n"/>
      <c r="DD99" s="383" t="n"/>
      <c r="DE99" s="383" t="n"/>
      <c r="DF99" s="383" t="n"/>
      <c r="DG99" s="383" t="n"/>
      <c r="DH99" s="383" t="n"/>
      <c r="DI99" s="383" t="n"/>
      <c r="DJ99" s="383" t="n"/>
      <c r="DK99" s="383" t="n"/>
      <c r="DL99" s="383" t="n"/>
      <c r="DM99" s="383" t="n"/>
      <c r="DN99" s="383" t="n"/>
      <c r="DO99" s="383" t="n"/>
      <c r="DP99" s="383" t="n"/>
      <c r="DQ99" s="383" t="n"/>
      <c r="DR99" s="383" t="n"/>
      <c r="DS99" s="383" t="n"/>
      <c r="DT99" s="383" t="n"/>
      <c r="DU99" s="383" t="n"/>
      <c r="DV99" s="383" t="n"/>
      <c r="DW99" s="383" t="n"/>
      <c r="DX99" s="383" t="n"/>
      <c r="DY99" s="383" t="n"/>
      <c r="DZ99" s="383" t="n"/>
      <c r="EA99" s="383" t="n"/>
      <c r="EB99" s="383" t="n"/>
      <c r="EC99" s="383" t="n"/>
      <c r="ED99" s="383" t="n"/>
      <c r="EE99" s="383" t="n"/>
      <c r="EF99" s="383" t="n"/>
      <c r="EG99" s="383" t="n"/>
      <c r="EH99" s="383" t="n"/>
      <c r="EI99" s="383" t="n"/>
      <c r="EJ99" s="383" t="n"/>
      <c r="EK99" s="383" t="n"/>
      <c r="EL99" s="383" t="n"/>
      <c r="EM99" s="383" t="n"/>
      <c r="EN99" s="383" t="n"/>
      <c r="EO99" s="383" t="n"/>
      <c r="EP99" s="383" t="n"/>
      <c r="EQ99" s="383" t="n"/>
      <c r="ER99" s="383" t="n"/>
      <c r="ES99" s="383" t="n"/>
      <c r="ET99" s="383" t="n"/>
      <c r="EU99" s="383" t="n"/>
      <c r="EV99" s="383" t="n"/>
      <c r="EW99" s="383" t="n"/>
      <c r="EX99" s="383" t="n"/>
      <c r="EY99" s="383" t="n"/>
      <c r="EZ99" s="383" t="n"/>
      <c r="FA99" s="383" t="n"/>
      <c r="FB99" s="383" t="n"/>
      <c r="FC99" s="383" t="n"/>
      <c r="FD99" s="383" t="n"/>
      <c r="FE99" s="383" t="n"/>
      <c r="FF99" s="383" t="n"/>
      <c r="FG99" s="383" t="n"/>
      <c r="FH99" s="383" t="n"/>
      <c r="FI99" s="383" t="n"/>
      <c r="FJ99" s="383" t="n"/>
      <c r="FK99" s="383" t="n"/>
      <c r="FL99" s="383" t="n"/>
      <c r="FM99" s="383" t="n"/>
      <c r="FN99" s="383" t="n"/>
      <c r="FO99" s="383" t="n"/>
      <c r="FP99" s="383" t="n"/>
      <c r="FQ99" s="383" t="n"/>
      <c r="FR99" s="383" t="n"/>
      <c r="FS99" s="383" t="n"/>
      <c r="FT99" s="383" t="n"/>
      <c r="FU99" s="383" t="n"/>
      <c r="FV99" s="383" t="n"/>
      <c r="FW99" s="383" t="n"/>
      <c r="FX99" s="383" t="n"/>
      <c r="FY99" s="383" t="n"/>
      <c r="FZ99" s="383" t="n"/>
      <c r="GA99" s="383" t="n"/>
      <c r="GB99" s="383" t="n"/>
      <c r="GC99" s="383" t="n"/>
      <c r="GD99" s="383" t="n"/>
      <c r="GE99" s="383" t="n"/>
      <c r="GF99" s="383" t="n"/>
      <c r="GG99" s="383" t="n"/>
      <c r="GH99" s="383" t="n"/>
      <c r="GI99" s="383" t="n"/>
      <c r="GJ99" s="383" t="n"/>
      <c r="GK99" s="383" t="n"/>
      <c r="GL99" s="383" t="n"/>
      <c r="GM99" s="383" t="n"/>
      <c r="GN99" s="383" t="n"/>
      <c r="GO99" s="383" t="n"/>
      <c r="GP99" s="383" t="n"/>
      <c r="GQ99" s="383" t="n"/>
      <c r="GR99" s="383" t="n"/>
      <c r="GS99" s="383" t="n"/>
      <c r="GT99" s="383" t="n"/>
      <c r="GU99" s="383" t="n"/>
      <c r="GV99" s="383" t="n"/>
      <c r="GW99" s="383" t="n"/>
      <c r="GX99" s="383" t="n"/>
      <c r="GY99" s="383" t="n"/>
    </row>
    <row r="100" ht="15" customHeight="1" s="1883">
      <c r="A100" s="383" t="n"/>
      <c r="B100" s="383" t="n"/>
      <c r="C100" s="383" t="n"/>
      <c r="D100" s="383" t="n"/>
      <c r="E100" s="383" t="n"/>
      <c r="F100" s="383" t="n"/>
      <c r="G100" s="383" t="n"/>
      <c r="H100" s="383" t="n"/>
      <c r="I100" s="383" t="n"/>
      <c r="J100" s="383" t="n"/>
      <c r="K100" s="462" t="n"/>
      <c r="L100" s="383" t="n"/>
      <c r="M100" s="383" t="n"/>
      <c r="N100" s="383" t="n"/>
      <c r="O100" s="383" t="n"/>
      <c r="P100" s="383" t="n"/>
      <c r="Q100" s="383" t="n"/>
      <c r="R100" s="383" t="n"/>
      <c r="S100" s="383" t="n"/>
      <c r="T100" s="383" t="n"/>
      <c r="U100" s="383" t="n"/>
      <c r="V100" s="383" t="n"/>
      <c r="W100" s="383" t="n"/>
      <c r="X100" s="383" t="n"/>
      <c r="Y100" s="383" t="n"/>
      <c r="Z100" s="383" t="n"/>
      <c r="AA100" s="383" t="n"/>
      <c r="AB100" s="541" t="n"/>
      <c r="AC100" s="383" t="n"/>
      <c r="AD100" s="383" t="n"/>
      <c r="AE100" s="383" t="n"/>
      <c r="AF100" s="383" t="n"/>
      <c r="AG100" s="383" t="n"/>
      <c r="AH100" s="383" t="n"/>
      <c r="AI100" s="383" t="n"/>
      <c r="AJ100" s="383" t="n"/>
      <c r="AK100" s="383" t="n"/>
      <c r="AL100" s="383" t="n"/>
      <c r="AM100" s="383" t="n"/>
      <c r="AN100" s="541" t="n"/>
      <c r="AO100" s="383" t="n"/>
      <c r="AP100" s="383" t="n"/>
      <c r="AQ100" s="383" t="n"/>
      <c r="AR100" s="383" t="n"/>
      <c r="AS100" s="383" t="n"/>
      <c r="AT100" s="383" t="n"/>
      <c r="AU100" s="383" t="n"/>
      <c r="AV100" s="383" t="n"/>
      <c r="AW100" s="383" t="n"/>
      <c r="AX100" s="383" t="n"/>
      <c r="AY100" s="383" t="n"/>
      <c r="AZ100" s="541" t="n"/>
      <c r="BA100" s="383" t="n"/>
      <c r="BB100" s="383" t="n"/>
      <c r="BC100" s="383" t="n"/>
      <c r="BD100" s="383" t="n"/>
      <c r="BE100" s="383" t="n"/>
      <c r="BF100" s="383" t="n"/>
      <c r="BG100" s="383" t="n"/>
      <c r="BH100" s="383" t="n"/>
      <c r="BI100" s="383" t="n"/>
      <c r="BJ100" s="383" t="n"/>
      <c r="BK100" s="383" t="n"/>
      <c r="BL100" s="541" t="n"/>
      <c r="BM100" s="383" t="n"/>
      <c r="BN100" s="383" t="n"/>
      <c r="BO100" s="383" t="n"/>
      <c r="BP100" s="383" t="n"/>
      <c r="BQ100" s="383" t="n"/>
      <c r="BR100" s="383" t="n"/>
      <c r="BS100" s="383" t="n"/>
      <c r="BT100" s="383" t="n"/>
      <c r="BU100" s="383" t="n"/>
      <c r="BV100" s="383" t="n"/>
      <c r="BW100" s="383" t="n"/>
      <c r="BX100" s="383" t="n"/>
      <c r="BY100" s="383" t="n"/>
      <c r="BZ100" s="383" t="n"/>
      <c r="CA100" s="383" t="n"/>
      <c r="CB100" s="383" t="n"/>
      <c r="CC100" s="383" t="n"/>
      <c r="CD100" s="383" t="n"/>
      <c r="CE100" s="383" t="n"/>
      <c r="CF100" s="383" t="n"/>
      <c r="CG100" s="383" t="n"/>
      <c r="CH100" s="383" t="n"/>
      <c r="CI100" s="383" t="n"/>
      <c r="CJ100" s="383" t="n"/>
      <c r="CK100" s="383" t="n"/>
      <c r="CL100" s="383" t="n"/>
      <c r="CM100" s="383" t="n"/>
      <c r="CN100" s="383" t="n"/>
      <c r="CO100" s="383" t="n"/>
      <c r="CP100" s="383" t="n"/>
      <c r="CQ100" s="383" t="n"/>
      <c r="CR100" s="383" t="n"/>
      <c r="CS100" s="383" t="n"/>
      <c r="CT100" s="383" t="n"/>
      <c r="CU100" s="383" t="n"/>
      <c r="CV100" s="383" t="n"/>
      <c r="CW100" s="383" t="n"/>
      <c r="CX100" s="383" t="n"/>
      <c r="CY100" s="383" t="n"/>
      <c r="CZ100" s="383" t="n"/>
      <c r="DA100" s="383" t="n"/>
      <c r="DB100" s="383" t="n"/>
      <c r="DC100" s="383" t="n"/>
      <c r="DD100" s="383" t="n"/>
      <c r="DE100" s="383" t="n"/>
      <c r="DF100" s="383" t="n"/>
      <c r="DG100" s="383" t="n"/>
      <c r="DH100" s="383" t="n"/>
      <c r="DI100" s="383" t="n"/>
      <c r="DJ100" s="383" t="n"/>
      <c r="DK100" s="383" t="n"/>
      <c r="DL100" s="383" t="n"/>
      <c r="DM100" s="383" t="n"/>
      <c r="DN100" s="383" t="n"/>
      <c r="DO100" s="383" t="n"/>
      <c r="DP100" s="383" t="n"/>
      <c r="DQ100" s="383" t="n"/>
      <c r="DR100" s="383" t="n"/>
      <c r="DS100" s="383" t="n"/>
      <c r="DT100" s="383" t="n"/>
      <c r="DU100" s="383" t="n"/>
      <c r="DV100" s="383" t="n"/>
      <c r="DW100" s="383" t="n"/>
      <c r="DX100" s="383" t="n"/>
      <c r="DY100" s="383" t="n"/>
      <c r="DZ100" s="383" t="n"/>
      <c r="EA100" s="383" t="n"/>
      <c r="EB100" s="383" t="n"/>
      <c r="EC100" s="383" t="n"/>
      <c r="ED100" s="383" t="n"/>
      <c r="EE100" s="383" t="n"/>
      <c r="EF100" s="383" t="n"/>
      <c r="EG100" s="383" t="n"/>
      <c r="EH100" s="383" t="n"/>
      <c r="EI100" s="383" t="n"/>
      <c r="EJ100" s="383" t="n"/>
      <c r="EK100" s="383" t="n"/>
      <c r="EL100" s="383" t="n"/>
      <c r="EM100" s="383" t="n"/>
      <c r="EN100" s="383" t="n"/>
      <c r="EO100" s="383" t="n"/>
      <c r="EP100" s="383" t="n"/>
      <c r="EQ100" s="383" t="n"/>
      <c r="ER100" s="383" t="n"/>
      <c r="ES100" s="383" t="n"/>
      <c r="ET100" s="383" t="n"/>
      <c r="EU100" s="383" t="n"/>
      <c r="EV100" s="383" t="n"/>
      <c r="EW100" s="383" t="n"/>
      <c r="EX100" s="383" t="n"/>
      <c r="EY100" s="383" t="n"/>
      <c r="EZ100" s="383" t="n"/>
      <c r="FA100" s="383" t="n"/>
      <c r="FB100" s="383" t="n"/>
      <c r="FC100" s="383" t="n"/>
      <c r="FD100" s="383" t="n"/>
      <c r="FE100" s="383" t="n"/>
      <c r="FF100" s="383" t="n"/>
      <c r="FG100" s="383" t="n"/>
      <c r="FH100" s="383" t="n"/>
      <c r="FI100" s="383" t="n"/>
      <c r="FJ100" s="383" t="n"/>
      <c r="FK100" s="383" t="n"/>
      <c r="FL100" s="383" t="n"/>
      <c r="FM100" s="383" t="n"/>
      <c r="FN100" s="383" t="n"/>
      <c r="FO100" s="383" t="n"/>
      <c r="FP100" s="383" t="n"/>
      <c r="FQ100" s="383" t="n"/>
      <c r="FR100" s="383" t="n"/>
      <c r="FS100" s="383" t="n"/>
      <c r="FT100" s="383" t="n"/>
      <c r="FU100" s="383" t="n"/>
      <c r="FV100" s="383" t="n"/>
      <c r="FW100" s="383" t="n"/>
      <c r="FX100" s="383" t="n"/>
      <c r="FY100" s="383" t="n"/>
      <c r="FZ100" s="383" t="n"/>
      <c r="GA100" s="383" t="n"/>
      <c r="GB100" s="383" t="n"/>
      <c r="GC100" s="383" t="n"/>
      <c r="GD100" s="383" t="n"/>
      <c r="GE100" s="383" t="n"/>
      <c r="GF100" s="383" t="n"/>
      <c r="GG100" s="383" t="n"/>
      <c r="GH100" s="383" t="n"/>
      <c r="GI100" s="383" t="n"/>
      <c r="GJ100" s="383" t="n"/>
      <c r="GK100" s="383" t="n"/>
      <c r="GL100" s="383" t="n"/>
      <c r="GM100" s="383" t="n"/>
      <c r="GN100" s="383" t="n"/>
      <c r="GO100" s="383" t="n"/>
      <c r="GP100" s="383" t="n"/>
      <c r="GQ100" s="383" t="n"/>
      <c r="GR100" s="383" t="n"/>
      <c r="GS100" s="383" t="n"/>
      <c r="GT100" s="383" t="n"/>
      <c r="GU100" s="383" t="n"/>
      <c r="GV100" s="383" t="n"/>
      <c r="GW100" s="383" t="n"/>
      <c r="GX100" s="383" t="n"/>
      <c r="GY100" s="383" t="n"/>
    </row>
    <row r="101" ht="15" customHeight="1" s="1883">
      <c r="A101" s="383" t="n"/>
      <c r="B101" s="383" t="n"/>
      <c r="C101" s="383" t="n"/>
      <c r="D101" s="383" t="n"/>
      <c r="E101" s="383" t="n"/>
      <c r="F101" s="383" t="n"/>
      <c r="G101" s="383" t="n"/>
      <c r="H101" s="383" t="n"/>
      <c r="I101" s="383" t="n"/>
      <c r="J101" s="383" t="n"/>
      <c r="K101" s="462" t="n"/>
      <c r="L101" s="383" t="n"/>
      <c r="M101" s="383" t="n"/>
      <c r="N101" s="383" t="n"/>
      <c r="O101" s="383" t="n"/>
      <c r="P101" s="383" t="n"/>
      <c r="Q101" s="383" t="n"/>
      <c r="R101" s="383" t="n"/>
      <c r="S101" s="383" t="n"/>
      <c r="T101" s="383" t="n"/>
      <c r="U101" s="383" t="n"/>
      <c r="V101" s="383" t="n"/>
      <c r="W101" s="383" t="n"/>
      <c r="X101" s="563" t="inlineStr">
        <is>
          <t>Average Headcount</t>
        </is>
      </c>
      <c r="Y101" s="561" t="n"/>
      <c r="Z101" s="560" t="n"/>
      <c r="AA101" s="562">
        <f>AVERAGE(P93:AA93)</f>
        <v/>
      </c>
      <c r="AB101" s="541" t="n"/>
      <c r="AC101" s="383" t="n"/>
      <c r="AD101" s="383" t="n"/>
      <c r="AE101" s="383" t="n"/>
      <c r="AF101" s="383" t="n"/>
      <c r="AG101" s="383" t="n"/>
      <c r="AH101" s="383" t="n"/>
      <c r="AI101" s="383" t="n"/>
      <c r="AJ101" s="563" t="inlineStr">
        <is>
          <t>Average Headcount</t>
        </is>
      </c>
      <c r="AK101" s="561" t="n"/>
      <c r="AL101" s="560" t="n"/>
      <c r="AM101" s="562">
        <f>AVERAGE(AB93:AM93)</f>
        <v/>
      </c>
      <c r="AN101" s="541" t="n"/>
      <c r="AO101" s="383" t="n"/>
      <c r="AP101" s="383" t="n"/>
      <c r="AQ101" s="383" t="n"/>
      <c r="AR101" s="383" t="n"/>
      <c r="AS101" s="383" t="n"/>
      <c r="AT101" s="383" t="n"/>
      <c r="AU101" s="383" t="n"/>
      <c r="AV101" s="563" t="inlineStr">
        <is>
          <t>Average Headcount</t>
        </is>
      </c>
      <c r="AW101" s="561" t="n"/>
      <c r="AX101" s="560" t="n"/>
      <c r="AY101" s="562">
        <f>AVERAGE(AN93:AY93)</f>
        <v/>
      </c>
      <c r="AZ101" s="541" t="n"/>
      <c r="BA101" s="383" t="n"/>
      <c r="BB101" s="383" t="n"/>
      <c r="BC101" s="383" t="n"/>
      <c r="BD101" s="383" t="n"/>
      <c r="BE101" s="383" t="n"/>
      <c r="BF101" s="383" t="n"/>
      <c r="BG101" s="383" t="n"/>
      <c r="BH101" s="563" t="inlineStr">
        <is>
          <t>Average Headcount</t>
        </is>
      </c>
      <c r="BI101" s="561" t="n"/>
      <c r="BJ101" s="560" t="n"/>
      <c r="BK101" s="562">
        <f>AVERAGE(AZ93:BK93)</f>
        <v/>
      </c>
      <c r="BL101" s="541" t="n"/>
      <c r="BM101" s="383" t="n"/>
      <c r="BN101" s="383" t="n"/>
      <c r="BO101" s="383" t="n"/>
      <c r="BP101" s="383" t="n"/>
      <c r="BQ101" s="383" t="n"/>
      <c r="BR101" s="383" t="n"/>
      <c r="BS101" s="383" t="n"/>
      <c r="BT101" s="563" t="inlineStr">
        <is>
          <t>Average Headcount</t>
        </is>
      </c>
      <c r="BU101" s="561" t="n"/>
      <c r="BV101" s="560" t="n"/>
      <c r="BW101" s="562">
        <f>AVERAGE(BL93:BW93)</f>
        <v/>
      </c>
      <c r="BX101" s="383" t="n"/>
      <c r="BY101" s="383" t="n"/>
      <c r="BZ101" s="383" t="n"/>
      <c r="CA101" s="383" t="n"/>
      <c r="CB101" s="383" t="n"/>
      <c r="CC101" s="383" t="n"/>
      <c r="CD101" s="383" t="n"/>
      <c r="CE101" s="383" t="n"/>
      <c r="CF101" s="383" t="n"/>
      <c r="CG101" s="383" t="n"/>
      <c r="CH101" s="383" t="n"/>
      <c r="CI101" s="383" t="n"/>
      <c r="CJ101" s="383" t="n"/>
      <c r="CK101" s="383" t="n"/>
      <c r="CL101" s="383" t="n"/>
      <c r="CM101" s="383" t="n"/>
      <c r="CN101" s="383" t="n"/>
      <c r="CO101" s="383" t="n"/>
      <c r="CP101" s="383" t="n"/>
      <c r="CQ101" s="383" t="n"/>
      <c r="CR101" s="383" t="n"/>
      <c r="CS101" s="383" t="n"/>
      <c r="CT101" s="383" t="n"/>
      <c r="CU101" s="383" t="n"/>
      <c r="CV101" s="383" t="n"/>
      <c r="CW101" s="383" t="n"/>
      <c r="CX101" s="383" t="n"/>
      <c r="CY101" s="383" t="n"/>
      <c r="CZ101" s="383" t="n"/>
      <c r="DA101" s="383" t="n"/>
      <c r="DB101" s="383" t="n"/>
      <c r="DC101" s="383" t="n"/>
      <c r="DD101" s="383" t="n"/>
      <c r="DE101" s="383" t="n"/>
      <c r="DF101" s="383" t="n"/>
      <c r="DG101" s="383" t="n"/>
      <c r="DH101" s="383" t="n"/>
      <c r="DI101" s="383" t="n"/>
      <c r="DJ101" s="383" t="n"/>
      <c r="DK101" s="383" t="n"/>
      <c r="DL101" s="383" t="n"/>
      <c r="DM101" s="383" t="n"/>
      <c r="DN101" s="383" t="n"/>
      <c r="DO101" s="383" t="n"/>
      <c r="DP101" s="383" t="n"/>
      <c r="DQ101" s="383" t="n"/>
      <c r="DR101" s="383" t="n"/>
      <c r="DS101" s="383" t="n"/>
      <c r="DT101" s="383" t="n"/>
      <c r="DU101" s="383" t="n"/>
      <c r="DV101" s="383" t="n"/>
      <c r="DW101" s="383" t="n"/>
      <c r="DX101" s="383" t="n"/>
      <c r="DY101" s="383" t="n"/>
      <c r="DZ101" s="383" t="n"/>
      <c r="EA101" s="383" t="n"/>
      <c r="EB101" s="383" t="n"/>
      <c r="EC101" s="383" t="n"/>
      <c r="ED101" s="383" t="n"/>
      <c r="EE101" s="383" t="n"/>
      <c r="EF101" s="383" t="n"/>
      <c r="EG101" s="383" t="n"/>
      <c r="EH101" s="383" t="n"/>
      <c r="EI101" s="383" t="n"/>
      <c r="EJ101" s="383" t="n"/>
      <c r="EK101" s="383" t="n"/>
      <c r="EL101" s="383" t="n"/>
      <c r="EM101" s="383" t="n"/>
      <c r="EN101" s="383" t="n"/>
      <c r="EO101" s="383" t="n"/>
      <c r="EP101" s="383" t="n"/>
      <c r="EQ101" s="383" t="n"/>
      <c r="ER101" s="383" t="n"/>
      <c r="ES101" s="383" t="n"/>
      <c r="ET101" s="383" t="n"/>
      <c r="EU101" s="383" t="n"/>
      <c r="EV101" s="383" t="n"/>
      <c r="EW101" s="383" t="n"/>
      <c r="EX101" s="383" t="n"/>
      <c r="EY101" s="383" t="n"/>
      <c r="EZ101" s="383" t="n"/>
      <c r="FA101" s="383" t="n"/>
      <c r="FB101" s="383" t="n"/>
      <c r="FC101" s="383" t="n"/>
      <c r="FD101" s="383" t="n"/>
      <c r="FE101" s="383" t="n"/>
      <c r="FF101" s="383" t="n"/>
      <c r="FG101" s="383" t="n"/>
      <c r="FH101" s="383" t="n"/>
      <c r="FI101" s="383" t="n"/>
      <c r="FJ101" s="383" t="n"/>
      <c r="FK101" s="383" t="n"/>
      <c r="FL101" s="383" t="n"/>
      <c r="FM101" s="383" t="n"/>
      <c r="FN101" s="383" t="n"/>
      <c r="FO101" s="383" t="n"/>
      <c r="FP101" s="383" t="n"/>
      <c r="FQ101" s="383" t="n"/>
      <c r="FR101" s="383" t="n"/>
      <c r="FS101" s="383" t="n"/>
      <c r="FT101" s="383" t="n"/>
      <c r="FU101" s="383" t="n"/>
      <c r="FV101" s="383" t="n"/>
      <c r="FW101" s="383" t="n"/>
      <c r="FX101" s="383" t="n"/>
      <c r="FY101" s="383" t="n"/>
      <c r="FZ101" s="383" t="n"/>
      <c r="GA101" s="383" t="n"/>
      <c r="GB101" s="383" t="n"/>
      <c r="GC101" s="383" t="n"/>
      <c r="GD101" s="383" t="n"/>
      <c r="GE101" s="383" t="n"/>
      <c r="GF101" s="383" t="n"/>
      <c r="GG101" s="383" t="n"/>
      <c r="GH101" s="383" t="n"/>
      <c r="GI101" s="383" t="n"/>
      <c r="GJ101" s="383" t="n"/>
      <c r="GK101" s="383" t="n"/>
      <c r="GL101" s="383" t="n"/>
      <c r="GM101" s="383" t="n"/>
      <c r="GN101" s="383" t="n"/>
      <c r="GO101" s="383" t="n"/>
      <c r="GP101" s="383" t="n"/>
      <c r="GQ101" s="383" t="n"/>
      <c r="GR101" s="383" t="n"/>
      <c r="GS101" s="383" t="n"/>
      <c r="GT101" s="383" t="n"/>
      <c r="GU101" s="383" t="n"/>
      <c r="GV101" s="383" t="n"/>
      <c r="GW101" s="383" t="n"/>
      <c r="GX101" s="383" t="n"/>
      <c r="GY101" s="383" t="n"/>
    </row>
    <row r="102" ht="15" customHeight="1" s="1883">
      <c r="A102" s="383" t="n"/>
      <c r="B102" s="383" t="n"/>
      <c r="C102" s="383" t="n"/>
      <c r="D102" s="383" t="n"/>
      <c r="E102" s="383" t="n"/>
      <c r="F102" s="383" t="n"/>
      <c r="G102" s="383" t="n"/>
      <c r="H102" s="383" t="n"/>
      <c r="I102" s="383" t="n"/>
      <c r="J102" s="383" t="n"/>
      <c r="K102" s="462" t="n"/>
      <c r="L102" s="383" t="n"/>
      <c r="M102" s="383" t="n"/>
      <c r="N102" s="383" t="n"/>
      <c r="O102" s="383" t="n"/>
      <c r="P102" s="383" t="n"/>
      <c r="Q102" s="383" t="n"/>
      <c r="R102" s="383" t="n"/>
      <c r="S102" s="383" t="n"/>
      <c r="T102" s="383" t="n"/>
      <c r="U102" s="383" t="n"/>
      <c r="V102" s="383" t="n"/>
      <c r="W102" s="383" t="n"/>
      <c r="X102" s="563" t="inlineStr">
        <is>
          <t>Net Revenue/Average Headcount</t>
        </is>
      </c>
      <c r="Y102" s="561" t="n"/>
      <c r="Z102" s="560" t="n"/>
      <c r="AA102" s="564">
        <f>(SUM(P98:AA98)/(AA101))</f>
        <v/>
      </c>
      <c r="AB102" s="541" t="n"/>
      <c r="AC102" s="383" t="n"/>
      <c r="AD102" s="383" t="n"/>
      <c r="AE102" s="383" t="n"/>
      <c r="AF102" s="383" t="n"/>
      <c r="AG102" s="383" t="n"/>
      <c r="AH102" s="383" t="n"/>
      <c r="AI102" s="383" t="n"/>
      <c r="AJ102" s="563" t="inlineStr">
        <is>
          <t>Net Revenue/Average Headcount</t>
        </is>
      </c>
      <c r="AK102" s="561" t="n"/>
      <c r="AL102" s="560" t="n"/>
      <c r="AM102" s="564">
        <f>(SUM(AB98:AM98)/(AM101))</f>
        <v/>
      </c>
      <c r="AN102" s="541" t="n"/>
      <c r="AO102" s="383" t="n"/>
      <c r="AP102" s="383" t="n"/>
      <c r="AQ102" s="383" t="n"/>
      <c r="AR102" s="383" t="n"/>
      <c r="AS102" s="383" t="n"/>
      <c r="AT102" s="383" t="n"/>
      <c r="AU102" s="383" t="n"/>
      <c r="AV102" s="563" t="inlineStr">
        <is>
          <t>Net Revenue/Average Headcount</t>
        </is>
      </c>
      <c r="AW102" s="561" t="n"/>
      <c r="AX102" s="560" t="n"/>
      <c r="AY102" s="564">
        <f>(SUM(AN98:AY98)/(AY101))</f>
        <v/>
      </c>
      <c r="AZ102" s="541" t="n"/>
      <c r="BA102" s="383" t="n"/>
      <c r="BB102" s="383" t="n"/>
      <c r="BC102" s="383" t="n"/>
      <c r="BD102" s="383" t="n"/>
      <c r="BE102" s="383" t="n"/>
      <c r="BF102" s="383" t="n"/>
      <c r="BG102" s="383" t="n"/>
      <c r="BH102" s="563" t="inlineStr">
        <is>
          <t>Net Revenue/Average Headcount</t>
        </is>
      </c>
      <c r="BI102" s="561" t="n"/>
      <c r="BJ102" s="560" t="n"/>
      <c r="BK102" s="564">
        <f>(SUM(AZ98:BK98)/(BK101))</f>
        <v/>
      </c>
      <c r="BL102" s="541" t="n"/>
      <c r="BM102" s="383" t="n"/>
      <c r="BN102" s="383" t="n"/>
      <c r="BO102" s="383" t="n"/>
      <c r="BP102" s="383" t="n"/>
      <c r="BQ102" s="383" t="n"/>
      <c r="BR102" s="383" t="n"/>
      <c r="BS102" s="383" t="n"/>
      <c r="BT102" s="563" t="inlineStr">
        <is>
          <t>Net Revenue/Average Headcount</t>
        </is>
      </c>
      <c r="BU102" s="561" t="n"/>
      <c r="BV102" s="560" t="n"/>
      <c r="BW102" s="564">
        <f>(SUM(BL98:BW98)/(BW101))</f>
        <v/>
      </c>
      <c r="BX102" s="383" t="n"/>
      <c r="BY102" s="383" t="n"/>
      <c r="BZ102" s="383" t="n"/>
      <c r="CA102" s="383" t="n"/>
      <c r="CB102" s="383" t="n"/>
      <c r="CC102" s="383" t="n"/>
      <c r="CD102" s="383" t="n"/>
      <c r="CE102" s="383" t="n"/>
      <c r="CF102" s="383" t="n"/>
      <c r="CG102" s="383" t="n"/>
      <c r="CH102" s="383" t="n"/>
      <c r="CI102" s="383" t="n"/>
      <c r="CJ102" s="383" t="n"/>
      <c r="CK102" s="383" t="n"/>
      <c r="CL102" s="383" t="n"/>
      <c r="CM102" s="383" t="n"/>
      <c r="CN102" s="383" t="n"/>
      <c r="CO102" s="383" t="n"/>
      <c r="CP102" s="383" t="n"/>
      <c r="CQ102" s="383" t="n"/>
      <c r="CR102" s="383" t="n"/>
      <c r="CS102" s="383" t="n"/>
      <c r="CT102" s="383" t="n"/>
      <c r="CU102" s="383" t="n"/>
      <c r="CV102" s="383" t="n"/>
      <c r="CW102" s="383" t="n"/>
      <c r="CX102" s="383" t="n"/>
      <c r="CY102" s="383" t="n"/>
      <c r="CZ102" s="383" t="n"/>
      <c r="DA102" s="383" t="n"/>
      <c r="DB102" s="383" t="n"/>
      <c r="DC102" s="383" t="n"/>
      <c r="DD102" s="383" t="n"/>
      <c r="DE102" s="383" t="n"/>
      <c r="DF102" s="383" t="n"/>
      <c r="DG102" s="383" t="n"/>
      <c r="DH102" s="383" t="n"/>
      <c r="DI102" s="383" t="n"/>
      <c r="DJ102" s="383" t="n"/>
      <c r="DK102" s="383" t="n"/>
      <c r="DL102" s="383" t="n"/>
      <c r="DM102" s="383" t="n"/>
      <c r="DN102" s="383" t="n"/>
      <c r="DO102" s="383" t="n"/>
      <c r="DP102" s="383" t="n"/>
      <c r="DQ102" s="383" t="n"/>
      <c r="DR102" s="383" t="n"/>
      <c r="DS102" s="383" t="n"/>
      <c r="DT102" s="383" t="n"/>
      <c r="DU102" s="383" t="n"/>
      <c r="DV102" s="383" t="n"/>
      <c r="DW102" s="383" t="n"/>
      <c r="DX102" s="383" t="n"/>
      <c r="DY102" s="383" t="n"/>
      <c r="DZ102" s="383" t="n"/>
      <c r="EA102" s="383" t="n"/>
      <c r="EB102" s="383" t="n"/>
      <c r="EC102" s="383" t="n"/>
      <c r="ED102" s="383" t="n"/>
      <c r="EE102" s="383" t="n"/>
      <c r="EF102" s="383" t="n"/>
      <c r="EG102" s="383" t="n"/>
      <c r="EH102" s="383" t="n"/>
      <c r="EI102" s="383" t="n"/>
      <c r="EJ102" s="383" t="n"/>
      <c r="EK102" s="383" t="n"/>
      <c r="EL102" s="383" t="n"/>
      <c r="EM102" s="383" t="n"/>
      <c r="EN102" s="383" t="n"/>
      <c r="EO102" s="383" t="n"/>
      <c r="EP102" s="383" t="n"/>
      <c r="EQ102" s="383" t="n"/>
      <c r="ER102" s="383" t="n"/>
      <c r="ES102" s="383" t="n"/>
      <c r="ET102" s="383" t="n"/>
      <c r="EU102" s="383" t="n"/>
      <c r="EV102" s="383" t="n"/>
      <c r="EW102" s="383" t="n"/>
      <c r="EX102" s="383" t="n"/>
      <c r="EY102" s="383" t="n"/>
      <c r="EZ102" s="383" t="n"/>
      <c r="FA102" s="383" t="n"/>
      <c r="FB102" s="383" t="n"/>
      <c r="FC102" s="383" t="n"/>
      <c r="FD102" s="383" t="n"/>
      <c r="FE102" s="383" t="n"/>
      <c r="FF102" s="383" t="n"/>
      <c r="FG102" s="383" t="n"/>
      <c r="FH102" s="383" t="n"/>
      <c r="FI102" s="383" t="n"/>
      <c r="FJ102" s="383" t="n"/>
      <c r="FK102" s="383" t="n"/>
      <c r="FL102" s="383" t="n"/>
      <c r="FM102" s="383" t="n"/>
      <c r="FN102" s="383" t="n"/>
      <c r="FO102" s="383" t="n"/>
      <c r="FP102" s="383" t="n"/>
      <c r="FQ102" s="383" t="n"/>
      <c r="FR102" s="383" t="n"/>
      <c r="FS102" s="383" t="n"/>
      <c r="FT102" s="383" t="n"/>
      <c r="FU102" s="383" t="n"/>
      <c r="FV102" s="383" t="n"/>
      <c r="FW102" s="383" t="n"/>
      <c r="FX102" s="383" t="n"/>
      <c r="FY102" s="383" t="n"/>
      <c r="FZ102" s="383" t="n"/>
      <c r="GA102" s="383" t="n"/>
      <c r="GB102" s="383" t="n"/>
      <c r="GC102" s="383" t="n"/>
      <c r="GD102" s="383" t="n"/>
      <c r="GE102" s="383" t="n"/>
      <c r="GF102" s="383" t="n"/>
      <c r="GG102" s="383" t="n"/>
      <c r="GH102" s="383" t="n"/>
      <c r="GI102" s="383" t="n"/>
      <c r="GJ102" s="383" t="n"/>
      <c r="GK102" s="383" t="n"/>
      <c r="GL102" s="383" t="n"/>
      <c r="GM102" s="383" t="n"/>
      <c r="GN102" s="383" t="n"/>
      <c r="GO102" s="383" t="n"/>
      <c r="GP102" s="383" t="n"/>
      <c r="GQ102" s="383" t="n"/>
      <c r="GR102" s="383" t="n"/>
      <c r="GS102" s="383" t="n"/>
      <c r="GT102" s="383" t="n"/>
      <c r="GU102" s="383" t="n"/>
      <c r="GV102" s="383" t="n"/>
      <c r="GW102" s="383" t="n"/>
      <c r="GX102" s="383" t="n"/>
      <c r="GY102" s="383" t="n"/>
    </row>
    <row r="103" ht="15" customHeight="1" s="1883">
      <c r="A103" s="383" t="n"/>
      <c r="B103" s="383" t="n"/>
      <c r="C103" s="383" t="n"/>
      <c r="D103" s="383" t="n"/>
      <c r="E103" s="383" t="n"/>
      <c r="F103" s="383" t="n"/>
      <c r="G103" s="383" t="n"/>
      <c r="H103" s="383" t="n"/>
      <c r="I103" s="383" t="n"/>
      <c r="J103" s="383" t="n"/>
      <c r="K103" s="462" t="n"/>
      <c r="L103" s="383" t="n"/>
      <c r="M103" s="383" t="n"/>
      <c r="N103" s="383" t="n"/>
      <c r="O103" s="383" t="n"/>
      <c r="P103" s="383" t="n"/>
      <c r="Q103" s="383" t="n"/>
      <c r="R103" s="383" t="n"/>
      <c r="S103" s="383" t="n"/>
      <c r="T103" s="383" t="n"/>
      <c r="U103" s="383" t="n"/>
      <c r="V103" s="383" t="n"/>
      <c r="W103" s="383" t="n"/>
      <c r="X103" s="385" t="n"/>
      <c r="Z103" s="383" t="n"/>
      <c r="AA103" s="396" t="n"/>
      <c r="AB103" s="541" t="n"/>
      <c r="AC103" s="383" t="n"/>
      <c r="AD103" s="383" t="n"/>
      <c r="AE103" s="383" t="n"/>
      <c r="AF103" s="383" t="n"/>
      <c r="AG103" s="383" t="n"/>
      <c r="AH103" s="383" t="n"/>
      <c r="AI103" s="383" t="n"/>
      <c r="AJ103" s="385" t="n"/>
      <c r="AL103" s="383" t="n"/>
      <c r="AM103" s="396" t="n"/>
      <c r="AN103" s="541" t="n"/>
      <c r="AO103" s="383" t="n"/>
      <c r="AP103" s="383" t="n"/>
      <c r="AQ103" s="383" t="n"/>
      <c r="AR103" s="383" t="n"/>
      <c r="AS103" s="383" t="n"/>
      <c r="AT103" s="383" t="n"/>
      <c r="AU103" s="383" t="n"/>
      <c r="AV103" s="385" t="n"/>
      <c r="AX103" s="383" t="n"/>
      <c r="AY103" s="396" t="n"/>
      <c r="AZ103" s="541" t="n"/>
      <c r="BA103" s="383" t="n"/>
      <c r="BB103" s="383" t="n"/>
      <c r="BC103" s="383" t="n"/>
      <c r="BD103" s="383" t="n"/>
      <c r="BE103" s="383" t="n"/>
      <c r="BF103" s="383" t="n"/>
      <c r="BG103" s="383" t="n"/>
      <c r="BH103" s="385" t="n"/>
      <c r="BJ103" s="383" t="n"/>
      <c r="BK103" s="396" t="n"/>
      <c r="BL103" s="541" t="n"/>
      <c r="BM103" s="383" t="n"/>
      <c r="BN103" s="383" t="n"/>
      <c r="BO103" s="383" t="n"/>
      <c r="BP103" s="383" t="n"/>
      <c r="BQ103" s="383" t="n"/>
      <c r="BR103" s="383" t="n"/>
      <c r="BS103" s="383" t="n"/>
      <c r="BT103" s="385" t="n"/>
      <c r="BV103" s="383" t="n"/>
      <c r="BW103" s="396" t="n"/>
      <c r="BX103" s="383" t="n"/>
      <c r="BY103" s="383" t="n"/>
      <c r="BZ103" s="383" t="n"/>
      <c r="CA103" s="383" t="n"/>
      <c r="CB103" s="383" t="n"/>
      <c r="CC103" s="383" t="n"/>
      <c r="CD103" s="383" t="n"/>
      <c r="CE103" s="383" t="n"/>
      <c r="CF103" s="383" t="n"/>
      <c r="CG103" s="383" t="n"/>
      <c r="CH103" s="383" t="n"/>
      <c r="CI103" s="383" t="n"/>
      <c r="CJ103" s="383" t="n"/>
      <c r="CK103" s="383" t="n"/>
      <c r="CL103" s="383" t="n"/>
      <c r="CM103" s="383" t="n"/>
      <c r="CN103" s="383" t="n"/>
      <c r="CO103" s="383" t="n"/>
      <c r="CP103" s="383" t="n"/>
      <c r="CQ103" s="383" t="n"/>
      <c r="CR103" s="383" t="n"/>
      <c r="CS103" s="383" t="n"/>
      <c r="CT103" s="383" t="n"/>
      <c r="CU103" s="383" t="n"/>
      <c r="CV103" s="383" t="n"/>
      <c r="CW103" s="383" t="n"/>
      <c r="CX103" s="383" t="n"/>
      <c r="CY103" s="383" t="n"/>
      <c r="CZ103" s="383" t="n"/>
      <c r="DA103" s="383" t="n"/>
      <c r="DB103" s="383" t="n"/>
      <c r="DC103" s="383" t="n"/>
      <c r="DD103" s="383" t="n"/>
      <c r="DE103" s="383" t="n"/>
      <c r="DF103" s="383" t="n"/>
      <c r="DG103" s="383" t="n"/>
      <c r="DH103" s="383" t="n"/>
      <c r="DI103" s="383" t="n"/>
      <c r="DJ103" s="383" t="n"/>
      <c r="DK103" s="383" t="n"/>
      <c r="DL103" s="383" t="n"/>
      <c r="DM103" s="383" t="n"/>
      <c r="DN103" s="383" t="n"/>
      <c r="DO103" s="383" t="n"/>
      <c r="DP103" s="383" t="n"/>
      <c r="DQ103" s="383" t="n"/>
      <c r="DR103" s="383" t="n"/>
      <c r="DS103" s="383" t="n"/>
      <c r="DT103" s="383" t="n"/>
      <c r="DU103" s="383" t="n"/>
      <c r="DV103" s="383" t="n"/>
      <c r="DW103" s="383" t="n"/>
      <c r="DX103" s="383" t="n"/>
      <c r="DY103" s="383" t="n"/>
      <c r="DZ103" s="383" t="n"/>
      <c r="EA103" s="383" t="n"/>
      <c r="EB103" s="383" t="n"/>
      <c r="EC103" s="383" t="n"/>
      <c r="ED103" s="383" t="n"/>
      <c r="EE103" s="383" t="n"/>
      <c r="EF103" s="383" t="n"/>
      <c r="EG103" s="383" t="n"/>
      <c r="EH103" s="383" t="n"/>
      <c r="EI103" s="383" t="n"/>
      <c r="EJ103" s="383" t="n"/>
      <c r="EK103" s="383" t="n"/>
      <c r="EL103" s="383" t="n"/>
      <c r="EM103" s="383" t="n"/>
      <c r="EN103" s="383" t="n"/>
      <c r="EO103" s="383" t="n"/>
      <c r="EP103" s="383" t="n"/>
      <c r="EQ103" s="383" t="n"/>
      <c r="ER103" s="383" t="n"/>
      <c r="ES103" s="383" t="n"/>
      <c r="ET103" s="383" t="n"/>
      <c r="EU103" s="383" t="n"/>
      <c r="EV103" s="383" t="n"/>
      <c r="EW103" s="383" t="n"/>
      <c r="EX103" s="383" t="n"/>
      <c r="EY103" s="383" t="n"/>
      <c r="EZ103" s="383" t="n"/>
      <c r="FA103" s="383" t="n"/>
      <c r="FB103" s="383" t="n"/>
      <c r="FC103" s="383" t="n"/>
      <c r="FD103" s="383" t="n"/>
      <c r="FE103" s="383" t="n"/>
      <c r="FF103" s="383" t="n"/>
      <c r="FG103" s="383" t="n"/>
      <c r="FH103" s="383" t="n"/>
      <c r="FI103" s="383" t="n"/>
      <c r="FJ103" s="383" t="n"/>
      <c r="FK103" s="383" t="n"/>
      <c r="FL103" s="383" t="n"/>
      <c r="FM103" s="383" t="n"/>
      <c r="FN103" s="383" t="n"/>
      <c r="FO103" s="383" t="n"/>
      <c r="FP103" s="383" t="n"/>
      <c r="FQ103" s="383" t="n"/>
      <c r="FR103" s="383" t="n"/>
      <c r="FS103" s="383" t="n"/>
      <c r="FT103" s="383" t="n"/>
      <c r="FU103" s="383" t="n"/>
      <c r="FV103" s="383" t="n"/>
      <c r="FW103" s="383" t="n"/>
      <c r="FX103" s="383" t="n"/>
      <c r="FY103" s="383" t="n"/>
      <c r="FZ103" s="383" t="n"/>
      <c r="GA103" s="383" t="n"/>
      <c r="GB103" s="383" t="n"/>
      <c r="GC103" s="383" t="n"/>
      <c r="GD103" s="383" t="n"/>
      <c r="GE103" s="383" t="n"/>
      <c r="GF103" s="383" t="n"/>
      <c r="GG103" s="383" t="n"/>
      <c r="GH103" s="383" t="n"/>
      <c r="GI103" s="383" t="n"/>
      <c r="GJ103" s="383" t="n"/>
      <c r="GK103" s="383" t="n"/>
      <c r="GL103" s="383" t="n"/>
      <c r="GM103" s="383" t="n"/>
      <c r="GN103" s="383" t="n"/>
      <c r="GO103" s="383" t="n"/>
      <c r="GP103" s="383" t="n"/>
      <c r="GQ103" s="383" t="n"/>
      <c r="GR103" s="383" t="n"/>
      <c r="GS103" s="383" t="n"/>
      <c r="GT103" s="383" t="n"/>
      <c r="GU103" s="383" t="n"/>
      <c r="GV103" s="383" t="n"/>
      <c r="GW103" s="383" t="n"/>
      <c r="GX103" s="383" t="n"/>
      <c r="GY103" s="383" t="n"/>
    </row>
    <row r="104" ht="15" customHeight="1" s="1883">
      <c r="A104" s="383" t="n"/>
      <c r="B104" s="383" t="n"/>
      <c r="C104" s="383" t="n"/>
      <c r="D104" s="383" t="n"/>
      <c r="E104" s="383" t="n"/>
      <c r="F104" s="383" t="n"/>
      <c r="G104" s="383" t="n"/>
      <c r="H104" s="383" t="n"/>
      <c r="I104" s="383" t="n"/>
      <c r="J104" s="383" t="n"/>
      <c r="K104" s="462" t="n"/>
      <c r="L104" s="383" t="n"/>
      <c r="M104" s="383" t="n"/>
      <c r="N104" s="383" t="n"/>
      <c r="O104" s="383" t="n"/>
      <c r="P104" s="383" t="n"/>
      <c r="Q104" s="383" t="n"/>
      <c r="R104" s="383" t="n"/>
      <c r="S104" s="383" t="n"/>
      <c r="T104" s="383" t="n"/>
      <c r="U104" s="383" t="n"/>
      <c r="V104" s="383" t="n"/>
      <c r="W104" s="383" t="n"/>
      <c r="X104" s="383" t="n"/>
      <c r="Y104" s="383" t="n"/>
      <c r="Z104" s="383" t="n"/>
      <c r="AA104" s="383" t="n"/>
      <c r="AB104" s="541" t="n"/>
      <c r="AC104" s="383" t="n"/>
      <c r="AD104" s="383" t="n"/>
      <c r="AE104" s="383" t="n"/>
      <c r="AF104" s="383" t="n"/>
      <c r="AG104" s="383" t="n"/>
      <c r="AH104" s="383" t="n"/>
      <c r="AI104" s="383" t="n"/>
      <c r="AJ104" s="383" t="n"/>
      <c r="AK104" s="383" t="n"/>
      <c r="AL104" s="383" t="n"/>
      <c r="AM104" s="383" t="n"/>
      <c r="AN104" s="541" t="n"/>
      <c r="AO104" s="383" t="n"/>
      <c r="AP104" s="383" t="n"/>
      <c r="AQ104" s="383" t="n"/>
      <c r="AR104" s="383" t="n"/>
      <c r="AS104" s="383" t="n"/>
      <c r="AT104" s="383" t="n"/>
      <c r="AU104" s="383" t="n"/>
      <c r="AV104" s="383" t="n"/>
      <c r="AW104" s="383" t="n"/>
      <c r="AX104" s="383" t="n"/>
      <c r="AY104" s="383" t="n"/>
      <c r="AZ104" s="541" t="n"/>
      <c r="BA104" s="383" t="n"/>
      <c r="BB104" s="383" t="n"/>
      <c r="BC104" s="383" t="n"/>
      <c r="BD104" s="383" t="n"/>
      <c r="BE104" s="383" t="n"/>
      <c r="BF104" s="383" t="n"/>
      <c r="BG104" s="383" t="n"/>
      <c r="BH104" s="383" t="n"/>
      <c r="BI104" s="383" t="n"/>
      <c r="BJ104" s="383" t="n"/>
      <c r="BK104" s="383" t="n"/>
      <c r="BL104" s="541" t="n"/>
      <c r="BM104" s="383" t="n"/>
      <c r="BN104" s="383" t="n"/>
      <c r="BO104" s="383" t="n"/>
      <c r="BP104" s="383" t="n"/>
      <c r="BQ104" s="383" t="n"/>
      <c r="BR104" s="383" t="n"/>
      <c r="BS104" s="383" t="n"/>
      <c r="BT104" s="383" t="n"/>
      <c r="BU104" s="383" t="n"/>
      <c r="BV104" s="383" t="n"/>
      <c r="BW104" s="383" t="n"/>
      <c r="BX104" s="383" t="n"/>
      <c r="BY104" s="383" t="n"/>
      <c r="BZ104" s="383" t="n"/>
      <c r="CA104" s="383" t="n"/>
      <c r="CB104" s="383" t="n"/>
      <c r="CC104" s="383" t="n"/>
      <c r="CD104" s="383" t="n"/>
      <c r="CE104" s="383" t="n"/>
      <c r="CF104" s="383" t="n"/>
      <c r="CG104" s="383" t="n"/>
      <c r="CH104" s="383" t="n"/>
      <c r="CI104" s="383" t="n"/>
      <c r="CJ104" s="383" t="n"/>
      <c r="CK104" s="383" t="n"/>
      <c r="CL104" s="383" t="n"/>
      <c r="CM104" s="383" t="n"/>
      <c r="CN104" s="383" t="n"/>
      <c r="CO104" s="383" t="n"/>
      <c r="CP104" s="383" t="n"/>
      <c r="CQ104" s="383" t="n"/>
      <c r="CR104" s="383" t="n"/>
      <c r="CS104" s="383" t="n"/>
      <c r="CT104" s="383" t="n"/>
      <c r="CU104" s="383" t="n"/>
      <c r="CV104" s="383" t="n"/>
      <c r="CW104" s="383" t="n"/>
      <c r="CX104" s="383" t="n"/>
      <c r="CY104" s="383" t="n"/>
      <c r="CZ104" s="383" t="n"/>
      <c r="DA104" s="383" t="n"/>
      <c r="DB104" s="383" t="n"/>
      <c r="DC104" s="383" t="n"/>
      <c r="DD104" s="383" t="n"/>
      <c r="DE104" s="383" t="n"/>
      <c r="DF104" s="383" t="n"/>
      <c r="DG104" s="383" t="n"/>
      <c r="DH104" s="383" t="n"/>
      <c r="DI104" s="383" t="n"/>
      <c r="DJ104" s="383" t="n"/>
      <c r="DK104" s="383" t="n"/>
      <c r="DL104" s="383" t="n"/>
      <c r="DM104" s="383" t="n"/>
      <c r="DN104" s="383" t="n"/>
      <c r="DO104" s="383" t="n"/>
      <c r="DP104" s="383" t="n"/>
      <c r="DQ104" s="383" t="n"/>
      <c r="DR104" s="383" t="n"/>
      <c r="DS104" s="383" t="n"/>
      <c r="DT104" s="383" t="n"/>
      <c r="DU104" s="383" t="n"/>
      <c r="DV104" s="383" t="n"/>
      <c r="DW104" s="383" t="n"/>
      <c r="DX104" s="383" t="n"/>
      <c r="DY104" s="383" t="n"/>
      <c r="DZ104" s="383" t="n"/>
      <c r="EA104" s="383" t="n"/>
      <c r="EB104" s="383" t="n"/>
      <c r="EC104" s="383" t="n"/>
      <c r="ED104" s="383" t="n"/>
      <c r="EE104" s="383" t="n"/>
      <c r="EF104" s="383" t="n"/>
      <c r="EG104" s="383" t="n"/>
      <c r="EH104" s="383" t="n"/>
      <c r="EI104" s="383" t="n"/>
      <c r="EJ104" s="383" t="n"/>
      <c r="EK104" s="383" t="n"/>
      <c r="EL104" s="383" t="n"/>
      <c r="EM104" s="383" t="n"/>
      <c r="EN104" s="383" t="n"/>
      <c r="EO104" s="383" t="n"/>
      <c r="EP104" s="383" t="n"/>
      <c r="EQ104" s="383" t="n"/>
      <c r="ER104" s="383" t="n"/>
      <c r="ES104" s="383" t="n"/>
      <c r="ET104" s="383" t="n"/>
      <c r="EU104" s="383" t="n"/>
      <c r="EV104" s="383" t="n"/>
      <c r="EW104" s="383" t="n"/>
      <c r="EX104" s="383" t="n"/>
      <c r="EY104" s="383" t="n"/>
      <c r="EZ104" s="383" t="n"/>
      <c r="FA104" s="383" t="n"/>
      <c r="FB104" s="383" t="n"/>
      <c r="FC104" s="383" t="n"/>
      <c r="FD104" s="383" t="n"/>
      <c r="FE104" s="383" t="n"/>
      <c r="FF104" s="383" t="n"/>
      <c r="FG104" s="383" t="n"/>
      <c r="FH104" s="383" t="n"/>
      <c r="FI104" s="383" t="n"/>
      <c r="FJ104" s="383" t="n"/>
      <c r="FK104" s="383" t="n"/>
      <c r="FL104" s="383" t="n"/>
      <c r="FM104" s="383" t="n"/>
      <c r="FN104" s="383" t="n"/>
      <c r="FO104" s="383" t="n"/>
      <c r="FP104" s="383" t="n"/>
      <c r="FQ104" s="383" t="n"/>
      <c r="FR104" s="383" t="n"/>
      <c r="FS104" s="383" t="n"/>
      <c r="FT104" s="383" t="n"/>
      <c r="FU104" s="383" t="n"/>
      <c r="FV104" s="383" t="n"/>
      <c r="FW104" s="383" t="n"/>
      <c r="FX104" s="383" t="n"/>
      <c r="FY104" s="383" t="n"/>
      <c r="FZ104" s="383" t="n"/>
      <c r="GA104" s="383" t="n"/>
      <c r="GB104" s="383" t="n"/>
      <c r="GC104" s="383" t="n"/>
      <c r="GD104" s="383" t="n"/>
      <c r="GE104" s="383" t="n"/>
      <c r="GF104" s="383" t="n"/>
      <c r="GG104" s="383" t="n"/>
      <c r="GH104" s="383" t="n"/>
      <c r="GI104" s="383" t="n"/>
      <c r="GJ104" s="383" t="n"/>
      <c r="GK104" s="383" t="n"/>
      <c r="GL104" s="383" t="n"/>
      <c r="GM104" s="383" t="n"/>
      <c r="GN104" s="383" t="n"/>
      <c r="GO104" s="383" t="n"/>
      <c r="GP104" s="383" t="n"/>
      <c r="GQ104" s="383" t="n"/>
      <c r="GR104" s="383" t="n"/>
      <c r="GS104" s="383" t="n"/>
      <c r="GT104" s="383" t="n"/>
      <c r="GU104" s="383" t="n"/>
      <c r="GV104" s="383" t="n"/>
      <c r="GW104" s="383" t="n"/>
      <c r="GX104" s="383" t="n"/>
      <c r="GY104" s="383" t="n"/>
    </row>
    <row r="105" ht="15" customHeight="1" s="1883">
      <c r="A105" s="383" t="n"/>
      <c r="B105" s="383" t="n"/>
      <c r="C105" s="383" t="n"/>
      <c r="D105" s="383" t="n"/>
      <c r="E105" s="383" t="n"/>
      <c r="F105" s="383" t="n"/>
      <c r="G105" s="383" t="n"/>
      <c r="H105" s="383" t="n"/>
      <c r="I105" s="383" t="n"/>
      <c r="J105" s="383" t="n"/>
      <c r="K105" s="462" t="n"/>
      <c r="L105" s="383" t="n"/>
      <c r="M105" s="383" t="n"/>
      <c r="N105" s="383" t="n"/>
      <c r="O105" s="383" t="n"/>
      <c r="P105" s="383" t="n"/>
      <c r="Q105" s="383" t="n"/>
      <c r="R105" s="383" t="n"/>
      <c r="S105" s="383" t="n"/>
      <c r="T105" s="383" t="n"/>
      <c r="U105" s="383" t="n"/>
      <c r="V105" s="383" t="n"/>
      <c r="W105" s="383" t="n"/>
      <c r="X105" s="383" t="n"/>
      <c r="Y105" s="383" t="n"/>
      <c r="Z105" s="383" t="n"/>
      <c r="AA105" s="383" t="n"/>
      <c r="AB105" s="541" t="n"/>
      <c r="AC105" s="383" t="n"/>
      <c r="AD105" s="383" t="n"/>
      <c r="AE105" s="383" t="n"/>
      <c r="AF105" s="383" t="n"/>
      <c r="AG105" s="383" t="n"/>
      <c r="AH105" s="383" t="n"/>
      <c r="AI105" s="383" t="n"/>
      <c r="AJ105" s="383" t="n"/>
      <c r="AK105" s="383" t="n"/>
      <c r="AL105" s="383" t="n"/>
      <c r="AM105" s="383" t="n"/>
      <c r="AN105" s="541" t="n"/>
      <c r="AO105" s="383" t="n"/>
      <c r="AP105" s="383" t="n"/>
      <c r="AQ105" s="383" t="n"/>
      <c r="AR105" s="383" t="n"/>
      <c r="AS105" s="383" t="n"/>
      <c r="AT105" s="383" t="n"/>
      <c r="AU105" s="383" t="n"/>
      <c r="AV105" s="383" t="n"/>
      <c r="AW105" s="383" t="n"/>
      <c r="AX105" s="383" t="n"/>
      <c r="AY105" s="383" t="n"/>
      <c r="AZ105" s="541" t="n"/>
      <c r="BA105" s="383" t="n"/>
      <c r="BB105" s="383" t="n"/>
      <c r="BC105" s="383" t="n"/>
      <c r="BD105" s="383" t="n"/>
      <c r="BE105" s="383" t="n"/>
      <c r="BF105" s="383" t="n"/>
      <c r="BG105" s="383" t="n"/>
      <c r="BH105" s="383" t="n"/>
      <c r="BI105" s="383" t="n"/>
      <c r="BJ105" s="383" t="n"/>
      <c r="BK105" s="383" t="n"/>
      <c r="BL105" s="541" t="n"/>
      <c r="BM105" s="383" t="n"/>
      <c r="BN105" s="383" t="n"/>
      <c r="BO105" s="383" t="n"/>
      <c r="BP105" s="383" t="n"/>
      <c r="BQ105" s="383" t="n"/>
      <c r="BR105" s="383" t="n"/>
      <c r="BS105" s="383" t="n"/>
      <c r="BT105" s="383" t="n"/>
      <c r="BU105" s="383" t="n"/>
      <c r="BV105" s="383" t="n"/>
      <c r="BW105" s="383" t="n"/>
      <c r="BX105" s="383" t="n"/>
      <c r="BY105" s="383" t="n"/>
      <c r="BZ105" s="383" t="n"/>
      <c r="CA105" s="383" t="n"/>
      <c r="CB105" s="383" t="n"/>
      <c r="CC105" s="383" t="n"/>
      <c r="CD105" s="383" t="n"/>
      <c r="CE105" s="383" t="n"/>
      <c r="CF105" s="383" t="n"/>
      <c r="CG105" s="383" t="n"/>
      <c r="CH105" s="383" t="n"/>
      <c r="CI105" s="383" t="n"/>
      <c r="CJ105" s="383" t="n"/>
      <c r="CK105" s="383" t="n"/>
      <c r="CL105" s="383" t="n"/>
      <c r="CM105" s="383" t="n"/>
      <c r="CN105" s="383" t="n"/>
      <c r="CO105" s="383" t="n"/>
      <c r="CP105" s="383" t="n"/>
      <c r="CQ105" s="383" t="n"/>
      <c r="CR105" s="383" t="n"/>
      <c r="CS105" s="383" t="n"/>
      <c r="CT105" s="383" t="n"/>
      <c r="CU105" s="383" t="n"/>
      <c r="CV105" s="383" t="n"/>
      <c r="CW105" s="383" t="n"/>
      <c r="CX105" s="383" t="n"/>
      <c r="CY105" s="383" t="n"/>
      <c r="CZ105" s="383" t="n"/>
      <c r="DA105" s="383" t="n"/>
      <c r="DB105" s="383" t="n"/>
      <c r="DC105" s="383" t="n"/>
      <c r="DD105" s="383" t="n"/>
      <c r="DE105" s="383" t="n"/>
      <c r="DF105" s="383" t="n"/>
      <c r="DG105" s="383" t="n"/>
      <c r="DH105" s="383" t="n"/>
      <c r="DI105" s="383" t="n"/>
      <c r="DJ105" s="383" t="n"/>
      <c r="DK105" s="383" t="n"/>
      <c r="DL105" s="383" t="n"/>
      <c r="DM105" s="383" t="n"/>
      <c r="DN105" s="383" t="n"/>
      <c r="DO105" s="383" t="n"/>
      <c r="DP105" s="383" t="n"/>
      <c r="DQ105" s="383" t="n"/>
      <c r="DR105" s="383" t="n"/>
      <c r="DS105" s="383" t="n"/>
      <c r="DT105" s="383" t="n"/>
      <c r="DU105" s="383" t="n"/>
      <c r="DV105" s="383" t="n"/>
      <c r="DW105" s="383" t="n"/>
      <c r="DX105" s="383" t="n"/>
      <c r="DY105" s="383" t="n"/>
      <c r="DZ105" s="383" t="n"/>
      <c r="EA105" s="383" t="n"/>
      <c r="EB105" s="383" t="n"/>
      <c r="EC105" s="383" t="n"/>
      <c r="ED105" s="383" t="n"/>
      <c r="EE105" s="383" t="n"/>
      <c r="EF105" s="383" t="n"/>
      <c r="EG105" s="383" t="n"/>
      <c r="EH105" s="383" t="n"/>
      <c r="EI105" s="383" t="n"/>
      <c r="EJ105" s="383" t="n"/>
      <c r="EK105" s="383" t="n"/>
      <c r="EL105" s="383" t="n"/>
      <c r="EM105" s="383" t="n"/>
      <c r="EN105" s="383" t="n"/>
      <c r="EO105" s="383" t="n"/>
      <c r="EP105" s="383" t="n"/>
      <c r="EQ105" s="383" t="n"/>
      <c r="ER105" s="383" t="n"/>
      <c r="ES105" s="383" t="n"/>
      <c r="ET105" s="383" t="n"/>
      <c r="EU105" s="383" t="n"/>
      <c r="EV105" s="383" t="n"/>
      <c r="EW105" s="383" t="n"/>
      <c r="EX105" s="383" t="n"/>
      <c r="EY105" s="383" t="n"/>
      <c r="EZ105" s="383" t="n"/>
      <c r="FA105" s="383" t="n"/>
      <c r="FB105" s="383" t="n"/>
      <c r="FC105" s="383" t="n"/>
      <c r="FD105" s="383" t="n"/>
      <c r="FE105" s="383" t="n"/>
      <c r="FF105" s="383" t="n"/>
      <c r="FG105" s="383" t="n"/>
      <c r="FH105" s="383" t="n"/>
      <c r="FI105" s="383" t="n"/>
      <c r="FJ105" s="383" t="n"/>
      <c r="FK105" s="383" t="n"/>
      <c r="FL105" s="383" t="n"/>
      <c r="FM105" s="383" t="n"/>
      <c r="FN105" s="383" t="n"/>
      <c r="FO105" s="383" t="n"/>
      <c r="FP105" s="383" t="n"/>
      <c r="FQ105" s="383" t="n"/>
      <c r="FR105" s="383" t="n"/>
      <c r="FS105" s="383" t="n"/>
      <c r="FT105" s="383" t="n"/>
      <c r="FU105" s="383" t="n"/>
      <c r="FV105" s="383" t="n"/>
      <c r="FW105" s="383" t="n"/>
      <c r="FX105" s="383" t="n"/>
      <c r="FY105" s="383" t="n"/>
      <c r="FZ105" s="383" t="n"/>
      <c r="GA105" s="383" t="n"/>
      <c r="GB105" s="383" t="n"/>
      <c r="GC105" s="383" t="n"/>
      <c r="GD105" s="383" t="n"/>
      <c r="GE105" s="383" t="n"/>
      <c r="GF105" s="383" t="n"/>
      <c r="GG105" s="383" t="n"/>
      <c r="GH105" s="383" t="n"/>
      <c r="GI105" s="383" t="n"/>
      <c r="GJ105" s="383" t="n"/>
      <c r="GK105" s="383" t="n"/>
      <c r="GL105" s="383" t="n"/>
      <c r="GM105" s="383" t="n"/>
      <c r="GN105" s="383" t="n"/>
      <c r="GO105" s="383" t="n"/>
      <c r="GP105" s="383" t="n"/>
      <c r="GQ105" s="383" t="n"/>
      <c r="GR105" s="383" t="n"/>
      <c r="GS105" s="383" t="n"/>
      <c r="GT105" s="383" t="n"/>
      <c r="GU105" s="383" t="n"/>
      <c r="GV105" s="383" t="n"/>
      <c r="GW105" s="383" t="n"/>
      <c r="GX105" s="383" t="n"/>
      <c r="GY105" s="383" t="n"/>
    </row>
    <row r="106" ht="15" customHeight="1" s="1883">
      <c r="A106" s="383" t="n"/>
      <c r="B106" s="383" t="n"/>
      <c r="C106" s="383" t="n"/>
      <c r="D106" s="383" t="n"/>
      <c r="E106" s="383" t="n"/>
      <c r="F106" s="383" t="n"/>
      <c r="G106" s="383" t="n"/>
      <c r="H106" s="383" t="n"/>
      <c r="I106" s="383" t="n"/>
      <c r="J106" s="383" t="n"/>
      <c r="K106" s="462" t="n"/>
      <c r="L106" s="383" t="n"/>
      <c r="M106" s="383" t="n"/>
      <c r="N106" s="383" t="n"/>
      <c r="O106" s="383" t="n"/>
      <c r="P106" s="383" t="n"/>
      <c r="Q106" s="383" t="n"/>
      <c r="R106" s="383" t="n"/>
      <c r="S106" s="383" t="n"/>
      <c r="T106" s="383" t="n"/>
      <c r="U106" s="383" t="n"/>
      <c r="V106" s="383" t="n"/>
      <c r="W106" s="383" t="n"/>
      <c r="X106" s="383" t="n"/>
      <c r="Y106" s="383" t="n"/>
      <c r="Z106" s="383" t="n"/>
      <c r="AA106" s="383" t="n"/>
      <c r="AB106" s="541" t="n"/>
      <c r="AC106" s="383" t="n"/>
      <c r="AD106" s="383" t="n"/>
      <c r="AE106" s="383" t="n"/>
      <c r="AF106" s="383" t="n"/>
      <c r="AG106" s="383" t="n"/>
      <c r="AH106" s="383" t="n"/>
      <c r="AI106" s="383" t="n"/>
      <c r="AJ106" s="383" t="n"/>
      <c r="AK106" s="383" t="n"/>
      <c r="AL106" s="383" t="n"/>
      <c r="AM106" s="383" t="n"/>
      <c r="AN106" s="541" t="n"/>
      <c r="AO106" s="383" t="n"/>
      <c r="AP106" s="383" t="n"/>
      <c r="AQ106" s="383" t="n"/>
      <c r="AR106" s="383" t="n"/>
      <c r="AS106" s="383" t="n"/>
      <c r="AT106" s="383" t="n"/>
      <c r="AU106" s="383" t="n"/>
      <c r="AV106" s="383" t="n"/>
      <c r="AW106" s="383" t="n"/>
      <c r="AX106" s="383" t="n"/>
      <c r="AY106" s="383" t="n"/>
      <c r="AZ106" s="541" t="n"/>
      <c r="BA106" s="383" t="n"/>
      <c r="BB106" s="383" t="n"/>
      <c r="BC106" s="383" t="n"/>
      <c r="BD106" s="383" t="n"/>
      <c r="BE106" s="383" t="n"/>
      <c r="BF106" s="383" t="n"/>
      <c r="BG106" s="383" t="n"/>
      <c r="BH106" s="383" t="n"/>
      <c r="BI106" s="383" t="n"/>
      <c r="BJ106" s="383" t="n"/>
      <c r="BK106" s="383" t="n"/>
      <c r="BL106" s="541" t="n"/>
      <c r="BM106" s="383" t="n"/>
      <c r="BN106" s="383" t="n"/>
      <c r="BO106" s="383" t="n"/>
      <c r="BP106" s="383" t="n"/>
      <c r="BQ106" s="383" t="n"/>
      <c r="BR106" s="383" t="n"/>
      <c r="BS106" s="383" t="n"/>
      <c r="BT106" s="383" t="n"/>
      <c r="BU106" s="383" t="n"/>
      <c r="BV106" s="383" t="n"/>
      <c r="BW106" s="383" t="n"/>
      <c r="BX106" s="383" t="n"/>
      <c r="BY106" s="383" t="n"/>
      <c r="BZ106" s="383" t="n"/>
      <c r="CA106" s="383" t="n"/>
      <c r="CB106" s="383" t="n"/>
      <c r="CC106" s="383" t="n"/>
      <c r="CD106" s="383" t="n"/>
      <c r="CE106" s="383" t="n"/>
      <c r="CF106" s="383" t="n"/>
      <c r="CG106" s="383" t="n"/>
      <c r="CH106" s="383" t="n"/>
      <c r="CI106" s="383" t="n"/>
      <c r="CJ106" s="383" t="n"/>
      <c r="CK106" s="383" t="n"/>
      <c r="CL106" s="383" t="n"/>
      <c r="CM106" s="383" t="n"/>
      <c r="CN106" s="383" t="n"/>
      <c r="CO106" s="383" t="n"/>
      <c r="CP106" s="383" t="n"/>
      <c r="CQ106" s="383" t="n"/>
      <c r="CR106" s="383" t="n"/>
      <c r="CS106" s="383" t="n"/>
      <c r="CT106" s="383" t="n"/>
      <c r="CU106" s="383" t="n"/>
      <c r="CV106" s="383" t="n"/>
      <c r="CW106" s="383" t="n"/>
      <c r="CX106" s="383" t="n"/>
      <c r="CY106" s="383" t="n"/>
      <c r="CZ106" s="383" t="n"/>
      <c r="DA106" s="383" t="n"/>
      <c r="DB106" s="383" t="n"/>
      <c r="DC106" s="383" t="n"/>
      <c r="DD106" s="383" t="n"/>
      <c r="DE106" s="383" t="n"/>
      <c r="DF106" s="383" t="n"/>
      <c r="DG106" s="383" t="n"/>
      <c r="DH106" s="383" t="n"/>
      <c r="DI106" s="383" t="n"/>
      <c r="DJ106" s="383" t="n"/>
      <c r="DK106" s="383" t="n"/>
      <c r="DL106" s="383" t="n"/>
      <c r="DM106" s="383" t="n"/>
      <c r="DN106" s="383" t="n"/>
      <c r="DO106" s="383" t="n"/>
      <c r="DP106" s="383" t="n"/>
      <c r="DQ106" s="383" t="n"/>
      <c r="DR106" s="383" t="n"/>
      <c r="DS106" s="383" t="n"/>
      <c r="DT106" s="383" t="n"/>
      <c r="DU106" s="383" t="n"/>
      <c r="DV106" s="383" t="n"/>
      <c r="DW106" s="383" t="n"/>
      <c r="DX106" s="383" t="n"/>
      <c r="DY106" s="383" t="n"/>
      <c r="DZ106" s="383" t="n"/>
      <c r="EA106" s="383" t="n"/>
      <c r="EB106" s="383" t="n"/>
      <c r="EC106" s="383" t="n"/>
      <c r="ED106" s="383" t="n"/>
      <c r="EE106" s="383" t="n"/>
      <c r="EF106" s="383" t="n"/>
      <c r="EG106" s="383" t="n"/>
      <c r="EH106" s="383" t="n"/>
      <c r="EI106" s="383" t="n"/>
      <c r="EJ106" s="383" t="n"/>
      <c r="EK106" s="383" t="n"/>
      <c r="EL106" s="383" t="n"/>
      <c r="EM106" s="383" t="n"/>
      <c r="EN106" s="383" t="n"/>
      <c r="EO106" s="383" t="n"/>
      <c r="EP106" s="383" t="n"/>
      <c r="EQ106" s="383" t="n"/>
      <c r="ER106" s="383" t="n"/>
      <c r="ES106" s="383" t="n"/>
      <c r="ET106" s="383" t="n"/>
      <c r="EU106" s="383" t="n"/>
      <c r="EV106" s="383" t="n"/>
      <c r="EW106" s="383" t="n"/>
      <c r="EX106" s="383" t="n"/>
      <c r="EY106" s="383" t="n"/>
      <c r="EZ106" s="383" t="n"/>
      <c r="FA106" s="383" t="n"/>
      <c r="FB106" s="383" t="n"/>
      <c r="FC106" s="383" t="n"/>
      <c r="FD106" s="383" t="n"/>
      <c r="FE106" s="383" t="n"/>
      <c r="FF106" s="383" t="n"/>
      <c r="FG106" s="383" t="n"/>
      <c r="FH106" s="383" t="n"/>
      <c r="FI106" s="383" t="n"/>
      <c r="FJ106" s="383" t="n"/>
      <c r="FK106" s="383" t="n"/>
      <c r="FL106" s="383" t="n"/>
      <c r="FM106" s="383" t="n"/>
      <c r="FN106" s="383" t="n"/>
      <c r="FO106" s="383" t="n"/>
      <c r="FP106" s="383" t="n"/>
      <c r="FQ106" s="383" t="n"/>
      <c r="FR106" s="383" t="n"/>
      <c r="FS106" s="383" t="n"/>
      <c r="FT106" s="383" t="n"/>
      <c r="FU106" s="383" t="n"/>
      <c r="FV106" s="383" t="n"/>
      <c r="FW106" s="383" t="n"/>
      <c r="FX106" s="383" t="n"/>
      <c r="FY106" s="383" t="n"/>
      <c r="FZ106" s="383" t="n"/>
      <c r="GA106" s="383" t="n"/>
      <c r="GB106" s="383" t="n"/>
      <c r="GC106" s="383" t="n"/>
      <c r="GD106" s="383" t="n"/>
      <c r="GE106" s="383" t="n"/>
      <c r="GF106" s="383" t="n"/>
      <c r="GG106" s="383" t="n"/>
      <c r="GH106" s="383" t="n"/>
      <c r="GI106" s="383" t="n"/>
      <c r="GJ106" s="383" t="n"/>
      <c r="GK106" s="383" t="n"/>
      <c r="GL106" s="383" t="n"/>
      <c r="GM106" s="383" t="n"/>
      <c r="GN106" s="383" t="n"/>
      <c r="GO106" s="383" t="n"/>
      <c r="GP106" s="383" t="n"/>
      <c r="GQ106" s="383" t="n"/>
      <c r="GR106" s="383" t="n"/>
      <c r="GS106" s="383" t="n"/>
      <c r="GT106" s="383" t="n"/>
      <c r="GU106" s="383" t="n"/>
      <c r="GV106" s="383" t="n"/>
      <c r="GW106" s="383" t="n"/>
      <c r="GX106" s="383" t="n"/>
      <c r="GY106" s="383" t="n"/>
    </row>
    <row r="107" ht="15" customHeight="1" s="1883">
      <c r="A107" s="383" t="n"/>
      <c r="B107" s="383" t="n"/>
      <c r="C107" s="383" t="n"/>
      <c r="D107" s="383" t="n"/>
      <c r="E107" s="383" t="n"/>
      <c r="F107" s="383" t="n"/>
      <c r="G107" s="383" t="n"/>
      <c r="H107" s="383" t="n"/>
      <c r="I107" s="383" t="n"/>
      <c r="J107" s="383" t="n"/>
      <c r="K107" s="462" t="n"/>
      <c r="L107" s="575" t="inlineStr">
        <is>
          <t xml:space="preserve">Employee Benefits </t>
        </is>
      </c>
      <c r="M107" s="575" t="n"/>
      <c r="N107" s="579" t="n">
        <v>0.17</v>
      </c>
      <c r="O107" s="576" t="n"/>
      <c r="P107" s="577">
        <f>((P83)*($N$107))</f>
        <v/>
      </c>
      <c r="Q107" s="577">
        <f>((Q83)*($N$107))</f>
        <v/>
      </c>
      <c r="R107" s="577">
        <f>((R83)*($N$107))</f>
        <v/>
      </c>
      <c r="S107" s="577">
        <f>((S83)*($N$107))</f>
        <v/>
      </c>
      <c r="T107" s="577">
        <f>((T83)*($N$107))</f>
        <v/>
      </c>
      <c r="U107" s="577">
        <f>((U83)*($N$107))</f>
        <v/>
      </c>
      <c r="V107" s="577">
        <f>((V83)*($N$107))</f>
        <v/>
      </c>
      <c r="W107" s="577">
        <f>((W83)*($N$107))</f>
        <v/>
      </c>
      <c r="X107" s="577">
        <f>((X83)*($N$107))</f>
        <v/>
      </c>
      <c r="Y107" s="577">
        <f>((Y83)*($N$107))</f>
        <v/>
      </c>
      <c r="Z107" s="577">
        <f>((Z83)*($N$107))</f>
        <v/>
      </c>
      <c r="AA107" s="577">
        <f>((AA83)*($N$107))</f>
        <v/>
      </c>
      <c r="AB107" s="578">
        <f>((AB83)*($N$107))</f>
        <v/>
      </c>
      <c r="AC107" s="577">
        <f>((AC83)*($N$107))</f>
        <v/>
      </c>
      <c r="AD107" s="577">
        <f>((AD83)*($N$107))</f>
        <v/>
      </c>
      <c r="AE107" s="577">
        <f>((AE83)*($N$107))</f>
        <v/>
      </c>
      <c r="AF107" s="577">
        <f>((AF83)*($N$107))</f>
        <v/>
      </c>
      <c r="AG107" s="577">
        <f>((AG83)*($N$107))</f>
        <v/>
      </c>
      <c r="AH107" s="577">
        <f>((AH83)*($N$107))</f>
        <v/>
      </c>
      <c r="AI107" s="577">
        <f>((AI83)*($N$107))</f>
        <v/>
      </c>
      <c r="AJ107" s="577">
        <f>((AJ83)*($N$107))</f>
        <v/>
      </c>
      <c r="AK107" s="577">
        <f>((AK83)*($N$107))</f>
        <v/>
      </c>
      <c r="AL107" s="577">
        <f>((AL83)*($N$107))</f>
        <v/>
      </c>
      <c r="AM107" s="577">
        <f>((AM83)*($N$107))</f>
        <v/>
      </c>
      <c r="AN107" s="578">
        <f>((AN83)*($N$107))</f>
        <v/>
      </c>
      <c r="AO107" s="577">
        <f>((AO83)*($N$107))</f>
        <v/>
      </c>
      <c r="AP107" s="577">
        <f>((AP83)*($N$107))</f>
        <v/>
      </c>
      <c r="AQ107" s="577">
        <f>((AQ83)*($N$107))</f>
        <v/>
      </c>
      <c r="AR107" s="577">
        <f>((AR83)*($N$107))</f>
        <v/>
      </c>
      <c r="AS107" s="577">
        <f>((AS83)*($N$107))</f>
        <v/>
      </c>
      <c r="AT107" s="577">
        <f>((AT83)*($N$107))</f>
        <v/>
      </c>
      <c r="AU107" s="577">
        <f>((AU83)*($N$107))</f>
        <v/>
      </c>
      <c r="AV107" s="577">
        <f>((AV83)*($N$107))</f>
        <v/>
      </c>
      <c r="AW107" s="577">
        <f>((AW83)*($N$107))</f>
        <v/>
      </c>
      <c r="AX107" s="577">
        <f>((AX83)*($N$107))</f>
        <v/>
      </c>
      <c r="AY107" s="577">
        <f>((AY83)*($N$107))</f>
        <v/>
      </c>
      <c r="AZ107" s="578">
        <f>((AZ83)*($N$107))</f>
        <v/>
      </c>
      <c r="BA107" s="577">
        <f>((BA83)*($N$107))</f>
        <v/>
      </c>
      <c r="BB107" s="577">
        <f>((BB83)*($N$107))</f>
        <v/>
      </c>
      <c r="BC107" s="577">
        <f>((BC83)*($N$107))</f>
        <v/>
      </c>
      <c r="BD107" s="577">
        <f>((BD83)*($N$107))</f>
        <v/>
      </c>
      <c r="BE107" s="577">
        <f>((BE83)*($N$107))</f>
        <v/>
      </c>
      <c r="BF107" s="577">
        <f>((BF83)*($N$107))</f>
        <v/>
      </c>
      <c r="BG107" s="577">
        <f>((BG83)*($N$107))</f>
        <v/>
      </c>
      <c r="BH107" s="577">
        <f>((BH83)*($N$107))</f>
        <v/>
      </c>
      <c r="BI107" s="577">
        <f>((BI83)*($N$107))</f>
        <v/>
      </c>
      <c r="BJ107" s="577">
        <f>((BJ83)*($N$107))</f>
        <v/>
      </c>
      <c r="BK107" s="577">
        <f>((BK83)*($N$107))</f>
        <v/>
      </c>
      <c r="BL107" s="578">
        <f>((BL83)*($N$107))</f>
        <v/>
      </c>
      <c r="BM107" s="577">
        <f>((BM83)*($N$107))</f>
        <v/>
      </c>
      <c r="BN107" s="577">
        <f>((BN83)*($N$107))</f>
        <v/>
      </c>
      <c r="BO107" s="577">
        <f>((BO83)*($N$107))</f>
        <v/>
      </c>
      <c r="BP107" s="577">
        <f>((BP83)*($N$107))</f>
        <v/>
      </c>
      <c r="BQ107" s="577">
        <f>((BQ83)*($N$107))</f>
        <v/>
      </c>
      <c r="BR107" s="577">
        <f>((BR83)*($N$107))</f>
        <v/>
      </c>
      <c r="BS107" s="577">
        <f>((BS83)*($N$107))</f>
        <v/>
      </c>
      <c r="BT107" s="577">
        <f>((BT83)*($N$107))</f>
        <v/>
      </c>
      <c r="BU107" s="577">
        <f>((BU83)*($N$107))</f>
        <v/>
      </c>
      <c r="BV107" s="577">
        <f>((BV83)*($N$107))</f>
        <v/>
      </c>
      <c r="BW107" s="577">
        <f>((BW83)*($N$107))</f>
        <v/>
      </c>
      <c r="BX107" s="383" t="n"/>
      <c r="BY107" s="383" t="n"/>
      <c r="BZ107" s="383" t="n"/>
      <c r="CA107" s="383" t="n"/>
      <c r="CB107" s="383" t="n"/>
      <c r="CC107" s="383" t="n"/>
      <c r="CD107" s="383" t="n"/>
      <c r="CE107" s="383" t="n"/>
      <c r="CF107" s="383" t="n"/>
      <c r="CG107" s="383" t="n"/>
      <c r="CH107" s="383" t="n"/>
      <c r="CI107" s="383" t="n"/>
      <c r="CJ107" s="383" t="n"/>
      <c r="CK107" s="383" t="n"/>
      <c r="CL107" s="383" t="n"/>
      <c r="CM107" s="383" t="n"/>
      <c r="CN107" s="383" t="n"/>
      <c r="CO107" s="383" t="n"/>
      <c r="CP107" s="383" t="n"/>
      <c r="CQ107" s="383" t="n"/>
      <c r="CR107" s="383" t="n"/>
      <c r="CS107" s="383" t="n"/>
      <c r="CT107" s="383" t="n"/>
      <c r="CU107" s="383" t="n"/>
      <c r="CV107" s="383" t="n"/>
      <c r="CW107" s="383" t="n"/>
      <c r="CX107" s="383" t="n"/>
      <c r="CY107" s="383" t="n"/>
      <c r="CZ107" s="383" t="n"/>
      <c r="DA107" s="383" t="n"/>
      <c r="DB107" s="383" t="n"/>
      <c r="DC107" s="383" t="n"/>
      <c r="DD107" s="383" t="n"/>
      <c r="DE107" s="383" t="n"/>
      <c r="DF107" s="383" t="n"/>
      <c r="DG107" s="383" t="n"/>
      <c r="DH107" s="383" t="n"/>
      <c r="DI107" s="383" t="n"/>
      <c r="DJ107" s="383" t="n"/>
      <c r="DK107" s="383" t="n"/>
      <c r="DL107" s="383" t="n"/>
      <c r="DM107" s="383" t="n"/>
      <c r="DN107" s="383" t="n"/>
      <c r="DO107" s="383" t="n"/>
      <c r="DP107" s="383" t="n"/>
      <c r="DQ107" s="383" t="n"/>
      <c r="DR107" s="383" t="n"/>
      <c r="DS107" s="383" t="n"/>
      <c r="DT107" s="383" t="n"/>
      <c r="DU107" s="383" t="n"/>
      <c r="DV107" s="383" t="n"/>
      <c r="DW107" s="383" t="n"/>
      <c r="DX107" s="383" t="n"/>
      <c r="DY107" s="383" t="n"/>
      <c r="DZ107" s="383" t="n"/>
      <c r="EA107" s="383" t="n"/>
      <c r="EB107" s="383" t="n"/>
      <c r="EC107" s="383" t="n"/>
      <c r="ED107" s="383" t="n"/>
      <c r="EE107" s="383" t="n"/>
      <c r="EF107" s="383" t="n"/>
      <c r="EG107" s="383" t="n"/>
      <c r="EH107" s="383" t="n"/>
      <c r="EI107" s="383" t="n"/>
      <c r="EJ107" s="383" t="n"/>
      <c r="EK107" s="383" t="n"/>
      <c r="EL107" s="383" t="n"/>
      <c r="EM107" s="383" t="n"/>
      <c r="EN107" s="383" t="n"/>
      <c r="EO107" s="383" t="n"/>
      <c r="EP107" s="383" t="n"/>
      <c r="EQ107" s="383" t="n"/>
      <c r="ER107" s="383" t="n"/>
      <c r="ES107" s="383" t="n"/>
      <c r="ET107" s="383" t="n"/>
      <c r="EU107" s="383" t="n"/>
      <c r="EV107" s="383" t="n"/>
      <c r="EW107" s="383" t="n"/>
      <c r="EX107" s="383" t="n"/>
      <c r="EY107" s="383" t="n"/>
      <c r="EZ107" s="383" t="n"/>
      <c r="FA107" s="383" t="n"/>
      <c r="FB107" s="383" t="n"/>
      <c r="FC107" s="383" t="n"/>
      <c r="FD107" s="383" t="n"/>
      <c r="FE107" s="383" t="n"/>
      <c r="FF107" s="383" t="n"/>
      <c r="FG107" s="383" t="n"/>
      <c r="FH107" s="383" t="n"/>
      <c r="FI107" s="383" t="n"/>
      <c r="FJ107" s="383" t="n"/>
      <c r="FK107" s="383" t="n"/>
      <c r="FL107" s="383" t="n"/>
      <c r="FM107" s="383" t="n"/>
      <c r="FN107" s="383" t="n"/>
      <c r="FO107" s="383" t="n"/>
      <c r="FP107" s="383" t="n"/>
      <c r="FQ107" s="383" t="n"/>
      <c r="FR107" s="383" t="n"/>
      <c r="FS107" s="383" t="n"/>
      <c r="FT107" s="383" t="n"/>
      <c r="FU107" s="383" t="n"/>
      <c r="FV107" s="383" t="n"/>
      <c r="FW107" s="383" t="n"/>
      <c r="FX107" s="383" t="n"/>
      <c r="FY107" s="383" t="n"/>
      <c r="FZ107" s="383" t="n"/>
      <c r="GA107" s="383" t="n"/>
      <c r="GB107" s="383" t="n"/>
      <c r="GC107" s="383" t="n"/>
      <c r="GD107" s="383" t="n"/>
      <c r="GE107" s="383" t="n"/>
      <c r="GF107" s="383" t="n"/>
      <c r="GG107" s="383" t="n"/>
      <c r="GH107" s="383" t="n"/>
      <c r="GI107" s="383" t="n"/>
      <c r="GJ107" s="383" t="n"/>
      <c r="GK107" s="383" t="n"/>
      <c r="GL107" s="383" t="n"/>
      <c r="GM107" s="383" t="n"/>
      <c r="GN107" s="383" t="n"/>
      <c r="GO107" s="383" t="n"/>
      <c r="GP107" s="383" t="n"/>
      <c r="GQ107" s="383" t="n"/>
      <c r="GR107" s="383" t="n"/>
      <c r="GS107" s="383" t="n"/>
      <c r="GT107" s="383" t="n"/>
      <c r="GU107" s="383" t="n"/>
      <c r="GV107" s="383" t="n"/>
      <c r="GW107" s="383" t="n"/>
      <c r="GX107" s="383" t="n"/>
      <c r="GY107" s="383" t="n"/>
    </row>
    <row r="108" ht="15" customHeight="1" s="1883">
      <c r="A108" s="383" t="n"/>
      <c r="B108" s="383" t="n"/>
      <c r="C108" s="383" t="n"/>
      <c r="D108" s="383" t="n"/>
      <c r="E108" s="383" t="n"/>
      <c r="F108" s="383" t="n"/>
      <c r="G108" s="383" t="n"/>
      <c r="H108" s="383" t="n"/>
      <c r="I108" s="383" t="n"/>
      <c r="J108" s="383" t="n"/>
      <c r="K108" s="462" t="n"/>
      <c r="L108" s="383" t="n"/>
      <c r="M108" s="383" t="n"/>
      <c r="N108" s="383" t="n"/>
      <c r="O108" s="383" t="n"/>
      <c r="P108" s="383" t="n"/>
      <c r="Q108" s="383" t="n"/>
      <c r="R108" s="383" t="n"/>
      <c r="S108" s="383" t="n"/>
      <c r="T108" s="383" t="n"/>
      <c r="U108" s="383" t="n"/>
      <c r="V108" s="383" t="n"/>
      <c r="W108" s="383" t="n"/>
      <c r="X108" s="383" t="n"/>
      <c r="Y108" s="383" t="n"/>
      <c r="Z108" s="383" t="n"/>
      <c r="AA108" s="383" t="n"/>
      <c r="AB108" s="541" t="n"/>
      <c r="AC108" s="383" t="n"/>
      <c r="AD108" s="383" t="n"/>
      <c r="AE108" s="383" t="n"/>
      <c r="AF108" s="383" t="n"/>
      <c r="AG108" s="383" t="n"/>
      <c r="AH108" s="383" t="n"/>
      <c r="AI108" s="383" t="n"/>
      <c r="AJ108" s="383" t="n"/>
      <c r="AK108" s="383" t="n"/>
      <c r="AL108" s="383" t="n"/>
      <c r="AM108" s="383" t="n"/>
      <c r="AN108" s="541" t="n"/>
      <c r="AO108" s="383" t="n"/>
      <c r="AP108" s="383" t="n"/>
      <c r="AQ108" s="383" t="n"/>
      <c r="AR108" s="383" t="n"/>
      <c r="AS108" s="383" t="n"/>
      <c r="AT108" s="383" t="n"/>
      <c r="AU108" s="383" t="n"/>
      <c r="AV108" s="383" t="n"/>
      <c r="AW108" s="383" t="n"/>
      <c r="AX108" s="383" t="n"/>
      <c r="AY108" s="383" t="n"/>
      <c r="AZ108" s="541" t="n"/>
      <c r="BA108" s="383" t="n"/>
      <c r="BB108" s="383" t="n"/>
      <c r="BC108" s="383" t="n"/>
      <c r="BD108" s="383" t="n"/>
      <c r="BE108" s="383" t="n"/>
      <c r="BF108" s="383" t="n"/>
      <c r="BG108" s="383" t="n"/>
      <c r="BH108" s="383" t="n"/>
      <c r="BI108" s="383" t="n"/>
      <c r="BJ108" s="383" t="n"/>
      <c r="BK108" s="383" t="n"/>
      <c r="BL108" s="541" t="n"/>
      <c r="BM108" s="383" t="n"/>
      <c r="BN108" s="383" t="n"/>
      <c r="BO108" s="383" t="n"/>
      <c r="BP108" s="383" t="n"/>
      <c r="BQ108" s="383" t="n"/>
      <c r="BR108" s="383" t="n"/>
      <c r="BS108" s="383" t="n"/>
      <c r="BT108" s="383" t="n"/>
      <c r="BU108" s="383" t="n"/>
      <c r="BV108" s="383" t="n"/>
      <c r="BW108" s="383" t="n"/>
      <c r="BX108" s="383" t="n"/>
      <c r="BY108" s="383" t="n"/>
      <c r="BZ108" s="383" t="n"/>
      <c r="CA108" s="383" t="n"/>
      <c r="CB108" s="383" t="n"/>
      <c r="CC108" s="383" t="n"/>
      <c r="CD108" s="383" t="n"/>
      <c r="CE108" s="383" t="n"/>
      <c r="CF108" s="383" t="n"/>
      <c r="CG108" s="383" t="n"/>
      <c r="CH108" s="383" t="n"/>
      <c r="CI108" s="383" t="n"/>
      <c r="CJ108" s="383" t="n"/>
      <c r="CK108" s="383" t="n"/>
      <c r="CL108" s="383" t="n"/>
      <c r="CM108" s="383" t="n"/>
      <c r="CN108" s="383" t="n"/>
      <c r="CO108" s="383" t="n"/>
      <c r="CP108" s="383" t="n"/>
      <c r="CQ108" s="383" t="n"/>
      <c r="CR108" s="383" t="n"/>
      <c r="CS108" s="383" t="n"/>
      <c r="CT108" s="383" t="n"/>
      <c r="CU108" s="383" t="n"/>
      <c r="CV108" s="383" t="n"/>
      <c r="CW108" s="383" t="n"/>
      <c r="CX108" s="383" t="n"/>
      <c r="CY108" s="383" t="n"/>
      <c r="CZ108" s="383" t="n"/>
      <c r="DA108" s="383" t="n"/>
      <c r="DB108" s="383" t="n"/>
      <c r="DC108" s="383" t="n"/>
      <c r="DD108" s="383" t="n"/>
      <c r="DE108" s="383" t="n"/>
      <c r="DF108" s="383" t="n"/>
      <c r="DG108" s="383" t="n"/>
      <c r="DH108" s="383" t="n"/>
      <c r="DI108" s="383" t="n"/>
      <c r="DJ108" s="383" t="n"/>
      <c r="DK108" s="383" t="n"/>
      <c r="DL108" s="383" t="n"/>
      <c r="DM108" s="383" t="n"/>
      <c r="DN108" s="383" t="n"/>
      <c r="DO108" s="383" t="n"/>
      <c r="DP108" s="383" t="n"/>
      <c r="DQ108" s="383" t="n"/>
      <c r="DR108" s="383" t="n"/>
      <c r="DS108" s="383" t="n"/>
      <c r="DT108" s="383" t="n"/>
      <c r="DU108" s="383" t="n"/>
      <c r="DV108" s="383" t="n"/>
      <c r="DW108" s="383" t="n"/>
      <c r="DX108" s="383" t="n"/>
      <c r="DY108" s="383" t="n"/>
      <c r="DZ108" s="383" t="n"/>
      <c r="EA108" s="383" t="n"/>
      <c r="EB108" s="383" t="n"/>
      <c r="EC108" s="383" t="n"/>
      <c r="ED108" s="383" t="n"/>
      <c r="EE108" s="383" t="n"/>
      <c r="EF108" s="383" t="n"/>
      <c r="EG108" s="383" t="n"/>
      <c r="EH108" s="383" t="n"/>
      <c r="EI108" s="383" t="n"/>
      <c r="EJ108" s="383" t="n"/>
      <c r="EK108" s="383" t="n"/>
      <c r="EL108" s="383" t="n"/>
      <c r="EM108" s="383" t="n"/>
      <c r="EN108" s="383" t="n"/>
      <c r="EO108" s="383" t="n"/>
      <c r="EP108" s="383" t="n"/>
      <c r="EQ108" s="383" t="n"/>
      <c r="ER108" s="383" t="n"/>
      <c r="ES108" s="383" t="n"/>
      <c r="ET108" s="383" t="n"/>
      <c r="EU108" s="383" t="n"/>
      <c r="EV108" s="383" t="n"/>
      <c r="EW108" s="383" t="n"/>
      <c r="EX108" s="383" t="n"/>
      <c r="EY108" s="383" t="n"/>
      <c r="EZ108" s="383" t="n"/>
      <c r="FA108" s="383" t="n"/>
      <c r="FB108" s="383" t="n"/>
      <c r="FC108" s="383" t="n"/>
      <c r="FD108" s="383" t="n"/>
      <c r="FE108" s="383" t="n"/>
      <c r="FF108" s="383" t="n"/>
      <c r="FG108" s="383" t="n"/>
      <c r="FH108" s="383" t="n"/>
      <c r="FI108" s="383" t="n"/>
      <c r="FJ108" s="383" t="n"/>
      <c r="FK108" s="383" t="n"/>
      <c r="FL108" s="383" t="n"/>
      <c r="FM108" s="383" t="n"/>
      <c r="FN108" s="383" t="n"/>
      <c r="FO108" s="383" t="n"/>
      <c r="FP108" s="383" t="n"/>
      <c r="FQ108" s="383" t="n"/>
      <c r="FR108" s="383" t="n"/>
      <c r="FS108" s="383" t="n"/>
      <c r="FT108" s="383" t="n"/>
      <c r="FU108" s="383" t="n"/>
      <c r="FV108" s="383" t="n"/>
      <c r="FW108" s="383" t="n"/>
      <c r="FX108" s="383" t="n"/>
      <c r="FY108" s="383" t="n"/>
      <c r="FZ108" s="383" t="n"/>
      <c r="GA108" s="383" t="n"/>
      <c r="GB108" s="383" t="n"/>
      <c r="GC108" s="383" t="n"/>
      <c r="GD108" s="383" t="n"/>
      <c r="GE108" s="383" t="n"/>
      <c r="GF108" s="383" t="n"/>
      <c r="GG108" s="383" t="n"/>
      <c r="GH108" s="383" t="n"/>
      <c r="GI108" s="383" t="n"/>
      <c r="GJ108" s="383" t="n"/>
      <c r="GK108" s="383" t="n"/>
      <c r="GL108" s="383" t="n"/>
      <c r="GM108" s="383" t="n"/>
      <c r="GN108" s="383" t="n"/>
      <c r="GO108" s="383" t="n"/>
      <c r="GP108" s="383" t="n"/>
      <c r="GQ108" s="383" t="n"/>
      <c r="GR108" s="383" t="n"/>
      <c r="GS108" s="383" t="n"/>
      <c r="GT108" s="383" t="n"/>
      <c r="GU108" s="383" t="n"/>
      <c r="GV108" s="383" t="n"/>
      <c r="GW108" s="383" t="n"/>
      <c r="GX108" s="383" t="n"/>
      <c r="GY108" s="383" t="n"/>
    </row>
    <row r="109" ht="15" customHeight="1" s="1883">
      <c r="A109" s="383" t="n"/>
      <c r="B109" s="383" t="n"/>
      <c r="C109" s="383" t="n"/>
      <c r="D109" s="383" t="n"/>
      <c r="E109" s="383" t="n"/>
      <c r="F109" s="383" t="n"/>
      <c r="G109" s="383" t="n"/>
      <c r="H109" s="383" t="n"/>
      <c r="I109" s="383" t="n"/>
      <c r="J109" s="383" t="n"/>
      <c r="K109" s="462" t="n"/>
      <c r="L109" s="563" t="inlineStr">
        <is>
          <t>Employer Payroll Taxes</t>
        </is>
      </c>
      <c r="M109" s="560" t="n"/>
      <c r="N109" s="580" t="n">
        <v>0.09</v>
      </c>
      <c r="O109" s="560" t="n"/>
      <c r="P109" s="581">
        <f>((P83)*($N$109))</f>
        <v/>
      </c>
      <c r="Q109" s="581">
        <f>((Q83)*($N$109))</f>
        <v/>
      </c>
      <c r="R109" s="581">
        <f>((R83)*($N$109))</f>
        <v/>
      </c>
      <c r="S109" s="581">
        <f>((S83)*($N$109))</f>
        <v/>
      </c>
      <c r="T109" s="581">
        <f>((T83)*($N$109))</f>
        <v/>
      </c>
      <c r="U109" s="581">
        <f>((U83)*($N$109))</f>
        <v/>
      </c>
      <c r="V109" s="581">
        <f>((V83)*($N$109))</f>
        <v/>
      </c>
      <c r="W109" s="581">
        <f>((W83)*($N$109))</f>
        <v/>
      </c>
      <c r="X109" s="581">
        <f>((X83)*($N$109))</f>
        <v/>
      </c>
      <c r="Y109" s="581">
        <f>((Y83)*($N$109))</f>
        <v/>
      </c>
      <c r="Z109" s="581">
        <f>((Z83)*($N$109))</f>
        <v/>
      </c>
      <c r="AA109" s="581">
        <f>((AA83)*($N$109))</f>
        <v/>
      </c>
      <c r="AB109" s="582">
        <f>((AB83)*($N$109))</f>
        <v/>
      </c>
      <c r="AC109" s="581">
        <f>((AC83)*($N$109))</f>
        <v/>
      </c>
      <c r="AD109" s="581">
        <f>((AD83)*($N$109))</f>
        <v/>
      </c>
      <c r="AE109" s="581">
        <f>((AE83)*($N$109))</f>
        <v/>
      </c>
      <c r="AF109" s="581">
        <f>((AF83)*($N$109))</f>
        <v/>
      </c>
      <c r="AG109" s="581">
        <f>((AG83)*($N$109))</f>
        <v/>
      </c>
      <c r="AH109" s="581">
        <f>((AH83)*($N$109))</f>
        <v/>
      </c>
      <c r="AI109" s="581">
        <f>((AI83)*($N$109))</f>
        <v/>
      </c>
      <c r="AJ109" s="581">
        <f>((AJ83)*($N$109))</f>
        <v/>
      </c>
      <c r="AK109" s="581">
        <f>((AK83)*($N$109))</f>
        <v/>
      </c>
      <c r="AL109" s="581">
        <f>((AL83)*($N$109))</f>
        <v/>
      </c>
      <c r="AM109" s="581">
        <f>((AM83)*($N$109))</f>
        <v/>
      </c>
      <c r="AN109" s="582">
        <f>((AN83)*($N$109))</f>
        <v/>
      </c>
      <c r="AO109" s="581">
        <f>((AO83)*($N$109))</f>
        <v/>
      </c>
      <c r="AP109" s="581">
        <f>((AP83)*($N$109))</f>
        <v/>
      </c>
      <c r="AQ109" s="581">
        <f>((AQ83)*($N$109))</f>
        <v/>
      </c>
      <c r="AR109" s="581">
        <f>((AR83)*($N$109))</f>
        <v/>
      </c>
      <c r="AS109" s="581">
        <f>((AS83)*($N$109))</f>
        <v/>
      </c>
      <c r="AT109" s="581">
        <f>((AT83)*($N$109))</f>
        <v/>
      </c>
      <c r="AU109" s="581">
        <f>((AU83)*($N$109))</f>
        <v/>
      </c>
      <c r="AV109" s="581">
        <f>((AV83)*($N$109))</f>
        <v/>
      </c>
      <c r="AW109" s="581">
        <f>((AW83)*($N$109))</f>
        <v/>
      </c>
      <c r="AX109" s="581">
        <f>((AX83)*($N$109))</f>
        <v/>
      </c>
      <c r="AY109" s="581">
        <f>((AY83)*($N$109))</f>
        <v/>
      </c>
      <c r="AZ109" s="582">
        <f>((AZ83)*($N$109))</f>
        <v/>
      </c>
      <c r="BA109" s="581">
        <f>((BA83)*($N$109))</f>
        <v/>
      </c>
      <c r="BB109" s="581">
        <f>((BB83)*($N$109))</f>
        <v/>
      </c>
      <c r="BC109" s="581">
        <f>((BC83)*($N$109))</f>
        <v/>
      </c>
      <c r="BD109" s="581">
        <f>((BD83)*($N$109))</f>
        <v/>
      </c>
      <c r="BE109" s="581">
        <f>((BE83)*($N$109))</f>
        <v/>
      </c>
      <c r="BF109" s="581">
        <f>((BF83)*($N$109))</f>
        <v/>
      </c>
      <c r="BG109" s="581">
        <f>((BG83)*($N$109))</f>
        <v/>
      </c>
      <c r="BH109" s="581">
        <f>((BH83)*($N$109))</f>
        <v/>
      </c>
      <c r="BI109" s="581">
        <f>((BI83)*($N$109))</f>
        <v/>
      </c>
      <c r="BJ109" s="581">
        <f>((BJ83)*($N$109))</f>
        <v/>
      </c>
      <c r="BK109" s="581">
        <f>((BK83)*($N$109))</f>
        <v/>
      </c>
      <c r="BL109" s="582">
        <f>((BL83)*($N$109))</f>
        <v/>
      </c>
      <c r="BM109" s="581">
        <f>((BM83)*($N$109))</f>
        <v/>
      </c>
      <c r="BN109" s="581">
        <f>((BN83)*($N$109))</f>
        <v/>
      </c>
      <c r="BO109" s="581">
        <f>((BO83)*($N$109))</f>
        <v/>
      </c>
      <c r="BP109" s="581">
        <f>((BP83)*($N$109))</f>
        <v/>
      </c>
      <c r="BQ109" s="581">
        <f>((BQ83)*($N$109))</f>
        <v/>
      </c>
      <c r="BR109" s="581">
        <f>((BR83)*($N$109))</f>
        <v/>
      </c>
      <c r="BS109" s="581">
        <f>((BS83)*($N$109))</f>
        <v/>
      </c>
      <c r="BT109" s="581">
        <f>((BT83)*($N$109))</f>
        <v/>
      </c>
      <c r="BU109" s="581">
        <f>((BU83)*($N$109))</f>
        <v/>
      </c>
      <c r="BV109" s="581">
        <f>((BV83)*($N$109))</f>
        <v/>
      </c>
      <c r="BW109" s="581">
        <f>((BW83)*($N$109))</f>
        <v/>
      </c>
      <c r="BX109" s="383" t="n"/>
      <c r="BY109" s="383" t="n"/>
      <c r="BZ109" s="383" t="n"/>
      <c r="CA109" s="383" t="n"/>
      <c r="CB109" s="383" t="n"/>
      <c r="CC109" s="383" t="n"/>
      <c r="CD109" s="383" t="n"/>
      <c r="CE109" s="383" t="n"/>
      <c r="CF109" s="383" t="n"/>
      <c r="CG109" s="383" t="n"/>
      <c r="CH109" s="383" t="n"/>
      <c r="CI109" s="383" t="n"/>
      <c r="CJ109" s="383" t="n"/>
      <c r="CK109" s="383" t="n"/>
      <c r="CL109" s="383" t="n"/>
      <c r="CM109" s="383" t="n"/>
      <c r="CN109" s="383" t="n"/>
      <c r="CO109" s="383" t="n"/>
      <c r="CP109" s="383" t="n"/>
      <c r="CQ109" s="383" t="n"/>
      <c r="CR109" s="383" t="n"/>
      <c r="CS109" s="383" t="n"/>
      <c r="CT109" s="383" t="n"/>
      <c r="CU109" s="383" t="n"/>
      <c r="CV109" s="383" t="n"/>
      <c r="CW109" s="383" t="n"/>
      <c r="CX109" s="383" t="n"/>
      <c r="CY109" s="383" t="n"/>
      <c r="CZ109" s="383" t="n"/>
      <c r="DA109" s="383" t="n"/>
      <c r="DB109" s="383" t="n"/>
      <c r="DC109" s="383" t="n"/>
      <c r="DD109" s="383" t="n"/>
      <c r="DE109" s="383" t="n"/>
      <c r="DF109" s="383" t="n"/>
      <c r="DG109" s="383" t="n"/>
      <c r="DH109" s="383" t="n"/>
      <c r="DI109" s="383" t="n"/>
      <c r="DJ109" s="383" t="n"/>
      <c r="DK109" s="383" t="n"/>
      <c r="DL109" s="383" t="n"/>
      <c r="DM109" s="383" t="n"/>
      <c r="DN109" s="383" t="n"/>
      <c r="DO109" s="383" t="n"/>
      <c r="DP109" s="383" t="n"/>
      <c r="DQ109" s="383" t="n"/>
      <c r="DR109" s="383" t="n"/>
      <c r="DS109" s="383" t="n"/>
      <c r="DT109" s="383" t="n"/>
      <c r="DU109" s="383" t="n"/>
      <c r="DV109" s="383" t="n"/>
      <c r="DW109" s="383" t="n"/>
      <c r="DX109" s="383" t="n"/>
      <c r="DY109" s="383" t="n"/>
      <c r="DZ109" s="383" t="n"/>
      <c r="EA109" s="383" t="n"/>
      <c r="EB109" s="383" t="n"/>
      <c r="EC109" s="383" t="n"/>
      <c r="ED109" s="383" t="n"/>
      <c r="EE109" s="383" t="n"/>
      <c r="EF109" s="383" t="n"/>
      <c r="EG109" s="383" t="n"/>
      <c r="EH109" s="383" t="n"/>
      <c r="EI109" s="383" t="n"/>
      <c r="EJ109" s="383" t="n"/>
      <c r="EK109" s="383" t="n"/>
      <c r="EL109" s="383" t="n"/>
      <c r="EM109" s="383" t="n"/>
      <c r="EN109" s="383" t="n"/>
      <c r="EO109" s="383" t="n"/>
      <c r="EP109" s="383" t="n"/>
      <c r="EQ109" s="383" t="n"/>
      <c r="ER109" s="383" t="n"/>
      <c r="ES109" s="383" t="n"/>
      <c r="ET109" s="383" t="n"/>
      <c r="EU109" s="383" t="n"/>
      <c r="EV109" s="383" t="n"/>
      <c r="EW109" s="383" t="n"/>
      <c r="EX109" s="383" t="n"/>
      <c r="EY109" s="383" t="n"/>
      <c r="EZ109" s="383" t="n"/>
      <c r="FA109" s="383" t="n"/>
      <c r="FB109" s="383" t="n"/>
      <c r="FC109" s="383" t="n"/>
      <c r="FD109" s="383" t="n"/>
      <c r="FE109" s="383" t="n"/>
      <c r="FF109" s="383" t="n"/>
      <c r="FG109" s="383" t="n"/>
      <c r="FH109" s="383" t="n"/>
      <c r="FI109" s="383" t="n"/>
      <c r="FJ109" s="383" t="n"/>
      <c r="FK109" s="383" t="n"/>
      <c r="FL109" s="383" t="n"/>
      <c r="FM109" s="383" t="n"/>
      <c r="FN109" s="383" t="n"/>
      <c r="FO109" s="383" t="n"/>
      <c r="FP109" s="383" t="n"/>
      <c r="FQ109" s="383" t="n"/>
      <c r="FR109" s="383" t="n"/>
      <c r="FS109" s="383" t="n"/>
      <c r="FT109" s="383" t="n"/>
      <c r="FU109" s="383" t="n"/>
      <c r="FV109" s="383" t="n"/>
      <c r="FW109" s="383" t="n"/>
      <c r="FX109" s="383" t="n"/>
      <c r="FY109" s="383" t="n"/>
      <c r="FZ109" s="383" t="n"/>
      <c r="GA109" s="383" t="n"/>
      <c r="GB109" s="383" t="n"/>
      <c r="GC109" s="383" t="n"/>
      <c r="GD109" s="383" t="n"/>
      <c r="GE109" s="383" t="n"/>
      <c r="GF109" s="383" t="n"/>
      <c r="GG109" s="383" t="n"/>
      <c r="GH109" s="383" t="n"/>
      <c r="GI109" s="383" t="n"/>
      <c r="GJ109" s="383" t="n"/>
      <c r="GK109" s="383" t="n"/>
      <c r="GL109" s="383" t="n"/>
      <c r="GM109" s="383" t="n"/>
      <c r="GN109" s="383" t="n"/>
      <c r="GO109" s="383" t="n"/>
      <c r="GP109" s="383" t="n"/>
      <c r="GQ109" s="383" t="n"/>
      <c r="GR109" s="383" t="n"/>
      <c r="GS109" s="383" t="n"/>
      <c r="GT109" s="383" t="n"/>
      <c r="GU109" s="383" t="n"/>
      <c r="GV109" s="383" t="n"/>
      <c r="GW109" s="383" t="n"/>
      <c r="GX109" s="383" t="n"/>
      <c r="GY109" s="383" t="n"/>
    </row>
    <row r="110" ht="15" customHeight="1" s="1883">
      <c r="A110" s="383" t="n"/>
      <c r="B110" s="383" t="n"/>
      <c r="C110" s="383" t="n"/>
      <c r="D110" s="383" t="n"/>
      <c r="E110" s="383" t="n"/>
      <c r="F110" s="383" t="n"/>
      <c r="G110" s="383" t="n"/>
      <c r="H110" s="383" t="n"/>
      <c r="I110" s="383" t="n"/>
      <c r="J110" s="383" t="n"/>
      <c r="K110" s="462" t="n"/>
      <c r="L110" s="383" t="n"/>
      <c r="M110" s="383" t="n"/>
      <c r="N110" s="383" t="n"/>
      <c r="O110" s="383" t="n"/>
      <c r="P110" s="383" t="n"/>
      <c r="Q110" s="383" t="n"/>
      <c r="R110" s="383" t="n"/>
      <c r="S110" s="383" t="n"/>
      <c r="T110" s="383" t="n"/>
      <c r="U110" s="383" t="n"/>
      <c r="V110" s="383" t="n"/>
      <c r="W110" s="383" t="n"/>
      <c r="X110" s="383" t="n"/>
      <c r="Y110" s="383" t="n"/>
      <c r="Z110" s="383" t="n"/>
      <c r="AA110" s="383" t="n"/>
      <c r="AB110" s="541" t="n"/>
      <c r="AC110" s="383" t="n"/>
      <c r="AD110" s="383" t="n"/>
      <c r="AE110" s="383" t="n"/>
      <c r="AF110" s="383" t="n"/>
      <c r="AG110" s="383" t="n"/>
      <c r="AH110" s="383" t="n"/>
      <c r="AI110" s="383" t="n"/>
      <c r="AJ110" s="383" t="n"/>
      <c r="AK110" s="383" t="n"/>
      <c r="AL110" s="383" t="n"/>
      <c r="AM110" s="383" t="n"/>
      <c r="AN110" s="541" t="n"/>
      <c r="AO110" s="383" t="n"/>
      <c r="AP110" s="383" t="n"/>
      <c r="AQ110" s="383" t="n"/>
      <c r="AR110" s="383" t="n"/>
      <c r="AS110" s="383" t="n"/>
      <c r="AT110" s="383" t="n"/>
      <c r="AU110" s="383" t="n"/>
      <c r="AV110" s="383" t="n"/>
      <c r="AW110" s="383" t="n"/>
      <c r="AX110" s="383" t="n"/>
      <c r="AY110" s="383" t="n"/>
      <c r="AZ110" s="541" t="n"/>
      <c r="BA110" s="383" t="n"/>
      <c r="BB110" s="383" t="n"/>
      <c r="BC110" s="383" t="n"/>
      <c r="BD110" s="383" t="n"/>
      <c r="BE110" s="383" t="n"/>
      <c r="BF110" s="383" t="n"/>
      <c r="BG110" s="383" t="n"/>
      <c r="BH110" s="383" t="n"/>
      <c r="BI110" s="383" t="n"/>
      <c r="BJ110" s="383" t="n"/>
      <c r="BK110" s="383" t="n"/>
      <c r="BL110" s="541" t="n"/>
      <c r="BM110" s="383" t="n"/>
      <c r="BN110" s="383" t="n"/>
      <c r="BO110" s="383" t="n"/>
      <c r="BP110" s="383" t="n"/>
      <c r="BQ110" s="383" t="n"/>
      <c r="BR110" s="383" t="n"/>
      <c r="BS110" s="383" t="n"/>
      <c r="BT110" s="383" t="n"/>
      <c r="BU110" s="383" t="n"/>
      <c r="BV110" s="383" t="n"/>
      <c r="BW110" s="383" t="n"/>
      <c r="BX110" s="383" t="n"/>
      <c r="BY110" s="383" t="n"/>
      <c r="BZ110" s="383" t="n"/>
      <c r="CA110" s="383" t="n"/>
      <c r="CB110" s="383" t="n"/>
      <c r="CC110" s="383" t="n"/>
      <c r="CD110" s="383" t="n"/>
      <c r="CE110" s="383" t="n"/>
      <c r="CF110" s="383" t="n"/>
      <c r="CG110" s="383" t="n"/>
      <c r="CH110" s="383" t="n"/>
      <c r="CI110" s="383" t="n"/>
      <c r="CJ110" s="383" t="n"/>
      <c r="CK110" s="383" t="n"/>
      <c r="CL110" s="383" t="n"/>
      <c r="CM110" s="383" t="n"/>
      <c r="CN110" s="383" t="n"/>
      <c r="CO110" s="383" t="n"/>
      <c r="CP110" s="383" t="n"/>
      <c r="CQ110" s="383" t="n"/>
      <c r="CR110" s="383" t="n"/>
      <c r="CS110" s="383" t="n"/>
      <c r="CT110" s="383" t="n"/>
      <c r="CU110" s="383" t="n"/>
      <c r="CV110" s="383" t="n"/>
      <c r="CW110" s="383" t="n"/>
      <c r="CX110" s="383" t="n"/>
      <c r="CY110" s="383" t="n"/>
      <c r="CZ110" s="383" t="n"/>
      <c r="DA110" s="383" t="n"/>
      <c r="DB110" s="383" t="n"/>
      <c r="DC110" s="383" t="n"/>
      <c r="DD110" s="383" t="n"/>
      <c r="DE110" s="383" t="n"/>
      <c r="DF110" s="383" t="n"/>
      <c r="DG110" s="383" t="n"/>
      <c r="DH110" s="383" t="n"/>
      <c r="DI110" s="383" t="n"/>
      <c r="DJ110" s="383" t="n"/>
      <c r="DK110" s="383" t="n"/>
      <c r="DL110" s="383" t="n"/>
      <c r="DM110" s="383" t="n"/>
      <c r="DN110" s="383" t="n"/>
      <c r="DO110" s="383" t="n"/>
      <c r="DP110" s="383" t="n"/>
      <c r="DQ110" s="383" t="n"/>
      <c r="DR110" s="383" t="n"/>
      <c r="DS110" s="383" t="n"/>
      <c r="DT110" s="383" t="n"/>
      <c r="DU110" s="383" t="n"/>
      <c r="DV110" s="383" t="n"/>
      <c r="DW110" s="383" t="n"/>
      <c r="DX110" s="383" t="n"/>
      <c r="DY110" s="383" t="n"/>
      <c r="DZ110" s="383" t="n"/>
      <c r="EA110" s="383" t="n"/>
      <c r="EB110" s="383" t="n"/>
      <c r="EC110" s="383" t="n"/>
      <c r="ED110" s="383" t="n"/>
      <c r="EE110" s="383" t="n"/>
      <c r="EF110" s="383" t="n"/>
      <c r="EG110" s="383" t="n"/>
      <c r="EH110" s="383" t="n"/>
      <c r="EI110" s="383" t="n"/>
      <c r="EJ110" s="383" t="n"/>
      <c r="EK110" s="383" t="n"/>
      <c r="EL110" s="383" t="n"/>
      <c r="EM110" s="383" t="n"/>
      <c r="EN110" s="383" t="n"/>
      <c r="EO110" s="383" t="n"/>
      <c r="EP110" s="383" t="n"/>
      <c r="EQ110" s="383" t="n"/>
      <c r="ER110" s="383" t="n"/>
      <c r="ES110" s="383" t="n"/>
      <c r="ET110" s="383" t="n"/>
      <c r="EU110" s="383" t="n"/>
      <c r="EV110" s="383" t="n"/>
      <c r="EW110" s="383" t="n"/>
      <c r="EX110" s="383" t="n"/>
      <c r="EY110" s="383" t="n"/>
      <c r="EZ110" s="383" t="n"/>
      <c r="FA110" s="383" t="n"/>
      <c r="FB110" s="383" t="n"/>
      <c r="FC110" s="383" t="n"/>
      <c r="FD110" s="383" t="n"/>
      <c r="FE110" s="383" t="n"/>
      <c r="FF110" s="383" t="n"/>
      <c r="FG110" s="383" t="n"/>
      <c r="FH110" s="383" t="n"/>
      <c r="FI110" s="383" t="n"/>
      <c r="FJ110" s="383" t="n"/>
      <c r="FK110" s="383" t="n"/>
      <c r="FL110" s="383" t="n"/>
      <c r="FM110" s="383" t="n"/>
      <c r="FN110" s="383" t="n"/>
      <c r="FO110" s="383" t="n"/>
      <c r="FP110" s="383" t="n"/>
      <c r="FQ110" s="383" t="n"/>
      <c r="FR110" s="383" t="n"/>
      <c r="FS110" s="383" t="n"/>
      <c r="FT110" s="383" t="n"/>
      <c r="FU110" s="383" t="n"/>
      <c r="FV110" s="383" t="n"/>
      <c r="FW110" s="383" t="n"/>
      <c r="FX110" s="383" t="n"/>
      <c r="FY110" s="383" t="n"/>
      <c r="FZ110" s="383" t="n"/>
      <c r="GA110" s="383" t="n"/>
      <c r="GB110" s="383" t="n"/>
      <c r="GC110" s="383" t="n"/>
      <c r="GD110" s="383" t="n"/>
      <c r="GE110" s="383" t="n"/>
      <c r="GF110" s="383" t="n"/>
      <c r="GG110" s="383" t="n"/>
      <c r="GH110" s="383" t="n"/>
      <c r="GI110" s="383" t="n"/>
      <c r="GJ110" s="383" t="n"/>
      <c r="GK110" s="383" t="n"/>
      <c r="GL110" s="383" t="n"/>
      <c r="GM110" s="383" t="n"/>
      <c r="GN110" s="383" t="n"/>
      <c r="GO110" s="383" t="n"/>
      <c r="GP110" s="383" t="n"/>
      <c r="GQ110" s="383" t="n"/>
      <c r="GR110" s="383" t="n"/>
      <c r="GS110" s="383" t="n"/>
      <c r="GT110" s="383" t="n"/>
      <c r="GU110" s="383" t="n"/>
      <c r="GV110" s="383" t="n"/>
      <c r="GW110" s="383" t="n"/>
      <c r="GX110" s="383" t="n"/>
      <c r="GY110" s="383" t="n"/>
    </row>
    <row r="111" ht="15" customHeight="1" s="1883">
      <c r="A111" s="383" t="n"/>
      <c r="B111" s="383" t="n"/>
      <c r="C111" s="383" t="n"/>
      <c r="D111" s="383" t="n"/>
      <c r="E111" s="383" t="n"/>
      <c r="F111" s="383" t="n"/>
      <c r="G111" s="383" t="n"/>
      <c r="H111" s="383" t="n"/>
      <c r="I111" s="383" t="n"/>
      <c r="J111" s="383" t="n"/>
      <c r="K111" s="462" t="n"/>
      <c r="L111" s="383" t="n"/>
      <c r="M111" s="383" t="n"/>
      <c r="N111" s="383" t="n"/>
      <c r="O111" s="383" t="n"/>
      <c r="P111" s="386" t="inlineStr">
        <is>
          <t>Month 1</t>
        </is>
      </c>
      <c r="Q111" s="386" t="inlineStr">
        <is>
          <t>Month 2</t>
        </is>
      </c>
      <c r="R111" s="386" t="inlineStr">
        <is>
          <t>Month 3</t>
        </is>
      </c>
      <c r="S111" s="386" t="inlineStr">
        <is>
          <t>Month 4</t>
        </is>
      </c>
      <c r="T111" s="386" t="inlineStr">
        <is>
          <t>Month 5</t>
        </is>
      </c>
      <c r="U111" s="386" t="inlineStr">
        <is>
          <t>Month 6</t>
        </is>
      </c>
      <c r="V111" s="386" t="inlineStr">
        <is>
          <t>Month 7</t>
        </is>
      </c>
      <c r="W111" s="386" t="inlineStr">
        <is>
          <t>Month 8</t>
        </is>
      </c>
      <c r="X111" s="386" t="inlineStr">
        <is>
          <t>Month 9</t>
        </is>
      </c>
      <c r="Y111" s="386" t="inlineStr">
        <is>
          <t>Month 10</t>
        </is>
      </c>
      <c r="Z111" s="386" t="inlineStr">
        <is>
          <t>Month 11</t>
        </is>
      </c>
      <c r="AA111" s="386" t="inlineStr">
        <is>
          <t>Month 12</t>
        </is>
      </c>
      <c r="AB111" s="433" t="inlineStr">
        <is>
          <t>Month 13</t>
        </is>
      </c>
      <c r="AC111" s="386" t="inlineStr">
        <is>
          <t>Month 14</t>
        </is>
      </c>
      <c r="AD111" s="386" t="inlineStr">
        <is>
          <t>Month 15</t>
        </is>
      </c>
      <c r="AE111" s="386" t="inlineStr">
        <is>
          <t>Month 16</t>
        </is>
      </c>
      <c r="AF111" s="386" t="inlineStr">
        <is>
          <t>Month 17</t>
        </is>
      </c>
      <c r="AG111" s="386" t="inlineStr">
        <is>
          <t>Month 18</t>
        </is>
      </c>
      <c r="AH111" s="386" t="inlineStr">
        <is>
          <t>Month 19</t>
        </is>
      </c>
      <c r="AI111" s="386" t="inlineStr">
        <is>
          <t>Month 20</t>
        </is>
      </c>
      <c r="AJ111" s="386" t="inlineStr">
        <is>
          <t>Month 21</t>
        </is>
      </c>
      <c r="AK111" s="386" t="inlineStr">
        <is>
          <t>Month 22</t>
        </is>
      </c>
      <c r="AL111" s="386" t="inlineStr">
        <is>
          <t>Month 23</t>
        </is>
      </c>
      <c r="AM111" s="386" t="inlineStr">
        <is>
          <t>Month 24</t>
        </is>
      </c>
      <c r="AN111" s="433" t="inlineStr">
        <is>
          <t>Month 25</t>
        </is>
      </c>
      <c r="AO111" s="386" t="inlineStr">
        <is>
          <t>Month 26</t>
        </is>
      </c>
      <c r="AP111" s="386" t="inlineStr">
        <is>
          <t>Month 27</t>
        </is>
      </c>
      <c r="AQ111" s="386" t="inlineStr">
        <is>
          <t>Month 28</t>
        </is>
      </c>
      <c r="AR111" s="386" t="inlineStr">
        <is>
          <t>Month 29</t>
        </is>
      </c>
      <c r="AS111" s="386" t="inlineStr">
        <is>
          <t>Month 30</t>
        </is>
      </c>
      <c r="AT111" s="386" t="inlineStr">
        <is>
          <t>Month 31</t>
        </is>
      </c>
      <c r="AU111" s="386" t="inlineStr">
        <is>
          <t>Month 32</t>
        </is>
      </c>
      <c r="AV111" s="386" t="inlineStr">
        <is>
          <t>Month 33</t>
        </is>
      </c>
      <c r="AW111" s="386" t="inlineStr">
        <is>
          <t>Month 34</t>
        </is>
      </c>
      <c r="AX111" s="386" t="inlineStr">
        <is>
          <t>Month 35</t>
        </is>
      </c>
      <c r="AY111" s="1882" t="inlineStr">
        <is>
          <t>Month 36</t>
        </is>
      </c>
      <c r="AZ111" s="433" t="inlineStr">
        <is>
          <t>Month 37</t>
        </is>
      </c>
      <c r="BA111" s="386" t="inlineStr">
        <is>
          <t>Month 38</t>
        </is>
      </c>
      <c r="BB111" s="386" t="inlineStr">
        <is>
          <t>Month 39</t>
        </is>
      </c>
      <c r="BC111" s="386" t="inlineStr">
        <is>
          <t>Month 40</t>
        </is>
      </c>
      <c r="BD111" s="386" t="inlineStr">
        <is>
          <t>Month 41</t>
        </is>
      </c>
      <c r="BE111" s="386" t="inlineStr">
        <is>
          <t>Month 42</t>
        </is>
      </c>
      <c r="BF111" s="386" t="inlineStr">
        <is>
          <t>Month 43</t>
        </is>
      </c>
      <c r="BG111" s="386" t="inlineStr">
        <is>
          <t>Month 44</t>
        </is>
      </c>
      <c r="BH111" s="386" t="inlineStr">
        <is>
          <t>Month 45</t>
        </is>
      </c>
      <c r="BI111" s="386" t="inlineStr">
        <is>
          <t>Month 46</t>
        </is>
      </c>
      <c r="BJ111" s="386" t="inlineStr">
        <is>
          <t>Month 47</t>
        </is>
      </c>
      <c r="BK111" s="386" t="inlineStr">
        <is>
          <t>Month 48</t>
        </is>
      </c>
      <c r="BL111" s="433" t="inlineStr">
        <is>
          <t>Month 49</t>
        </is>
      </c>
      <c r="BM111" s="386" t="inlineStr">
        <is>
          <t>Month 50</t>
        </is>
      </c>
      <c r="BN111" s="386" t="inlineStr">
        <is>
          <t>Month 51</t>
        </is>
      </c>
      <c r="BO111" s="386" t="inlineStr">
        <is>
          <t>Month 52</t>
        </is>
      </c>
      <c r="BP111" s="386" t="inlineStr">
        <is>
          <t>Month 53</t>
        </is>
      </c>
      <c r="BQ111" s="386" t="inlineStr">
        <is>
          <t>Month 54</t>
        </is>
      </c>
      <c r="BR111" s="386" t="inlineStr">
        <is>
          <t>Month 55</t>
        </is>
      </c>
      <c r="BS111" s="386" t="inlineStr">
        <is>
          <t>Month 56</t>
        </is>
      </c>
      <c r="BT111" s="386" t="inlineStr">
        <is>
          <t>Month 57</t>
        </is>
      </c>
      <c r="BU111" s="386" t="inlineStr">
        <is>
          <t>Month 58</t>
        </is>
      </c>
      <c r="BV111" s="386" t="inlineStr">
        <is>
          <t>Month 59</t>
        </is>
      </c>
      <c r="BW111" s="386" t="inlineStr">
        <is>
          <t>Month 60</t>
        </is>
      </c>
      <c r="BX111" s="383" t="n"/>
      <c r="BY111" s="383" t="n"/>
      <c r="BZ111" s="383" t="n"/>
      <c r="CA111" s="383" t="n"/>
      <c r="CB111" s="383" t="n"/>
      <c r="CC111" s="383" t="n"/>
      <c r="CD111" s="383" t="n"/>
      <c r="CE111" s="383" t="n"/>
      <c r="CF111" s="383" t="n"/>
      <c r="CG111" s="383" t="n"/>
      <c r="CH111" s="383" t="n"/>
      <c r="CI111" s="383" t="n"/>
      <c r="CJ111" s="383" t="n"/>
      <c r="CK111" s="383" t="n"/>
      <c r="CL111" s="383" t="n"/>
      <c r="CM111" s="383" t="n"/>
      <c r="CN111" s="383" t="n"/>
      <c r="CO111" s="383" t="n"/>
      <c r="CP111" s="383" t="n"/>
      <c r="CQ111" s="383" t="n"/>
      <c r="CR111" s="383" t="n"/>
      <c r="CS111" s="383" t="n"/>
      <c r="CT111" s="383" t="n"/>
      <c r="CU111" s="383" t="n"/>
      <c r="CV111" s="383" t="n"/>
      <c r="CW111" s="383" t="n"/>
      <c r="CX111" s="383" t="n"/>
      <c r="CY111" s="383" t="n"/>
      <c r="CZ111" s="383" t="n"/>
      <c r="DA111" s="383" t="n"/>
      <c r="DB111" s="383" t="n"/>
      <c r="DC111" s="383" t="n"/>
      <c r="DD111" s="383" t="n"/>
      <c r="DE111" s="383" t="n"/>
      <c r="DF111" s="383" t="n"/>
      <c r="DG111" s="383" t="n"/>
      <c r="DH111" s="383" t="n"/>
      <c r="DI111" s="383" t="n"/>
      <c r="DJ111" s="383" t="n"/>
      <c r="DK111" s="383" t="n"/>
      <c r="DL111" s="383" t="n"/>
      <c r="DM111" s="383" t="n"/>
      <c r="DN111" s="383" t="n"/>
      <c r="DO111" s="383" t="n"/>
      <c r="DP111" s="383" t="n"/>
      <c r="DQ111" s="383" t="n"/>
      <c r="DR111" s="383" t="n"/>
      <c r="DS111" s="383" t="n"/>
      <c r="DT111" s="383" t="n"/>
      <c r="DU111" s="383" t="n"/>
      <c r="DV111" s="383" t="n"/>
      <c r="DW111" s="383" t="n"/>
      <c r="DX111" s="383" t="n"/>
      <c r="DY111" s="383" t="n"/>
      <c r="DZ111" s="383" t="n"/>
      <c r="EA111" s="383" t="n"/>
      <c r="EB111" s="383" t="n"/>
      <c r="EC111" s="383" t="n"/>
      <c r="ED111" s="383" t="n"/>
      <c r="EE111" s="383" t="n"/>
      <c r="EF111" s="383" t="n"/>
      <c r="EG111" s="383" t="n"/>
      <c r="EH111" s="383" t="n"/>
      <c r="EI111" s="383" t="n"/>
      <c r="EJ111" s="383" t="n"/>
      <c r="EK111" s="383" t="n"/>
      <c r="EL111" s="383" t="n"/>
      <c r="EM111" s="383" t="n"/>
      <c r="EN111" s="383" t="n"/>
      <c r="EO111" s="383" t="n"/>
      <c r="EP111" s="383" t="n"/>
      <c r="EQ111" s="383" t="n"/>
      <c r="ER111" s="383" t="n"/>
      <c r="ES111" s="383" t="n"/>
      <c r="ET111" s="383" t="n"/>
      <c r="EU111" s="383" t="n"/>
      <c r="EV111" s="383" t="n"/>
      <c r="EW111" s="383" t="n"/>
      <c r="EX111" s="383" t="n"/>
      <c r="EY111" s="383" t="n"/>
      <c r="EZ111" s="383" t="n"/>
      <c r="FA111" s="383" t="n"/>
      <c r="FB111" s="383" t="n"/>
      <c r="FC111" s="383" t="n"/>
      <c r="FD111" s="383" t="n"/>
      <c r="FE111" s="383" t="n"/>
      <c r="FF111" s="383" t="n"/>
      <c r="FG111" s="383" t="n"/>
      <c r="FH111" s="383" t="n"/>
      <c r="FI111" s="383" t="n"/>
      <c r="FJ111" s="383" t="n"/>
      <c r="FK111" s="383" t="n"/>
      <c r="FL111" s="383" t="n"/>
      <c r="FM111" s="383" t="n"/>
      <c r="FN111" s="383" t="n"/>
      <c r="FO111" s="383" t="n"/>
      <c r="FP111" s="383" t="n"/>
      <c r="FQ111" s="383" t="n"/>
      <c r="FR111" s="383" t="n"/>
      <c r="FS111" s="383" t="n"/>
      <c r="FT111" s="383" t="n"/>
      <c r="FU111" s="383" t="n"/>
      <c r="FV111" s="383" t="n"/>
      <c r="FW111" s="383" t="n"/>
      <c r="FX111" s="383" t="n"/>
      <c r="FY111" s="383" t="n"/>
      <c r="FZ111" s="383" t="n"/>
      <c r="GA111" s="383" t="n"/>
      <c r="GB111" s="383" t="n"/>
      <c r="GC111" s="383" t="n"/>
      <c r="GD111" s="383" t="n"/>
      <c r="GE111" s="383" t="n"/>
      <c r="GF111" s="383" t="n"/>
      <c r="GG111" s="383" t="n"/>
      <c r="GH111" s="383" t="n"/>
      <c r="GI111" s="383" t="n"/>
      <c r="GJ111" s="383" t="n"/>
      <c r="GK111" s="383" t="n"/>
      <c r="GL111" s="383" t="n"/>
      <c r="GM111" s="383" t="n"/>
      <c r="GN111" s="383" t="n"/>
      <c r="GO111" s="383" t="n"/>
      <c r="GP111" s="383" t="n"/>
      <c r="GQ111" s="383" t="n"/>
      <c r="GR111" s="383" t="n"/>
      <c r="GS111" s="383" t="n"/>
      <c r="GT111" s="383" t="n"/>
      <c r="GU111" s="383" t="n"/>
      <c r="GV111" s="383" t="n"/>
      <c r="GW111" s="383" t="n"/>
      <c r="GX111" s="383" t="n"/>
      <c r="GY111" s="383" t="n"/>
    </row>
  </sheetData>
  <mergeCells count="8">
    <mergeCell ref="L79:N79"/>
    <mergeCell ref="L54:N54"/>
    <mergeCell ref="P10:BW10"/>
    <mergeCell ref="P57:BW57"/>
    <mergeCell ref="J10:N10"/>
    <mergeCell ref="J57:N57"/>
    <mergeCell ref="M99:N99"/>
    <mergeCell ref="J83:N83"/>
  </mergeCells>
  <pageMargins left="0.7" right="0.7" top="0.75" bottom="0.75" header="0.3" footer="0.3"/>
  <pageSetup orientation="portrait" horizontalDpi="0" verticalDpi="0"/>
  <legacyDrawing xmlns:r="http://schemas.openxmlformats.org/officeDocument/2006/relationships" r:id="anysvml"/>
</worksheet>
</file>

<file path=xl/worksheets/sheet39.xml><?xml version="1.0" encoding="utf-8"?>
<worksheet xmlns="http://schemas.openxmlformats.org/spreadsheetml/2006/main">
  <sheetPr>
    <tabColor rgb="FF66FFCC"/>
    <outlinePr summaryBelow="0" summaryRight="0"/>
    <pageSetUpPr/>
  </sheetPr>
  <dimension ref="A1:CE97"/>
  <sheetViews>
    <sheetView showGridLines="0" workbookViewId="0">
      <pane xSplit="4" topLeftCell="E1" activePane="topRight" state="frozen"/>
      <selection pane="topRight" activeCell="N32" sqref="N32"/>
    </sheetView>
  </sheetViews>
  <sheetFormatPr baseColWidth="10" defaultColWidth="17.33203125" defaultRowHeight="15" customHeight="1"/>
  <cols>
    <col width="2.6640625" customWidth="1" style="1883" min="1" max="3"/>
    <col width="54.5" customWidth="1" style="1883" min="4" max="4"/>
    <col width="12.33203125" customWidth="1" style="1883" min="5" max="5"/>
    <col width="10.6640625" customWidth="1" style="1883" min="6" max="7"/>
    <col width="12.6640625" customWidth="1" style="1883" min="8" max="8"/>
    <col width="9.6640625" customWidth="1" style="1883" min="9" max="11"/>
    <col width="11.6640625" customWidth="1" style="1883" min="12" max="82"/>
    <col width="12.6640625" customWidth="1" style="1883" min="83" max="83"/>
    <col width="8.6640625" customWidth="1" style="1883" min="84" max="93"/>
  </cols>
  <sheetData>
    <row r="1" ht="1.5" customHeight="1" s="1883">
      <c r="A1" s="210" t="n"/>
      <c r="B1" s="55" t="n"/>
      <c r="C1" s="55" t="n"/>
      <c r="D1" s="55" t="n"/>
      <c r="E1" s="55" t="n"/>
      <c r="F1" s="55" t="n"/>
      <c r="G1" s="55" t="n"/>
      <c r="H1" s="55" t="n"/>
      <c r="I1" s="55" t="n"/>
      <c r="J1" s="55" t="n"/>
      <c r="K1" s="55" t="n"/>
      <c r="L1" s="55" t="n"/>
      <c r="M1" s="55" t="n"/>
      <c r="N1" s="55" t="n"/>
      <c r="O1" s="55" t="n"/>
      <c r="P1" s="55" t="n"/>
      <c r="Q1" s="1038" t="n"/>
      <c r="R1" s="1038" t="n"/>
      <c r="S1" s="55" t="n"/>
      <c r="T1" s="55" t="n"/>
      <c r="U1" s="55" t="n"/>
      <c r="V1" s="55" t="n"/>
      <c r="W1" s="1283" t="n"/>
      <c r="X1" s="2115" t="n"/>
      <c r="Y1" s="2115" t="n"/>
      <c r="Z1" s="59" t="n"/>
      <c r="AA1" s="59" t="n"/>
      <c r="AB1" s="59" t="n"/>
      <c r="AC1" s="59" t="n"/>
      <c r="AD1" s="59" t="n"/>
      <c r="AE1" s="59" t="n"/>
      <c r="AF1" s="59" t="n"/>
      <c r="AG1" s="59" t="n"/>
      <c r="AH1" s="59" t="n"/>
      <c r="AI1" s="1284" t="n"/>
      <c r="AJ1" s="59" t="n"/>
      <c r="AK1" s="59" t="n"/>
      <c r="AL1" s="59" t="n"/>
      <c r="AM1" s="59" t="n"/>
      <c r="AN1" s="59" t="n"/>
      <c r="AO1" s="59" t="n"/>
      <c r="AP1" s="59" t="n"/>
      <c r="AQ1" s="59" t="n"/>
      <c r="AR1" s="59" t="n"/>
      <c r="AS1" s="59" t="n"/>
      <c r="AT1" s="59" t="n"/>
      <c r="AU1" s="1284" t="n"/>
      <c r="AV1" s="59" t="n"/>
      <c r="AW1" s="59" t="n"/>
      <c r="AX1" s="59" t="n"/>
      <c r="AY1" s="59" t="n"/>
      <c r="AZ1" s="59" t="n"/>
      <c r="BA1" s="59" t="n"/>
      <c r="BB1" s="59" t="n"/>
      <c r="BC1" s="59" t="n"/>
      <c r="BD1" s="59" t="n"/>
      <c r="BE1" s="59" t="n"/>
      <c r="BF1" s="59" t="n"/>
      <c r="BG1" s="1284" t="n"/>
      <c r="BH1" s="59" t="n"/>
      <c r="BI1" s="59" t="n"/>
      <c r="BJ1" s="59" t="n"/>
      <c r="BK1" s="59" t="n"/>
      <c r="BL1" s="59" t="n"/>
      <c r="BM1" s="59" t="n"/>
      <c r="BN1" s="59" t="n"/>
      <c r="BO1" s="59" t="n"/>
      <c r="BP1" s="59" t="n"/>
      <c r="BQ1" s="59" t="n"/>
      <c r="BR1" s="59" t="n"/>
      <c r="BS1" s="1284" t="n"/>
      <c r="BT1" s="59" t="n"/>
      <c r="BU1" s="59" t="n"/>
      <c r="BV1" s="59" t="n"/>
      <c r="BW1" s="59" t="n"/>
      <c r="BX1" s="59" t="n"/>
      <c r="BY1" s="59" t="n"/>
      <c r="BZ1" s="59" t="n"/>
      <c r="CA1" s="59" t="n"/>
      <c r="CB1" s="59" t="n"/>
      <c r="CC1" s="59" t="n"/>
      <c r="CD1" s="59" t="n"/>
      <c r="CE1" s="1039" t="n"/>
    </row>
    <row r="2" ht="1.5" customHeight="1" s="1883">
      <c r="A2" s="212" t="n"/>
      <c r="B2" s="55" t="n"/>
      <c r="C2" s="55" t="n"/>
      <c r="D2" s="55" t="n"/>
      <c r="E2" s="55" t="n"/>
      <c r="F2" s="55" t="n"/>
      <c r="G2" s="55" t="n"/>
      <c r="H2" s="55" t="n"/>
      <c r="I2" s="55" t="n"/>
      <c r="J2" s="55" t="n"/>
      <c r="K2" s="55" t="n"/>
      <c r="L2" s="55" t="n"/>
      <c r="M2" s="55" t="n"/>
      <c r="N2" s="55" t="n"/>
      <c r="O2" s="55" t="n"/>
      <c r="P2" s="55" t="n"/>
      <c r="Q2" s="1038" t="n"/>
      <c r="R2" s="1038" t="n"/>
      <c r="S2" s="55" t="n"/>
      <c r="T2" s="55" t="n"/>
      <c r="U2" s="55" t="n"/>
      <c r="V2" s="55" t="n"/>
      <c r="W2" s="1186" t="n"/>
      <c r="X2" s="2115" t="n"/>
      <c r="Y2" s="2115" t="n"/>
      <c r="Z2" s="59" t="n"/>
      <c r="AA2" s="59" t="n"/>
      <c r="AB2" s="59" t="n"/>
      <c r="AC2" s="59" t="n"/>
      <c r="AD2" s="59" t="n"/>
      <c r="AE2" s="59" t="n"/>
      <c r="AF2" s="59" t="n"/>
      <c r="AG2" s="59" t="n"/>
      <c r="AH2" s="59" t="n"/>
      <c r="AI2" s="1039" t="n"/>
      <c r="AJ2" s="59" t="n"/>
      <c r="AK2" s="59" t="n"/>
      <c r="AL2" s="59" t="n"/>
      <c r="AM2" s="59" t="n"/>
      <c r="AN2" s="59" t="n"/>
      <c r="AO2" s="59" t="n"/>
      <c r="AP2" s="59" t="n"/>
      <c r="AQ2" s="59" t="n"/>
      <c r="AR2" s="59" t="n"/>
      <c r="AS2" s="59" t="n"/>
      <c r="AT2" s="59" t="n"/>
      <c r="AU2" s="1039" t="n"/>
      <c r="AV2" s="59" t="n"/>
      <c r="AW2" s="59" t="n"/>
      <c r="AX2" s="59" t="n"/>
      <c r="AY2" s="59" t="n"/>
      <c r="AZ2" s="59" t="n"/>
      <c r="BA2" s="59" t="n"/>
      <c r="BB2" s="59" t="n"/>
      <c r="BC2" s="59" t="n"/>
      <c r="BD2" s="59" t="n"/>
      <c r="BE2" s="59" t="n"/>
      <c r="BF2" s="59" t="n"/>
      <c r="BG2" s="1039" t="n"/>
      <c r="BH2" s="59" t="n"/>
      <c r="BI2" s="59" t="n"/>
      <c r="BJ2" s="59" t="n"/>
      <c r="BK2" s="59" t="n"/>
      <c r="BL2" s="59" t="n"/>
      <c r="BM2" s="59" t="n"/>
      <c r="BN2" s="59" t="n"/>
      <c r="BO2" s="59" t="n"/>
      <c r="BP2" s="59" t="n"/>
      <c r="BQ2" s="59" t="n"/>
      <c r="BR2" s="59" t="n"/>
      <c r="BS2" s="1039" t="n"/>
      <c r="BT2" s="59" t="n"/>
      <c r="BU2" s="59" t="n"/>
      <c r="BV2" s="59" t="n"/>
      <c r="BW2" s="59" t="n"/>
      <c r="BX2" s="59" t="n"/>
      <c r="BY2" s="59" t="n"/>
      <c r="BZ2" s="59" t="n"/>
      <c r="CA2" s="59" t="n"/>
      <c r="CB2" s="59" t="n"/>
      <c r="CC2" s="59" t="n"/>
      <c r="CD2" s="59" t="n"/>
      <c r="CE2" s="1039" t="n"/>
    </row>
    <row r="3" ht="12.75" customHeight="1" s="1883">
      <c r="A3" s="212" t="n"/>
      <c r="B3" s="213" t="n"/>
      <c r="C3" s="214" t="inlineStr">
        <is>
          <t>Headcount</t>
        </is>
      </c>
      <c r="D3" s="213" t="n"/>
      <c r="E3" s="215" t="n"/>
      <c r="F3" s="215" t="n"/>
      <c r="G3" s="215" t="n"/>
      <c r="H3" s="215" t="n"/>
      <c r="I3" s="215" t="n"/>
      <c r="J3" s="215" t="n"/>
      <c r="K3" s="215" t="n"/>
      <c r="L3" s="215" t="n"/>
      <c r="M3" s="215" t="n"/>
      <c r="N3" s="215" t="n"/>
      <c r="O3" s="215" t="n"/>
      <c r="P3" s="215" t="n"/>
      <c r="Q3" s="1285" t="n"/>
      <c r="R3" s="1285" t="n"/>
      <c r="S3" s="215" t="n"/>
      <c r="T3" s="215" t="n"/>
      <c r="U3" s="215" t="n"/>
      <c r="V3" s="215" t="n"/>
      <c r="W3" s="1286" t="n"/>
      <c r="X3" s="2115" t="n"/>
      <c r="Y3" s="2115" t="n"/>
      <c r="Z3" s="59" t="n"/>
      <c r="AA3" s="59" t="n"/>
      <c r="AB3" s="216" t="n"/>
      <c r="AC3" s="59" t="n"/>
      <c r="AD3" s="59" t="n"/>
      <c r="AE3" s="59" t="n"/>
      <c r="AF3" s="59" t="n"/>
      <c r="AG3" s="59" t="n"/>
      <c r="AH3" s="59" t="n"/>
      <c r="AI3" s="1287" t="n"/>
      <c r="AJ3" s="59" t="n"/>
      <c r="AK3" s="59" t="n"/>
      <c r="AL3" s="59" t="n"/>
      <c r="AM3" s="59" t="n"/>
      <c r="AN3" s="59" t="n"/>
      <c r="AO3" s="216" t="n"/>
      <c r="AP3" s="59" t="n"/>
      <c r="AQ3" s="59" t="n"/>
      <c r="AR3" s="59" t="n"/>
      <c r="AS3" s="59" t="n"/>
      <c r="AT3" s="59" t="n"/>
      <c r="AU3" s="1039" t="n"/>
      <c r="AV3" s="59" t="n"/>
      <c r="AW3" s="59" t="n"/>
      <c r="AX3" s="59" t="n"/>
      <c r="AY3" s="59" t="n"/>
      <c r="AZ3" s="59" t="n"/>
      <c r="BA3" s="59" t="n"/>
      <c r="BB3" s="59" t="n"/>
      <c r="BC3" s="59" t="n"/>
      <c r="BD3" s="59" t="n"/>
      <c r="BE3" s="59" t="n"/>
      <c r="BF3" s="59" t="n"/>
      <c r="BG3" s="1039" t="n"/>
      <c r="BH3" s="59" t="n"/>
      <c r="BI3" s="59" t="n"/>
      <c r="BJ3" s="59" t="n"/>
      <c r="BK3" s="59" t="n"/>
      <c r="BL3" s="59" t="n"/>
      <c r="BM3" s="59" t="n"/>
      <c r="BN3" s="59" t="n"/>
      <c r="BO3" s="59" t="n"/>
      <c r="BP3" s="59" t="n"/>
      <c r="BQ3" s="59" t="n"/>
      <c r="BR3" s="59" t="n"/>
      <c r="BS3" s="1039" t="n"/>
      <c r="BT3" s="59" t="n"/>
      <c r="BU3" s="59" t="n"/>
      <c r="BV3" s="59" t="n"/>
      <c r="BW3" s="59" t="n"/>
      <c r="BX3" s="59" t="n"/>
      <c r="BY3" s="59" t="n"/>
      <c r="BZ3" s="59" t="n"/>
      <c r="CA3" s="59" t="n"/>
      <c r="CB3" s="59" t="n"/>
      <c r="CC3" s="59" t="n"/>
      <c r="CD3" s="59" t="n"/>
      <c r="CE3" s="1039" t="n"/>
    </row>
    <row r="4" ht="12.75" customHeight="1" s="1883">
      <c r="A4" s="55" t="n"/>
      <c r="B4" s="55" t="n"/>
      <c r="C4" s="55" t="n"/>
      <c r="D4" s="217" t="inlineStr">
        <is>
          <t>Monthly</t>
        </is>
      </c>
      <c r="E4" s="218" t="n"/>
      <c r="F4" s="218" t="n"/>
      <c r="G4" s="218" t="n"/>
      <c r="H4" s="218" t="n"/>
      <c r="I4" s="218" t="n"/>
      <c r="J4" s="218" t="n"/>
      <c r="K4" s="218" t="n"/>
      <c r="L4" s="218" t="n"/>
      <c r="M4" s="218" t="n"/>
      <c r="N4" s="218" t="n"/>
      <c r="O4" s="218" t="n"/>
      <c r="P4" s="218" t="n"/>
      <c r="Q4" s="1288" t="n"/>
      <c r="R4" s="1288" t="n"/>
      <c r="S4" s="218" t="n"/>
      <c r="T4" s="218" t="n"/>
      <c r="U4" s="218" t="n"/>
      <c r="V4" s="218" t="n"/>
      <c r="W4" s="1289" t="n"/>
      <c r="X4" s="2115" t="n"/>
      <c r="Y4" s="2115" t="n"/>
      <c r="Z4" s="59" t="n"/>
      <c r="AA4" s="59" t="n"/>
      <c r="AB4" s="59" t="n"/>
      <c r="AC4" s="59" t="n"/>
      <c r="AD4" s="59" t="n"/>
      <c r="AE4" s="59" t="n"/>
      <c r="AF4" s="59" t="n"/>
      <c r="AG4" s="59" t="n"/>
      <c r="AH4" s="59" t="n"/>
      <c r="AI4" s="1039" t="n"/>
      <c r="AJ4" s="59" t="n"/>
      <c r="AK4" s="59" t="n"/>
      <c r="AL4" s="59" t="n"/>
      <c r="AM4" s="59" t="n"/>
      <c r="AN4" s="59" t="n"/>
      <c r="AO4" s="59" t="n"/>
      <c r="AP4" s="59" t="n"/>
      <c r="AQ4" s="59" t="n"/>
      <c r="AR4" s="59" t="n"/>
      <c r="AS4" s="59" t="n"/>
      <c r="AT4" s="59" t="n"/>
      <c r="AU4" s="1039" t="n"/>
      <c r="AV4" s="59" t="n"/>
      <c r="AW4" s="59" t="n"/>
      <c r="AX4" s="59" t="n"/>
      <c r="AY4" s="59" t="n"/>
      <c r="AZ4" s="59" t="n"/>
      <c r="BA4" s="59" t="n"/>
      <c r="BB4" s="59" t="n"/>
      <c r="BC4" s="59" t="n"/>
      <c r="BD4" s="59" t="n"/>
      <c r="BE4" s="59" t="n"/>
      <c r="BF4" s="59" t="n"/>
      <c r="BG4" s="1039" t="n"/>
      <c r="BH4" s="59" t="n"/>
      <c r="BI4" s="59" t="n"/>
      <c r="BJ4" s="59" t="n"/>
      <c r="BK4" s="59" t="n"/>
      <c r="BL4" s="59" t="n"/>
      <c r="BM4" s="59" t="n"/>
      <c r="BN4" s="59" t="n"/>
      <c r="BO4" s="59" t="n"/>
      <c r="BP4" s="59" t="n"/>
      <c r="BQ4" s="59" t="n"/>
      <c r="BR4" s="59" t="n"/>
      <c r="BS4" s="1039" t="n"/>
      <c r="BT4" s="59" t="n"/>
      <c r="BU4" s="59" t="n"/>
      <c r="BV4" s="59" t="n"/>
      <c r="BW4" s="59" t="n"/>
      <c r="BX4" s="59" t="n"/>
      <c r="BY4" s="59" t="n"/>
      <c r="BZ4" s="59" t="n"/>
      <c r="CA4" s="59" t="n"/>
      <c r="CB4" s="59" t="n"/>
      <c r="CC4" s="59" t="n"/>
      <c r="CD4" s="59" t="n"/>
      <c r="CE4" s="1039" t="n"/>
    </row>
    <row r="5" ht="13.5" customHeight="1" s="1883">
      <c r="A5" s="55" t="n"/>
      <c r="B5" s="1290" t="n"/>
      <c r="C5" s="1290" t="n"/>
      <c r="D5" s="1290" t="n"/>
      <c r="E5" s="1984" t="inlineStr">
        <is>
          <t>Pre-Ramp</t>
        </is>
      </c>
      <c r="F5" s="1973" t="inlineStr">
        <is>
          <t>Ramp Up</t>
        </is>
      </c>
      <c r="G5" s="1973" t="inlineStr">
        <is>
          <t>FY1</t>
        </is>
      </c>
      <c r="H5" s="1973" t="inlineStr">
        <is>
          <t>FY2</t>
        </is>
      </c>
      <c r="I5" s="1973" t="inlineStr">
        <is>
          <t>FY3</t>
        </is>
      </c>
      <c r="J5" s="1973" t="inlineStr">
        <is>
          <t>FY4</t>
        </is>
      </c>
      <c r="K5" s="1973" t="inlineStr">
        <is>
          <t xml:space="preserve">FY5 </t>
        </is>
      </c>
      <c r="L5" s="1291" t="n"/>
      <c r="M5" s="1291" t="n"/>
      <c r="N5" s="1291" t="n"/>
      <c r="O5" s="1291" t="n"/>
      <c r="P5" s="1291" t="n"/>
      <c r="Q5" s="2116" t="n"/>
      <c r="R5" s="1293" t="n"/>
      <c r="S5" s="1291" t="n"/>
      <c r="T5" s="1291" t="n"/>
      <c r="U5" s="1291" t="n"/>
      <c r="V5" s="1291" t="n"/>
      <c r="W5" s="2117" t="n"/>
      <c r="X5" s="220" t="n"/>
      <c r="Y5" s="1291" t="n"/>
      <c r="Z5" s="1291" t="n"/>
      <c r="AA5" s="1291" t="n"/>
      <c r="AB5" s="1291" t="n"/>
      <c r="AC5" s="1291" t="n"/>
      <c r="AD5" s="1291" t="n"/>
      <c r="AE5" s="1291" t="n"/>
      <c r="AF5" s="1291" t="n"/>
      <c r="AG5" s="1291" t="n"/>
      <c r="AH5" s="1291" t="n"/>
      <c r="AI5" s="221" t="n"/>
      <c r="AJ5" s="1291" t="n"/>
      <c r="AK5" s="1291" t="n"/>
      <c r="AL5" s="1291" t="n"/>
      <c r="AM5" s="1291" t="n"/>
      <c r="AN5" s="1291" t="n"/>
      <c r="AO5" s="1291" t="n"/>
      <c r="AP5" s="1291" t="n"/>
      <c r="AQ5" s="1291" t="n"/>
      <c r="AR5" s="1291" t="n"/>
      <c r="AS5" s="1291" t="n"/>
      <c r="AT5" s="1291" t="n"/>
      <c r="AU5" s="221" t="n"/>
      <c r="AV5" s="1291" t="n"/>
      <c r="AW5" s="1291" t="n"/>
      <c r="AX5" s="1291" t="n"/>
      <c r="AY5" s="1291" t="n"/>
      <c r="AZ5" s="1291" t="n"/>
      <c r="BA5" s="220" t="n"/>
      <c r="BB5" s="1291" t="n"/>
      <c r="BC5" s="1291" t="n"/>
      <c r="BD5" s="1291" t="n"/>
      <c r="BE5" s="1291" t="n"/>
      <c r="BF5" s="1291" t="n"/>
      <c r="BG5" s="221" t="n"/>
      <c r="BH5" s="1291" t="n"/>
      <c r="BI5" s="1291" t="n"/>
      <c r="BJ5" s="1291" t="n"/>
      <c r="BK5" s="1291" t="n"/>
      <c r="BL5" s="1291" t="n"/>
      <c r="BM5" s="220" t="n"/>
      <c r="BN5" s="1291" t="n"/>
      <c r="BO5" s="1291" t="n"/>
      <c r="BP5" s="1291" t="n"/>
      <c r="BQ5" s="1291" t="n"/>
      <c r="BR5" s="1291" t="n"/>
      <c r="BS5" s="221" t="n"/>
      <c r="BT5" s="1291" t="n"/>
      <c r="BU5" s="1291" t="n"/>
      <c r="BV5" s="1291" t="n"/>
      <c r="BW5" s="1291" t="n"/>
      <c r="BX5" s="1291" t="n"/>
      <c r="BY5" s="220" t="n"/>
      <c r="BZ5" s="1291" t="n"/>
      <c r="CA5" s="1291" t="n"/>
      <c r="CB5" s="1291" t="n"/>
      <c r="CC5" s="1291" t="n"/>
      <c r="CD5" s="1291" t="n"/>
      <c r="CE5" s="221" t="n"/>
    </row>
    <row r="6" ht="12.75" customHeight="1" s="1883">
      <c r="A6" s="88" t="n"/>
      <c r="B6" s="1290" t="n"/>
      <c r="C6" s="1290" t="n"/>
      <c r="D6" s="1290" t="n"/>
      <c r="L6" s="1294" t="inlineStr">
        <is>
          <t>-12</t>
        </is>
      </c>
      <c r="M6" s="1294" t="inlineStr">
        <is>
          <t>-11</t>
        </is>
      </c>
      <c r="N6" s="1294" t="inlineStr">
        <is>
          <t>-10</t>
        </is>
      </c>
      <c r="O6" s="1294" t="inlineStr">
        <is>
          <t>-9</t>
        </is>
      </c>
      <c r="P6" s="1294" t="inlineStr">
        <is>
          <t>-8</t>
        </is>
      </c>
      <c r="Q6" s="1295" t="inlineStr">
        <is>
          <t>-7</t>
        </is>
      </c>
      <c r="R6" s="1295" t="inlineStr">
        <is>
          <t>-6</t>
        </is>
      </c>
      <c r="S6" s="1294" t="inlineStr">
        <is>
          <t>-5</t>
        </is>
      </c>
      <c r="T6" s="1294" t="inlineStr">
        <is>
          <t>-4</t>
        </is>
      </c>
      <c r="U6" s="1294" t="inlineStr">
        <is>
          <t>-3</t>
        </is>
      </c>
      <c r="V6" s="1294" t="inlineStr">
        <is>
          <t>-2</t>
        </is>
      </c>
      <c r="W6" s="222" t="inlineStr">
        <is>
          <t>-1</t>
        </is>
      </c>
      <c r="X6" s="220" t="inlineStr">
        <is>
          <t>M1</t>
        </is>
      </c>
      <c r="Y6" s="1291" t="inlineStr">
        <is>
          <t>M2</t>
        </is>
      </c>
      <c r="Z6" s="1291" t="inlineStr">
        <is>
          <t>M3</t>
        </is>
      </c>
      <c r="AA6" s="1291" t="inlineStr">
        <is>
          <t>M4</t>
        </is>
      </c>
      <c r="AB6" s="1291" t="inlineStr">
        <is>
          <t>M5</t>
        </is>
      </c>
      <c r="AC6" s="1291" t="inlineStr">
        <is>
          <t>M6</t>
        </is>
      </c>
      <c r="AD6" s="1291" t="inlineStr">
        <is>
          <t>M7</t>
        </is>
      </c>
      <c r="AE6" s="1291" t="inlineStr">
        <is>
          <t>M8</t>
        </is>
      </c>
      <c r="AF6" s="1291" t="inlineStr">
        <is>
          <t>M9</t>
        </is>
      </c>
      <c r="AG6" s="1291" t="inlineStr">
        <is>
          <t>M10</t>
        </is>
      </c>
      <c r="AH6" s="1291" t="inlineStr">
        <is>
          <t>M11</t>
        </is>
      </c>
      <c r="AI6" s="221" t="inlineStr">
        <is>
          <t>M12</t>
        </is>
      </c>
      <c r="AJ6" s="1291" t="inlineStr">
        <is>
          <t>M13</t>
        </is>
      </c>
      <c r="AK6" s="1291" t="inlineStr">
        <is>
          <t>M14</t>
        </is>
      </c>
      <c r="AL6" s="1291" t="inlineStr">
        <is>
          <t>M15</t>
        </is>
      </c>
      <c r="AM6" s="1291" t="inlineStr">
        <is>
          <t>M16</t>
        </is>
      </c>
      <c r="AN6" s="1291" t="inlineStr">
        <is>
          <t>M17</t>
        </is>
      </c>
      <c r="AO6" s="1291" t="inlineStr">
        <is>
          <t>M18</t>
        </is>
      </c>
      <c r="AP6" s="1291" t="inlineStr">
        <is>
          <t>M19</t>
        </is>
      </c>
      <c r="AQ6" s="1291" t="inlineStr">
        <is>
          <t>M20</t>
        </is>
      </c>
      <c r="AR6" s="1291" t="inlineStr">
        <is>
          <t>M21</t>
        </is>
      </c>
      <c r="AS6" s="1291" t="inlineStr">
        <is>
          <t>M22</t>
        </is>
      </c>
      <c r="AT6" s="1291" t="inlineStr">
        <is>
          <t>M23</t>
        </is>
      </c>
      <c r="AU6" s="221" t="inlineStr">
        <is>
          <t>M24</t>
        </is>
      </c>
      <c r="AV6" s="1291" t="inlineStr">
        <is>
          <t>M25</t>
        </is>
      </c>
      <c r="AW6" s="1291" t="inlineStr">
        <is>
          <t>M26</t>
        </is>
      </c>
      <c r="AX6" s="1291" t="inlineStr">
        <is>
          <t>M27</t>
        </is>
      </c>
      <c r="AY6" s="1291" t="inlineStr">
        <is>
          <t>M28</t>
        </is>
      </c>
      <c r="AZ6" s="1291" t="inlineStr">
        <is>
          <t>M29</t>
        </is>
      </c>
      <c r="BA6" s="220" t="inlineStr">
        <is>
          <t>M30</t>
        </is>
      </c>
      <c r="BB6" s="1291" t="inlineStr">
        <is>
          <t>M31</t>
        </is>
      </c>
      <c r="BC6" s="1291" t="inlineStr">
        <is>
          <t>M32</t>
        </is>
      </c>
      <c r="BD6" s="1291" t="inlineStr">
        <is>
          <t>M33</t>
        </is>
      </c>
      <c r="BE6" s="1291" t="inlineStr">
        <is>
          <t>M34</t>
        </is>
      </c>
      <c r="BF6" s="1291" t="inlineStr">
        <is>
          <t>M35</t>
        </is>
      </c>
      <c r="BG6" s="221" t="inlineStr">
        <is>
          <t>M36</t>
        </is>
      </c>
      <c r="BH6" s="1291" t="inlineStr">
        <is>
          <t>M37</t>
        </is>
      </c>
      <c r="BI6" s="1291" t="inlineStr">
        <is>
          <t>M38</t>
        </is>
      </c>
      <c r="BJ6" s="1291" t="inlineStr">
        <is>
          <t>M39</t>
        </is>
      </c>
      <c r="BK6" s="1291" t="inlineStr">
        <is>
          <t>M40</t>
        </is>
      </c>
      <c r="BL6" s="1291" t="inlineStr">
        <is>
          <t>M41</t>
        </is>
      </c>
      <c r="BM6" s="220" t="inlineStr">
        <is>
          <t>M42</t>
        </is>
      </c>
      <c r="BN6" s="1291" t="inlineStr">
        <is>
          <t>M43</t>
        </is>
      </c>
      <c r="BO6" s="1291" t="inlineStr">
        <is>
          <t>M44</t>
        </is>
      </c>
      <c r="BP6" s="1291" t="inlineStr">
        <is>
          <t>M45</t>
        </is>
      </c>
      <c r="BQ6" s="1291" t="inlineStr">
        <is>
          <t>M46</t>
        </is>
      </c>
      <c r="BR6" s="1291" t="inlineStr">
        <is>
          <t>M47</t>
        </is>
      </c>
      <c r="BS6" s="221" t="inlineStr">
        <is>
          <t>M48</t>
        </is>
      </c>
      <c r="BT6" s="1291" t="inlineStr">
        <is>
          <t>M49</t>
        </is>
      </c>
      <c r="BU6" s="1291" t="inlineStr">
        <is>
          <t>M50</t>
        </is>
      </c>
      <c r="BV6" s="1291" t="inlineStr">
        <is>
          <t>M51</t>
        </is>
      </c>
      <c r="BW6" s="1291" t="inlineStr">
        <is>
          <t>M52</t>
        </is>
      </c>
      <c r="BX6" s="1291" t="inlineStr">
        <is>
          <t>M53</t>
        </is>
      </c>
      <c r="BY6" s="220" t="inlineStr">
        <is>
          <t>M54</t>
        </is>
      </c>
      <c r="BZ6" s="1291" t="inlineStr">
        <is>
          <t>M55</t>
        </is>
      </c>
      <c r="CA6" s="1291" t="inlineStr">
        <is>
          <t>M56</t>
        </is>
      </c>
      <c r="CB6" s="1291" t="inlineStr">
        <is>
          <t>M57</t>
        </is>
      </c>
      <c r="CC6" s="1291" t="inlineStr">
        <is>
          <t>M58</t>
        </is>
      </c>
      <c r="CD6" s="1291" t="inlineStr">
        <is>
          <t>M59</t>
        </is>
      </c>
      <c r="CE6" s="221" t="inlineStr">
        <is>
          <t>M60</t>
        </is>
      </c>
    </row>
    <row r="7" ht="12.75" customHeight="1" s="1883">
      <c r="A7" s="55" t="n"/>
      <c r="B7" s="55" t="n"/>
      <c r="C7" s="55" t="n"/>
      <c r="D7" s="55" t="n"/>
      <c r="E7" s="55" t="n"/>
      <c r="F7" s="55" t="n"/>
      <c r="G7" s="55" t="n"/>
      <c r="H7" s="2118" t="n">
        <v>0.25</v>
      </c>
      <c r="I7" s="2118" t="n">
        <v>0.205</v>
      </c>
      <c r="J7" s="2118" t="n">
        <v>0.205</v>
      </c>
      <c r="K7" s="2118" t="n">
        <v>0.25</v>
      </c>
      <c r="L7" s="55" t="n"/>
      <c r="M7" s="55" t="n"/>
      <c r="N7" s="55" t="n"/>
      <c r="O7" s="55" t="n"/>
      <c r="P7" s="55" t="n"/>
      <c r="Q7" s="1038" t="n"/>
      <c r="R7" s="1038" t="n"/>
      <c r="S7" s="55" t="n"/>
      <c r="T7" s="55" t="n"/>
      <c r="U7" s="55" t="n"/>
      <c r="V7" s="55" t="n"/>
      <c r="W7" s="1297" t="n"/>
      <c r="X7" s="536" t="n"/>
      <c r="Y7" s="223" t="n"/>
      <c r="Z7" s="223" t="n"/>
      <c r="AA7" s="223" t="n"/>
      <c r="AB7" s="223" t="n"/>
      <c r="AC7" s="223" t="n"/>
      <c r="AD7" s="223" t="n"/>
      <c r="AE7" s="223" t="n"/>
      <c r="AF7" s="223" t="n"/>
      <c r="AG7" s="223" t="n"/>
      <c r="AH7" s="223" t="n"/>
      <c r="AI7" s="1298" t="n"/>
      <c r="AJ7" s="223" t="n"/>
      <c r="AK7" s="223" t="n"/>
      <c r="AL7" s="223" t="n"/>
      <c r="AM7" s="223" t="n"/>
      <c r="AN7" s="223" t="n"/>
      <c r="AO7" s="223" t="n"/>
      <c r="AP7" s="223" t="n"/>
      <c r="AQ7" s="223" t="n"/>
      <c r="AR7" s="223" t="n"/>
      <c r="AS7" s="223" t="n"/>
      <c r="AT7" s="223" t="n"/>
      <c r="AU7" s="1298" t="n"/>
      <c r="AV7" s="223" t="n"/>
      <c r="AW7" s="223" t="n"/>
      <c r="AX7" s="223" t="n"/>
      <c r="AY7" s="223" t="n"/>
      <c r="AZ7" s="223" t="n"/>
      <c r="BA7" s="223" t="n"/>
      <c r="BB7" s="223" t="n"/>
      <c r="BC7" s="223" t="n"/>
      <c r="BD7" s="223" t="n"/>
      <c r="BE7" s="223" t="n"/>
      <c r="BF7" s="223" t="n"/>
      <c r="BG7" s="1298" t="n"/>
      <c r="BH7" s="223" t="n"/>
      <c r="BI7" s="223" t="n"/>
      <c r="BJ7" s="59" t="n"/>
      <c r="BK7" s="59" t="n"/>
      <c r="BL7" s="59" t="n"/>
      <c r="BM7" s="59" t="n"/>
      <c r="BN7" s="59" t="n"/>
      <c r="BO7" s="59" t="n"/>
      <c r="BP7" s="59" t="n"/>
      <c r="BQ7" s="59" t="n"/>
      <c r="BR7" s="59" t="n"/>
      <c r="BS7" s="1039" t="n"/>
      <c r="BT7" s="59" t="n"/>
      <c r="BU7" s="59" t="n"/>
      <c r="BV7" s="59" t="n"/>
      <c r="BW7" s="59" t="n"/>
      <c r="BX7" s="59" t="n"/>
      <c r="BY7" s="59" t="n"/>
      <c r="BZ7" s="59" t="n"/>
      <c r="CA7" s="59" t="n"/>
      <c r="CB7" s="59" t="n"/>
      <c r="CC7" s="59" t="n"/>
      <c r="CD7" s="59" t="n"/>
      <c r="CE7" s="1039" t="n"/>
    </row>
    <row r="8" ht="12.75" customHeight="1" s="1883">
      <c r="A8" s="55" t="n"/>
      <c r="B8" s="88" t="n"/>
      <c r="C8" s="103" t="inlineStr">
        <is>
          <t>Headcount</t>
        </is>
      </c>
      <c r="D8" s="98" t="n"/>
      <c r="E8" s="55" t="n"/>
      <c r="F8" s="55" t="n"/>
      <c r="G8" s="55" t="n"/>
      <c r="H8" s="2118" t="n">
        <v>0.205</v>
      </c>
      <c r="I8" s="2118" t="n">
        <v>0.205</v>
      </c>
      <c r="J8" s="2118" t="n">
        <v>0.205</v>
      </c>
      <c r="K8" s="2118" t="n">
        <v>0.16</v>
      </c>
      <c r="L8" s="55" t="n"/>
      <c r="M8" s="55" t="n"/>
      <c r="N8" s="55" t="n"/>
      <c r="O8" s="55" t="n"/>
      <c r="P8" s="55" t="n"/>
      <c r="Q8" s="1038" t="n"/>
      <c r="R8" s="1038" t="n"/>
      <c r="S8" s="55" t="n"/>
      <c r="T8" s="55" t="n"/>
      <c r="U8" s="55" t="n"/>
      <c r="V8" s="55" t="n"/>
      <c r="W8" s="1297" t="n"/>
      <c r="X8" s="536" t="n"/>
      <c r="Y8" s="223" t="n"/>
      <c r="Z8" s="223" t="n"/>
      <c r="AA8" s="223" t="n"/>
      <c r="AB8" s="223" t="n"/>
      <c r="AC8" s="223" t="n"/>
      <c r="AD8" s="223" t="n"/>
      <c r="AE8" s="223" t="n"/>
      <c r="AF8" s="223" t="n"/>
      <c r="AG8" s="223" t="n"/>
      <c r="AH8" s="223" t="n"/>
      <c r="AI8" s="1298" t="n"/>
      <c r="AJ8" s="223" t="n"/>
      <c r="AK8" s="223" t="n"/>
      <c r="AL8" s="223" t="n"/>
      <c r="AM8" s="223" t="n"/>
      <c r="AN8" s="223" t="n"/>
      <c r="AO8" s="223" t="n"/>
      <c r="AP8" s="223" t="n"/>
      <c r="AQ8" s="223" t="n"/>
      <c r="AR8" s="223" t="n"/>
      <c r="AS8" s="223" t="n"/>
      <c r="AT8" s="223" t="n"/>
      <c r="AU8" s="1298" t="n"/>
      <c r="AV8" s="223" t="n"/>
      <c r="AW8" s="223" t="n"/>
      <c r="AX8" s="223" t="n"/>
      <c r="AY8" s="223" t="n"/>
      <c r="AZ8" s="223" t="n"/>
      <c r="BA8" s="223" t="n"/>
      <c r="BB8" s="223" t="n"/>
      <c r="BC8" s="223" t="n"/>
      <c r="BD8" s="223" t="n"/>
      <c r="BE8" s="223" t="n"/>
      <c r="BF8" s="223" t="n"/>
      <c r="BG8" s="1298" t="n"/>
      <c r="BH8" s="223" t="n"/>
      <c r="BI8" s="223" t="n"/>
      <c r="BJ8" s="59" t="n"/>
      <c r="BK8" s="59" t="n"/>
      <c r="BL8" s="59" t="n"/>
      <c r="BM8" s="59" t="n"/>
      <c r="BN8" s="59" t="n"/>
      <c r="BO8" s="59" t="n"/>
      <c r="BP8" s="59" t="n"/>
      <c r="BQ8" s="59" t="n"/>
      <c r="BR8" s="59" t="n"/>
      <c r="BS8" s="1039" t="n"/>
      <c r="BT8" s="59" t="n"/>
      <c r="BU8" s="59" t="n"/>
      <c r="BV8" s="59" t="n"/>
      <c r="BW8" s="59" t="n"/>
      <c r="BX8" s="59" t="n"/>
      <c r="BY8" s="59" t="n"/>
      <c r="BZ8" s="59" t="n"/>
      <c r="CA8" s="59" t="n"/>
      <c r="CB8" s="59" t="n"/>
      <c r="CC8" s="59" t="n"/>
      <c r="CD8" s="59" t="n"/>
      <c r="CE8" s="1039" t="n"/>
    </row>
    <row r="9" ht="12.75" customHeight="1" s="1883">
      <c r="A9" s="55" t="n"/>
      <c r="B9" s="55" t="n"/>
      <c r="C9" s="55" t="n"/>
      <c r="D9" s="88" t="inlineStr">
        <is>
          <t>Management team</t>
        </is>
      </c>
      <c r="E9" s="55" t="n"/>
      <c r="F9" s="55" t="n"/>
      <c r="G9" s="55" t="n"/>
      <c r="H9" s="2118" t="n">
        <v>0.052</v>
      </c>
      <c r="I9" s="2118" t="n">
        <v>0.106</v>
      </c>
      <c r="J9" s="2118" t="n">
        <v>0.052</v>
      </c>
      <c r="K9" s="2118" t="n">
        <v>0.052</v>
      </c>
      <c r="L9" s="224" t="n"/>
      <c r="M9" s="224" t="n"/>
      <c r="N9" s="224" t="n"/>
      <c r="O9" s="224" t="n"/>
      <c r="P9" s="224" t="n"/>
      <c r="Q9" s="1299" t="n"/>
      <c r="R9" s="1299" t="n"/>
      <c r="S9" s="224" t="n"/>
      <c r="T9" s="224" t="n"/>
      <c r="U9" s="224" t="n"/>
      <c r="V9" s="224" t="n"/>
      <c r="W9" s="1300" t="n"/>
      <c r="X9" s="537" t="n"/>
      <c r="Y9" s="65" t="n"/>
      <c r="Z9" s="65" t="n"/>
      <c r="AA9" s="65" t="n"/>
      <c r="AB9" s="225" t="n"/>
      <c r="AC9" s="65" t="n"/>
      <c r="AD9" s="225" t="n"/>
      <c r="AE9" s="65" t="n"/>
      <c r="AF9" s="65" t="n"/>
      <c r="AG9" s="65" t="n"/>
      <c r="AH9" s="65" t="n"/>
      <c r="AI9" s="1065" t="n"/>
      <c r="AJ9" s="65" t="n"/>
      <c r="AK9" s="65" t="n"/>
      <c r="AL9" s="65" t="n"/>
      <c r="AM9" s="65" t="n"/>
      <c r="AN9" s="65" t="n"/>
      <c r="AO9" s="65" t="n"/>
      <c r="AP9" s="65" t="n"/>
      <c r="AQ9" s="65" t="n"/>
      <c r="AR9" s="65" t="n"/>
      <c r="AS9" s="65" t="n"/>
      <c r="AT9" s="65" t="n"/>
      <c r="AU9" s="1065" t="n"/>
      <c r="AV9" s="65" t="n"/>
      <c r="AW9" s="65" t="n"/>
      <c r="AX9" s="65" t="n"/>
      <c r="AY9" s="65" t="n"/>
      <c r="AZ9" s="65" t="n"/>
      <c r="BA9" s="65" t="n"/>
      <c r="BB9" s="65" t="n"/>
      <c r="BC9" s="65" t="n"/>
      <c r="BD9" s="65" t="n"/>
      <c r="BE9" s="65" t="n"/>
      <c r="BF9" s="65" t="n"/>
      <c r="BG9" s="1065" t="n"/>
      <c r="BH9" s="226" t="n"/>
      <c r="BI9" s="226" t="n"/>
      <c r="BJ9" s="59" t="n"/>
      <c r="BK9" s="59" t="n"/>
      <c r="BL9" s="59" t="n"/>
      <c r="BM9" s="59" t="n"/>
      <c r="BN9" s="59" t="n"/>
      <c r="BO9" s="59" t="n"/>
      <c r="BP9" s="59" t="n"/>
      <c r="BQ9" s="59" t="n"/>
      <c r="BR9" s="59" t="n"/>
      <c r="BS9" s="1039" t="n"/>
      <c r="BT9" s="59" t="n"/>
      <c r="BU9" s="59" t="n"/>
      <c r="BV9" s="59" t="n"/>
      <c r="BW9" s="59" t="n"/>
      <c r="BX9" s="59" t="n"/>
      <c r="BY9" s="59" t="n"/>
      <c r="BZ9" s="59" t="n"/>
      <c r="CA9" s="59" t="n"/>
      <c r="CB9" s="59" t="n"/>
      <c r="CC9" s="59" t="n"/>
      <c r="CD9" s="59" t="n"/>
      <c r="CE9" s="1039" t="n"/>
    </row>
    <row r="10" ht="12.75" customHeight="1" s="1883">
      <c r="A10" s="227" t="n"/>
      <c r="B10" s="55" t="n"/>
      <c r="C10" s="88" t="inlineStr">
        <is>
          <t>M</t>
        </is>
      </c>
      <c r="D10" s="1301" t="inlineStr">
        <is>
          <t>Jared Sanborn – Chairman &amp; Chief Executive Officer</t>
        </is>
      </c>
      <c r="E10" s="530" t="n">
        <v>0</v>
      </c>
      <c r="F10" s="530">
        <f>6100*6</f>
        <v/>
      </c>
      <c r="G10" s="530" t="n">
        <v>178000</v>
      </c>
      <c r="H10" s="69">
        <f>G10+(G10*H$7)</f>
        <v/>
      </c>
      <c r="I10" s="69">
        <f>H10+(H10*I$7)</f>
        <v/>
      </c>
      <c r="J10" s="69">
        <f>I10+(I10*J$7)</f>
        <v/>
      </c>
      <c r="K10" s="69">
        <f>J10+(J10*K$7)</f>
        <v/>
      </c>
      <c r="L10" s="531" t="n">
        <v>1</v>
      </c>
      <c r="M10" s="531" t="n">
        <v>1</v>
      </c>
      <c r="N10" s="531" t="n">
        <v>1</v>
      </c>
      <c r="O10" s="531" t="n">
        <v>1</v>
      </c>
      <c r="P10" s="531" t="n">
        <v>1</v>
      </c>
      <c r="Q10" s="1302" t="n">
        <v>1</v>
      </c>
      <c r="R10" s="1302" t="n">
        <v>1</v>
      </c>
      <c r="S10" s="531" t="n">
        <v>1</v>
      </c>
      <c r="T10" s="531" t="n">
        <v>1</v>
      </c>
      <c r="U10" s="531" t="n">
        <v>1</v>
      </c>
      <c r="V10" s="531" t="n">
        <v>1</v>
      </c>
      <c r="W10" s="228" t="n">
        <v>1</v>
      </c>
      <c r="X10" s="229" t="n">
        <v>1</v>
      </c>
      <c r="Y10" s="531">
        <f>X10</f>
        <v/>
      </c>
      <c r="Z10" s="531">
        <f>Y10</f>
        <v/>
      </c>
      <c r="AA10" s="531">
        <f>Z10</f>
        <v/>
      </c>
      <c r="AB10" s="531">
        <f>AA10</f>
        <v/>
      </c>
      <c r="AC10" s="531">
        <f>AB10</f>
        <v/>
      </c>
      <c r="AD10" s="531">
        <f>AC10</f>
        <v/>
      </c>
      <c r="AE10" s="531">
        <f>AD10</f>
        <v/>
      </c>
      <c r="AF10" s="531">
        <f>AE10</f>
        <v/>
      </c>
      <c r="AG10" s="531">
        <f>AF10</f>
        <v/>
      </c>
      <c r="AH10" s="531">
        <f>AG10</f>
        <v/>
      </c>
      <c r="AI10" s="228">
        <f>AH10</f>
        <v/>
      </c>
      <c r="AJ10" s="532" t="n">
        <v>1</v>
      </c>
      <c r="AK10" s="533">
        <f>AJ10</f>
        <v/>
      </c>
      <c r="AL10" s="533">
        <f>AK10</f>
        <v/>
      </c>
      <c r="AM10" s="533">
        <f>AL10</f>
        <v/>
      </c>
      <c r="AN10" s="533">
        <f>AM10</f>
        <v/>
      </c>
      <c r="AO10" s="533">
        <f>AN10</f>
        <v/>
      </c>
      <c r="AP10" s="533">
        <f>AO10</f>
        <v/>
      </c>
      <c r="AQ10" s="533">
        <f>AP10</f>
        <v/>
      </c>
      <c r="AR10" s="533">
        <f>AQ10</f>
        <v/>
      </c>
      <c r="AS10" s="533">
        <f>AR10</f>
        <v/>
      </c>
      <c r="AT10" s="533">
        <f>AS10</f>
        <v/>
      </c>
      <c r="AU10" s="230">
        <f>AT10</f>
        <v/>
      </c>
      <c r="AV10" s="532" t="n">
        <v>1</v>
      </c>
      <c r="AW10" s="533">
        <f>AV10</f>
        <v/>
      </c>
      <c r="AX10" s="533">
        <f>AW10</f>
        <v/>
      </c>
      <c r="AY10" s="533">
        <f>AX10</f>
        <v/>
      </c>
      <c r="AZ10" s="533">
        <f>AY10</f>
        <v/>
      </c>
      <c r="BA10" s="231">
        <f>AZ10</f>
        <v/>
      </c>
      <c r="BB10" s="533">
        <f>BA10</f>
        <v/>
      </c>
      <c r="BC10" s="533">
        <f>BB10</f>
        <v/>
      </c>
      <c r="BD10" s="533">
        <f>BC10</f>
        <v/>
      </c>
      <c r="BE10" s="533">
        <f>BD10</f>
        <v/>
      </c>
      <c r="BF10" s="533">
        <f>BE10</f>
        <v/>
      </c>
      <c r="BG10" s="230">
        <f>BF10</f>
        <v/>
      </c>
      <c r="BH10" s="533">
        <f>BG10</f>
        <v/>
      </c>
      <c r="BI10" s="533">
        <f>BH10</f>
        <v/>
      </c>
      <c r="BJ10" s="533">
        <f>BI10</f>
        <v/>
      </c>
      <c r="BK10" s="533">
        <f>BJ10</f>
        <v/>
      </c>
      <c r="BL10" s="533">
        <f>BK10</f>
        <v/>
      </c>
      <c r="BM10" s="231">
        <f>BL10</f>
        <v/>
      </c>
      <c r="BN10" s="533">
        <f>BM10</f>
        <v/>
      </c>
      <c r="BO10" s="533">
        <f>BN10</f>
        <v/>
      </c>
      <c r="BP10" s="533">
        <f>BO10</f>
        <v/>
      </c>
      <c r="BQ10" s="533">
        <f>BP10</f>
        <v/>
      </c>
      <c r="BR10" s="533">
        <f>BQ10</f>
        <v/>
      </c>
      <c r="BS10" s="230">
        <f>BR10</f>
        <v/>
      </c>
      <c r="BT10" s="533">
        <f>BS10</f>
        <v/>
      </c>
      <c r="BU10" s="533">
        <f>BT10</f>
        <v/>
      </c>
      <c r="BV10" s="533">
        <f>BU10</f>
        <v/>
      </c>
      <c r="BW10" s="533">
        <f>BV10</f>
        <v/>
      </c>
      <c r="BX10" s="533">
        <f>BW10</f>
        <v/>
      </c>
      <c r="BY10" s="231">
        <f>BX10</f>
        <v/>
      </c>
      <c r="BZ10" s="533">
        <f>BY10</f>
        <v/>
      </c>
      <c r="CA10" s="533">
        <f>BZ10</f>
        <v/>
      </c>
      <c r="CB10" s="533">
        <f>CA10</f>
        <v/>
      </c>
      <c r="CC10" s="533">
        <f>CB10</f>
        <v/>
      </c>
      <c r="CD10" s="533">
        <f>CC10</f>
        <v/>
      </c>
      <c r="CE10" s="230">
        <f>CD10</f>
        <v/>
      </c>
    </row>
    <row r="11" ht="12.75" customHeight="1" s="1883">
      <c r="A11" s="227" t="n"/>
      <c r="B11" s="232" t="n"/>
      <c r="C11" s="233" t="inlineStr">
        <is>
          <t>M</t>
        </is>
      </c>
      <c r="D11" s="1301" t="inlineStr">
        <is>
          <t>Melanie Salvador - Vice Chairman &amp; Deputy CEO</t>
        </is>
      </c>
      <c r="E11" s="530" t="n">
        <v>0</v>
      </c>
      <c r="F11" s="530">
        <f>6100*6</f>
        <v/>
      </c>
      <c r="G11" s="530" t="n">
        <v>165000</v>
      </c>
      <c r="H11" s="69">
        <f>G11+(G11*H$8)</f>
        <v/>
      </c>
      <c r="I11" s="69">
        <f>H11+(H11*I$8)</f>
        <v/>
      </c>
      <c r="J11" s="69">
        <f>I11+(I11*J$8)</f>
        <v/>
      </c>
      <c r="K11" s="69">
        <f>J11+(J11*K$8)</f>
        <v/>
      </c>
      <c r="L11" s="229" t="n">
        <v>0</v>
      </c>
      <c r="M11" s="531" t="n">
        <v>0</v>
      </c>
      <c r="N11" s="531" t="n">
        <v>0</v>
      </c>
      <c r="O11" s="531" t="n">
        <v>0</v>
      </c>
      <c r="P11" s="531" t="n">
        <v>0</v>
      </c>
      <c r="Q11" s="1302" t="n">
        <v>0</v>
      </c>
      <c r="R11" s="1302" t="n">
        <v>0</v>
      </c>
      <c r="S11" s="531" t="n">
        <v>0</v>
      </c>
      <c r="T11" s="531" t="n">
        <v>0</v>
      </c>
      <c r="U11" s="531" t="n">
        <v>1</v>
      </c>
      <c r="V11" s="531" t="n">
        <v>1</v>
      </c>
      <c r="W11" s="228" t="n">
        <v>1</v>
      </c>
      <c r="X11" s="229" t="n">
        <v>1</v>
      </c>
      <c r="Y11" s="531" t="n">
        <v>1</v>
      </c>
      <c r="Z11" s="531">
        <f>Y11</f>
        <v/>
      </c>
      <c r="AA11" s="531">
        <f>Z11</f>
        <v/>
      </c>
      <c r="AB11" s="531">
        <f>AA11</f>
        <v/>
      </c>
      <c r="AC11" s="531" t="n">
        <v>1</v>
      </c>
      <c r="AD11" s="531" t="n">
        <v>1</v>
      </c>
      <c r="AE11" s="531" t="n">
        <v>1</v>
      </c>
      <c r="AF11" s="531" t="n">
        <v>1</v>
      </c>
      <c r="AG11" s="531" t="n">
        <v>1</v>
      </c>
      <c r="AH11" s="531" t="n">
        <v>1</v>
      </c>
      <c r="AI11" s="228" t="n">
        <v>1</v>
      </c>
      <c r="AJ11" s="532" t="n">
        <v>1</v>
      </c>
      <c r="AK11" s="533">
        <f>AJ11</f>
        <v/>
      </c>
      <c r="AL11" s="533">
        <f>AK11</f>
        <v/>
      </c>
      <c r="AM11" s="533">
        <f>AL11</f>
        <v/>
      </c>
      <c r="AN11" s="533">
        <f>AM11</f>
        <v/>
      </c>
      <c r="AO11" s="533">
        <f>AN11</f>
        <v/>
      </c>
      <c r="AP11" s="533">
        <f>AO11</f>
        <v/>
      </c>
      <c r="AQ11" s="533">
        <f>AP11</f>
        <v/>
      </c>
      <c r="AR11" s="533">
        <f>AQ11</f>
        <v/>
      </c>
      <c r="AS11" s="533">
        <f>AR11</f>
        <v/>
      </c>
      <c r="AT11" s="533">
        <f>AS11</f>
        <v/>
      </c>
      <c r="AU11" s="230">
        <f>AT11</f>
        <v/>
      </c>
      <c r="AV11" s="531" t="n">
        <v>2</v>
      </c>
      <c r="AW11" s="531" t="n">
        <v>2</v>
      </c>
      <c r="AX11" s="531" t="n">
        <v>2</v>
      </c>
      <c r="AY11" s="531" t="n">
        <v>2</v>
      </c>
      <c r="AZ11" s="531" t="n">
        <v>2</v>
      </c>
      <c r="BA11" s="531" t="n">
        <v>2</v>
      </c>
      <c r="BB11" s="531" t="n">
        <v>2</v>
      </c>
      <c r="BC11" s="531" t="n">
        <v>2</v>
      </c>
      <c r="BD11" s="531" t="n">
        <v>2</v>
      </c>
      <c r="BE11" s="531" t="n">
        <v>2</v>
      </c>
      <c r="BF11" s="531" t="n">
        <v>2</v>
      </c>
      <c r="BG11" s="228" t="n">
        <v>2</v>
      </c>
      <c r="BH11" s="533" t="n">
        <v>4</v>
      </c>
      <c r="BI11" s="533" t="n">
        <v>4</v>
      </c>
      <c r="BJ11" s="533" t="n">
        <v>4</v>
      </c>
      <c r="BK11" s="533">
        <f>BJ11</f>
        <v/>
      </c>
      <c r="BL11" s="533">
        <f>BK11</f>
        <v/>
      </c>
      <c r="BM11" s="231">
        <f>BL11</f>
        <v/>
      </c>
      <c r="BN11" s="533">
        <f>BM11</f>
        <v/>
      </c>
      <c r="BO11" s="533">
        <f>BN11</f>
        <v/>
      </c>
      <c r="BP11" s="533">
        <f>BO11</f>
        <v/>
      </c>
      <c r="BQ11" s="533">
        <f>BP11</f>
        <v/>
      </c>
      <c r="BR11" s="533">
        <f>BQ11</f>
        <v/>
      </c>
      <c r="BS11" s="230">
        <f>BR11</f>
        <v/>
      </c>
      <c r="BT11" s="531" t="n">
        <v>5</v>
      </c>
      <c r="BU11" s="531" t="n">
        <v>5</v>
      </c>
      <c r="BV11" s="531" t="n">
        <v>5</v>
      </c>
      <c r="BW11" s="531" t="n">
        <v>5</v>
      </c>
      <c r="BX11" s="531" t="n">
        <v>5</v>
      </c>
      <c r="BY11" s="229" t="n">
        <v>5</v>
      </c>
      <c r="BZ11" s="531" t="n">
        <v>5</v>
      </c>
      <c r="CA11" s="531" t="n">
        <v>5</v>
      </c>
      <c r="CB11" s="531" t="n">
        <v>5</v>
      </c>
      <c r="CC11" s="531" t="n">
        <v>5</v>
      </c>
      <c r="CD11" s="531" t="n">
        <v>5</v>
      </c>
      <c r="CE11" s="228" t="n">
        <v>5</v>
      </c>
    </row>
    <row r="12" ht="12.75" customHeight="1" s="1883">
      <c r="A12" s="227" t="n"/>
      <c r="B12" s="232" t="n"/>
      <c r="C12" s="233" t="inlineStr">
        <is>
          <t>M</t>
        </is>
      </c>
      <c r="D12" s="1301" t="inlineStr">
        <is>
          <t>James Weinberg - Chief Financial Officer</t>
        </is>
      </c>
      <c r="E12" s="530">
        <f>4000*6</f>
        <v/>
      </c>
      <c r="F12" s="530">
        <f>6100*6</f>
        <v/>
      </c>
      <c r="G12" s="530" t="n">
        <v>165000</v>
      </c>
      <c r="H12" s="69">
        <f>G12+(G12*H$8)</f>
        <v/>
      </c>
      <c r="I12" s="69">
        <f>H12+(H12*I$8)</f>
        <v/>
      </c>
      <c r="J12" s="69">
        <f>I12+(I12*J$8)</f>
        <v/>
      </c>
      <c r="K12" s="69">
        <f>J12+(J12*K$8)</f>
        <v/>
      </c>
      <c r="L12" s="531" t="n">
        <v>0</v>
      </c>
      <c r="M12" s="531" t="n">
        <v>0</v>
      </c>
      <c r="N12" s="531" t="n">
        <v>0</v>
      </c>
      <c r="O12" s="531" t="n">
        <v>0</v>
      </c>
      <c r="P12" s="531" t="n">
        <v>0</v>
      </c>
      <c r="Q12" s="1302" t="n">
        <v>0</v>
      </c>
      <c r="R12" s="1302" t="n">
        <v>0</v>
      </c>
      <c r="S12" s="531" t="n">
        <v>0</v>
      </c>
      <c r="T12" s="531" t="n">
        <v>1</v>
      </c>
      <c r="U12" s="531" t="n">
        <v>1</v>
      </c>
      <c r="V12" s="531" t="n">
        <v>1</v>
      </c>
      <c r="W12" s="228" t="n">
        <v>1</v>
      </c>
      <c r="X12" s="229" t="n">
        <v>1</v>
      </c>
      <c r="Y12" s="531">
        <f>X12</f>
        <v/>
      </c>
      <c r="Z12" s="531">
        <f>Y12</f>
        <v/>
      </c>
      <c r="AA12" s="531">
        <f>Z12</f>
        <v/>
      </c>
      <c r="AB12" s="531">
        <f>AA12</f>
        <v/>
      </c>
      <c r="AC12" s="531">
        <f>AB12</f>
        <v/>
      </c>
      <c r="AD12" s="531">
        <f>AC12</f>
        <v/>
      </c>
      <c r="AE12" s="531">
        <f>AD12</f>
        <v/>
      </c>
      <c r="AF12" s="531">
        <f>AE12</f>
        <v/>
      </c>
      <c r="AG12" s="531">
        <f>AF12</f>
        <v/>
      </c>
      <c r="AH12" s="531">
        <f>AG12</f>
        <v/>
      </c>
      <c r="AI12" s="228">
        <f>AH12</f>
        <v/>
      </c>
      <c r="AJ12" s="532" t="n">
        <v>1</v>
      </c>
      <c r="AK12" s="533">
        <f>AJ12</f>
        <v/>
      </c>
      <c r="AL12" s="533">
        <f>AK12</f>
        <v/>
      </c>
      <c r="AM12" s="533">
        <f>AL12</f>
        <v/>
      </c>
      <c r="AN12" s="533">
        <f>AM12</f>
        <v/>
      </c>
      <c r="AO12" s="533">
        <f>AN12</f>
        <v/>
      </c>
      <c r="AP12" s="533">
        <f>AO12</f>
        <v/>
      </c>
      <c r="AQ12" s="533">
        <f>AP12</f>
        <v/>
      </c>
      <c r="AR12" s="533">
        <f>AQ12</f>
        <v/>
      </c>
      <c r="AS12" s="533">
        <f>AR12</f>
        <v/>
      </c>
      <c r="AT12" s="533">
        <f>AS12</f>
        <v/>
      </c>
      <c r="AU12" s="230">
        <f>AT12</f>
        <v/>
      </c>
      <c r="AV12" s="531" t="n">
        <v>2</v>
      </c>
      <c r="AW12" s="531" t="n">
        <v>2</v>
      </c>
      <c r="AX12" s="531" t="n">
        <v>2</v>
      </c>
      <c r="AY12" s="531" t="n">
        <v>2</v>
      </c>
      <c r="AZ12" s="531" t="n">
        <v>2</v>
      </c>
      <c r="BA12" s="531" t="n">
        <v>2</v>
      </c>
      <c r="BB12" s="531" t="n">
        <v>2</v>
      </c>
      <c r="BC12" s="531" t="n">
        <v>2</v>
      </c>
      <c r="BD12" s="531" t="n">
        <v>2</v>
      </c>
      <c r="BE12" s="531" t="n">
        <v>2</v>
      </c>
      <c r="BF12" s="531" t="n">
        <v>2</v>
      </c>
      <c r="BG12" s="228" t="n">
        <v>2</v>
      </c>
      <c r="BH12" s="533" t="n">
        <v>4</v>
      </c>
      <c r="BI12" s="533" t="n">
        <v>4</v>
      </c>
      <c r="BJ12" s="533" t="n">
        <v>4</v>
      </c>
      <c r="BK12" s="533">
        <f>BJ12</f>
        <v/>
      </c>
      <c r="BL12" s="533">
        <f>BK12</f>
        <v/>
      </c>
      <c r="BM12" s="231">
        <f>BL12</f>
        <v/>
      </c>
      <c r="BN12" s="533">
        <f>BM12</f>
        <v/>
      </c>
      <c r="BO12" s="533">
        <f>BN12</f>
        <v/>
      </c>
      <c r="BP12" s="533">
        <f>BO12</f>
        <v/>
      </c>
      <c r="BQ12" s="533">
        <f>BP12</f>
        <v/>
      </c>
      <c r="BR12" s="533">
        <f>BQ12</f>
        <v/>
      </c>
      <c r="BS12" s="230">
        <f>BR12</f>
        <v/>
      </c>
      <c r="BT12" s="533" t="n">
        <v>5</v>
      </c>
      <c r="BU12" s="533" t="n">
        <v>5</v>
      </c>
      <c r="BV12" s="533" t="n">
        <v>5</v>
      </c>
      <c r="BW12" s="533">
        <f>BV12</f>
        <v/>
      </c>
      <c r="BX12" s="533">
        <f>BW12</f>
        <v/>
      </c>
      <c r="BY12" s="231">
        <f>BX12</f>
        <v/>
      </c>
      <c r="BZ12" s="533">
        <f>BY12</f>
        <v/>
      </c>
      <c r="CA12" s="533">
        <f>BZ12</f>
        <v/>
      </c>
      <c r="CB12" s="533">
        <f>CA12</f>
        <v/>
      </c>
      <c r="CC12" s="533">
        <f>CB12</f>
        <v/>
      </c>
      <c r="CD12" s="533">
        <f>CC12</f>
        <v/>
      </c>
      <c r="CE12" s="230">
        <f>CD12</f>
        <v/>
      </c>
    </row>
    <row r="13" ht="12.75" customHeight="1" s="1883">
      <c r="A13" s="227" t="n"/>
      <c r="B13" s="232" t="n"/>
      <c r="C13" s="233" t="inlineStr">
        <is>
          <t>M</t>
        </is>
      </c>
      <c r="D13" s="1303" t="inlineStr">
        <is>
          <t>- Controller</t>
        </is>
      </c>
      <c r="E13" s="530" t="n"/>
      <c r="F13" s="530" t="n"/>
      <c r="G13" s="530" t="n">
        <v>95000</v>
      </c>
      <c r="H13" s="69">
        <f>G13+(G13*H$8)</f>
        <v/>
      </c>
      <c r="I13" s="69">
        <f>H13+(H13*I$8)</f>
        <v/>
      </c>
      <c r="J13" s="69">
        <f>I13+(I13*J$8)</f>
        <v/>
      </c>
      <c r="K13" s="69">
        <f>J13+(J13*K$8)</f>
        <v/>
      </c>
      <c r="L13" s="531" t="n">
        <v>0</v>
      </c>
      <c r="M13" s="531" t="n">
        <v>0</v>
      </c>
      <c r="N13" s="531" t="n">
        <v>0</v>
      </c>
      <c r="O13" s="531" t="n">
        <v>0</v>
      </c>
      <c r="P13" s="531" t="n">
        <v>0</v>
      </c>
      <c r="Q13" s="1302" t="n">
        <v>0</v>
      </c>
      <c r="R13" s="1302" t="n">
        <v>0</v>
      </c>
      <c r="S13" s="531" t="n">
        <v>0</v>
      </c>
      <c r="T13" s="531" t="n">
        <v>0</v>
      </c>
      <c r="U13" s="531" t="n">
        <v>0</v>
      </c>
      <c r="V13" s="531" t="n">
        <v>0</v>
      </c>
      <c r="W13" s="228" t="n">
        <v>1</v>
      </c>
      <c r="X13" s="229" t="n">
        <v>1</v>
      </c>
      <c r="Y13" s="531" t="n">
        <v>1</v>
      </c>
      <c r="Z13" s="531" t="n">
        <v>1</v>
      </c>
      <c r="AA13" s="531" t="n">
        <v>1</v>
      </c>
      <c r="AB13" s="531" t="n">
        <v>1</v>
      </c>
      <c r="AC13" s="531" t="n">
        <v>1</v>
      </c>
      <c r="AD13" s="531" t="n">
        <v>1</v>
      </c>
      <c r="AE13" s="531" t="n">
        <v>1</v>
      </c>
      <c r="AF13" s="531" t="n">
        <v>1</v>
      </c>
      <c r="AG13" s="531" t="n">
        <v>1</v>
      </c>
      <c r="AH13" s="531" t="n">
        <v>1</v>
      </c>
      <c r="AI13" s="228" t="n">
        <v>1</v>
      </c>
      <c r="AJ13" s="532" t="n">
        <v>1</v>
      </c>
      <c r="AK13" s="533" t="n">
        <v>1</v>
      </c>
      <c r="AL13" s="533" t="n">
        <v>1</v>
      </c>
      <c r="AM13" s="533" t="n">
        <v>1</v>
      </c>
      <c r="AN13" s="533" t="n">
        <v>1</v>
      </c>
      <c r="AO13" s="533" t="n">
        <v>1</v>
      </c>
      <c r="AP13" s="533" t="n">
        <v>1</v>
      </c>
      <c r="AQ13" s="533" t="n">
        <v>1</v>
      </c>
      <c r="AR13" s="533" t="n">
        <v>1</v>
      </c>
      <c r="AS13" s="533" t="n">
        <v>1</v>
      </c>
      <c r="AT13" s="533" t="n">
        <v>1</v>
      </c>
      <c r="AU13" s="230" t="n">
        <v>1</v>
      </c>
      <c r="AV13" s="531" t="n">
        <v>1</v>
      </c>
      <c r="AW13" s="531" t="n">
        <v>1</v>
      </c>
      <c r="AX13" s="531" t="n">
        <v>1</v>
      </c>
      <c r="AY13" s="531" t="n">
        <v>1</v>
      </c>
      <c r="AZ13" s="531" t="n">
        <v>1</v>
      </c>
      <c r="BA13" s="531" t="n">
        <v>1</v>
      </c>
      <c r="BB13" s="531" t="n">
        <v>1</v>
      </c>
      <c r="BC13" s="531" t="n">
        <v>1</v>
      </c>
      <c r="BD13" s="531" t="n">
        <v>1</v>
      </c>
      <c r="BE13" s="531" t="n">
        <v>1</v>
      </c>
      <c r="BF13" s="531" t="n">
        <v>1</v>
      </c>
      <c r="BG13" s="228" t="n">
        <v>1</v>
      </c>
      <c r="BH13" s="533" t="n">
        <v>1</v>
      </c>
      <c r="BI13" s="533" t="n">
        <v>1</v>
      </c>
      <c r="BJ13" s="533" t="n">
        <v>1</v>
      </c>
      <c r="BK13" s="533" t="n">
        <v>1</v>
      </c>
      <c r="BL13" s="533" t="n">
        <v>1</v>
      </c>
      <c r="BM13" s="533" t="n">
        <v>1</v>
      </c>
      <c r="BN13" s="533" t="n">
        <v>1</v>
      </c>
      <c r="BO13" s="533" t="n">
        <v>1</v>
      </c>
      <c r="BP13" s="533" t="n">
        <v>1</v>
      </c>
      <c r="BQ13" s="533" t="n">
        <v>1</v>
      </c>
      <c r="BR13" s="533" t="n">
        <v>1</v>
      </c>
      <c r="BS13" s="230" t="n">
        <v>1</v>
      </c>
      <c r="BT13" s="533" t="n">
        <v>1</v>
      </c>
      <c r="BU13" s="533" t="n">
        <v>1</v>
      </c>
      <c r="BV13" s="533" t="n">
        <v>1</v>
      </c>
      <c r="BW13" s="533" t="n">
        <v>1</v>
      </c>
      <c r="BX13" s="533" t="n">
        <v>1</v>
      </c>
      <c r="BY13" s="533" t="n">
        <v>1</v>
      </c>
      <c r="BZ13" s="533" t="n">
        <v>1</v>
      </c>
      <c r="CA13" s="533" t="n">
        <v>1</v>
      </c>
      <c r="CB13" s="533" t="n">
        <v>1</v>
      </c>
      <c r="CC13" s="533" t="n">
        <v>1</v>
      </c>
      <c r="CD13" s="533" t="n">
        <v>1</v>
      </c>
      <c r="CE13" s="534" t="n">
        <v>1</v>
      </c>
    </row>
    <row r="14" ht="12.75" customHeight="1" s="1883">
      <c r="A14" s="227" t="n"/>
      <c r="B14" s="232" t="n"/>
      <c r="C14" s="233" t="inlineStr">
        <is>
          <t>M</t>
        </is>
      </c>
      <c r="D14" s="1301" t="inlineStr">
        <is>
          <t>Jason Steinberg - Chief Strategy Officer</t>
        </is>
      </c>
      <c r="E14" s="530">
        <f>1500*6</f>
        <v/>
      </c>
      <c r="F14" s="530">
        <f>6100*6</f>
        <v/>
      </c>
      <c r="G14" s="530" t="n">
        <v>165000</v>
      </c>
      <c r="H14" s="69">
        <f>G14+(G14*H$8)</f>
        <v/>
      </c>
      <c r="I14" s="69">
        <f>H14+(H14*I$8)</f>
        <v/>
      </c>
      <c r="J14" s="69">
        <f>I14+(I14*J$8)</f>
        <v/>
      </c>
      <c r="K14" s="69">
        <f>J14+(J14*K$8)</f>
        <v/>
      </c>
      <c r="L14" s="229" t="n">
        <v>1</v>
      </c>
      <c r="M14" s="531" t="n">
        <v>1</v>
      </c>
      <c r="N14" s="531" t="n">
        <v>1</v>
      </c>
      <c r="O14" s="531" t="n">
        <v>1</v>
      </c>
      <c r="P14" s="531" t="n">
        <v>1</v>
      </c>
      <c r="Q14" s="1302" t="n">
        <v>1</v>
      </c>
      <c r="R14" s="1302" t="n">
        <v>1</v>
      </c>
      <c r="S14" s="531" t="n">
        <v>1</v>
      </c>
      <c r="T14" s="531" t="n">
        <v>0</v>
      </c>
      <c r="U14" s="531" t="n">
        <v>1</v>
      </c>
      <c r="V14" s="531" t="n">
        <v>1</v>
      </c>
      <c r="W14" s="228" t="n">
        <v>1</v>
      </c>
      <c r="X14" s="229" t="n">
        <v>1</v>
      </c>
      <c r="Y14" s="531">
        <f>X14</f>
        <v/>
      </c>
      <c r="Z14" s="531">
        <f>Y14</f>
        <v/>
      </c>
      <c r="AA14" s="531">
        <f>Z14</f>
        <v/>
      </c>
      <c r="AB14" s="531">
        <f>AA14</f>
        <v/>
      </c>
      <c r="AC14" s="531" t="n">
        <v>1</v>
      </c>
      <c r="AD14" s="531" t="n">
        <v>1</v>
      </c>
      <c r="AE14" s="531" t="n">
        <v>1</v>
      </c>
      <c r="AF14" s="531" t="n">
        <v>1</v>
      </c>
      <c r="AG14" s="531" t="n">
        <v>1</v>
      </c>
      <c r="AH14" s="531" t="n">
        <v>1</v>
      </c>
      <c r="AI14" s="228" t="n">
        <v>1</v>
      </c>
      <c r="AJ14" s="532" t="n">
        <v>1</v>
      </c>
      <c r="AK14" s="533">
        <f>AJ14</f>
        <v/>
      </c>
      <c r="AL14" s="533">
        <f>AK14</f>
        <v/>
      </c>
      <c r="AM14" s="533">
        <f>AL14</f>
        <v/>
      </c>
      <c r="AN14" s="533">
        <f>AM14</f>
        <v/>
      </c>
      <c r="AO14" s="533">
        <f>AN14</f>
        <v/>
      </c>
      <c r="AP14" s="533">
        <f>AO14</f>
        <v/>
      </c>
      <c r="AQ14" s="533">
        <f>AP14</f>
        <v/>
      </c>
      <c r="AR14" s="533">
        <f>AQ14</f>
        <v/>
      </c>
      <c r="AS14" s="533">
        <f>AR14</f>
        <v/>
      </c>
      <c r="AT14" s="533">
        <f>AS14</f>
        <v/>
      </c>
      <c r="AU14" s="230">
        <f>AT14</f>
        <v/>
      </c>
      <c r="AV14" s="531" t="n">
        <v>2</v>
      </c>
      <c r="AW14" s="531" t="n">
        <v>2</v>
      </c>
      <c r="AX14" s="531" t="n">
        <v>2</v>
      </c>
      <c r="AY14" s="531" t="n">
        <v>2</v>
      </c>
      <c r="AZ14" s="531" t="n">
        <v>2</v>
      </c>
      <c r="BA14" s="531" t="n">
        <v>2</v>
      </c>
      <c r="BB14" s="531" t="n">
        <v>2</v>
      </c>
      <c r="BC14" s="531" t="n">
        <v>2</v>
      </c>
      <c r="BD14" s="531" t="n">
        <v>2</v>
      </c>
      <c r="BE14" s="531" t="n">
        <v>2</v>
      </c>
      <c r="BF14" s="531" t="n">
        <v>2</v>
      </c>
      <c r="BG14" s="228" t="n">
        <v>2</v>
      </c>
      <c r="BH14" s="533" t="n">
        <v>4</v>
      </c>
      <c r="BI14" s="533" t="n">
        <v>4</v>
      </c>
      <c r="BJ14" s="533" t="n">
        <v>4</v>
      </c>
      <c r="BK14" s="533">
        <f>BJ14</f>
        <v/>
      </c>
      <c r="BL14" s="533">
        <f>BK14</f>
        <v/>
      </c>
      <c r="BM14" s="231">
        <f>BL14</f>
        <v/>
      </c>
      <c r="BN14" s="533">
        <f>BM14</f>
        <v/>
      </c>
      <c r="BO14" s="533">
        <f>BN14</f>
        <v/>
      </c>
      <c r="BP14" s="533">
        <f>BO14</f>
        <v/>
      </c>
      <c r="BQ14" s="533">
        <f>BP14</f>
        <v/>
      </c>
      <c r="BR14" s="533">
        <f>BQ14</f>
        <v/>
      </c>
      <c r="BS14" s="230">
        <f>BR14</f>
        <v/>
      </c>
      <c r="BT14" s="531" t="n">
        <v>5</v>
      </c>
      <c r="BU14" s="531" t="n">
        <v>5</v>
      </c>
      <c r="BV14" s="531" t="n">
        <v>5</v>
      </c>
      <c r="BW14" s="531" t="n">
        <v>5</v>
      </c>
      <c r="BX14" s="531" t="n">
        <v>5</v>
      </c>
      <c r="BY14" s="229" t="n">
        <v>5</v>
      </c>
      <c r="BZ14" s="531" t="n">
        <v>5</v>
      </c>
      <c r="CA14" s="531" t="n">
        <v>5</v>
      </c>
      <c r="CB14" s="531" t="n">
        <v>5</v>
      </c>
      <c r="CC14" s="531" t="n">
        <v>5</v>
      </c>
      <c r="CD14" s="531" t="n">
        <v>5</v>
      </c>
      <c r="CE14" s="228" t="n">
        <v>5</v>
      </c>
    </row>
    <row r="15" ht="12.75" customHeight="1" s="1883">
      <c r="A15" s="227" t="n"/>
      <c r="B15" s="232" t="n"/>
      <c r="C15" s="233" t="inlineStr">
        <is>
          <t>M</t>
        </is>
      </c>
      <c r="D15" s="1304" t="inlineStr">
        <is>
          <t>- CMO or VP of Marketing</t>
        </is>
      </c>
      <c r="E15" s="530" t="n">
        <v>0</v>
      </c>
      <c r="F15" s="530" t="n">
        <v>0</v>
      </c>
      <c r="G15" s="530" t="n">
        <v>165000</v>
      </c>
      <c r="H15" s="69">
        <f>G15+(G15*H$8)</f>
        <v/>
      </c>
      <c r="I15" s="69">
        <f>H15+(H15*I$8)</f>
        <v/>
      </c>
      <c r="J15" s="69">
        <f>I15+(I15*J$8)</f>
        <v/>
      </c>
      <c r="K15" s="69">
        <f>J15+(J15*K$8)</f>
        <v/>
      </c>
      <c r="L15" s="229" t="n">
        <v>0</v>
      </c>
      <c r="M15" s="531" t="n">
        <v>0</v>
      </c>
      <c r="N15" s="531" t="n">
        <v>0</v>
      </c>
      <c r="O15" s="531" t="n">
        <v>0</v>
      </c>
      <c r="P15" s="531" t="n">
        <v>0</v>
      </c>
      <c r="Q15" s="1302" t="n">
        <v>0</v>
      </c>
      <c r="R15" s="1302" t="n">
        <v>0</v>
      </c>
      <c r="S15" s="531" t="n">
        <v>0</v>
      </c>
      <c r="T15" s="531" t="n">
        <v>0</v>
      </c>
      <c r="U15" s="531" t="n">
        <v>1</v>
      </c>
      <c r="V15" s="531" t="n">
        <v>1</v>
      </c>
      <c r="W15" s="228" t="n">
        <v>1</v>
      </c>
      <c r="X15" s="229" t="n">
        <v>1</v>
      </c>
      <c r="Y15" s="531" t="n">
        <v>1</v>
      </c>
      <c r="Z15" s="531">
        <f>Y15</f>
        <v/>
      </c>
      <c r="AA15" s="531">
        <f>Z15</f>
        <v/>
      </c>
      <c r="AB15" s="531">
        <f>AA15</f>
        <v/>
      </c>
      <c r="AC15" s="531" t="n">
        <v>1</v>
      </c>
      <c r="AD15" s="531" t="n">
        <v>1</v>
      </c>
      <c r="AE15" s="531" t="n">
        <v>1</v>
      </c>
      <c r="AF15" s="531" t="n">
        <v>1</v>
      </c>
      <c r="AG15" s="531" t="n">
        <v>1</v>
      </c>
      <c r="AH15" s="531" t="n">
        <v>1</v>
      </c>
      <c r="AI15" s="228" t="n">
        <v>1</v>
      </c>
      <c r="AJ15" s="532" t="n">
        <v>1</v>
      </c>
      <c r="AK15" s="533">
        <f>AJ15</f>
        <v/>
      </c>
      <c r="AL15" s="533">
        <f>AK15</f>
        <v/>
      </c>
      <c r="AM15" s="533">
        <f>AL15</f>
        <v/>
      </c>
      <c r="AN15" s="533">
        <f>AM15</f>
        <v/>
      </c>
      <c r="AO15" s="533">
        <f>AN15</f>
        <v/>
      </c>
      <c r="AP15" s="533">
        <f>AO15</f>
        <v/>
      </c>
      <c r="AQ15" s="533">
        <f>AP15</f>
        <v/>
      </c>
      <c r="AR15" s="533">
        <f>AQ15</f>
        <v/>
      </c>
      <c r="AS15" s="533">
        <f>AR15</f>
        <v/>
      </c>
      <c r="AT15" s="533">
        <f>AS15</f>
        <v/>
      </c>
      <c r="AU15" s="230">
        <f>AT15</f>
        <v/>
      </c>
      <c r="AV15" s="531" t="n">
        <v>2</v>
      </c>
      <c r="AW15" s="531" t="n">
        <v>2</v>
      </c>
      <c r="AX15" s="531" t="n">
        <v>2</v>
      </c>
      <c r="AY15" s="531" t="n">
        <v>2</v>
      </c>
      <c r="AZ15" s="531" t="n">
        <v>2</v>
      </c>
      <c r="BA15" s="531" t="n">
        <v>2</v>
      </c>
      <c r="BB15" s="531" t="n">
        <v>2</v>
      </c>
      <c r="BC15" s="531" t="n">
        <v>2</v>
      </c>
      <c r="BD15" s="531" t="n">
        <v>2</v>
      </c>
      <c r="BE15" s="531" t="n">
        <v>2</v>
      </c>
      <c r="BF15" s="531" t="n">
        <v>2</v>
      </c>
      <c r="BG15" s="228" t="n">
        <v>2</v>
      </c>
      <c r="BH15" s="533" t="n">
        <v>4</v>
      </c>
      <c r="BI15" s="533" t="n">
        <v>4</v>
      </c>
      <c r="BJ15" s="533" t="n">
        <v>4</v>
      </c>
      <c r="BK15" s="533">
        <f>BJ15</f>
        <v/>
      </c>
      <c r="BL15" s="533">
        <f>BK15</f>
        <v/>
      </c>
      <c r="BM15" s="231">
        <f>BL15</f>
        <v/>
      </c>
      <c r="BN15" s="533">
        <f>BM15</f>
        <v/>
      </c>
      <c r="BO15" s="533">
        <f>BN15</f>
        <v/>
      </c>
      <c r="BP15" s="533">
        <f>BO15</f>
        <v/>
      </c>
      <c r="BQ15" s="533">
        <f>BP15</f>
        <v/>
      </c>
      <c r="BR15" s="533">
        <f>BQ15</f>
        <v/>
      </c>
      <c r="BS15" s="230">
        <f>BR15</f>
        <v/>
      </c>
      <c r="BT15" s="531" t="n">
        <v>5</v>
      </c>
      <c r="BU15" s="531" t="n">
        <v>5</v>
      </c>
      <c r="BV15" s="531" t="n">
        <v>5</v>
      </c>
      <c r="BW15" s="531" t="n">
        <v>5</v>
      </c>
      <c r="BX15" s="531" t="n">
        <v>5</v>
      </c>
      <c r="BY15" s="229" t="n">
        <v>5</v>
      </c>
      <c r="BZ15" s="531" t="n">
        <v>5</v>
      </c>
      <c r="CA15" s="531" t="n">
        <v>5</v>
      </c>
      <c r="CB15" s="531" t="n">
        <v>5</v>
      </c>
      <c r="CC15" s="531" t="n">
        <v>5</v>
      </c>
      <c r="CD15" s="531" t="n">
        <v>5</v>
      </c>
      <c r="CE15" s="228" t="n">
        <v>5</v>
      </c>
    </row>
    <row r="16" ht="12.75" customHeight="1" s="1883">
      <c r="A16" s="227" t="n"/>
      <c r="B16" s="232" t="n"/>
      <c r="C16" s="233" t="inlineStr">
        <is>
          <t>M</t>
        </is>
      </c>
      <c r="D16" s="1304" t="inlineStr">
        <is>
          <t>- CTO or VP of Technology</t>
        </is>
      </c>
      <c r="E16" s="530" t="n">
        <v>0</v>
      </c>
      <c r="F16" s="530" t="n">
        <v>0</v>
      </c>
      <c r="G16" s="530" t="n">
        <v>165000</v>
      </c>
      <c r="H16" s="69">
        <f>G16+(G21*H$9)</f>
        <v/>
      </c>
      <c r="I16" s="69">
        <f>H16+(H21*I$9)</f>
        <v/>
      </c>
      <c r="J16" s="69">
        <f>I16+(I21*J$9)</f>
        <v/>
      </c>
      <c r="K16" s="69">
        <f>J16+(J21*K$9)</f>
        <v/>
      </c>
      <c r="L16" s="229" t="n">
        <v>0</v>
      </c>
      <c r="M16" s="531" t="n">
        <v>0</v>
      </c>
      <c r="N16" s="531" t="n">
        <v>0</v>
      </c>
      <c r="O16" s="531" t="n">
        <v>0</v>
      </c>
      <c r="P16" s="531" t="n">
        <v>0</v>
      </c>
      <c r="Q16" s="1302" t="n">
        <v>0</v>
      </c>
      <c r="R16" s="1302" t="n">
        <v>0</v>
      </c>
      <c r="S16" s="531" t="n">
        <v>0</v>
      </c>
      <c r="T16" s="531" t="n">
        <v>1</v>
      </c>
      <c r="U16" s="531" t="n">
        <v>1</v>
      </c>
      <c r="V16" s="531" t="n">
        <v>1</v>
      </c>
      <c r="W16" s="228" t="n">
        <v>1</v>
      </c>
      <c r="X16" s="229" t="n">
        <v>1</v>
      </c>
      <c r="Y16" s="531" t="n">
        <v>1</v>
      </c>
      <c r="Z16" s="531" t="n">
        <v>1</v>
      </c>
      <c r="AA16" s="531" t="n">
        <v>1</v>
      </c>
      <c r="AB16" s="531" t="n">
        <v>1</v>
      </c>
      <c r="AC16" s="531" t="n">
        <v>1</v>
      </c>
      <c r="AD16" s="531" t="n">
        <v>1</v>
      </c>
      <c r="AE16" s="531" t="n">
        <v>1</v>
      </c>
      <c r="AF16" s="531" t="n">
        <v>1</v>
      </c>
      <c r="AG16" s="531" t="n">
        <v>1</v>
      </c>
      <c r="AH16" s="531" t="n">
        <v>1</v>
      </c>
      <c r="AI16" s="228" t="n">
        <v>1</v>
      </c>
      <c r="AJ16" s="532" t="n">
        <v>1</v>
      </c>
      <c r="AK16" s="533">
        <f>AJ16</f>
        <v/>
      </c>
      <c r="AL16" s="533">
        <f>AK16</f>
        <v/>
      </c>
      <c r="AM16" s="533">
        <f>AL16</f>
        <v/>
      </c>
      <c r="AN16" s="533">
        <f>AM16</f>
        <v/>
      </c>
      <c r="AO16" s="533">
        <f>AN16</f>
        <v/>
      </c>
      <c r="AP16" s="533">
        <f>AO16</f>
        <v/>
      </c>
      <c r="AQ16" s="533">
        <f>AP16</f>
        <v/>
      </c>
      <c r="AR16" s="533">
        <f>AQ16</f>
        <v/>
      </c>
      <c r="AS16" s="533">
        <f>AR16</f>
        <v/>
      </c>
      <c r="AT16" s="533">
        <f>AS16</f>
        <v/>
      </c>
      <c r="AU16" s="230">
        <f>AT16</f>
        <v/>
      </c>
      <c r="AV16" s="531" t="n">
        <v>2</v>
      </c>
      <c r="AW16" s="531" t="n">
        <v>2</v>
      </c>
      <c r="AX16" s="531" t="n">
        <v>2</v>
      </c>
      <c r="AY16" s="531" t="n">
        <v>2</v>
      </c>
      <c r="AZ16" s="531" t="n">
        <v>2</v>
      </c>
      <c r="BA16" s="531" t="n">
        <v>2</v>
      </c>
      <c r="BB16" s="531" t="n">
        <v>2</v>
      </c>
      <c r="BC16" s="531" t="n">
        <v>2</v>
      </c>
      <c r="BD16" s="531" t="n">
        <v>2</v>
      </c>
      <c r="BE16" s="531" t="n">
        <v>2</v>
      </c>
      <c r="BF16" s="531" t="n">
        <v>2</v>
      </c>
      <c r="BG16" s="228" t="n">
        <v>2</v>
      </c>
      <c r="BH16" s="533" t="n">
        <v>4</v>
      </c>
      <c r="BI16" s="533" t="n">
        <v>4</v>
      </c>
      <c r="BJ16" s="533" t="n">
        <v>4</v>
      </c>
      <c r="BK16" s="533">
        <f>BJ16</f>
        <v/>
      </c>
      <c r="BL16" s="533">
        <f>BK16</f>
        <v/>
      </c>
      <c r="BM16" s="231">
        <f>BL16</f>
        <v/>
      </c>
      <c r="BN16" s="533">
        <f>BM16</f>
        <v/>
      </c>
      <c r="BO16" s="533">
        <f>BN16</f>
        <v/>
      </c>
      <c r="BP16" s="533">
        <f>BO16</f>
        <v/>
      </c>
      <c r="BQ16" s="533">
        <f>BP16</f>
        <v/>
      </c>
      <c r="BR16" s="533">
        <f>BQ16</f>
        <v/>
      </c>
      <c r="BS16" s="230">
        <f>BR16</f>
        <v/>
      </c>
      <c r="BT16" s="531" t="n">
        <v>5</v>
      </c>
      <c r="BU16" s="531" t="n">
        <v>5</v>
      </c>
      <c r="BV16" s="531" t="n">
        <v>5</v>
      </c>
      <c r="BW16" s="531" t="n">
        <v>5</v>
      </c>
      <c r="BX16" s="531" t="n">
        <v>5</v>
      </c>
      <c r="BY16" s="229" t="n">
        <v>5</v>
      </c>
      <c r="BZ16" s="531" t="n">
        <v>5</v>
      </c>
      <c r="CA16" s="531" t="n">
        <v>5</v>
      </c>
      <c r="CB16" s="531" t="n">
        <v>5</v>
      </c>
      <c r="CC16" s="531" t="n">
        <v>5</v>
      </c>
      <c r="CD16" s="531" t="n">
        <v>5</v>
      </c>
      <c r="CE16" s="228" t="n">
        <v>5</v>
      </c>
    </row>
    <row r="17" ht="12.75" customHeight="1" s="1883">
      <c r="A17" s="1305" t="n"/>
      <c r="B17" s="626" t="n"/>
      <c r="C17" s="233" t="inlineStr">
        <is>
          <t>M</t>
        </is>
      </c>
      <c r="D17" s="1301" t="inlineStr">
        <is>
          <t>Matthew Keough - Chief Information Officer</t>
        </is>
      </c>
      <c r="E17" s="530">
        <f>1500*6</f>
        <v/>
      </c>
      <c r="F17" s="530">
        <f>4000*6</f>
        <v/>
      </c>
      <c r="G17" s="530" t="n">
        <v>165000</v>
      </c>
      <c r="H17" s="69">
        <f>G17+(G32*H$9)</f>
        <v/>
      </c>
      <c r="I17" s="69">
        <f>H17+(H32*I$9)</f>
        <v/>
      </c>
      <c r="J17" s="69">
        <f>I17+(I32*J$9)</f>
        <v/>
      </c>
      <c r="K17" s="69">
        <f>J17+(J32*K$9)</f>
        <v/>
      </c>
      <c r="L17" s="229" t="n">
        <v>1</v>
      </c>
      <c r="M17" s="531" t="n">
        <v>1</v>
      </c>
      <c r="N17" s="531" t="n">
        <v>1</v>
      </c>
      <c r="O17" s="531" t="n">
        <v>1</v>
      </c>
      <c r="P17" s="531" t="n">
        <v>1</v>
      </c>
      <c r="Q17" s="1302" t="n">
        <v>1</v>
      </c>
      <c r="R17" s="1302" t="n">
        <v>1</v>
      </c>
      <c r="S17" s="531" t="n">
        <v>1</v>
      </c>
      <c r="T17" s="531" t="n">
        <v>1</v>
      </c>
      <c r="U17" s="531" t="n">
        <v>1</v>
      </c>
      <c r="V17" s="531" t="n">
        <v>1</v>
      </c>
      <c r="W17" s="228" t="n">
        <v>1</v>
      </c>
      <c r="X17" s="229" t="n">
        <v>1</v>
      </c>
      <c r="Y17" s="531" t="n">
        <v>1</v>
      </c>
      <c r="Z17" s="531" t="n">
        <v>1</v>
      </c>
      <c r="AA17" s="531" t="n">
        <v>1</v>
      </c>
      <c r="AB17" s="531" t="n">
        <v>1</v>
      </c>
      <c r="AC17" s="531" t="n">
        <v>1</v>
      </c>
      <c r="AD17" s="531" t="n">
        <v>1</v>
      </c>
      <c r="AE17" s="531" t="n">
        <v>1</v>
      </c>
      <c r="AF17" s="531" t="n">
        <v>1</v>
      </c>
      <c r="AG17" s="531" t="n">
        <v>1</v>
      </c>
      <c r="AH17" s="531" t="n">
        <v>1</v>
      </c>
      <c r="AI17" s="228" t="n">
        <v>1</v>
      </c>
      <c r="AJ17" s="531" t="n">
        <v>2</v>
      </c>
      <c r="AK17" s="531" t="n">
        <v>2</v>
      </c>
      <c r="AL17" s="531" t="n">
        <v>2</v>
      </c>
      <c r="AM17" s="531" t="n">
        <v>2</v>
      </c>
      <c r="AN17" s="531" t="n">
        <v>2</v>
      </c>
      <c r="AO17" s="531" t="n">
        <v>2</v>
      </c>
      <c r="AP17" s="531" t="n">
        <v>2</v>
      </c>
      <c r="AQ17" s="531" t="n">
        <v>2</v>
      </c>
      <c r="AR17" s="531" t="n">
        <v>2</v>
      </c>
      <c r="AS17" s="531" t="n">
        <v>2</v>
      </c>
      <c r="AT17" s="531" t="n">
        <v>2</v>
      </c>
      <c r="AU17" s="228" t="n">
        <v>2</v>
      </c>
      <c r="AV17" s="531" t="n">
        <v>3</v>
      </c>
      <c r="AW17" s="531" t="n">
        <v>3</v>
      </c>
      <c r="AX17" s="531" t="n">
        <v>3</v>
      </c>
      <c r="AY17" s="531" t="n">
        <v>3</v>
      </c>
      <c r="AZ17" s="531" t="n">
        <v>3</v>
      </c>
      <c r="BA17" s="229" t="n">
        <v>3</v>
      </c>
      <c r="BB17" s="531" t="n">
        <v>3</v>
      </c>
      <c r="BC17" s="531" t="n">
        <v>3</v>
      </c>
      <c r="BD17" s="531" t="n">
        <v>3</v>
      </c>
      <c r="BE17" s="531" t="n">
        <v>3</v>
      </c>
      <c r="BF17" s="531" t="n">
        <v>3</v>
      </c>
      <c r="BG17" s="228" t="n">
        <v>3</v>
      </c>
      <c r="BH17" s="531" t="n">
        <v>6</v>
      </c>
      <c r="BI17" s="531" t="n">
        <v>6</v>
      </c>
      <c r="BJ17" s="531" t="n">
        <v>6</v>
      </c>
      <c r="BK17" s="531" t="n">
        <v>6</v>
      </c>
      <c r="BL17" s="531" t="n">
        <v>6</v>
      </c>
      <c r="BM17" s="229" t="n">
        <v>6</v>
      </c>
      <c r="BN17" s="531" t="n">
        <v>6</v>
      </c>
      <c r="BO17" s="531" t="n">
        <v>6</v>
      </c>
      <c r="BP17" s="531" t="n">
        <v>6</v>
      </c>
      <c r="BQ17" s="531" t="n">
        <v>6</v>
      </c>
      <c r="BR17" s="531" t="n">
        <v>6</v>
      </c>
      <c r="BS17" s="228" t="n">
        <v>6</v>
      </c>
      <c r="BT17" s="531" t="n">
        <v>7</v>
      </c>
      <c r="BU17" s="531" t="n">
        <v>7</v>
      </c>
      <c r="BV17" s="531" t="n">
        <v>7</v>
      </c>
      <c r="BW17" s="531" t="n">
        <v>7</v>
      </c>
      <c r="BX17" s="531" t="n">
        <v>7</v>
      </c>
      <c r="BY17" s="229" t="n">
        <v>7</v>
      </c>
      <c r="BZ17" s="531" t="n">
        <v>7</v>
      </c>
      <c r="CA17" s="531" t="n">
        <v>7</v>
      </c>
      <c r="CB17" s="531" t="n">
        <v>7</v>
      </c>
      <c r="CC17" s="531" t="n">
        <v>7</v>
      </c>
      <c r="CD17" s="531" t="n">
        <v>7</v>
      </c>
      <c r="CE17" s="228" t="n">
        <v>7</v>
      </c>
    </row>
    <row r="18" ht="12.75" customHeight="1" s="1883">
      <c r="A18" s="227" t="n"/>
      <c r="B18" s="232" t="n"/>
      <c r="C18" s="233" t="inlineStr">
        <is>
          <t>M</t>
        </is>
      </c>
      <c r="D18" s="1301" t="inlineStr">
        <is>
          <t>Mike Schuman - Chief Commercial Officer</t>
        </is>
      </c>
      <c r="E18" s="530" t="n">
        <v>0</v>
      </c>
      <c r="F18" s="530">
        <f>4000*6</f>
        <v/>
      </c>
      <c r="G18" s="530" t="n">
        <v>130000</v>
      </c>
      <c r="H18" s="69">
        <f>G18+(G18*H$8)</f>
        <v/>
      </c>
      <c r="I18" s="69">
        <f>H18+(H18*I$8)</f>
        <v/>
      </c>
      <c r="J18" s="69">
        <f>I18+(I18*J$8)</f>
        <v/>
      </c>
      <c r="K18" s="69">
        <f>J18+(J18*K$8)</f>
        <v/>
      </c>
      <c r="L18" s="531" t="n">
        <v>0</v>
      </c>
      <c r="M18" s="531" t="n">
        <v>0</v>
      </c>
      <c r="N18" s="531" t="n">
        <v>0</v>
      </c>
      <c r="O18" s="531" t="n">
        <v>0</v>
      </c>
      <c r="P18" s="531" t="n">
        <v>0</v>
      </c>
      <c r="Q18" s="1302" t="n">
        <v>0</v>
      </c>
      <c r="R18" s="1302" t="n">
        <v>0</v>
      </c>
      <c r="S18" s="531" t="n">
        <v>0</v>
      </c>
      <c r="T18" s="531" t="n">
        <v>1</v>
      </c>
      <c r="U18" s="531" t="n">
        <v>1</v>
      </c>
      <c r="V18" s="531" t="n">
        <v>1</v>
      </c>
      <c r="W18" s="228" t="n">
        <v>1</v>
      </c>
      <c r="X18" s="229" t="n">
        <v>1</v>
      </c>
      <c r="Y18" s="531">
        <f>X18</f>
        <v/>
      </c>
      <c r="Z18" s="531">
        <f>Y18</f>
        <v/>
      </c>
      <c r="AA18" s="531">
        <f>Z18</f>
        <v/>
      </c>
      <c r="AB18" s="531">
        <f>AA18</f>
        <v/>
      </c>
      <c r="AC18" s="531" t="n">
        <v>1</v>
      </c>
      <c r="AD18" s="531" t="n">
        <v>1</v>
      </c>
      <c r="AE18" s="531" t="n">
        <v>1</v>
      </c>
      <c r="AF18" s="531" t="n">
        <v>1</v>
      </c>
      <c r="AG18" s="531" t="n">
        <v>1</v>
      </c>
      <c r="AH18" s="531" t="n">
        <v>1</v>
      </c>
      <c r="AI18" s="228" t="n">
        <v>1</v>
      </c>
      <c r="AJ18" s="532" t="n">
        <v>1</v>
      </c>
      <c r="AK18" s="533">
        <f>AJ18</f>
        <v/>
      </c>
      <c r="AL18" s="533">
        <f>AK18</f>
        <v/>
      </c>
      <c r="AM18" s="533">
        <f>AL18</f>
        <v/>
      </c>
      <c r="AN18" s="533">
        <f>AM18</f>
        <v/>
      </c>
      <c r="AO18" s="533">
        <f>AN18</f>
        <v/>
      </c>
      <c r="AP18" s="533">
        <f>AO18</f>
        <v/>
      </c>
      <c r="AQ18" s="533">
        <f>AP18</f>
        <v/>
      </c>
      <c r="AR18" s="533">
        <f>AQ18</f>
        <v/>
      </c>
      <c r="AS18" s="533">
        <f>AR18</f>
        <v/>
      </c>
      <c r="AT18" s="533">
        <f>AS18</f>
        <v/>
      </c>
      <c r="AU18" s="230">
        <f>AT18</f>
        <v/>
      </c>
      <c r="AV18" s="532" t="n">
        <v>2</v>
      </c>
      <c r="AW18" s="533">
        <f>AV18</f>
        <v/>
      </c>
      <c r="AX18" s="533">
        <f>AW18</f>
        <v/>
      </c>
      <c r="AY18" s="533">
        <f>AX18</f>
        <v/>
      </c>
      <c r="AZ18" s="533">
        <f>AY18</f>
        <v/>
      </c>
      <c r="BA18" s="231">
        <f>AZ18</f>
        <v/>
      </c>
      <c r="BB18" s="533">
        <f>BA18</f>
        <v/>
      </c>
      <c r="BC18" s="533">
        <f>BB18</f>
        <v/>
      </c>
      <c r="BD18" s="533">
        <f>BC18</f>
        <v/>
      </c>
      <c r="BE18" s="533">
        <f>BD18</f>
        <v/>
      </c>
      <c r="BF18" s="533">
        <f>BE18</f>
        <v/>
      </c>
      <c r="BG18" s="230">
        <f>BF18</f>
        <v/>
      </c>
      <c r="BH18" s="533" t="n">
        <v>3</v>
      </c>
      <c r="BI18" s="533">
        <f>BH18</f>
        <v/>
      </c>
      <c r="BJ18" s="533">
        <f>BI18</f>
        <v/>
      </c>
      <c r="BK18" s="533">
        <f>BJ18</f>
        <v/>
      </c>
      <c r="BL18" s="533">
        <f>BK18</f>
        <v/>
      </c>
      <c r="BM18" s="533">
        <f>BL18</f>
        <v/>
      </c>
      <c r="BN18" s="533">
        <f>BM18</f>
        <v/>
      </c>
      <c r="BO18" s="533">
        <f>BN18</f>
        <v/>
      </c>
      <c r="BP18" s="533">
        <f>BO18</f>
        <v/>
      </c>
      <c r="BQ18" s="533">
        <f>BP18</f>
        <v/>
      </c>
      <c r="BR18" s="533">
        <f>BQ18</f>
        <v/>
      </c>
      <c r="BS18" s="230">
        <f>BR18</f>
        <v/>
      </c>
      <c r="BT18" s="533" t="n">
        <v>5</v>
      </c>
      <c r="BU18" s="533" t="n">
        <v>5</v>
      </c>
      <c r="BV18" s="533" t="n">
        <v>5</v>
      </c>
      <c r="BW18" s="533" t="n">
        <v>5</v>
      </c>
      <c r="BX18" s="533" t="n">
        <v>5</v>
      </c>
      <c r="BY18" s="231" t="n">
        <v>5</v>
      </c>
      <c r="BZ18" s="533" t="n">
        <v>5</v>
      </c>
      <c r="CA18" s="533" t="n">
        <v>5</v>
      </c>
      <c r="CB18" s="533" t="n">
        <v>5</v>
      </c>
      <c r="CC18" s="533" t="n">
        <v>5</v>
      </c>
      <c r="CD18" s="533" t="n">
        <v>5</v>
      </c>
      <c r="CE18" s="230" t="n">
        <v>5</v>
      </c>
    </row>
    <row r="19" ht="12.75" customHeight="1" s="1883">
      <c r="A19" s="227" t="n"/>
      <c r="B19" s="232" t="n"/>
      <c r="C19" s="233" t="inlineStr">
        <is>
          <t>M</t>
        </is>
      </c>
      <c r="D19" s="1304" t="inlineStr">
        <is>
          <t>- Chief Operations Officer</t>
        </is>
      </c>
      <c r="E19" s="530" t="n">
        <v>0</v>
      </c>
      <c r="F19" s="530">
        <f>4000*6</f>
        <v/>
      </c>
      <c r="G19" s="530" t="n">
        <v>130000</v>
      </c>
      <c r="H19" s="69">
        <f>G19+(G19*H$8)</f>
        <v/>
      </c>
      <c r="I19" s="69">
        <f>H19+(H19*I$8)</f>
        <v/>
      </c>
      <c r="J19" s="69">
        <f>I19+(I19*J$8)</f>
        <v/>
      </c>
      <c r="K19" s="69">
        <f>J19+(J19*K$8)</f>
        <v/>
      </c>
      <c r="L19" s="531" t="n">
        <v>0</v>
      </c>
      <c r="M19" s="531" t="n">
        <v>0</v>
      </c>
      <c r="N19" s="531" t="n">
        <v>0</v>
      </c>
      <c r="O19" s="531" t="n">
        <v>0</v>
      </c>
      <c r="P19" s="531" t="n">
        <v>0</v>
      </c>
      <c r="Q19" s="1302" t="n">
        <v>0</v>
      </c>
      <c r="R19" s="1302" t="n">
        <v>0</v>
      </c>
      <c r="S19" s="531" t="n">
        <v>0</v>
      </c>
      <c r="T19" s="531" t="n">
        <v>1</v>
      </c>
      <c r="U19" s="531" t="n">
        <v>1</v>
      </c>
      <c r="V19" s="531" t="n">
        <v>1</v>
      </c>
      <c r="W19" s="228" t="n">
        <v>1</v>
      </c>
      <c r="X19" s="229" t="n">
        <v>1</v>
      </c>
      <c r="Y19" s="531">
        <f>X19</f>
        <v/>
      </c>
      <c r="Z19" s="531">
        <f>Y19</f>
        <v/>
      </c>
      <c r="AA19" s="531">
        <f>Z19</f>
        <v/>
      </c>
      <c r="AB19" s="531">
        <f>AA19</f>
        <v/>
      </c>
      <c r="AC19" s="531" t="n">
        <v>1</v>
      </c>
      <c r="AD19" s="531" t="n">
        <v>1</v>
      </c>
      <c r="AE19" s="531" t="n">
        <v>1</v>
      </c>
      <c r="AF19" s="531" t="n">
        <v>1</v>
      </c>
      <c r="AG19" s="531" t="n">
        <v>1</v>
      </c>
      <c r="AH19" s="531" t="n">
        <v>1</v>
      </c>
      <c r="AI19" s="228" t="n">
        <v>1</v>
      </c>
      <c r="AJ19" s="532" t="n">
        <v>1</v>
      </c>
      <c r="AK19" s="533">
        <f>AJ19</f>
        <v/>
      </c>
      <c r="AL19" s="533">
        <f>AK19</f>
        <v/>
      </c>
      <c r="AM19" s="533">
        <f>AL19</f>
        <v/>
      </c>
      <c r="AN19" s="533">
        <f>AM19</f>
        <v/>
      </c>
      <c r="AO19" s="533">
        <f>AN19</f>
        <v/>
      </c>
      <c r="AP19" s="533">
        <f>AO19</f>
        <v/>
      </c>
      <c r="AQ19" s="533">
        <f>AP19</f>
        <v/>
      </c>
      <c r="AR19" s="533">
        <f>AQ19</f>
        <v/>
      </c>
      <c r="AS19" s="533">
        <f>AR19</f>
        <v/>
      </c>
      <c r="AT19" s="533">
        <f>AS19</f>
        <v/>
      </c>
      <c r="AU19" s="230">
        <f>AT19</f>
        <v/>
      </c>
      <c r="AV19" s="532" t="n">
        <v>2</v>
      </c>
      <c r="AW19" s="533">
        <f>AV19</f>
        <v/>
      </c>
      <c r="AX19" s="533">
        <f>AW19</f>
        <v/>
      </c>
      <c r="AY19" s="533">
        <f>AX19</f>
        <v/>
      </c>
      <c r="AZ19" s="533">
        <f>AY19</f>
        <v/>
      </c>
      <c r="BA19" s="231">
        <f>AZ19</f>
        <v/>
      </c>
      <c r="BB19" s="533">
        <f>BA19</f>
        <v/>
      </c>
      <c r="BC19" s="533">
        <f>BB19</f>
        <v/>
      </c>
      <c r="BD19" s="533">
        <f>BC19</f>
        <v/>
      </c>
      <c r="BE19" s="533">
        <f>BD19</f>
        <v/>
      </c>
      <c r="BF19" s="533">
        <f>BE19</f>
        <v/>
      </c>
      <c r="BG19" s="230">
        <f>BF19</f>
        <v/>
      </c>
      <c r="BH19" s="533" t="n">
        <v>3</v>
      </c>
      <c r="BI19" s="533">
        <f>BH19</f>
        <v/>
      </c>
      <c r="BJ19" s="533">
        <f>BI19</f>
        <v/>
      </c>
      <c r="BK19" s="533">
        <f>BJ19</f>
        <v/>
      </c>
      <c r="BL19" s="533">
        <f>BK19</f>
        <v/>
      </c>
      <c r="BM19" s="533">
        <f>BL19</f>
        <v/>
      </c>
      <c r="BN19" s="533">
        <f>BM19</f>
        <v/>
      </c>
      <c r="BO19" s="533">
        <f>BN19</f>
        <v/>
      </c>
      <c r="BP19" s="533">
        <f>BO19</f>
        <v/>
      </c>
      <c r="BQ19" s="533">
        <f>BP19</f>
        <v/>
      </c>
      <c r="BR19" s="533">
        <f>BQ19</f>
        <v/>
      </c>
      <c r="BS19" s="230">
        <f>BR19</f>
        <v/>
      </c>
      <c r="BT19" s="533" t="n">
        <v>5</v>
      </c>
      <c r="BU19" s="533" t="n">
        <v>5</v>
      </c>
      <c r="BV19" s="533" t="n">
        <v>5</v>
      </c>
      <c r="BW19" s="533" t="n">
        <v>5</v>
      </c>
      <c r="BX19" s="533" t="n">
        <v>5</v>
      </c>
      <c r="BY19" s="231" t="n">
        <v>5</v>
      </c>
      <c r="BZ19" s="533" t="n">
        <v>5</v>
      </c>
      <c r="CA19" s="533" t="n">
        <v>5</v>
      </c>
      <c r="CB19" s="533" t="n">
        <v>5</v>
      </c>
      <c r="CC19" s="533" t="n">
        <v>5</v>
      </c>
      <c r="CD19" s="533" t="n">
        <v>5</v>
      </c>
      <c r="CE19" s="230" t="n">
        <v>5</v>
      </c>
    </row>
    <row r="20" ht="12.75" customHeight="1" s="1883">
      <c r="A20" s="227" t="n"/>
      <c r="B20" s="232" t="n"/>
      <c r="C20" s="233" t="inlineStr">
        <is>
          <t>M</t>
        </is>
      </c>
      <c r="D20" s="1301" t="inlineStr">
        <is>
          <t>Thomas Tang - President of Hardware</t>
        </is>
      </c>
      <c r="E20" s="530" t="n">
        <v>0</v>
      </c>
      <c r="F20" s="530">
        <f>6100*6</f>
        <v/>
      </c>
      <c r="G20" s="530" t="n">
        <v>165000</v>
      </c>
      <c r="H20" s="69">
        <f>G20+(G20*H$8)</f>
        <v/>
      </c>
      <c r="I20" s="69">
        <f>H20+(H20*I$8)</f>
        <v/>
      </c>
      <c r="J20" s="69">
        <f>I20+(I20*J$8)</f>
        <v/>
      </c>
      <c r="K20" s="69">
        <f>J20+(J20*K$8)</f>
        <v/>
      </c>
      <c r="L20" s="229" t="n">
        <v>1</v>
      </c>
      <c r="M20" s="531" t="n">
        <v>1</v>
      </c>
      <c r="N20" s="531" t="n">
        <v>1</v>
      </c>
      <c r="O20" s="531" t="n">
        <v>1</v>
      </c>
      <c r="P20" s="531" t="n">
        <v>1</v>
      </c>
      <c r="Q20" s="1302" t="n">
        <v>1</v>
      </c>
      <c r="R20" s="1302" t="n">
        <v>1</v>
      </c>
      <c r="S20" s="531" t="n">
        <v>1</v>
      </c>
      <c r="T20" s="531" t="n">
        <v>1</v>
      </c>
      <c r="U20" s="531" t="n">
        <v>1</v>
      </c>
      <c r="V20" s="531" t="n">
        <v>1</v>
      </c>
      <c r="W20" s="228" t="n">
        <v>1</v>
      </c>
      <c r="X20" s="229" t="n">
        <v>1</v>
      </c>
      <c r="Y20" s="531">
        <f>X20</f>
        <v/>
      </c>
      <c r="Z20" s="531">
        <f>Y20</f>
        <v/>
      </c>
      <c r="AA20" s="531">
        <f>Z20</f>
        <v/>
      </c>
      <c r="AB20" s="531">
        <f>AA20</f>
        <v/>
      </c>
      <c r="AC20" s="531">
        <f>AB20</f>
        <v/>
      </c>
      <c r="AD20" s="531">
        <f>AC20</f>
        <v/>
      </c>
      <c r="AE20" s="531">
        <f>AD20</f>
        <v/>
      </c>
      <c r="AF20" s="531">
        <f>AE20</f>
        <v/>
      </c>
      <c r="AG20" s="531">
        <f>AF20</f>
        <v/>
      </c>
      <c r="AH20" s="531">
        <f>AG20</f>
        <v/>
      </c>
      <c r="AI20" s="228">
        <f>AH20</f>
        <v/>
      </c>
      <c r="AJ20" s="532" t="n">
        <v>1</v>
      </c>
      <c r="AK20" s="533">
        <f>AJ20</f>
        <v/>
      </c>
      <c r="AL20" s="533">
        <f>AK20</f>
        <v/>
      </c>
      <c r="AM20" s="533">
        <f>AL20</f>
        <v/>
      </c>
      <c r="AN20" s="533">
        <f>AM20</f>
        <v/>
      </c>
      <c r="AO20" s="533">
        <f>AN20</f>
        <v/>
      </c>
      <c r="AP20" s="533">
        <f>AO20</f>
        <v/>
      </c>
      <c r="AQ20" s="533">
        <f>AP20</f>
        <v/>
      </c>
      <c r="AR20" s="533">
        <f>AQ20</f>
        <v/>
      </c>
      <c r="AS20" s="533">
        <f>AR20</f>
        <v/>
      </c>
      <c r="AT20" s="533">
        <f>AS20</f>
        <v/>
      </c>
      <c r="AU20" s="230">
        <f>AT20</f>
        <v/>
      </c>
      <c r="AV20" s="531" t="n">
        <v>2</v>
      </c>
      <c r="AW20" s="531" t="n">
        <v>2</v>
      </c>
      <c r="AX20" s="531" t="n">
        <v>2</v>
      </c>
      <c r="AY20" s="531" t="n">
        <v>2</v>
      </c>
      <c r="AZ20" s="531" t="n">
        <v>2</v>
      </c>
      <c r="BA20" s="531" t="n">
        <v>2</v>
      </c>
      <c r="BB20" s="531" t="n">
        <v>2</v>
      </c>
      <c r="BC20" s="531" t="n">
        <v>2</v>
      </c>
      <c r="BD20" s="531" t="n">
        <v>2</v>
      </c>
      <c r="BE20" s="531" t="n">
        <v>2</v>
      </c>
      <c r="BF20" s="531" t="n">
        <v>2</v>
      </c>
      <c r="BG20" s="228" t="n">
        <v>2</v>
      </c>
      <c r="BH20" s="533" t="n">
        <v>4</v>
      </c>
      <c r="BI20" s="533">
        <f>BH20</f>
        <v/>
      </c>
      <c r="BJ20" s="533">
        <f>BI20</f>
        <v/>
      </c>
      <c r="BK20" s="533">
        <f>BJ20</f>
        <v/>
      </c>
      <c r="BL20" s="533">
        <f>BK20</f>
        <v/>
      </c>
      <c r="BM20" s="231">
        <f>BL20</f>
        <v/>
      </c>
      <c r="BN20" s="533">
        <f>BM20</f>
        <v/>
      </c>
      <c r="BO20" s="533">
        <f>BN20</f>
        <v/>
      </c>
      <c r="BP20" s="533">
        <f>BO20</f>
        <v/>
      </c>
      <c r="BQ20" s="533">
        <f>BP20</f>
        <v/>
      </c>
      <c r="BR20" s="533">
        <f>BQ20</f>
        <v/>
      </c>
      <c r="BS20" s="230">
        <f>BR20</f>
        <v/>
      </c>
      <c r="BT20" s="533" t="n">
        <v>5</v>
      </c>
      <c r="BU20" s="533">
        <f>BT20</f>
        <v/>
      </c>
      <c r="BV20" s="533">
        <f>BU20</f>
        <v/>
      </c>
      <c r="BW20" s="533">
        <f>BV20</f>
        <v/>
      </c>
      <c r="BX20" s="533">
        <f>BW20</f>
        <v/>
      </c>
      <c r="BY20" s="231">
        <f>BX20</f>
        <v/>
      </c>
      <c r="BZ20" s="533">
        <f>BY20</f>
        <v/>
      </c>
      <c r="CA20" s="533">
        <f>BZ20</f>
        <v/>
      </c>
      <c r="CB20" s="533">
        <f>CA20</f>
        <v/>
      </c>
      <c r="CC20" s="533">
        <f>CB20</f>
        <v/>
      </c>
      <c r="CD20" s="533">
        <f>CC20</f>
        <v/>
      </c>
      <c r="CE20" s="230">
        <f>CD20</f>
        <v/>
      </c>
    </row>
    <row r="21" ht="12.75" customHeight="1" s="1883">
      <c r="A21" s="1305" t="n"/>
      <c r="B21" s="626" t="n"/>
      <c r="C21" s="233" t="inlineStr">
        <is>
          <t>M</t>
        </is>
      </c>
      <c r="D21" s="1304" t="inlineStr">
        <is>
          <t>- VP of Product / Chief Product &amp; Technology Officer</t>
        </is>
      </c>
      <c r="E21" s="530" t="n">
        <v>0</v>
      </c>
      <c r="F21" s="530" t="n">
        <v>0</v>
      </c>
      <c r="G21" s="530" t="n">
        <v>130000</v>
      </c>
      <c r="H21" s="69">
        <f>G21+(G15*H$9)</f>
        <v/>
      </c>
      <c r="I21" s="69">
        <f>H21+(H15*I$9)</f>
        <v/>
      </c>
      <c r="J21" s="69">
        <f>I21+(I15*J$9)</f>
        <v/>
      </c>
      <c r="K21" s="69">
        <f>J21+(J15*K$9)</f>
        <v/>
      </c>
      <c r="L21" s="229" t="n">
        <v>0</v>
      </c>
      <c r="M21" s="531" t="n">
        <v>0</v>
      </c>
      <c r="N21" s="531" t="n">
        <v>0</v>
      </c>
      <c r="O21" s="531" t="n">
        <v>0</v>
      </c>
      <c r="P21" s="531" t="n">
        <v>0</v>
      </c>
      <c r="Q21" s="1302" t="n">
        <v>0</v>
      </c>
      <c r="R21" s="1302" t="n">
        <v>0</v>
      </c>
      <c r="S21" s="531" t="n">
        <v>0</v>
      </c>
      <c r="T21" s="531" t="n">
        <v>1</v>
      </c>
      <c r="U21" s="531" t="n">
        <v>1</v>
      </c>
      <c r="V21" s="531" t="n">
        <v>1</v>
      </c>
      <c r="W21" s="228" t="n">
        <v>1</v>
      </c>
      <c r="X21" s="229" t="n">
        <v>1</v>
      </c>
      <c r="Y21" s="531" t="n">
        <v>1</v>
      </c>
      <c r="Z21" s="531" t="n">
        <v>1</v>
      </c>
      <c r="AA21" s="531" t="n">
        <v>1</v>
      </c>
      <c r="AB21" s="531" t="n">
        <v>1</v>
      </c>
      <c r="AC21" s="531" t="n">
        <v>1</v>
      </c>
      <c r="AD21" s="531" t="n">
        <v>1</v>
      </c>
      <c r="AE21" s="531" t="n">
        <v>1</v>
      </c>
      <c r="AF21" s="531" t="n">
        <v>1</v>
      </c>
      <c r="AG21" s="531" t="n">
        <v>1</v>
      </c>
      <c r="AH21" s="531" t="n">
        <v>1</v>
      </c>
      <c r="AI21" s="228" t="n">
        <v>1</v>
      </c>
      <c r="AJ21" s="532" t="n">
        <v>1</v>
      </c>
      <c r="AK21" s="533">
        <f>AJ21</f>
        <v/>
      </c>
      <c r="AL21" s="533">
        <f>AK21</f>
        <v/>
      </c>
      <c r="AM21" s="533">
        <f>AL21</f>
        <v/>
      </c>
      <c r="AN21" s="533">
        <f>AM21</f>
        <v/>
      </c>
      <c r="AO21" s="533">
        <f>AN21</f>
        <v/>
      </c>
      <c r="AP21" s="533">
        <f>AO21</f>
        <v/>
      </c>
      <c r="AQ21" s="533">
        <f>AP21</f>
        <v/>
      </c>
      <c r="AR21" s="533">
        <f>AQ21</f>
        <v/>
      </c>
      <c r="AS21" s="533">
        <f>AR21</f>
        <v/>
      </c>
      <c r="AT21" s="533">
        <f>AS21</f>
        <v/>
      </c>
      <c r="AU21" s="230">
        <f>AT21</f>
        <v/>
      </c>
      <c r="AV21" s="531" t="n">
        <v>2</v>
      </c>
      <c r="AW21" s="531" t="n">
        <v>2</v>
      </c>
      <c r="AX21" s="531" t="n">
        <v>2</v>
      </c>
      <c r="AY21" s="531" t="n">
        <v>2</v>
      </c>
      <c r="AZ21" s="531" t="n">
        <v>2</v>
      </c>
      <c r="BA21" s="531" t="n">
        <v>2</v>
      </c>
      <c r="BB21" s="531" t="n">
        <v>2</v>
      </c>
      <c r="BC21" s="531" t="n">
        <v>2</v>
      </c>
      <c r="BD21" s="531" t="n">
        <v>2</v>
      </c>
      <c r="BE21" s="531" t="n">
        <v>2</v>
      </c>
      <c r="BF21" s="531" t="n">
        <v>2</v>
      </c>
      <c r="BG21" s="228" t="n">
        <v>2</v>
      </c>
      <c r="BH21" s="531" t="n">
        <v>4</v>
      </c>
      <c r="BI21" s="531" t="n">
        <v>4</v>
      </c>
      <c r="BJ21" s="531" t="n">
        <v>4</v>
      </c>
      <c r="BK21" s="531" t="n">
        <v>4</v>
      </c>
      <c r="BL21" s="531" t="n">
        <v>4</v>
      </c>
      <c r="BM21" s="229" t="n">
        <v>4</v>
      </c>
      <c r="BN21" s="531" t="n">
        <v>4</v>
      </c>
      <c r="BO21" s="531" t="n">
        <v>4</v>
      </c>
      <c r="BP21" s="531" t="n">
        <v>4</v>
      </c>
      <c r="BQ21" s="531" t="n">
        <v>4</v>
      </c>
      <c r="BR21" s="531" t="n">
        <v>4</v>
      </c>
      <c r="BS21" s="228" t="n">
        <v>4</v>
      </c>
      <c r="BT21" s="531" t="n">
        <v>5</v>
      </c>
      <c r="BU21" s="531" t="n">
        <v>5</v>
      </c>
      <c r="BV21" s="531" t="n">
        <v>5</v>
      </c>
      <c r="BW21" s="531" t="n">
        <v>5</v>
      </c>
      <c r="BX21" s="531" t="n">
        <v>5</v>
      </c>
      <c r="BY21" s="229" t="n">
        <v>5</v>
      </c>
      <c r="BZ21" s="531" t="n">
        <v>5</v>
      </c>
      <c r="CA21" s="531" t="n">
        <v>5</v>
      </c>
      <c r="CB21" s="531" t="n">
        <v>5</v>
      </c>
      <c r="CC21" s="531" t="n">
        <v>5</v>
      </c>
      <c r="CD21" s="531" t="n">
        <v>5</v>
      </c>
      <c r="CE21" s="228" t="n">
        <v>5</v>
      </c>
    </row>
    <row r="22" ht="12.75" customHeight="1" s="1883">
      <c r="A22" s="227" t="n"/>
      <c r="B22" s="232" t="n"/>
      <c r="C22" s="233" t="inlineStr">
        <is>
          <t>M</t>
        </is>
      </c>
      <c r="D22" s="1304" t="inlineStr">
        <is>
          <t>- VP of AI</t>
        </is>
      </c>
      <c r="E22" s="530" t="n">
        <v>0</v>
      </c>
      <c r="F22" s="530" t="n">
        <v>0</v>
      </c>
      <c r="G22" s="530" t="n">
        <v>130000</v>
      </c>
      <c r="H22" s="69">
        <f>G22+(G22*H$8)</f>
        <v/>
      </c>
      <c r="I22" s="69">
        <f>H22+(H22*I$8)</f>
        <v/>
      </c>
      <c r="J22" s="69">
        <f>I22+(I22*J$8)</f>
        <v/>
      </c>
      <c r="K22" s="69">
        <f>J22+(J22*K$8)</f>
        <v/>
      </c>
      <c r="L22" s="531" t="n">
        <v>1</v>
      </c>
      <c r="M22" s="531" t="n">
        <v>1</v>
      </c>
      <c r="N22" s="531" t="n">
        <v>1</v>
      </c>
      <c r="O22" s="531" t="n">
        <v>1</v>
      </c>
      <c r="P22" s="531" t="n">
        <v>1</v>
      </c>
      <c r="Q22" s="1302" t="n">
        <v>1</v>
      </c>
      <c r="R22" s="1302" t="n">
        <v>1</v>
      </c>
      <c r="S22" s="531" t="n">
        <v>1</v>
      </c>
      <c r="T22" s="531" t="n">
        <v>1</v>
      </c>
      <c r="U22" s="531" t="n">
        <v>1</v>
      </c>
      <c r="V22" s="531" t="n">
        <v>1</v>
      </c>
      <c r="W22" s="228" t="n">
        <v>1</v>
      </c>
      <c r="X22" s="229" t="n">
        <v>1</v>
      </c>
      <c r="Y22" s="531">
        <f>X22</f>
        <v/>
      </c>
      <c r="Z22" s="531">
        <f>Y22</f>
        <v/>
      </c>
      <c r="AA22" s="531">
        <f>Z22</f>
        <v/>
      </c>
      <c r="AB22" s="531">
        <f>AA22</f>
        <v/>
      </c>
      <c r="AC22" s="531">
        <f>AB22</f>
        <v/>
      </c>
      <c r="AD22" s="531">
        <f>AC22</f>
        <v/>
      </c>
      <c r="AE22" s="531">
        <f>AD22</f>
        <v/>
      </c>
      <c r="AF22" s="531">
        <f>AE22</f>
        <v/>
      </c>
      <c r="AG22" s="531">
        <f>AF22</f>
        <v/>
      </c>
      <c r="AH22" s="531">
        <f>AG22</f>
        <v/>
      </c>
      <c r="AI22" s="228">
        <f>AH22</f>
        <v/>
      </c>
      <c r="AJ22" s="532" t="n">
        <v>1</v>
      </c>
      <c r="AK22" s="533">
        <f>AJ22</f>
        <v/>
      </c>
      <c r="AL22" s="533">
        <f>AK22</f>
        <v/>
      </c>
      <c r="AM22" s="533">
        <f>AL22</f>
        <v/>
      </c>
      <c r="AN22" s="533">
        <f>AM22</f>
        <v/>
      </c>
      <c r="AO22" s="533">
        <f>AN22</f>
        <v/>
      </c>
      <c r="AP22" s="533">
        <f>AO22</f>
        <v/>
      </c>
      <c r="AQ22" s="533">
        <f>AP22</f>
        <v/>
      </c>
      <c r="AR22" s="533">
        <f>AQ22</f>
        <v/>
      </c>
      <c r="AS22" s="533">
        <f>AR22</f>
        <v/>
      </c>
      <c r="AT22" s="533">
        <f>AS22</f>
        <v/>
      </c>
      <c r="AU22" s="230">
        <f>AT22</f>
        <v/>
      </c>
      <c r="AV22" s="531" t="n">
        <v>2</v>
      </c>
      <c r="AW22" s="531" t="n">
        <v>2</v>
      </c>
      <c r="AX22" s="531" t="n">
        <v>2</v>
      </c>
      <c r="AY22" s="531" t="n">
        <v>2</v>
      </c>
      <c r="AZ22" s="531" t="n">
        <v>2</v>
      </c>
      <c r="BA22" s="531" t="n">
        <v>2</v>
      </c>
      <c r="BB22" s="531" t="n">
        <v>2</v>
      </c>
      <c r="BC22" s="531" t="n">
        <v>2</v>
      </c>
      <c r="BD22" s="531" t="n">
        <v>2</v>
      </c>
      <c r="BE22" s="531" t="n">
        <v>2</v>
      </c>
      <c r="BF22" s="531" t="n">
        <v>2</v>
      </c>
      <c r="BG22" s="228" t="n">
        <v>2</v>
      </c>
      <c r="BH22" s="533" t="n">
        <v>4</v>
      </c>
      <c r="BI22" s="533">
        <f>BH22</f>
        <v/>
      </c>
      <c r="BJ22" s="533">
        <f>BI22</f>
        <v/>
      </c>
      <c r="BK22" s="533">
        <f>BJ22</f>
        <v/>
      </c>
      <c r="BL22" s="533">
        <f>BK22</f>
        <v/>
      </c>
      <c r="BM22" s="231">
        <f>BL22</f>
        <v/>
      </c>
      <c r="BN22" s="533">
        <f>BM22</f>
        <v/>
      </c>
      <c r="BO22" s="533">
        <f>BN22</f>
        <v/>
      </c>
      <c r="BP22" s="533">
        <f>BO22</f>
        <v/>
      </c>
      <c r="BQ22" s="533">
        <f>BP22</f>
        <v/>
      </c>
      <c r="BR22" s="533">
        <f>BQ22</f>
        <v/>
      </c>
      <c r="BS22" s="230">
        <f>BR22</f>
        <v/>
      </c>
      <c r="BT22" s="533" t="n">
        <v>5</v>
      </c>
      <c r="BU22" s="533">
        <f>BT22</f>
        <v/>
      </c>
      <c r="BV22" s="533">
        <f>BU22</f>
        <v/>
      </c>
      <c r="BW22" s="533">
        <f>BV22</f>
        <v/>
      </c>
      <c r="BX22" s="533">
        <f>BW22</f>
        <v/>
      </c>
      <c r="BY22" s="231">
        <f>BX22</f>
        <v/>
      </c>
      <c r="BZ22" s="533">
        <f>BY22</f>
        <v/>
      </c>
      <c r="CA22" s="533">
        <f>BZ22</f>
        <v/>
      </c>
      <c r="CB22" s="533">
        <f>CA22</f>
        <v/>
      </c>
      <c r="CC22" s="533">
        <f>CB22</f>
        <v/>
      </c>
      <c r="CD22" s="533">
        <f>CC22</f>
        <v/>
      </c>
      <c r="CE22" s="230">
        <f>CD22</f>
        <v/>
      </c>
    </row>
    <row r="23" ht="12.75" customHeight="1" s="1883">
      <c r="A23" s="227" t="n"/>
      <c r="B23" s="232" t="n"/>
      <c r="C23" s="233" t="inlineStr">
        <is>
          <t>M</t>
        </is>
      </c>
      <c r="D23" s="1301" t="inlineStr">
        <is>
          <t>Robert Orlowski - Director of Marketing &amp; Communications</t>
        </is>
      </c>
      <c r="E23" s="530" t="n">
        <v>0</v>
      </c>
      <c r="F23" s="530">
        <f>4000*6</f>
        <v/>
      </c>
      <c r="G23" s="530" t="n">
        <v>130000</v>
      </c>
      <c r="H23" s="69">
        <f>G23+(G16*H$9)</f>
        <v/>
      </c>
      <c r="I23" s="69">
        <f>H23+(H16*I$9)</f>
        <v/>
      </c>
      <c r="J23" s="69">
        <f>I23+(I16*J$9)</f>
        <v/>
      </c>
      <c r="K23" s="69">
        <f>J23+(J16*K$9)</f>
        <v/>
      </c>
      <c r="L23" s="229" t="n">
        <v>0</v>
      </c>
      <c r="M23" s="531" t="n">
        <v>0</v>
      </c>
      <c r="N23" s="531" t="n">
        <v>0</v>
      </c>
      <c r="O23" s="531" t="n">
        <v>0</v>
      </c>
      <c r="P23" s="531" t="n">
        <v>0</v>
      </c>
      <c r="Q23" s="1302" t="n">
        <v>0</v>
      </c>
      <c r="R23" s="1302" t="n">
        <v>0</v>
      </c>
      <c r="S23" s="531" t="n">
        <v>0</v>
      </c>
      <c r="T23" s="531" t="n">
        <v>1</v>
      </c>
      <c r="U23" s="531" t="n">
        <v>1</v>
      </c>
      <c r="V23" s="531" t="n">
        <v>1</v>
      </c>
      <c r="W23" s="228" t="n">
        <v>1</v>
      </c>
      <c r="X23" s="229" t="n">
        <v>1</v>
      </c>
      <c r="Y23" s="531" t="n">
        <v>1</v>
      </c>
      <c r="Z23" s="531" t="n">
        <v>1</v>
      </c>
      <c r="AA23" s="531" t="n">
        <v>1</v>
      </c>
      <c r="AB23" s="531" t="n">
        <v>1</v>
      </c>
      <c r="AC23" s="531" t="n">
        <v>1</v>
      </c>
      <c r="AD23" s="531" t="n">
        <v>1</v>
      </c>
      <c r="AE23" s="531" t="n">
        <v>1</v>
      </c>
      <c r="AF23" s="531" t="n">
        <v>1</v>
      </c>
      <c r="AG23" s="531" t="n">
        <v>1</v>
      </c>
      <c r="AH23" s="531" t="n">
        <v>1</v>
      </c>
      <c r="AI23" s="228" t="n">
        <v>1</v>
      </c>
      <c r="AJ23" s="531" t="n">
        <v>2</v>
      </c>
      <c r="AK23" s="531" t="n">
        <v>2</v>
      </c>
      <c r="AL23" s="531" t="n">
        <v>2</v>
      </c>
      <c r="AM23" s="531" t="n">
        <v>2</v>
      </c>
      <c r="AN23" s="531" t="n">
        <v>2</v>
      </c>
      <c r="AO23" s="531" t="n">
        <v>2</v>
      </c>
      <c r="AP23" s="531" t="n">
        <v>2</v>
      </c>
      <c r="AQ23" s="531" t="n">
        <v>2</v>
      </c>
      <c r="AR23" s="531" t="n">
        <v>2</v>
      </c>
      <c r="AS23" s="531" t="n">
        <v>2</v>
      </c>
      <c r="AT23" s="531" t="n">
        <v>2</v>
      </c>
      <c r="AU23" s="228" t="n">
        <v>2</v>
      </c>
      <c r="AV23" s="531" t="n">
        <v>3</v>
      </c>
      <c r="AW23" s="531" t="n">
        <v>3</v>
      </c>
      <c r="AX23" s="531" t="n">
        <v>3</v>
      </c>
      <c r="AY23" s="531" t="n">
        <v>3</v>
      </c>
      <c r="AZ23" s="531" t="n">
        <v>3</v>
      </c>
      <c r="BA23" s="229" t="n">
        <v>3</v>
      </c>
      <c r="BB23" s="531" t="n">
        <v>3</v>
      </c>
      <c r="BC23" s="531" t="n">
        <v>3</v>
      </c>
      <c r="BD23" s="531" t="n">
        <v>3</v>
      </c>
      <c r="BE23" s="531" t="n">
        <v>3</v>
      </c>
      <c r="BF23" s="531" t="n">
        <v>3</v>
      </c>
      <c r="BG23" s="228" t="n">
        <v>3</v>
      </c>
      <c r="BH23" s="531" t="n">
        <v>4</v>
      </c>
      <c r="BI23" s="531" t="n">
        <v>4</v>
      </c>
      <c r="BJ23" s="531" t="n">
        <v>4</v>
      </c>
      <c r="BK23" s="531" t="n">
        <v>4</v>
      </c>
      <c r="BL23" s="531" t="n">
        <v>4</v>
      </c>
      <c r="BM23" s="229" t="n">
        <v>4</v>
      </c>
      <c r="BN23" s="531" t="n">
        <v>4</v>
      </c>
      <c r="BO23" s="531" t="n">
        <v>4</v>
      </c>
      <c r="BP23" s="531" t="n">
        <v>4</v>
      </c>
      <c r="BQ23" s="531" t="n">
        <v>4</v>
      </c>
      <c r="BR23" s="531" t="n">
        <v>4</v>
      </c>
      <c r="BS23" s="228" t="n">
        <v>4</v>
      </c>
      <c r="BT23" s="531" t="n">
        <v>5</v>
      </c>
      <c r="BU23" s="531" t="n">
        <v>5</v>
      </c>
      <c r="BV23" s="531" t="n">
        <v>5</v>
      </c>
      <c r="BW23" s="531" t="n">
        <v>5</v>
      </c>
      <c r="BX23" s="531" t="n">
        <v>5</v>
      </c>
      <c r="BY23" s="229" t="n">
        <v>5</v>
      </c>
      <c r="BZ23" s="531" t="n">
        <v>5</v>
      </c>
      <c r="CA23" s="531" t="n">
        <v>5</v>
      </c>
      <c r="CB23" s="531" t="n">
        <v>5</v>
      </c>
      <c r="CC23" s="531" t="n">
        <v>5</v>
      </c>
      <c r="CD23" s="531" t="n">
        <v>5</v>
      </c>
      <c r="CE23" s="228" t="n">
        <v>5</v>
      </c>
    </row>
    <row r="24" ht="12.75" customHeight="1" s="1883">
      <c r="A24" s="1305" t="n"/>
      <c r="B24" s="626" t="n"/>
      <c r="C24" s="233" t="inlineStr">
        <is>
          <t>M</t>
        </is>
      </c>
      <c r="D24" s="1301" t="inlineStr">
        <is>
          <t>John Paris - VP of Strategy</t>
        </is>
      </c>
      <c r="E24" s="530">
        <f>3000*6</f>
        <v/>
      </c>
      <c r="F24" s="530">
        <f>4000*6</f>
        <v/>
      </c>
      <c r="G24" s="530" t="n">
        <v>130000</v>
      </c>
      <c r="H24" s="69">
        <f>G24+(G40*H$9)</f>
        <v/>
      </c>
      <c r="I24" s="69">
        <f>H24+(H40*I$9)</f>
        <v/>
      </c>
      <c r="J24" s="69">
        <f>I24+(I40*J$9)</f>
        <v/>
      </c>
      <c r="K24" s="69">
        <f>J24+(J40*K$9)</f>
        <v/>
      </c>
      <c r="L24" s="229" t="n">
        <v>0</v>
      </c>
      <c r="M24" s="531" t="n">
        <v>0</v>
      </c>
      <c r="N24" s="531" t="n">
        <v>0</v>
      </c>
      <c r="O24" s="531" t="n">
        <v>0</v>
      </c>
      <c r="P24" s="531" t="n">
        <v>0</v>
      </c>
      <c r="Q24" s="1302" t="n">
        <v>0</v>
      </c>
      <c r="R24" s="1302" t="n">
        <v>0</v>
      </c>
      <c r="S24" s="531" t="n">
        <v>0</v>
      </c>
      <c r="T24" s="531" t="n">
        <v>1</v>
      </c>
      <c r="U24" s="531" t="n">
        <v>1</v>
      </c>
      <c r="V24" s="1306" t="n">
        <v>1</v>
      </c>
      <c r="W24" s="1306" t="n">
        <v>1</v>
      </c>
      <c r="X24" s="229" t="n">
        <v>1</v>
      </c>
      <c r="Y24" s="531" t="n">
        <v>1</v>
      </c>
      <c r="Z24" s="531" t="n">
        <v>1</v>
      </c>
      <c r="AA24" s="531" t="n">
        <v>1</v>
      </c>
      <c r="AB24" s="531" t="n">
        <v>1</v>
      </c>
      <c r="AC24" s="531" t="n">
        <v>1</v>
      </c>
      <c r="AD24" s="531" t="n">
        <v>1</v>
      </c>
      <c r="AE24" s="531" t="n">
        <v>1</v>
      </c>
      <c r="AF24" s="531" t="n">
        <v>1</v>
      </c>
      <c r="AG24" s="531" t="n">
        <v>1</v>
      </c>
      <c r="AH24" s="1306" t="n">
        <v>1</v>
      </c>
      <c r="AI24" s="1306" t="n">
        <v>1</v>
      </c>
      <c r="AJ24" s="531" t="n">
        <v>2</v>
      </c>
      <c r="AK24" s="531" t="n">
        <v>2</v>
      </c>
      <c r="AL24" s="531" t="n">
        <v>2</v>
      </c>
      <c r="AM24" s="531" t="n">
        <v>2</v>
      </c>
      <c r="AN24" s="531" t="n">
        <v>2</v>
      </c>
      <c r="AO24" s="531" t="n">
        <v>2</v>
      </c>
      <c r="AP24" s="531" t="n">
        <v>2</v>
      </c>
      <c r="AQ24" s="531" t="n">
        <v>2</v>
      </c>
      <c r="AR24" s="531" t="n">
        <v>2</v>
      </c>
      <c r="AS24" s="531" t="n">
        <v>2</v>
      </c>
      <c r="AT24" s="1306" t="n">
        <v>2</v>
      </c>
      <c r="AU24" s="1306" t="n">
        <v>2</v>
      </c>
      <c r="AV24" s="531" t="n">
        <v>3</v>
      </c>
      <c r="AW24" s="531" t="n">
        <v>3</v>
      </c>
      <c r="AX24" s="531" t="n">
        <v>3</v>
      </c>
      <c r="AY24" s="531" t="n">
        <v>3</v>
      </c>
      <c r="AZ24" s="531" t="n">
        <v>3</v>
      </c>
      <c r="BA24" s="229" t="n">
        <v>3</v>
      </c>
      <c r="BB24" s="531" t="n">
        <v>3</v>
      </c>
      <c r="BC24" s="531" t="n">
        <v>3</v>
      </c>
      <c r="BD24" s="531" t="n">
        <v>3</v>
      </c>
      <c r="BE24" s="531" t="n">
        <v>3</v>
      </c>
      <c r="BF24" s="1306" t="n">
        <v>3</v>
      </c>
      <c r="BG24" s="1306" t="n">
        <v>3</v>
      </c>
      <c r="BH24" s="531" t="n">
        <v>4</v>
      </c>
      <c r="BI24" s="531" t="n">
        <v>4</v>
      </c>
      <c r="BJ24" s="531" t="n">
        <v>4</v>
      </c>
      <c r="BK24" s="531" t="n">
        <v>4</v>
      </c>
      <c r="BL24" s="531" t="n">
        <v>4</v>
      </c>
      <c r="BM24" s="229" t="n">
        <v>4</v>
      </c>
      <c r="BN24" s="531" t="n">
        <v>4</v>
      </c>
      <c r="BO24" s="531" t="n">
        <v>4</v>
      </c>
      <c r="BP24" s="531" t="n">
        <v>4</v>
      </c>
      <c r="BQ24" s="531" t="n">
        <v>4</v>
      </c>
      <c r="BR24" s="1306" t="n">
        <v>4</v>
      </c>
      <c r="BS24" s="1306" t="n">
        <v>4</v>
      </c>
      <c r="BT24" s="531" t="n">
        <v>5</v>
      </c>
      <c r="BU24" s="531" t="n">
        <v>5</v>
      </c>
      <c r="BV24" s="531" t="n">
        <v>5</v>
      </c>
      <c r="BW24" s="531" t="n">
        <v>5</v>
      </c>
      <c r="BX24" s="531" t="n">
        <v>5</v>
      </c>
      <c r="BY24" s="229" t="n">
        <v>5</v>
      </c>
      <c r="BZ24" s="531" t="n">
        <v>5</v>
      </c>
      <c r="CA24" s="531" t="n">
        <v>5</v>
      </c>
      <c r="CB24" s="531" t="n">
        <v>5</v>
      </c>
      <c r="CC24" s="531" t="n">
        <v>5</v>
      </c>
      <c r="CD24" s="1306" t="n">
        <v>5</v>
      </c>
      <c r="CE24" s="1306" t="n">
        <v>5</v>
      </c>
    </row>
    <row r="25" ht="12.75" customHeight="1" s="1883">
      <c r="A25" s="1305" t="n"/>
      <c r="B25" s="626" t="n"/>
      <c r="C25" s="233" t="inlineStr">
        <is>
          <t>M</t>
        </is>
      </c>
      <c r="D25" s="1301" t="inlineStr">
        <is>
          <t>Rimah Harb - SVP of Commercial</t>
        </is>
      </c>
      <c r="E25" s="530">
        <f>2500*6</f>
        <v/>
      </c>
      <c r="F25" s="530">
        <f>4000*6</f>
        <v/>
      </c>
      <c r="G25" s="530" t="n">
        <v>130000</v>
      </c>
      <c r="H25" s="69">
        <f>G25+(G40*H$9)</f>
        <v/>
      </c>
      <c r="I25" s="69">
        <f>H25+(H40*I$9)</f>
        <v/>
      </c>
      <c r="J25" s="69">
        <f>I25+(I40*J$9)</f>
        <v/>
      </c>
      <c r="K25" s="69">
        <f>J25+(J40*K$9)</f>
        <v/>
      </c>
      <c r="L25" s="229" t="n">
        <v>1</v>
      </c>
      <c r="M25" s="531" t="n">
        <v>1</v>
      </c>
      <c r="N25" s="531" t="n">
        <v>1</v>
      </c>
      <c r="O25" s="531" t="n">
        <v>1</v>
      </c>
      <c r="P25" s="531" t="n">
        <v>1</v>
      </c>
      <c r="Q25" s="1302" t="n">
        <v>1</v>
      </c>
      <c r="R25" s="1302" t="n">
        <v>1</v>
      </c>
      <c r="S25" s="531" t="n">
        <v>1</v>
      </c>
      <c r="T25" s="531" t="n">
        <v>1</v>
      </c>
      <c r="U25" s="531" t="n">
        <v>1</v>
      </c>
      <c r="V25" s="1306" t="n">
        <v>1</v>
      </c>
      <c r="W25" s="1306" t="n">
        <v>1</v>
      </c>
      <c r="X25" s="229" t="n">
        <v>1</v>
      </c>
      <c r="Y25" s="531" t="n">
        <v>1</v>
      </c>
      <c r="Z25" s="531" t="n">
        <v>1</v>
      </c>
      <c r="AA25" s="531" t="n">
        <v>1</v>
      </c>
      <c r="AB25" s="531" t="n">
        <v>1</v>
      </c>
      <c r="AC25" s="531" t="n">
        <v>1</v>
      </c>
      <c r="AD25" s="531" t="n">
        <v>1</v>
      </c>
      <c r="AE25" s="531" t="n">
        <v>1</v>
      </c>
      <c r="AF25" s="531" t="n">
        <v>1</v>
      </c>
      <c r="AG25" s="531" t="n">
        <v>1</v>
      </c>
      <c r="AH25" s="1306" t="n">
        <v>1</v>
      </c>
      <c r="AI25" s="1306" t="n">
        <v>1</v>
      </c>
      <c r="AJ25" s="531" t="n">
        <v>2</v>
      </c>
      <c r="AK25" s="531" t="n">
        <v>2</v>
      </c>
      <c r="AL25" s="531" t="n">
        <v>2</v>
      </c>
      <c r="AM25" s="531" t="n">
        <v>2</v>
      </c>
      <c r="AN25" s="531" t="n">
        <v>2</v>
      </c>
      <c r="AO25" s="531" t="n">
        <v>2</v>
      </c>
      <c r="AP25" s="531" t="n">
        <v>2</v>
      </c>
      <c r="AQ25" s="531" t="n">
        <v>2</v>
      </c>
      <c r="AR25" s="531" t="n">
        <v>2</v>
      </c>
      <c r="AS25" s="531" t="n">
        <v>2</v>
      </c>
      <c r="AT25" s="1306" t="n">
        <v>2</v>
      </c>
      <c r="AU25" s="1306" t="n">
        <v>2</v>
      </c>
      <c r="AV25" s="531" t="n">
        <v>3</v>
      </c>
      <c r="AW25" s="531" t="n">
        <v>3</v>
      </c>
      <c r="AX25" s="531" t="n">
        <v>3</v>
      </c>
      <c r="AY25" s="531" t="n">
        <v>3</v>
      </c>
      <c r="AZ25" s="531" t="n">
        <v>3</v>
      </c>
      <c r="BA25" s="229" t="n">
        <v>3</v>
      </c>
      <c r="BB25" s="531" t="n">
        <v>3</v>
      </c>
      <c r="BC25" s="531" t="n">
        <v>3</v>
      </c>
      <c r="BD25" s="531" t="n">
        <v>3</v>
      </c>
      <c r="BE25" s="531" t="n">
        <v>3</v>
      </c>
      <c r="BF25" s="1306" t="n">
        <v>3</v>
      </c>
      <c r="BG25" s="1306" t="n">
        <v>3</v>
      </c>
      <c r="BH25" s="531" t="n">
        <v>4</v>
      </c>
      <c r="BI25" s="531" t="n">
        <v>4</v>
      </c>
      <c r="BJ25" s="531" t="n">
        <v>4</v>
      </c>
      <c r="BK25" s="531" t="n">
        <v>4</v>
      </c>
      <c r="BL25" s="531" t="n">
        <v>4</v>
      </c>
      <c r="BM25" s="229" t="n">
        <v>4</v>
      </c>
      <c r="BN25" s="531" t="n">
        <v>4</v>
      </c>
      <c r="BO25" s="531" t="n">
        <v>4</v>
      </c>
      <c r="BP25" s="531" t="n">
        <v>4</v>
      </c>
      <c r="BQ25" s="531" t="n">
        <v>4</v>
      </c>
      <c r="BR25" s="1306" t="n">
        <v>4</v>
      </c>
      <c r="BS25" s="1306" t="n">
        <v>4</v>
      </c>
      <c r="BT25" s="531" t="n">
        <v>5</v>
      </c>
      <c r="BU25" s="531" t="n">
        <v>5</v>
      </c>
      <c r="BV25" s="531" t="n">
        <v>5</v>
      </c>
      <c r="BW25" s="531" t="n">
        <v>5</v>
      </c>
      <c r="BX25" s="531" t="n">
        <v>5</v>
      </c>
      <c r="BY25" s="229" t="n">
        <v>5</v>
      </c>
      <c r="BZ25" s="531" t="n">
        <v>5</v>
      </c>
      <c r="CA25" s="531" t="n">
        <v>5</v>
      </c>
      <c r="CB25" s="531" t="n">
        <v>5</v>
      </c>
      <c r="CC25" s="531" t="n">
        <v>5</v>
      </c>
      <c r="CD25" s="1306" t="n">
        <v>5</v>
      </c>
      <c r="CE25" s="1306" t="n">
        <v>5</v>
      </c>
    </row>
    <row r="26" ht="12.75" customHeight="1" s="1883">
      <c r="A26" s="1305" t="n"/>
      <c r="B26" s="626" t="n"/>
      <c r="C26" s="233" t="inlineStr">
        <is>
          <t>M</t>
        </is>
      </c>
      <c r="D26" s="1301" t="inlineStr">
        <is>
          <t>Nathan Olson - President of Pure Marketing</t>
        </is>
      </c>
      <c r="E26" s="530">
        <f>1500*6</f>
        <v/>
      </c>
      <c r="F26" s="530">
        <f>4000*6</f>
        <v/>
      </c>
      <c r="G26" s="530" t="n">
        <v>130000</v>
      </c>
      <c r="H26" s="69">
        <f>G26+(G27*H$9)</f>
        <v/>
      </c>
      <c r="I26" s="69">
        <f>H26+(H27*I$9)</f>
        <v/>
      </c>
      <c r="J26" s="69">
        <f>I26+(I27*J$9)</f>
        <v/>
      </c>
      <c r="K26" s="69">
        <f>J26+(J27*K$9)</f>
        <v/>
      </c>
      <c r="L26" s="229" t="n">
        <v>0</v>
      </c>
      <c r="M26" s="531" t="n">
        <v>0</v>
      </c>
      <c r="N26" s="531" t="n">
        <v>0</v>
      </c>
      <c r="O26" s="531" t="n">
        <v>0</v>
      </c>
      <c r="P26" s="531" t="n">
        <v>0</v>
      </c>
      <c r="Q26" s="1302" t="n">
        <v>0</v>
      </c>
      <c r="R26" s="1302" t="n">
        <v>0</v>
      </c>
      <c r="S26" s="531" t="n">
        <v>0</v>
      </c>
      <c r="T26" s="531" t="n">
        <v>1</v>
      </c>
      <c r="U26" s="531" t="n">
        <v>1</v>
      </c>
      <c r="V26" s="531" t="n">
        <v>1</v>
      </c>
      <c r="W26" s="228" t="n">
        <v>1</v>
      </c>
      <c r="X26" s="229" t="n">
        <v>1</v>
      </c>
      <c r="Y26" s="531" t="n">
        <v>1</v>
      </c>
      <c r="Z26" s="531" t="n">
        <v>1</v>
      </c>
      <c r="AA26" s="531" t="n">
        <v>1</v>
      </c>
      <c r="AB26" s="531" t="n">
        <v>1</v>
      </c>
      <c r="AC26" s="531" t="n">
        <v>1</v>
      </c>
      <c r="AD26" s="531" t="n">
        <v>1</v>
      </c>
      <c r="AE26" s="531" t="n">
        <v>1</v>
      </c>
      <c r="AF26" s="531" t="n">
        <v>1</v>
      </c>
      <c r="AG26" s="531" t="n">
        <v>1</v>
      </c>
      <c r="AH26" s="531" t="n">
        <v>1</v>
      </c>
      <c r="AI26" s="228" t="n">
        <v>1</v>
      </c>
      <c r="AJ26" s="531" t="n">
        <v>2</v>
      </c>
      <c r="AK26" s="531" t="n">
        <v>2</v>
      </c>
      <c r="AL26" s="531" t="n">
        <v>2</v>
      </c>
      <c r="AM26" s="531" t="n">
        <v>2</v>
      </c>
      <c r="AN26" s="531" t="n">
        <v>2</v>
      </c>
      <c r="AO26" s="531" t="n">
        <v>2</v>
      </c>
      <c r="AP26" s="531" t="n">
        <v>2</v>
      </c>
      <c r="AQ26" s="531" t="n">
        <v>2</v>
      </c>
      <c r="AR26" s="531" t="n">
        <v>2</v>
      </c>
      <c r="AS26" s="531" t="n">
        <v>2</v>
      </c>
      <c r="AT26" s="531" t="n">
        <v>2</v>
      </c>
      <c r="AU26" s="228" t="n">
        <v>2</v>
      </c>
      <c r="AV26" s="531" t="n">
        <v>3</v>
      </c>
      <c r="AW26" s="531" t="n">
        <v>3</v>
      </c>
      <c r="AX26" s="531" t="n">
        <v>3</v>
      </c>
      <c r="AY26" s="531" t="n">
        <v>3</v>
      </c>
      <c r="AZ26" s="531" t="n">
        <v>3</v>
      </c>
      <c r="BA26" s="229" t="n">
        <v>3</v>
      </c>
      <c r="BB26" s="531" t="n">
        <v>3</v>
      </c>
      <c r="BC26" s="531" t="n">
        <v>3</v>
      </c>
      <c r="BD26" s="531" t="n">
        <v>3</v>
      </c>
      <c r="BE26" s="531" t="n">
        <v>3</v>
      </c>
      <c r="BF26" s="531" t="n">
        <v>3</v>
      </c>
      <c r="BG26" s="228" t="n">
        <v>3</v>
      </c>
      <c r="BH26" s="531" t="n">
        <v>6</v>
      </c>
      <c r="BI26" s="531" t="n">
        <v>6</v>
      </c>
      <c r="BJ26" s="531" t="n">
        <v>6</v>
      </c>
      <c r="BK26" s="531" t="n">
        <v>6</v>
      </c>
      <c r="BL26" s="531" t="n">
        <v>6</v>
      </c>
      <c r="BM26" s="229" t="n">
        <v>6</v>
      </c>
      <c r="BN26" s="531" t="n">
        <v>6</v>
      </c>
      <c r="BO26" s="531" t="n">
        <v>6</v>
      </c>
      <c r="BP26" s="531" t="n">
        <v>6</v>
      </c>
      <c r="BQ26" s="531" t="n">
        <v>6</v>
      </c>
      <c r="BR26" s="531" t="n">
        <v>6</v>
      </c>
      <c r="BS26" s="228" t="n">
        <v>6</v>
      </c>
      <c r="BT26" s="531" t="n">
        <v>7</v>
      </c>
      <c r="BU26" s="531" t="n">
        <v>7</v>
      </c>
      <c r="BV26" s="531" t="n">
        <v>7</v>
      </c>
      <c r="BW26" s="531" t="n">
        <v>7</v>
      </c>
      <c r="BX26" s="531" t="n">
        <v>7</v>
      </c>
      <c r="BY26" s="229" t="n">
        <v>7</v>
      </c>
      <c r="BZ26" s="531" t="n">
        <v>7</v>
      </c>
      <c r="CA26" s="531" t="n">
        <v>7</v>
      </c>
      <c r="CB26" s="531" t="n">
        <v>7</v>
      </c>
      <c r="CC26" s="531" t="n">
        <v>7</v>
      </c>
      <c r="CD26" s="531" t="n">
        <v>7</v>
      </c>
      <c r="CE26" s="228" t="n">
        <v>7</v>
      </c>
    </row>
    <row r="27" ht="12" customHeight="1" s="1883">
      <c r="A27" s="1305" t="n"/>
      <c r="B27" s="626" t="n"/>
      <c r="C27" s="233" t="inlineStr">
        <is>
          <t>M</t>
        </is>
      </c>
      <c r="D27" s="1301" t="inlineStr">
        <is>
          <t>Ahsen Awan - Zafeer, Shabaz - Technical Project Management Team</t>
        </is>
      </c>
      <c r="E27" s="530">
        <f>4800*6</f>
        <v/>
      </c>
      <c r="F27" s="530">
        <f>4800*6</f>
        <v/>
      </c>
      <c r="G27" s="530" t="n">
        <v>110000</v>
      </c>
      <c r="H27" s="69">
        <f>G27+(G24*H$9)</f>
        <v/>
      </c>
      <c r="I27" s="69">
        <f>H27+(H24*I$9)</f>
        <v/>
      </c>
      <c r="J27" s="69">
        <f>I27+(I24*J$9)</f>
        <v/>
      </c>
      <c r="K27" s="69">
        <f>J27+(J24*K$9)</f>
        <v/>
      </c>
      <c r="L27" s="229" t="n">
        <v>1</v>
      </c>
      <c r="M27" s="531" t="n">
        <v>1</v>
      </c>
      <c r="N27" s="531" t="n">
        <v>1</v>
      </c>
      <c r="O27" s="531" t="n">
        <v>1</v>
      </c>
      <c r="P27" s="531" t="n">
        <v>1</v>
      </c>
      <c r="Q27" s="1302" t="n">
        <v>1</v>
      </c>
      <c r="R27" s="1302" t="n">
        <v>1</v>
      </c>
      <c r="S27" s="531" t="n">
        <v>1</v>
      </c>
      <c r="T27" s="531" t="n">
        <v>1</v>
      </c>
      <c r="U27" s="531" t="n">
        <v>1</v>
      </c>
      <c r="V27" s="1306" t="n">
        <v>1</v>
      </c>
      <c r="W27" s="1306" t="n">
        <v>1</v>
      </c>
      <c r="X27" s="229" t="n">
        <v>2</v>
      </c>
      <c r="Y27" s="531" t="n">
        <v>2</v>
      </c>
      <c r="Z27" s="531" t="n">
        <v>2</v>
      </c>
      <c r="AA27" s="531" t="n">
        <v>2</v>
      </c>
      <c r="AB27" s="531" t="n">
        <v>2</v>
      </c>
      <c r="AC27" s="531" t="n">
        <v>2</v>
      </c>
      <c r="AD27" s="531" t="n">
        <v>2</v>
      </c>
      <c r="AE27" s="531" t="n">
        <v>2</v>
      </c>
      <c r="AF27" s="531" t="n">
        <v>2</v>
      </c>
      <c r="AG27" s="531" t="n">
        <v>2</v>
      </c>
      <c r="AH27" s="1306" t="n">
        <v>2</v>
      </c>
      <c r="AI27" s="1306" t="n">
        <v>2</v>
      </c>
      <c r="AJ27" s="531" t="n">
        <v>2</v>
      </c>
      <c r="AK27" s="531" t="n">
        <v>2</v>
      </c>
      <c r="AL27" s="531" t="n">
        <v>2</v>
      </c>
      <c r="AM27" s="531" t="n">
        <v>2</v>
      </c>
      <c r="AN27" s="531" t="n">
        <v>2</v>
      </c>
      <c r="AO27" s="531" t="n">
        <v>2</v>
      </c>
      <c r="AP27" s="531" t="n">
        <v>2</v>
      </c>
      <c r="AQ27" s="531" t="n">
        <v>2</v>
      </c>
      <c r="AR27" s="531" t="n">
        <v>2</v>
      </c>
      <c r="AS27" s="531" t="n">
        <v>2</v>
      </c>
      <c r="AT27" s="1306" t="n">
        <v>2</v>
      </c>
      <c r="AU27" s="1306" t="n">
        <v>2</v>
      </c>
      <c r="AV27" s="531" t="n">
        <v>3</v>
      </c>
      <c r="AW27" s="531" t="n">
        <v>3</v>
      </c>
      <c r="AX27" s="531" t="n">
        <v>3</v>
      </c>
      <c r="AY27" s="531" t="n">
        <v>3</v>
      </c>
      <c r="AZ27" s="531" t="n">
        <v>3</v>
      </c>
      <c r="BA27" s="229" t="n">
        <v>3</v>
      </c>
      <c r="BB27" s="531" t="n">
        <v>3</v>
      </c>
      <c r="BC27" s="531" t="n">
        <v>3</v>
      </c>
      <c r="BD27" s="531" t="n">
        <v>3</v>
      </c>
      <c r="BE27" s="531" t="n">
        <v>3</v>
      </c>
      <c r="BF27" s="1306" t="n">
        <v>3</v>
      </c>
      <c r="BG27" s="1306" t="n">
        <v>3</v>
      </c>
      <c r="BH27" s="531" t="n">
        <v>6</v>
      </c>
      <c r="BI27" s="531" t="n">
        <v>6</v>
      </c>
      <c r="BJ27" s="531" t="n">
        <v>6</v>
      </c>
      <c r="BK27" s="531" t="n">
        <v>6</v>
      </c>
      <c r="BL27" s="531" t="n">
        <v>6</v>
      </c>
      <c r="BM27" s="229" t="n">
        <v>6</v>
      </c>
      <c r="BN27" s="531" t="n">
        <v>6</v>
      </c>
      <c r="BO27" s="531" t="n">
        <v>6</v>
      </c>
      <c r="BP27" s="531" t="n">
        <v>6</v>
      </c>
      <c r="BQ27" s="531" t="n">
        <v>6</v>
      </c>
      <c r="BR27" s="1306" t="n">
        <v>6</v>
      </c>
      <c r="BS27" s="1306" t="n">
        <v>6</v>
      </c>
      <c r="BT27" s="531" t="n">
        <v>7</v>
      </c>
      <c r="BU27" s="531" t="n">
        <v>7</v>
      </c>
      <c r="BV27" s="531" t="n">
        <v>7</v>
      </c>
      <c r="BW27" s="531" t="n">
        <v>7</v>
      </c>
      <c r="BX27" s="531" t="n">
        <v>7</v>
      </c>
      <c r="BY27" s="229" t="n">
        <v>7</v>
      </c>
      <c r="BZ27" s="531" t="n">
        <v>7</v>
      </c>
      <c r="CA27" s="531" t="n">
        <v>7</v>
      </c>
      <c r="CB27" s="531" t="n">
        <v>7</v>
      </c>
      <c r="CC27" s="531" t="n">
        <v>7</v>
      </c>
      <c r="CD27" s="1306" t="n">
        <v>7</v>
      </c>
      <c r="CE27" s="1306" t="n">
        <v>7</v>
      </c>
    </row>
    <row r="28" ht="12" customHeight="1" s="1883">
      <c r="A28" s="1305" t="n"/>
      <c r="B28" s="626" t="n"/>
      <c r="C28" s="233" t="inlineStr">
        <is>
          <t>M</t>
        </is>
      </c>
      <c r="D28" s="1301" t="inlineStr">
        <is>
          <t>Ahsen Awan - Zafeer, Shabaz - Technical Project Management Team</t>
        </is>
      </c>
      <c r="E28" s="530">
        <f>4800*6</f>
        <v/>
      </c>
      <c r="F28" s="530">
        <f>4800*6</f>
        <v/>
      </c>
      <c r="G28" s="530" t="n">
        <v>110000</v>
      </c>
      <c r="H28" s="69">
        <f>G28+(G25*H$9)</f>
        <v/>
      </c>
      <c r="I28" s="69">
        <f>H28+(H25*I$9)</f>
        <v/>
      </c>
      <c r="J28" s="69">
        <f>I28+(I25*J$9)</f>
        <v/>
      </c>
      <c r="K28" s="69">
        <f>J28+(J25*K$9)</f>
        <v/>
      </c>
      <c r="L28" s="229" t="n">
        <v>1</v>
      </c>
      <c r="M28" s="531" t="n">
        <v>1</v>
      </c>
      <c r="N28" s="531" t="n">
        <v>1</v>
      </c>
      <c r="O28" s="531" t="n">
        <v>1</v>
      </c>
      <c r="P28" s="531" t="n">
        <v>1</v>
      </c>
      <c r="Q28" s="1302" t="n">
        <v>1</v>
      </c>
      <c r="R28" s="1302" t="n">
        <v>1</v>
      </c>
      <c r="S28" s="531" t="n">
        <v>1</v>
      </c>
      <c r="T28" s="531" t="n">
        <v>1</v>
      </c>
      <c r="U28" s="531" t="n">
        <v>1</v>
      </c>
      <c r="V28" s="1306" t="n">
        <v>1</v>
      </c>
      <c r="W28" s="1306" t="n">
        <v>1</v>
      </c>
      <c r="X28" s="229" t="n">
        <v>2</v>
      </c>
      <c r="Y28" s="531" t="n">
        <v>2</v>
      </c>
      <c r="Z28" s="531" t="n">
        <v>2</v>
      </c>
      <c r="AA28" s="531" t="n">
        <v>2</v>
      </c>
      <c r="AB28" s="531" t="n">
        <v>2</v>
      </c>
      <c r="AC28" s="531" t="n">
        <v>2</v>
      </c>
      <c r="AD28" s="531" t="n">
        <v>2</v>
      </c>
      <c r="AE28" s="531" t="n">
        <v>2</v>
      </c>
      <c r="AF28" s="531" t="n">
        <v>2</v>
      </c>
      <c r="AG28" s="531" t="n">
        <v>2</v>
      </c>
      <c r="AH28" s="1306" t="n">
        <v>2</v>
      </c>
      <c r="AI28" s="1306" t="n">
        <v>2</v>
      </c>
      <c r="AJ28" s="531" t="n">
        <v>2</v>
      </c>
      <c r="AK28" s="531" t="n">
        <v>2</v>
      </c>
      <c r="AL28" s="531" t="n">
        <v>2</v>
      </c>
      <c r="AM28" s="531" t="n">
        <v>2</v>
      </c>
      <c r="AN28" s="531" t="n">
        <v>2</v>
      </c>
      <c r="AO28" s="531" t="n">
        <v>2</v>
      </c>
      <c r="AP28" s="531" t="n">
        <v>2</v>
      </c>
      <c r="AQ28" s="531" t="n">
        <v>2</v>
      </c>
      <c r="AR28" s="531" t="n">
        <v>2</v>
      </c>
      <c r="AS28" s="531" t="n">
        <v>2</v>
      </c>
      <c r="AT28" s="1306" t="n">
        <v>2</v>
      </c>
      <c r="AU28" s="1306" t="n">
        <v>2</v>
      </c>
      <c r="AV28" s="531" t="n">
        <v>3</v>
      </c>
      <c r="AW28" s="531" t="n">
        <v>3</v>
      </c>
      <c r="AX28" s="531" t="n">
        <v>3</v>
      </c>
      <c r="AY28" s="531" t="n">
        <v>3</v>
      </c>
      <c r="AZ28" s="531" t="n">
        <v>3</v>
      </c>
      <c r="BA28" s="229" t="n">
        <v>3</v>
      </c>
      <c r="BB28" s="531" t="n">
        <v>3</v>
      </c>
      <c r="BC28" s="531" t="n">
        <v>3</v>
      </c>
      <c r="BD28" s="531" t="n">
        <v>3</v>
      </c>
      <c r="BE28" s="531" t="n">
        <v>3</v>
      </c>
      <c r="BF28" s="1306" t="n">
        <v>3</v>
      </c>
      <c r="BG28" s="1306" t="n">
        <v>3</v>
      </c>
      <c r="BH28" s="531" t="n">
        <v>6</v>
      </c>
      <c r="BI28" s="531" t="n">
        <v>6</v>
      </c>
      <c r="BJ28" s="531" t="n">
        <v>6</v>
      </c>
      <c r="BK28" s="531" t="n">
        <v>6</v>
      </c>
      <c r="BL28" s="531" t="n">
        <v>6</v>
      </c>
      <c r="BM28" s="229" t="n">
        <v>6</v>
      </c>
      <c r="BN28" s="531" t="n">
        <v>6</v>
      </c>
      <c r="BO28" s="531" t="n">
        <v>6</v>
      </c>
      <c r="BP28" s="531" t="n">
        <v>6</v>
      </c>
      <c r="BQ28" s="531" t="n">
        <v>6</v>
      </c>
      <c r="BR28" s="1306" t="n">
        <v>6</v>
      </c>
      <c r="BS28" s="1306" t="n">
        <v>6</v>
      </c>
      <c r="BT28" s="531" t="n">
        <v>7</v>
      </c>
      <c r="BU28" s="531" t="n">
        <v>7</v>
      </c>
      <c r="BV28" s="531" t="n">
        <v>7</v>
      </c>
      <c r="BW28" s="531" t="n">
        <v>7</v>
      </c>
      <c r="BX28" s="531" t="n">
        <v>7</v>
      </c>
      <c r="BY28" s="229" t="n">
        <v>7</v>
      </c>
      <c r="BZ28" s="531" t="n">
        <v>7</v>
      </c>
      <c r="CA28" s="531" t="n">
        <v>7</v>
      </c>
      <c r="CB28" s="531" t="n">
        <v>7</v>
      </c>
      <c r="CC28" s="531" t="n">
        <v>7</v>
      </c>
      <c r="CD28" s="1306" t="n">
        <v>7</v>
      </c>
      <c r="CE28" s="1306" t="n">
        <v>7</v>
      </c>
    </row>
    <row r="29" ht="12" customHeight="1" s="1883">
      <c r="A29" s="1305" t="n"/>
      <c r="B29" s="626" t="n"/>
      <c r="C29" s="233" t="inlineStr">
        <is>
          <t>M</t>
        </is>
      </c>
      <c r="D29" s="1301" t="inlineStr">
        <is>
          <t>Ahsen Awan - Zafeer, Shabaz - Technical Project Management Team</t>
        </is>
      </c>
      <c r="E29" s="530">
        <f>4800*6</f>
        <v/>
      </c>
      <c r="F29" s="530">
        <f>4800*6</f>
        <v/>
      </c>
      <c r="G29" s="530" t="n">
        <v>110000</v>
      </c>
      <c r="H29" s="69">
        <f>G29+(G26*H$9)</f>
        <v/>
      </c>
      <c r="I29" s="69">
        <f>H29+(H26*I$9)</f>
        <v/>
      </c>
      <c r="J29" s="69">
        <f>I29+(I26*J$9)</f>
        <v/>
      </c>
      <c r="K29" s="69">
        <f>J29+(J26*K$9)</f>
        <v/>
      </c>
      <c r="L29" s="229" t="n">
        <v>1</v>
      </c>
      <c r="M29" s="531" t="n">
        <v>1</v>
      </c>
      <c r="N29" s="531" t="n">
        <v>1</v>
      </c>
      <c r="O29" s="531" t="n">
        <v>1</v>
      </c>
      <c r="P29" s="531" t="n">
        <v>1</v>
      </c>
      <c r="Q29" s="1302" t="n">
        <v>1</v>
      </c>
      <c r="R29" s="1302" t="n">
        <v>1</v>
      </c>
      <c r="S29" s="531" t="n">
        <v>1</v>
      </c>
      <c r="T29" s="531" t="n">
        <v>1</v>
      </c>
      <c r="U29" s="531" t="n">
        <v>1</v>
      </c>
      <c r="V29" s="1306" t="n">
        <v>1</v>
      </c>
      <c r="W29" s="1306" t="n">
        <v>1</v>
      </c>
      <c r="X29" s="229" t="n">
        <v>2</v>
      </c>
      <c r="Y29" s="531" t="n">
        <v>2</v>
      </c>
      <c r="Z29" s="531" t="n">
        <v>2</v>
      </c>
      <c r="AA29" s="531" t="n">
        <v>2</v>
      </c>
      <c r="AB29" s="531" t="n">
        <v>2</v>
      </c>
      <c r="AC29" s="531" t="n">
        <v>2</v>
      </c>
      <c r="AD29" s="531" t="n">
        <v>2</v>
      </c>
      <c r="AE29" s="531" t="n">
        <v>2</v>
      </c>
      <c r="AF29" s="531" t="n">
        <v>2</v>
      </c>
      <c r="AG29" s="531" t="n">
        <v>2</v>
      </c>
      <c r="AH29" s="1306" t="n">
        <v>2</v>
      </c>
      <c r="AI29" s="1306" t="n">
        <v>2</v>
      </c>
      <c r="AJ29" s="531" t="n">
        <v>2</v>
      </c>
      <c r="AK29" s="531" t="n">
        <v>2</v>
      </c>
      <c r="AL29" s="531" t="n">
        <v>2</v>
      </c>
      <c r="AM29" s="531" t="n">
        <v>2</v>
      </c>
      <c r="AN29" s="531" t="n">
        <v>2</v>
      </c>
      <c r="AO29" s="531" t="n">
        <v>2</v>
      </c>
      <c r="AP29" s="531" t="n">
        <v>2</v>
      </c>
      <c r="AQ29" s="531" t="n">
        <v>2</v>
      </c>
      <c r="AR29" s="531" t="n">
        <v>2</v>
      </c>
      <c r="AS29" s="531" t="n">
        <v>2</v>
      </c>
      <c r="AT29" s="1306" t="n">
        <v>2</v>
      </c>
      <c r="AU29" s="1306" t="n">
        <v>2</v>
      </c>
      <c r="AV29" s="531" t="n">
        <v>3</v>
      </c>
      <c r="AW29" s="531" t="n">
        <v>3</v>
      </c>
      <c r="AX29" s="531" t="n">
        <v>3</v>
      </c>
      <c r="AY29" s="531" t="n">
        <v>3</v>
      </c>
      <c r="AZ29" s="531" t="n">
        <v>3</v>
      </c>
      <c r="BA29" s="229" t="n">
        <v>3</v>
      </c>
      <c r="BB29" s="531" t="n">
        <v>3</v>
      </c>
      <c r="BC29" s="531" t="n">
        <v>3</v>
      </c>
      <c r="BD29" s="531" t="n">
        <v>3</v>
      </c>
      <c r="BE29" s="531" t="n">
        <v>3</v>
      </c>
      <c r="BF29" s="1306" t="n">
        <v>3</v>
      </c>
      <c r="BG29" s="1306" t="n">
        <v>3</v>
      </c>
      <c r="BH29" s="531" t="n">
        <v>6</v>
      </c>
      <c r="BI29" s="531" t="n">
        <v>6</v>
      </c>
      <c r="BJ29" s="531" t="n">
        <v>6</v>
      </c>
      <c r="BK29" s="531" t="n">
        <v>6</v>
      </c>
      <c r="BL29" s="531" t="n">
        <v>6</v>
      </c>
      <c r="BM29" s="229" t="n">
        <v>6</v>
      </c>
      <c r="BN29" s="531" t="n">
        <v>6</v>
      </c>
      <c r="BO29" s="531" t="n">
        <v>6</v>
      </c>
      <c r="BP29" s="531" t="n">
        <v>6</v>
      </c>
      <c r="BQ29" s="531" t="n">
        <v>6</v>
      </c>
      <c r="BR29" s="1306" t="n">
        <v>6</v>
      </c>
      <c r="BS29" s="1306" t="n">
        <v>6</v>
      </c>
      <c r="BT29" s="531" t="n">
        <v>7</v>
      </c>
      <c r="BU29" s="531" t="n">
        <v>7</v>
      </c>
      <c r="BV29" s="531" t="n">
        <v>7</v>
      </c>
      <c r="BW29" s="531" t="n">
        <v>7</v>
      </c>
      <c r="BX29" s="531" t="n">
        <v>7</v>
      </c>
      <c r="BY29" s="229" t="n">
        <v>7</v>
      </c>
      <c r="BZ29" s="531" t="n">
        <v>7</v>
      </c>
      <c r="CA29" s="531" t="n">
        <v>7</v>
      </c>
      <c r="CB29" s="531" t="n">
        <v>7</v>
      </c>
      <c r="CC29" s="531" t="n">
        <v>7</v>
      </c>
      <c r="CD29" s="1306" t="n">
        <v>7</v>
      </c>
      <c r="CE29" s="1306" t="n">
        <v>7</v>
      </c>
    </row>
    <row r="30" ht="14" customHeight="1" s="1883">
      <c r="A30" s="227" t="n"/>
      <c r="B30" s="232" t="n"/>
      <c r="C30" s="233" t="inlineStr">
        <is>
          <t>M</t>
        </is>
      </c>
      <c r="D30" s="1304" t="inlineStr">
        <is>
          <t>- Director of Sales</t>
        </is>
      </c>
      <c r="E30" s="530" t="n">
        <v>0</v>
      </c>
      <c r="F30" s="530" t="n">
        <v>0</v>
      </c>
      <c r="G30" s="530" t="n">
        <v>110000</v>
      </c>
      <c r="H30" s="69">
        <f>G30+(G21*H$9)</f>
        <v/>
      </c>
      <c r="I30" s="69">
        <f>H30+(H21*I$9)</f>
        <v/>
      </c>
      <c r="J30" s="69">
        <f>I30+(I21*J$9)</f>
        <v/>
      </c>
      <c r="K30" s="69">
        <f>J30+(J21*K$9)</f>
        <v/>
      </c>
      <c r="L30" s="229" t="n">
        <v>0</v>
      </c>
      <c r="M30" s="531" t="n">
        <v>0</v>
      </c>
      <c r="N30" s="531" t="n">
        <v>0</v>
      </c>
      <c r="O30" s="531" t="n">
        <v>0</v>
      </c>
      <c r="P30" s="531" t="n">
        <v>0</v>
      </c>
      <c r="Q30" s="1302" t="n">
        <v>0</v>
      </c>
      <c r="R30" s="1302" t="n">
        <v>0</v>
      </c>
      <c r="S30" s="531" t="n">
        <v>0</v>
      </c>
      <c r="T30" s="531" t="n">
        <v>1</v>
      </c>
      <c r="U30" s="531" t="n">
        <v>1</v>
      </c>
      <c r="V30" s="531" t="n">
        <v>1</v>
      </c>
      <c r="W30" s="228" t="n">
        <v>1</v>
      </c>
      <c r="X30" s="229" t="n">
        <v>1</v>
      </c>
      <c r="Y30" s="531" t="n">
        <v>1</v>
      </c>
      <c r="Z30" s="531" t="n">
        <v>1</v>
      </c>
      <c r="AA30" s="531" t="n">
        <v>1</v>
      </c>
      <c r="AB30" s="531" t="n">
        <v>1</v>
      </c>
      <c r="AC30" s="531" t="n">
        <v>1</v>
      </c>
      <c r="AD30" s="531" t="n">
        <v>1</v>
      </c>
      <c r="AE30" s="531" t="n">
        <v>1</v>
      </c>
      <c r="AF30" s="531" t="n">
        <v>1</v>
      </c>
      <c r="AG30" s="531" t="n">
        <v>1</v>
      </c>
      <c r="AH30" s="531" t="n">
        <v>1</v>
      </c>
      <c r="AI30" s="228" t="n">
        <v>1</v>
      </c>
      <c r="AJ30" s="531" t="n">
        <v>2</v>
      </c>
      <c r="AK30" s="531" t="n">
        <v>2</v>
      </c>
      <c r="AL30" s="531" t="n">
        <v>2</v>
      </c>
      <c r="AM30" s="531" t="n">
        <v>2</v>
      </c>
      <c r="AN30" s="531" t="n">
        <v>2</v>
      </c>
      <c r="AO30" s="531" t="n">
        <v>2</v>
      </c>
      <c r="AP30" s="531" t="n">
        <v>2</v>
      </c>
      <c r="AQ30" s="531" t="n">
        <v>2</v>
      </c>
      <c r="AR30" s="531" t="n">
        <v>2</v>
      </c>
      <c r="AS30" s="531" t="n">
        <v>2</v>
      </c>
      <c r="AT30" s="531" t="n">
        <v>2</v>
      </c>
      <c r="AU30" s="228" t="n">
        <v>2</v>
      </c>
      <c r="AV30" s="531" t="n">
        <v>3</v>
      </c>
      <c r="AW30" s="531" t="n">
        <v>3</v>
      </c>
      <c r="AX30" s="531" t="n">
        <v>3</v>
      </c>
      <c r="AY30" s="531" t="n">
        <v>3</v>
      </c>
      <c r="AZ30" s="531" t="n">
        <v>3</v>
      </c>
      <c r="BA30" s="229" t="n">
        <v>3</v>
      </c>
      <c r="BB30" s="531" t="n">
        <v>3</v>
      </c>
      <c r="BC30" s="531" t="n">
        <v>3</v>
      </c>
      <c r="BD30" s="531" t="n">
        <v>3</v>
      </c>
      <c r="BE30" s="531" t="n">
        <v>3</v>
      </c>
      <c r="BF30" s="531" t="n">
        <v>3</v>
      </c>
      <c r="BG30" s="228" t="n">
        <v>3</v>
      </c>
      <c r="BH30" s="531" t="n">
        <v>6</v>
      </c>
      <c r="BI30" s="531" t="n">
        <v>6</v>
      </c>
      <c r="BJ30" s="531" t="n">
        <v>6</v>
      </c>
      <c r="BK30" s="531" t="n">
        <v>6</v>
      </c>
      <c r="BL30" s="531" t="n">
        <v>6</v>
      </c>
      <c r="BM30" s="229" t="n">
        <v>6</v>
      </c>
      <c r="BN30" s="531" t="n">
        <v>6</v>
      </c>
      <c r="BO30" s="531" t="n">
        <v>6</v>
      </c>
      <c r="BP30" s="531" t="n">
        <v>6</v>
      </c>
      <c r="BQ30" s="531" t="n">
        <v>6</v>
      </c>
      <c r="BR30" s="531" t="n">
        <v>6</v>
      </c>
      <c r="BS30" s="228" t="n">
        <v>6</v>
      </c>
      <c r="BT30" s="531" t="n">
        <v>7</v>
      </c>
      <c r="BU30" s="531" t="n">
        <v>7</v>
      </c>
      <c r="BV30" s="531" t="n">
        <v>7</v>
      </c>
      <c r="BW30" s="531" t="n">
        <v>7</v>
      </c>
      <c r="BX30" s="531" t="n">
        <v>7</v>
      </c>
      <c r="BY30" s="229" t="n">
        <v>7</v>
      </c>
      <c r="BZ30" s="531" t="n">
        <v>7</v>
      </c>
      <c r="CA30" s="531" t="n">
        <v>7</v>
      </c>
      <c r="CB30" s="531" t="n">
        <v>7</v>
      </c>
      <c r="CC30" s="531" t="n">
        <v>7</v>
      </c>
      <c r="CD30" s="531" t="n">
        <v>7</v>
      </c>
      <c r="CE30" s="228" t="n">
        <v>7</v>
      </c>
    </row>
    <row r="31" ht="12.75" customHeight="1" s="1883">
      <c r="A31" s="1305" t="n"/>
      <c r="B31" s="626" t="n"/>
      <c r="C31" s="233" t="inlineStr">
        <is>
          <t>M</t>
        </is>
      </c>
      <c r="D31" s="1301" t="inlineStr">
        <is>
          <t>VP of Marketing</t>
        </is>
      </c>
      <c r="E31" s="530" t="n">
        <v>0</v>
      </c>
      <c r="F31" s="530" t="n">
        <v>0</v>
      </c>
      <c r="G31" s="530" t="n">
        <v>100000</v>
      </c>
      <c r="H31" s="69">
        <f>G31+(G30*H$9)</f>
        <v/>
      </c>
      <c r="I31" s="69">
        <f>H31+(H30*I$9)</f>
        <v/>
      </c>
      <c r="J31" s="69">
        <f>I31+(I30*J$9)</f>
        <v/>
      </c>
      <c r="K31" s="69">
        <f>J31+(J30*K$9)</f>
        <v/>
      </c>
      <c r="L31" s="229" t="n">
        <v>0</v>
      </c>
      <c r="M31" s="531" t="n">
        <v>0</v>
      </c>
      <c r="N31" s="531" t="n">
        <v>0</v>
      </c>
      <c r="O31" s="531" t="n">
        <v>0</v>
      </c>
      <c r="P31" s="531" t="n">
        <v>0</v>
      </c>
      <c r="Q31" s="1302" t="n">
        <v>0</v>
      </c>
      <c r="R31" s="1302" t="n">
        <v>0</v>
      </c>
      <c r="S31" s="531" t="n">
        <v>0</v>
      </c>
      <c r="T31" s="531" t="n">
        <v>1</v>
      </c>
      <c r="U31" s="531" t="n">
        <v>1</v>
      </c>
      <c r="V31" s="531" t="n">
        <v>1</v>
      </c>
      <c r="W31" s="228" t="n">
        <v>1</v>
      </c>
      <c r="X31" s="229" t="n">
        <v>1</v>
      </c>
      <c r="Y31" s="531" t="n">
        <v>1</v>
      </c>
      <c r="Z31" s="531" t="n">
        <v>1</v>
      </c>
      <c r="AA31" s="531" t="n">
        <v>1</v>
      </c>
      <c r="AB31" s="531" t="n">
        <v>1</v>
      </c>
      <c r="AC31" s="531" t="n">
        <v>1</v>
      </c>
      <c r="AD31" s="531" t="n">
        <v>1</v>
      </c>
      <c r="AE31" s="531" t="n">
        <v>1</v>
      </c>
      <c r="AF31" s="531" t="n">
        <v>1</v>
      </c>
      <c r="AG31" s="531" t="n">
        <v>1</v>
      </c>
      <c r="AH31" s="531" t="n">
        <v>1</v>
      </c>
      <c r="AI31" s="228" t="n">
        <v>1</v>
      </c>
      <c r="AJ31" s="531" t="n">
        <v>2</v>
      </c>
      <c r="AK31" s="531" t="n">
        <v>2</v>
      </c>
      <c r="AL31" s="531" t="n">
        <v>2</v>
      </c>
      <c r="AM31" s="531" t="n">
        <v>2</v>
      </c>
      <c r="AN31" s="531" t="n">
        <v>2</v>
      </c>
      <c r="AO31" s="531" t="n">
        <v>2</v>
      </c>
      <c r="AP31" s="531" t="n">
        <v>2</v>
      </c>
      <c r="AQ31" s="531" t="n">
        <v>2</v>
      </c>
      <c r="AR31" s="531" t="n">
        <v>2</v>
      </c>
      <c r="AS31" s="531" t="n">
        <v>2</v>
      </c>
      <c r="AT31" s="531" t="n">
        <v>2</v>
      </c>
      <c r="AU31" s="228" t="n">
        <v>2</v>
      </c>
      <c r="AV31" s="531" t="n">
        <v>3</v>
      </c>
      <c r="AW31" s="531" t="n">
        <v>3</v>
      </c>
      <c r="AX31" s="531" t="n">
        <v>3</v>
      </c>
      <c r="AY31" s="531" t="n">
        <v>3</v>
      </c>
      <c r="AZ31" s="531" t="n">
        <v>3</v>
      </c>
      <c r="BA31" s="229" t="n">
        <v>3</v>
      </c>
      <c r="BB31" s="531" t="n">
        <v>3</v>
      </c>
      <c r="BC31" s="531" t="n">
        <v>3</v>
      </c>
      <c r="BD31" s="531" t="n">
        <v>3</v>
      </c>
      <c r="BE31" s="531" t="n">
        <v>3</v>
      </c>
      <c r="BF31" s="531" t="n">
        <v>3</v>
      </c>
      <c r="BG31" s="228" t="n">
        <v>3</v>
      </c>
      <c r="BH31" s="531" t="n">
        <v>6</v>
      </c>
      <c r="BI31" s="531" t="n">
        <v>6</v>
      </c>
      <c r="BJ31" s="531" t="n">
        <v>6</v>
      </c>
      <c r="BK31" s="531" t="n">
        <v>6</v>
      </c>
      <c r="BL31" s="531" t="n">
        <v>6</v>
      </c>
      <c r="BM31" s="229" t="n">
        <v>6</v>
      </c>
      <c r="BN31" s="531" t="n">
        <v>6</v>
      </c>
      <c r="BO31" s="531" t="n">
        <v>6</v>
      </c>
      <c r="BP31" s="531" t="n">
        <v>6</v>
      </c>
      <c r="BQ31" s="531" t="n">
        <v>6</v>
      </c>
      <c r="BR31" s="531" t="n">
        <v>6</v>
      </c>
      <c r="BS31" s="228" t="n">
        <v>6</v>
      </c>
      <c r="BT31" s="531" t="n">
        <v>7</v>
      </c>
      <c r="BU31" s="531" t="n">
        <v>7</v>
      </c>
      <c r="BV31" s="531" t="n">
        <v>7</v>
      </c>
      <c r="BW31" s="531" t="n">
        <v>7</v>
      </c>
      <c r="BX31" s="531" t="n">
        <v>7</v>
      </c>
      <c r="BY31" s="229" t="n">
        <v>7</v>
      </c>
      <c r="BZ31" s="531" t="n">
        <v>7</v>
      </c>
      <c r="CA31" s="531" t="n">
        <v>7</v>
      </c>
      <c r="CB31" s="531" t="n">
        <v>7</v>
      </c>
      <c r="CC31" s="531" t="n">
        <v>7</v>
      </c>
      <c r="CD31" s="531" t="n">
        <v>7</v>
      </c>
      <c r="CE31" s="228" t="n">
        <v>7</v>
      </c>
    </row>
    <row r="32" ht="12.75" customHeight="1" s="1883">
      <c r="A32" s="1305" t="n"/>
      <c r="B32" s="626" t="n"/>
      <c r="C32" s="233" t="inlineStr">
        <is>
          <t>M</t>
        </is>
      </c>
      <c r="D32" s="1304" t="inlineStr">
        <is>
          <t xml:space="preserve"> - Director of Commercial</t>
        </is>
      </c>
      <c r="E32" s="530" t="n">
        <v>0</v>
      </c>
      <c r="F32" s="530" t="n">
        <v>0</v>
      </c>
      <c r="G32" s="530" t="n">
        <v>95000</v>
      </c>
      <c r="H32" s="69">
        <f>G32+(G23*H$9)</f>
        <v/>
      </c>
      <c r="I32" s="69">
        <f>H32+(H23*I$9)</f>
        <v/>
      </c>
      <c r="J32" s="69">
        <f>I32+(I23*J$9)</f>
        <v/>
      </c>
      <c r="K32" s="69">
        <f>J32+(J23*K$9)</f>
        <v/>
      </c>
      <c r="L32" s="229" t="n">
        <v>0</v>
      </c>
      <c r="M32" s="531" t="n">
        <v>0</v>
      </c>
      <c r="N32" s="531" t="n">
        <v>0</v>
      </c>
      <c r="O32" s="531" t="n">
        <v>0</v>
      </c>
      <c r="P32" s="531" t="n">
        <v>0</v>
      </c>
      <c r="Q32" s="1302" t="n">
        <v>0</v>
      </c>
      <c r="R32" s="1302" t="n">
        <v>0</v>
      </c>
      <c r="S32" s="531" t="n">
        <v>0</v>
      </c>
      <c r="T32" s="531" t="n">
        <v>0</v>
      </c>
      <c r="U32" s="531" t="n">
        <v>1</v>
      </c>
      <c r="V32" s="531" t="n">
        <v>1</v>
      </c>
      <c r="W32" s="228" t="n">
        <v>1</v>
      </c>
      <c r="X32" s="229" t="n">
        <v>1</v>
      </c>
      <c r="Y32" s="531" t="n">
        <v>1</v>
      </c>
      <c r="Z32" s="531" t="n">
        <v>1</v>
      </c>
      <c r="AA32" s="531" t="n">
        <v>1</v>
      </c>
      <c r="AB32" s="531" t="n">
        <v>1</v>
      </c>
      <c r="AC32" s="531" t="n">
        <v>1</v>
      </c>
      <c r="AD32" s="531" t="n">
        <v>1</v>
      </c>
      <c r="AE32" s="531" t="n">
        <v>1</v>
      </c>
      <c r="AF32" s="531" t="n">
        <v>1</v>
      </c>
      <c r="AG32" s="531" t="n">
        <v>1</v>
      </c>
      <c r="AH32" s="531" t="n">
        <v>1</v>
      </c>
      <c r="AI32" s="228" t="n">
        <v>1</v>
      </c>
      <c r="AJ32" s="531" t="n">
        <v>2</v>
      </c>
      <c r="AK32" s="531" t="n">
        <v>2</v>
      </c>
      <c r="AL32" s="531" t="n">
        <v>2</v>
      </c>
      <c r="AM32" s="531" t="n">
        <v>2</v>
      </c>
      <c r="AN32" s="531" t="n">
        <v>2</v>
      </c>
      <c r="AO32" s="531" t="n">
        <v>2</v>
      </c>
      <c r="AP32" s="531" t="n">
        <v>2</v>
      </c>
      <c r="AQ32" s="531" t="n">
        <v>2</v>
      </c>
      <c r="AR32" s="531" t="n">
        <v>2</v>
      </c>
      <c r="AS32" s="531" t="n">
        <v>2</v>
      </c>
      <c r="AT32" s="531" t="n">
        <v>2</v>
      </c>
      <c r="AU32" s="228" t="n">
        <v>2</v>
      </c>
      <c r="AV32" s="531" t="n">
        <v>3</v>
      </c>
      <c r="AW32" s="531" t="n">
        <v>3</v>
      </c>
      <c r="AX32" s="531" t="n">
        <v>3</v>
      </c>
      <c r="AY32" s="531" t="n">
        <v>3</v>
      </c>
      <c r="AZ32" s="531" t="n">
        <v>3</v>
      </c>
      <c r="BA32" s="229" t="n">
        <v>3</v>
      </c>
      <c r="BB32" s="531" t="n">
        <v>3</v>
      </c>
      <c r="BC32" s="531" t="n">
        <v>3</v>
      </c>
      <c r="BD32" s="531" t="n">
        <v>3</v>
      </c>
      <c r="BE32" s="531" t="n">
        <v>3</v>
      </c>
      <c r="BF32" s="531" t="n">
        <v>3</v>
      </c>
      <c r="BG32" s="228" t="n">
        <v>3</v>
      </c>
      <c r="BH32" s="531" t="n">
        <v>6</v>
      </c>
      <c r="BI32" s="531" t="n">
        <v>6</v>
      </c>
      <c r="BJ32" s="531" t="n">
        <v>6</v>
      </c>
      <c r="BK32" s="531" t="n">
        <v>6</v>
      </c>
      <c r="BL32" s="531" t="n">
        <v>6</v>
      </c>
      <c r="BM32" s="229" t="n">
        <v>6</v>
      </c>
      <c r="BN32" s="531" t="n">
        <v>6</v>
      </c>
      <c r="BO32" s="531" t="n">
        <v>6</v>
      </c>
      <c r="BP32" s="531" t="n">
        <v>6</v>
      </c>
      <c r="BQ32" s="531" t="n">
        <v>6</v>
      </c>
      <c r="BR32" s="531" t="n">
        <v>6</v>
      </c>
      <c r="BS32" s="228" t="n">
        <v>6</v>
      </c>
      <c r="BT32" s="531" t="n">
        <v>7</v>
      </c>
      <c r="BU32" s="531" t="n">
        <v>7</v>
      </c>
      <c r="BV32" s="531" t="n">
        <v>7</v>
      </c>
      <c r="BW32" s="531" t="n">
        <v>7</v>
      </c>
      <c r="BX32" s="531" t="n">
        <v>7</v>
      </c>
      <c r="BY32" s="229" t="n">
        <v>7</v>
      </c>
      <c r="BZ32" s="531" t="n">
        <v>7</v>
      </c>
      <c r="CA32" s="531" t="n">
        <v>7</v>
      </c>
      <c r="CB32" s="531" t="n">
        <v>7</v>
      </c>
      <c r="CC32" s="531" t="n">
        <v>7</v>
      </c>
      <c r="CD32" s="531" t="n">
        <v>7</v>
      </c>
      <c r="CE32" s="228" t="n">
        <v>7</v>
      </c>
    </row>
    <row r="33" ht="12.75" customHeight="1" s="1883">
      <c r="A33" s="1305" t="n"/>
      <c r="B33" s="626" t="n"/>
      <c r="C33" s="233" t="inlineStr">
        <is>
          <t>M</t>
        </is>
      </c>
      <c r="D33" s="672" t="inlineStr">
        <is>
          <t xml:space="preserve"> - Marketing Project Managers</t>
        </is>
      </c>
      <c r="E33" s="530" t="n">
        <v>0</v>
      </c>
      <c r="F33" s="530" t="n">
        <v>0</v>
      </c>
      <c r="G33" s="530" t="n">
        <v>95000</v>
      </c>
      <c r="H33" s="69">
        <f>G33+(G27*H$9)</f>
        <v/>
      </c>
      <c r="I33" s="69">
        <f>H33+(H27*I$9)</f>
        <v/>
      </c>
      <c r="J33" s="69">
        <f>I33+(I27*J$9)</f>
        <v/>
      </c>
      <c r="K33" s="69">
        <f>J33+(J27*K$9)</f>
        <v/>
      </c>
      <c r="L33" s="229" t="n">
        <v>1</v>
      </c>
      <c r="M33" s="531" t="n">
        <v>1</v>
      </c>
      <c r="N33" s="531" t="n">
        <v>1</v>
      </c>
      <c r="O33" s="531" t="n">
        <v>1</v>
      </c>
      <c r="P33" s="531" t="n">
        <v>1</v>
      </c>
      <c r="Q33" s="1302" t="n">
        <v>1</v>
      </c>
      <c r="R33" s="1302" t="n">
        <v>1</v>
      </c>
      <c r="S33" s="531" t="n">
        <v>1</v>
      </c>
      <c r="T33" s="531" t="n">
        <v>1</v>
      </c>
      <c r="U33" s="531" t="n">
        <v>1</v>
      </c>
      <c r="V33" s="1306" t="n">
        <v>1</v>
      </c>
      <c r="W33" s="1306" t="n">
        <v>1</v>
      </c>
      <c r="X33" s="229" t="n">
        <v>2</v>
      </c>
      <c r="Y33" s="531" t="n">
        <v>2</v>
      </c>
      <c r="Z33" s="531" t="n">
        <v>2</v>
      </c>
      <c r="AA33" s="531" t="n">
        <v>2</v>
      </c>
      <c r="AB33" s="531" t="n">
        <v>2</v>
      </c>
      <c r="AC33" s="531" t="n">
        <v>2</v>
      </c>
      <c r="AD33" s="531" t="n">
        <v>2</v>
      </c>
      <c r="AE33" s="531" t="n">
        <v>2</v>
      </c>
      <c r="AF33" s="531" t="n">
        <v>2</v>
      </c>
      <c r="AG33" s="531" t="n">
        <v>2</v>
      </c>
      <c r="AH33" s="1306" t="n">
        <v>2</v>
      </c>
      <c r="AI33" s="1306" t="n">
        <v>2</v>
      </c>
      <c r="AJ33" s="531" t="n">
        <v>3</v>
      </c>
      <c r="AK33" s="531" t="n">
        <v>3</v>
      </c>
      <c r="AL33" s="531" t="n">
        <v>3</v>
      </c>
      <c r="AM33" s="531" t="n">
        <v>3</v>
      </c>
      <c r="AN33" s="531" t="n">
        <v>3</v>
      </c>
      <c r="AO33" s="531" t="n">
        <v>3</v>
      </c>
      <c r="AP33" s="531" t="n">
        <v>3</v>
      </c>
      <c r="AQ33" s="531" t="n">
        <v>3</v>
      </c>
      <c r="AR33" s="531" t="n">
        <v>3</v>
      </c>
      <c r="AS33" s="531" t="n">
        <v>3</v>
      </c>
      <c r="AT33" s="1306" t="n">
        <v>3</v>
      </c>
      <c r="AU33" s="1306" t="n">
        <v>3</v>
      </c>
      <c r="AV33" s="531" t="n">
        <v>5</v>
      </c>
      <c r="AW33" s="531" t="n">
        <v>5</v>
      </c>
      <c r="AX33" s="531" t="n">
        <v>5</v>
      </c>
      <c r="AY33" s="531" t="n">
        <v>5</v>
      </c>
      <c r="AZ33" s="531" t="n">
        <v>5</v>
      </c>
      <c r="BA33" s="229" t="n">
        <v>5</v>
      </c>
      <c r="BB33" s="531" t="n">
        <v>5</v>
      </c>
      <c r="BC33" s="531" t="n">
        <v>5</v>
      </c>
      <c r="BD33" s="531" t="n">
        <v>5</v>
      </c>
      <c r="BE33" s="531" t="n">
        <v>5</v>
      </c>
      <c r="BF33" s="1306" t="n">
        <v>5</v>
      </c>
      <c r="BG33" s="1306" t="n">
        <v>5</v>
      </c>
      <c r="BH33" s="531" t="n">
        <v>6</v>
      </c>
      <c r="BI33" s="531" t="n">
        <v>6</v>
      </c>
      <c r="BJ33" s="531" t="n">
        <v>6</v>
      </c>
      <c r="BK33" s="531" t="n">
        <v>6</v>
      </c>
      <c r="BL33" s="531" t="n">
        <v>6</v>
      </c>
      <c r="BM33" s="229" t="n">
        <v>6</v>
      </c>
      <c r="BN33" s="531" t="n">
        <v>6</v>
      </c>
      <c r="BO33" s="531" t="n">
        <v>6</v>
      </c>
      <c r="BP33" s="531" t="n">
        <v>6</v>
      </c>
      <c r="BQ33" s="531" t="n">
        <v>6</v>
      </c>
      <c r="BR33" s="1306" t="n">
        <v>6</v>
      </c>
      <c r="BS33" s="1306" t="n">
        <v>6</v>
      </c>
      <c r="BT33" s="531" t="n">
        <v>7</v>
      </c>
      <c r="BU33" s="531" t="n">
        <v>7</v>
      </c>
      <c r="BV33" s="531" t="n">
        <v>7</v>
      </c>
      <c r="BW33" s="531" t="n">
        <v>7</v>
      </c>
      <c r="BX33" s="531" t="n">
        <v>7</v>
      </c>
      <c r="BY33" s="229" t="n">
        <v>7</v>
      </c>
      <c r="BZ33" s="531" t="n">
        <v>7</v>
      </c>
      <c r="CA33" s="531" t="n">
        <v>7</v>
      </c>
      <c r="CB33" s="531" t="n">
        <v>7</v>
      </c>
      <c r="CC33" s="531" t="n">
        <v>7</v>
      </c>
      <c r="CD33" s="1306" t="n">
        <v>7</v>
      </c>
      <c r="CE33" s="1306" t="n">
        <v>7</v>
      </c>
    </row>
    <row r="34" ht="12" customHeight="1" s="1883">
      <c r="A34" s="227" t="n"/>
      <c r="B34" s="232" t="n"/>
      <c r="C34" s="233" t="inlineStr">
        <is>
          <t>M</t>
        </is>
      </c>
      <c r="D34" s="672" t="inlineStr">
        <is>
          <t xml:space="preserve"> - Operations Project Managers</t>
        </is>
      </c>
      <c r="E34" s="530" t="n">
        <v>0</v>
      </c>
      <c r="F34" s="530" t="n">
        <v>0</v>
      </c>
      <c r="G34" s="530" t="n">
        <v>95000</v>
      </c>
      <c r="H34" s="69">
        <f>G34+(G17*H$9)</f>
        <v/>
      </c>
      <c r="I34" s="69">
        <f>H34+(H17*I$9)</f>
        <v/>
      </c>
      <c r="J34" s="69">
        <f>I34+(I17*J$9)</f>
        <v/>
      </c>
      <c r="K34" s="69">
        <f>J34+(J17*K$9)</f>
        <v/>
      </c>
      <c r="L34" s="229" t="n">
        <v>0</v>
      </c>
      <c r="M34" s="531" t="n">
        <v>0</v>
      </c>
      <c r="N34" s="531" t="n">
        <v>0</v>
      </c>
      <c r="O34" s="531" t="n">
        <v>0</v>
      </c>
      <c r="P34" s="531" t="n">
        <v>0</v>
      </c>
      <c r="Q34" s="1302" t="n">
        <v>0</v>
      </c>
      <c r="R34" s="1302" t="n">
        <v>0</v>
      </c>
      <c r="S34" s="531" t="n">
        <v>0</v>
      </c>
      <c r="T34" s="229" t="n">
        <v>1</v>
      </c>
      <c r="U34" s="531" t="n">
        <v>1</v>
      </c>
      <c r="V34" s="531" t="n">
        <v>1</v>
      </c>
      <c r="W34" s="228" t="n">
        <v>1</v>
      </c>
      <c r="X34" s="229" t="n">
        <v>2</v>
      </c>
      <c r="Y34" s="531" t="n">
        <v>2</v>
      </c>
      <c r="Z34" s="531" t="n">
        <v>2</v>
      </c>
      <c r="AA34" s="531" t="n">
        <v>2</v>
      </c>
      <c r="AB34" s="531" t="n">
        <v>2</v>
      </c>
      <c r="AC34" s="531" t="n">
        <v>2</v>
      </c>
      <c r="AD34" s="531" t="n">
        <v>2</v>
      </c>
      <c r="AE34" s="531" t="n">
        <v>2</v>
      </c>
      <c r="AF34" s="531" t="n">
        <v>2</v>
      </c>
      <c r="AG34" s="531" t="n">
        <v>2</v>
      </c>
      <c r="AH34" s="531" t="n">
        <v>2</v>
      </c>
      <c r="AI34" s="228" t="n">
        <v>2</v>
      </c>
      <c r="AJ34" s="531" t="n">
        <v>3</v>
      </c>
      <c r="AK34" s="531" t="n">
        <v>3</v>
      </c>
      <c r="AL34" s="531" t="n">
        <v>3</v>
      </c>
      <c r="AM34" s="531" t="n">
        <v>3</v>
      </c>
      <c r="AN34" s="531" t="n">
        <v>3</v>
      </c>
      <c r="AO34" s="531" t="n">
        <v>3</v>
      </c>
      <c r="AP34" s="531" t="n">
        <v>3</v>
      </c>
      <c r="AQ34" s="531" t="n">
        <v>3</v>
      </c>
      <c r="AR34" s="531" t="n">
        <v>3</v>
      </c>
      <c r="AS34" s="531" t="n">
        <v>3</v>
      </c>
      <c r="AT34" s="531" t="n">
        <v>3</v>
      </c>
      <c r="AU34" s="228" t="n">
        <v>3</v>
      </c>
      <c r="AV34" s="531" t="n">
        <v>5</v>
      </c>
      <c r="AW34" s="531" t="n">
        <v>5</v>
      </c>
      <c r="AX34" s="531" t="n">
        <v>5</v>
      </c>
      <c r="AY34" s="531" t="n">
        <v>5</v>
      </c>
      <c r="AZ34" s="531" t="n">
        <v>5</v>
      </c>
      <c r="BA34" s="229" t="n">
        <v>5</v>
      </c>
      <c r="BB34" s="531" t="n">
        <v>5</v>
      </c>
      <c r="BC34" s="531" t="n">
        <v>5</v>
      </c>
      <c r="BD34" s="531" t="n">
        <v>5</v>
      </c>
      <c r="BE34" s="531" t="n">
        <v>5</v>
      </c>
      <c r="BF34" s="531" t="n">
        <v>5</v>
      </c>
      <c r="BG34" s="228" t="n">
        <v>5</v>
      </c>
      <c r="BH34" s="531" t="n">
        <v>6</v>
      </c>
      <c r="BI34" s="531" t="n">
        <v>6</v>
      </c>
      <c r="BJ34" s="531" t="n">
        <v>6</v>
      </c>
      <c r="BK34" s="531" t="n">
        <v>6</v>
      </c>
      <c r="BL34" s="531" t="n">
        <v>6</v>
      </c>
      <c r="BM34" s="229" t="n">
        <v>6</v>
      </c>
      <c r="BN34" s="531" t="n">
        <v>6</v>
      </c>
      <c r="BO34" s="531" t="n">
        <v>6</v>
      </c>
      <c r="BP34" s="531" t="n">
        <v>6</v>
      </c>
      <c r="BQ34" s="531" t="n">
        <v>6</v>
      </c>
      <c r="BR34" s="531" t="n">
        <v>6</v>
      </c>
      <c r="BS34" s="228" t="n">
        <v>6</v>
      </c>
      <c r="BT34" s="531" t="n">
        <v>7</v>
      </c>
      <c r="BU34" s="531" t="n">
        <v>7</v>
      </c>
      <c r="BV34" s="531" t="n">
        <v>7</v>
      </c>
      <c r="BW34" s="531" t="n">
        <v>7</v>
      </c>
      <c r="BX34" s="531" t="n">
        <v>7</v>
      </c>
      <c r="BY34" s="229" t="n">
        <v>7</v>
      </c>
      <c r="BZ34" s="531" t="n">
        <v>7</v>
      </c>
      <c r="CA34" s="531" t="n">
        <v>7</v>
      </c>
      <c r="CB34" s="531" t="n">
        <v>7</v>
      </c>
      <c r="CC34" s="531" t="n">
        <v>7</v>
      </c>
      <c r="CD34" s="531" t="n">
        <v>7</v>
      </c>
      <c r="CE34" s="228" t="n">
        <v>7</v>
      </c>
    </row>
    <row r="35" ht="12.75" customHeight="1" s="1883">
      <c r="A35" s="1305" t="n"/>
      <c r="B35" s="626" t="n"/>
      <c r="C35" s="233" t="inlineStr">
        <is>
          <t>M</t>
        </is>
      </c>
      <c r="D35" s="1043" t="inlineStr">
        <is>
          <t>Natasha Carrasco - Operations Manager</t>
        </is>
      </c>
      <c r="E35" s="530">
        <f>16*40*4*6</f>
        <v/>
      </c>
      <c r="F35" s="530">
        <f>3333*6</f>
        <v/>
      </c>
      <c r="G35" s="530" t="n">
        <v>95000</v>
      </c>
      <c r="H35" s="69">
        <f>G35+(G31*H$9)</f>
        <v/>
      </c>
      <c r="I35" s="69">
        <f>H35+(H31*I$9)</f>
        <v/>
      </c>
      <c r="J35" s="69">
        <f>I35+(I31*J$9)</f>
        <v/>
      </c>
      <c r="K35" s="69">
        <f>J35+(J31*K$9)</f>
        <v/>
      </c>
      <c r="L35" s="229" t="n">
        <v>0</v>
      </c>
      <c r="M35" s="531" t="n">
        <v>0</v>
      </c>
      <c r="N35" s="531" t="n">
        <v>0</v>
      </c>
      <c r="O35" s="531" t="n">
        <v>0</v>
      </c>
      <c r="P35" s="531" t="n">
        <v>0</v>
      </c>
      <c r="Q35" s="1302" t="n">
        <v>0</v>
      </c>
      <c r="R35" s="1302" t="n">
        <v>0</v>
      </c>
      <c r="S35" s="531" t="n">
        <v>0</v>
      </c>
      <c r="T35" s="229" t="n">
        <v>1</v>
      </c>
      <c r="U35" s="531" t="n">
        <v>1</v>
      </c>
      <c r="V35" s="531" t="n">
        <v>1</v>
      </c>
      <c r="W35" s="228" t="n">
        <v>1</v>
      </c>
      <c r="X35" s="229" t="n">
        <v>2</v>
      </c>
      <c r="Y35" s="531" t="n">
        <v>2</v>
      </c>
      <c r="Z35" s="531" t="n">
        <v>2</v>
      </c>
      <c r="AA35" s="531" t="n">
        <v>2</v>
      </c>
      <c r="AB35" s="531" t="n">
        <v>2</v>
      </c>
      <c r="AC35" s="531" t="n">
        <v>2</v>
      </c>
      <c r="AD35" s="531" t="n">
        <v>2</v>
      </c>
      <c r="AE35" s="531" t="n">
        <v>2</v>
      </c>
      <c r="AF35" s="531" t="n">
        <v>2</v>
      </c>
      <c r="AG35" s="531" t="n">
        <v>2</v>
      </c>
      <c r="AH35" s="531" t="n">
        <v>2</v>
      </c>
      <c r="AI35" s="228" t="n">
        <v>2</v>
      </c>
      <c r="AJ35" s="531" t="n">
        <v>3</v>
      </c>
      <c r="AK35" s="531" t="n">
        <v>3</v>
      </c>
      <c r="AL35" s="531" t="n">
        <v>3</v>
      </c>
      <c r="AM35" s="531" t="n">
        <v>3</v>
      </c>
      <c r="AN35" s="531" t="n">
        <v>3</v>
      </c>
      <c r="AO35" s="531" t="n">
        <v>3</v>
      </c>
      <c r="AP35" s="531" t="n">
        <v>3</v>
      </c>
      <c r="AQ35" s="531" t="n">
        <v>3</v>
      </c>
      <c r="AR35" s="531" t="n">
        <v>3</v>
      </c>
      <c r="AS35" s="531" t="n">
        <v>3</v>
      </c>
      <c r="AT35" s="531" t="n">
        <v>3</v>
      </c>
      <c r="AU35" s="228" t="n">
        <v>3</v>
      </c>
      <c r="AV35" s="531" t="n">
        <v>5</v>
      </c>
      <c r="AW35" s="531" t="n">
        <v>5</v>
      </c>
      <c r="AX35" s="531" t="n">
        <v>5</v>
      </c>
      <c r="AY35" s="531" t="n">
        <v>5</v>
      </c>
      <c r="AZ35" s="531" t="n">
        <v>5</v>
      </c>
      <c r="BA35" s="229" t="n">
        <v>5</v>
      </c>
      <c r="BB35" s="531" t="n">
        <v>5</v>
      </c>
      <c r="BC35" s="531" t="n">
        <v>5</v>
      </c>
      <c r="BD35" s="531" t="n">
        <v>5</v>
      </c>
      <c r="BE35" s="531" t="n">
        <v>5</v>
      </c>
      <c r="BF35" s="531" t="n">
        <v>5</v>
      </c>
      <c r="BG35" s="228" t="n">
        <v>5</v>
      </c>
      <c r="BH35" s="531" t="n">
        <v>6</v>
      </c>
      <c r="BI35" s="531" t="n">
        <v>6</v>
      </c>
      <c r="BJ35" s="531" t="n">
        <v>6</v>
      </c>
      <c r="BK35" s="531" t="n">
        <v>6</v>
      </c>
      <c r="BL35" s="531" t="n">
        <v>6</v>
      </c>
      <c r="BM35" s="229" t="n">
        <v>6</v>
      </c>
      <c r="BN35" s="531" t="n">
        <v>6</v>
      </c>
      <c r="BO35" s="531" t="n">
        <v>6</v>
      </c>
      <c r="BP35" s="531" t="n">
        <v>6</v>
      </c>
      <c r="BQ35" s="531" t="n">
        <v>6</v>
      </c>
      <c r="BR35" s="531" t="n">
        <v>6</v>
      </c>
      <c r="BS35" s="228" t="n">
        <v>6</v>
      </c>
      <c r="BT35" s="531" t="n">
        <v>7</v>
      </c>
      <c r="BU35" s="531" t="n">
        <v>7</v>
      </c>
      <c r="BV35" s="531" t="n">
        <v>7</v>
      </c>
      <c r="BW35" s="531" t="n">
        <v>7</v>
      </c>
      <c r="BX35" s="531" t="n">
        <v>7</v>
      </c>
      <c r="BY35" s="229" t="n">
        <v>7</v>
      </c>
      <c r="BZ35" s="531" t="n">
        <v>7</v>
      </c>
      <c r="CA35" s="531" t="n">
        <v>7</v>
      </c>
      <c r="CB35" s="531" t="n">
        <v>7</v>
      </c>
      <c r="CC35" s="531" t="n">
        <v>7</v>
      </c>
      <c r="CD35" s="531" t="n">
        <v>7</v>
      </c>
      <c r="CE35" s="228" t="n">
        <v>7</v>
      </c>
    </row>
    <row r="36" ht="12.75" customHeight="1" s="1883">
      <c r="A36" s="1305" t="n"/>
      <c r="B36" s="626" t="n"/>
      <c r="C36" s="233" t="inlineStr">
        <is>
          <t>M</t>
        </is>
      </c>
      <c r="D36" s="1043" t="inlineStr">
        <is>
          <t>Mireille Dirany - Operations</t>
        </is>
      </c>
      <c r="E36" s="530">
        <f>600*6</f>
        <v/>
      </c>
      <c r="F36" s="530">
        <f>1000*6</f>
        <v/>
      </c>
      <c r="G36" s="530" t="n">
        <v>95000</v>
      </c>
      <c r="H36" s="69">
        <f>G36+(G33*H$9)</f>
        <v/>
      </c>
      <c r="I36" s="69">
        <f>H36+(H33*I$9)</f>
        <v/>
      </c>
      <c r="J36" s="69">
        <f>I36+(I33*J$9)</f>
        <v/>
      </c>
      <c r="K36" s="69">
        <f>J36+(J33*K$9)</f>
        <v/>
      </c>
      <c r="L36" s="531" t="n">
        <v>1</v>
      </c>
      <c r="M36" s="531" t="n">
        <v>1</v>
      </c>
      <c r="N36" s="531" t="n">
        <v>1</v>
      </c>
      <c r="O36" s="531" t="n">
        <v>1</v>
      </c>
      <c r="P36" s="531" t="n">
        <v>1</v>
      </c>
      <c r="Q36" s="1302" t="n">
        <v>1</v>
      </c>
      <c r="R36" s="1302" t="n">
        <v>1</v>
      </c>
      <c r="S36" s="531" t="n">
        <v>1</v>
      </c>
      <c r="T36" s="229" t="n">
        <v>1</v>
      </c>
      <c r="U36" s="531" t="n">
        <v>1</v>
      </c>
      <c r="V36" s="531" t="n">
        <v>1</v>
      </c>
      <c r="W36" s="228" t="n">
        <v>1</v>
      </c>
      <c r="X36" s="229" t="n">
        <v>2</v>
      </c>
      <c r="Y36" s="531" t="n">
        <v>2</v>
      </c>
      <c r="Z36" s="531" t="n">
        <v>2</v>
      </c>
      <c r="AA36" s="531" t="n">
        <v>2</v>
      </c>
      <c r="AB36" s="531" t="n">
        <v>2</v>
      </c>
      <c r="AC36" s="531" t="n">
        <v>2</v>
      </c>
      <c r="AD36" s="531" t="n">
        <v>2</v>
      </c>
      <c r="AE36" s="531" t="n">
        <v>2</v>
      </c>
      <c r="AF36" s="531" t="n">
        <v>2</v>
      </c>
      <c r="AG36" s="531" t="n">
        <v>2</v>
      </c>
      <c r="AH36" s="531" t="n">
        <v>2</v>
      </c>
      <c r="AI36" s="228" t="n">
        <v>2</v>
      </c>
      <c r="AJ36" s="531" t="n">
        <v>3</v>
      </c>
      <c r="AK36" s="531" t="n">
        <v>3</v>
      </c>
      <c r="AL36" s="531" t="n">
        <v>3</v>
      </c>
      <c r="AM36" s="531" t="n">
        <v>3</v>
      </c>
      <c r="AN36" s="531" t="n">
        <v>3</v>
      </c>
      <c r="AO36" s="531" t="n">
        <v>3</v>
      </c>
      <c r="AP36" s="531" t="n">
        <v>3</v>
      </c>
      <c r="AQ36" s="531" t="n">
        <v>3</v>
      </c>
      <c r="AR36" s="531" t="n">
        <v>3</v>
      </c>
      <c r="AS36" s="531" t="n">
        <v>3</v>
      </c>
      <c r="AT36" s="531" t="n">
        <v>3</v>
      </c>
      <c r="AU36" s="228" t="n">
        <v>3</v>
      </c>
      <c r="AV36" s="531" t="n">
        <v>5</v>
      </c>
      <c r="AW36" s="531" t="n">
        <v>5</v>
      </c>
      <c r="AX36" s="531" t="n">
        <v>5</v>
      </c>
      <c r="AY36" s="531" t="n">
        <v>5</v>
      </c>
      <c r="AZ36" s="531" t="n">
        <v>5</v>
      </c>
      <c r="BA36" s="229" t="n">
        <v>5</v>
      </c>
      <c r="BB36" s="531" t="n">
        <v>5</v>
      </c>
      <c r="BC36" s="531" t="n">
        <v>5</v>
      </c>
      <c r="BD36" s="531" t="n">
        <v>5</v>
      </c>
      <c r="BE36" s="531" t="n">
        <v>5</v>
      </c>
      <c r="BF36" s="531" t="n">
        <v>5</v>
      </c>
      <c r="BG36" s="228" t="n">
        <v>5</v>
      </c>
      <c r="BH36" s="531" t="n">
        <v>6</v>
      </c>
      <c r="BI36" s="531" t="n">
        <v>6</v>
      </c>
      <c r="BJ36" s="531" t="n">
        <v>6</v>
      </c>
      <c r="BK36" s="531" t="n">
        <v>6</v>
      </c>
      <c r="BL36" s="531" t="n">
        <v>6</v>
      </c>
      <c r="BM36" s="229" t="n">
        <v>6</v>
      </c>
      <c r="BN36" s="531" t="n">
        <v>6</v>
      </c>
      <c r="BO36" s="531" t="n">
        <v>6</v>
      </c>
      <c r="BP36" s="531" t="n">
        <v>6</v>
      </c>
      <c r="BQ36" s="531" t="n">
        <v>6</v>
      </c>
      <c r="BR36" s="531" t="n">
        <v>6</v>
      </c>
      <c r="BS36" s="228" t="n">
        <v>6</v>
      </c>
      <c r="BT36" s="531" t="n">
        <v>7</v>
      </c>
      <c r="BU36" s="531" t="n">
        <v>7</v>
      </c>
      <c r="BV36" s="531" t="n">
        <v>7</v>
      </c>
      <c r="BW36" s="531" t="n">
        <v>7</v>
      </c>
      <c r="BX36" s="531" t="n">
        <v>7</v>
      </c>
      <c r="BY36" s="229" t="n">
        <v>7</v>
      </c>
      <c r="BZ36" s="531" t="n">
        <v>7</v>
      </c>
      <c r="CA36" s="531" t="n">
        <v>7</v>
      </c>
      <c r="CB36" s="531" t="n">
        <v>7</v>
      </c>
      <c r="CC36" s="531" t="n">
        <v>7</v>
      </c>
      <c r="CD36" s="531" t="n">
        <v>7</v>
      </c>
      <c r="CE36" s="228" t="n">
        <v>7</v>
      </c>
    </row>
    <row r="37" ht="12.75" customHeight="1" s="1883">
      <c r="A37" s="1305" t="n"/>
      <c r="B37" s="626" t="n"/>
      <c r="C37" s="233" t="inlineStr">
        <is>
          <t>M</t>
        </is>
      </c>
      <c r="D37" s="1043" t="inlineStr">
        <is>
          <t>Mike Starkweather - VP of Business Development</t>
        </is>
      </c>
      <c r="E37" s="530" t="n">
        <v>0</v>
      </c>
      <c r="F37" s="530">
        <f>4000*6</f>
        <v/>
      </c>
      <c r="G37" s="530" t="n">
        <v>95000</v>
      </c>
      <c r="H37" s="69">
        <f>G37+(G37*H$8)</f>
        <v/>
      </c>
      <c r="I37" s="69">
        <f>H37+(H37*I$8)</f>
        <v/>
      </c>
      <c r="J37" s="69">
        <f>I37+(I37*J$8)</f>
        <v/>
      </c>
      <c r="K37" s="1307">
        <f>J37+(J37*K$8)</f>
        <v/>
      </c>
      <c r="L37" s="531" t="n">
        <v>0</v>
      </c>
      <c r="M37" s="531" t="n">
        <v>0</v>
      </c>
      <c r="N37" s="531" t="n">
        <v>0</v>
      </c>
      <c r="O37" s="531" t="n">
        <v>0</v>
      </c>
      <c r="P37" s="531" t="n">
        <v>0</v>
      </c>
      <c r="Q37" s="1302" t="n">
        <v>0</v>
      </c>
      <c r="R37" s="1302" t="n">
        <v>0</v>
      </c>
      <c r="S37" s="531" t="n">
        <v>0</v>
      </c>
      <c r="T37" s="531" t="n">
        <v>1</v>
      </c>
      <c r="U37" s="531" t="n">
        <v>1</v>
      </c>
      <c r="V37" s="1306" t="n">
        <v>1</v>
      </c>
      <c r="W37" s="1306" t="n">
        <v>1</v>
      </c>
      <c r="X37" s="229" t="n">
        <v>1</v>
      </c>
      <c r="Y37" s="531">
        <f>X37</f>
        <v/>
      </c>
      <c r="Z37" s="531">
        <f>Y37</f>
        <v/>
      </c>
      <c r="AA37" s="531">
        <f>Z37</f>
        <v/>
      </c>
      <c r="AB37" s="531">
        <f>AA37</f>
        <v/>
      </c>
      <c r="AC37" s="531" t="n">
        <v>1</v>
      </c>
      <c r="AD37" s="531" t="n">
        <v>1</v>
      </c>
      <c r="AE37" s="531" t="n">
        <v>1</v>
      </c>
      <c r="AF37" s="531" t="n">
        <v>1</v>
      </c>
      <c r="AG37" s="531" t="n">
        <v>1</v>
      </c>
      <c r="AH37" s="1306" t="n">
        <v>1</v>
      </c>
      <c r="AI37" s="1306" t="n">
        <v>1</v>
      </c>
      <c r="AJ37" s="532" t="n">
        <v>1</v>
      </c>
      <c r="AK37" s="533">
        <f>AJ37</f>
        <v/>
      </c>
      <c r="AL37" s="533">
        <f>AK37</f>
        <v/>
      </c>
      <c r="AM37" s="533">
        <f>AL37</f>
        <v/>
      </c>
      <c r="AN37" s="533">
        <f>AM37</f>
        <v/>
      </c>
      <c r="AO37" s="533">
        <f>AN37</f>
        <v/>
      </c>
      <c r="AP37" s="533">
        <f>AO37</f>
        <v/>
      </c>
      <c r="AQ37" s="533">
        <f>AP37</f>
        <v/>
      </c>
      <c r="AR37" s="533">
        <f>AQ37</f>
        <v/>
      </c>
      <c r="AS37" s="533">
        <f>AR37</f>
        <v/>
      </c>
      <c r="AT37" s="1308">
        <f>AS37</f>
        <v/>
      </c>
      <c r="AU37" s="1308">
        <f>AT37</f>
        <v/>
      </c>
      <c r="AV37" s="531" t="n">
        <v>2</v>
      </c>
      <c r="AW37" s="531" t="n">
        <v>2</v>
      </c>
      <c r="AX37" s="531" t="n">
        <v>2</v>
      </c>
      <c r="AY37" s="531" t="n">
        <v>2</v>
      </c>
      <c r="AZ37" s="531" t="n">
        <v>2</v>
      </c>
      <c r="BA37" s="531" t="n">
        <v>2</v>
      </c>
      <c r="BB37" s="531" t="n">
        <v>2</v>
      </c>
      <c r="BC37" s="531" t="n">
        <v>2</v>
      </c>
      <c r="BD37" s="531" t="n">
        <v>2</v>
      </c>
      <c r="BE37" s="531" t="n">
        <v>2</v>
      </c>
      <c r="BF37" s="1306" t="n">
        <v>2</v>
      </c>
      <c r="BG37" s="1306" t="n">
        <v>2</v>
      </c>
      <c r="BH37" s="533" t="n">
        <v>4</v>
      </c>
      <c r="BI37" s="533" t="n">
        <v>4</v>
      </c>
      <c r="BJ37" s="533" t="n">
        <v>4</v>
      </c>
      <c r="BK37" s="533">
        <f>BJ37</f>
        <v/>
      </c>
      <c r="BL37" s="533">
        <f>BK37</f>
        <v/>
      </c>
      <c r="BM37" s="231">
        <f>BL37</f>
        <v/>
      </c>
      <c r="BN37" s="533">
        <f>BM37</f>
        <v/>
      </c>
      <c r="BO37" s="533">
        <f>BN37</f>
        <v/>
      </c>
      <c r="BP37" s="533">
        <f>BO37</f>
        <v/>
      </c>
      <c r="BQ37" s="533">
        <f>BP37</f>
        <v/>
      </c>
      <c r="BR37" s="1308">
        <f>BQ37</f>
        <v/>
      </c>
      <c r="BS37" s="1308">
        <f>BR37</f>
        <v/>
      </c>
      <c r="BT37" s="533" t="n">
        <v>5</v>
      </c>
      <c r="BU37" s="533">
        <f>BT37</f>
        <v/>
      </c>
      <c r="BV37" s="533">
        <f>BU37</f>
        <v/>
      </c>
      <c r="BW37" s="533">
        <f>BV37</f>
        <v/>
      </c>
      <c r="BX37" s="533">
        <f>BW37</f>
        <v/>
      </c>
      <c r="BY37" s="231">
        <f>BX37</f>
        <v/>
      </c>
      <c r="BZ37" s="533">
        <f>BY37</f>
        <v/>
      </c>
      <c r="CA37" s="533">
        <f>BZ37</f>
        <v/>
      </c>
      <c r="CB37" s="533">
        <f>CA37</f>
        <v/>
      </c>
      <c r="CC37" s="533">
        <f>CB37</f>
        <v/>
      </c>
      <c r="CD37" s="1308">
        <f>CC37</f>
        <v/>
      </c>
      <c r="CE37" s="1308">
        <f>CD37</f>
        <v/>
      </c>
    </row>
    <row r="38" ht="12.75" customHeight="1" s="1883">
      <c r="A38" s="227" t="n"/>
      <c r="B38" s="232" t="n"/>
      <c r="C38" s="233" t="inlineStr">
        <is>
          <t>M</t>
        </is>
      </c>
      <c r="D38" s="1309" t="inlineStr">
        <is>
          <t xml:space="preserve"> - Executive Assistants</t>
        </is>
      </c>
      <c r="E38" s="1310" t="n">
        <v>0</v>
      </c>
      <c r="F38" s="530" t="n">
        <v>0</v>
      </c>
      <c r="G38" s="530" t="n">
        <v>65000</v>
      </c>
      <c r="H38" s="69">
        <f>G38+(G33*H$9)</f>
        <v/>
      </c>
      <c r="I38" s="69">
        <f>H38+(H33*I$9)</f>
        <v/>
      </c>
      <c r="J38" s="69">
        <f>I38+(I33*J$9)</f>
        <v/>
      </c>
      <c r="K38" s="69">
        <f>J38+(J33*K$9)</f>
        <v/>
      </c>
      <c r="L38" s="229" t="n">
        <v>0</v>
      </c>
      <c r="M38" s="531" t="n">
        <v>0</v>
      </c>
      <c r="N38" s="531" t="n">
        <v>0</v>
      </c>
      <c r="O38" s="531" t="n">
        <v>0</v>
      </c>
      <c r="P38" s="531" t="n">
        <v>0</v>
      </c>
      <c r="Q38" s="1302" t="n">
        <v>0</v>
      </c>
      <c r="R38" s="1302" t="n">
        <v>0</v>
      </c>
      <c r="S38" s="531" t="n">
        <v>0</v>
      </c>
      <c r="T38" s="229" t="n">
        <v>1</v>
      </c>
      <c r="U38" s="531" t="n">
        <v>1</v>
      </c>
      <c r="V38" s="531" t="n">
        <v>1</v>
      </c>
      <c r="W38" s="228" t="n">
        <v>1</v>
      </c>
      <c r="X38" s="538" t="n">
        <v>2</v>
      </c>
      <c r="Y38" s="229" t="n">
        <v>2</v>
      </c>
      <c r="Z38" s="229" t="n">
        <v>2</v>
      </c>
      <c r="AA38" s="229" t="n">
        <v>2</v>
      </c>
      <c r="AB38" s="229" t="n">
        <v>2</v>
      </c>
      <c r="AC38" s="229" t="n">
        <v>2</v>
      </c>
      <c r="AD38" s="531" t="n">
        <v>3</v>
      </c>
      <c r="AE38" s="531" t="n">
        <v>3</v>
      </c>
      <c r="AF38" s="531" t="n">
        <v>3</v>
      </c>
      <c r="AG38" s="531" t="n">
        <v>3</v>
      </c>
      <c r="AH38" s="531" t="n">
        <v>3</v>
      </c>
      <c r="AI38" s="228" t="n">
        <v>3</v>
      </c>
      <c r="AJ38" s="531" t="n">
        <v>7</v>
      </c>
      <c r="AK38" s="531" t="n">
        <v>7</v>
      </c>
      <c r="AL38" s="531" t="n">
        <v>7</v>
      </c>
      <c r="AM38" s="533" t="n">
        <v>10</v>
      </c>
      <c r="AN38" s="533" t="n">
        <v>10</v>
      </c>
      <c r="AO38" s="533" t="n">
        <v>10</v>
      </c>
      <c r="AP38" s="533" t="n">
        <v>12</v>
      </c>
      <c r="AQ38" s="533" t="n">
        <v>12</v>
      </c>
      <c r="AR38" s="533" t="n">
        <v>12</v>
      </c>
      <c r="AS38" s="531" t="n">
        <v>15</v>
      </c>
      <c r="AT38" s="531" t="n">
        <v>15</v>
      </c>
      <c r="AU38" s="228" t="n">
        <v>15</v>
      </c>
      <c r="AV38" s="531" t="n">
        <v>18</v>
      </c>
      <c r="AW38" s="531" t="n">
        <v>18</v>
      </c>
      <c r="AX38" s="531" t="n">
        <v>18</v>
      </c>
      <c r="AY38" s="531" t="n">
        <v>18</v>
      </c>
      <c r="AZ38" s="531" t="n">
        <v>18</v>
      </c>
      <c r="BA38" s="229" t="n">
        <v>18</v>
      </c>
      <c r="BB38" s="531" t="n">
        <v>18</v>
      </c>
      <c r="BC38" s="531" t="n">
        <v>18</v>
      </c>
      <c r="BD38" s="531" t="n">
        <v>18</v>
      </c>
      <c r="BE38" s="531" t="n">
        <v>18</v>
      </c>
      <c r="BF38" s="531" t="n">
        <v>18</v>
      </c>
      <c r="BG38" s="228" t="n">
        <v>18</v>
      </c>
      <c r="BH38" s="531" t="n">
        <v>21</v>
      </c>
      <c r="BI38" s="531" t="n">
        <v>21</v>
      </c>
      <c r="BJ38" s="531" t="n">
        <v>21</v>
      </c>
      <c r="BK38" s="531" t="n">
        <v>21</v>
      </c>
      <c r="BL38" s="531" t="n">
        <v>21</v>
      </c>
      <c r="BM38" s="229" t="n">
        <v>21</v>
      </c>
      <c r="BN38" s="531" t="n">
        <v>21</v>
      </c>
      <c r="BO38" s="531" t="n">
        <v>21</v>
      </c>
      <c r="BP38" s="531" t="n">
        <v>21</v>
      </c>
      <c r="BQ38" s="531" t="n">
        <v>21</v>
      </c>
      <c r="BR38" s="531" t="n">
        <v>21</v>
      </c>
      <c r="BS38" s="228" t="n">
        <v>21</v>
      </c>
      <c r="BT38" s="531" t="n">
        <v>25</v>
      </c>
      <c r="BU38" s="531" t="n">
        <v>24</v>
      </c>
      <c r="BV38" s="531" t="n">
        <v>24</v>
      </c>
      <c r="BW38" s="531" t="n">
        <v>24</v>
      </c>
      <c r="BX38" s="531" t="n">
        <v>24</v>
      </c>
      <c r="BY38" s="229" t="n">
        <v>24</v>
      </c>
      <c r="BZ38" s="531" t="n">
        <v>24</v>
      </c>
      <c r="CA38" s="531" t="n">
        <v>24</v>
      </c>
      <c r="CB38" s="531" t="n">
        <v>24</v>
      </c>
      <c r="CC38" s="531" t="n">
        <v>24</v>
      </c>
      <c r="CD38" s="531" t="n">
        <v>24</v>
      </c>
      <c r="CE38" s="228" t="n">
        <v>24</v>
      </c>
    </row>
    <row r="39" ht="12.75" customHeight="1" s="1883">
      <c r="A39" s="227" t="n"/>
      <c r="B39" s="232" t="n"/>
      <c r="C39" s="233" t="inlineStr">
        <is>
          <t>M</t>
        </is>
      </c>
      <c r="D39" s="1309" t="inlineStr">
        <is>
          <t xml:space="preserve"> - Admin &amp; Office Managers</t>
        </is>
      </c>
      <c r="E39" s="1310" t="n">
        <v>0</v>
      </c>
      <c r="F39" s="530" t="n">
        <v>0</v>
      </c>
      <c r="G39" s="530" t="n">
        <v>55000</v>
      </c>
      <c r="H39" s="69">
        <f>G39+(G34*H$9)</f>
        <v/>
      </c>
      <c r="I39" s="69">
        <f>H39+(H34*I$9)</f>
        <v/>
      </c>
      <c r="J39" s="69">
        <f>I39+(I34*J$9)</f>
        <v/>
      </c>
      <c r="K39" s="69">
        <f>J39+(J34*K$9)</f>
        <v/>
      </c>
      <c r="L39" s="229" t="n">
        <v>0</v>
      </c>
      <c r="M39" s="531" t="n">
        <v>0</v>
      </c>
      <c r="N39" s="531" t="n">
        <v>0</v>
      </c>
      <c r="O39" s="531" t="n">
        <v>0</v>
      </c>
      <c r="P39" s="531" t="n">
        <v>0</v>
      </c>
      <c r="Q39" s="1302" t="n">
        <v>0</v>
      </c>
      <c r="R39" s="1302" t="n">
        <v>0</v>
      </c>
      <c r="S39" s="531" t="n">
        <v>0</v>
      </c>
      <c r="T39" s="531" t="n">
        <v>0</v>
      </c>
      <c r="U39" s="531" t="n">
        <v>1</v>
      </c>
      <c r="V39" s="531" t="n">
        <v>1</v>
      </c>
      <c r="W39" s="228" t="n">
        <v>1</v>
      </c>
      <c r="X39" s="538" t="n">
        <v>2</v>
      </c>
      <c r="Y39" s="229" t="n">
        <v>2</v>
      </c>
      <c r="Z39" s="229" t="n">
        <v>2</v>
      </c>
      <c r="AA39" s="229" t="n">
        <v>2</v>
      </c>
      <c r="AB39" s="229" t="n">
        <v>2</v>
      </c>
      <c r="AC39" s="229" t="n">
        <v>2</v>
      </c>
      <c r="AD39" s="531" t="n">
        <v>3</v>
      </c>
      <c r="AE39" s="531" t="n">
        <v>3</v>
      </c>
      <c r="AF39" s="531" t="n">
        <v>3</v>
      </c>
      <c r="AG39" s="531" t="n">
        <v>3</v>
      </c>
      <c r="AH39" s="531" t="n">
        <v>3</v>
      </c>
      <c r="AI39" s="228" t="n">
        <v>3</v>
      </c>
      <c r="AJ39" s="532" t="n">
        <v>5</v>
      </c>
      <c r="AK39" s="533" t="n">
        <v>5</v>
      </c>
      <c r="AL39" s="533" t="n">
        <v>5</v>
      </c>
      <c r="AM39" s="531" t="n">
        <v>7</v>
      </c>
      <c r="AN39" s="531" t="n">
        <v>7</v>
      </c>
      <c r="AO39" s="531" t="n">
        <v>7</v>
      </c>
      <c r="AP39" s="533" t="n">
        <v>10</v>
      </c>
      <c r="AQ39" s="533" t="n">
        <v>10</v>
      </c>
      <c r="AR39" s="533" t="n">
        <v>10</v>
      </c>
      <c r="AS39" s="533" t="n">
        <v>12</v>
      </c>
      <c r="AT39" s="533" t="n">
        <v>12</v>
      </c>
      <c r="AU39" s="230" t="n">
        <v>12</v>
      </c>
      <c r="AV39" s="532" t="n">
        <v>15</v>
      </c>
      <c r="AW39" s="533" t="n">
        <v>15</v>
      </c>
      <c r="AX39" s="533" t="n">
        <v>15</v>
      </c>
      <c r="AY39" s="533" t="n">
        <v>15</v>
      </c>
      <c r="AZ39" s="533" t="n">
        <v>15</v>
      </c>
      <c r="BA39" s="231" t="n">
        <v>15</v>
      </c>
      <c r="BB39" s="533" t="n">
        <v>15</v>
      </c>
      <c r="BC39" s="533" t="n">
        <v>15</v>
      </c>
      <c r="BD39" s="533" t="n">
        <v>15</v>
      </c>
      <c r="BE39" s="533" t="n">
        <v>15</v>
      </c>
      <c r="BF39" s="533" t="n">
        <v>15</v>
      </c>
      <c r="BG39" s="230" t="n">
        <v>15</v>
      </c>
      <c r="BH39" s="533" t="n">
        <v>17</v>
      </c>
      <c r="BI39" s="533" t="n">
        <v>17</v>
      </c>
      <c r="BJ39" s="533" t="n">
        <v>17</v>
      </c>
      <c r="BK39" s="533" t="n">
        <v>17</v>
      </c>
      <c r="BL39" s="533" t="n">
        <v>17</v>
      </c>
      <c r="BM39" s="231" t="n">
        <v>17</v>
      </c>
      <c r="BN39" s="533" t="n">
        <v>17</v>
      </c>
      <c r="BO39" s="533" t="n">
        <v>17</v>
      </c>
      <c r="BP39" s="533" t="n">
        <v>17</v>
      </c>
      <c r="BQ39" s="533" t="n">
        <v>17</v>
      </c>
      <c r="BR39" s="533" t="n">
        <v>17</v>
      </c>
      <c r="BS39" s="230" t="n">
        <v>17</v>
      </c>
      <c r="BT39" s="231" t="n">
        <v>21</v>
      </c>
      <c r="BU39" s="231" t="n">
        <v>21</v>
      </c>
      <c r="BV39" s="231" t="n">
        <v>21</v>
      </c>
      <c r="BW39" s="231" t="n">
        <v>21</v>
      </c>
      <c r="BX39" s="231" t="n">
        <v>21</v>
      </c>
      <c r="BY39" s="231" t="n">
        <v>21</v>
      </c>
      <c r="BZ39" s="231" t="n">
        <v>21</v>
      </c>
      <c r="CA39" s="231" t="n">
        <v>21</v>
      </c>
      <c r="CB39" s="231" t="n">
        <v>21</v>
      </c>
      <c r="CC39" s="231" t="n">
        <v>21</v>
      </c>
      <c r="CD39" s="231" t="n">
        <v>21</v>
      </c>
      <c r="CE39" s="230" t="n">
        <v>21</v>
      </c>
    </row>
    <row r="40" ht="12.75" customHeight="1" s="1883">
      <c r="A40" s="1305" t="n"/>
      <c r="B40" s="626" t="n"/>
      <c r="C40" s="233" t="inlineStr">
        <is>
          <t>M</t>
        </is>
      </c>
      <c r="D40" s="1043" t="inlineStr">
        <is>
          <t>VP of Compliance</t>
        </is>
      </c>
      <c r="E40" s="530" t="n">
        <v>0</v>
      </c>
      <c r="F40" s="530" t="n">
        <v>0</v>
      </c>
      <c r="G40" s="530" t="n">
        <v>50000</v>
      </c>
      <c r="H40" s="69" t="n">
        <v>50000</v>
      </c>
      <c r="I40" s="69" t="n">
        <v>50000</v>
      </c>
      <c r="J40" s="69" t="n">
        <v>50000</v>
      </c>
      <c r="K40" s="69" t="n">
        <v>50000</v>
      </c>
      <c r="L40" s="229" t="n">
        <v>0</v>
      </c>
      <c r="M40" s="531" t="n">
        <v>0</v>
      </c>
      <c r="N40" s="531" t="n">
        <v>0</v>
      </c>
      <c r="O40" s="531" t="n">
        <v>0</v>
      </c>
      <c r="P40" s="531" t="n">
        <v>0</v>
      </c>
      <c r="Q40" s="1302" t="n">
        <v>0</v>
      </c>
      <c r="R40" s="1302" t="n">
        <v>0</v>
      </c>
      <c r="S40" s="531" t="n">
        <v>0</v>
      </c>
      <c r="T40" s="531" t="n">
        <v>1</v>
      </c>
      <c r="U40" s="531" t="n">
        <v>1</v>
      </c>
      <c r="V40" s="531" t="n">
        <v>1</v>
      </c>
      <c r="W40" s="228" t="n">
        <v>1</v>
      </c>
      <c r="X40" s="229" t="n">
        <v>1</v>
      </c>
      <c r="Y40" s="531" t="n">
        <v>1</v>
      </c>
      <c r="Z40" s="531" t="n">
        <v>1</v>
      </c>
      <c r="AA40" s="531" t="n">
        <v>1</v>
      </c>
      <c r="AB40" s="531" t="n">
        <v>1</v>
      </c>
      <c r="AC40" s="531" t="n">
        <v>1</v>
      </c>
      <c r="AD40" s="531" t="n">
        <v>1</v>
      </c>
      <c r="AE40" s="531" t="n">
        <v>1</v>
      </c>
      <c r="AF40" s="531" t="n">
        <v>1</v>
      </c>
      <c r="AG40" s="531" t="n">
        <v>1</v>
      </c>
      <c r="AH40" s="531" t="n">
        <v>1</v>
      </c>
      <c r="AI40" s="228" t="n">
        <v>1</v>
      </c>
      <c r="AJ40" s="531" t="n">
        <v>2</v>
      </c>
      <c r="AK40" s="531" t="n">
        <v>2</v>
      </c>
      <c r="AL40" s="531" t="n">
        <v>2</v>
      </c>
      <c r="AM40" s="531" t="n">
        <v>2</v>
      </c>
      <c r="AN40" s="531" t="n">
        <v>2</v>
      </c>
      <c r="AO40" s="531" t="n">
        <v>2</v>
      </c>
      <c r="AP40" s="531" t="n">
        <v>2</v>
      </c>
      <c r="AQ40" s="531" t="n">
        <v>2</v>
      </c>
      <c r="AR40" s="531" t="n">
        <v>2</v>
      </c>
      <c r="AS40" s="531" t="n">
        <v>2</v>
      </c>
      <c r="AT40" s="531" t="n">
        <v>2</v>
      </c>
      <c r="AU40" s="228" t="n">
        <v>2</v>
      </c>
      <c r="AV40" s="531" t="n">
        <v>3</v>
      </c>
      <c r="AW40" s="531" t="n">
        <v>3</v>
      </c>
      <c r="AX40" s="531" t="n">
        <v>3</v>
      </c>
      <c r="AY40" s="531" t="n">
        <v>3</v>
      </c>
      <c r="AZ40" s="531" t="n">
        <v>3</v>
      </c>
      <c r="BA40" s="229" t="n">
        <v>3</v>
      </c>
      <c r="BB40" s="531" t="n">
        <v>3</v>
      </c>
      <c r="BC40" s="531" t="n">
        <v>3</v>
      </c>
      <c r="BD40" s="531" t="n">
        <v>3</v>
      </c>
      <c r="BE40" s="531" t="n">
        <v>3</v>
      </c>
      <c r="BF40" s="531" t="n">
        <v>3</v>
      </c>
      <c r="BG40" s="228" t="n">
        <v>3</v>
      </c>
      <c r="BH40" s="531" t="n">
        <v>4</v>
      </c>
      <c r="BI40" s="531" t="n">
        <v>4</v>
      </c>
      <c r="BJ40" s="531" t="n">
        <v>4</v>
      </c>
      <c r="BK40" s="531" t="n">
        <v>4</v>
      </c>
      <c r="BL40" s="531" t="n">
        <v>4</v>
      </c>
      <c r="BM40" s="229" t="n">
        <v>4</v>
      </c>
      <c r="BN40" s="531" t="n">
        <v>4</v>
      </c>
      <c r="BO40" s="531" t="n">
        <v>4</v>
      </c>
      <c r="BP40" s="531" t="n">
        <v>4</v>
      </c>
      <c r="BQ40" s="531" t="n">
        <v>4</v>
      </c>
      <c r="BR40" s="531" t="n">
        <v>4</v>
      </c>
      <c r="BS40" s="228" t="n">
        <v>4</v>
      </c>
      <c r="BT40" s="531" t="n">
        <v>5</v>
      </c>
      <c r="BU40" s="531" t="n">
        <v>5</v>
      </c>
      <c r="BV40" s="531" t="n">
        <v>5</v>
      </c>
      <c r="BW40" s="531" t="n">
        <v>5</v>
      </c>
      <c r="BX40" s="531" t="n">
        <v>5</v>
      </c>
      <c r="BY40" s="229" t="n">
        <v>5</v>
      </c>
      <c r="BZ40" s="531" t="n">
        <v>5</v>
      </c>
      <c r="CA40" s="531" t="n">
        <v>5</v>
      </c>
      <c r="CB40" s="531" t="n">
        <v>5</v>
      </c>
      <c r="CC40" s="531" t="n">
        <v>5</v>
      </c>
      <c r="CD40" s="531" t="n">
        <v>5</v>
      </c>
      <c r="CE40" s="228" t="n">
        <v>5</v>
      </c>
    </row>
    <row r="41" ht="12.75" customHeight="1" s="1883">
      <c r="A41" s="227" t="n"/>
      <c r="B41" s="232" t="n"/>
      <c r="C41" s="233" t="n"/>
      <c r="D41" s="232" t="n"/>
      <c r="E41" s="69" t="n"/>
      <c r="F41" s="69" t="n"/>
      <c r="G41" s="69" t="n"/>
      <c r="H41" s="69" t="n"/>
      <c r="I41" s="69" t="n"/>
      <c r="J41" s="69" t="n"/>
      <c r="K41" s="69" t="n"/>
      <c r="L41" s="2119">
        <f>ROUND(SUMPRODUCT($E10:$E40,L10:L40)/6,0)</f>
        <v/>
      </c>
      <c r="M41" s="2119">
        <f>ROUND(SUMPRODUCT($E10:$E40,M10:M40)/6,0)</f>
        <v/>
      </c>
      <c r="N41" s="2119">
        <f>ROUND(SUMPRODUCT($E10:$E40,N10:N40)/6,0)</f>
        <v/>
      </c>
      <c r="O41" s="2119">
        <f>ROUND(SUMPRODUCT($E10:$E40,O10:O40)/6,0)</f>
        <v/>
      </c>
      <c r="P41" s="2119">
        <f>ROUND(SUMPRODUCT($E10:$E40,P10:P40)/6,0)</f>
        <v/>
      </c>
      <c r="Q41" s="2120">
        <f>ROUND(SUMPRODUCT($E10:$E40,Q10:Q40)/6,0)</f>
        <v/>
      </c>
      <c r="R41" s="2120">
        <f>ROUND(SUMPRODUCT($F10:$F40,R10:R40)/6,0)</f>
        <v/>
      </c>
      <c r="S41" s="2119">
        <f>ROUND(SUMPRODUCT($F10:$F40,S10:S40)/6,0)</f>
        <v/>
      </c>
      <c r="T41" s="2119">
        <f>ROUND(SUMPRODUCT($F10:$F40,T10:T40)/6,0)</f>
        <v/>
      </c>
      <c r="U41" s="2119">
        <f>ROUND(SUMPRODUCT($F10:$F40,U10:U40)/6,0)</f>
        <v/>
      </c>
      <c r="V41" s="2121">
        <f>ROUND(SUMPRODUCT($F10:$F40,V10:V40)/6,0)</f>
        <v/>
      </c>
      <c r="W41" s="2122">
        <f>ROUND(SUMPRODUCT($F10:$F40,W10:W40)/6,0)</f>
        <v/>
      </c>
      <c r="X41" s="2119">
        <f>ROUND(SUMPRODUCT($G10:$G40,X10:X40)/12,0)</f>
        <v/>
      </c>
      <c r="Y41" s="2119">
        <f>ROUND(SUMPRODUCT($G10:$G40,Y10:Y40)/12,0)</f>
        <v/>
      </c>
      <c r="Z41" s="2119">
        <f>ROUND(SUMPRODUCT($G10:$G40,Z10:Z40)/12,0)</f>
        <v/>
      </c>
      <c r="AA41" s="2119">
        <f>ROUND(SUMPRODUCT($G10:$G40,AA10:AA40)/12,0)</f>
        <v/>
      </c>
      <c r="AB41" s="2119">
        <f>ROUND(SUMPRODUCT($G10:$G40,AB10:AB40)/12,0)</f>
        <v/>
      </c>
      <c r="AC41" s="2119">
        <f>ROUND(SUMPRODUCT($G10:$G40,AC10:AC40)/12,0)</f>
        <v/>
      </c>
      <c r="AD41" s="2119">
        <f>ROUND(SUMPRODUCT($G10:$G40,AD10:AD40)/12,0)</f>
        <v/>
      </c>
      <c r="AE41" s="2119">
        <f>ROUND(SUMPRODUCT($G10:$G40,AE10:AE40)/12,0)</f>
        <v/>
      </c>
      <c r="AF41" s="2119">
        <f>ROUND(SUMPRODUCT($G10:$G40,AF10:AF40)/12,0)</f>
        <v/>
      </c>
      <c r="AG41" s="2119">
        <f>ROUND(SUMPRODUCT($G10:$G40,AG10:AG40)/12,0)</f>
        <v/>
      </c>
      <c r="AH41" s="2119">
        <f>ROUND(SUMPRODUCT($G10:$G40,AH10:AH40)/12,0)</f>
        <v/>
      </c>
      <c r="AI41" s="2122">
        <f>ROUND(SUMPRODUCT($G10:$G40,AI10:AI40)/12,0)</f>
        <v/>
      </c>
      <c r="AJ41" s="73">
        <f>ROUND(SUMPRODUCT($H10:$H40,AJ10:AJ40)/12,0)</f>
        <v/>
      </c>
      <c r="AK41" s="73">
        <f>ROUND(SUMPRODUCT($H10:$H40,AK10:AK40)/12,0)</f>
        <v/>
      </c>
      <c r="AL41" s="73">
        <f>ROUND(SUMPRODUCT($H10:$H40,AL10:AL40)/12,0)</f>
        <v/>
      </c>
      <c r="AM41" s="73">
        <f>ROUND(SUMPRODUCT($H10:$H40,AM10:AM40)/12,0)</f>
        <v/>
      </c>
      <c r="AN41" s="73">
        <f>ROUND(SUMPRODUCT($H10:$H40,AN10:AN40)/12,0)</f>
        <v/>
      </c>
      <c r="AO41" s="73">
        <f>ROUND(SUMPRODUCT($H10:$H40,AO10:AO40)/12,0)</f>
        <v/>
      </c>
      <c r="AP41" s="73">
        <f>ROUND(SUMPRODUCT($H10:$H40,AP10:AP40)/12,0)</f>
        <v/>
      </c>
      <c r="AQ41" s="73">
        <f>ROUND(SUMPRODUCT($H10:$H40,AQ10:AQ40)/12,0)</f>
        <v/>
      </c>
      <c r="AR41" s="73">
        <f>ROUND(SUMPRODUCT($H10:$H40,AR10:AR40)/12,0)</f>
        <v/>
      </c>
      <c r="AS41" s="73">
        <f>ROUND(SUMPRODUCT($H10:$H40,AS10:AS40)/12,0)</f>
        <v/>
      </c>
      <c r="AT41" s="73">
        <f>ROUND(SUMPRODUCT($H10:$H40,AT10:AT40)/12,0)</f>
        <v/>
      </c>
      <c r="AU41" s="1071">
        <f>ROUND(SUMPRODUCT($H10:$H40,AU10:AU40)/12,0)</f>
        <v/>
      </c>
      <c r="AV41" s="73">
        <f>ROUND(SUMPRODUCT($I10:$I40,AV10:AV40)/12,0)</f>
        <v/>
      </c>
      <c r="AW41" s="73">
        <f>ROUND(SUMPRODUCT($I10:$I40,AW10:AW40)/12,0)</f>
        <v/>
      </c>
      <c r="AX41" s="73">
        <f>ROUND(SUMPRODUCT($I10:$I40,AX10:AX40)/12,0)</f>
        <v/>
      </c>
      <c r="AY41" s="73">
        <f>ROUND(SUMPRODUCT($I10:$I40,AY10:AY40)/12,0)</f>
        <v/>
      </c>
      <c r="AZ41" s="73">
        <f>ROUND(SUMPRODUCT($I10:$I40,AZ10:AZ40)/12,0)</f>
        <v/>
      </c>
      <c r="BA41" s="73">
        <f>ROUND(SUMPRODUCT($I10:$I40,BA10:BA40)/12,0)</f>
        <v/>
      </c>
      <c r="BB41" s="73">
        <f>ROUND(SUMPRODUCT($I10:$I40,BB10:BB40)/12,0)</f>
        <v/>
      </c>
      <c r="BC41" s="73">
        <f>ROUND(SUMPRODUCT($I10:$I40,BC10:BC40)/12,0)</f>
        <v/>
      </c>
      <c r="BD41" s="73">
        <f>ROUND(SUMPRODUCT($I10:$I40,BD10:BD40)/12,0)</f>
        <v/>
      </c>
      <c r="BE41" s="73">
        <f>ROUND(SUMPRODUCT($I10:$I40,BE10:BE40)/12,0)</f>
        <v/>
      </c>
      <c r="BF41" s="73">
        <f>ROUND(SUMPRODUCT($I10:$I40,BF10:BF40)/12,0)</f>
        <v/>
      </c>
      <c r="BG41" s="1071">
        <f>ROUND(SUMPRODUCT($I10:$I40,BG10:BG40)/12,0)</f>
        <v/>
      </c>
      <c r="BH41" s="73">
        <f>ROUND(SUMPRODUCT($J10:$J40,BH10:BH40)/12,0)</f>
        <v/>
      </c>
      <c r="BI41" s="73">
        <f>ROUND(SUMPRODUCT($J10:$J40,BI10:BI40)/12,0)</f>
        <v/>
      </c>
      <c r="BJ41" s="73">
        <f>ROUND(SUMPRODUCT($J10:$J40,BJ10:BJ40)/12,0)</f>
        <v/>
      </c>
      <c r="BK41" s="73">
        <f>ROUND(SUMPRODUCT($J10:$J40,BK10:BK40)/12,0)</f>
        <v/>
      </c>
      <c r="BL41" s="73">
        <f>ROUND(SUMPRODUCT($J10:$J40,BL10:BL40)/12,0)</f>
        <v/>
      </c>
      <c r="BM41" s="73">
        <f>ROUND(SUMPRODUCT($J10:$J40,BM10:BM40)/12,0)</f>
        <v/>
      </c>
      <c r="BN41" s="73">
        <f>ROUND(SUMPRODUCT($J10:$J40,BN10:BN40)/12,0)</f>
        <v/>
      </c>
      <c r="BO41" s="73">
        <f>ROUND(SUMPRODUCT($J10:$J40,BO10:BO40)/12,0)</f>
        <v/>
      </c>
      <c r="BP41" s="73">
        <f>ROUND(SUMPRODUCT($J10:$J40,BP10:BP40)/12,0)</f>
        <v/>
      </c>
      <c r="BQ41" s="73">
        <f>ROUND(SUMPRODUCT($J10:$J40,BQ10:BQ40)/12,0)</f>
        <v/>
      </c>
      <c r="BR41" s="73">
        <f>ROUND(SUMPRODUCT($J10:$J40,BR10:BR40)/12,0)</f>
        <v/>
      </c>
      <c r="BS41" s="1071">
        <f>ROUND(SUMPRODUCT($J10:$J40,BS10:BS40)/12,0)</f>
        <v/>
      </c>
      <c r="BT41" s="73">
        <f>ROUND(SUMPRODUCT($K10:$K40,BT10:BT40)/12,0)</f>
        <v/>
      </c>
      <c r="BU41" s="73">
        <f>ROUND(SUMPRODUCT($K10:$K40,BU10:BU40)/12,0)</f>
        <v/>
      </c>
      <c r="BV41" s="73">
        <f>ROUND(SUMPRODUCT($K10:$K40,BV10:BV40)/12,0)</f>
        <v/>
      </c>
      <c r="BW41" s="73">
        <f>ROUND(SUMPRODUCT($K10:$K40,BW10:BW40)/12,0)</f>
        <v/>
      </c>
      <c r="BX41" s="73">
        <f>ROUND(SUMPRODUCT($K10:$K40,BX10:BX40)/12,0)</f>
        <v/>
      </c>
      <c r="BY41" s="73">
        <f>ROUND(SUMPRODUCT($K10:$K40,BY10:BY40)/12,0)</f>
        <v/>
      </c>
      <c r="BZ41" s="73">
        <f>ROUND(SUMPRODUCT($K10:$K40,BZ10:BZ40)/12,0)</f>
        <v/>
      </c>
      <c r="CA41" s="73">
        <f>ROUND(SUMPRODUCT($K10:$K40,CA10:CA40)/12,0)</f>
        <v/>
      </c>
      <c r="CB41" s="73">
        <f>ROUND(SUMPRODUCT($K10:$K40,CB10:CB40)/12,0)</f>
        <v/>
      </c>
      <c r="CC41" s="73">
        <f>ROUND(SUMPRODUCT($K10:$K40,CC10:CC40)/12,0)</f>
        <v/>
      </c>
      <c r="CD41" s="73">
        <f>ROUND(SUMPRODUCT($K10:$K40,CD10:CD40)/12,0)</f>
        <v/>
      </c>
      <c r="CE41" s="1071">
        <f>ROUND(SUMPRODUCT($K10:$K40,CE10:CE40)/12,0)</f>
        <v/>
      </c>
    </row>
    <row r="42" ht="12.75" customHeight="1" s="1883">
      <c r="A42" s="227" t="n"/>
      <c r="B42" s="232" t="n"/>
      <c r="C42" s="233" t="n"/>
      <c r="D42" s="98" t="inlineStr">
        <is>
          <t>Support Team</t>
        </is>
      </c>
      <c r="E42" s="69" t="n"/>
      <c r="F42" s="69" t="n"/>
      <c r="G42" s="69" t="n"/>
      <c r="H42" s="69" t="n"/>
      <c r="I42" s="69" t="n"/>
      <c r="J42" s="69" t="n"/>
      <c r="K42" s="69" t="n"/>
      <c r="L42" s="2123" t="n"/>
      <c r="M42" s="2123" t="n"/>
      <c r="N42" s="2123" t="n"/>
      <c r="O42" s="2123" t="n"/>
      <c r="P42" s="2123" t="n"/>
      <c r="Q42" s="2124" t="n"/>
      <c r="R42" s="2124" t="n"/>
      <c r="S42" s="2123" t="n"/>
      <c r="T42" s="2123" t="n"/>
      <c r="U42" s="2123" t="n"/>
      <c r="V42" s="2123" t="n"/>
      <c r="W42" s="2125" t="n"/>
      <c r="X42" s="2119" t="n"/>
      <c r="Y42" s="2119" t="n"/>
      <c r="Z42" s="2119" t="n"/>
      <c r="AA42" s="2119" t="n"/>
      <c r="AB42" s="2119" t="n"/>
      <c r="AC42" s="2119" t="n"/>
      <c r="AD42" s="2119" t="n"/>
      <c r="AE42" s="2119" t="n"/>
      <c r="AF42" s="2119" t="n"/>
      <c r="AG42" s="2119" t="n"/>
      <c r="AH42" s="2119" t="n"/>
      <c r="AI42" s="2122" t="n"/>
      <c r="AJ42" s="73" t="n"/>
      <c r="AK42" s="73" t="n"/>
      <c r="AL42" s="73" t="n"/>
      <c r="AM42" s="73" t="n"/>
      <c r="AN42" s="73" t="n"/>
      <c r="AO42" s="73" t="n"/>
      <c r="AP42" s="73" t="n"/>
      <c r="AQ42" s="73" t="n"/>
      <c r="AR42" s="73" t="n"/>
      <c r="AS42" s="73" t="n"/>
      <c r="AT42" s="73" t="n"/>
      <c r="AU42" s="1071" t="n"/>
      <c r="AV42" s="73" t="n"/>
      <c r="AW42" s="73" t="n"/>
      <c r="AX42" s="73" t="n"/>
      <c r="AY42" s="73" t="n"/>
      <c r="AZ42" s="73" t="n"/>
      <c r="BA42" s="73" t="n"/>
      <c r="BB42" s="73" t="n"/>
      <c r="BC42" s="73" t="n"/>
      <c r="BD42" s="73" t="n"/>
      <c r="BE42" s="73" t="n"/>
      <c r="BF42" s="73" t="n"/>
      <c r="BG42" s="1071" t="n"/>
      <c r="BH42" s="73" t="n"/>
      <c r="BI42" s="73" t="n"/>
      <c r="BJ42" s="73" t="n"/>
      <c r="BK42" s="73" t="n"/>
      <c r="BL42" s="73" t="n"/>
      <c r="BM42" s="73" t="n"/>
      <c r="BN42" s="73" t="n"/>
      <c r="BO42" s="73" t="n"/>
      <c r="BP42" s="73" t="n"/>
      <c r="BQ42" s="73" t="n"/>
      <c r="BR42" s="73" t="n"/>
      <c r="BS42" s="1071" t="n"/>
      <c r="BT42" s="73" t="n"/>
      <c r="BU42" s="73" t="n"/>
      <c r="BV42" s="73" t="n"/>
      <c r="BW42" s="73" t="n"/>
      <c r="BX42" s="73" t="n"/>
      <c r="BY42" s="73" t="n"/>
      <c r="BZ42" s="73" t="n"/>
      <c r="CA42" s="73" t="n"/>
      <c r="CB42" s="73" t="n"/>
      <c r="CC42" s="73" t="n"/>
      <c r="CD42" s="73" t="n"/>
      <c r="CE42" s="1071" t="n"/>
    </row>
    <row r="43" ht="12.75" customHeight="1" s="1883">
      <c r="A43" s="1305" t="n"/>
      <c r="B43" s="626" t="n"/>
      <c r="C43" s="233" t="inlineStr">
        <is>
          <t>O</t>
        </is>
      </c>
      <c r="D43" s="1304" t="inlineStr">
        <is>
          <t>Administrative Team</t>
        </is>
      </c>
      <c r="E43" s="530" t="n">
        <v>0</v>
      </c>
      <c r="F43" s="530" t="n">
        <v>45000</v>
      </c>
      <c r="G43" s="530" t="n">
        <v>45000</v>
      </c>
      <c r="H43" s="69">
        <f>G43+(G39*H$9)</f>
        <v/>
      </c>
      <c r="I43" s="69">
        <f>H43+(H39*I$9)</f>
        <v/>
      </c>
      <c r="J43" s="69">
        <f>I43+(I39*J$9)</f>
        <v/>
      </c>
      <c r="K43" s="1307">
        <f>J43+(J39*K$9)</f>
        <v/>
      </c>
      <c r="L43" s="531" t="n">
        <v>0</v>
      </c>
      <c r="M43" s="531" t="n">
        <v>0</v>
      </c>
      <c r="N43" s="531" t="n">
        <v>0</v>
      </c>
      <c r="O43" s="531" t="n">
        <v>0</v>
      </c>
      <c r="P43" s="531" t="n">
        <v>0</v>
      </c>
      <c r="Q43" s="1302" t="n">
        <v>0</v>
      </c>
      <c r="R43" s="1302" t="n">
        <v>2</v>
      </c>
      <c r="S43" s="531" t="n">
        <v>2</v>
      </c>
      <c r="T43" s="531" t="n">
        <v>2</v>
      </c>
      <c r="U43" s="531" t="n">
        <v>3</v>
      </c>
      <c r="V43" s="1306" t="n">
        <v>3</v>
      </c>
      <c r="W43" s="1306" t="n">
        <v>3</v>
      </c>
      <c r="X43" s="531" t="n">
        <v>5</v>
      </c>
      <c r="Y43" s="531" t="n">
        <v>5</v>
      </c>
      <c r="Z43" s="531" t="n">
        <v>5</v>
      </c>
      <c r="AA43" s="531" t="n">
        <v>7</v>
      </c>
      <c r="AB43" s="531" t="n">
        <v>7</v>
      </c>
      <c r="AC43" s="531" t="n">
        <v>7</v>
      </c>
      <c r="AD43" s="531" t="n">
        <v>9</v>
      </c>
      <c r="AE43" s="531" t="n">
        <v>9</v>
      </c>
      <c r="AF43" s="531" t="n">
        <v>9</v>
      </c>
      <c r="AG43" s="531" t="n">
        <v>11</v>
      </c>
      <c r="AH43" s="1306" t="n">
        <v>11</v>
      </c>
      <c r="AI43" s="1306" t="n">
        <v>11</v>
      </c>
      <c r="AJ43" s="533" t="n">
        <v>50</v>
      </c>
      <c r="AK43" s="533" t="n">
        <v>50</v>
      </c>
      <c r="AL43" s="533" t="n">
        <v>50</v>
      </c>
      <c r="AM43" s="533" t="n">
        <v>75</v>
      </c>
      <c r="AN43" s="533" t="n">
        <v>75</v>
      </c>
      <c r="AO43" s="231" t="n">
        <v>75</v>
      </c>
      <c r="AP43" s="532" t="n">
        <v>100</v>
      </c>
      <c r="AQ43" s="533" t="n">
        <v>100</v>
      </c>
      <c r="AR43" s="533" t="n">
        <v>100</v>
      </c>
      <c r="AS43" s="533" t="n">
        <v>150</v>
      </c>
      <c r="AT43" s="1308" t="n">
        <v>150</v>
      </c>
      <c r="AU43" s="1308" t="n">
        <v>150</v>
      </c>
      <c r="AV43" s="532" t="n">
        <v>200</v>
      </c>
      <c r="AW43" s="533" t="n">
        <v>200</v>
      </c>
      <c r="AX43" s="533" t="n">
        <v>200</v>
      </c>
      <c r="AY43" s="533" t="n">
        <v>250</v>
      </c>
      <c r="AZ43" s="231" t="n">
        <v>250</v>
      </c>
      <c r="BA43" s="231" t="n">
        <v>250</v>
      </c>
      <c r="BB43" s="533" t="n">
        <v>300</v>
      </c>
      <c r="BC43" s="533" t="n">
        <v>300</v>
      </c>
      <c r="BD43" s="533" t="n">
        <v>300</v>
      </c>
      <c r="BE43" s="533" t="n">
        <v>350</v>
      </c>
      <c r="BF43" s="1308" t="n">
        <v>350</v>
      </c>
      <c r="BG43" s="1308" t="n">
        <v>350</v>
      </c>
      <c r="BH43" s="533" t="n">
        <v>400</v>
      </c>
      <c r="BI43" s="533">
        <f>BH43</f>
        <v/>
      </c>
      <c r="BJ43" s="533">
        <f>BI43</f>
        <v/>
      </c>
      <c r="BK43" s="533">
        <f>BJ43</f>
        <v/>
      </c>
      <c r="BL43" s="533">
        <f>BK43</f>
        <v/>
      </c>
      <c r="BM43" s="533">
        <f>BL43</f>
        <v/>
      </c>
      <c r="BN43" s="533" t="n">
        <v>500</v>
      </c>
      <c r="BO43" s="533">
        <f>BN43</f>
        <v/>
      </c>
      <c r="BP43" s="533">
        <f>BO43</f>
        <v/>
      </c>
      <c r="BQ43" s="533">
        <f>BP43</f>
        <v/>
      </c>
      <c r="BR43" s="533">
        <f>BQ43</f>
        <v/>
      </c>
      <c r="BS43" s="1316">
        <f>BR43</f>
        <v/>
      </c>
      <c r="BT43" s="533" t="n">
        <v>600</v>
      </c>
      <c r="BU43" s="533">
        <f>BT43</f>
        <v/>
      </c>
      <c r="BV43" s="533">
        <f>BU43</f>
        <v/>
      </c>
      <c r="BW43" s="533">
        <f>BV43</f>
        <v/>
      </c>
      <c r="BX43" s="533">
        <f>BW43</f>
        <v/>
      </c>
      <c r="BY43" s="533">
        <f>BX43</f>
        <v/>
      </c>
      <c r="BZ43" s="533" t="n">
        <v>700</v>
      </c>
      <c r="CA43" s="533">
        <f>BZ43</f>
        <v/>
      </c>
      <c r="CB43" s="533">
        <f>CA43</f>
        <v/>
      </c>
      <c r="CC43" s="533">
        <f>CB43</f>
        <v/>
      </c>
      <c r="CD43" s="533">
        <f>CC43</f>
        <v/>
      </c>
      <c r="CE43" s="1316">
        <f>CD43</f>
        <v/>
      </c>
    </row>
    <row r="44" ht="12.75" customHeight="1" s="1883">
      <c r="A44" s="1305" t="n"/>
      <c r="B44" s="626" t="n"/>
      <c r="C44" s="233" t="inlineStr">
        <is>
          <t>M</t>
        </is>
      </c>
      <c r="D44" s="1304" t="inlineStr">
        <is>
          <t>Advisor</t>
        </is>
      </c>
      <c r="E44" s="530" t="n">
        <v>0</v>
      </c>
      <c r="F44" s="530">
        <f>150*5*4*12</f>
        <v/>
      </c>
      <c r="G44" s="530">
        <f>150*5*4*12</f>
        <v/>
      </c>
      <c r="H44" s="69">
        <f>G44+(G40*H$9)</f>
        <v/>
      </c>
      <c r="I44" s="69">
        <f>H44+(H40*I$9)</f>
        <v/>
      </c>
      <c r="J44" s="69">
        <f>I44+(I40*J$9)</f>
        <v/>
      </c>
      <c r="K44" s="1307">
        <f>J44+(J40*K$9)</f>
        <v/>
      </c>
      <c r="L44" s="531" t="n">
        <v>0</v>
      </c>
      <c r="M44" s="531" t="n">
        <v>0</v>
      </c>
      <c r="N44" s="531" t="n">
        <v>0</v>
      </c>
      <c r="O44" s="531" t="n">
        <v>0</v>
      </c>
      <c r="P44" s="531" t="n">
        <v>0</v>
      </c>
      <c r="Q44" s="1302" t="n">
        <v>0</v>
      </c>
      <c r="R44" s="1302" t="n">
        <v>5</v>
      </c>
      <c r="S44" s="531" t="n">
        <v>5</v>
      </c>
      <c r="T44" s="531" t="n">
        <v>5</v>
      </c>
      <c r="U44" s="531" t="n">
        <v>5</v>
      </c>
      <c r="V44" s="1306" t="n">
        <v>5</v>
      </c>
      <c r="W44" s="1306" t="n">
        <v>5</v>
      </c>
      <c r="X44" s="531" t="n">
        <v>5</v>
      </c>
      <c r="Y44" s="531" t="n">
        <v>5</v>
      </c>
      <c r="Z44" s="531" t="n">
        <v>5</v>
      </c>
      <c r="AA44" s="531" t="n">
        <v>7</v>
      </c>
      <c r="AB44" s="531" t="n">
        <v>7</v>
      </c>
      <c r="AC44" s="531" t="n">
        <v>7</v>
      </c>
      <c r="AD44" s="531" t="n">
        <v>9</v>
      </c>
      <c r="AE44" s="531" t="n">
        <v>9</v>
      </c>
      <c r="AF44" s="531" t="n">
        <v>9</v>
      </c>
      <c r="AG44" s="531" t="n">
        <v>11</v>
      </c>
      <c r="AH44" s="1306" t="n">
        <v>11</v>
      </c>
      <c r="AI44" s="1306" t="n">
        <v>11</v>
      </c>
      <c r="AJ44" s="533" t="n">
        <v>50</v>
      </c>
      <c r="AK44" s="533" t="n">
        <v>50</v>
      </c>
      <c r="AL44" s="533" t="n">
        <v>50</v>
      </c>
      <c r="AM44" s="533" t="n">
        <v>75</v>
      </c>
      <c r="AN44" s="533" t="n">
        <v>75</v>
      </c>
      <c r="AO44" s="231" t="n">
        <v>75</v>
      </c>
      <c r="AP44" s="532" t="n">
        <v>100</v>
      </c>
      <c r="AQ44" s="533" t="n">
        <v>100</v>
      </c>
      <c r="AR44" s="533" t="n">
        <v>100</v>
      </c>
      <c r="AS44" s="533" t="n">
        <v>150</v>
      </c>
      <c r="AT44" s="1308" t="n">
        <v>150</v>
      </c>
      <c r="AU44" s="1308" t="n">
        <v>150</v>
      </c>
      <c r="AV44" s="532" t="n">
        <v>200</v>
      </c>
      <c r="AW44" s="533" t="n">
        <v>200</v>
      </c>
      <c r="AX44" s="533" t="n">
        <v>200</v>
      </c>
      <c r="AY44" s="533" t="n">
        <v>250</v>
      </c>
      <c r="AZ44" s="231" t="n">
        <v>250</v>
      </c>
      <c r="BA44" s="231" t="n">
        <v>250</v>
      </c>
      <c r="BB44" s="533" t="n">
        <v>300</v>
      </c>
      <c r="BC44" s="533" t="n">
        <v>300</v>
      </c>
      <c r="BD44" s="533" t="n">
        <v>300</v>
      </c>
      <c r="BE44" s="533" t="n">
        <v>350</v>
      </c>
      <c r="BF44" s="1308" t="n">
        <v>350</v>
      </c>
      <c r="BG44" s="1308" t="n">
        <v>350</v>
      </c>
      <c r="BH44" s="533" t="n">
        <v>400</v>
      </c>
      <c r="BI44" s="533">
        <f>BH44</f>
        <v/>
      </c>
      <c r="BJ44" s="533">
        <f>BI44</f>
        <v/>
      </c>
      <c r="BK44" s="533">
        <f>BJ44</f>
        <v/>
      </c>
      <c r="BL44" s="533">
        <f>BK44</f>
        <v/>
      </c>
      <c r="BM44" s="533">
        <f>BL44</f>
        <v/>
      </c>
      <c r="BN44" s="533" t="n">
        <v>500</v>
      </c>
      <c r="BO44" s="533">
        <f>BN44</f>
        <v/>
      </c>
      <c r="BP44" s="533">
        <f>BO44</f>
        <v/>
      </c>
      <c r="BQ44" s="533">
        <f>BP44</f>
        <v/>
      </c>
      <c r="BR44" s="533">
        <f>BQ44</f>
        <v/>
      </c>
      <c r="BS44" s="1316">
        <f>BR44</f>
        <v/>
      </c>
      <c r="BT44" s="533" t="n">
        <v>600</v>
      </c>
      <c r="BU44" s="533">
        <f>BT44</f>
        <v/>
      </c>
      <c r="BV44" s="533">
        <f>BU44</f>
        <v/>
      </c>
      <c r="BW44" s="533">
        <f>BV44</f>
        <v/>
      </c>
      <c r="BX44" s="533">
        <f>BW44</f>
        <v/>
      </c>
      <c r="BY44" s="533">
        <f>BX44</f>
        <v/>
      </c>
      <c r="BZ44" s="533" t="n">
        <v>700</v>
      </c>
      <c r="CA44" s="533">
        <f>BZ44</f>
        <v/>
      </c>
      <c r="CB44" s="533">
        <f>CA44</f>
        <v/>
      </c>
      <c r="CC44" s="533">
        <f>CB44</f>
        <v/>
      </c>
      <c r="CD44" s="533">
        <f>CC44</f>
        <v/>
      </c>
      <c r="CE44" s="1316">
        <f>CD44</f>
        <v/>
      </c>
    </row>
    <row r="45" ht="12.75" customHeight="1" s="1883">
      <c r="A45" s="1305" t="n"/>
      <c r="B45" s="626" t="n"/>
      <c r="C45" s="233" t="inlineStr">
        <is>
          <t>S</t>
        </is>
      </c>
      <c r="D45" s="1304" t="inlineStr">
        <is>
          <t>Sales Team*</t>
        </is>
      </c>
      <c r="E45" s="530" t="n">
        <v>0</v>
      </c>
      <c r="F45" s="530" t="n">
        <v>38500</v>
      </c>
      <c r="G45" s="530" t="n">
        <v>38500</v>
      </c>
      <c r="H45" s="69">
        <f>G45+(G41*H$9)</f>
        <v/>
      </c>
      <c r="I45" s="69">
        <f>H45+(H41*I$9)</f>
        <v/>
      </c>
      <c r="J45" s="69">
        <f>I45+(I41*J$9)</f>
        <v/>
      </c>
      <c r="K45" s="1307">
        <f>J45+(J41*K$9)</f>
        <v/>
      </c>
      <c r="L45" s="531" t="n">
        <v>0</v>
      </c>
      <c r="M45" s="531" t="n">
        <v>0</v>
      </c>
      <c r="N45" s="531" t="n">
        <v>0</v>
      </c>
      <c r="O45" s="531" t="n">
        <v>0</v>
      </c>
      <c r="P45" s="531" t="n">
        <v>0</v>
      </c>
      <c r="Q45" s="1302" t="n">
        <v>0</v>
      </c>
      <c r="R45" s="1302" t="n">
        <v>0</v>
      </c>
      <c r="S45" s="531" t="n">
        <v>0</v>
      </c>
      <c r="T45" s="531" t="n">
        <v>7</v>
      </c>
      <c r="U45" s="531" t="n">
        <v>11</v>
      </c>
      <c r="V45" s="1306" t="n">
        <v>16</v>
      </c>
      <c r="W45" s="1306" t="n">
        <v>25</v>
      </c>
      <c r="X45" s="531" t="n">
        <v>45</v>
      </c>
      <c r="Y45" s="531" t="n">
        <v>45</v>
      </c>
      <c r="Z45" s="531" t="n">
        <v>45</v>
      </c>
      <c r="AA45" s="531" t="n">
        <v>50</v>
      </c>
      <c r="AB45" s="531" t="n">
        <v>50</v>
      </c>
      <c r="AC45" s="1317" t="n">
        <v>50</v>
      </c>
      <c r="AD45" s="531" t="n">
        <v>55</v>
      </c>
      <c r="AE45" s="531" t="n">
        <v>55</v>
      </c>
      <c r="AF45" s="1317" t="n">
        <v>55</v>
      </c>
      <c r="AG45" s="531" t="n">
        <v>65</v>
      </c>
      <c r="AH45" s="1306" t="n">
        <v>65</v>
      </c>
      <c r="AI45" s="1306" t="n">
        <v>65</v>
      </c>
      <c r="AJ45" s="533" t="n">
        <v>125</v>
      </c>
      <c r="AK45" s="533" t="n">
        <v>125</v>
      </c>
      <c r="AL45" s="231" t="n">
        <v>125</v>
      </c>
      <c r="AM45" s="532" t="n">
        <v>200</v>
      </c>
      <c r="AN45" s="533" t="n">
        <v>200</v>
      </c>
      <c r="AO45" s="533" t="n">
        <v>200</v>
      </c>
      <c r="AP45" s="532" t="n">
        <v>250</v>
      </c>
      <c r="AQ45" s="533" t="n">
        <v>250</v>
      </c>
      <c r="AR45" s="533" t="n">
        <v>250</v>
      </c>
      <c r="AS45" s="533" t="n">
        <v>250</v>
      </c>
      <c r="AT45" s="1308" t="n">
        <v>250</v>
      </c>
      <c r="AU45" s="1308" t="n">
        <v>250</v>
      </c>
      <c r="AV45" s="532" t="n">
        <v>350</v>
      </c>
      <c r="AW45" s="533" t="n">
        <v>350</v>
      </c>
      <c r="AX45" s="533" t="n">
        <v>350</v>
      </c>
      <c r="AY45" s="533" t="n">
        <v>350</v>
      </c>
      <c r="AZ45" s="231" t="n">
        <v>350</v>
      </c>
      <c r="BA45" s="231" t="n">
        <v>350</v>
      </c>
      <c r="BB45" s="533" t="n">
        <v>500</v>
      </c>
      <c r="BC45" s="533" t="n">
        <v>500</v>
      </c>
      <c r="BD45" s="533" t="n">
        <v>500</v>
      </c>
      <c r="BE45" s="533" t="n">
        <v>500</v>
      </c>
      <c r="BF45" s="1308" t="n">
        <v>500</v>
      </c>
      <c r="BG45" s="1308" t="n">
        <v>500</v>
      </c>
      <c r="BH45" s="533" t="n">
        <v>650</v>
      </c>
      <c r="BI45" s="533">
        <f>BH45</f>
        <v/>
      </c>
      <c r="BJ45" s="533">
        <f>BI45</f>
        <v/>
      </c>
      <c r="BK45" s="533">
        <f>BJ45</f>
        <v/>
      </c>
      <c r="BL45" s="533">
        <f>BK45</f>
        <v/>
      </c>
      <c r="BM45" s="533">
        <f>BL45</f>
        <v/>
      </c>
      <c r="BN45" s="533" t="n">
        <v>825</v>
      </c>
      <c r="BO45" s="533">
        <f>BN45</f>
        <v/>
      </c>
      <c r="BP45" s="533">
        <f>BO45</f>
        <v/>
      </c>
      <c r="BQ45" s="533">
        <f>BP45</f>
        <v/>
      </c>
      <c r="BR45" s="533">
        <f>BQ45</f>
        <v/>
      </c>
      <c r="BS45" s="230">
        <f>BR45</f>
        <v/>
      </c>
      <c r="BT45" s="533" t="n">
        <v>975</v>
      </c>
      <c r="BU45" s="533">
        <f>BT45</f>
        <v/>
      </c>
      <c r="BV45" s="533">
        <f>BU45</f>
        <v/>
      </c>
      <c r="BW45" s="533">
        <f>BV45</f>
        <v/>
      </c>
      <c r="BX45" s="533">
        <f>BW45</f>
        <v/>
      </c>
      <c r="BY45" s="533">
        <f>BX45</f>
        <v/>
      </c>
      <c r="BZ45" s="533" t="n">
        <v>1100</v>
      </c>
      <c r="CA45" s="533">
        <f>BZ45</f>
        <v/>
      </c>
      <c r="CB45" s="533">
        <f>CA45</f>
        <v/>
      </c>
      <c r="CC45" s="533">
        <f>CB45</f>
        <v/>
      </c>
      <c r="CD45" s="533">
        <f>CC45</f>
        <v/>
      </c>
      <c r="CE45" s="230">
        <f>CD45</f>
        <v/>
      </c>
    </row>
    <row r="46" ht="12.75" customHeight="1" s="1883">
      <c r="A46" s="1305" t="n"/>
      <c r="B46" s="626" t="n"/>
      <c r="C46" s="233" t="inlineStr">
        <is>
          <t>S</t>
        </is>
      </c>
      <c r="D46" s="55" t="inlineStr">
        <is>
          <t>Pure Marketing Group - Marketing Team**</t>
        </is>
      </c>
      <c r="E46" s="1310" t="n">
        <v>0</v>
      </c>
      <c r="F46" s="530">
        <f>4800*6</f>
        <v/>
      </c>
      <c r="G46" s="530">
        <f>4800*12</f>
        <v/>
      </c>
      <c r="H46" s="69">
        <f>G46+(G41*H$9)</f>
        <v/>
      </c>
      <c r="I46" s="69">
        <f>H46+(H41*I$9)</f>
        <v/>
      </c>
      <c r="J46" s="69">
        <f>I46+(I41*J$9)</f>
        <v/>
      </c>
      <c r="K46" s="1307">
        <f>J46+(J41*K$9)</f>
        <v/>
      </c>
      <c r="L46" s="531" t="n">
        <v>0</v>
      </c>
      <c r="M46" s="531" t="n">
        <v>0</v>
      </c>
      <c r="N46" s="531" t="n">
        <v>0</v>
      </c>
      <c r="O46" s="531" t="n">
        <v>0</v>
      </c>
      <c r="P46" s="531" t="n">
        <v>0</v>
      </c>
      <c r="Q46" s="1302" t="n">
        <v>0</v>
      </c>
      <c r="R46" s="1302" t="n">
        <v>1</v>
      </c>
      <c r="S46" s="531" t="n">
        <v>1</v>
      </c>
      <c r="T46" s="531" t="n">
        <v>1</v>
      </c>
      <c r="U46" s="531" t="n">
        <v>1</v>
      </c>
      <c r="V46" s="1306" t="n">
        <v>1</v>
      </c>
      <c r="W46" s="1306" t="n">
        <v>1</v>
      </c>
      <c r="X46" s="531" t="n">
        <v>11</v>
      </c>
      <c r="Y46" s="531" t="n">
        <v>11</v>
      </c>
      <c r="Z46" s="531" t="n">
        <v>11</v>
      </c>
      <c r="AA46" s="531" t="n">
        <v>16</v>
      </c>
      <c r="AB46" s="531" t="n">
        <v>16</v>
      </c>
      <c r="AC46" s="531" t="n">
        <v>16</v>
      </c>
      <c r="AD46" s="531" t="n">
        <v>20</v>
      </c>
      <c r="AE46" s="531" t="n">
        <v>20</v>
      </c>
      <c r="AF46" s="1317" t="n">
        <v>20</v>
      </c>
      <c r="AG46" s="1317" t="n">
        <v>25</v>
      </c>
      <c r="AH46" s="1318" t="n">
        <v>25</v>
      </c>
      <c r="AI46" s="1306" t="n">
        <v>25</v>
      </c>
      <c r="AJ46" s="533" t="n">
        <v>50</v>
      </c>
      <c r="AK46" s="533" t="n">
        <v>50</v>
      </c>
      <c r="AL46" s="533" t="n">
        <v>50</v>
      </c>
      <c r="AM46" s="533" t="n">
        <v>75</v>
      </c>
      <c r="AN46" s="533" t="n">
        <v>75</v>
      </c>
      <c r="AO46" s="231" t="n">
        <v>75</v>
      </c>
      <c r="AP46" s="532" t="n">
        <v>100</v>
      </c>
      <c r="AQ46" s="533" t="n">
        <v>100</v>
      </c>
      <c r="AR46" s="533" t="n">
        <v>100</v>
      </c>
      <c r="AS46" s="533" t="n">
        <v>150</v>
      </c>
      <c r="AT46" s="1308" t="n">
        <v>150</v>
      </c>
      <c r="AU46" s="1308" t="n">
        <v>150</v>
      </c>
      <c r="AV46" s="532" t="n">
        <v>200</v>
      </c>
      <c r="AW46" s="533" t="n">
        <v>200</v>
      </c>
      <c r="AX46" s="533" t="n">
        <v>200</v>
      </c>
      <c r="AY46" s="533" t="n">
        <v>250</v>
      </c>
      <c r="AZ46" s="231" t="n">
        <v>250</v>
      </c>
      <c r="BA46" s="231" t="n">
        <v>250</v>
      </c>
      <c r="BB46" s="533" t="n">
        <v>300</v>
      </c>
      <c r="BC46" s="533" t="n">
        <v>300</v>
      </c>
      <c r="BD46" s="533" t="n">
        <v>300</v>
      </c>
      <c r="BE46" s="533" t="n">
        <v>350</v>
      </c>
      <c r="BF46" s="1308" t="n">
        <v>350</v>
      </c>
      <c r="BG46" s="1308" t="n">
        <v>350</v>
      </c>
      <c r="BH46" s="533" t="n">
        <v>400</v>
      </c>
      <c r="BI46" s="533">
        <f>BH46</f>
        <v/>
      </c>
      <c r="BJ46" s="533">
        <f>BI46</f>
        <v/>
      </c>
      <c r="BK46" s="533">
        <f>BJ46</f>
        <v/>
      </c>
      <c r="BL46" s="533">
        <f>BK46</f>
        <v/>
      </c>
      <c r="BM46" s="533">
        <f>BL46</f>
        <v/>
      </c>
      <c r="BN46" s="533" t="n">
        <v>500</v>
      </c>
      <c r="BO46" s="533">
        <f>BN46</f>
        <v/>
      </c>
      <c r="BP46" s="533">
        <f>BO46</f>
        <v/>
      </c>
      <c r="BQ46" s="533">
        <f>BP46</f>
        <v/>
      </c>
      <c r="BR46" s="533">
        <f>BQ46</f>
        <v/>
      </c>
      <c r="BS46" s="230">
        <f>BR46</f>
        <v/>
      </c>
      <c r="BT46" s="533" t="n">
        <v>600</v>
      </c>
      <c r="BU46" s="533">
        <f>BT46</f>
        <v/>
      </c>
      <c r="BV46" s="533">
        <f>BU46</f>
        <v/>
      </c>
      <c r="BW46" s="533">
        <f>BV46</f>
        <v/>
      </c>
      <c r="BX46" s="533">
        <f>BW46</f>
        <v/>
      </c>
      <c r="BY46" s="533">
        <f>BX46</f>
        <v/>
      </c>
      <c r="BZ46" s="533" t="n">
        <v>700</v>
      </c>
      <c r="CA46" s="533">
        <f>BZ46</f>
        <v/>
      </c>
      <c r="CB46" s="533">
        <f>CA46</f>
        <v/>
      </c>
      <c r="CC46" s="533">
        <f>CB46</f>
        <v/>
      </c>
      <c r="CD46" s="533">
        <f>CC46</f>
        <v/>
      </c>
      <c r="CE46" s="230">
        <f>CD46</f>
        <v/>
      </c>
    </row>
    <row r="47" ht="12.75" customHeight="1" s="1883">
      <c r="A47" s="1305" t="n"/>
      <c r="B47" s="626" t="n"/>
      <c r="C47" s="233" t="inlineStr">
        <is>
          <t>S</t>
        </is>
      </c>
      <c r="D47" s="55" t="inlineStr">
        <is>
          <t>Marketing Team**</t>
        </is>
      </c>
      <c r="E47" s="1310" t="n">
        <v>0</v>
      </c>
      <c r="F47" s="530">
        <f>4800*6</f>
        <v/>
      </c>
      <c r="G47" s="530">
        <f>4800*12</f>
        <v/>
      </c>
      <c r="H47" s="69">
        <f>G47+(G42*H$9)</f>
        <v/>
      </c>
      <c r="I47" s="69">
        <f>H47+(H42*I$9)</f>
        <v/>
      </c>
      <c r="J47" s="69">
        <f>I47+(I42*J$9)</f>
        <v/>
      </c>
      <c r="K47" s="1307">
        <f>J47+(J42*K$9)</f>
        <v/>
      </c>
      <c r="L47" s="531" t="n">
        <v>0</v>
      </c>
      <c r="M47" s="531" t="n">
        <v>0</v>
      </c>
      <c r="N47" s="531" t="n">
        <v>0</v>
      </c>
      <c r="O47" s="531" t="n">
        <v>0</v>
      </c>
      <c r="P47" s="531" t="n">
        <v>0</v>
      </c>
      <c r="Q47" s="1302" t="n">
        <v>0</v>
      </c>
      <c r="R47" s="1302" t="n">
        <v>1</v>
      </c>
      <c r="S47" s="531" t="n">
        <v>1</v>
      </c>
      <c r="T47" s="531" t="n">
        <v>1</v>
      </c>
      <c r="U47" s="531" t="n">
        <v>1</v>
      </c>
      <c r="V47" s="1306" t="n">
        <v>1</v>
      </c>
      <c r="W47" s="1306" t="n">
        <v>1</v>
      </c>
      <c r="X47" s="531" t="n">
        <v>11</v>
      </c>
      <c r="Y47" s="531" t="n">
        <v>11</v>
      </c>
      <c r="Z47" s="531" t="n">
        <v>11</v>
      </c>
      <c r="AA47" s="531" t="n">
        <v>16</v>
      </c>
      <c r="AB47" s="531" t="n">
        <v>16</v>
      </c>
      <c r="AC47" s="531" t="n">
        <v>16</v>
      </c>
      <c r="AD47" s="531" t="n">
        <v>20</v>
      </c>
      <c r="AE47" s="531" t="n">
        <v>20</v>
      </c>
      <c r="AF47" s="1317" t="n">
        <v>20</v>
      </c>
      <c r="AG47" s="1317" t="n">
        <v>25</v>
      </c>
      <c r="AH47" s="1318" t="n">
        <v>25</v>
      </c>
      <c r="AI47" s="1306" t="n">
        <v>25</v>
      </c>
      <c r="AJ47" s="533" t="n">
        <v>50</v>
      </c>
      <c r="AK47" s="533" t="n">
        <v>50</v>
      </c>
      <c r="AL47" s="533" t="n">
        <v>50</v>
      </c>
      <c r="AM47" s="533" t="n">
        <v>75</v>
      </c>
      <c r="AN47" s="533" t="n">
        <v>75</v>
      </c>
      <c r="AO47" s="231" t="n">
        <v>75</v>
      </c>
      <c r="AP47" s="532" t="n">
        <v>100</v>
      </c>
      <c r="AQ47" s="533" t="n">
        <v>100</v>
      </c>
      <c r="AR47" s="533" t="n">
        <v>100</v>
      </c>
      <c r="AS47" s="533" t="n">
        <v>150</v>
      </c>
      <c r="AT47" s="1308" t="n">
        <v>150</v>
      </c>
      <c r="AU47" s="1308" t="n">
        <v>150</v>
      </c>
      <c r="AV47" s="532" t="n">
        <v>200</v>
      </c>
      <c r="AW47" s="533" t="n">
        <v>200</v>
      </c>
      <c r="AX47" s="533" t="n">
        <v>200</v>
      </c>
      <c r="AY47" s="533" t="n">
        <v>250</v>
      </c>
      <c r="AZ47" s="231" t="n">
        <v>250</v>
      </c>
      <c r="BA47" s="231" t="n">
        <v>250</v>
      </c>
      <c r="BB47" s="533" t="n">
        <v>300</v>
      </c>
      <c r="BC47" s="533" t="n">
        <v>300</v>
      </c>
      <c r="BD47" s="533" t="n">
        <v>300</v>
      </c>
      <c r="BE47" s="533" t="n">
        <v>350</v>
      </c>
      <c r="BF47" s="1308" t="n">
        <v>350</v>
      </c>
      <c r="BG47" s="1308" t="n">
        <v>350</v>
      </c>
      <c r="BH47" s="533" t="n">
        <v>400</v>
      </c>
      <c r="BI47" s="533">
        <f>BH47</f>
        <v/>
      </c>
      <c r="BJ47" s="533">
        <f>BI47</f>
        <v/>
      </c>
      <c r="BK47" s="533">
        <f>BJ47</f>
        <v/>
      </c>
      <c r="BL47" s="533">
        <f>BK47</f>
        <v/>
      </c>
      <c r="BM47" s="533">
        <f>BL47</f>
        <v/>
      </c>
      <c r="BN47" s="533" t="n">
        <v>500</v>
      </c>
      <c r="BO47" s="533">
        <f>BN47</f>
        <v/>
      </c>
      <c r="BP47" s="533">
        <f>BO47</f>
        <v/>
      </c>
      <c r="BQ47" s="533">
        <f>BP47</f>
        <v/>
      </c>
      <c r="BR47" s="533">
        <f>BQ47</f>
        <v/>
      </c>
      <c r="BS47" s="230">
        <f>BR47</f>
        <v/>
      </c>
      <c r="BT47" s="533" t="n">
        <v>600</v>
      </c>
      <c r="BU47" s="533">
        <f>BT47</f>
        <v/>
      </c>
      <c r="BV47" s="533">
        <f>BU47</f>
        <v/>
      </c>
      <c r="BW47" s="533">
        <f>BV47</f>
        <v/>
      </c>
      <c r="BX47" s="533">
        <f>BW47</f>
        <v/>
      </c>
      <c r="BY47" s="533">
        <f>BX47</f>
        <v/>
      </c>
      <c r="BZ47" s="533" t="n">
        <v>700</v>
      </c>
      <c r="CA47" s="533">
        <f>BZ47</f>
        <v/>
      </c>
      <c r="CB47" s="533">
        <f>CA47</f>
        <v/>
      </c>
      <c r="CC47" s="533">
        <f>CB47</f>
        <v/>
      </c>
      <c r="CD47" s="533">
        <f>CC47</f>
        <v/>
      </c>
      <c r="CE47" s="230">
        <f>CD47</f>
        <v/>
      </c>
    </row>
    <row r="48" ht="12.75" customHeight="1" s="1883">
      <c r="A48" s="1305" t="n"/>
      <c r="B48" s="626" t="n"/>
      <c r="C48" s="233" t="inlineStr">
        <is>
          <t>O</t>
        </is>
      </c>
      <c r="D48" s="55" t="inlineStr">
        <is>
          <t>Operations Team</t>
        </is>
      </c>
      <c r="E48" s="1310" t="n">
        <v>0</v>
      </c>
      <c r="F48" s="530" t="n">
        <v>65000</v>
      </c>
      <c r="G48" s="530" t="n">
        <v>75000</v>
      </c>
      <c r="H48" s="69">
        <f>G48+(G43*H$9)</f>
        <v/>
      </c>
      <c r="I48" s="69">
        <f>H48+(H43*I$9)</f>
        <v/>
      </c>
      <c r="J48" s="69">
        <f>I48+(I43*J$9)</f>
        <v/>
      </c>
      <c r="K48" s="1307">
        <f>J48+(J43*K$9)</f>
        <v/>
      </c>
      <c r="L48" s="531" t="n">
        <v>0</v>
      </c>
      <c r="M48" s="531" t="n">
        <v>0</v>
      </c>
      <c r="N48" s="531" t="n">
        <v>0</v>
      </c>
      <c r="O48" s="531" t="n">
        <v>0</v>
      </c>
      <c r="P48" s="531" t="n">
        <v>0</v>
      </c>
      <c r="Q48" s="1302" t="n">
        <v>0</v>
      </c>
      <c r="R48" s="1302" t="n">
        <v>0</v>
      </c>
      <c r="S48" s="531" t="n">
        <v>2</v>
      </c>
      <c r="T48" s="531" t="n">
        <v>2</v>
      </c>
      <c r="U48" s="531" t="n">
        <v>2</v>
      </c>
      <c r="V48" s="1306" t="n">
        <v>2</v>
      </c>
      <c r="W48" s="1306" t="n">
        <v>2</v>
      </c>
      <c r="X48" s="531" t="n">
        <v>5</v>
      </c>
      <c r="Y48" s="531" t="n">
        <v>5</v>
      </c>
      <c r="Z48" s="531" t="n">
        <v>5</v>
      </c>
      <c r="AA48" s="531" t="n">
        <v>7</v>
      </c>
      <c r="AB48" s="531" t="n">
        <v>7</v>
      </c>
      <c r="AC48" s="531" t="n">
        <v>7</v>
      </c>
      <c r="AD48" s="531" t="n">
        <v>11</v>
      </c>
      <c r="AE48" s="531" t="n">
        <v>11</v>
      </c>
      <c r="AF48" s="531" t="n">
        <v>11</v>
      </c>
      <c r="AG48" s="531" t="n">
        <v>16</v>
      </c>
      <c r="AH48" s="1306" t="n">
        <v>16</v>
      </c>
      <c r="AI48" s="1318" t="n">
        <v>16</v>
      </c>
      <c r="AJ48" s="533" t="n">
        <v>50</v>
      </c>
      <c r="AK48" s="533" t="n">
        <v>50</v>
      </c>
      <c r="AL48" s="533" t="n">
        <v>50</v>
      </c>
      <c r="AM48" s="533" t="n">
        <v>75</v>
      </c>
      <c r="AN48" s="533" t="n">
        <v>75</v>
      </c>
      <c r="AO48" s="231" t="n">
        <v>75</v>
      </c>
      <c r="AP48" s="532" t="n">
        <v>100</v>
      </c>
      <c r="AQ48" s="533" t="n">
        <v>100</v>
      </c>
      <c r="AR48" s="533" t="n">
        <v>100</v>
      </c>
      <c r="AS48" s="533" t="n">
        <v>150</v>
      </c>
      <c r="AT48" s="1308" t="n">
        <v>150</v>
      </c>
      <c r="AU48" s="1308" t="n">
        <v>150</v>
      </c>
      <c r="AV48" s="532" t="n">
        <v>200</v>
      </c>
      <c r="AW48" s="533" t="n">
        <v>200</v>
      </c>
      <c r="AX48" s="533" t="n">
        <v>200</v>
      </c>
      <c r="AY48" s="533" t="n">
        <v>250</v>
      </c>
      <c r="AZ48" s="231" t="n">
        <v>250</v>
      </c>
      <c r="BA48" s="231" t="n">
        <v>250</v>
      </c>
      <c r="BB48" s="533" t="n">
        <v>300</v>
      </c>
      <c r="BC48" s="533" t="n">
        <v>300</v>
      </c>
      <c r="BD48" s="533" t="n">
        <v>300</v>
      </c>
      <c r="BE48" s="533" t="n">
        <v>350</v>
      </c>
      <c r="BF48" s="1308" t="n">
        <v>350</v>
      </c>
      <c r="BG48" s="1308" t="n">
        <v>350</v>
      </c>
      <c r="BH48" s="533" t="n">
        <v>400</v>
      </c>
      <c r="BI48" s="533">
        <f>BH48</f>
        <v/>
      </c>
      <c r="BJ48" s="533">
        <f>BI48</f>
        <v/>
      </c>
      <c r="BK48" s="533">
        <f>BJ48</f>
        <v/>
      </c>
      <c r="BL48" s="533">
        <f>BK48</f>
        <v/>
      </c>
      <c r="BM48" s="533">
        <f>BL48</f>
        <v/>
      </c>
      <c r="BN48" s="533" t="n">
        <v>500</v>
      </c>
      <c r="BO48" s="533">
        <f>BN48</f>
        <v/>
      </c>
      <c r="BP48" s="533">
        <f>BO48</f>
        <v/>
      </c>
      <c r="BQ48" s="533">
        <f>BP48</f>
        <v/>
      </c>
      <c r="BR48" s="533">
        <f>BQ48</f>
        <v/>
      </c>
      <c r="BS48" s="230">
        <f>BR48</f>
        <v/>
      </c>
      <c r="BT48" s="533" t="n">
        <v>600</v>
      </c>
      <c r="BU48" s="533">
        <f>BT48</f>
        <v/>
      </c>
      <c r="BV48" s="533">
        <f>BU48</f>
        <v/>
      </c>
      <c r="BW48" s="533">
        <f>BV48</f>
        <v/>
      </c>
      <c r="BX48" s="533">
        <f>BW48</f>
        <v/>
      </c>
      <c r="BY48" s="533">
        <f>BX48</f>
        <v/>
      </c>
      <c r="BZ48" s="533" t="n">
        <v>700</v>
      </c>
      <c r="CA48" s="533">
        <f>BZ48</f>
        <v/>
      </c>
      <c r="CB48" s="533">
        <f>CA48</f>
        <v/>
      </c>
      <c r="CC48" s="533">
        <f>CB48</f>
        <v/>
      </c>
      <c r="CD48" s="533">
        <f>CC48</f>
        <v/>
      </c>
      <c r="CE48" s="230">
        <f>CD48</f>
        <v/>
      </c>
    </row>
    <row r="49" ht="12.75" customHeight="1" s="1883">
      <c r="A49" s="1305" t="n"/>
      <c r="B49" s="626" t="n"/>
      <c r="C49" s="233" t="inlineStr">
        <is>
          <t>O</t>
        </is>
      </c>
      <c r="D49" s="55" t="inlineStr">
        <is>
          <t xml:space="preserve">Finance Team </t>
        </is>
      </c>
      <c r="E49" s="1310" t="n">
        <v>0</v>
      </c>
      <c r="F49" s="530" t="n">
        <v>65000</v>
      </c>
      <c r="G49" s="530" t="n">
        <v>75000</v>
      </c>
      <c r="H49" s="69">
        <f>G49+(G45*H$9)</f>
        <v/>
      </c>
      <c r="I49" s="69">
        <f>H49+(H45*I$9)</f>
        <v/>
      </c>
      <c r="J49" s="69">
        <f>I49+(I45*J$9)</f>
        <v/>
      </c>
      <c r="K49" s="1307">
        <f>J49+(J45*K$9)</f>
        <v/>
      </c>
      <c r="L49" s="531" t="n">
        <v>0</v>
      </c>
      <c r="M49" s="531" t="n">
        <v>0</v>
      </c>
      <c r="N49" s="531" t="n">
        <v>0</v>
      </c>
      <c r="O49" s="531" t="n">
        <v>0</v>
      </c>
      <c r="P49" s="531" t="n">
        <v>0</v>
      </c>
      <c r="Q49" s="1302" t="n">
        <v>0</v>
      </c>
      <c r="R49" s="1302" t="n">
        <v>0</v>
      </c>
      <c r="S49" s="531" t="n">
        <v>2</v>
      </c>
      <c r="T49" s="531" t="n">
        <v>2</v>
      </c>
      <c r="U49" s="531" t="n">
        <v>2</v>
      </c>
      <c r="V49" s="1306" t="n">
        <v>2</v>
      </c>
      <c r="W49" s="1306" t="n">
        <v>2</v>
      </c>
      <c r="X49" s="531" t="n">
        <v>7</v>
      </c>
      <c r="Y49" s="531" t="n">
        <v>7</v>
      </c>
      <c r="Z49" s="531" t="n">
        <v>7</v>
      </c>
      <c r="AA49" s="531" t="n">
        <v>9</v>
      </c>
      <c r="AB49" s="531" t="n">
        <v>9</v>
      </c>
      <c r="AC49" s="531" t="n">
        <v>9</v>
      </c>
      <c r="AD49" s="531" t="n">
        <v>11</v>
      </c>
      <c r="AE49" s="531" t="n">
        <v>11</v>
      </c>
      <c r="AF49" s="531" t="n">
        <v>11</v>
      </c>
      <c r="AG49" s="531" t="n">
        <v>13</v>
      </c>
      <c r="AH49" s="1306" t="n">
        <v>13</v>
      </c>
      <c r="AI49" s="1306" t="n">
        <v>13</v>
      </c>
      <c r="AJ49" s="532" t="n">
        <v>25</v>
      </c>
      <c r="AK49" s="533" t="n">
        <v>25</v>
      </c>
      <c r="AL49" s="533" t="n">
        <v>25</v>
      </c>
      <c r="AM49" s="533" t="n">
        <v>25</v>
      </c>
      <c r="AN49" s="533" t="n">
        <v>25</v>
      </c>
      <c r="AO49" s="533" t="n">
        <v>25</v>
      </c>
      <c r="AP49" s="533" t="n">
        <v>50</v>
      </c>
      <c r="AQ49" s="533" t="n">
        <v>50</v>
      </c>
      <c r="AR49" s="533" t="n">
        <v>50</v>
      </c>
      <c r="AS49" s="533" t="n">
        <v>50</v>
      </c>
      <c r="AT49" s="1308" t="n">
        <v>50</v>
      </c>
      <c r="AU49" s="1308" t="n">
        <v>50</v>
      </c>
      <c r="AV49" s="533" t="n">
        <v>75</v>
      </c>
      <c r="AW49" s="533" t="n">
        <v>75</v>
      </c>
      <c r="AX49" s="533" t="n">
        <v>75</v>
      </c>
      <c r="AY49" s="533" t="n">
        <v>75</v>
      </c>
      <c r="AZ49" s="533" t="n">
        <v>75</v>
      </c>
      <c r="BA49" s="231" t="n">
        <v>75</v>
      </c>
      <c r="BB49" s="533" t="n">
        <v>100</v>
      </c>
      <c r="BC49" s="533" t="n">
        <v>100</v>
      </c>
      <c r="BD49" s="533" t="n">
        <v>100</v>
      </c>
      <c r="BE49" s="533" t="n">
        <v>100</v>
      </c>
      <c r="BF49" s="1308" t="n">
        <v>100</v>
      </c>
      <c r="BG49" s="1308" t="n">
        <v>100</v>
      </c>
      <c r="BH49" s="533" t="n">
        <v>150</v>
      </c>
      <c r="BI49" s="533">
        <f>BH49</f>
        <v/>
      </c>
      <c r="BJ49" s="533">
        <f>BI49</f>
        <v/>
      </c>
      <c r="BK49" s="533">
        <f>BJ49</f>
        <v/>
      </c>
      <c r="BL49" s="533">
        <f>BK49</f>
        <v/>
      </c>
      <c r="BM49" s="533">
        <f>BL49</f>
        <v/>
      </c>
      <c r="BN49" s="533" t="n">
        <v>200</v>
      </c>
      <c r="BO49" s="533">
        <f>BN49</f>
        <v/>
      </c>
      <c r="BP49" s="533">
        <f>BO49</f>
        <v/>
      </c>
      <c r="BQ49" s="533">
        <f>BP49</f>
        <v/>
      </c>
      <c r="BR49" s="533">
        <f>BQ49</f>
        <v/>
      </c>
      <c r="BS49" s="230">
        <f>BR49</f>
        <v/>
      </c>
      <c r="BT49" s="533" t="n">
        <v>250</v>
      </c>
      <c r="BU49" s="533">
        <f>BT49</f>
        <v/>
      </c>
      <c r="BV49" s="533">
        <f>BU49</f>
        <v/>
      </c>
      <c r="BW49" s="533">
        <f>BV49</f>
        <v/>
      </c>
      <c r="BX49" s="533">
        <f>BW49</f>
        <v/>
      </c>
      <c r="BY49" s="533">
        <f>BX49</f>
        <v/>
      </c>
      <c r="BZ49" s="533" t="n">
        <v>300</v>
      </c>
      <c r="CA49" s="533">
        <f>BZ49</f>
        <v/>
      </c>
      <c r="CB49" s="533">
        <f>CA49</f>
        <v/>
      </c>
      <c r="CC49" s="533">
        <f>CB49</f>
        <v/>
      </c>
      <c r="CD49" s="533">
        <f>CC49</f>
        <v/>
      </c>
      <c r="CE49" s="230">
        <f>CD49</f>
        <v/>
      </c>
    </row>
    <row r="50" ht="12.75" customHeight="1" s="1883">
      <c r="A50" s="1305" t="n"/>
      <c r="B50" s="626" t="n"/>
      <c r="C50" s="233" t="inlineStr">
        <is>
          <t>O</t>
        </is>
      </c>
      <c r="D50" s="55" t="inlineStr">
        <is>
          <t>Product Development Team + Mechanical Engineer</t>
        </is>
      </c>
      <c r="E50" s="1310" t="n">
        <v>0</v>
      </c>
      <c r="F50" s="530" t="n">
        <v>75000</v>
      </c>
      <c r="G50" s="530" t="n">
        <v>85000</v>
      </c>
      <c r="H50" s="69">
        <f>G50+(G47*H$9)</f>
        <v/>
      </c>
      <c r="I50" s="69">
        <f>H50+(H47*I$9)</f>
        <v/>
      </c>
      <c r="J50" s="69">
        <f>I50+(I47*J$9)</f>
        <v/>
      </c>
      <c r="K50" s="1307">
        <f>J50+(J47*K$9)</f>
        <v/>
      </c>
      <c r="L50" s="531" t="n">
        <v>0</v>
      </c>
      <c r="M50" s="531" t="n">
        <v>0</v>
      </c>
      <c r="N50" s="531" t="n">
        <v>0</v>
      </c>
      <c r="O50" s="531" t="n">
        <v>0</v>
      </c>
      <c r="P50" s="531" t="n">
        <v>0</v>
      </c>
      <c r="Q50" s="1302" t="n">
        <v>0</v>
      </c>
      <c r="R50" s="1302" t="n">
        <v>0</v>
      </c>
      <c r="S50" s="531" t="n">
        <v>2</v>
      </c>
      <c r="T50" s="531" t="n">
        <v>4</v>
      </c>
      <c r="U50" s="531" t="n">
        <v>4</v>
      </c>
      <c r="V50" s="1306" t="n">
        <v>4</v>
      </c>
      <c r="W50" s="1306" t="n">
        <v>4</v>
      </c>
      <c r="X50" s="531" t="n">
        <v>5</v>
      </c>
      <c r="Y50" s="531" t="n">
        <v>5</v>
      </c>
      <c r="Z50" s="531" t="n">
        <v>5</v>
      </c>
      <c r="AA50" s="531" t="n">
        <v>7</v>
      </c>
      <c r="AB50" s="531" t="n">
        <v>7</v>
      </c>
      <c r="AC50" s="531" t="n">
        <v>7</v>
      </c>
      <c r="AD50" s="531" t="n">
        <v>11</v>
      </c>
      <c r="AE50" s="531" t="n">
        <v>11</v>
      </c>
      <c r="AF50" s="531" t="n">
        <v>11</v>
      </c>
      <c r="AG50" s="531" t="n">
        <v>16</v>
      </c>
      <c r="AH50" s="1306" t="n">
        <v>16</v>
      </c>
      <c r="AI50" s="1318" t="n">
        <v>16</v>
      </c>
      <c r="AJ50" s="533" t="n">
        <v>50</v>
      </c>
      <c r="AK50" s="533" t="n">
        <v>50</v>
      </c>
      <c r="AL50" s="533" t="n">
        <v>50</v>
      </c>
      <c r="AM50" s="533" t="n">
        <v>75</v>
      </c>
      <c r="AN50" s="533" t="n">
        <v>75</v>
      </c>
      <c r="AO50" s="231" t="n">
        <v>75</v>
      </c>
      <c r="AP50" s="532" t="n">
        <v>100</v>
      </c>
      <c r="AQ50" s="533" t="n">
        <v>100</v>
      </c>
      <c r="AR50" s="533" t="n">
        <v>100</v>
      </c>
      <c r="AS50" s="533" t="n">
        <v>150</v>
      </c>
      <c r="AT50" s="1308" t="n">
        <v>150</v>
      </c>
      <c r="AU50" s="1308" t="n">
        <v>150</v>
      </c>
      <c r="AV50" s="532" t="n">
        <v>200</v>
      </c>
      <c r="AW50" s="533" t="n">
        <v>200</v>
      </c>
      <c r="AX50" s="533" t="n">
        <v>200</v>
      </c>
      <c r="AY50" s="533" t="n">
        <v>250</v>
      </c>
      <c r="AZ50" s="231" t="n">
        <v>250</v>
      </c>
      <c r="BA50" s="231" t="n">
        <v>250</v>
      </c>
      <c r="BB50" s="533" t="n">
        <v>300</v>
      </c>
      <c r="BC50" s="533" t="n">
        <v>300</v>
      </c>
      <c r="BD50" s="533" t="n">
        <v>300</v>
      </c>
      <c r="BE50" s="533" t="n">
        <v>350</v>
      </c>
      <c r="BF50" s="1308" t="n">
        <v>350</v>
      </c>
      <c r="BG50" s="1308" t="n">
        <v>350</v>
      </c>
      <c r="BH50" s="533" t="n">
        <v>400</v>
      </c>
      <c r="BI50" s="533">
        <f>BH50</f>
        <v/>
      </c>
      <c r="BJ50" s="533">
        <f>BI50</f>
        <v/>
      </c>
      <c r="BK50" s="533">
        <f>BJ50</f>
        <v/>
      </c>
      <c r="BL50" s="533">
        <f>BK50</f>
        <v/>
      </c>
      <c r="BM50" s="533">
        <f>BL50</f>
        <v/>
      </c>
      <c r="BN50" s="533" t="n">
        <v>500</v>
      </c>
      <c r="BO50" s="533">
        <f>BN50</f>
        <v/>
      </c>
      <c r="BP50" s="533">
        <f>BO50</f>
        <v/>
      </c>
      <c r="BQ50" s="533">
        <f>BP50</f>
        <v/>
      </c>
      <c r="BR50" s="533">
        <f>BQ50</f>
        <v/>
      </c>
      <c r="BS50" s="230">
        <f>BR50</f>
        <v/>
      </c>
      <c r="BT50" s="533" t="n">
        <v>600</v>
      </c>
      <c r="BU50" s="533">
        <f>BT50</f>
        <v/>
      </c>
      <c r="BV50" s="533">
        <f>BU50</f>
        <v/>
      </c>
      <c r="BW50" s="533">
        <f>BV50</f>
        <v/>
      </c>
      <c r="BX50" s="533">
        <f>BW50</f>
        <v/>
      </c>
      <c r="BY50" s="533">
        <f>BX50</f>
        <v/>
      </c>
      <c r="BZ50" s="533" t="n">
        <v>700</v>
      </c>
      <c r="CA50" s="533">
        <f>BZ50</f>
        <v/>
      </c>
      <c r="CB50" s="533">
        <f>CA50</f>
        <v/>
      </c>
      <c r="CC50" s="533">
        <f>CB50</f>
        <v/>
      </c>
      <c r="CD50" s="533">
        <f>CC50</f>
        <v/>
      </c>
      <c r="CE50" s="230">
        <f>CD50</f>
        <v/>
      </c>
    </row>
    <row r="51" ht="12.75" customHeight="1" s="1883">
      <c r="A51" s="1305" t="n"/>
      <c r="B51" s="626" t="n"/>
      <c r="C51" s="233" t="inlineStr">
        <is>
          <t>O</t>
        </is>
      </c>
      <c r="D51" s="1304" t="inlineStr">
        <is>
          <t>Software Development Team + Data Scientists/Engineers</t>
        </is>
      </c>
      <c r="E51" s="530" t="n">
        <v>0</v>
      </c>
      <c r="F51" s="530" t="n">
        <v>75000</v>
      </c>
      <c r="G51" s="530" t="n">
        <v>85000</v>
      </c>
      <c r="H51" s="69">
        <f>G51+(G48*H$9)</f>
        <v/>
      </c>
      <c r="I51" s="69">
        <f>H51+(H48*I$9)</f>
        <v/>
      </c>
      <c r="J51" s="69">
        <f>I51+(I48*J$9)</f>
        <v/>
      </c>
      <c r="K51" s="69">
        <f>J51+(J48*K$9)</f>
        <v/>
      </c>
      <c r="L51" s="531" t="n">
        <v>0</v>
      </c>
      <c r="M51" s="531" t="n">
        <v>0</v>
      </c>
      <c r="N51" s="531" t="n">
        <v>0</v>
      </c>
      <c r="O51" s="531" t="n">
        <v>0</v>
      </c>
      <c r="P51" s="531" t="n">
        <v>0</v>
      </c>
      <c r="Q51" s="1302" t="n">
        <v>0</v>
      </c>
      <c r="R51" s="1302" t="n">
        <v>0</v>
      </c>
      <c r="S51" s="531" t="n">
        <v>1</v>
      </c>
      <c r="T51" s="531" t="n">
        <v>3</v>
      </c>
      <c r="U51" s="531" t="n">
        <v>3</v>
      </c>
      <c r="V51" s="1306" t="n">
        <v>3</v>
      </c>
      <c r="W51" s="1306" t="n">
        <v>3</v>
      </c>
      <c r="X51" s="531" t="n">
        <v>5</v>
      </c>
      <c r="Y51" s="531" t="n">
        <v>5</v>
      </c>
      <c r="Z51" s="531" t="n">
        <v>5</v>
      </c>
      <c r="AA51" s="531" t="n">
        <v>7</v>
      </c>
      <c r="AB51" s="531" t="n">
        <v>7</v>
      </c>
      <c r="AC51" s="531" t="n">
        <v>7</v>
      </c>
      <c r="AD51" s="531" t="n">
        <v>11</v>
      </c>
      <c r="AE51" s="531" t="n">
        <v>11</v>
      </c>
      <c r="AF51" s="531" t="n">
        <v>11</v>
      </c>
      <c r="AG51" s="531" t="n">
        <v>16</v>
      </c>
      <c r="AH51" s="1306" t="n">
        <v>16</v>
      </c>
      <c r="AI51" s="1318" t="n">
        <v>16</v>
      </c>
      <c r="AJ51" s="533" t="n">
        <v>50</v>
      </c>
      <c r="AK51" s="533" t="n">
        <v>50</v>
      </c>
      <c r="AL51" s="533" t="n">
        <v>50</v>
      </c>
      <c r="AM51" s="533" t="n">
        <v>75</v>
      </c>
      <c r="AN51" s="533" t="n">
        <v>75</v>
      </c>
      <c r="AO51" s="231" t="n">
        <v>75</v>
      </c>
      <c r="AP51" s="532" t="n">
        <v>100</v>
      </c>
      <c r="AQ51" s="533" t="n">
        <v>100</v>
      </c>
      <c r="AR51" s="533" t="n">
        <v>100</v>
      </c>
      <c r="AS51" s="533" t="n">
        <v>150</v>
      </c>
      <c r="AT51" s="1308" t="n">
        <v>150</v>
      </c>
      <c r="AU51" s="1308" t="n">
        <v>150</v>
      </c>
      <c r="AV51" s="532" t="n">
        <v>200</v>
      </c>
      <c r="AW51" s="533" t="n">
        <v>200</v>
      </c>
      <c r="AX51" s="533" t="n">
        <v>200</v>
      </c>
      <c r="AY51" s="533" t="n">
        <v>250</v>
      </c>
      <c r="AZ51" s="231" t="n">
        <v>250</v>
      </c>
      <c r="BA51" s="231" t="n">
        <v>250</v>
      </c>
      <c r="BB51" s="533" t="n">
        <v>300</v>
      </c>
      <c r="BC51" s="533" t="n">
        <v>300</v>
      </c>
      <c r="BD51" s="533" t="n">
        <v>300</v>
      </c>
      <c r="BE51" s="533" t="n">
        <v>350</v>
      </c>
      <c r="BF51" s="1308" t="n">
        <v>350</v>
      </c>
      <c r="BG51" s="1308" t="n">
        <v>350</v>
      </c>
      <c r="BH51" s="533" t="n">
        <v>400</v>
      </c>
      <c r="BI51" s="533">
        <f>BH51</f>
        <v/>
      </c>
      <c r="BJ51" s="533">
        <f>BI51</f>
        <v/>
      </c>
      <c r="BK51" s="533">
        <f>BJ51</f>
        <v/>
      </c>
      <c r="BL51" s="533">
        <f>BK51</f>
        <v/>
      </c>
      <c r="BM51" s="533">
        <f>BL51</f>
        <v/>
      </c>
      <c r="BN51" s="533" t="n">
        <v>500</v>
      </c>
      <c r="BO51" s="533">
        <f>BN51</f>
        <v/>
      </c>
      <c r="BP51" s="533">
        <f>BO51</f>
        <v/>
      </c>
      <c r="BQ51" s="533">
        <f>BP51</f>
        <v/>
      </c>
      <c r="BR51" s="533">
        <f>BQ51</f>
        <v/>
      </c>
      <c r="BS51" s="230">
        <f>BR51</f>
        <v/>
      </c>
      <c r="BT51" s="533" t="n">
        <v>600</v>
      </c>
      <c r="BU51" s="533">
        <f>BT51</f>
        <v/>
      </c>
      <c r="BV51" s="533">
        <f>BU51</f>
        <v/>
      </c>
      <c r="BW51" s="533">
        <f>BV51</f>
        <v/>
      </c>
      <c r="BX51" s="533">
        <f>BW51</f>
        <v/>
      </c>
      <c r="BY51" s="533">
        <f>BX51</f>
        <v/>
      </c>
      <c r="BZ51" s="533" t="n">
        <v>700</v>
      </c>
      <c r="CA51" s="533">
        <f>BZ51</f>
        <v/>
      </c>
      <c r="CB51" s="533">
        <f>CA51</f>
        <v/>
      </c>
      <c r="CC51" s="533">
        <f>CB51</f>
        <v/>
      </c>
      <c r="CD51" s="533">
        <f>CC51</f>
        <v/>
      </c>
      <c r="CE51" s="230">
        <f>CD51</f>
        <v/>
      </c>
    </row>
    <row r="52" ht="12.75" customHeight="1" s="1883">
      <c r="A52" s="1305" t="n"/>
      <c r="B52" s="626" t="n"/>
      <c r="C52" s="233" t="inlineStr">
        <is>
          <t>O</t>
        </is>
      </c>
      <c r="D52" s="55" t="inlineStr">
        <is>
          <t>Economist + Crypto Tokenomics</t>
        </is>
      </c>
      <c r="E52" s="530" t="n">
        <v>0</v>
      </c>
      <c r="F52" s="530" t="n">
        <v>65000</v>
      </c>
      <c r="G52" s="530" t="n">
        <v>75000</v>
      </c>
      <c r="H52" s="69">
        <f>G52+(G49*H$9)</f>
        <v/>
      </c>
      <c r="I52" s="69">
        <f>H52+(H49*I$9)</f>
        <v/>
      </c>
      <c r="J52" s="69">
        <f>I52+(I49*J$9)</f>
        <v/>
      </c>
      <c r="K52" s="1307">
        <f>J52+(J49*K$9)</f>
        <v/>
      </c>
      <c r="L52" s="531" t="n">
        <v>0</v>
      </c>
      <c r="M52" s="531" t="n">
        <v>0</v>
      </c>
      <c r="N52" s="531" t="n">
        <v>0</v>
      </c>
      <c r="O52" s="531" t="n">
        <v>0</v>
      </c>
      <c r="P52" s="531" t="n">
        <v>0</v>
      </c>
      <c r="Q52" s="1302" t="n">
        <v>0</v>
      </c>
      <c r="R52" s="1302" t="n">
        <v>0</v>
      </c>
      <c r="S52" s="531" t="n">
        <v>1</v>
      </c>
      <c r="T52" s="531" t="n">
        <v>1</v>
      </c>
      <c r="U52" s="531" t="n">
        <v>1</v>
      </c>
      <c r="V52" s="1306" t="n">
        <v>1</v>
      </c>
      <c r="W52" s="1306" t="n">
        <v>1</v>
      </c>
      <c r="X52" s="531" t="n">
        <v>1</v>
      </c>
      <c r="Y52" s="531" t="n">
        <v>1</v>
      </c>
      <c r="Z52" s="531" t="n">
        <v>1</v>
      </c>
      <c r="AA52" s="531" t="n">
        <v>1</v>
      </c>
      <c r="AB52" s="531" t="n">
        <v>1</v>
      </c>
      <c r="AC52" s="531" t="n">
        <v>1</v>
      </c>
      <c r="AD52" s="531" t="n">
        <v>2</v>
      </c>
      <c r="AE52" s="531" t="n">
        <v>2</v>
      </c>
      <c r="AF52" s="531" t="n">
        <v>2</v>
      </c>
      <c r="AG52" s="531" t="n">
        <v>2</v>
      </c>
      <c r="AH52" s="1306" t="n">
        <v>2</v>
      </c>
      <c r="AI52" s="1318" t="n">
        <v>2</v>
      </c>
      <c r="AJ52" s="533" t="n">
        <v>3</v>
      </c>
      <c r="AK52" s="533" t="n">
        <v>3</v>
      </c>
      <c r="AL52" s="231" t="n">
        <v>3</v>
      </c>
      <c r="AM52" s="532" t="n">
        <v>3</v>
      </c>
      <c r="AN52" s="533" t="n">
        <v>3</v>
      </c>
      <c r="AO52" s="231" t="n">
        <v>3</v>
      </c>
      <c r="AP52" s="532" t="n">
        <v>3</v>
      </c>
      <c r="AQ52" s="533" t="n">
        <v>3</v>
      </c>
      <c r="AR52" s="533" t="n">
        <v>3</v>
      </c>
      <c r="AS52" s="533" t="n">
        <v>3</v>
      </c>
      <c r="AT52" s="1308" t="n">
        <v>3</v>
      </c>
      <c r="AU52" s="1308" t="n">
        <v>3</v>
      </c>
      <c r="AV52" s="532" t="n">
        <v>4</v>
      </c>
      <c r="AW52" s="533" t="n">
        <v>4</v>
      </c>
      <c r="AX52" s="533" t="n">
        <v>4</v>
      </c>
      <c r="AY52" s="533" t="n">
        <v>4</v>
      </c>
      <c r="AZ52" s="231" t="n">
        <v>4</v>
      </c>
      <c r="BA52" s="231" t="n">
        <v>4</v>
      </c>
      <c r="BB52" s="533" t="n">
        <v>4</v>
      </c>
      <c r="BC52" s="533" t="n">
        <v>4</v>
      </c>
      <c r="BD52" s="533" t="n">
        <v>4</v>
      </c>
      <c r="BE52" s="533" t="n">
        <v>4</v>
      </c>
      <c r="BF52" s="1308" t="n">
        <v>4</v>
      </c>
      <c r="BG52" s="1308" t="n">
        <v>4</v>
      </c>
      <c r="BH52" s="533" t="n">
        <v>5</v>
      </c>
      <c r="BI52" s="533">
        <f>BH52</f>
        <v/>
      </c>
      <c r="BJ52" s="533">
        <f>BI52</f>
        <v/>
      </c>
      <c r="BK52" s="533">
        <f>BJ52</f>
        <v/>
      </c>
      <c r="BL52" s="533">
        <f>BK52</f>
        <v/>
      </c>
      <c r="BM52" s="533">
        <f>BL52</f>
        <v/>
      </c>
      <c r="BN52" s="533" t="n">
        <v>7</v>
      </c>
      <c r="BO52" s="533">
        <f>BN52</f>
        <v/>
      </c>
      <c r="BP52" s="533">
        <f>BO52</f>
        <v/>
      </c>
      <c r="BQ52" s="533">
        <f>BP52</f>
        <v/>
      </c>
      <c r="BR52" s="533">
        <f>BQ52</f>
        <v/>
      </c>
      <c r="BS52" s="230">
        <f>BR52</f>
        <v/>
      </c>
      <c r="BT52" s="533" t="n">
        <v>10</v>
      </c>
      <c r="BU52" s="533">
        <f>BT52</f>
        <v/>
      </c>
      <c r="BV52" s="533">
        <f>BU52</f>
        <v/>
      </c>
      <c r="BW52" s="533">
        <f>BV52</f>
        <v/>
      </c>
      <c r="BX52" s="533">
        <f>BW52</f>
        <v/>
      </c>
      <c r="BY52" s="533">
        <f>BX52</f>
        <v/>
      </c>
      <c r="BZ52" s="533" t="n">
        <v>16</v>
      </c>
      <c r="CA52" s="533">
        <f>BZ52</f>
        <v/>
      </c>
      <c r="CB52" s="533">
        <f>CA52</f>
        <v/>
      </c>
      <c r="CC52" s="533">
        <f>CB52</f>
        <v/>
      </c>
      <c r="CD52" s="533">
        <f>CC52</f>
        <v/>
      </c>
      <c r="CE52" s="230">
        <f>CD52</f>
        <v/>
      </c>
    </row>
    <row r="53" ht="12.75" customHeight="1" s="1883">
      <c r="A53" s="1305" t="n"/>
      <c r="B53" s="626" t="n"/>
      <c r="C53" s="233" t="inlineStr">
        <is>
          <t>O</t>
        </is>
      </c>
      <c r="D53" s="55" t="inlineStr">
        <is>
          <t>IT &amp; Tech Team</t>
        </is>
      </c>
      <c r="E53" s="1310" t="n">
        <v>0</v>
      </c>
      <c r="F53" s="530" t="n">
        <v>60000</v>
      </c>
      <c r="G53" s="530" t="n">
        <v>70000</v>
      </c>
      <c r="H53" s="69">
        <f>G53+(G49*H$9)</f>
        <v/>
      </c>
      <c r="I53" s="69">
        <f>H53+(H49*I$9)</f>
        <v/>
      </c>
      <c r="J53" s="69">
        <f>I53+(I49*J$9)</f>
        <v/>
      </c>
      <c r="K53" s="1307">
        <f>J53+(J49*K$9)</f>
        <v/>
      </c>
      <c r="L53" s="531" t="n">
        <v>0</v>
      </c>
      <c r="M53" s="531" t="n">
        <v>0</v>
      </c>
      <c r="N53" s="531" t="n">
        <v>0</v>
      </c>
      <c r="O53" s="531" t="n">
        <v>0</v>
      </c>
      <c r="P53" s="531" t="n">
        <v>0</v>
      </c>
      <c r="Q53" s="1302" t="n">
        <v>0</v>
      </c>
      <c r="R53" s="1302" t="n">
        <v>0</v>
      </c>
      <c r="S53" s="531" t="n">
        <v>2</v>
      </c>
      <c r="T53" s="531" t="n">
        <v>2</v>
      </c>
      <c r="U53" s="531" t="n">
        <v>2</v>
      </c>
      <c r="V53" s="1306" t="n">
        <v>2</v>
      </c>
      <c r="W53" s="1306" t="n">
        <v>2</v>
      </c>
      <c r="X53" s="229" t="n">
        <v>3</v>
      </c>
      <c r="Y53" s="531" t="n">
        <v>3</v>
      </c>
      <c r="Z53" s="531" t="n">
        <v>3</v>
      </c>
      <c r="AA53" s="531" t="n">
        <v>5</v>
      </c>
      <c r="AB53" s="531" t="n">
        <v>5</v>
      </c>
      <c r="AC53" s="531" t="n">
        <v>5</v>
      </c>
      <c r="AD53" s="531" t="n">
        <v>7</v>
      </c>
      <c r="AE53" s="531" t="n">
        <v>7</v>
      </c>
      <c r="AF53" s="531" t="n">
        <v>7</v>
      </c>
      <c r="AG53" s="531" t="n">
        <v>9</v>
      </c>
      <c r="AH53" s="1306" t="n">
        <v>9</v>
      </c>
      <c r="AI53" s="1306" t="n">
        <v>9</v>
      </c>
      <c r="AJ53" s="532" t="n">
        <v>35</v>
      </c>
      <c r="AK53" s="533" t="n">
        <v>35</v>
      </c>
      <c r="AL53" s="533" t="n">
        <v>35</v>
      </c>
      <c r="AM53" s="533" t="n">
        <v>40</v>
      </c>
      <c r="AN53" s="533" t="n">
        <v>40</v>
      </c>
      <c r="AO53" s="533" t="n">
        <v>40</v>
      </c>
      <c r="AP53" s="533" t="n">
        <v>50</v>
      </c>
      <c r="AQ53" s="533" t="n">
        <v>50</v>
      </c>
      <c r="AR53" s="533" t="n">
        <v>50</v>
      </c>
      <c r="AS53" s="533" t="n">
        <v>75</v>
      </c>
      <c r="AT53" s="1308" t="n">
        <v>75</v>
      </c>
      <c r="AU53" s="1308" t="n">
        <v>75</v>
      </c>
      <c r="AV53" s="532" t="n">
        <v>100</v>
      </c>
      <c r="AW53" s="533" t="n">
        <v>100</v>
      </c>
      <c r="AX53" s="533" t="n">
        <v>100</v>
      </c>
      <c r="AY53" s="533" t="n">
        <v>100</v>
      </c>
      <c r="AZ53" s="533" t="n">
        <v>100</v>
      </c>
      <c r="BA53" s="231" t="n">
        <v>100</v>
      </c>
      <c r="BB53" s="533" t="n">
        <v>150</v>
      </c>
      <c r="BC53" s="533" t="n">
        <v>150</v>
      </c>
      <c r="BD53" s="533" t="n">
        <v>150</v>
      </c>
      <c r="BE53" s="533" t="n">
        <v>150</v>
      </c>
      <c r="BF53" s="1308" t="n">
        <v>150</v>
      </c>
      <c r="BG53" s="1308" t="n">
        <v>150</v>
      </c>
      <c r="BH53" s="533" t="n">
        <v>225</v>
      </c>
      <c r="BI53" s="533" t="n">
        <v>225</v>
      </c>
      <c r="BJ53" s="533" t="n">
        <v>225</v>
      </c>
      <c r="BK53" s="533" t="n">
        <v>225</v>
      </c>
      <c r="BL53" s="533" t="n">
        <v>225</v>
      </c>
      <c r="BM53" s="231" t="n">
        <v>225</v>
      </c>
      <c r="BN53" s="533" t="n">
        <v>300</v>
      </c>
      <c r="BO53" s="533">
        <f>BN53</f>
        <v/>
      </c>
      <c r="BP53" s="533">
        <f>BO53</f>
        <v/>
      </c>
      <c r="BQ53" s="533">
        <f>BP53</f>
        <v/>
      </c>
      <c r="BR53" s="533">
        <f>BQ53</f>
        <v/>
      </c>
      <c r="BS53" s="1319">
        <f>BR53</f>
        <v/>
      </c>
      <c r="BT53" s="533" t="n">
        <v>350</v>
      </c>
      <c r="BU53" s="533">
        <f>BT53</f>
        <v/>
      </c>
      <c r="BV53" s="533">
        <f>BU53</f>
        <v/>
      </c>
      <c r="BW53" s="533">
        <f>BV53</f>
        <v/>
      </c>
      <c r="BX53" s="533">
        <f>BW53</f>
        <v/>
      </c>
      <c r="BY53" s="533">
        <f>BX53</f>
        <v/>
      </c>
      <c r="BZ53" s="533" t="n">
        <v>400</v>
      </c>
      <c r="CA53" s="533">
        <f>BZ53</f>
        <v/>
      </c>
      <c r="CB53" s="533">
        <f>CA53</f>
        <v/>
      </c>
      <c r="CC53" s="533">
        <f>CB53</f>
        <v/>
      </c>
      <c r="CD53" s="533">
        <f>CC53</f>
        <v/>
      </c>
      <c r="CE53" s="1319">
        <f>CD53</f>
        <v/>
      </c>
    </row>
    <row r="54" hidden="1" ht="12.75" customHeight="1" s="1883">
      <c r="A54" s="227" t="n"/>
      <c r="B54" s="232" t="n"/>
      <c r="C54" s="233" t="n"/>
      <c r="D54" s="236" t="inlineStr">
        <is>
          <t>"Blank"</t>
        </is>
      </c>
      <c r="E54" s="2126" t="n"/>
      <c r="F54" s="2126" t="n"/>
      <c r="G54" s="2126" t="n">
        <v>0</v>
      </c>
      <c r="H54" s="2123">
        <f>G54+(G54*H$8)</f>
        <v/>
      </c>
      <c r="I54" s="2123">
        <f>H54+(H54*I$8)</f>
        <v/>
      </c>
      <c r="J54" s="2123">
        <f>I54+(I54*J$8)</f>
        <v/>
      </c>
      <c r="K54" s="2123">
        <f>J54+(J54*K$8)</f>
        <v/>
      </c>
      <c r="L54" s="2123" t="n"/>
      <c r="M54" s="2123" t="n"/>
      <c r="N54" s="2123" t="n"/>
      <c r="O54" s="2123" t="n"/>
      <c r="P54" s="2123" t="n"/>
      <c r="Q54" s="2124" t="n"/>
      <c r="R54" s="2124" t="n"/>
      <c r="S54" s="2123" t="n"/>
      <c r="T54" s="2123" t="n"/>
      <c r="U54" s="2123" t="n"/>
      <c r="V54" s="2123" t="n"/>
      <c r="W54" s="2125" t="n"/>
      <c r="X54" s="225" t="n">
        <v>0</v>
      </c>
      <c r="Y54" s="59">
        <f>X54</f>
        <v/>
      </c>
      <c r="Z54" s="59">
        <f>Y54</f>
        <v/>
      </c>
      <c r="AA54" s="59">
        <f>Z54</f>
        <v/>
      </c>
      <c r="AB54" s="59">
        <f>AA54</f>
        <v/>
      </c>
      <c r="AC54" s="59">
        <f>AB54</f>
        <v/>
      </c>
      <c r="AD54" s="59">
        <f>AC54</f>
        <v/>
      </c>
      <c r="AE54" s="59">
        <f>AD54</f>
        <v/>
      </c>
      <c r="AF54" s="59">
        <f>AE54</f>
        <v/>
      </c>
      <c r="AG54" s="59">
        <f>AF54</f>
        <v/>
      </c>
      <c r="AH54" s="59">
        <f>AG54</f>
        <v/>
      </c>
      <c r="AI54" s="1039">
        <f>AH54</f>
        <v/>
      </c>
      <c r="AJ54" s="238" t="n">
        <v>0</v>
      </c>
      <c r="AK54" s="239">
        <f>AJ54</f>
        <v/>
      </c>
      <c r="AL54" s="239">
        <f>AK54</f>
        <v/>
      </c>
      <c r="AM54" s="239">
        <f>AL54</f>
        <v/>
      </c>
      <c r="AN54" s="239">
        <f>AM54</f>
        <v/>
      </c>
      <c r="AO54" s="239">
        <f>AN54</f>
        <v/>
      </c>
      <c r="AP54" s="239">
        <f>AO54</f>
        <v/>
      </c>
      <c r="AQ54" s="239">
        <f>AP54</f>
        <v/>
      </c>
      <c r="AR54" s="239">
        <f>AQ54</f>
        <v/>
      </c>
      <c r="AS54" s="239">
        <f>AR54</f>
        <v/>
      </c>
      <c r="AT54" s="239">
        <f>AS54</f>
        <v/>
      </c>
      <c r="AU54" s="1320">
        <f>AT54</f>
        <v/>
      </c>
      <c r="AV54" s="238" t="n">
        <v>0</v>
      </c>
      <c r="AW54" s="239">
        <f>AV54</f>
        <v/>
      </c>
      <c r="AX54" s="239">
        <f>AW54</f>
        <v/>
      </c>
      <c r="AY54" s="239">
        <f>AX54</f>
        <v/>
      </c>
      <c r="AZ54" s="239">
        <f>AY54</f>
        <v/>
      </c>
      <c r="BA54" s="239">
        <f>AZ54</f>
        <v/>
      </c>
      <c r="BB54" s="239">
        <f>BA54</f>
        <v/>
      </c>
      <c r="BC54" s="239">
        <f>BB54</f>
        <v/>
      </c>
      <c r="BD54" s="239">
        <f>BC54</f>
        <v/>
      </c>
      <c r="BE54" s="239">
        <f>BD54</f>
        <v/>
      </c>
      <c r="BF54" s="239">
        <f>BE54</f>
        <v/>
      </c>
      <c r="BG54" s="1320">
        <f>BF54</f>
        <v/>
      </c>
      <c r="BH54" s="239">
        <f>BG54</f>
        <v/>
      </c>
      <c r="BI54" s="239">
        <f>BH54</f>
        <v/>
      </c>
      <c r="BJ54" s="239">
        <f>BI54</f>
        <v/>
      </c>
      <c r="BK54" s="239">
        <f>BJ54</f>
        <v/>
      </c>
      <c r="BL54" s="239">
        <f>BK54</f>
        <v/>
      </c>
      <c r="BM54" s="239">
        <f>BL54</f>
        <v/>
      </c>
      <c r="BN54" s="239">
        <f>BM54</f>
        <v/>
      </c>
      <c r="BO54" s="239">
        <f>BN54</f>
        <v/>
      </c>
      <c r="BP54" s="239">
        <f>BO54</f>
        <v/>
      </c>
      <c r="BQ54" s="239">
        <f>BP54</f>
        <v/>
      </c>
      <c r="BR54" s="239">
        <f>BQ54</f>
        <v/>
      </c>
      <c r="BS54" s="1320">
        <f>BR54</f>
        <v/>
      </c>
      <c r="BT54" s="239">
        <f>BS54</f>
        <v/>
      </c>
      <c r="BU54" s="239">
        <f>BT54</f>
        <v/>
      </c>
      <c r="BV54" s="239">
        <f>BU54</f>
        <v/>
      </c>
      <c r="BW54" s="239">
        <f>BV54</f>
        <v/>
      </c>
      <c r="BX54" s="239">
        <f>BW54</f>
        <v/>
      </c>
      <c r="BY54" s="239">
        <f>BX54</f>
        <v/>
      </c>
      <c r="BZ54" s="239">
        <f>BY54</f>
        <v/>
      </c>
      <c r="CA54" s="239">
        <f>BZ54</f>
        <v/>
      </c>
      <c r="CB54" s="239">
        <f>CA54</f>
        <v/>
      </c>
      <c r="CC54" s="239">
        <f>CB54</f>
        <v/>
      </c>
      <c r="CD54" s="239">
        <f>CC54</f>
        <v/>
      </c>
      <c r="CE54" s="1320">
        <f>CD54</f>
        <v/>
      </c>
    </row>
    <row r="55" hidden="1" ht="12.75" customHeight="1" s="1883">
      <c r="A55" s="227" t="n"/>
      <c r="B55" s="232" t="n"/>
      <c r="C55" s="233" t="n"/>
      <c r="D55" s="236" t="inlineStr">
        <is>
          <t>"Blank"</t>
        </is>
      </c>
      <c r="E55" s="2126" t="n"/>
      <c r="F55" s="2126" t="n"/>
      <c r="G55" s="2126" t="n">
        <v>0</v>
      </c>
      <c r="H55" s="2123">
        <f>G55+(G55*H$8)</f>
        <v/>
      </c>
      <c r="I55" s="2123">
        <f>H55+(H55*I$8)</f>
        <v/>
      </c>
      <c r="J55" s="2123">
        <f>I55+(I55*J$8)</f>
        <v/>
      </c>
      <c r="K55" s="2123">
        <f>J55+(J55*K$8)</f>
        <v/>
      </c>
      <c r="L55" s="2123" t="n"/>
      <c r="M55" s="2123" t="n"/>
      <c r="N55" s="2123" t="n"/>
      <c r="O55" s="2123" t="n"/>
      <c r="P55" s="2123" t="n"/>
      <c r="Q55" s="2124" t="n"/>
      <c r="R55" s="2124" t="n"/>
      <c r="S55" s="2123" t="n"/>
      <c r="T55" s="2123" t="n"/>
      <c r="U55" s="2123" t="n"/>
      <c r="V55" s="2123" t="n"/>
      <c r="W55" s="2125" t="n"/>
      <c r="X55" s="225" t="n">
        <v>0</v>
      </c>
      <c r="Y55" s="59">
        <f>X55</f>
        <v/>
      </c>
      <c r="Z55" s="59">
        <f>Y55</f>
        <v/>
      </c>
      <c r="AA55" s="59">
        <f>Z55</f>
        <v/>
      </c>
      <c r="AB55" s="59">
        <f>AA55</f>
        <v/>
      </c>
      <c r="AC55" s="59">
        <f>AB55</f>
        <v/>
      </c>
      <c r="AD55" s="59">
        <f>AC55</f>
        <v/>
      </c>
      <c r="AE55" s="59">
        <f>AD55</f>
        <v/>
      </c>
      <c r="AF55" s="59">
        <f>AE55</f>
        <v/>
      </c>
      <c r="AG55" s="59">
        <f>AF55</f>
        <v/>
      </c>
      <c r="AH55" s="59">
        <f>AG55</f>
        <v/>
      </c>
      <c r="AI55" s="1039">
        <f>AH55</f>
        <v/>
      </c>
      <c r="AJ55" s="238" t="n">
        <v>0</v>
      </c>
      <c r="AK55" s="239">
        <f>AJ55</f>
        <v/>
      </c>
      <c r="AL55" s="239">
        <f>AK55</f>
        <v/>
      </c>
      <c r="AM55" s="239">
        <f>AL55</f>
        <v/>
      </c>
      <c r="AN55" s="239">
        <f>AM55</f>
        <v/>
      </c>
      <c r="AO55" s="239">
        <f>AN55</f>
        <v/>
      </c>
      <c r="AP55" s="239">
        <f>AO55</f>
        <v/>
      </c>
      <c r="AQ55" s="239">
        <f>AP55</f>
        <v/>
      </c>
      <c r="AR55" s="239">
        <f>AQ55</f>
        <v/>
      </c>
      <c r="AS55" s="239">
        <f>AR55</f>
        <v/>
      </c>
      <c r="AT55" s="239">
        <f>AS55</f>
        <v/>
      </c>
      <c r="AU55" s="1320">
        <f>AT55</f>
        <v/>
      </c>
      <c r="AV55" s="238" t="n">
        <v>0</v>
      </c>
      <c r="AW55" s="239">
        <f>AV55</f>
        <v/>
      </c>
      <c r="AX55" s="239">
        <f>AW55</f>
        <v/>
      </c>
      <c r="AY55" s="239">
        <f>AX55</f>
        <v/>
      </c>
      <c r="AZ55" s="239">
        <f>AY55</f>
        <v/>
      </c>
      <c r="BA55" s="239">
        <f>AZ55</f>
        <v/>
      </c>
      <c r="BB55" s="239">
        <f>BA55</f>
        <v/>
      </c>
      <c r="BC55" s="239">
        <f>BB55</f>
        <v/>
      </c>
      <c r="BD55" s="239">
        <f>BC55</f>
        <v/>
      </c>
      <c r="BE55" s="239">
        <f>BD55</f>
        <v/>
      </c>
      <c r="BF55" s="239">
        <f>BE55</f>
        <v/>
      </c>
      <c r="BG55" s="1320">
        <f>BF55</f>
        <v/>
      </c>
      <c r="BH55" s="239">
        <f>BG55</f>
        <v/>
      </c>
      <c r="BI55" s="239">
        <f>BH55</f>
        <v/>
      </c>
      <c r="BJ55" s="239">
        <f>BI55</f>
        <v/>
      </c>
      <c r="BK55" s="239">
        <f>BJ55</f>
        <v/>
      </c>
      <c r="BL55" s="239">
        <f>BK55</f>
        <v/>
      </c>
      <c r="BM55" s="239">
        <f>BL55</f>
        <v/>
      </c>
      <c r="BN55" s="239">
        <f>BM55</f>
        <v/>
      </c>
      <c r="BO55" s="239">
        <f>BN55</f>
        <v/>
      </c>
      <c r="BP55" s="239">
        <f>BO55</f>
        <v/>
      </c>
      <c r="BQ55" s="239">
        <f>BP55</f>
        <v/>
      </c>
      <c r="BR55" s="239">
        <f>BQ55</f>
        <v/>
      </c>
      <c r="BS55" s="1320">
        <f>BR55</f>
        <v/>
      </c>
      <c r="BT55" s="239">
        <f>BS55</f>
        <v/>
      </c>
      <c r="BU55" s="239">
        <f>BT55</f>
        <v/>
      </c>
      <c r="BV55" s="239">
        <f>BU55</f>
        <v/>
      </c>
      <c r="BW55" s="239">
        <f>BV55</f>
        <v/>
      </c>
      <c r="BX55" s="239">
        <f>BW55</f>
        <v/>
      </c>
      <c r="BY55" s="239">
        <f>BX55</f>
        <v/>
      </c>
      <c r="BZ55" s="239">
        <f>BY55</f>
        <v/>
      </c>
      <c r="CA55" s="239">
        <f>BZ55</f>
        <v/>
      </c>
      <c r="CB55" s="239">
        <f>CA55</f>
        <v/>
      </c>
      <c r="CC55" s="239">
        <f>CB55</f>
        <v/>
      </c>
      <c r="CD55" s="239">
        <f>CC55</f>
        <v/>
      </c>
      <c r="CE55" s="1320">
        <f>CD55</f>
        <v/>
      </c>
    </row>
    <row r="56" hidden="1" ht="12.75" customHeight="1" s="1883">
      <c r="A56" s="227" t="n"/>
      <c r="B56" s="232" t="n"/>
      <c r="C56" s="233" t="n"/>
      <c r="D56" s="236" t="inlineStr">
        <is>
          <t>"Blank"</t>
        </is>
      </c>
      <c r="E56" s="2126" t="n"/>
      <c r="F56" s="2126" t="n"/>
      <c r="G56" s="2126" t="n">
        <v>0</v>
      </c>
      <c r="H56" s="2123">
        <f>G56+(G56*H$8)</f>
        <v/>
      </c>
      <c r="I56" s="2123">
        <f>H56+(H56*I$8)</f>
        <v/>
      </c>
      <c r="J56" s="2123">
        <f>I56+(I56*J$8)</f>
        <v/>
      </c>
      <c r="K56" s="2123">
        <f>J56+(J56*K$8)</f>
        <v/>
      </c>
      <c r="L56" s="2123" t="n"/>
      <c r="M56" s="2123" t="n"/>
      <c r="N56" s="2123" t="n"/>
      <c r="O56" s="2123" t="n"/>
      <c r="P56" s="2123" t="n"/>
      <c r="Q56" s="2124" t="n"/>
      <c r="R56" s="2124" t="n"/>
      <c r="S56" s="2123" t="n"/>
      <c r="T56" s="2123" t="n"/>
      <c r="U56" s="2123" t="n"/>
      <c r="V56" s="2123" t="n"/>
      <c r="W56" s="2125" t="n"/>
      <c r="X56" s="225" t="n">
        <v>0</v>
      </c>
      <c r="Y56" s="59">
        <f>X56</f>
        <v/>
      </c>
      <c r="Z56" s="59">
        <f>Y56</f>
        <v/>
      </c>
      <c r="AA56" s="59">
        <f>Z56</f>
        <v/>
      </c>
      <c r="AB56" s="59">
        <f>AA56</f>
        <v/>
      </c>
      <c r="AC56" s="59">
        <f>AB56</f>
        <v/>
      </c>
      <c r="AD56" s="59">
        <f>AC56</f>
        <v/>
      </c>
      <c r="AE56" s="59">
        <f>AD56</f>
        <v/>
      </c>
      <c r="AF56" s="59">
        <f>AE56</f>
        <v/>
      </c>
      <c r="AG56" s="59">
        <f>AF56</f>
        <v/>
      </c>
      <c r="AH56" s="59">
        <f>AG56</f>
        <v/>
      </c>
      <c r="AI56" s="1039">
        <f>AH56</f>
        <v/>
      </c>
      <c r="AJ56" s="238" t="n">
        <v>0</v>
      </c>
      <c r="AK56" s="239">
        <f>AJ56</f>
        <v/>
      </c>
      <c r="AL56" s="239">
        <f>AK56</f>
        <v/>
      </c>
      <c r="AM56" s="239">
        <f>AL56</f>
        <v/>
      </c>
      <c r="AN56" s="239">
        <f>AM56</f>
        <v/>
      </c>
      <c r="AO56" s="239">
        <f>AN56</f>
        <v/>
      </c>
      <c r="AP56" s="239">
        <f>AO56</f>
        <v/>
      </c>
      <c r="AQ56" s="239">
        <f>AP56</f>
        <v/>
      </c>
      <c r="AR56" s="239">
        <f>AQ56</f>
        <v/>
      </c>
      <c r="AS56" s="239">
        <f>AR56</f>
        <v/>
      </c>
      <c r="AT56" s="239">
        <f>AS56</f>
        <v/>
      </c>
      <c r="AU56" s="1320">
        <f>AT56</f>
        <v/>
      </c>
      <c r="AV56" s="238" t="n">
        <v>0</v>
      </c>
      <c r="AW56" s="239">
        <f>AV56</f>
        <v/>
      </c>
      <c r="AX56" s="239">
        <f>AW56</f>
        <v/>
      </c>
      <c r="AY56" s="239">
        <f>AX56</f>
        <v/>
      </c>
      <c r="AZ56" s="239">
        <f>AY56</f>
        <v/>
      </c>
      <c r="BA56" s="239">
        <f>AZ56</f>
        <v/>
      </c>
      <c r="BB56" s="239">
        <f>BA56</f>
        <v/>
      </c>
      <c r="BC56" s="239">
        <f>BB56</f>
        <v/>
      </c>
      <c r="BD56" s="239">
        <f>BC56</f>
        <v/>
      </c>
      <c r="BE56" s="239">
        <f>BD56</f>
        <v/>
      </c>
      <c r="BF56" s="239">
        <f>BE56</f>
        <v/>
      </c>
      <c r="BG56" s="1320">
        <f>BF56</f>
        <v/>
      </c>
      <c r="BH56" s="239">
        <f>BG56</f>
        <v/>
      </c>
      <c r="BI56" s="239">
        <f>BH56</f>
        <v/>
      </c>
      <c r="BJ56" s="239">
        <f>BI56</f>
        <v/>
      </c>
      <c r="BK56" s="239">
        <f>BJ56</f>
        <v/>
      </c>
      <c r="BL56" s="239">
        <f>BK56</f>
        <v/>
      </c>
      <c r="BM56" s="239">
        <f>BL56</f>
        <v/>
      </c>
      <c r="BN56" s="239">
        <f>BM56</f>
        <v/>
      </c>
      <c r="BO56" s="239">
        <f>BN56</f>
        <v/>
      </c>
      <c r="BP56" s="239">
        <f>BO56</f>
        <v/>
      </c>
      <c r="BQ56" s="239">
        <f>BP56</f>
        <v/>
      </c>
      <c r="BR56" s="239">
        <f>BQ56</f>
        <v/>
      </c>
      <c r="BS56" s="1320">
        <f>BR56</f>
        <v/>
      </c>
      <c r="BT56" s="239">
        <f>BS56</f>
        <v/>
      </c>
      <c r="BU56" s="239">
        <f>BT56</f>
        <v/>
      </c>
      <c r="BV56" s="239">
        <f>BU56</f>
        <v/>
      </c>
      <c r="BW56" s="239">
        <f>BV56</f>
        <v/>
      </c>
      <c r="BX56" s="239">
        <f>BW56</f>
        <v/>
      </c>
      <c r="BY56" s="239">
        <f>BX56</f>
        <v/>
      </c>
      <c r="BZ56" s="239">
        <f>BY56</f>
        <v/>
      </c>
      <c r="CA56" s="239">
        <f>BZ56</f>
        <v/>
      </c>
      <c r="CB56" s="239">
        <f>CA56</f>
        <v/>
      </c>
      <c r="CC56" s="239">
        <f>CB56</f>
        <v/>
      </c>
      <c r="CD56" s="239">
        <f>CC56</f>
        <v/>
      </c>
      <c r="CE56" s="1320">
        <f>CD56</f>
        <v/>
      </c>
    </row>
    <row r="57" ht="12.75" customHeight="1" s="1883">
      <c r="A57" s="227" t="n"/>
      <c r="B57" s="232" t="n"/>
      <c r="C57" s="233" t="n"/>
      <c r="D57" s="98" t="inlineStr">
        <is>
          <t>Salary</t>
        </is>
      </c>
      <c r="E57" s="2127" t="n"/>
      <c r="F57" s="2127" t="n"/>
      <c r="G57" s="2127" t="n"/>
      <c r="H57" s="232" t="n"/>
      <c r="I57" s="232" t="n"/>
      <c r="J57" s="232" t="n"/>
      <c r="K57" s="232" t="n"/>
      <c r="L57" s="2119">
        <f>ROUND(SUMPRODUCT($E43:$E56,L43:L56)/6,0)</f>
        <v/>
      </c>
      <c r="M57" s="2119">
        <f>ROUND(SUMPRODUCT($E43:$E56,M43:M56)/6,0)</f>
        <v/>
      </c>
      <c r="N57" s="2119">
        <f>ROUND(SUMPRODUCT($E43:$E56,N43:N56)/6,0)</f>
        <v/>
      </c>
      <c r="O57" s="2119">
        <f>ROUND(SUMPRODUCT($E43:$E56,O43:O56)/6,0)</f>
        <v/>
      </c>
      <c r="P57" s="2119">
        <f>ROUND(SUMPRODUCT($E43:$E56,P43:P56)/6,0)</f>
        <v/>
      </c>
      <c r="Q57" s="2120">
        <f>ROUND(SUMPRODUCT($E43:$E56,Q43:Q56)/6,0)</f>
        <v/>
      </c>
      <c r="R57" s="2120">
        <f>ROUND(SUMPRODUCT($F43:$F56,R43:R56)/12,0)</f>
        <v/>
      </c>
      <c r="S57" s="2119">
        <f>ROUND(SUMPRODUCT($F43:$F56,S43:S56)/12,0)</f>
        <v/>
      </c>
      <c r="T57" s="2119">
        <f>ROUND(SUMPRODUCT($F43:$F56,T43:T56)/12,0)</f>
        <v/>
      </c>
      <c r="U57" s="2119">
        <f>ROUND(SUMPRODUCT($F43:$F56,U43:U56)/12,0)</f>
        <v/>
      </c>
      <c r="V57" s="2119">
        <f>ROUND(SUMPRODUCT($F43:$F56,V43:V56)/12,0)</f>
        <v/>
      </c>
      <c r="W57" s="2122">
        <f>ROUND(SUMPRODUCT($F43:$F56,W43:W56)/12,0)</f>
        <v/>
      </c>
      <c r="X57" s="2119">
        <f>ROUND(SUMPRODUCT($G43:$G56,X43:X56)/12,0)</f>
        <v/>
      </c>
      <c r="Y57" s="2119">
        <f>ROUND(SUMPRODUCT($G43:$G56,Y43:Y56)/12,0)</f>
        <v/>
      </c>
      <c r="Z57" s="2119">
        <f>ROUND(SUMPRODUCT($G43:$G56,Z43:Z56)/12,0)</f>
        <v/>
      </c>
      <c r="AA57" s="2119">
        <f>ROUND(SUMPRODUCT($G43:$G56,AA43:AA56)/12,0)</f>
        <v/>
      </c>
      <c r="AB57" s="2119">
        <f>ROUND(SUMPRODUCT($G43:$G56,AB43:AB56)/12,0)</f>
        <v/>
      </c>
      <c r="AC57" s="2119">
        <f>ROUND(SUMPRODUCT($G43:$G56,AC43:AC56)/12,0)</f>
        <v/>
      </c>
      <c r="AD57" s="2119">
        <f>ROUND(SUMPRODUCT($G43:$G56,AD43:AD56)/12,0)</f>
        <v/>
      </c>
      <c r="AE57" s="2119">
        <f>ROUND(SUMPRODUCT($G43:$G56,AE43:AE56)/12,0)</f>
        <v/>
      </c>
      <c r="AF57" s="2119">
        <f>ROUND(SUMPRODUCT($G43:$G56,AF43:AF56)/12,0)</f>
        <v/>
      </c>
      <c r="AG57" s="2119">
        <f>ROUND(SUMPRODUCT($G43:$G56,AG43:AG56)/12,0)</f>
        <v/>
      </c>
      <c r="AH57" s="2119">
        <f>ROUND(SUMPRODUCT($G43:$G56,AH43:AH56)/12,0)</f>
        <v/>
      </c>
      <c r="AI57" s="2122">
        <f>ROUND(SUMPRODUCT($G43:$G56,AI43:AI56)/12,0)</f>
        <v/>
      </c>
      <c r="AJ57" s="2119">
        <f>ROUND(SUMPRODUCT($H43:$H56,AJ43:AJ56)/12,0)</f>
        <v/>
      </c>
      <c r="AK57" s="2119">
        <f>ROUND(SUMPRODUCT($H43:$H56,AK43:AK56)/12,0)</f>
        <v/>
      </c>
      <c r="AL57" s="2119">
        <f>ROUND(SUMPRODUCT($H43:$H56,AL43:AL56)/12,0)</f>
        <v/>
      </c>
      <c r="AM57" s="2119">
        <f>ROUND(SUMPRODUCT($H43:$H56,AM43:AM56)/12,0)</f>
        <v/>
      </c>
      <c r="AN57" s="2119">
        <f>ROUND(SUMPRODUCT($H43:$H56,AN43:AN56)/12,0)</f>
        <v/>
      </c>
      <c r="AO57" s="2119">
        <f>ROUND(SUMPRODUCT($H43:$H56,AO43:AO56)/12,0)</f>
        <v/>
      </c>
      <c r="AP57" s="2119">
        <f>ROUND(SUMPRODUCT($H43:$H56,AP43:AP56)/12,0)</f>
        <v/>
      </c>
      <c r="AQ57" s="2119">
        <f>ROUND(SUMPRODUCT($H43:$H56,AQ43:AQ56)/12,0)</f>
        <v/>
      </c>
      <c r="AR57" s="2119">
        <f>ROUND(SUMPRODUCT($H43:$H56,AR43:AR56)/12,0)</f>
        <v/>
      </c>
      <c r="AS57" s="2119">
        <f>ROUND(SUMPRODUCT($H43:$H56,AS43:AS56)/12,0)</f>
        <v/>
      </c>
      <c r="AT57" s="2119">
        <f>ROUND(SUMPRODUCT($H43:$H56,AT43:AT56)/12,0)</f>
        <v/>
      </c>
      <c r="AU57" s="2122">
        <f>ROUND(SUMPRODUCT($H43:$H56,AU43:AU56)/12,0)</f>
        <v/>
      </c>
      <c r="AV57" s="2119">
        <f>ROUND(SUMPRODUCT($I43:$I56,AV43:AV56)/12,0)</f>
        <v/>
      </c>
      <c r="AW57" s="2119">
        <f>ROUND(SUMPRODUCT($I43:$I56,AW43:AW56)/12,0)</f>
        <v/>
      </c>
      <c r="AX57" s="2119">
        <f>ROUND(SUMPRODUCT($I43:$I56,AX43:AX56)/12,0)</f>
        <v/>
      </c>
      <c r="AY57" s="2119">
        <f>ROUND(SUMPRODUCT($I43:$I56,AY43:AY56)/12,0)</f>
        <v/>
      </c>
      <c r="AZ57" s="2119">
        <f>ROUND(SUMPRODUCT($I43:$I56,AZ43:AZ56)/12,0)</f>
        <v/>
      </c>
      <c r="BA57" s="2119">
        <f>ROUND(SUMPRODUCT($I43:$I56,BA43:BA56)/12,0)</f>
        <v/>
      </c>
      <c r="BB57" s="2119">
        <f>ROUND(SUMPRODUCT($I43:$I56,BB43:BB56)/12,0)</f>
        <v/>
      </c>
      <c r="BC57" s="2119">
        <f>ROUND(SUMPRODUCT($I43:$I56,BC43:BC56)/12,0)</f>
        <v/>
      </c>
      <c r="BD57" s="2119">
        <f>ROUND(SUMPRODUCT($I43:$I56,BD43:BD56)/12,0)</f>
        <v/>
      </c>
      <c r="BE57" s="2119">
        <f>ROUND(SUMPRODUCT($I43:$I56,BE43:BE56)/12,0)</f>
        <v/>
      </c>
      <c r="BF57" s="2119">
        <f>ROUND(SUMPRODUCT($I43:$I56,BF43:BF56)/12,0)</f>
        <v/>
      </c>
      <c r="BG57" s="2122">
        <f>ROUND(SUMPRODUCT($I43:$I56,BG43:BG56)/12,0)</f>
        <v/>
      </c>
      <c r="BH57" s="2119">
        <f>ROUND(SUMPRODUCT($J43:$J56,BH43:BH56)/12,0)</f>
        <v/>
      </c>
      <c r="BI57" s="2119">
        <f>ROUND(SUMPRODUCT($J43:$J56,BI43:BI56)/12,0)</f>
        <v/>
      </c>
      <c r="BJ57" s="2119">
        <f>ROUND(SUMPRODUCT($J43:$J56,BJ43:BJ56)/12,0)</f>
        <v/>
      </c>
      <c r="BK57" s="2119">
        <f>ROUND(SUMPRODUCT($J43:$J56,BK43:BK56)/12,0)</f>
        <v/>
      </c>
      <c r="BL57" s="2119">
        <f>ROUND(SUMPRODUCT($J43:$J56,BL43:BL56)/12,0)</f>
        <v/>
      </c>
      <c r="BM57" s="2119">
        <f>ROUND(SUMPRODUCT($J43:$J56,BM43:BM56)/12,0)</f>
        <v/>
      </c>
      <c r="BN57" s="2119">
        <f>ROUND(SUMPRODUCT($J43:$J56,BN43:BN56)/12,0)</f>
        <v/>
      </c>
      <c r="BO57" s="2119">
        <f>ROUND(SUMPRODUCT($J43:$J56,BO43:BO56)/12,0)</f>
        <v/>
      </c>
      <c r="BP57" s="2119">
        <f>ROUND(SUMPRODUCT($J43:$J56,BP43:BP56)/12,0)</f>
        <v/>
      </c>
      <c r="BQ57" s="2119">
        <f>ROUND(SUMPRODUCT($J43:$J56,BQ43:BQ56)/12,0)</f>
        <v/>
      </c>
      <c r="BR57" s="2119">
        <f>ROUND(SUMPRODUCT($J43:$J56,BR43:BR56)/12,0)</f>
        <v/>
      </c>
      <c r="BS57" s="2122">
        <f>ROUND(SUMPRODUCT($J43:$J56,BS43:BS56)/12,0)</f>
        <v/>
      </c>
      <c r="BT57" s="2119">
        <f>ROUND(SUMPRODUCT($K43:$K56,BT43:BT56)/12,0)</f>
        <v/>
      </c>
      <c r="BU57" s="2119">
        <f>ROUND(SUMPRODUCT($K43:$K56,BU43:BU56)/12,0)</f>
        <v/>
      </c>
      <c r="BV57" s="2119">
        <f>ROUND(SUMPRODUCT($K43:$K56,BV43:BV56)/12,0)</f>
        <v/>
      </c>
      <c r="BW57" s="2119">
        <f>ROUND(SUMPRODUCT($K43:$K56,BW43:BW56)/12,0)</f>
        <v/>
      </c>
      <c r="BX57" s="2119">
        <f>ROUND(SUMPRODUCT($K43:$K56,BX43:BX56)/12,0)</f>
        <v/>
      </c>
      <c r="BY57" s="2119">
        <f>ROUND(SUMPRODUCT($K43:$K56,BY43:BY56)/12,0)</f>
        <v/>
      </c>
      <c r="BZ57" s="2119">
        <f>ROUND(SUMPRODUCT($K43:$K56,BZ43:BZ56)/12,0)</f>
        <v/>
      </c>
      <c r="CA57" s="2119">
        <f>ROUND(SUMPRODUCT($K43:$K56,CA43:CA56)/12,0)</f>
        <v/>
      </c>
      <c r="CB57" s="2119">
        <f>ROUND(SUMPRODUCT($K43:$K56,CB43:CB56)/12,0)</f>
        <v/>
      </c>
      <c r="CC57" s="2119">
        <f>ROUND(SUMPRODUCT($K43:$K56,CC43:CC56)/12,0)</f>
        <v/>
      </c>
      <c r="CD57" s="2119">
        <f>ROUND(SUMPRODUCT($K43:$K56,CD43:CD56)/12,0)</f>
        <v/>
      </c>
      <c r="CE57" s="2122">
        <f>ROUND(SUMPRODUCT($K43:$K56,CE43:CE56)/12,0)</f>
        <v/>
      </c>
    </row>
    <row r="58" ht="12.75" customHeight="1" s="1883">
      <c r="A58" s="227" t="n"/>
      <c r="B58" s="232" t="n"/>
      <c r="C58" s="233" t="n"/>
      <c r="D58" s="85" t="n"/>
      <c r="E58" s="2127" t="n"/>
      <c r="F58" s="2127" t="n"/>
      <c r="G58" s="2127" t="n"/>
      <c r="H58" s="2127" t="n"/>
      <c r="I58" s="2127" t="n"/>
      <c r="J58" s="2127" t="n"/>
      <c r="K58" s="2127" t="n"/>
      <c r="L58" s="2127" t="n"/>
      <c r="M58" s="2127" t="n"/>
      <c r="N58" s="2127" t="n"/>
      <c r="O58" s="2127" t="n"/>
      <c r="P58" s="2127" t="n"/>
      <c r="Q58" s="2128" t="n"/>
      <c r="R58" s="2128" t="n"/>
      <c r="S58" s="2127" t="n"/>
      <c r="T58" s="2127" t="n"/>
      <c r="U58" s="2127" t="n"/>
      <c r="V58" s="2127" t="n"/>
      <c r="W58" s="2129" t="n"/>
      <c r="X58" s="59" t="n"/>
      <c r="Y58" s="2115" t="n"/>
      <c r="Z58" s="59" t="n"/>
      <c r="AA58" s="59" t="n"/>
      <c r="AB58" s="59" t="n"/>
      <c r="AC58" s="59" t="n"/>
      <c r="AD58" s="59" t="n"/>
      <c r="AE58" s="59" t="n"/>
      <c r="AF58" s="59" t="n"/>
      <c r="AG58" s="59" t="n"/>
      <c r="AH58" s="59" t="n"/>
      <c r="AI58" s="1039" t="n"/>
      <c r="AJ58" s="59" t="n"/>
      <c r="AK58" s="59" t="n"/>
      <c r="AL58" s="59" t="n"/>
      <c r="AM58" s="59" t="n"/>
      <c r="AN58" s="59" t="n"/>
      <c r="AO58" s="59" t="n"/>
      <c r="AP58" s="59" t="n"/>
      <c r="AQ58" s="59" t="n"/>
      <c r="AR58" s="59" t="n"/>
      <c r="AS58" s="59" t="n"/>
      <c r="AT58" s="59" t="n"/>
      <c r="AU58" s="1039" t="n"/>
      <c r="AV58" s="59" t="n"/>
      <c r="AW58" s="59" t="n"/>
      <c r="AX58" s="59" t="n"/>
      <c r="AY58" s="59" t="n"/>
      <c r="AZ58" s="59" t="n"/>
      <c r="BA58" s="59" t="n"/>
      <c r="BB58" s="59" t="n"/>
      <c r="BC58" s="59" t="n"/>
      <c r="BD58" s="59" t="n"/>
      <c r="BE58" s="59" t="n"/>
      <c r="BF58" s="59" t="n"/>
      <c r="BG58" s="1039" t="n"/>
      <c r="BH58" s="59" t="n"/>
      <c r="BI58" s="59" t="n"/>
      <c r="BJ58" s="59" t="n"/>
      <c r="BK58" s="59" t="n"/>
      <c r="BL58" s="59" t="n"/>
      <c r="BM58" s="59" t="n"/>
      <c r="BN58" s="59" t="n"/>
      <c r="BO58" s="59" t="n"/>
      <c r="BP58" s="59" t="n"/>
      <c r="BQ58" s="59" t="n"/>
      <c r="BR58" s="59" t="n"/>
      <c r="BS58" s="1039" t="n"/>
      <c r="BT58" s="59" t="n"/>
      <c r="BU58" s="59" t="n"/>
      <c r="BV58" s="59" t="n"/>
      <c r="BW58" s="59" t="n"/>
      <c r="BX58" s="59" t="n"/>
      <c r="BY58" s="59" t="n"/>
      <c r="BZ58" s="59" t="n"/>
      <c r="CA58" s="59" t="n"/>
      <c r="CB58" s="59" t="n"/>
      <c r="CC58" s="59" t="n"/>
      <c r="CD58" s="59" t="n"/>
      <c r="CE58" s="1039" t="n"/>
    </row>
    <row r="59" ht="14" customHeight="1" s="1883">
      <c r="A59" s="227" t="n"/>
      <c r="B59" s="55" t="n"/>
      <c r="C59" s="632" t="inlineStr">
        <is>
          <t>Total Headcount</t>
        </is>
      </c>
      <c r="D59" s="632" t="n"/>
      <c r="E59" s="632" t="n"/>
      <c r="F59" s="632" t="n"/>
      <c r="G59" s="632" t="n"/>
      <c r="H59" s="632" t="n"/>
      <c r="I59" s="632" t="n"/>
      <c r="J59" s="632" t="n"/>
      <c r="K59" s="632" t="n"/>
      <c r="L59" s="633">
        <f>SUM(L10:L39,L43:L56)</f>
        <v/>
      </c>
      <c r="M59" s="633">
        <f>SUM(M10:M39,M43:M56)</f>
        <v/>
      </c>
      <c r="N59" s="633">
        <f>SUM(N10:N39,N43:N56)</f>
        <v/>
      </c>
      <c r="O59" s="633">
        <f>SUM(O10:O39,O43:O56)</f>
        <v/>
      </c>
      <c r="P59" s="633">
        <f>SUM(P10:P39,P43:P56)</f>
        <v/>
      </c>
      <c r="Q59" s="1323">
        <f>SUM(Q10:Q39,Q43:Q56)</f>
        <v/>
      </c>
      <c r="R59" s="1323">
        <f>SUM(R10:R39,R43:R56)</f>
        <v/>
      </c>
      <c r="S59" s="633">
        <f>SUM(S10:S39,S43:S56)</f>
        <v/>
      </c>
      <c r="T59" s="633">
        <f>SUM(T10:T39,T43:T56)</f>
        <v/>
      </c>
      <c r="U59" s="633">
        <f>SUM(U10:U39,U43:U56)</f>
        <v/>
      </c>
      <c r="V59" s="633">
        <f>SUM(V10:V39,V43:V56)</f>
        <v/>
      </c>
      <c r="W59" s="1324">
        <f>SUM(W10:W39,W43:W56)</f>
        <v/>
      </c>
      <c r="X59" s="633">
        <f>SUM(X10:X39,X43:X56)</f>
        <v/>
      </c>
      <c r="Y59" s="633">
        <f>SUM(Y10:Y39,Y43:Y56)</f>
        <v/>
      </c>
      <c r="Z59" s="633">
        <f>SUM(Z10:Z39,Z43:Z56)</f>
        <v/>
      </c>
      <c r="AA59" s="633">
        <f>SUM(AA10:AA39,AA43:AA56)</f>
        <v/>
      </c>
      <c r="AB59" s="633">
        <f>SUM(AB10:AB39,AB43:AB56)</f>
        <v/>
      </c>
      <c r="AC59" s="633">
        <f>SUM(AC10:AC39,AC43:AC56)</f>
        <v/>
      </c>
      <c r="AD59" s="633">
        <f>SUM(AD10:AD39,AD43:AD56)</f>
        <v/>
      </c>
      <c r="AE59" s="633">
        <f>SUM(AE10:AE39,AE43:AE56)</f>
        <v/>
      </c>
      <c r="AF59" s="633">
        <f>SUM(AF10:AF39,AF43:AF56)</f>
        <v/>
      </c>
      <c r="AG59" s="633">
        <f>SUM(AG10:AG39,AG43:AG56)</f>
        <v/>
      </c>
      <c r="AH59" s="633">
        <f>SUM(AH10:AH39,AH43:AH56)</f>
        <v/>
      </c>
      <c r="AI59" s="1324">
        <f>SUM(AI10:AI39,AI43:AI56)</f>
        <v/>
      </c>
      <c r="AJ59" s="633">
        <f>SUM(AJ10:AJ39,AJ43:AJ56)</f>
        <v/>
      </c>
      <c r="AK59" s="633">
        <f>SUM(AK10:AK39,AK43:AK56)</f>
        <v/>
      </c>
      <c r="AL59" s="633">
        <f>SUM(AL10:AL39,AL43:AL56)</f>
        <v/>
      </c>
      <c r="AM59" s="633">
        <f>SUM(AM10:AM39,AM43:AM56)</f>
        <v/>
      </c>
      <c r="AN59" s="633">
        <f>SUM(AN10:AN39,AN43:AN56)</f>
        <v/>
      </c>
      <c r="AO59" s="633">
        <f>SUM(AO10:AO39,AO43:AO56)</f>
        <v/>
      </c>
      <c r="AP59" s="633">
        <f>SUM(AP10:AP39,AP43:AP56)</f>
        <v/>
      </c>
      <c r="AQ59" s="633">
        <f>SUM(AQ10:AQ39,AQ43:AQ56)</f>
        <v/>
      </c>
      <c r="AR59" s="633">
        <f>SUM(AR10:AR39,AR43:AR56)</f>
        <v/>
      </c>
      <c r="AS59" s="633">
        <f>SUM(AS10:AS39,AS43:AS56)</f>
        <v/>
      </c>
      <c r="AT59" s="633">
        <f>SUM(AT10:AT39,AT43:AT56)</f>
        <v/>
      </c>
      <c r="AU59" s="1324">
        <f>SUM(AU10:AU39,AU43:AU56)</f>
        <v/>
      </c>
      <c r="AV59" s="633">
        <f>SUM(AV10:AV39,AV43:AV56)</f>
        <v/>
      </c>
      <c r="AW59" s="633">
        <f>SUM(AW10:AW39,AW43:AW56)</f>
        <v/>
      </c>
      <c r="AX59" s="633">
        <f>SUM(AX10:AX39,AX43:AX56)</f>
        <v/>
      </c>
      <c r="AY59" s="633">
        <f>SUM(AY10:AY39,AY43:AY56)</f>
        <v/>
      </c>
      <c r="AZ59" s="633">
        <f>SUM(AZ10:AZ39,AZ43:AZ56)</f>
        <v/>
      </c>
      <c r="BA59" s="633">
        <f>SUM(BA10:BA39,BA43:BA56)</f>
        <v/>
      </c>
      <c r="BB59" s="633">
        <f>SUM(BB10:BB39,BB43:BB56)</f>
        <v/>
      </c>
      <c r="BC59" s="633">
        <f>SUM(BC10:BC39,BC43:BC56)</f>
        <v/>
      </c>
      <c r="BD59" s="633">
        <f>SUM(BD10:BD39,BD43:BD56)</f>
        <v/>
      </c>
      <c r="BE59" s="633">
        <f>SUM(BE10:BE39,BE43:BE56)</f>
        <v/>
      </c>
      <c r="BF59" s="633">
        <f>SUM(BF10:BF39,BF43:BF56)</f>
        <v/>
      </c>
      <c r="BG59" s="1324">
        <f>SUM(BG10:BG39,BG43:BG56)</f>
        <v/>
      </c>
      <c r="BH59" s="633">
        <f>SUM(BH10:BH39,BH43:BH56)</f>
        <v/>
      </c>
      <c r="BI59" s="633">
        <f>SUM(BI10:BI39,BI43:BI56)</f>
        <v/>
      </c>
      <c r="BJ59" s="633">
        <f>SUM(BJ10:BJ39,BJ43:BJ56)</f>
        <v/>
      </c>
      <c r="BK59" s="633">
        <f>SUM(BK10:BK39,BK43:BK56)</f>
        <v/>
      </c>
      <c r="BL59" s="633">
        <f>SUM(BL10:BL39,BL43:BL56)</f>
        <v/>
      </c>
      <c r="BM59" s="633">
        <f>SUM(BM10:BM39,BM43:BM56)</f>
        <v/>
      </c>
      <c r="BN59" s="633">
        <f>SUM(BN10:BN39,BN43:BN56)</f>
        <v/>
      </c>
      <c r="BO59" s="633">
        <f>SUM(BO10:BO39,BO43:BO56)</f>
        <v/>
      </c>
      <c r="BP59" s="633">
        <f>SUM(BP10:BP39,BP43:BP56)</f>
        <v/>
      </c>
      <c r="BQ59" s="633">
        <f>SUM(BQ10:BQ39,BQ43:BQ56)</f>
        <v/>
      </c>
      <c r="BR59" s="633">
        <f>SUM(BR10:BR39,BR43:BR56)</f>
        <v/>
      </c>
      <c r="BS59" s="1324">
        <f>SUM(BS10:BS39,BS43:BS56)</f>
        <v/>
      </c>
      <c r="BT59" s="633">
        <f>SUM(BT10:BT39,BT43:BT56)</f>
        <v/>
      </c>
      <c r="BU59" s="633">
        <f>SUM(BU10:BU39,BU43:BU56)</f>
        <v/>
      </c>
      <c r="BV59" s="633">
        <f>SUM(BV10:BV39,BV43:BV56)</f>
        <v/>
      </c>
      <c r="BW59" s="633">
        <f>SUM(BW10:BW39,BW43:BW56)</f>
        <v/>
      </c>
      <c r="BX59" s="633">
        <f>SUM(BX10:BX39,BX43:BX56)</f>
        <v/>
      </c>
      <c r="BY59" s="633">
        <f>SUM(BY10:BY39,BY43:BY56)</f>
        <v/>
      </c>
      <c r="BZ59" s="633">
        <f>SUM(BZ10:BZ39,BZ43:BZ56)</f>
        <v/>
      </c>
      <c r="CA59" s="633">
        <f>SUM(CA10:CA39,CA43:CA56)</f>
        <v/>
      </c>
      <c r="CB59" s="633">
        <f>SUM(CB10:CB39,CB43:CB56)</f>
        <v/>
      </c>
      <c r="CC59" s="633">
        <f>SUM(CC10:CC39,CC43:CC56)</f>
        <v/>
      </c>
      <c r="CD59" s="633">
        <f>SUM(CD10:CD39,CD43:CD56)</f>
        <v/>
      </c>
      <c r="CE59" s="1324">
        <f>SUM(CE10:CE39,CE43:CE56)</f>
        <v/>
      </c>
    </row>
    <row r="60" ht="12.75" customHeight="1" s="1883">
      <c r="A60" s="241" t="n"/>
      <c r="B60" s="88" t="n"/>
      <c r="C60" s="88" t="n"/>
      <c r="D60" s="55" t="n"/>
      <c r="E60" s="55" t="n"/>
      <c r="F60" s="55" t="n"/>
      <c r="G60" s="55" t="n"/>
      <c r="H60" s="55" t="n"/>
      <c r="I60" s="55" t="n"/>
      <c r="J60" s="55" t="n"/>
      <c r="K60" s="55" t="n"/>
      <c r="L60" s="2115" t="n"/>
      <c r="M60" s="2115" t="n"/>
      <c r="N60" s="2115" t="n"/>
      <c r="O60" s="2115" t="n"/>
      <c r="P60" s="2115" t="n"/>
      <c r="Q60" s="2130" t="n"/>
      <c r="R60" s="2130" t="n"/>
      <c r="S60" s="2115" t="n"/>
      <c r="T60" s="2115" t="n"/>
      <c r="U60" s="2115" t="n"/>
      <c r="V60" s="2115" t="n"/>
      <c r="W60" s="1039" t="n"/>
      <c r="X60" s="2115" t="n"/>
      <c r="Y60" s="2115" t="n"/>
      <c r="Z60" s="59" t="n"/>
      <c r="AA60" s="59" t="n"/>
      <c r="AB60" s="59" t="n"/>
      <c r="AC60" s="59" t="n"/>
      <c r="AD60" s="59" t="n"/>
      <c r="AE60" s="59" t="n"/>
      <c r="AF60" s="59" t="n"/>
      <c r="AG60" s="59" t="n"/>
      <c r="AH60" s="59" t="n"/>
      <c r="AI60" s="1039" t="n"/>
      <c r="AJ60" s="59" t="n"/>
      <c r="AK60" s="59" t="n"/>
      <c r="AL60" s="59" t="n"/>
      <c r="AM60" s="59" t="n"/>
      <c r="AN60" s="59" t="n"/>
      <c r="AO60" s="59" t="n"/>
      <c r="AP60" s="59" t="n"/>
      <c r="AQ60" s="59" t="n"/>
      <c r="AR60" s="59" t="n"/>
      <c r="AS60" s="59" t="n"/>
      <c r="AT60" s="59" t="n"/>
      <c r="AU60" s="1039" t="n"/>
      <c r="AV60" s="59" t="n"/>
      <c r="AW60" s="59" t="n"/>
      <c r="AX60" s="59" t="n"/>
      <c r="AY60" s="59" t="n"/>
      <c r="AZ60" s="59" t="n"/>
      <c r="BA60" s="59" t="n"/>
      <c r="BB60" s="59" t="n"/>
      <c r="BC60" s="59" t="n"/>
      <c r="BD60" s="59" t="n"/>
      <c r="BE60" s="59" t="n"/>
      <c r="BF60" s="59" t="n"/>
      <c r="BG60" s="1039" t="n"/>
      <c r="BH60" s="59" t="n"/>
      <c r="BI60" s="59" t="n"/>
      <c r="BJ60" s="59" t="n"/>
      <c r="BK60" s="59" t="n"/>
      <c r="BL60" s="59" t="n"/>
      <c r="BM60" s="59" t="n"/>
      <c r="BN60" s="59" t="n"/>
      <c r="BO60" s="59" t="n"/>
      <c r="BP60" s="59" t="n"/>
      <c r="BQ60" s="59" t="n"/>
      <c r="BR60" s="59" t="n"/>
      <c r="BS60" s="1039" t="n"/>
      <c r="BT60" s="59" t="n"/>
      <c r="BU60" s="59" t="n"/>
      <c r="BV60" s="59" t="n"/>
      <c r="BW60" s="59" t="n"/>
      <c r="BX60" s="59" t="n"/>
      <c r="BY60" s="59" t="n"/>
      <c r="BZ60" s="59" t="n"/>
      <c r="CA60" s="59" t="n"/>
      <c r="CB60" s="59" t="n"/>
      <c r="CC60" s="59" t="n"/>
      <c r="CD60" s="59" t="n"/>
      <c r="CE60" s="1039" t="n"/>
    </row>
    <row r="61" ht="12.75" customHeight="1" s="1883">
      <c r="A61" s="241" t="n"/>
      <c r="B61" s="1326" t="n"/>
      <c r="C61" s="1326" t="n"/>
      <c r="D61" s="1326" t="inlineStr">
        <is>
          <t>Total Salary</t>
        </is>
      </c>
      <c r="E61" s="1326" t="n"/>
      <c r="F61" s="1326" t="n"/>
      <c r="G61" s="1326" t="n"/>
      <c r="H61" s="1326" t="n"/>
      <c r="I61" s="1326" t="n"/>
      <c r="J61" s="1326" t="n"/>
      <c r="K61" s="1326" t="n"/>
      <c r="L61" s="1327">
        <f>L41+L57</f>
        <v/>
      </c>
      <c r="M61" s="1327">
        <f>M41+M57</f>
        <v/>
      </c>
      <c r="N61" s="1327">
        <f>N41+N57</f>
        <v/>
      </c>
      <c r="O61" s="1327">
        <f>O41+O57</f>
        <v/>
      </c>
      <c r="P61" s="1327">
        <f>P41+P57</f>
        <v/>
      </c>
      <c r="Q61" s="1328">
        <f>Q41+Q57</f>
        <v/>
      </c>
      <c r="R61" s="1328">
        <f>R41+R57</f>
        <v/>
      </c>
      <c r="S61" s="1327">
        <f>S41+S57</f>
        <v/>
      </c>
      <c r="T61" s="1327">
        <f>T41+T57</f>
        <v/>
      </c>
      <c r="U61" s="1327">
        <f>U41+U57</f>
        <v/>
      </c>
      <c r="V61" s="1327">
        <f>V41+V57</f>
        <v/>
      </c>
      <c r="W61" s="242">
        <f>W41+W57</f>
        <v/>
      </c>
      <c r="X61" s="546">
        <f>X41+X57</f>
        <v/>
      </c>
      <c r="Y61" s="1327">
        <f>Y41+Y57</f>
        <v/>
      </c>
      <c r="Z61" s="1327">
        <f>Z41+Z57</f>
        <v/>
      </c>
      <c r="AA61" s="1327">
        <f>AA41+AA57</f>
        <v/>
      </c>
      <c r="AB61" s="1327">
        <f>AB41+AB57</f>
        <v/>
      </c>
      <c r="AC61" s="1327">
        <f>AC41+AC57</f>
        <v/>
      </c>
      <c r="AD61" s="1327">
        <f>AD41+AD57</f>
        <v/>
      </c>
      <c r="AE61" s="1327">
        <f>AE41+AE57</f>
        <v/>
      </c>
      <c r="AF61" s="1327">
        <f>AF41+AF57</f>
        <v/>
      </c>
      <c r="AG61" s="1327">
        <f>AG41+AG57</f>
        <v/>
      </c>
      <c r="AH61" s="1327">
        <f>AH41+AH57</f>
        <v/>
      </c>
      <c r="AI61" s="242">
        <f>AI41+AI57</f>
        <v/>
      </c>
      <c r="AJ61" s="1327">
        <f>AJ41+AJ57</f>
        <v/>
      </c>
      <c r="AK61" s="1327">
        <f>AK41+AK57</f>
        <v/>
      </c>
      <c r="AL61" s="1327">
        <f>AL41+AL57</f>
        <v/>
      </c>
      <c r="AM61" s="1327">
        <f>AM41+AM57</f>
        <v/>
      </c>
      <c r="AN61" s="1327">
        <f>AN41+AN57</f>
        <v/>
      </c>
      <c r="AO61" s="1327">
        <f>AO41+AO57</f>
        <v/>
      </c>
      <c r="AP61" s="1327">
        <f>AP41+AP57</f>
        <v/>
      </c>
      <c r="AQ61" s="1327">
        <f>AQ41+AQ57</f>
        <v/>
      </c>
      <c r="AR61" s="1327">
        <f>AR41+AR57</f>
        <v/>
      </c>
      <c r="AS61" s="1327">
        <f>AS41+AS57</f>
        <v/>
      </c>
      <c r="AT61" s="1327">
        <f>AT41+AT57</f>
        <v/>
      </c>
      <c r="AU61" s="242">
        <f>AU41+AU57</f>
        <v/>
      </c>
      <c r="AV61" s="1327">
        <f>AV41+AV57</f>
        <v/>
      </c>
      <c r="AW61" s="1327">
        <f>AW41+AW57</f>
        <v/>
      </c>
      <c r="AX61" s="1327">
        <f>AX41+AX57</f>
        <v/>
      </c>
      <c r="AY61" s="1327">
        <f>AY41+AY57</f>
        <v/>
      </c>
      <c r="AZ61" s="1327">
        <f>AZ41+AZ57</f>
        <v/>
      </c>
      <c r="BA61" s="243">
        <f>BA41+BA57</f>
        <v/>
      </c>
      <c r="BB61" s="1327">
        <f>BB41+BB57</f>
        <v/>
      </c>
      <c r="BC61" s="1327">
        <f>BC41+BC57</f>
        <v/>
      </c>
      <c r="BD61" s="1327">
        <f>BD41+BD57</f>
        <v/>
      </c>
      <c r="BE61" s="1327">
        <f>BE41+BE57</f>
        <v/>
      </c>
      <c r="BF61" s="1327">
        <f>BF41+BF57</f>
        <v/>
      </c>
      <c r="BG61" s="242">
        <f>BG41+BG57</f>
        <v/>
      </c>
      <c r="BH61" s="1327">
        <f>BH41+BH57</f>
        <v/>
      </c>
      <c r="BI61" s="1327">
        <f>BI41+BI57</f>
        <v/>
      </c>
      <c r="BJ61" s="1327">
        <f>BJ41+BJ57</f>
        <v/>
      </c>
      <c r="BK61" s="1327">
        <f>BK41+BK57</f>
        <v/>
      </c>
      <c r="BL61" s="1327">
        <f>BL41+BL57</f>
        <v/>
      </c>
      <c r="BM61" s="243">
        <f>BM41+BM57</f>
        <v/>
      </c>
      <c r="BN61" s="1327">
        <f>BN41+BN57</f>
        <v/>
      </c>
      <c r="BO61" s="1327">
        <f>BO41+BO57</f>
        <v/>
      </c>
      <c r="BP61" s="1327">
        <f>BP41+BP57</f>
        <v/>
      </c>
      <c r="BQ61" s="1327">
        <f>BQ41+BQ57</f>
        <v/>
      </c>
      <c r="BR61" s="1327">
        <f>BR41+BR57</f>
        <v/>
      </c>
      <c r="BS61" s="242">
        <f>BS41+BS57</f>
        <v/>
      </c>
      <c r="BT61" s="1327">
        <f>BT41+BT57</f>
        <v/>
      </c>
      <c r="BU61" s="1327">
        <f>BU41+BU57</f>
        <v/>
      </c>
      <c r="BV61" s="1327">
        <f>BV41+BV57</f>
        <v/>
      </c>
      <c r="BW61" s="1327">
        <f>BW41+BW57</f>
        <v/>
      </c>
      <c r="BX61" s="1327">
        <f>BX41+BX57</f>
        <v/>
      </c>
      <c r="BY61" s="243">
        <f>BY41+BY57</f>
        <v/>
      </c>
      <c r="BZ61" s="1327">
        <f>BZ41+BZ57</f>
        <v/>
      </c>
      <c r="CA61" s="1327">
        <f>CA41+CA57</f>
        <v/>
      </c>
      <c r="CB61" s="1327">
        <f>CB41+CB57</f>
        <v/>
      </c>
      <c r="CC61" s="1327">
        <f>CC41+CC57</f>
        <v/>
      </c>
      <c r="CD61" s="1327">
        <f>CD41+CD57</f>
        <v/>
      </c>
      <c r="CE61" s="242">
        <f>CE41+CE57</f>
        <v/>
      </c>
    </row>
    <row r="62" ht="12.75" customHeight="1" s="1883">
      <c r="A62" s="241" t="n"/>
      <c r="B62" s="88" t="n"/>
      <c r="C62" s="88" t="n"/>
      <c r="D62" s="88" t="n"/>
      <c r="E62" s="88" t="n"/>
      <c r="F62" s="88" t="n"/>
      <c r="G62" s="88" t="n"/>
      <c r="H62" s="88" t="n"/>
      <c r="I62" s="88" t="n"/>
      <c r="J62" s="88" t="n"/>
      <c r="K62" s="88" t="n"/>
      <c r="L62" s="244" t="n"/>
      <c r="M62" s="244" t="n"/>
      <c r="N62" s="244" t="n"/>
      <c r="O62" s="244" t="n"/>
      <c r="P62" s="244" t="n"/>
      <c r="Q62" s="1329" t="n"/>
      <c r="R62" s="1329" t="n"/>
      <c r="S62" s="244" t="n"/>
      <c r="T62" s="244" t="n"/>
      <c r="U62" s="244" t="n"/>
      <c r="V62" s="244" t="n"/>
      <c r="W62" s="1330" t="n"/>
      <c r="X62" s="244" t="n"/>
      <c r="Y62" s="244" t="n"/>
      <c r="Z62" s="244" t="n"/>
      <c r="AA62" s="244" t="n"/>
      <c r="AB62" s="244" t="n"/>
      <c r="AC62" s="244" t="n"/>
      <c r="AD62" s="244" t="n"/>
      <c r="AE62" s="244" t="n"/>
      <c r="AF62" s="244" t="n"/>
      <c r="AG62" s="244" t="n"/>
      <c r="AH62" s="244" t="n"/>
      <c r="AI62" s="1330" t="n"/>
      <c r="AJ62" s="244" t="n"/>
      <c r="AK62" s="244" t="n"/>
      <c r="AL62" s="244" t="n"/>
      <c r="AM62" s="244" t="n"/>
      <c r="AN62" s="244" t="n"/>
      <c r="AO62" s="244" t="n"/>
      <c r="AP62" s="244" t="n"/>
      <c r="AQ62" s="244" t="n"/>
      <c r="AR62" s="244" t="n"/>
      <c r="AS62" s="244" t="n"/>
      <c r="AT62" s="244" t="n"/>
      <c r="AU62" s="1330" t="n"/>
      <c r="AV62" s="244" t="n"/>
      <c r="AW62" s="244" t="n"/>
      <c r="AX62" s="244" t="n"/>
      <c r="AY62" s="244" t="n"/>
      <c r="AZ62" s="244" t="n"/>
      <c r="BA62" s="244" t="n"/>
      <c r="BB62" s="244" t="n"/>
      <c r="BC62" s="244" t="n"/>
      <c r="BD62" s="244" t="n"/>
      <c r="BE62" s="244" t="n"/>
      <c r="BF62" s="244" t="n"/>
      <c r="BG62" s="1330" t="n"/>
      <c r="BH62" s="244" t="n"/>
      <c r="BI62" s="244" t="n"/>
      <c r="BJ62" s="244" t="n"/>
      <c r="BK62" s="244" t="n"/>
      <c r="BL62" s="244" t="n"/>
      <c r="BM62" s="244" t="n"/>
      <c r="BN62" s="244" t="n"/>
      <c r="BO62" s="244" t="n"/>
      <c r="BP62" s="244" t="n"/>
      <c r="BQ62" s="244" t="n"/>
      <c r="BR62" s="244" t="n"/>
      <c r="BS62" s="1330" t="n"/>
      <c r="BT62" s="244" t="n"/>
      <c r="BU62" s="244" t="n"/>
      <c r="BV62" s="244" t="n"/>
      <c r="BW62" s="244" t="n"/>
      <c r="BX62" s="244" t="n"/>
      <c r="BY62" s="244" t="n"/>
      <c r="BZ62" s="244" t="n"/>
      <c r="CA62" s="244" t="n"/>
      <c r="CB62" s="244" t="n"/>
      <c r="CC62" s="244" t="n"/>
      <c r="CD62" s="244" t="n"/>
      <c r="CE62" s="1330" t="n"/>
    </row>
    <row r="63" ht="12.75" customHeight="1" s="1883">
      <c r="A63" s="241" t="n"/>
      <c r="B63" s="88" t="inlineStr">
        <is>
          <t>Payroll Taxes &amp; Benefits @ 25%</t>
        </is>
      </c>
      <c r="C63" s="88" t="n"/>
      <c r="D63" s="88" t="n"/>
      <c r="E63" s="2131" t="n"/>
      <c r="F63" s="2131" t="n"/>
      <c r="G63" s="2131" t="n"/>
      <c r="H63" s="2131" t="n"/>
      <c r="I63" s="2131" t="n"/>
      <c r="J63" s="2131" t="n"/>
      <c r="K63" s="2131" t="n"/>
      <c r="L63" s="2132" t="n">
        <v>0</v>
      </c>
      <c r="M63" s="2132" t="n">
        <v>0</v>
      </c>
      <c r="N63" s="2132" t="n">
        <v>0</v>
      </c>
      <c r="O63" s="2132" t="n">
        <v>0</v>
      </c>
      <c r="P63" s="2132" t="n">
        <v>0</v>
      </c>
      <c r="Q63" s="2133" t="n">
        <v>0</v>
      </c>
      <c r="R63" s="2133">
        <f>R61*0.25</f>
        <v/>
      </c>
      <c r="S63" s="2132">
        <f>S61*0.25</f>
        <v/>
      </c>
      <c r="T63" s="2132">
        <f>T61*0.25</f>
        <v/>
      </c>
      <c r="U63" s="2132">
        <f>U61*0.25</f>
        <v/>
      </c>
      <c r="V63" s="2132">
        <f>V61*0.25</f>
        <v/>
      </c>
      <c r="W63" s="2134">
        <f>W61*0.25</f>
        <v/>
      </c>
      <c r="X63" s="2132">
        <f>X61*0.25</f>
        <v/>
      </c>
      <c r="Y63" s="2132">
        <f>Y61*0.25</f>
        <v/>
      </c>
      <c r="Z63" s="2132">
        <f>Z61*0.25</f>
        <v/>
      </c>
      <c r="AA63" s="2132">
        <f>AA61*0.25</f>
        <v/>
      </c>
      <c r="AB63" s="2132">
        <f>AB61*0.25</f>
        <v/>
      </c>
      <c r="AC63" s="2132">
        <f>AC61*0.25</f>
        <v/>
      </c>
      <c r="AD63" s="2132">
        <f>AD61*0.25</f>
        <v/>
      </c>
      <c r="AE63" s="2132">
        <f>AE61*0.25</f>
        <v/>
      </c>
      <c r="AF63" s="2132">
        <f>AF61*0.25</f>
        <v/>
      </c>
      <c r="AG63" s="2132">
        <f>AG61*0.25</f>
        <v/>
      </c>
      <c r="AH63" s="2132">
        <f>AH61*0.25</f>
        <v/>
      </c>
      <c r="AI63" s="2134">
        <f>AI61*0.25</f>
        <v/>
      </c>
      <c r="AJ63" s="2132">
        <f>AJ61*0.25</f>
        <v/>
      </c>
      <c r="AK63" s="2132">
        <f>AK61*0.25</f>
        <v/>
      </c>
      <c r="AL63" s="2132">
        <f>AL61*0.25</f>
        <v/>
      </c>
      <c r="AM63" s="2132">
        <f>AM61*0.25</f>
        <v/>
      </c>
      <c r="AN63" s="2132">
        <f>AN61*0.25</f>
        <v/>
      </c>
      <c r="AO63" s="2132">
        <f>AO61*0.25</f>
        <v/>
      </c>
      <c r="AP63" s="2132">
        <f>AP61*0.25</f>
        <v/>
      </c>
      <c r="AQ63" s="2132">
        <f>AQ61*0.25</f>
        <v/>
      </c>
      <c r="AR63" s="2132">
        <f>AR61*0.25</f>
        <v/>
      </c>
      <c r="AS63" s="2132">
        <f>AS61*0.25</f>
        <v/>
      </c>
      <c r="AT63" s="2132">
        <f>AT61*0.25</f>
        <v/>
      </c>
      <c r="AU63" s="2134">
        <f>AU61*0.25</f>
        <v/>
      </c>
      <c r="AV63" s="2132">
        <f>AV61*0.25</f>
        <v/>
      </c>
      <c r="AW63" s="2132">
        <f>AW61*0.25</f>
        <v/>
      </c>
      <c r="AX63" s="2132">
        <f>AX61*0.25</f>
        <v/>
      </c>
      <c r="AY63" s="2132">
        <f>AY61*0.25</f>
        <v/>
      </c>
      <c r="AZ63" s="2132">
        <f>AZ61*0.25</f>
        <v/>
      </c>
      <c r="BA63" s="2132">
        <f>BA61*0.25</f>
        <v/>
      </c>
      <c r="BB63" s="2132">
        <f>BB61*0.25</f>
        <v/>
      </c>
      <c r="BC63" s="2132">
        <f>BC61*0.25</f>
        <v/>
      </c>
      <c r="BD63" s="2132">
        <f>BD61*0.25</f>
        <v/>
      </c>
      <c r="BE63" s="244">
        <f>BE61*0.25</f>
        <v/>
      </c>
      <c r="BF63" s="244">
        <f>BF61*0.25</f>
        <v/>
      </c>
      <c r="BG63" s="1330">
        <f>BG61*0.25</f>
        <v/>
      </c>
      <c r="BH63" s="244">
        <f>BH61*0.25</f>
        <v/>
      </c>
      <c r="BI63" s="244">
        <f>BI61*0.25</f>
        <v/>
      </c>
      <c r="BJ63" s="244">
        <f>BJ61*0.25</f>
        <v/>
      </c>
      <c r="BK63" s="244">
        <f>BK61*0.25</f>
        <v/>
      </c>
      <c r="BL63" s="244">
        <f>BL61*0.25</f>
        <v/>
      </c>
      <c r="BM63" s="244">
        <f>BM61*0.25</f>
        <v/>
      </c>
      <c r="BN63" s="244">
        <f>BN61*0.25</f>
        <v/>
      </c>
      <c r="BO63" s="244">
        <f>BO61*0.25</f>
        <v/>
      </c>
      <c r="BP63" s="244">
        <f>BP61*0.25</f>
        <v/>
      </c>
      <c r="BQ63" s="244">
        <f>BQ61*0.25</f>
        <v/>
      </c>
      <c r="BR63" s="244">
        <f>BR61*0.25</f>
        <v/>
      </c>
      <c r="BS63" s="1330">
        <f>BS61*0.25</f>
        <v/>
      </c>
      <c r="BT63" s="244">
        <f>BT61*0.25</f>
        <v/>
      </c>
      <c r="BU63" s="244">
        <f>BU61*0.25</f>
        <v/>
      </c>
      <c r="BV63" s="244">
        <f>BV61*0.25</f>
        <v/>
      </c>
      <c r="BW63" s="244">
        <f>BW61*0.25</f>
        <v/>
      </c>
      <c r="BX63" s="244">
        <f>BX61*0.25</f>
        <v/>
      </c>
      <c r="BY63" s="244">
        <f>BY61*0.25</f>
        <v/>
      </c>
      <c r="BZ63" s="244">
        <f>BZ61*0.25</f>
        <v/>
      </c>
      <c r="CA63" s="244">
        <f>CA61*0.25</f>
        <v/>
      </c>
      <c r="CB63" s="244">
        <f>CB61*0.25</f>
        <v/>
      </c>
      <c r="CC63" s="244">
        <f>CC61*0.25</f>
        <v/>
      </c>
      <c r="CD63" s="244">
        <f>CD61*0.25</f>
        <v/>
      </c>
      <c r="CE63" s="1330">
        <f>CE61*0.25</f>
        <v/>
      </c>
    </row>
    <row r="64" ht="12.75" customHeight="1" s="1883">
      <c r="A64" s="241" t="n"/>
      <c r="B64" s="88" t="n"/>
      <c r="C64" s="55" t="n"/>
      <c r="D64" s="76" t="n"/>
      <c r="E64" s="76" t="n"/>
      <c r="F64" s="76" t="n"/>
      <c r="G64" s="76" t="n"/>
      <c r="H64" s="76" t="n"/>
      <c r="I64" s="76" t="n"/>
      <c r="J64" s="76" t="n"/>
      <c r="K64" s="76" t="n"/>
      <c r="L64" s="244" t="n"/>
      <c r="M64" s="244" t="n"/>
      <c r="N64" s="244" t="n"/>
      <c r="O64" s="244" t="n"/>
      <c r="P64" s="244" t="n"/>
      <c r="Q64" s="1329" t="n"/>
      <c r="R64" s="1329" t="n"/>
      <c r="S64" s="244" t="n"/>
      <c r="T64" s="244" t="n"/>
      <c r="U64" s="244" t="n"/>
      <c r="V64" s="244" t="n"/>
      <c r="W64" s="1330" t="n"/>
      <c r="X64" s="244" t="n"/>
      <c r="Y64" s="244" t="n"/>
      <c r="Z64" s="244" t="n"/>
      <c r="AA64" s="244" t="n"/>
      <c r="AB64" s="244" t="n"/>
      <c r="AC64" s="244" t="n"/>
      <c r="AD64" s="244" t="n"/>
      <c r="AE64" s="244" t="n"/>
      <c r="AF64" s="244" t="n"/>
      <c r="AG64" s="244" t="n"/>
      <c r="AH64" s="244" t="n"/>
      <c r="AI64" s="1330" t="n"/>
      <c r="AJ64" s="244" t="n"/>
      <c r="AK64" s="244" t="n"/>
      <c r="AL64" s="244" t="n"/>
      <c r="AM64" s="244" t="n"/>
      <c r="AN64" s="244" t="n"/>
      <c r="AO64" s="244" t="n"/>
      <c r="AP64" s="244" t="n"/>
      <c r="AQ64" s="244" t="n"/>
      <c r="AR64" s="244" t="n"/>
      <c r="AS64" s="244" t="n"/>
      <c r="AT64" s="244" t="n"/>
      <c r="AU64" s="1330" t="n"/>
      <c r="AV64" s="244" t="n"/>
      <c r="AW64" s="244" t="n"/>
      <c r="AX64" s="244" t="n"/>
      <c r="AY64" s="244" t="n"/>
      <c r="AZ64" s="244" t="n"/>
      <c r="BA64" s="244" t="n"/>
      <c r="BB64" s="244" t="n"/>
      <c r="BC64" s="244" t="n"/>
      <c r="BD64" s="244" t="n"/>
      <c r="BE64" s="244" t="n"/>
      <c r="BF64" s="244" t="n"/>
      <c r="BG64" s="1330" t="n"/>
      <c r="BH64" s="244" t="n"/>
      <c r="BI64" s="244" t="n"/>
      <c r="BJ64" s="244" t="n"/>
      <c r="BK64" s="244" t="n"/>
      <c r="BL64" s="244" t="n"/>
      <c r="BM64" s="244" t="n"/>
      <c r="BN64" s="244" t="n"/>
      <c r="BO64" s="244" t="n"/>
      <c r="BP64" s="244" t="n"/>
      <c r="BQ64" s="244" t="n"/>
      <c r="BR64" s="244" t="n"/>
      <c r="BS64" s="1330" t="n"/>
      <c r="BT64" s="244" t="n"/>
      <c r="BU64" s="244" t="n"/>
      <c r="BV64" s="244" t="n"/>
      <c r="BW64" s="244" t="n"/>
      <c r="BX64" s="244" t="n"/>
      <c r="BY64" s="244" t="n"/>
      <c r="BZ64" s="244" t="n"/>
      <c r="CA64" s="244" t="n"/>
      <c r="CB64" s="244" t="n"/>
      <c r="CC64" s="244" t="n"/>
      <c r="CD64" s="244" t="n"/>
      <c r="CE64" s="1330" t="n"/>
    </row>
    <row r="65" ht="12.75" customHeight="1" s="1883">
      <c r="A65" s="241" t="n"/>
      <c r="B65" s="88" t="inlineStr">
        <is>
          <t>Total Personnel Expense</t>
        </is>
      </c>
      <c r="C65" s="247" t="n"/>
      <c r="D65" s="55" t="n"/>
      <c r="E65" s="55" t="n"/>
      <c r="F65" s="55" t="n"/>
      <c r="G65" s="55" t="n"/>
      <c r="H65" s="248" t="n"/>
      <c r="I65" s="248" t="n"/>
      <c r="J65" s="248" t="n"/>
      <c r="K65" s="248" t="n"/>
      <c r="L65" s="244">
        <f>L61+L63</f>
        <v/>
      </c>
      <c r="M65" s="244">
        <f>M61+M63</f>
        <v/>
      </c>
      <c r="N65" s="244">
        <f>N61+N63</f>
        <v/>
      </c>
      <c r="O65" s="244">
        <f>O61+O63</f>
        <v/>
      </c>
      <c r="P65" s="244">
        <f>P61+P63</f>
        <v/>
      </c>
      <c r="Q65" s="1329">
        <f>Q61+Q63</f>
        <v/>
      </c>
      <c r="R65" s="1329">
        <f>R61+R63</f>
        <v/>
      </c>
      <c r="S65" s="244">
        <f>S61+S63</f>
        <v/>
      </c>
      <c r="T65" s="244">
        <f>T61+T63</f>
        <v/>
      </c>
      <c r="U65" s="244">
        <f>U61+U63</f>
        <v/>
      </c>
      <c r="V65" s="244">
        <f>V61+V63</f>
        <v/>
      </c>
      <c r="W65" s="1330">
        <f>W61+W63</f>
        <v/>
      </c>
      <c r="X65" s="244">
        <f>X61+X63</f>
        <v/>
      </c>
      <c r="Y65" s="244">
        <f>Y61+Y63</f>
        <v/>
      </c>
      <c r="Z65" s="244">
        <f>Z61+Z63</f>
        <v/>
      </c>
      <c r="AA65" s="244">
        <f>AA61+AA63</f>
        <v/>
      </c>
      <c r="AB65" s="244">
        <f>AB61+AB63</f>
        <v/>
      </c>
      <c r="AC65" s="244">
        <f>AC61+AC63</f>
        <v/>
      </c>
      <c r="AD65" s="244">
        <f>AD61+AD63</f>
        <v/>
      </c>
      <c r="AE65" s="244">
        <f>AE61+AE63</f>
        <v/>
      </c>
      <c r="AF65" s="244">
        <f>AF61+AF63</f>
        <v/>
      </c>
      <c r="AG65" s="244">
        <f>AG61+AG63</f>
        <v/>
      </c>
      <c r="AH65" s="244">
        <f>AH61+AH63</f>
        <v/>
      </c>
      <c r="AI65" s="1330">
        <f>AI61+AI63</f>
        <v/>
      </c>
      <c r="AJ65" s="244">
        <f>AJ61+AJ63</f>
        <v/>
      </c>
      <c r="AK65" s="244">
        <f>AK61+AK63</f>
        <v/>
      </c>
      <c r="AL65" s="244">
        <f>AL61+AL63</f>
        <v/>
      </c>
      <c r="AM65" s="244">
        <f>AM61+AM63</f>
        <v/>
      </c>
      <c r="AN65" s="244">
        <f>AN61+AN63</f>
        <v/>
      </c>
      <c r="AO65" s="244">
        <f>AO61+AO63</f>
        <v/>
      </c>
      <c r="AP65" s="244">
        <f>AP61+AP63</f>
        <v/>
      </c>
      <c r="AQ65" s="244">
        <f>AQ61+AQ63</f>
        <v/>
      </c>
      <c r="AR65" s="244">
        <f>AR61+AR63</f>
        <v/>
      </c>
      <c r="AS65" s="244">
        <f>AS61+AS63</f>
        <v/>
      </c>
      <c r="AT65" s="244">
        <f>AT61+AT63</f>
        <v/>
      </c>
      <c r="AU65" s="1330">
        <f>AU61+AU63</f>
        <v/>
      </c>
      <c r="AV65" s="244">
        <f>AV61+AV63</f>
        <v/>
      </c>
      <c r="AW65" s="244">
        <f>AW61+AW63</f>
        <v/>
      </c>
      <c r="AX65" s="244">
        <f>AX61+AX63</f>
        <v/>
      </c>
      <c r="AY65" s="244">
        <f>AY61+AY63</f>
        <v/>
      </c>
      <c r="AZ65" s="244">
        <f>AZ61+AZ63</f>
        <v/>
      </c>
      <c r="BA65" s="244">
        <f>BA61+BA63</f>
        <v/>
      </c>
      <c r="BB65" s="244">
        <f>BB61+BB63</f>
        <v/>
      </c>
      <c r="BC65" s="244">
        <f>BC61+BC63</f>
        <v/>
      </c>
      <c r="BD65" s="244">
        <f>BD61+BD63</f>
        <v/>
      </c>
      <c r="BE65" s="244">
        <f>BE61+BE63</f>
        <v/>
      </c>
      <c r="BF65" s="244">
        <f>BF61+BF63</f>
        <v/>
      </c>
      <c r="BG65" s="1330">
        <f>BG61+BG63</f>
        <v/>
      </c>
      <c r="BH65" s="244">
        <f>BH61+BH63</f>
        <v/>
      </c>
      <c r="BI65" s="244">
        <f>BI61+BI63</f>
        <v/>
      </c>
      <c r="BJ65" s="244">
        <f>BJ61+BJ63</f>
        <v/>
      </c>
      <c r="BK65" s="244">
        <f>BK61+BK63</f>
        <v/>
      </c>
      <c r="BL65" s="244">
        <f>BL61+BL63</f>
        <v/>
      </c>
      <c r="BM65" s="244">
        <f>BM61+BM63</f>
        <v/>
      </c>
      <c r="BN65" s="244">
        <f>BN61+BN63</f>
        <v/>
      </c>
      <c r="BO65" s="244">
        <f>BO61+BO63</f>
        <v/>
      </c>
      <c r="BP65" s="244">
        <f>BP61+BP63</f>
        <v/>
      </c>
      <c r="BQ65" s="244">
        <f>BQ61+BQ63</f>
        <v/>
      </c>
      <c r="BR65" s="244">
        <f>BR61+BR63</f>
        <v/>
      </c>
      <c r="BS65" s="1330">
        <f>BS61+BS63</f>
        <v/>
      </c>
      <c r="BT65" s="244">
        <f>BT61+BT63</f>
        <v/>
      </c>
      <c r="BU65" s="244">
        <f>BU61+BU63</f>
        <v/>
      </c>
      <c r="BV65" s="244">
        <f>BV61+BV63</f>
        <v/>
      </c>
      <c r="BW65" s="244">
        <f>BW61+BW63</f>
        <v/>
      </c>
      <c r="BX65" s="244">
        <f>BX61+BX63</f>
        <v/>
      </c>
      <c r="BY65" s="244">
        <f>BY61+BY63</f>
        <v/>
      </c>
      <c r="BZ65" s="244">
        <f>BZ61+BZ63</f>
        <v/>
      </c>
      <c r="CA65" s="244">
        <f>CA61+CA63</f>
        <v/>
      </c>
      <c r="CB65" s="244">
        <f>CB61+CB63</f>
        <v/>
      </c>
      <c r="CC65" s="244">
        <f>CC61+CC63</f>
        <v/>
      </c>
      <c r="CD65" s="244">
        <f>CD61+CD63</f>
        <v/>
      </c>
      <c r="CE65" s="1330">
        <f>CE61+CE63</f>
        <v/>
      </c>
    </row>
    <row r="66" ht="12.75" customHeight="1" s="1883">
      <c r="A66" s="241" t="n"/>
      <c r="B66" s="249" t="inlineStr">
        <is>
          <t>Total Personnel Expense Bi-Quarterly</t>
        </is>
      </c>
      <c r="C66" s="249" t="n"/>
      <c r="D66" s="249" t="n"/>
      <c r="E66" s="249" t="n"/>
      <c r="F66" s="249" t="n"/>
      <c r="G66" s="249" t="n"/>
      <c r="H66" s="249" t="n"/>
      <c r="I66" s="249" t="n"/>
      <c r="J66" s="249" t="n"/>
      <c r="K66" s="249" t="n"/>
      <c r="L66" s="244" t="n"/>
      <c r="M66" s="244" t="n"/>
      <c r="N66" s="244" t="n"/>
      <c r="O66" s="250" t="inlineStr">
        <is>
          <t>Ramp Up 6 Month Total</t>
        </is>
      </c>
      <c r="P66" s="250" t="n"/>
      <c r="Q66" s="1333">
        <f>SUM(L65:Q65)</f>
        <v/>
      </c>
      <c r="R66" s="1329" t="n"/>
      <c r="S66" s="244" t="n"/>
      <c r="T66" s="244" t="n"/>
      <c r="U66" s="1985" t="inlineStr">
        <is>
          <t>Ramp Up 12 Month Total</t>
        </is>
      </c>
      <c r="W66" s="1334">
        <f>SUM(L65:W65)</f>
        <v/>
      </c>
      <c r="X66" s="244" t="n"/>
      <c r="Y66" s="244" t="n"/>
      <c r="AA66" s="1983" t="inlineStr">
        <is>
          <t>FY1 6 Month Total</t>
        </is>
      </c>
      <c r="AC66" s="251">
        <f>X65+Y65+Z65+AA65+AB65+AC65</f>
        <v/>
      </c>
      <c r="AD66" s="59" t="n"/>
      <c r="AE66" s="59" t="n"/>
      <c r="AF66" s="59" t="n"/>
      <c r="AG66" s="59" t="n"/>
      <c r="AH66" s="252" t="inlineStr">
        <is>
          <t>FY1 Total</t>
        </is>
      </c>
      <c r="AI66" s="1334">
        <f>X65+Y65+Z65+AA65+AB65+AC65+AD65+AE65+AF65+AG65+AH65+AI65</f>
        <v/>
      </c>
      <c r="AJ66" s="59" t="n"/>
      <c r="AK66" s="59" t="n"/>
      <c r="AL66" s="253" t="n"/>
      <c r="AM66" s="1983" t="inlineStr">
        <is>
          <t>FY2 6 Month Total</t>
        </is>
      </c>
      <c r="AO66" s="251">
        <f>AJ65+AK65+AL65+AM65+AN65+AO65</f>
        <v/>
      </c>
      <c r="AP66" s="59" t="n"/>
      <c r="AQ66" s="59" t="n"/>
      <c r="AR66" s="59" t="n"/>
      <c r="AS66" s="59" t="n"/>
      <c r="AT66" s="252" t="inlineStr">
        <is>
          <t>FY2 Total</t>
        </is>
      </c>
      <c r="AU66" s="1334">
        <f>AJ65+AK65+AL65+AM65+AN65+AO65+AP65+AQ65+AR65+AS65+AT65+AU65</f>
        <v/>
      </c>
      <c r="AV66" s="59" t="n"/>
      <c r="AW66" s="59" t="n"/>
      <c r="AX66" s="59" t="n"/>
      <c r="AY66" s="1983" t="inlineStr">
        <is>
          <t>FY3 6 Month Total</t>
        </is>
      </c>
      <c r="BA66" s="251">
        <f>AV65+AW65+AX65+AY65+AZ65+BA65</f>
        <v/>
      </c>
      <c r="BB66" s="59" t="n"/>
      <c r="BC66" s="59" t="n"/>
      <c r="BD66" s="59" t="n"/>
      <c r="BE66" s="59" t="n"/>
      <c r="BF66" s="252" t="inlineStr">
        <is>
          <t>FY3 Total</t>
        </is>
      </c>
      <c r="BG66" s="1334">
        <f>AV65+AW65+AX65+AY65+AZ65+BA65+BB65+BC65+BD65+BE65+BF65+BG65</f>
        <v/>
      </c>
      <c r="BH66" s="59" t="n"/>
      <c r="BI66" s="59" t="n"/>
      <c r="BJ66" s="59" t="n"/>
      <c r="BK66" s="1983" t="inlineStr">
        <is>
          <t>FY4 6 Month Total</t>
        </is>
      </c>
      <c r="BM66" s="251">
        <f>BH65+BI65+BJ65+BK65+BL65+BM65</f>
        <v/>
      </c>
      <c r="BN66" s="59" t="n"/>
      <c r="BO66" s="59" t="n"/>
      <c r="BP66" s="59" t="n"/>
      <c r="BQ66" s="59" t="n"/>
      <c r="BR66" s="252" t="inlineStr">
        <is>
          <t>FY4 Total</t>
        </is>
      </c>
      <c r="BS66" s="1334">
        <f>BH65+BI65+BJ65+BK65+BL65+BM65+BN65+BO65+BP65+BQ65+BR65+BS65</f>
        <v/>
      </c>
      <c r="BT66" s="59" t="n"/>
      <c r="BU66" s="59" t="n"/>
      <c r="BV66" s="59" t="n"/>
      <c r="BW66" s="1983" t="inlineStr">
        <is>
          <t>FY5 6 Month Total</t>
        </is>
      </c>
      <c r="BY66" s="251">
        <f>BT65+BU65+BV65+BW65+BX65+BY65</f>
        <v/>
      </c>
      <c r="BZ66" s="59" t="n"/>
      <c r="CA66" s="59" t="n"/>
      <c r="CB66" s="59" t="n"/>
      <c r="CC66" s="59" t="n"/>
      <c r="CD66" s="252" t="inlineStr">
        <is>
          <t>FY5 Total</t>
        </is>
      </c>
      <c r="CE66" s="1334">
        <f>BT65+BU65+BV65+BW65+BX65+BY65+BZ65+CA65+CB65+CC65+CD65+CE65</f>
        <v/>
      </c>
    </row>
    <row r="67" ht="12.75" customHeight="1" s="1883">
      <c r="A67" s="241" t="n"/>
      <c r="B67" s="55" t="n"/>
      <c r="C67" s="55" t="n"/>
      <c r="D67" s="55" t="n"/>
      <c r="E67" s="225" t="n"/>
      <c r="F67" s="225" t="n"/>
      <c r="G67" s="225" t="n"/>
      <c r="H67" s="59" t="n"/>
      <c r="I67" s="55" t="n"/>
      <c r="J67" s="55" t="n"/>
      <c r="K67" s="56" t="n"/>
      <c r="L67" s="56" t="n"/>
      <c r="M67" s="56" t="n"/>
      <c r="N67" s="56" t="n"/>
      <c r="O67" s="56" t="inlineStr">
        <is>
          <t>Management Team Total</t>
        </is>
      </c>
      <c r="P67" s="56" t="n"/>
      <c r="Q67" s="2120">
        <f>SUM(L41:Q41)</f>
        <v/>
      </c>
      <c r="R67" s="1150" t="n"/>
      <c r="S67" s="56" t="n"/>
      <c r="U67" s="1976" t="inlineStr">
        <is>
          <t>Management Team Total</t>
        </is>
      </c>
      <c r="W67" s="1330">
        <f>SUM(L41:W41)</f>
        <v/>
      </c>
      <c r="X67" s="56" t="n"/>
      <c r="Y67" s="56" t="n"/>
      <c r="Z67" s="1976" t="n"/>
      <c r="AC67" s="59" t="n"/>
      <c r="AD67" s="59" t="n"/>
      <c r="AE67" s="59" t="n"/>
      <c r="AF67" s="59" t="n"/>
      <c r="AG67" s="1976" t="inlineStr">
        <is>
          <t>Management Team Total</t>
        </is>
      </c>
      <c r="AI67" s="2122">
        <f>SUM(X41:AI41)</f>
        <v/>
      </c>
      <c r="AJ67" s="59" t="n"/>
      <c r="AK67" s="59" t="n"/>
      <c r="AL67" s="59" t="n"/>
      <c r="AM67" s="59" t="n"/>
      <c r="AN67" s="59" t="n"/>
      <c r="AO67" s="59" t="n"/>
      <c r="AP67" s="59" t="n"/>
      <c r="AQ67" s="59" t="n"/>
      <c r="AR67" s="59" t="n"/>
      <c r="AS67" s="1976" t="inlineStr">
        <is>
          <t>Management Team Total</t>
        </is>
      </c>
      <c r="AU67" s="1071">
        <f>SUM(AJ41:AU41)</f>
        <v/>
      </c>
      <c r="AV67" s="59" t="n"/>
      <c r="AW67" s="59" t="n"/>
      <c r="AX67" s="59" t="n"/>
      <c r="AY67" s="59" t="n"/>
      <c r="AZ67" s="59" t="n"/>
      <c r="BA67" s="59" t="n"/>
      <c r="BB67" s="59" t="n"/>
      <c r="BC67" s="59" t="n"/>
      <c r="BD67" s="59" t="n"/>
      <c r="BE67" s="1976" t="inlineStr">
        <is>
          <t>Management Team Total</t>
        </is>
      </c>
      <c r="BG67" s="1071">
        <f>SUM(AV41:BG41)</f>
        <v/>
      </c>
      <c r="BH67" s="59" t="n"/>
      <c r="BI67" s="59" t="n"/>
      <c r="BJ67" s="59" t="n"/>
      <c r="BK67" s="59" t="n"/>
      <c r="BL67" s="59" t="n"/>
      <c r="BM67" s="59" t="n"/>
      <c r="BN67" s="59" t="n"/>
      <c r="BO67" s="59" t="n"/>
      <c r="BP67" s="59" t="n"/>
      <c r="BQ67" s="1976" t="inlineStr">
        <is>
          <t>Management Team Total</t>
        </is>
      </c>
      <c r="BS67" s="1071">
        <f>SUM(BH41:BS41)</f>
        <v/>
      </c>
      <c r="BT67" s="59" t="n"/>
      <c r="BU67" s="59" t="n"/>
      <c r="BV67" s="59" t="n"/>
      <c r="BW67" s="59" t="n"/>
      <c r="BX67" s="59" t="n"/>
      <c r="BY67" s="59" t="n"/>
      <c r="BZ67" s="59" t="n"/>
      <c r="CA67" s="59" t="n"/>
      <c r="CB67" s="59" t="n"/>
      <c r="CC67" s="1976" t="inlineStr">
        <is>
          <t>Management Team Total</t>
        </is>
      </c>
      <c r="CE67" s="1071">
        <f>SUM(BT41:CE41)</f>
        <v/>
      </c>
    </row>
    <row r="68" ht="12.75" customHeight="1" s="1883">
      <c r="A68" s="241" t="n"/>
      <c r="B68" s="55" t="n"/>
      <c r="C68" s="88" t="n"/>
      <c r="D68" s="55" t="n"/>
      <c r="E68" s="55" t="n"/>
      <c r="F68" s="55" t="n"/>
      <c r="G68" s="55" t="n"/>
      <c r="H68" s="55" t="n"/>
      <c r="I68" s="55" t="n"/>
      <c r="J68" s="55" t="n"/>
      <c r="K68" s="59" t="n"/>
      <c r="L68" s="59" t="n"/>
      <c r="M68" s="59" t="n"/>
      <c r="N68" s="59" t="n"/>
      <c r="O68" s="56" t="inlineStr">
        <is>
          <t>Support Team Total</t>
        </is>
      </c>
      <c r="P68" s="56" t="n"/>
      <c r="Q68" s="2120">
        <f>SUM(L57:Q57)</f>
        <v/>
      </c>
      <c r="R68" s="1151" t="n"/>
      <c r="S68" s="59" t="n"/>
      <c r="T68" s="59" t="n"/>
      <c r="U68" s="1976" t="inlineStr">
        <is>
          <t>Support Team Total</t>
        </is>
      </c>
      <c r="W68" s="1330">
        <f>SUM(L57:W57)</f>
        <v/>
      </c>
      <c r="X68" s="2115" t="n"/>
      <c r="Y68" s="2115" t="n"/>
      <c r="Z68" s="59" t="n"/>
      <c r="AA68" s="59" t="n"/>
      <c r="AB68" s="59" t="n"/>
      <c r="AC68" s="59" t="n"/>
      <c r="AD68" s="59" t="n"/>
      <c r="AE68" s="59" t="n"/>
      <c r="AF68" s="59" t="n"/>
      <c r="AG68" s="1976" t="inlineStr">
        <is>
          <t>Support Team Total</t>
        </is>
      </c>
      <c r="AI68" s="2122">
        <f>SUM(X57:AI57)</f>
        <v/>
      </c>
      <c r="AJ68" s="59" t="n"/>
      <c r="AK68" s="59" t="n"/>
      <c r="AL68" s="59" t="n"/>
      <c r="AM68" s="59" t="n"/>
      <c r="AN68" s="59" t="n"/>
      <c r="AO68" s="59" t="n"/>
      <c r="AP68" s="59" t="n"/>
      <c r="AQ68" s="59" t="n"/>
      <c r="AR68" s="59" t="n"/>
      <c r="AS68" s="1976" t="inlineStr">
        <is>
          <t>Support Team Total</t>
        </is>
      </c>
      <c r="AU68" s="2122">
        <f>SUM(AJ57:AU57)</f>
        <v/>
      </c>
      <c r="AV68" s="59" t="n"/>
      <c r="AW68" s="59" t="n"/>
      <c r="AX68" s="59" t="n"/>
      <c r="AY68" s="59" t="n"/>
      <c r="AZ68" s="59" t="n"/>
      <c r="BA68" s="59" t="n"/>
      <c r="BB68" s="59" t="n"/>
      <c r="BC68" s="59" t="n"/>
      <c r="BD68" s="59" t="n"/>
      <c r="BE68" s="1976" t="inlineStr">
        <is>
          <t>Support Team Total</t>
        </is>
      </c>
      <c r="BG68" s="2122">
        <f>SUM(AV57:BG57)</f>
        <v/>
      </c>
      <c r="BH68" s="59" t="n"/>
      <c r="BI68" s="59" t="n"/>
      <c r="BJ68" s="59" t="n"/>
      <c r="BK68" s="59" t="n"/>
      <c r="BL68" s="59" t="n"/>
      <c r="BM68" s="59" t="n"/>
      <c r="BN68" s="59" t="n"/>
      <c r="BO68" s="59" t="n"/>
      <c r="BP68" s="59" t="n"/>
      <c r="BQ68" s="1976" t="inlineStr">
        <is>
          <t>Support Team Total</t>
        </is>
      </c>
      <c r="BS68" s="2122">
        <f>SUM(BH57:BS57)</f>
        <v/>
      </c>
      <c r="BT68" s="59" t="n"/>
      <c r="BU68" s="59" t="n"/>
      <c r="BV68" s="59" t="n"/>
      <c r="BW68" s="59" t="n"/>
      <c r="BX68" s="59" t="n"/>
      <c r="BY68" s="59" t="n"/>
      <c r="BZ68" s="59" t="n"/>
      <c r="CA68" s="59" t="n"/>
      <c r="CB68" s="59" t="n"/>
      <c r="CC68" s="1976" t="inlineStr">
        <is>
          <t>Support Team Total</t>
        </is>
      </c>
      <c r="CE68" s="2122">
        <f>SUM(BT57:CE57)</f>
        <v/>
      </c>
    </row>
    <row r="69" ht="12.75" customHeight="1" s="1883">
      <c r="A69" s="241" t="n"/>
      <c r="B69" s="55" t="n"/>
      <c r="C69" s="88" t="n"/>
      <c r="D69" s="108" t="n"/>
      <c r="E69" s="254" t="n"/>
      <c r="F69" s="254" t="n"/>
      <c r="G69" s="254" t="n"/>
      <c r="H69" s="255" t="n"/>
      <c r="I69" s="256" t="n"/>
      <c r="J69" s="257" t="n"/>
      <c r="K69" s="254" t="n"/>
      <c r="L69" s="254" t="n"/>
      <c r="M69" s="254" t="n"/>
      <c r="N69" s="254" t="n"/>
      <c r="O69" s="254" t="n"/>
      <c r="P69" s="108" t="inlineStr">
        <is>
          <t>Taxes Total</t>
        </is>
      </c>
      <c r="Q69" s="2133">
        <f>SUM(L63:Q63)</f>
        <v/>
      </c>
      <c r="R69" s="1335" t="n"/>
      <c r="S69" s="254" t="n"/>
      <c r="T69" s="254" t="n"/>
      <c r="U69" s="254" t="n"/>
      <c r="V69" s="108" t="inlineStr">
        <is>
          <t>Taxes Total</t>
        </is>
      </c>
      <c r="W69" s="1330">
        <f>SUM(L63:W63)</f>
        <v/>
      </c>
      <c r="X69" s="2135" t="n"/>
      <c r="Y69" s="2135" t="n"/>
      <c r="Z69" s="254" t="n"/>
      <c r="AA69" s="2135" t="n"/>
      <c r="AB69" s="2135" t="n"/>
      <c r="AC69" s="254" t="n"/>
      <c r="AD69" s="59" t="n"/>
      <c r="AE69" s="59" t="n"/>
      <c r="AF69" s="59" t="n"/>
      <c r="AG69" s="59" t="n"/>
      <c r="AH69" s="108" t="inlineStr">
        <is>
          <t>Taxes Total</t>
        </is>
      </c>
      <c r="AI69" s="2134">
        <f>SUM(X63:AI63)</f>
        <v/>
      </c>
      <c r="AJ69" s="59" t="n"/>
      <c r="AK69" s="59" t="n"/>
      <c r="AL69" s="59" t="n"/>
      <c r="AM69" s="59" t="n"/>
      <c r="AN69" s="59" t="n"/>
      <c r="AO69" s="59" t="n"/>
      <c r="AP69" s="59" t="n"/>
      <c r="AQ69" s="59" t="n"/>
      <c r="AR69" s="59" t="n"/>
      <c r="AS69" s="59" t="n"/>
      <c r="AT69" s="108" t="inlineStr">
        <is>
          <t>Taxes Total</t>
        </is>
      </c>
      <c r="AU69" s="2134">
        <f>SUM(AJ63:AU63)</f>
        <v/>
      </c>
      <c r="AV69" s="59" t="n"/>
      <c r="AW69" s="59" t="n"/>
      <c r="AX69" s="59" t="n"/>
      <c r="AY69" s="59" t="n"/>
      <c r="AZ69" s="59" t="n"/>
      <c r="BA69" s="59" t="n"/>
      <c r="BB69" s="59" t="n"/>
      <c r="BC69" s="59" t="n"/>
      <c r="BD69" s="59" t="n"/>
      <c r="BE69" s="59" t="n"/>
      <c r="BF69" s="108" t="inlineStr">
        <is>
          <t>Taxes Total</t>
        </is>
      </c>
      <c r="BG69" s="2134">
        <f>SUM(AV63:BG63)</f>
        <v/>
      </c>
      <c r="BH69" s="59" t="n"/>
      <c r="BI69" s="59" t="n"/>
      <c r="BJ69" s="59" t="n"/>
      <c r="BK69" s="59" t="n"/>
      <c r="BL69" s="59" t="n"/>
      <c r="BM69" s="59" t="n"/>
      <c r="BN69" s="59" t="n"/>
      <c r="BO69" s="59" t="n"/>
      <c r="BP69" s="59" t="n"/>
      <c r="BQ69" s="59" t="n"/>
      <c r="BR69" s="108" t="inlineStr">
        <is>
          <t>Taxes Total</t>
        </is>
      </c>
      <c r="BS69" s="1330">
        <f>SUM(BH63:BS63)</f>
        <v/>
      </c>
      <c r="BT69" s="59" t="n"/>
      <c r="BU69" s="59" t="n"/>
      <c r="BV69" s="59" t="n"/>
      <c r="BW69" s="59" t="n"/>
      <c r="BX69" s="59" t="n"/>
      <c r="BY69" s="59" t="n"/>
      <c r="BZ69" s="59" t="n"/>
      <c r="CA69" s="59" t="n"/>
      <c r="CB69" s="59" t="n"/>
      <c r="CC69" s="59" t="n"/>
      <c r="CD69" s="108" t="inlineStr">
        <is>
          <t>Taxes Total</t>
        </is>
      </c>
      <c r="CE69" s="1330">
        <f>SUM(BT63:CE63)</f>
        <v/>
      </c>
    </row>
    <row r="70" ht="12.75" customHeight="1" s="1883">
      <c r="A70" s="241" t="n"/>
      <c r="B70" s="55" t="n"/>
      <c r="C70" s="88" t="n"/>
      <c r="D70" s="59" t="n"/>
      <c r="E70" s="59" t="n"/>
      <c r="F70" s="59" t="n"/>
      <c r="G70" s="59" t="n"/>
      <c r="H70" s="59" t="n"/>
      <c r="I70" s="59" t="n"/>
      <c r="J70" s="55" t="n"/>
      <c r="K70" s="59" t="n"/>
      <c r="L70" s="59" t="n"/>
      <c r="M70" s="59" t="n"/>
      <c r="N70" s="59" t="n"/>
      <c r="O70" s="59" t="n"/>
      <c r="P70" s="59" t="n"/>
      <c r="Q70" s="1151" t="n"/>
      <c r="R70" s="1151" t="n"/>
      <c r="S70" s="59" t="n"/>
      <c r="T70" s="59" t="n"/>
      <c r="W70" s="1130" t="n"/>
      <c r="X70" s="59" t="n"/>
      <c r="Y70" s="59" t="n"/>
      <c r="Z70" s="59" t="n"/>
      <c r="AA70" s="59" t="n"/>
      <c r="AB70" s="59" t="n"/>
      <c r="AC70" s="59" t="n"/>
      <c r="AD70" s="59" t="n"/>
      <c r="AE70" s="59" t="n"/>
      <c r="AF70" s="59" t="n"/>
      <c r="AG70" s="59" t="n"/>
      <c r="AH70" s="59" t="n"/>
      <c r="AI70" s="1039" t="n"/>
      <c r="AJ70" s="59" t="n"/>
      <c r="AK70" s="59" t="n"/>
      <c r="AL70" s="59" t="n"/>
      <c r="AM70" s="59" t="n"/>
      <c r="AN70" s="59" t="n"/>
      <c r="AO70" s="59" t="n"/>
      <c r="AP70" s="59" t="n"/>
      <c r="AQ70" s="59" t="n"/>
      <c r="AR70" s="59" t="n"/>
      <c r="AS70" s="59" t="n"/>
      <c r="AT70" s="59" t="n"/>
      <c r="AU70" s="1039" t="n"/>
      <c r="AV70" s="59" t="n"/>
      <c r="AW70" s="59" t="n"/>
      <c r="AX70" s="59" t="n"/>
      <c r="AY70" s="59" t="n"/>
      <c r="AZ70" s="59" t="n"/>
      <c r="BA70" s="59" t="n"/>
      <c r="BB70" s="59" t="n"/>
      <c r="BC70" s="59" t="n"/>
      <c r="BD70" s="59" t="n"/>
      <c r="BE70" s="59" t="n"/>
      <c r="BF70" s="59" t="n"/>
      <c r="BG70" s="1039" t="n"/>
      <c r="BH70" s="59" t="n"/>
      <c r="BI70" s="59" t="n"/>
      <c r="BJ70" s="59" t="n"/>
      <c r="BK70" s="59" t="n"/>
      <c r="BL70" s="59" t="n"/>
      <c r="BM70" s="59" t="n"/>
      <c r="BN70" s="59" t="n"/>
      <c r="BO70" s="59" t="n"/>
      <c r="BP70" s="59" t="n"/>
      <c r="BQ70" s="59" t="n"/>
      <c r="BR70" s="59" t="n"/>
      <c r="BS70" s="1039" t="n"/>
      <c r="BT70" s="59" t="n"/>
      <c r="BU70" s="59" t="n"/>
      <c r="BV70" s="59" t="n"/>
      <c r="BW70" s="59" t="n"/>
      <c r="BX70" s="59" t="n"/>
      <c r="BY70" s="59" t="n"/>
      <c r="BZ70" s="59" t="n"/>
      <c r="CA70" s="59" t="n"/>
      <c r="CB70" s="59" t="n"/>
      <c r="CC70" s="59" t="n"/>
      <c r="CD70" s="59" t="n"/>
      <c r="CE70" s="1039" t="n"/>
    </row>
    <row r="71" ht="12.75" customHeight="1" s="1883">
      <c r="A71" s="241" t="n"/>
      <c r="B71" s="55" t="n"/>
      <c r="C71" s="88" t="n"/>
      <c r="D71" s="59" t="n"/>
      <c r="E71" s="59" t="n"/>
      <c r="F71" s="59" t="n"/>
      <c r="G71" s="59" t="n"/>
      <c r="H71" s="59" t="n"/>
      <c r="I71" s="59" t="n"/>
      <c r="J71" s="55" t="n"/>
      <c r="K71" s="59" t="n"/>
      <c r="L71" s="59" t="n"/>
      <c r="M71" s="59" t="n"/>
      <c r="N71" s="59" t="n"/>
      <c r="O71" s="59" t="n"/>
      <c r="P71" s="59" t="n"/>
      <c r="Q71" s="1151" t="n"/>
      <c r="R71" s="1151" t="n"/>
      <c r="S71" s="59" t="n"/>
      <c r="T71" s="59" t="n"/>
      <c r="U71" s="1980" t="inlineStr">
        <is>
          <t>Ramp Up 12 Month Total</t>
        </is>
      </c>
      <c r="W71" s="1336">
        <f>SUM(L65:W65)</f>
        <v/>
      </c>
      <c r="X71" s="59" t="n"/>
      <c r="Y71" s="59" t="n"/>
      <c r="Z71" s="59" t="n"/>
      <c r="AA71" s="59" t="n"/>
      <c r="AB71" s="59" t="n"/>
      <c r="AC71" s="59" t="n"/>
      <c r="AD71" s="59" t="n"/>
      <c r="AE71" s="59" t="n"/>
      <c r="AF71" s="59" t="n"/>
      <c r="AG71" s="59" t="n"/>
      <c r="AH71" s="59" t="n"/>
      <c r="AI71" s="1039" t="n"/>
      <c r="AJ71" s="59" t="n"/>
      <c r="AK71" s="59" t="n"/>
      <c r="AL71" s="59" t="n"/>
      <c r="AM71" s="59" t="n"/>
      <c r="AN71" s="59" t="n"/>
      <c r="AO71" s="59" t="n"/>
      <c r="AP71" s="59" t="n"/>
      <c r="AQ71" s="59" t="n"/>
      <c r="AR71" s="59" t="n"/>
      <c r="AS71" s="59" t="n"/>
      <c r="AT71" s="59" t="n"/>
      <c r="AU71" s="1039" t="n"/>
      <c r="AV71" s="59" t="n"/>
      <c r="AW71" s="59" t="n"/>
      <c r="AX71" s="59" t="n"/>
      <c r="AY71" s="59" t="n"/>
      <c r="AZ71" s="59" t="n"/>
      <c r="BA71" s="59" t="n"/>
      <c r="BB71" s="59" t="n"/>
      <c r="BC71" s="59" t="n"/>
      <c r="BD71" s="59" t="n"/>
      <c r="BE71" s="59" t="n"/>
      <c r="BF71" s="59" t="n"/>
      <c r="BG71" s="1039" t="n"/>
      <c r="BH71" s="59" t="n"/>
      <c r="BI71" s="59" t="n"/>
      <c r="BJ71" s="59" t="n"/>
      <c r="BK71" s="59" t="n"/>
      <c r="BL71" s="59" t="n"/>
      <c r="BM71" s="59" t="n"/>
      <c r="BN71" s="59" t="n"/>
      <c r="BO71" s="59" t="n"/>
      <c r="BP71" s="59" t="n"/>
      <c r="BQ71" s="59" t="n"/>
      <c r="BR71" s="59" t="n"/>
      <c r="BS71" s="1039" t="n"/>
      <c r="BT71" s="59" t="n"/>
      <c r="BU71" s="59" t="n"/>
      <c r="BV71" s="59" t="n"/>
      <c r="BW71" s="59" t="n"/>
      <c r="BX71" s="59" t="n"/>
      <c r="BY71" s="59" t="n"/>
      <c r="BZ71" s="59" t="n"/>
      <c r="CA71" s="59" t="n"/>
      <c r="CB71" s="59" t="n"/>
      <c r="CC71" s="59" t="n"/>
      <c r="CD71" s="59" t="n"/>
      <c r="CE71" s="1039" t="n"/>
    </row>
    <row r="72" ht="12.75" customHeight="1" s="1883">
      <c r="A72" s="241" t="n"/>
      <c r="B72" s="55" t="n"/>
      <c r="C72" s="88" t="n"/>
      <c r="D72" s="59" t="n"/>
      <c r="E72" s="59" t="n"/>
      <c r="F72" s="59" t="n"/>
      <c r="G72" s="59" t="n"/>
      <c r="H72" s="59" t="n"/>
      <c r="I72" s="59" t="n"/>
      <c r="J72" s="55" t="n"/>
      <c r="K72" s="59" t="n"/>
      <c r="L72" s="59" t="n"/>
      <c r="M72" s="59" t="n"/>
      <c r="N72" s="59" t="n"/>
      <c r="O72" s="59" t="n"/>
      <c r="P72" s="59" t="n"/>
      <c r="Q72" s="1151" t="n"/>
      <c r="R72" s="1151" t="n"/>
      <c r="S72" s="59" t="n"/>
      <c r="T72" s="59" t="n"/>
      <c r="U72" s="1974" t="inlineStr">
        <is>
          <t>Management Team Total</t>
        </is>
      </c>
      <c r="W72" s="1336">
        <f>SUM(L41:W41)</f>
        <v/>
      </c>
      <c r="X72" s="59" t="n"/>
      <c r="Y72" s="59" t="n"/>
      <c r="Z72" s="59" t="n"/>
      <c r="AA72" s="59" t="n"/>
      <c r="AB72" s="59" t="n"/>
      <c r="AC72" s="59" t="n"/>
      <c r="AD72" s="59" t="n"/>
      <c r="AE72" s="59" t="n"/>
      <c r="AF72" s="59" t="n"/>
      <c r="AG72" s="59" t="n"/>
      <c r="AH72" s="59" t="n"/>
      <c r="AI72" s="1039" t="n"/>
      <c r="AJ72" s="59" t="n"/>
      <c r="AK72" s="59" t="n"/>
      <c r="AL72" s="59" t="n"/>
      <c r="AM72" s="59" t="n"/>
      <c r="AN72" s="59" t="n"/>
      <c r="AO72" s="59" t="n"/>
      <c r="AP72" s="59" t="n"/>
      <c r="AQ72" s="59" t="n"/>
      <c r="AR72" s="59" t="n"/>
      <c r="AS72" s="59" t="n"/>
      <c r="AT72" s="59" t="n"/>
      <c r="AU72" s="1039" t="n"/>
      <c r="AV72" s="59" t="n"/>
      <c r="AW72" s="59" t="n"/>
      <c r="AX72" s="59" t="n"/>
      <c r="AY72" s="59" t="n"/>
      <c r="AZ72" s="59" t="n"/>
      <c r="BA72" s="59" t="n"/>
      <c r="BB72" s="59" t="n"/>
      <c r="BC72" s="59" t="n"/>
      <c r="BD72" s="59" t="n"/>
      <c r="BE72" s="59" t="n"/>
      <c r="BF72" s="59" t="n"/>
      <c r="BG72" s="1039" t="n"/>
      <c r="BH72" s="59" t="n"/>
      <c r="BI72" s="59" t="n"/>
      <c r="BJ72" s="59" t="n"/>
      <c r="BK72" s="59" t="n"/>
      <c r="BL72" s="59" t="n"/>
      <c r="BM72" s="59" t="n"/>
      <c r="BN72" s="59" t="n"/>
      <c r="BO72" s="59" t="n"/>
      <c r="BP72" s="59" t="n"/>
      <c r="BQ72" s="59" t="n"/>
      <c r="BR72" s="59" t="n"/>
      <c r="BS72" s="1039" t="n"/>
      <c r="BT72" s="59" t="n"/>
      <c r="BU72" s="59" t="n"/>
      <c r="BV72" s="59" t="n"/>
      <c r="BW72" s="59" t="n"/>
      <c r="BX72" s="59" t="n"/>
      <c r="BY72" s="59" t="n"/>
      <c r="BZ72" s="59" t="n"/>
      <c r="CA72" s="59" t="n"/>
      <c r="CB72" s="59" t="n"/>
      <c r="CC72" s="59" t="n"/>
      <c r="CD72" s="59" t="n"/>
      <c r="CE72" s="1039" t="n"/>
    </row>
    <row r="73" ht="12.75" customHeight="1" s="1883">
      <c r="A73" s="241" t="n"/>
      <c r="B73" s="55" t="n"/>
      <c r="C73" s="88" t="n"/>
      <c r="D73" s="59" t="n"/>
      <c r="E73" s="59" t="n"/>
      <c r="F73" s="59" t="n"/>
      <c r="G73" s="59" t="n"/>
      <c r="H73" s="59" t="n"/>
      <c r="I73" s="59" t="n"/>
      <c r="J73" s="55" t="n"/>
      <c r="K73" s="59" t="n"/>
      <c r="L73" s="59" t="n"/>
      <c r="M73" s="59" t="n"/>
      <c r="N73" s="59" t="n"/>
      <c r="O73" s="59" t="n"/>
      <c r="P73" s="59" t="n"/>
      <c r="Q73" s="1151" t="n"/>
      <c r="R73" s="1151" t="n"/>
      <c r="S73" s="59" t="n"/>
      <c r="T73" s="59" t="n"/>
      <c r="U73" s="1974" t="inlineStr">
        <is>
          <t>Support Team Total</t>
        </is>
      </c>
      <c r="W73" s="1336">
        <f>SUM(L57:W57)</f>
        <v/>
      </c>
      <c r="X73" s="59" t="n"/>
      <c r="Y73" s="59" t="n"/>
      <c r="Z73" s="59" t="n"/>
      <c r="AA73" s="59" t="n"/>
      <c r="AB73" s="59" t="n"/>
      <c r="AC73" s="59" t="n"/>
      <c r="AD73" s="59" t="n"/>
      <c r="AE73" s="59" t="n"/>
      <c r="AF73" s="59" t="n"/>
      <c r="AG73" s="59" t="n"/>
      <c r="AH73" s="59" t="n"/>
      <c r="AI73" s="1039" t="n"/>
      <c r="AJ73" s="59" t="n"/>
      <c r="AK73" s="59" t="n"/>
      <c r="AL73" s="59" t="n"/>
      <c r="AM73" s="59" t="n"/>
      <c r="AN73" s="59" t="n"/>
      <c r="AO73" s="59" t="n"/>
      <c r="AP73" s="59" t="n"/>
      <c r="AQ73" s="59" t="n"/>
      <c r="AR73" s="59" t="n"/>
      <c r="AS73" s="59" t="n"/>
      <c r="AT73" s="59" t="n"/>
      <c r="AU73" s="1039" t="n"/>
      <c r="AV73" s="59" t="n"/>
      <c r="AW73" s="59" t="n"/>
      <c r="AX73" s="59" t="n"/>
      <c r="AY73" s="59" t="n"/>
      <c r="AZ73" s="59" t="n"/>
      <c r="BA73" s="59" t="n"/>
      <c r="BB73" s="59" t="n"/>
      <c r="BC73" s="59" t="n"/>
      <c r="BD73" s="59" t="n"/>
      <c r="BE73" s="59" t="n"/>
      <c r="BF73" s="59" t="n"/>
      <c r="BG73" s="1039" t="n"/>
      <c r="BH73" s="59" t="n"/>
      <c r="BI73" s="59" t="n"/>
      <c r="BJ73" s="59" t="n"/>
      <c r="BK73" s="59" t="n"/>
      <c r="BL73" s="59" t="n"/>
      <c r="BM73" s="59" t="n"/>
      <c r="BN73" s="59" t="n"/>
      <c r="BO73" s="59" t="n"/>
      <c r="BP73" s="59" t="n"/>
      <c r="BQ73" s="59" t="n"/>
      <c r="BR73" s="59" t="n"/>
      <c r="BS73" s="1039" t="n"/>
      <c r="BT73" s="59" t="n"/>
      <c r="BU73" s="59" t="n"/>
      <c r="BV73" s="59" t="n"/>
      <c r="BW73" s="59" t="n"/>
      <c r="BX73" s="59" t="n"/>
      <c r="BY73" s="59" t="n"/>
      <c r="BZ73" s="59" t="n"/>
      <c r="CA73" s="59" t="n"/>
      <c r="CB73" s="59" t="n"/>
      <c r="CC73" s="59" t="n"/>
      <c r="CD73" s="59" t="n"/>
      <c r="CE73" s="1039" t="n"/>
    </row>
    <row r="74" ht="12.75" customHeight="1" s="1883">
      <c r="Q74" s="1337" t="n"/>
      <c r="R74" s="1337" t="n"/>
      <c r="U74" s="259" t="n"/>
      <c r="V74" s="260" t="inlineStr">
        <is>
          <t>Taxes Total</t>
        </is>
      </c>
      <c r="W74" s="1336">
        <f>SUM(L63:W63)</f>
        <v/>
      </c>
      <c r="AC74" s="59" t="n"/>
      <c r="AD74" s="59" t="n"/>
      <c r="AE74" s="59" t="n"/>
      <c r="AF74" s="59" t="n"/>
      <c r="AG74" s="59" t="n"/>
      <c r="AH74" s="59" t="n"/>
      <c r="AI74" s="1039" t="n"/>
      <c r="AJ74" s="59" t="n"/>
      <c r="AK74" s="59" t="n"/>
      <c r="AL74" s="59" t="n"/>
      <c r="AM74" s="59" t="n"/>
      <c r="AN74" s="59" t="n"/>
      <c r="AO74" s="59" t="n"/>
      <c r="AP74" s="59" t="n"/>
      <c r="AQ74" s="59" t="n"/>
      <c r="AR74" s="59" t="n"/>
      <c r="AS74" s="59" t="n"/>
      <c r="AT74" s="59" t="n"/>
      <c r="AU74" s="1039" t="n"/>
      <c r="AV74" s="59" t="n"/>
      <c r="AW74" s="59" t="n"/>
      <c r="AX74" s="59" t="n"/>
      <c r="AY74" s="59" t="n"/>
      <c r="AZ74" s="59" t="n"/>
      <c r="BA74" s="59" t="n"/>
      <c r="BB74" s="59" t="n"/>
      <c r="BC74" s="59" t="n"/>
      <c r="BD74" s="59" t="n"/>
      <c r="BE74" s="59" t="n"/>
      <c r="BF74" s="59" t="n"/>
      <c r="BG74" s="1039" t="n"/>
      <c r="BH74" s="59" t="n"/>
      <c r="BI74" s="59" t="n"/>
      <c r="BJ74" s="59" t="n"/>
      <c r="BK74" s="59" t="n"/>
      <c r="BL74" s="59" t="n"/>
      <c r="BM74" s="59" t="n"/>
      <c r="BN74" s="59" t="n"/>
      <c r="BO74" s="59" t="n"/>
      <c r="BP74" s="59" t="n"/>
      <c r="BQ74" s="59" t="n"/>
      <c r="BR74" s="59" t="n"/>
      <c r="BS74" s="1039" t="n"/>
      <c r="BT74" s="59" t="n"/>
      <c r="BU74" s="59" t="n"/>
      <c r="BV74" s="59" t="n"/>
      <c r="BW74" s="59" t="n"/>
      <c r="BX74" s="59" t="n"/>
      <c r="BY74" s="59" t="n"/>
      <c r="BZ74" s="59" t="n"/>
      <c r="CA74" s="59" t="n"/>
      <c r="CB74" s="59" t="n"/>
      <c r="CC74" s="59" t="n"/>
      <c r="CD74" s="59" t="n"/>
      <c r="CE74" s="1039" t="n"/>
    </row>
    <row r="75" ht="23.25" customHeight="1" s="1883">
      <c r="Q75" s="1337" t="n"/>
      <c r="R75" s="1337" t="n"/>
      <c r="W75" s="1130" t="n"/>
      <c r="AC75" s="59" t="n"/>
      <c r="AD75" s="59" t="n"/>
      <c r="AE75" s="59" t="n"/>
      <c r="AF75" s="59" t="n"/>
      <c r="AG75" s="59" t="n"/>
      <c r="AH75" s="59" t="n"/>
      <c r="AI75" s="1039" t="n"/>
      <c r="AJ75" s="59" t="n"/>
      <c r="AK75" s="59" t="n"/>
      <c r="AL75" s="59" t="n"/>
      <c r="AM75" s="59" t="n"/>
      <c r="AN75" s="59" t="n"/>
      <c r="AO75" s="59" t="n"/>
      <c r="AP75" s="59" t="n"/>
      <c r="AQ75" s="59" t="n"/>
      <c r="AR75" s="59" t="n"/>
      <c r="AS75" s="59" t="n"/>
      <c r="AT75" s="59" t="n"/>
      <c r="AU75" s="1039" t="n"/>
      <c r="AV75" s="59" t="n"/>
      <c r="AW75" s="59" t="n"/>
      <c r="AX75" s="59" t="n"/>
      <c r="AY75" s="59" t="n"/>
      <c r="AZ75" s="59" t="n"/>
      <c r="BA75" s="59" t="n"/>
      <c r="BB75" s="59" t="n"/>
      <c r="BC75" s="59" t="n"/>
      <c r="BD75" s="59" t="n"/>
      <c r="BE75" s="59" t="n"/>
      <c r="BF75" s="59" t="n"/>
      <c r="BG75" s="1039" t="n"/>
      <c r="BH75" s="59" t="n"/>
      <c r="BI75" s="59" t="n"/>
      <c r="BJ75" s="59" t="n"/>
      <c r="BK75" s="59" t="n"/>
      <c r="BL75" s="59" t="n"/>
      <c r="BM75" s="59" t="n"/>
      <c r="BN75" s="59" t="n"/>
      <c r="BO75" s="59" t="n"/>
      <c r="BP75" s="59" t="n"/>
      <c r="BQ75" s="59" t="n"/>
      <c r="BR75" s="59" t="n"/>
      <c r="BS75" s="1039" t="n"/>
      <c r="BT75" s="59" t="n"/>
      <c r="BU75" s="59" t="n"/>
      <c r="BV75" s="59" t="n"/>
      <c r="BW75" s="59" t="n"/>
      <c r="BX75" s="59" t="n"/>
      <c r="BY75" s="59" t="n"/>
      <c r="BZ75" s="59" t="n"/>
      <c r="CA75" s="59" t="n"/>
      <c r="CB75" s="59" t="n"/>
      <c r="CC75" s="59" t="n"/>
      <c r="CD75" s="59" t="n"/>
      <c r="CE75" s="1039" t="n"/>
    </row>
    <row r="76" ht="12.75" customHeight="1" s="1883">
      <c r="Q76" s="1337" t="n"/>
      <c r="R76" s="1337" t="n"/>
      <c r="W76" s="1130" t="n"/>
      <c r="AC76" s="59" t="n"/>
      <c r="AD76" s="59" t="n"/>
      <c r="AE76" s="59" t="n"/>
      <c r="AF76" s="59" t="n"/>
      <c r="AG76" s="59" t="n"/>
      <c r="AH76" s="59" t="n"/>
      <c r="AI76" s="1039" t="n"/>
      <c r="AJ76" s="59" t="n"/>
      <c r="AK76" s="59" t="n"/>
      <c r="AL76" s="59" t="n"/>
      <c r="AM76" s="59" t="n"/>
      <c r="AN76" s="59" t="n"/>
      <c r="AO76" s="59" t="n"/>
      <c r="AP76" s="59" t="n"/>
      <c r="AQ76" s="59" t="n"/>
      <c r="AR76" s="59" t="n"/>
      <c r="AS76" s="59" t="n"/>
      <c r="AT76" s="59" t="n"/>
      <c r="AU76" s="1039" t="n"/>
      <c r="AV76" s="59" t="n"/>
      <c r="AW76" s="59" t="n"/>
      <c r="AX76" s="59" t="n"/>
      <c r="AY76" s="59" t="n"/>
      <c r="AZ76" s="59" t="n"/>
      <c r="BA76" s="59" t="n"/>
      <c r="BB76" s="59" t="n"/>
      <c r="BC76" s="59" t="n"/>
      <c r="BD76" s="59" t="n"/>
      <c r="BE76" s="59" t="n"/>
      <c r="BF76" s="59" t="n"/>
      <c r="BG76" s="1039" t="n"/>
      <c r="BH76" s="59" t="n"/>
      <c r="BI76" s="59" t="n"/>
      <c r="BJ76" s="59" t="n"/>
      <c r="BK76" s="59" t="n"/>
      <c r="BL76" s="59" t="n"/>
      <c r="BM76" s="59" t="n"/>
      <c r="BN76" s="59" t="n"/>
      <c r="BO76" s="59" t="n"/>
      <c r="BP76" s="59" t="n"/>
      <c r="BQ76" s="59" t="n"/>
      <c r="BR76" s="59" t="n"/>
      <c r="BS76" s="1039" t="n"/>
      <c r="BT76" s="59" t="n"/>
      <c r="BU76" s="59" t="n"/>
      <c r="BV76" s="59" t="n"/>
      <c r="BW76" s="59" t="n"/>
      <c r="BX76" s="59" t="n"/>
      <c r="BY76" s="59" t="n"/>
      <c r="BZ76" s="59" t="n"/>
      <c r="CA76" s="59" t="n"/>
      <c r="CB76" s="59" t="n"/>
      <c r="CC76" s="59" t="n"/>
      <c r="CD76" s="59" t="n"/>
      <c r="CE76" s="1039" t="n"/>
    </row>
    <row r="77" ht="12.75" customHeight="1" s="1883">
      <c r="A77" s="241" t="n"/>
      <c r="B77" s="55" t="n"/>
      <c r="C77" s="88" t="n"/>
      <c r="D77" s="56" t="n"/>
      <c r="E77" s="261" t="n"/>
      <c r="F77" s="261" t="n"/>
      <c r="G77" s="262" t="n"/>
      <c r="H77" s="262" t="n"/>
      <c r="I77" s="262" t="n"/>
      <c r="J77" s="262" t="n"/>
      <c r="K77" s="262" t="n"/>
      <c r="L77" s="262" t="n"/>
      <c r="M77" s="262" t="n"/>
      <c r="N77" s="262" t="n"/>
      <c r="O77" s="262" t="n"/>
      <c r="P77" s="262" t="n"/>
      <c r="Q77" s="263" t="n"/>
      <c r="R77" s="263" t="n"/>
      <c r="S77" s="262" t="n"/>
      <c r="T77" s="262" t="n"/>
      <c r="U77" s="262" t="n"/>
      <c r="V77" s="262" t="n"/>
      <c r="W77" s="262" t="n"/>
      <c r="X77" s="262" t="n"/>
      <c r="Y77" s="262" t="n"/>
      <c r="Z77" s="262" t="n"/>
      <c r="AA77" s="262" t="n"/>
      <c r="AB77" s="262" t="n"/>
      <c r="AC77" s="262" t="n"/>
      <c r="AD77" s="262" t="n"/>
      <c r="AE77" s="262" t="n"/>
      <c r="AF77" s="262" t="n"/>
      <c r="AG77" s="59" t="n"/>
      <c r="AH77" s="59" t="n"/>
      <c r="AI77" s="1039" t="n"/>
      <c r="AJ77" s="59" t="n"/>
      <c r="AK77" s="59" t="n"/>
      <c r="AL77" s="59" t="n"/>
      <c r="AM77" s="59" t="n"/>
      <c r="AN77" s="59" t="n"/>
      <c r="AO77" s="59" t="n"/>
      <c r="AP77" s="59" t="n"/>
      <c r="AQ77" s="59" t="n"/>
      <c r="AR77" s="59" t="n"/>
      <c r="AS77" s="59" t="n"/>
      <c r="AT77" s="59" t="n"/>
      <c r="AU77" s="1039" t="n"/>
      <c r="AV77" s="59" t="n"/>
      <c r="AW77" s="59" t="n"/>
      <c r="AX77" s="59" t="n"/>
      <c r="AY77" s="59" t="n"/>
      <c r="AZ77" s="59" t="n"/>
      <c r="BA77" s="59" t="n"/>
      <c r="BB77" s="59" t="n"/>
      <c r="BC77" s="59" t="n"/>
      <c r="BD77" s="59" t="n"/>
      <c r="BE77" s="59" t="n"/>
      <c r="BF77" s="59" t="n"/>
      <c r="BG77" s="1039" t="n"/>
      <c r="BH77" s="59" t="n"/>
      <c r="BI77" s="59" t="n"/>
      <c r="BJ77" s="59" t="n"/>
      <c r="BK77" s="59" t="n"/>
      <c r="BL77" s="59" t="n"/>
      <c r="BM77" s="59" t="n"/>
      <c r="BN77" s="59" t="n"/>
      <c r="BO77" s="59" t="n"/>
      <c r="BP77" s="59" t="n"/>
      <c r="BQ77" s="59" t="n"/>
      <c r="BR77" s="59" t="n"/>
      <c r="BS77" s="1039" t="n"/>
      <c r="BT77" s="59" t="n"/>
      <c r="BU77" s="59" t="n"/>
      <c r="BV77" s="59" t="n"/>
      <c r="BW77" s="59" t="n"/>
      <c r="BX77" s="59" t="n"/>
      <c r="BY77" s="59" t="n"/>
      <c r="BZ77" s="59" t="n"/>
      <c r="CA77" s="59" t="n"/>
      <c r="CB77" s="59" t="n"/>
      <c r="CC77" s="59" t="n"/>
      <c r="CD77" s="59" t="n"/>
      <c r="CE77" s="1039" t="n"/>
    </row>
    <row r="78" ht="12.75" customHeight="1" s="1883">
      <c r="A78" s="241" t="n"/>
      <c r="B78" s="55" t="n"/>
      <c r="C78" s="88" t="n"/>
      <c r="D78" s="55" t="n"/>
      <c r="E78" s="261" t="n"/>
      <c r="F78" s="261" t="n"/>
      <c r="G78" s="262" t="n"/>
      <c r="H78" s="262" t="n"/>
      <c r="I78" s="262" t="n"/>
      <c r="J78" s="262" t="n"/>
      <c r="K78" s="262" t="n"/>
      <c r="L78" s="262" t="n"/>
      <c r="M78" s="262" t="n"/>
      <c r="N78" s="262" t="n"/>
      <c r="O78" s="262" t="n"/>
      <c r="P78" s="262" t="n"/>
      <c r="Q78" s="263" t="n"/>
      <c r="R78" s="263" t="n"/>
      <c r="S78" s="262" t="n"/>
      <c r="T78" s="262" t="n"/>
      <c r="U78" s="262" t="n"/>
      <c r="V78" s="262" t="n"/>
      <c r="W78" s="262" t="n"/>
      <c r="X78" s="262" t="n"/>
      <c r="Y78" s="262" t="n"/>
      <c r="Z78" s="262" t="n"/>
      <c r="AA78" s="262" t="n"/>
      <c r="AB78" s="262" t="n"/>
      <c r="AC78" s="262" t="n"/>
      <c r="AD78" s="262" t="n"/>
      <c r="AE78" s="262" t="n"/>
      <c r="AF78" s="262" t="n"/>
      <c r="AH78" s="59" t="n"/>
      <c r="AI78" s="1039" t="n"/>
      <c r="AJ78" s="59" t="n"/>
      <c r="AK78" s="59" t="n"/>
      <c r="AL78" s="59" t="n"/>
      <c r="AM78" s="59" t="n"/>
      <c r="AN78" s="59" t="n"/>
      <c r="AO78" s="59" t="n"/>
      <c r="AP78" s="59" t="n"/>
      <c r="AQ78" s="59" t="n"/>
      <c r="AR78" s="59" t="n"/>
      <c r="AS78" s="59" t="n"/>
      <c r="AT78" s="59" t="n"/>
      <c r="AU78" s="1039" t="n"/>
      <c r="AV78" s="59" t="n"/>
      <c r="AW78" s="59" t="n"/>
      <c r="AX78" s="59" t="n"/>
      <c r="AY78" s="59" t="n"/>
      <c r="AZ78" s="59" t="n"/>
      <c r="BA78" s="59" t="n"/>
      <c r="BB78" s="59" t="n"/>
      <c r="BC78" s="59" t="n"/>
      <c r="BD78" s="59" t="n"/>
      <c r="BE78" s="59" t="n"/>
      <c r="BF78" s="59" t="n"/>
      <c r="BG78" s="1039" t="n"/>
      <c r="BH78" s="59" t="n"/>
      <c r="BI78" s="59" t="n"/>
      <c r="BJ78" s="59" t="n"/>
      <c r="BK78" s="59" t="n"/>
      <c r="BL78" s="59" t="n"/>
      <c r="BM78" s="59" t="n"/>
      <c r="BN78" s="59" t="n"/>
      <c r="BO78" s="59" t="n"/>
      <c r="BP78" s="59" t="n"/>
      <c r="BQ78" s="59" t="n"/>
      <c r="BR78" s="59" t="n"/>
      <c r="BS78" s="1039" t="n"/>
      <c r="BT78" s="59" t="n"/>
      <c r="BU78" s="59" t="n"/>
      <c r="BV78" s="59" t="n"/>
      <c r="BW78" s="59" t="n"/>
      <c r="BX78" s="59" t="n"/>
      <c r="BY78" s="59" t="n"/>
      <c r="BZ78" s="59" t="n"/>
      <c r="CA78" s="59" t="n"/>
      <c r="CB78" s="59" t="n"/>
      <c r="CC78" s="59" t="n"/>
      <c r="CD78" s="59" t="n"/>
      <c r="CE78" s="1039" t="n"/>
    </row>
    <row r="79" ht="12.75" customHeight="1" s="1883">
      <c r="A79" s="241" t="n"/>
      <c r="B79" s="55" t="n"/>
      <c r="C79" s="88" t="n"/>
      <c r="D79" s="55" t="n"/>
      <c r="E79" s="264" t="n"/>
      <c r="F79" s="264" t="n"/>
      <c r="G79" s="262" t="n"/>
      <c r="H79" s="265" t="n"/>
      <c r="I79" s="265" t="n"/>
      <c r="J79" s="266" t="n"/>
      <c r="K79" s="266" t="n"/>
      <c r="L79" s="266" t="n"/>
      <c r="M79" s="266" t="n"/>
      <c r="N79" s="266" t="n"/>
      <c r="O79" s="266" t="n"/>
      <c r="P79" s="266" t="n"/>
      <c r="Q79" s="1338" t="n"/>
      <c r="R79" s="1338" t="n"/>
      <c r="S79" s="266" t="n"/>
      <c r="T79" s="266" t="n"/>
      <c r="U79" s="266" t="n"/>
      <c r="V79" s="266" t="n"/>
      <c r="W79" s="1339" t="n"/>
      <c r="X79" s="266" t="n"/>
      <c r="Y79" s="267" t="n"/>
      <c r="Z79" s="267" t="n"/>
      <c r="AA79" s="156" t="n"/>
      <c r="AB79" s="267" t="n"/>
      <c r="AC79" s="267" t="n"/>
      <c r="AD79" s="267" t="n"/>
      <c r="AE79" s="267" t="n"/>
      <c r="AF79" s="267" t="n"/>
      <c r="AH79" s="59" t="n"/>
      <c r="AI79" s="1039" t="n"/>
      <c r="AJ79" s="59" t="n"/>
      <c r="AK79" s="59" t="n"/>
      <c r="AL79" s="59" t="n"/>
      <c r="AM79" s="59" t="n"/>
      <c r="AN79" s="59" t="n"/>
      <c r="AO79" s="59" t="n"/>
      <c r="AP79" s="59" t="n"/>
      <c r="AQ79" s="59" t="n"/>
      <c r="AR79" s="59" t="n"/>
      <c r="AS79" s="59" t="n"/>
      <c r="AT79" s="59" t="n"/>
      <c r="AU79" s="1039" t="n"/>
      <c r="AV79" s="59" t="n"/>
      <c r="AW79" s="59" t="n"/>
      <c r="AX79" s="59" t="n"/>
      <c r="AY79" s="59" t="n"/>
      <c r="AZ79" s="59" t="n"/>
      <c r="BA79" s="59" t="n"/>
      <c r="BB79" s="59" t="n"/>
      <c r="BC79" s="59" t="n"/>
      <c r="BD79" s="59" t="n"/>
      <c r="BE79" s="59" t="n"/>
      <c r="BF79" s="59" t="n"/>
      <c r="BG79" s="1039" t="n"/>
      <c r="BH79" s="59" t="n"/>
      <c r="BI79" s="59" t="n"/>
      <c r="BJ79" s="59" t="n"/>
      <c r="BK79" s="59" t="n"/>
      <c r="BL79" s="59" t="n"/>
      <c r="BM79" s="59" t="n"/>
      <c r="BN79" s="59" t="n"/>
      <c r="BO79" s="59" t="n"/>
      <c r="BP79" s="59" t="n"/>
      <c r="BQ79" s="59" t="n"/>
      <c r="BR79" s="59" t="n"/>
      <c r="BS79" s="1039" t="n"/>
      <c r="BT79" s="59" t="n"/>
      <c r="BU79" s="59" t="n"/>
      <c r="BV79" s="59" t="n"/>
      <c r="BW79" s="59" t="n"/>
      <c r="BX79" s="59" t="n"/>
      <c r="BY79" s="59" t="n"/>
      <c r="BZ79" s="59" t="n"/>
      <c r="CA79" s="59" t="n"/>
      <c r="CB79" s="59" t="n"/>
      <c r="CC79" s="59" t="n"/>
      <c r="CD79" s="59" t="n"/>
      <c r="CE79" s="1039" t="n"/>
    </row>
    <row r="80" ht="12.75" customHeight="1" s="1883">
      <c r="A80" s="241" t="n"/>
      <c r="B80" s="55" t="n"/>
      <c r="C80" s="88" t="n"/>
      <c r="D80" s="55" t="n"/>
      <c r="E80" s="55" t="n"/>
      <c r="F80" s="55" t="n"/>
      <c r="G80" s="55" t="n"/>
      <c r="H80" s="55" t="n"/>
      <c r="I80" s="55" t="n"/>
      <c r="J80" s="55" t="n"/>
      <c r="K80" s="85" t="n"/>
      <c r="L80" s="85" t="n"/>
      <c r="M80" s="85" t="n"/>
      <c r="N80" s="85" t="n"/>
      <c r="O80" s="85" t="n"/>
      <c r="P80" s="85" t="n"/>
      <c r="Q80" s="1141" t="n"/>
      <c r="R80" s="1141" t="n"/>
      <c r="S80" s="85" t="n"/>
      <c r="T80" s="85" t="n"/>
      <c r="U80" s="85" t="n"/>
      <c r="V80" s="85" t="n"/>
      <c r="W80" s="1340" t="n"/>
      <c r="X80" s="268" t="n"/>
      <c r="Y80" s="2115" t="n"/>
      <c r="AH80" s="59" t="n"/>
      <c r="AI80" s="1039" t="n"/>
      <c r="AJ80" s="59" t="n"/>
      <c r="AK80" s="59" t="n"/>
      <c r="AL80" s="59" t="n"/>
      <c r="AM80" s="59" t="n"/>
      <c r="AN80" s="59" t="n"/>
      <c r="AO80" s="59" t="n"/>
      <c r="AP80" s="59" t="n"/>
      <c r="AQ80" s="59" t="n"/>
      <c r="AR80" s="59" t="n"/>
      <c r="AS80" s="59" t="n"/>
      <c r="AT80" s="59" t="n"/>
      <c r="AU80" s="1039" t="n"/>
      <c r="AV80" s="59" t="n"/>
      <c r="AW80" s="59" t="n"/>
      <c r="AX80" s="59" t="n"/>
      <c r="AY80" s="59" t="n"/>
      <c r="AZ80" s="59" t="n"/>
      <c r="BA80" s="59" t="n"/>
      <c r="BB80" s="59" t="n"/>
      <c r="BC80" s="59" t="n"/>
      <c r="BD80" s="59" t="n"/>
      <c r="BE80" s="59" t="n"/>
      <c r="BF80" s="59" t="n"/>
      <c r="BG80" s="1039" t="n"/>
      <c r="BH80" s="59" t="n"/>
      <c r="BI80" s="59" t="n"/>
      <c r="BJ80" s="59" t="n"/>
      <c r="BK80" s="59" t="n"/>
      <c r="BL80" s="59" t="n"/>
      <c r="BM80" s="59" t="n"/>
      <c r="BN80" s="59" t="n"/>
      <c r="BO80" s="59" t="n"/>
      <c r="BP80" s="59" t="n"/>
      <c r="BQ80" s="59" t="n"/>
      <c r="BR80" s="59" t="n"/>
      <c r="BS80" s="1039" t="n"/>
      <c r="BT80" s="59" t="n"/>
      <c r="BU80" s="59" t="n"/>
      <c r="BV80" s="59" t="n"/>
      <c r="BW80" s="59" t="n"/>
      <c r="BX80" s="59" t="n"/>
      <c r="BY80" s="59" t="n"/>
      <c r="BZ80" s="59" t="n"/>
      <c r="CA80" s="59" t="n"/>
      <c r="CB80" s="59" t="n"/>
      <c r="CC80" s="59" t="n"/>
      <c r="CD80" s="59" t="n"/>
      <c r="CE80" s="1039" t="n"/>
    </row>
    <row r="81" ht="12.75" customHeight="1" s="1883">
      <c r="A81" s="241" t="n"/>
      <c r="B81" s="55" t="n"/>
      <c r="C81" s="88" t="n"/>
      <c r="D81" s="55" t="n"/>
      <c r="E81" s="55" t="n"/>
      <c r="F81" s="55" t="n"/>
      <c r="G81" s="55" t="n"/>
      <c r="H81" s="55" t="n"/>
      <c r="I81" s="55" t="n"/>
      <c r="J81" s="55" t="n"/>
      <c r="K81" s="55" t="n"/>
      <c r="L81" s="55" t="n"/>
      <c r="M81" s="55" t="n"/>
      <c r="N81" s="55" t="n"/>
      <c r="O81" s="55" t="n"/>
      <c r="P81" s="55" t="n"/>
      <c r="Q81" s="1038" t="n"/>
      <c r="R81" s="1038" t="n"/>
      <c r="S81" s="55" t="n"/>
      <c r="T81" s="55" t="n"/>
      <c r="U81" s="55" t="n"/>
      <c r="V81" s="55" t="n"/>
      <c r="W81" s="1186" t="n"/>
      <c r="X81" s="2115" t="n"/>
      <c r="Y81" s="2115" t="n"/>
      <c r="AH81" s="59" t="n"/>
      <c r="AI81" s="1039" t="n"/>
      <c r="AJ81" s="59" t="n"/>
      <c r="AK81" s="59" t="n"/>
      <c r="AL81" s="59" t="n"/>
      <c r="AM81" s="59" t="n"/>
      <c r="AN81" s="59" t="n"/>
      <c r="AO81" s="59" t="n"/>
      <c r="AP81" s="59" t="n"/>
      <c r="AQ81" s="59" t="n"/>
      <c r="AR81" s="59" t="n"/>
      <c r="AS81" s="59" t="n"/>
      <c r="AT81" s="59" t="n"/>
      <c r="AU81" s="1039" t="n"/>
      <c r="AV81" s="59" t="n"/>
      <c r="AW81" s="59" t="n"/>
      <c r="AX81" s="59" t="n"/>
      <c r="AY81" s="59" t="n"/>
      <c r="AZ81" s="59" t="n"/>
      <c r="BA81" s="59" t="n"/>
      <c r="BB81" s="59" t="n"/>
      <c r="BC81" s="59" t="n"/>
      <c r="BD81" s="59" t="n"/>
      <c r="BE81" s="59" t="n"/>
      <c r="BF81" s="59" t="n"/>
      <c r="BG81" s="1039" t="n"/>
    </row>
    <row r="82" ht="12.75" customHeight="1" s="1883">
      <c r="A82" s="241" t="n"/>
      <c r="B82" s="55" t="n"/>
      <c r="C82" s="88" t="n"/>
      <c r="D82" s="55" t="n"/>
      <c r="E82" s="55" t="n"/>
      <c r="F82" s="55" t="n"/>
      <c r="G82" s="55" t="n"/>
      <c r="H82" s="55" t="n"/>
      <c r="I82" s="55" t="n"/>
      <c r="J82" s="55" t="n"/>
      <c r="K82" s="55" t="n"/>
      <c r="L82" s="55" t="n"/>
      <c r="M82" s="55" t="n"/>
      <c r="N82" s="55" t="n"/>
      <c r="O82" s="55" t="n"/>
      <c r="P82" s="55" t="n"/>
      <c r="Q82" s="1038" t="n"/>
      <c r="R82" s="1038" t="n"/>
      <c r="S82" s="55" t="n"/>
      <c r="T82" s="55" t="n"/>
      <c r="U82" s="55" t="n"/>
      <c r="V82" s="55" t="n"/>
      <c r="W82" s="1186" t="n"/>
      <c r="X82" s="2115" t="n"/>
      <c r="Y82" s="2115" t="n"/>
      <c r="AH82" s="59" t="n"/>
      <c r="AI82" s="1039" t="n"/>
      <c r="AJ82" s="59" t="n"/>
      <c r="AK82" s="59" t="n"/>
      <c r="AL82" s="59" t="n"/>
      <c r="AM82" s="59" t="n"/>
      <c r="AN82" s="59" t="n"/>
      <c r="AO82" s="59" t="n"/>
      <c r="AP82" s="59" t="n"/>
      <c r="AQ82" s="59" t="n"/>
      <c r="AR82" s="59" t="n"/>
      <c r="AS82" s="59" t="n"/>
      <c r="AT82" s="59" t="n"/>
      <c r="AU82" s="1039" t="n"/>
      <c r="AV82" s="59" t="n"/>
      <c r="AW82" s="59" t="n"/>
      <c r="AX82" s="59" t="n"/>
      <c r="AY82" s="59" t="n"/>
      <c r="AZ82" s="59" t="n"/>
      <c r="BA82" s="59" t="n"/>
      <c r="BB82" s="59" t="n"/>
      <c r="BC82" s="59" t="n"/>
      <c r="BD82" s="59" t="n"/>
      <c r="BE82" s="59" t="n"/>
      <c r="BF82" s="59" t="n"/>
      <c r="BG82" s="1039" t="n"/>
    </row>
    <row r="83" ht="12.75" customHeight="1" s="1883">
      <c r="A83" s="241" t="n"/>
      <c r="B83" s="55" t="n"/>
      <c r="C83" s="88" t="n"/>
      <c r="D83" s="55" t="n"/>
      <c r="E83" s="55" t="n"/>
      <c r="F83" s="55" t="n"/>
      <c r="G83" s="55" t="n"/>
      <c r="H83" s="55" t="n"/>
      <c r="I83" s="55" t="n"/>
      <c r="J83" s="55" t="n"/>
      <c r="K83" s="55" t="n"/>
      <c r="L83" s="55" t="n"/>
      <c r="M83" s="55" t="n"/>
      <c r="N83" s="55" t="n"/>
      <c r="O83" s="55" t="n"/>
      <c r="P83" s="55" t="n"/>
      <c r="Q83" s="1038" t="n"/>
      <c r="R83" s="1038" t="n"/>
      <c r="S83" s="55" t="n"/>
      <c r="T83" s="55" t="n"/>
      <c r="U83" s="55" t="n"/>
      <c r="V83" s="55" t="n"/>
      <c r="W83" s="1186" t="n"/>
      <c r="X83" s="2115" t="n"/>
      <c r="Y83" s="2115" t="n"/>
      <c r="AH83" s="59" t="n"/>
      <c r="AI83" s="1039" t="n"/>
      <c r="AJ83" s="59" t="n"/>
      <c r="AK83" s="59" t="n"/>
      <c r="AL83" s="59" t="n"/>
      <c r="AM83" s="59" t="n"/>
      <c r="AN83" s="59" t="n"/>
      <c r="AO83" s="59" t="n"/>
      <c r="AP83" s="59" t="n"/>
      <c r="AQ83" s="59" t="n"/>
      <c r="AR83" s="59" t="n"/>
      <c r="AS83" s="59" t="n"/>
      <c r="AT83" s="59" t="n"/>
      <c r="AU83" s="1039" t="n"/>
      <c r="AV83" s="59" t="n"/>
      <c r="AW83" s="59" t="n"/>
      <c r="AX83" s="59" t="n"/>
      <c r="AY83" s="59" t="n"/>
      <c r="AZ83" s="59" t="n"/>
      <c r="BA83" s="59" t="n"/>
      <c r="BB83" s="59" t="n"/>
      <c r="BC83" s="59" t="n"/>
      <c r="BD83" s="59" t="n"/>
      <c r="BE83" s="59" t="n"/>
      <c r="BF83" s="59" t="n"/>
      <c r="BG83" s="1039" t="n"/>
    </row>
    <row r="84" ht="12.75" customHeight="1" s="1883">
      <c r="A84" s="241" t="n"/>
      <c r="B84" s="55" t="n"/>
      <c r="C84" s="55" t="n"/>
      <c r="D84" s="55" t="n"/>
      <c r="E84" s="55" t="n"/>
      <c r="F84" s="55" t="n"/>
      <c r="G84" s="55" t="n"/>
      <c r="H84" s="55" t="n"/>
      <c r="I84" s="55" t="n"/>
      <c r="J84" s="55" t="n"/>
      <c r="K84" s="55" t="n"/>
      <c r="L84" s="55" t="n"/>
      <c r="M84" s="55" t="n"/>
      <c r="N84" s="55" t="n"/>
      <c r="O84" s="55" t="n"/>
      <c r="P84" s="55" t="n"/>
      <c r="Q84" s="1038" t="n"/>
      <c r="R84" s="1038" t="n"/>
      <c r="S84" s="55" t="n"/>
      <c r="T84" s="55" t="n"/>
      <c r="U84" s="55" t="n"/>
      <c r="V84" s="55" t="n"/>
      <c r="W84" s="1186" t="n"/>
      <c r="X84" s="2115" t="n"/>
      <c r="Y84" s="2115" t="n"/>
      <c r="AH84" s="2136" t="n"/>
      <c r="AI84" s="2137" t="n"/>
      <c r="AJ84" s="59" t="n"/>
      <c r="AK84" s="59" t="n"/>
      <c r="AL84" s="2136" t="n"/>
      <c r="AM84" s="59" t="n"/>
      <c r="AN84" s="2136" t="n"/>
      <c r="AO84" s="2136" t="n"/>
      <c r="AP84" s="59" t="n"/>
      <c r="AQ84" s="59" t="n"/>
      <c r="AR84" s="2136" t="n"/>
      <c r="AS84" s="59" t="n"/>
      <c r="AT84" s="59" t="n"/>
      <c r="AU84" s="1039" t="n"/>
      <c r="AV84" s="59" t="n"/>
      <c r="AW84" s="59" t="n"/>
      <c r="AX84" s="59" t="n"/>
      <c r="AY84" s="59" t="n"/>
      <c r="AZ84" s="59" t="n"/>
      <c r="BA84" s="59" t="n"/>
      <c r="BB84" s="59" t="n"/>
      <c r="BC84" s="59" t="n"/>
      <c r="BD84" s="59" t="n"/>
      <c r="BE84" s="59" t="n"/>
      <c r="BF84" s="59" t="n"/>
      <c r="BG84" s="1039" t="n"/>
    </row>
    <row r="85" ht="12.75" customHeight="1" s="1883">
      <c r="A85" s="241" t="n"/>
      <c r="B85" s="55" t="n"/>
      <c r="C85" s="55" t="n"/>
      <c r="D85" s="55" t="n"/>
      <c r="E85" s="55" t="n"/>
      <c r="F85" s="55" t="n"/>
      <c r="G85" s="55" t="n"/>
      <c r="H85" s="55" t="n"/>
      <c r="I85" s="55" t="n"/>
      <c r="J85" s="55" t="n"/>
      <c r="K85" s="55" t="n"/>
      <c r="L85" s="55" t="n"/>
      <c r="M85" s="55" t="n"/>
      <c r="N85" s="55" t="n"/>
      <c r="O85" s="55" t="n"/>
      <c r="P85" s="55" t="n"/>
      <c r="Q85" s="1038" t="n"/>
      <c r="R85" s="1038" t="n"/>
      <c r="S85" s="55" t="n"/>
      <c r="T85" s="55" t="n"/>
      <c r="U85" s="55" t="n"/>
      <c r="V85" s="55" t="n"/>
      <c r="W85" s="1186" t="n"/>
      <c r="X85" s="2115" t="n"/>
      <c r="Y85" s="2115" t="n"/>
      <c r="AH85" s="59" t="n"/>
      <c r="AI85" s="1039" t="n"/>
      <c r="AJ85" s="59" t="n"/>
      <c r="AK85" s="59" t="n"/>
      <c r="AL85" s="59" t="n"/>
      <c r="AM85" s="59" t="n"/>
      <c r="AN85" s="59" t="n"/>
      <c r="AO85" s="59" t="n"/>
      <c r="AP85" s="59" t="n"/>
      <c r="AQ85" s="59" t="n"/>
      <c r="AR85" s="59" t="n"/>
      <c r="AS85" s="59" t="n"/>
      <c r="AT85" s="59" t="n"/>
      <c r="AU85" s="1039" t="n"/>
      <c r="AV85" s="59" t="n"/>
      <c r="AW85" s="59" t="n"/>
      <c r="AX85" s="59" t="n"/>
      <c r="AY85" s="59" t="n"/>
      <c r="AZ85" s="59" t="n"/>
      <c r="BA85" s="59" t="n"/>
      <c r="BB85" s="59" t="n"/>
      <c r="BC85" s="59" t="n"/>
      <c r="BD85" s="59" t="n"/>
      <c r="BE85" s="59" t="n"/>
      <c r="BF85" s="59" t="n"/>
      <c r="BG85" s="1039" t="n"/>
    </row>
    <row r="86" ht="12.75" customHeight="1" s="1883">
      <c r="A86" s="241" t="n"/>
      <c r="B86" s="55" t="n"/>
      <c r="C86" s="55" t="n"/>
      <c r="D86" s="257" t="n"/>
      <c r="E86" s="2138" t="n"/>
      <c r="F86" s="2138" t="n"/>
      <c r="G86" s="2138" t="n"/>
      <c r="H86" s="2138" t="n"/>
      <c r="I86" s="2138" t="n"/>
      <c r="J86" s="2138" t="n"/>
      <c r="K86" s="2138" t="n"/>
      <c r="L86" s="2138" t="n"/>
      <c r="M86" s="2138" t="n"/>
      <c r="N86" s="2138" t="n"/>
      <c r="O86" s="2138" t="n"/>
      <c r="P86" s="2138" t="n"/>
      <c r="Q86" s="2139" t="n"/>
      <c r="R86" s="2139" t="n"/>
      <c r="S86" s="2138" t="n"/>
      <c r="T86" s="2138" t="n"/>
      <c r="U86" s="2138" t="n"/>
      <c r="V86" s="2138" t="n"/>
      <c r="W86" s="2140" t="n"/>
      <c r="X86" s="2135" t="n"/>
      <c r="Y86" s="2135" t="n"/>
      <c r="Z86" s="254" t="n"/>
      <c r="AA86" s="254" t="n"/>
      <c r="AB86" s="271" t="n"/>
      <c r="AC86" s="254" t="n"/>
      <c r="AD86" s="59" t="n"/>
      <c r="AE86" s="59" t="n"/>
      <c r="AF86" s="59" t="n"/>
      <c r="AG86" s="59" t="n"/>
      <c r="AH86" s="59" t="n"/>
      <c r="AI86" s="1039" t="n"/>
      <c r="AJ86" s="59" t="n"/>
      <c r="AK86" s="59" t="n"/>
      <c r="AL86" s="59" t="n"/>
      <c r="AM86" s="59" t="n"/>
      <c r="AN86" s="59" t="n"/>
      <c r="AO86" s="59" t="n"/>
      <c r="AP86" s="59" t="n"/>
      <c r="AQ86" s="59" t="n"/>
      <c r="AR86" s="59" t="n"/>
      <c r="AS86" s="59" t="n"/>
      <c r="AT86" s="59" t="n"/>
      <c r="AU86" s="1039" t="n"/>
      <c r="AV86" s="59" t="n"/>
      <c r="AW86" s="59" t="n"/>
      <c r="AX86" s="59" t="n"/>
      <c r="AY86" s="59" t="n"/>
      <c r="AZ86" s="59" t="n"/>
      <c r="BA86" s="59" t="n"/>
      <c r="BB86" s="59" t="n"/>
      <c r="BC86" s="59" t="n"/>
      <c r="BD86" s="59" t="n"/>
      <c r="BE86" s="59" t="n"/>
      <c r="BF86" s="59" t="n"/>
      <c r="BG86" s="1039" t="n"/>
    </row>
    <row r="87" ht="12.75" customHeight="1" s="1883">
      <c r="A87" s="241" t="n"/>
      <c r="B87" s="55" t="n"/>
      <c r="C87" s="55" t="n"/>
      <c r="D87" s="55" t="n"/>
      <c r="E87" s="2123" t="n"/>
      <c r="F87" s="2123" t="n"/>
      <c r="G87" s="2123" t="n"/>
      <c r="H87" s="2123" t="n"/>
      <c r="I87" s="2123" t="n"/>
      <c r="J87" s="2123" t="n"/>
      <c r="K87" s="2123" t="n"/>
      <c r="L87" s="2141" t="n"/>
      <c r="M87" s="2123" t="n"/>
      <c r="N87" s="2123" t="n"/>
      <c r="O87" s="2123" t="n"/>
      <c r="P87" s="2123" t="n"/>
      <c r="Q87" s="2124" t="n"/>
      <c r="R87" s="2124" t="n"/>
      <c r="S87" s="2123" t="n"/>
      <c r="T87" s="2123" t="n"/>
      <c r="U87" s="2123" t="n"/>
      <c r="V87" s="2123" t="n"/>
      <c r="W87" s="2125" t="n"/>
      <c r="X87" s="2115" t="n"/>
      <c r="Y87" s="2115" t="n"/>
      <c r="Z87" s="2115" t="n"/>
      <c r="AA87" s="2115" t="n"/>
      <c r="AB87" s="2115" t="n"/>
      <c r="AC87" s="2115" t="n"/>
      <c r="AD87" s="59" t="n"/>
      <c r="AE87" s="59" t="n"/>
      <c r="AF87" s="2115" t="n"/>
      <c r="AG87" s="2142" t="n"/>
      <c r="AH87" s="2136" t="n"/>
      <c r="AI87" s="2143" t="n"/>
      <c r="AJ87" s="59" t="n"/>
      <c r="AK87" s="59" t="n"/>
      <c r="AL87" s="2115" t="n"/>
      <c r="AM87" s="59" t="n"/>
      <c r="AN87" s="2136" t="n"/>
      <c r="AO87" s="2115" t="n"/>
      <c r="AP87" s="59" t="n"/>
      <c r="AQ87" s="59" t="n"/>
      <c r="AR87" s="2115" t="n"/>
      <c r="AS87" s="59" t="n"/>
      <c r="AT87" s="59" t="n"/>
      <c r="AU87" s="1039" t="n"/>
      <c r="AV87" s="59" t="n"/>
      <c r="AW87" s="59" t="n"/>
      <c r="AX87" s="59" t="n"/>
      <c r="AY87" s="59" t="n"/>
      <c r="AZ87" s="59" t="n"/>
      <c r="BA87" s="59" t="n"/>
      <c r="BB87" s="59" t="n"/>
      <c r="BC87" s="59" t="n"/>
      <c r="BD87" s="59" t="n"/>
      <c r="BE87" s="59" t="n"/>
      <c r="BF87" s="59" t="n"/>
      <c r="BG87" s="1039" t="n"/>
    </row>
    <row r="88" ht="12.75" customHeight="1" s="1883">
      <c r="A88" s="241" t="n"/>
      <c r="B88" s="88" t="n"/>
      <c r="C88" s="88" t="n"/>
      <c r="D88" s="55" t="n"/>
      <c r="E88" s="2123" t="n"/>
      <c r="F88" s="2123" t="n"/>
      <c r="G88" s="2123" t="n"/>
      <c r="H88" s="2123" t="n"/>
      <c r="I88" s="2123" t="n"/>
      <c r="J88" s="2123" t="n"/>
      <c r="K88" s="2123" t="n"/>
      <c r="L88" s="2123" t="n"/>
      <c r="M88" s="2123" t="n"/>
      <c r="N88" s="2123" t="n"/>
      <c r="O88" s="2123" t="n"/>
      <c r="P88" s="2123" t="n"/>
      <c r="Q88" s="2124" t="n"/>
      <c r="R88" s="2124" t="n"/>
      <c r="S88" s="2123" t="n"/>
      <c r="T88" s="2123" t="n"/>
      <c r="U88" s="2123" t="n"/>
      <c r="V88" s="2123" t="n"/>
      <c r="W88" s="2125" t="n"/>
      <c r="X88" s="2115" t="n"/>
      <c r="Y88" s="2115" t="n"/>
      <c r="Z88" s="2144" t="n"/>
      <c r="AA88" s="2115" t="n"/>
      <c r="AB88" s="2115" t="n"/>
      <c r="AC88" s="2115" t="n"/>
      <c r="AD88" s="56" t="n"/>
      <c r="AE88" s="56" t="n"/>
      <c r="AF88" s="56" t="n"/>
      <c r="AG88" s="2142" t="n"/>
      <c r="AH88" s="2145" t="n"/>
      <c r="AI88" s="1159" t="n"/>
      <c r="AJ88" s="56" t="n"/>
      <c r="AK88" s="56" t="n"/>
      <c r="AL88" s="56" t="n"/>
      <c r="AM88" s="56" t="n"/>
      <c r="AN88" s="2145" t="n"/>
      <c r="AO88" s="56" t="n"/>
      <c r="AP88" s="56" t="n"/>
      <c r="AQ88" s="56" t="n"/>
      <c r="AR88" s="56" t="n"/>
      <c r="AS88" s="56" t="n"/>
      <c r="AT88" s="56" t="n"/>
      <c r="AU88" s="1159" t="n"/>
      <c r="AV88" s="56" t="n"/>
      <c r="AW88" s="56" t="n"/>
      <c r="AX88" s="56" t="n"/>
      <c r="AY88" s="56" t="n"/>
      <c r="AZ88" s="56" t="n"/>
      <c r="BA88" s="56" t="n"/>
      <c r="BB88" s="56" t="n"/>
      <c r="BC88" s="56" t="n"/>
      <c r="BD88" s="56" t="n"/>
      <c r="BE88" s="56" t="n"/>
      <c r="BF88" s="56" t="n"/>
      <c r="BG88" s="1159" t="n"/>
    </row>
    <row r="89" ht="12.75" customHeight="1" s="1883">
      <c r="A89" s="227" t="n"/>
      <c r="B89" s="2146" t="n"/>
      <c r="C89" s="2147" t="n"/>
      <c r="D89" s="2146" t="n"/>
      <c r="E89" s="2123" t="n"/>
      <c r="F89" s="2123" t="n"/>
      <c r="G89" s="2123" t="n"/>
      <c r="H89" s="2123" t="n"/>
      <c r="I89" s="2123" t="n"/>
      <c r="J89" s="2123" t="n"/>
      <c r="K89" s="2123" t="n"/>
      <c r="L89" s="2141" t="n"/>
      <c r="M89" s="2123" t="n"/>
      <c r="N89" s="2123" t="n"/>
      <c r="O89" s="2123" t="n"/>
      <c r="P89" s="2123" t="n"/>
      <c r="Q89" s="2124" t="n"/>
      <c r="R89" s="2124" t="n"/>
      <c r="S89" s="2123" t="n"/>
      <c r="T89" s="2123" t="n"/>
      <c r="U89" s="2123" t="n"/>
      <c r="V89" s="2123" t="n"/>
      <c r="W89" s="2125" t="n"/>
      <c r="X89" s="2115" t="n"/>
      <c r="Y89" s="2115" t="n"/>
      <c r="Z89" s="2144" t="n"/>
      <c r="AA89" s="2115" t="n"/>
      <c r="AB89" s="2115" t="n"/>
      <c r="AC89" s="2115" t="n"/>
      <c r="AD89" s="2145" t="n"/>
      <c r="AE89" s="2145" t="n"/>
      <c r="AF89" s="2145" t="n"/>
      <c r="AG89" s="2148" t="n"/>
      <c r="AH89" s="2145" t="n"/>
      <c r="AI89" s="2149" t="n"/>
      <c r="AJ89" s="2145" t="n"/>
      <c r="AK89" s="2145" t="n"/>
      <c r="AL89" s="2145" t="n"/>
      <c r="AM89" s="2145" t="n"/>
      <c r="AN89" s="2145" t="n"/>
      <c r="AO89" s="2145" t="n"/>
      <c r="AP89" s="2145" t="n"/>
      <c r="AQ89" s="2145" t="n"/>
      <c r="AR89" s="2145" t="n"/>
      <c r="AS89" s="2145" t="n"/>
      <c r="AT89" s="2145" t="n"/>
      <c r="AU89" s="2149" t="n"/>
      <c r="AV89" s="2145" t="n"/>
      <c r="AW89" s="2145" t="n"/>
      <c r="AX89" s="2145" t="n"/>
      <c r="AY89" s="2145" t="n"/>
      <c r="AZ89" s="2145" t="n"/>
      <c r="BA89" s="2145" t="n"/>
      <c r="BB89" s="2145" t="n"/>
      <c r="BC89" s="2145" t="n"/>
      <c r="BD89" s="2145" t="n"/>
      <c r="BE89" s="2145" t="n"/>
      <c r="BF89" s="2145" t="n"/>
      <c r="BG89" s="2149" t="n"/>
    </row>
    <row r="90" ht="12.75" customHeight="1" s="1883">
      <c r="A90" s="227" t="n"/>
      <c r="B90" s="2147" t="n"/>
      <c r="C90" s="2146" t="n"/>
      <c r="D90" s="2146" t="n"/>
      <c r="E90" s="2123" t="n"/>
      <c r="F90" s="2123" t="n"/>
      <c r="G90" s="2123" t="n"/>
      <c r="H90" s="2123" t="n"/>
      <c r="I90" s="2123" t="n"/>
      <c r="J90" s="2123" t="n"/>
      <c r="K90" s="2123" t="n"/>
      <c r="L90" s="2123" t="n"/>
      <c r="M90" s="2123" t="n"/>
      <c r="N90" s="2123" t="n"/>
      <c r="O90" s="2123" t="n"/>
      <c r="P90" s="2123" t="n"/>
      <c r="Q90" s="2124" t="n"/>
      <c r="R90" s="2124" t="n"/>
      <c r="S90" s="2123" t="n"/>
      <c r="T90" s="2123" t="n"/>
      <c r="U90" s="2123" t="n"/>
      <c r="V90" s="2123" t="n"/>
      <c r="W90" s="2125" t="n"/>
      <c r="X90" s="2115" t="n"/>
      <c r="Y90" s="1981" t="inlineStr">
        <is>
          <t>Sales Breakdown FY1</t>
        </is>
      </c>
      <c r="Z90" s="1952" t="n"/>
      <c r="AA90" s="1952" t="n"/>
      <c r="AB90" s="1952" t="n"/>
      <c r="AC90" s="1953" t="n"/>
      <c r="AD90" s="59" t="n"/>
      <c r="AE90" s="59" t="n"/>
      <c r="AF90" s="59" t="n"/>
      <c r="AG90" s="2148" t="n"/>
      <c r="AH90" s="2145" t="n"/>
      <c r="AI90" s="2149" t="n"/>
      <c r="AJ90" s="2145" t="n"/>
      <c r="AK90" s="2145" t="n"/>
      <c r="AL90" s="2145" t="n"/>
      <c r="AM90" s="2145" t="n"/>
      <c r="AN90" s="2145" t="n"/>
      <c r="AO90" s="2145" t="n"/>
      <c r="AP90" s="2145" t="n"/>
      <c r="AQ90" s="2145" t="n"/>
      <c r="AR90" s="2145" t="n"/>
      <c r="AS90" s="2145" t="n"/>
      <c r="AT90" s="2145" t="n"/>
      <c r="AU90" s="2149" t="n"/>
      <c r="AV90" s="2145" t="n"/>
      <c r="AW90" s="2145" t="n"/>
      <c r="AX90" s="2145" t="n"/>
      <c r="AY90" s="2145" t="n"/>
      <c r="AZ90" s="2145" t="n"/>
      <c r="BA90" s="2145" t="n"/>
      <c r="BB90" s="2145" t="n"/>
      <c r="BC90" s="2145" t="n"/>
      <c r="BD90" s="2145" t="n"/>
      <c r="BE90" s="2145" t="n"/>
      <c r="BF90" s="2145" t="n"/>
      <c r="BG90" s="2149" t="n"/>
    </row>
    <row r="91" ht="12.75" customHeight="1" s="1883">
      <c r="A91" s="76" t="n"/>
      <c r="B91" s="55" t="n"/>
      <c r="C91" s="55" t="n"/>
      <c r="D91" s="2146" t="n"/>
      <c r="E91" s="2150" t="n"/>
      <c r="F91" s="2150" t="n"/>
      <c r="G91" s="2150" t="n"/>
      <c r="H91" s="2150" t="n"/>
      <c r="I91" s="2150" t="n"/>
      <c r="J91" s="2141" t="n"/>
      <c r="K91" s="2150" t="n"/>
      <c r="L91" s="2150" t="n"/>
      <c r="M91" s="2150" t="n"/>
      <c r="N91" s="2150" t="n"/>
      <c r="O91" s="2150" t="n"/>
      <c r="P91" s="2150" t="n"/>
      <c r="Q91" s="2151" t="n"/>
      <c r="R91" s="2151" t="n"/>
      <c r="S91" s="2150" t="n"/>
      <c r="T91" s="2150" t="n"/>
      <c r="U91" s="2150" t="n"/>
      <c r="V91" s="2150" t="n"/>
      <c r="W91" s="2152" t="n"/>
      <c r="X91" s="2115" t="n"/>
      <c r="Y91" s="1982" t="inlineStr">
        <is>
          <t>Average Sales People Working:</t>
        </is>
      </c>
      <c r="Z91" s="1952" t="n"/>
      <c r="AA91" s="1953" t="n"/>
      <c r="AB91" s="1975" t="n"/>
      <c r="AC91" s="281">
        <f>AVERAGE(X45:AI45)</f>
        <v/>
      </c>
      <c r="AD91" s="59" t="n"/>
      <c r="AE91" s="59" t="n"/>
      <c r="AF91" s="59" t="n"/>
      <c r="AG91" s="2142" t="n"/>
      <c r="AH91" s="59" t="n"/>
      <c r="AI91" s="1039" t="n"/>
      <c r="AJ91" s="59" t="n"/>
      <c r="AK91" s="59" t="n"/>
      <c r="AL91" s="59" t="n"/>
      <c r="AM91" s="59" t="n"/>
      <c r="AN91" s="59" t="n"/>
      <c r="AO91" s="59" t="n"/>
      <c r="AP91" s="59" t="n"/>
      <c r="AQ91" s="59" t="n"/>
      <c r="AR91" s="59" t="n"/>
      <c r="AS91" s="59" t="n"/>
      <c r="AT91" s="59" t="n"/>
      <c r="AU91" s="1039" t="n"/>
      <c r="AV91" s="59" t="n"/>
      <c r="AW91" s="59" t="n"/>
      <c r="AX91" s="59" t="n"/>
      <c r="AY91" s="59" t="n"/>
      <c r="AZ91" s="59" t="n"/>
      <c r="BA91" s="59" t="n"/>
      <c r="BB91" s="59" t="n"/>
      <c r="BC91" s="59" t="n"/>
      <c r="BD91" s="59" t="n"/>
      <c r="BE91" s="59" t="n"/>
      <c r="BF91" s="59" t="n"/>
      <c r="BG91" s="1039" t="n"/>
    </row>
    <row r="92" ht="12.75" customHeight="1" s="1883">
      <c r="A92" s="76" t="n"/>
      <c r="B92" s="55" t="n"/>
      <c r="C92" s="55" t="n"/>
      <c r="D92" s="55" t="n"/>
      <c r="E92" s="55" t="n"/>
      <c r="F92" s="55" t="n"/>
      <c r="G92" s="55" t="n"/>
      <c r="H92" s="55" t="n"/>
      <c r="I92" s="55" t="n"/>
      <c r="J92" s="55" t="n"/>
      <c r="K92" s="55" t="n"/>
      <c r="L92" s="55" t="n"/>
      <c r="M92" s="55" t="n"/>
      <c r="N92" s="55" t="n"/>
      <c r="O92" s="55" t="n"/>
      <c r="P92" s="55" t="n"/>
      <c r="Q92" s="1038" t="n"/>
      <c r="R92" s="1038" t="n"/>
      <c r="S92" s="55" t="n"/>
      <c r="T92" s="55" t="n"/>
      <c r="U92" s="55" t="n"/>
      <c r="V92" s="55" t="n"/>
      <c r="W92" s="1186" t="n"/>
      <c r="X92" s="2115" t="n"/>
      <c r="Y92" s="1977" t="inlineStr">
        <is>
          <t xml:space="preserve">Average Closes Per Day: </t>
        </is>
      </c>
      <c r="Z92" s="1952" t="n"/>
      <c r="AA92" s="1953" t="n"/>
      <c r="AB92" s="1975" t="n"/>
      <c r="AC92" s="281" t="n">
        <v>2</v>
      </c>
      <c r="AD92" s="59" t="n"/>
      <c r="AE92" s="59" t="n"/>
      <c r="AF92" s="59" t="n"/>
      <c r="AG92" s="2142" t="n"/>
      <c r="AH92" s="59" t="n"/>
      <c r="AI92" s="1039" t="n"/>
      <c r="AJ92" s="59" t="n"/>
      <c r="AK92" s="59" t="n"/>
      <c r="AL92" s="59" t="n"/>
      <c r="AM92" s="59" t="n"/>
      <c r="AN92" s="59" t="n"/>
      <c r="AO92" s="59" t="n"/>
      <c r="AP92" s="59" t="n"/>
      <c r="AQ92" s="59" t="n"/>
      <c r="AR92" s="59" t="n"/>
      <c r="AS92" s="59" t="n"/>
      <c r="AT92" s="59" t="n"/>
      <c r="AU92" s="1039" t="n"/>
      <c r="AV92" s="59" t="n"/>
      <c r="AW92" s="59" t="n"/>
      <c r="AX92" s="59" t="n"/>
      <c r="AY92" s="59" t="n"/>
      <c r="AZ92" s="59" t="n"/>
      <c r="BA92" s="59" t="n"/>
      <c r="BB92" s="59" t="n"/>
      <c r="BC92" s="59" t="n"/>
      <c r="BD92" s="59" t="n"/>
      <c r="BE92" s="59" t="n"/>
      <c r="BF92" s="59" t="n"/>
      <c r="BG92" s="1039" t="n"/>
    </row>
    <row r="93" ht="12.75" customHeight="1" s="1883">
      <c r="A93" s="76" t="n"/>
      <c r="B93" s="55" t="n"/>
      <c r="C93" s="55" t="n"/>
      <c r="D93" s="55" t="n"/>
      <c r="E93" s="55" t="n"/>
      <c r="F93" s="55" t="n"/>
      <c r="G93" s="55" t="n"/>
      <c r="H93" s="55" t="n"/>
      <c r="I93" s="55" t="n"/>
      <c r="J93" s="282" t="n"/>
      <c r="K93" s="55" t="n"/>
      <c r="L93" s="55" t="n"/>
      <c r="M93" s="55" t="n"/>
      <c r="N93" s="55" t="n"/>
      <c r="O93" s="55" t="n"/>
      <c r="P93" s="55" t="n"/>
      <c r="Q93" s="1038" t="n"/>
      <c r="R93" s="1038" t="n"/>
      <c r="S93" s="55" t="n"/>
      <c r="T93" s="55" t="n"/>
      <c r="U93" s="55" t="n"/>
      <c r="V93" s="55" t="n"/>
      <c r="W93" s="1186" t="n"/>
      <c r="X93" s="2115" t="n"/>
      <c r="Y93" s="1975" t="inlineStr">
        <is>
          <t xml:space="preserve">Average Days per Month: </t>
        </is>
      </c>
      <c r="Z93" s="1952" t="n"/>
      <c r="AA93" s="1953" t="n"/>
      <c r="AB93" s="1975" t="n"/>
      <c r="AC93" s="281" t="n">
        <v>21</v>
      </c>
      <c r="AD93" s="59" t="n"/>
      <c r="AE93" s="59" t="n"/>
      <c r="AF93" s="59" t="n"/>
      <c r="AG93" s="2142" t="n"/>
      <c r="AH93" s="59" t="n"/>
      <c r="AI93" s="1039" t="n"/>
      <c r="AJ93" s="59" t="n"/>
      <c r="AK93" s="59" t="n"/>
      <c r="AL93" s="59" t="n"/>
      <c r="AM93" s="59" t="n"/>
      <c r="AN93" s="59" t="n"/>
      <c r="AO93" s="59" t="n"/>
      <c r="AP93" s="59" t="n"/>
      <c r="AQ93" s="59" t="n"/>
      <c r="AR93" s="59" t="n"/>
      <c r="AS93" s="59" t="n"/>
      <c r="AT93" s="59" t="n"/>
      <c r="AU93" s="1039" t="n"/>
      <c r="AV93" s="59" t="n"/>
      <c r="AW93" s="59" t="n"/>
      <c r="AX93" s="59" t="n"/>
      <c r="AY93" s="59" t="n"/>
      <c r="AZ93" s="59" t="n"/>
      <c r="BA93" s="59" t="n"/>
      <c r="BB93" s="59" t="n"/>
      <c r="BC93" s="59" t="n"/>
      <c r="BD93" s="59" t="n"/>
      <c r="BE93" s="59" t="n"/>
      <c r="BF93" s="59" t="n"/>
      <c r="BG93" s="1039" t="n"/>
    </row>
    <row r="94" ht="12.75" customHeight="1" s="1883">
      <c r="A94" s="248" t="n"/>
      <c r="B94" s="55" t="n"/>
      <c r="C94" s="55" t="n"/>
      <c r="D94" s="55" t="n"/>
      <c r="E94" s="55" t="n"/>
      <c r="F94" s="55" t="n"/>
      <c r="G94" s="55" t="n"/>
      <c r="H94" s="55" t="n"/>
      <c r="I94" s="55" t="n"/>
      <c r="J94" s="55" t="n"/>
      <c r="K94" s="55" t="n"/>
      <c r="L94" s="55" t="n"/>
      <c r="M94" s="55" t="n"/>
      <c r="N94" s="55" t="n"/>
      <c r="O94" s="55" t="n"/>
      <c r="P94" s="55" t="n"/>
      <c r="Q94" s="1038" t="n"/>
      <c r="R94" s="1038" t="n"/>
      <c r="S94" s="55" t="n"/>
      <c r="T94" s="55" t="n"/>
      <c r="U94" s="55" t="n"/>
      <c r="V94" s="55" t="n"/>
      <c r="W94" s="1186" t="n"/>
      <c r="X94" s="2115" t="n"/>
      <c r="Y94" s="1975" t="inlineStr">
        <is>
          <t xml:space="preserve">Months per Year: </t>
        </is>
      </c>
      <c r="Z94" s="1952" t="n"/>
      <c r="AA94" s="1953" t="n"/>
      <c r="AB94" s="1975" t="n"/>
      <c r="AC94" s="281" t="n">
        <v>14</v>
      </c>
      <c r="AD94" s="59" t="n"/>
      <c r="AE94" s="59" t="n"/>
      <c r="AF94" s="59" t="n"/>
      <c r="AG94" s="2142" t="n"/>
      <c r="AH94" s="59" t="n"/>
      <c r="AI94" s="1039" t="n"/>
      <c r="AJ94" s="59" t="n"/>
      <c r="AK94" s="59" t="n"/>
      <c r="AL94" s="59" t="n"/>
      <c r="AM94" s="59" t="n"/>
      <c r="AN94" s="59" t="n"/>
      <c r="AO94" s="59" t="n"/>
      <c r="AP94" s="59" t="n"/>
      <c r="AQ94" s="59" t="n"/>
      <c r="AR94" s="59" t="n"/>
      <c r="AS94" s="59" t="n"/>
      <c r="AT94" s="59" t="n"/>
      <c r="AU94" s="1039" t="n"/>
      <c r="AV94" s="59" t="n"/>
      <c r="AW94" s="59" t="n"/>
      <c r="AX94" s="59" t="n"/>
      <c r="AY94" s="59" t="n"/>
      <c r="AZ94" s="59" t="n"/>
      <c r="BA94" s="59" t="n"/>
      <c r="BB94" s="59" t="n"/>
      <c r="BC94" s="59" t="n"/>
      <c r="BD94" s="59" t="n"/>
      <c r="BE94" s="59" t="n"/>
      <c r="BF94" s="59" t="n"/>
      <c r="BG94" s="1039" t="n"/>
    </row>
    <row r="95" ht="12.75" customHeight="1" s="1883">
      <c r="A95" s="227" t="n"/>
      <c r="B95" s="55" t="n"/>
      <c r="C95" s="55" t="n"/>
      <c r="D95" s="55" t="n"/>
      <c r="E95" s="55" t="n"/>
      <c r="F95" s="55" t="n"/>
      <c r="G95" s="55" t="n"/>
      <c r="H95" s="55" t="n"/>
      <c r="I95" s="55" t="n"/>
      <c r="J95" s="282" t="n"/>
      <c r="K95" s="55" t="n"/>
      <c r="L95" s="55" t="n"/>
      <c r="M95" s="55" t="n"/>
      <c r="N95" s="55" t="n"/>
      <c r="O95" s="55" t="n"/>
      <c r="P95" s="55" t="n"/>
      <c r="Q95" s="1038" t="n"/>
      <c r="R95" s="1038" t="n"/>
      <c r="S95" s="55" t="n"/>
      <c r="T95" s="55" t="n"/>
      <c r="U95" s="55" t="n"/>
      <c r="V95" s="55" t="n"/>
      <c r="W95" s="1186" t="n"/>
      <c r="X95" s="2115" t="n"/>
      <c r="Y95" s="1978" t="inlineStr">
        <is>
          <t>Total Clients Onboarded in Year 1</t>
        </is>
      </c>
      <c r="Z95" s="1952" t="n"/>
      <c r="AA95" s="1953" t="n"/>
      <c r="AB95" s="1978" t="n"/>
      <c r="AC95" s="284">
        <f>AC91*AC92*AC93*AC94</f>
        <v/>
      </c>
      <c r="AD95" s="85" t="inlineStr">
        <is>
          <t>This may be broken down with less actual clients closed provided that large clients bring on 10 brands etc</t>
        </is>
      </c>
      <c r="AE95" s="59" t="n"/>
      <c r="AF95" s="59" t="n"/>
      <c r="AG95" s="2142" t="n"/>
      <c r="AH95" s="59" t="n"/>
      <c r="AI95" s="1039" t="n"/>
      <c r="AJ95" s="59" t="n"/>
      <c r="AK95" s="59" t="n"/>
      <c r="AL95" s="59" t="n"/>
      <c r="AM95" s="59" t="n"/>
      <c r="AN95" s="59" t="n"/>
      <c r="AO95" s="59" t="n"/>
      <c r="AP95" s="59" t="n"/>
      <c r="AQ95" s="59" t="n"/>
      <c r="AR95" s="59" t="n"/>
      <c r="AS95" s="59" t="n"/>
      <c r="AT95" s="59" t="n"/>
      <c r="AU95" s="1039" t="n"/>
      <c r="AV95" s="59" t="n"/>
      <c r="AW95" s="59" t="n"/>
      <c r="AX95" s="59" t="n"/>
      <c r="AY95" s="59" t="n"/>
      <c r="AZ95" s="59" t="n"/>
      <c r="BA95" s="59" t="n"/>
      <c r="BB95" s="59" t="n"/>
      <c r="BC95" s="59" t="n"/>
      <c r="BD95" s="59" t="n"/>
      <c r="BE95" s="59" t="n"/>
      <c r="BF95" s="59" t="n"/>
      <c r="BG95" s="1039" t="n"/>
    </row>
    <row r="96" ht="12.75" customHeight="1" s="1883">
      <c r="A96" s="241" t="n"/>
      <c r="B96" s="55" t="n"/>
      <c r="C96" s="55" t="n"/>
      <c r="D96" s="55" t="n"/>
      <c r="E96" s="55" t="n"/>
      <c r="F96" s="55" t="n"/>
      <c r="G96" s="55" t="n"/>
      <c r="H96" s="55" t="n"/>
      <c r="I96" s="55" t="n"/>
      <c r="J96" s="55" t="n"/>
      <c r="K96" s="55" t="n"/>
      <c r="L96" s="55" t="n"/>
      <c r="M96" s="55" t="n"/>
      <c r="N96" s="55" t="n"/>
      <c r="O96" s="55" t="n"/>
      <c r="P96" s="55" t="n"/>
      <c r="Q96" s="1038" t="n"/>
      <c r="R96" s="1038" t="n"/>
      <c r="S96" s="55" t="n"/>
      <c r="T96" s="55" t="n"/>
      <c r="U96" s="55" t="n"/>
      <c r="V96" s="55" t="n"/>
      <c r="W96" s="1186" t="n"/>
      <c r="X96" s="2115" t="n"/>
      <c r="Y96" s="285" t="inlineStr">
        <is>
          <t>Each Client's Average Yearly Spend:</t>
        </is>
      </c>
      <c r="Z96" s="286" t="n"/>
      <c r="AA96" s="2153" t="n"/>
      <c r="AB96" s="1979" t="n">
        <v>11115.7142857</v>
      </c>
      <c r="AD96" s="59" t="n"/>
      <c r="AE96" s="2136" t="n"/>
      <c r="AF96" s="59" t="n"/>
      <c r="AG96" s="2142" t="n"/>
      <c r="AH96" s="59" t="n"/>
      <c r="AI96" s="1039" t="n"/>
      <c r="AJ96" s="59" t="n"/>
      <c r="AK96" s="59" t="n"/>
      <c r="AL96" s="59" t="n"/>
      <c r="AM96" s="59" t="n"/>
      <c r="AN96" s="59" t="n"/>
      <c r="AO96" s="59" t="n"/>
      <c r="AP96" s="59" t="n"/>
      <c r="AQ96" s="59" t="n"/>
      <c r="AR96" s="59" t="n"/>
      <c r="AS96" s="59" t="n"/>
      <c r="AT96" s="59" t="n"/>
      <c r="AU96" s="1039" t="n"/>
      <c r="AV96" s="59" t="n"/>
      <c r="AW96" s="59" t="n"/>
      <c r="AX96" s="59" t="n"/>
      <c r="AY96" s="59" t="n"/>
      <c r="AZ96" s="59" t="n"/>
      <c r="BA96" s="59" t="n"/>
      <c r="BB96" s="59" t="n"/>
      <c r="BC96" s="59" t="n"/>
      <c r="BD96" s="59" t="n"/>
      <c r="BE96" s="59" t="n"/>
      <c r="BF96" s="59" t="n"/>
      <c r="BG96" s="1039" t="n"/>
    </row>
    <row r="97" ht="12.75" customHeight="1" s="1883">
      <c r="Y97" s="288" t="inlineStr">
        <is>
          <t>Total Year 1 Revenue Assumptions</t>
        </is>
      </c>
      <c r="Z97" s="288" t="n"/>
      <c r="AA97" s="289" t="n"/>
      <c r="AB97" s="1972">
        <f>AC95*AB96</f>
        <v/>
      </c>
      <c r="AC97" s="1953" t="n"/>
      <c r="AD97" s="59" t="n"/>
    </row>
  </sheetData>
  <mergeCells count="37">
    <mergeCell ref="E5:E6"/>
    <mergeCell ref="Y94:AA94"/>
    <mergeCell ref="BE68:BF68"/>
    <mergeCell ref="BQ68:BR68"/>
    <mergeCell ref="F5:F6"/>
    <mergeCell ref="CC68:CD68"/>
    <mergeCell ref="AM66:AN66"/>
    <mergeCell ref="AY66:AZ66"/>
    <mergeCell ref="BK66:BL66"/>
    <mergeCell ref="Z67:AB67"/>
    <mergeCell ref="U66:V66"/>
    <mergeCell ref="I5:I6"/>
    <mergeCell ref="AB96:AC96"/>
    <mergeCell ref="Y95:AA95"/>
    <mergeCell ref="G5:G6"/>
    <mergeCell ref="BW66:BX66"/>
    <mergeCell ref="U72:V72"/>
    <mergeCell ref="U68:V68"/>
    <mergeCell ref="U71:V71"/>
    <mergeCell ref="Y90:AC90"/>
    <mergeCell ref="Y91:AA91"/>
    <mergeCell ref="AS67:AT67"/>
    <mergeCell ref="AA66:AB66"/>
    <mergeCell ref="BE67:BF67"/>
    <mergeCell ref="AB97:AC97"/>
    <mergeCell ref="H5:H6"/>
    <mergeCell ref="U73:V73"/>
    <mergeCell ref="Y93:AA93"/>
    <mergeCell ref="AG68:AH68"/>
    <mergeCell ref="J5:J6"/>
    <mergeCell ref="U67:V67"/>
    <mergeCell ref="BQ67:BR67"/>
    <mergeCell ref="AS68:AT68"/>
    <mergeCell ref="AG67:AH67"/>
    <mergeCell ref="Y92:AA92"/>
    <mergeCell ref="CC67:CD67"/>
    <mergeCell ref="K5:K6"/>
  </mergeCells>
  <pageMargins left="0.7" right="0.7" top="0.75" bottom="0.75" header="0.3" footer="0.3"/>
  <pageSetup orientation="portrait" horizontalDpi="0" verticalDpi="0"/>
  <legacyDrawing xmlns:r="http://schemas.openxmlformats.org/officeDocument/2006/relationships" r:id="anysvml"/>
</worksheet>
</file>

<file path=xl/worksheets/sheet40.xml><?xml version="1.0" encoding="utf-8"?>
<worksheet xmlns="http://schemas.openxmlformats.org/spreadsheetml/2006/main">
  <sheetPr>
    <outlinePr summaryBelow="0" summaryRight="0"/>
    <pageSetUpPr/>
  </sheetPr>
  <dimension ref="A1:CI41"/>
  <sheetViews>
    <sheetView showGridLines="0" zoomScaleNormal="100" workbookViewId="0">
      <pane xSplit="3" topLeftCell="BW1" activePane="topRight" state="frozen"/>
      <selection pane="topRight" activeCell="CE40" sqref="CE40"/>
    </sheetView>
  </sheetViews>
  <sheetFormatPr baseColWidth="10" defaultColWidth="17.33203125" defaultRowHeight="15" customHeight="1"/>
  <cols>
    <col width="2" customWidth="1" style="1883" min="1" max="1"/>
    <col width="2.5" customWidth="1" style="1883" min="2" max="2"/>
    <col width="28.6640625" customWidth="1" style="1883" min="3" max="3"/>
    <col width="0.5" customWidth="1" style="1883" min="4" max="4"/>
    <col width="13.6640625" customWidth="1" style="1883" min="5" max="76"/>
    <col width="8" customWidth="1" style="1883" min="77" max="80"/>
    <col width="11.6640625" customWidth="1" style="1883" min="81" max="81"/>
    <col width="20.5" customWidth="1" style="1883" min="82" max="82"/>
    <col width="22.1640625" customWidth="1" style="1883" min="83" max="87"/>
    <col width="8" customWidth="1" style="1883" min="88" max="97"/>
  </cols>
  <sheetData>
    <row r="1" ht="12.75" customHeight="1" s="1883">
      <c r="A1" s="210">
        <f>Summary!A1</f>
        <v/>
      </c>
      <c r="B1" s="290" t="n"/>
      <c r="C1" s="7" t="n"/>
      <c r="D1" s="7" t="n"/>
      <c r="E1" s="10" t="n"/>
      <c r="F1" s="10" t="n"/>
      <c r="G1" s="10" t="n"/>
      <c r="H1" s="10" t="n"/>
      <c r="I1" s="10" t="n"/>
      <c r="J1" s="10" t="n"/>
      <c r="K1" s="10" t="n"/>
      <c r="L1" s="10" t="n"/>
      <c r="M1" s="10" t="n"/>
      <c r="N1" s="10" t="n"/>
      <c r="O1" s="10" t="n"/>
      <c r="P1" s="10" t="n"/>
      <c r="Q1" s="33" t="n"/>
      <c r="R1" s="33" t="n"/>
      <c r="S1" s="33" t="n"/>
      <c r="T1" s="33" t="n"/>
      <c r="U1" s="33" t="n"/>
      <c r="V1" s="33" t="n"/>
      <c r="W1" s="33" t="n"/>
      <c r="X1" s="33" t="n"/>
      <c r="Y1" s="33" t="n"/>
      <c r="Z1" s="33" t="n"/>
      <c r="AA1" s="33" t="n"/>
      <c r="AB1" s="33" t="n"/>
      <c r="AC1" s="1348" t="n"/>
      <c r="AD1" s="33" t="n"/>
      <c r="AE1" s="33" t="n"/>
      <c r="AF1" s="33" t="n"/>
      <c r="AG1" s="33" t="n"/>
      <c r="AH1" s="33" t="n"/>
      <c r="AI1" s="33" t="n"/>
      <c r="AJ1" s="33" t="n"/>
      <c r="AK1" s="33" t="n"/>
      <c r="AL1" s="33" t="n"/>
      <c r="AM1" s="33" t="n"/>
      <c r="AN1" s="33" t="n"/>
      <c r="AO1" s="12" t="n"/>
      <c r="AP1" s="12" t="n"/>
      <c r="AQ1" s="12" t="n"/>
      <c r="AR1" s="12" t="n"/>
      <c r="AS1" s="12" t="n"/>
      <c r="AT1" s="12" t="n"/>
      <c r="AU1" s="12" t="n"/>
      <c r="AV1" s="12" t="n"/>
      <c r="AW1" s="12" t="n"/>
      <c r="AX1" s="12" t="n"/>
      <c r="AY1" s="12" t="n"/>
      <c r="AZ1" s="12" t="n"/>
      <c r="BA1" s="12" t="n"/>
      <c r="BB1" s="12" t="n"/>
      <c r="BC1" s="12" t="n"/>
      <c r="BD1" s="12" t="n"/>
      <c r="BE1" s="12" t="n"/>
      <c r="BF1" s="12" t="n"/>
      <c r="BG1" s="12" t="n"/>
      <c r="BH1" s="12" t="n"/>
      <c r="BI1" s="12" t="n"/>
      <c r="BJ1" s="12" t="n"/>
      <c r="BK1" s="12" t="n"/>
      <c r="BL1" s="12" t="n"/>
      <c r="BM1" s="12" t="n"/>
      <c r="BN1" s="12" t="n"/>
      <c r="BO1" s="12" t="n"/>
      <c r="BP1" s="12" t="n"/>
      <c r="BQ1" s="12" t="n"/>
      <c r="BR1" s="12" t="n"/>
      <c r="BS1" s="12" t="n"/>
      <c r="BT1" s="12" t="n"/>
      <c r="BU1" s="12" t="n"/>
      <c r="BV1" s="12" t="n"/>
      <c r="BW1" s="12" t="n"/>
      <c r="BX1" s="12" t="n"/>
      <c r="BY1" s="12" t="n"/>
      <c r="BZ1" s="12" t="n"/>
      <c r="CA1" s="12" t="n"/>
      <c r="CB1" s="12" t="n"/>
      <c r="CC1" s="12" t="n"/>
      <c r="CD1" s="12" t="n"/>
      <c r="CE1" s="12" t="n"/>
      <c r="CF1" s="12" t="n"/>
      <c r="CG1" s="12" t="n"/>
      <c r="CH1" s="12" t="n"/>
      <c r="CI1" s="12" t="n"/>
    </row>
    <row r="2" ht="12.75" customHeight="1" s="1883">
      <c r="A2" s="1" t="n"/>
      <c r="B2" s="291" t="n"/>
      <c r="C2" s="1" t="n"/>
      <c r="D2" s="1" t="n"/>
      <c r="E2" s="4" t="n"/>
      <c r="F2" s="4" t="n"/>
      <c r="G2" s="4" t="n"/>
      <c r="H2" s="4" t="n"/>
      <c r="I2" s="4" t="n"/>
      <c r="J2" s="4" t="n"/>
      <c r="K2" s="4" t="n"/>
      <c r="L2" s="4" t="n"/>
      <c r="M2" s="4" t="n"/>
      <c r="N2" s="4" t="n"/>
      <c r="O2" s="4" t="n"/>
      <c r="P2" s="4" t="n"/>
      <c r="Q2" s="6" t="n"/>
      <c r="R2" s="6" t="n"/>
      <c r="S2" s="6" t="n"/>
      <c r="T2" s="6" t="n"/>
      <c r="U2" s="6" t="n"/>
      <c r="V2" s="6" t="n"/>
      <c r="W2" s="6" t="n"/>
      <c r="X2" s="6" t="n"/>
      <c r="Y2" s="6" t="n"/>
      <c r="Z2" s="6" t="n"/>
      <c r="AA2" s="6" t="n"/>
      <c r="AB2" s="6" t="n"/>
      <c r="AC2" s="1349" t="n"/>
      <c r="AD2" s="6" t="n"/>
      <c r="AE2" s="6" t="n"/>
      <c r="AF2" s="6" t="n"/>
      <c r="AG2" s="6" t="n"/>
      <c r="AH2" s="6" t="n"/>
      <c r="AI2" s="6" t="n"/>
      <c r="AJ2" s="6" t="n"/>
      <c r="AK2" s="6" t="n"/>
      <c r="AL2" s="6" t="n"/>
      <c r="AM2" s="6" t="n"/>
      <c r="AN2" s="6"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c r="BR2" s="1" t="n"/>
      <c r="BS2" s="1" t="n"/>
      <c r="BT2" s="1" t="n"/>
      <c r="BU2" s="1" t="n"/>
      <c r="BV2" s="1" t="n"/>
      <c r="BW2" s="1" t="n"/>
      <c r="BX2" s="1" t="n"/>
      <c r="BY2" s="1" t="n"/>
      <c r="BZ2" s="1" t="n"/>
      <c r="CA2" s="1" t="n"/>
      <c r="CB2" s="1" t="n"/>
      <c r="CC2" s="1" t="n"/>
      <c r="CD2" s="1" t="n"/>
      <c r="CE2" s="1" t="n"/>
      <c r="CF2" s="1" t="n"/>
      <c r="CG2" s="1" t="n"/>
      <c r="CH2" s="1" t="n"/>
      <c r="CI2" s="1" t="n"/>
    </row>
    <row r="3" ht="12.75" customHeight="1" s="1883">
      <c r="A3" s="1" t="n"/>
      <c r="B3" s="214" t="inlineStr">
        <is>
          <t xml:space="preserve"> Income Statement Projections Year 1 Monthly</t>
        </is>
      </c>
      <c r="C3" s="3" t="n"/>
      <c r="D3" s="1" t="n"/>
      <c r="E3" s="4" t="n"/>
      <c r="F3" s="4" t="n"/>
      <c r="G3" s="4" t="n"/>
      <c r="H3" s="4" t="n"/>
      <c r="I3" s="4" t="n"/>
      <c r="J3" s="4" t="n"/>
      <c r="K3" s="4" t="n"/>
      <c r="L3" s="4" t="n"/>
      <c r="M3" s="4" t="n"/>
      <c r="N3" s="4" t="n"/>
      <c r="O3" s="4" t="n"/>
      <c r="P3" s="4" t="n"/>
      <c r="Q3" s="5" t="n"/>
      <c r="R3" s="5" t="n"/>
      <c r="S3" s="5" t="n"/>
      <c r="T3" s="5" t="n"/>
      <c r="U3" s="6" t="n"/>
      <c r="V3" s="5" t="n"/>
      <c r="W3" s="5" t="n"/>
      <c r="X3" s="5" t="n"/>
      <c r="Y3" s="5" t="n"/>
      <c r="Z3" s="5" t="n"/>
      <c r="AA3" s="5" t="n"/>
      <c r="AB3" s="5" t="n"/>
      <c r="AC3" s="1349" t="n"/>
      <c r="AD3" s="6" t="n"/>
      <c r="AE3" s="5" t="n"/>
      <c r="AF3" s="5" t="n"/>
      <c r="AG3" s="5" t="n"/>
      <c r="AH3" s="5" t="n"/>
      <c r="AI3" s="5" t="n"/>
      <c r="AJ3" s="6" t="n"/>
      <c r="AK3" s="6" t="n"/>
      <c r="AL3" s="5" t="n"/>
      <c r="AM3" s="5" t="n"/>
      <c r="AN3" s="6"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c r="BR3" s="1" t="n"/>
      <c r="BS3" s="1" t="n"/>
      <c r="BT3" s="1" t="n"/>
      <c r="BU3" s="1" t="n"/>
      <c r="BV3" s="1" t="n"/>
      <c r="BW3" s="1" t="n"/>
      <c r="BX3" s="1" t="n"/>
      <c r="BY3" s="1" t="n"/>
      <c r="BZ3" s="1" t="n"/>
      <c r="CA3" s="1" t="n"/>
      <c r="CB3" s="1" t="n"/>
      <c r="CC3" s="1" t="n"/>
      <c r="CD3" s="1" t="n"/>
      <c r="CE3" s="1" t="n"/>
      <c r="CF3" s="1" t="n"/>
      <c r="CG3" s="1" t="n"/>
      <c r="CH3" s="1" t="n"/>
      <c r="CI3" s="1" t="n"/>
    </row>
    <row r="4" ht="12.75" customHeight="1" s="1883">
      <c r="A4" s="7" t="n"/>
      <c r="B4" s="8" t="n"/>
      <c r="C4" s="9" t="n"/>
      <c r="D4" s="7" t="n"/>
      <c r="E4" s="10" t="n"/>
      <c r="F4" s="10" t="n"/>
      <c r="G4" s="10" t="n"/>
      <c r="H4" s="10" t="n"/>
      <c r="I4" s="10" t="n"/>
      <c r="J4" s="10" t="n"/>
      <c r="K4" s="10" t="n"/>
      <c r="L4" s="10" t="n"/>
      <c r="M4" s="10" t="n"/>
      <c r="N4" s="10" t="n"/>
      <c r="O4" s="10" t="n"/>
      <c r="P4" s="10" t="n"/>
      <c r="Q4" s="1986" t="inlineStr">
        <is>
          <t>For the Year Ending</t>
        </is>
      </c>
      <c r="AC4" s="1986" t="inlineStr">
        <is>
          <t>For the Year Ending</t>
        </is>
      </c>
      <c r="AO4" s="1986" t="inlineStr">
        <is>
          <t>For the Year Ending</t>
        </is>
      </c>
      <c r="BA4" s="1986" t="inlineStr">
        <is>
          <t>For the Year Ending</t>
        </is>
      </c>
      <c r="BM4" s="1986" t="inlineStr">
        <is>
          <t>For the Year Ending</t>
        </is>
      </c>
      <c r="BY4" s="7" t="n"/>
      <c r="BZ4" s="7" t="n"/>
      <c r="CA4" s="7" t="n"/>
      <c r="CB4" s="7" t="n"/>
      <c r="CC4" s="7" t="n"/>
      <c r="CD4" s="7" t="n"/>
      <c r="CE4" s="7" t="n"/>
      <c r="CF4" s="7" t="n"/>
      <c r="CG4" s="7" t="n"/>
      <c r="CH4" s="7" t="n"/>
      <c r="CI4" s="7" t="n"/>
    </row>
    <row r="5" ht="12.75" customHeight="1" s="1883">
      <c r="A5" s="7" t="n"/>
      <c r="B5" s="1350" t="n"/>
      <c r="C5" s="1350" t="n"/>
      <c r="D5" s="1351" t="n"/>
      <c r="E5" s="1352" t="n"/>
      <c r="F5" s="1352" t="n"/>
      <c r="G5" s="1352" t="n"/>
      <c r="H5" s="1352" t="n"/>
      <c r="I5" s="1352" t="n"/>
      <c r="J5" s="1352" t="n"/>
      <c r="K5" s="1352" t="n"/>
      <c r="L5" s="1352" t="n"/>
      <c r="M5" s="1352" t="n"/>
      <c r="N5" s="1352" t="n"/>
      <c r="O5" s="1352" t="n"/>
      <c r="P5" s="1352" t="n"/>
      <c r="Q5" s="1987" t="inlineStr">
        <is>
          <t>FY1</t>
        </is>
      </c>
      <c r="AC5" s="1987" t="inlineStr">
        <is>
          <t>FY2</t>
        </is>
      </c>
      <c r="AO5" s="1987" t="inlineStr">
        <is>
          <t>FY3</t>
        </is>
      </c>
      <c r="BA5" s="1987" t="inlineStr">
        <is>
          <t>FY4</t>
        </is>
      </c>
      <c r="BM5" s="1987" t="inlineStr">
        <is>
          <t>FY5</t>
        </is>
      </c>
      <c r="BY5" s="626" t="n"/>
      <c r="BZ5" s="1350" t="n"/>
      <c r="CA5" s="1350" t="n"/>
      <c r="CB5" s="1350" t="n"/>
      <c r="CC5" s="1887" t="inlineStr">
        <is>
          <t>Five Year Projections</t>
        </is>
      </c>
    </row>
    <row r="6" ht="12.75" customHeight="1" s="1883">
      <c r="A6" s="11" t="n"/>
      <c r="B6" s="1888" t="n"/>
      <c r="C6" s="1987" t="n"/>
      <c r="D6" s="1987" t="n"/>
      <c r="E6" s="1987" t="n">
        <v>-12</v>
      </c>
      <c r="F6" s="1987" t="n">
        <v>-11</v>
      </c>
      <c r="G6" s="1987" t="n">
        <v>-10</v>
      </c>
      <c r="H6" s="1987" t="n">
        <v>-9</v>
      </c>
      <c r="I6" s="1987" t="n">
        <v>-8</v>
      </c>
      <c r="J6" s="1987" t="n">
        <v>-7</v>
      </c>
      <c r="K6" s="1987" t="n">
        <v>-6</v>
      </c>
      <c r="L6" s="1987" t="n">
        <v>-5</v>
      </c>
      <c r="M6" s="1987" t="n">
        <v>-4</v>
      </c>
      <c r="N6" s="1987" t="n">
        <v>-3</v>
      </c>
      <c r="O6" s="1987" t="n">
        <v>-2</v>
      </c>
      <c r="P6" s="1987" t="n">
        <v>-1</v>
      </c>
      <c r="Q6" s="1987" t="inlineStr">
        <is>
          <t>Month 1</t>
        </is>
      </c>
      <c r="R6" s="1987" t="inlineStr">
        <is>
          <t>Month 2</t>
        </is>
      </c>
      <c r="S6" s="1987" t="inlineStr">
        <is>
          <t>Month 3</t>
        </is>
      </c>
      <c r="T6" s="1987" t="inlineStr">
        <is>
          <t>Month 4</t>
        </is>
      </c>
      <c r="U6" s="1987" t="inlineStr">
        <is>
          <t>Month 5</t>
        </is>
      </c>
      <c r="V6" s="1987" t="inlineStr">
        <is>
          <t>Month 6</t>
        </is>
      </c>
      <c r="W6" s="1987" t="inlineStr">
        <is>
          <t>Month 7</t>
        </is>
      </c>
      <c r="X6" s="1987" t="inlineStr">
        <is>
          <t>Month 8</t>
        </is>
      </c>
      <c r="Y6" s="1987" t="inlineStr">
        <is>
          <t>Month 9</t>
        </is>
      </c>
      <c r="Z6" s="1987" t="inlineStr">
        <is>
          <t>Month 10</t>
        </is>
      </c>
      <c r="AA6" s="1987" t="inlineStr">
        <is>
          <t>Month 11</t>
        </is>
      </c>
      <c r="AB6" s="1987" t="inlineStr">
        <is>
          <t>Month 12</t>
        </is>
      </c>
      <c r="AC6" s="1987" t="inlineStr">
        <is>
          <t>Month 1</t>
        </is>
      </c>
      <c r="AD6" s="1987" t="inlineStr">
        <is>
          <t>Month 2</t>
        </is>
      </c>
      <c r="AE6" s="1987" t="inlineStr">
        <is>
          <t>Month 3</t>
        </is>
      </c>
      <c r="AF6" s="1987" t="inlineStr">
        <is>
          <t>Month 4</t>
        </is>
      </c>
      <c r="AG6" s="1987" t="inlineStr">
        <is>
          <t>Month 5</t>
        </is>
      </c>
      <c r="AH6" s="1987" t="inlineStr">
        <is>
          <t>Month 6</t>
        </is>
      </c>
      <c r="AI6" s="1987" t="inlineStr">
        <is>
          <t>Month 7</t>
        </is>
      </c>
      <c r="AJ6" s="1987" t="inlineStr">
        <is>
          <t>Month 8</t>
        </is>
      </c>
      <c r="AK6" s="1987" t="inlineStr">
        <is>
          <t>Month 9</t>
        </is>
      </c>
      <c r="AL6" s="1987" t="inlineStr">
        <is>
          <t>Month 10</t>
        </is>
      </c>
      <c r="AM6" s="1987" t="inlineStr">
        <is>
          <t>Month 11</t>
        </is>
      </c>
      <c r="AN6" s="1987" t="inlineStr">
        <is>
          <t>Month 12</t>
        </is>
      </c>
      <c r="AO6" s="1987" t="inlineStr">
        <is>
          <t>Month 1</t>
        </is>
      </c>
      <c r="AP6" s="1987" t="inlineStr">
        <is>
          <t>Month 2</t>
        </is>
      </c>
      <c r="AQ6" s="1987" t="inlineStr">
        <is>
          <t>Month 3</t>
        </is>
      </c>
      <c r="AR6" s="1987" t="inlineStr">
        <is>
          <t>Month 4</t>
        </is>
      </c>
      <c r="AS6" s="1987" t="inlineStr">
        <is>
          <t>Month 5</t>
        </is>
      </c>
      <c r="AT6" s="1987" t="inlineStr">
        <is>
          <t>Month 6</t>
        </is>
      </c>
      <c r="AU6" s="1987" t="inlineStr">
        <is>
          <t>Month 7</t>
        </is>
      </c>
      <c r="AV6" s="1987" t="inlineStr">
        <is>
          <t>Month 8</t>
        </is>
      </c>
      <c r="AW6" s="1987" t="inlineStr">
        <is>
          <t>Month 9</t>
        </is>
      </c>
      <c r="AX6" s="1987" t="inlineStr">
        <is>
          <t>Month 10</t>
        </is>
      </c>
      <c r="AY6" s="1987" t="inlineStr">
        <is>
          <t>Month 11</t>
        </is>
      </c>
      <c r="AZ6" s="1987" t="inlineStr">
        <is>
          <t>Month 12</t>
        </is>
      </c>
      <c r="BA6" s="1987" t="inlineStr">
        <is>
          <t>Month 1</t>
        </is>
      </c>
      <c r="BB6" s="1987" t="inlineStr">
        <is>
          <t>Month 2</t>
        </is>
      </c>
      <c r="BC6" s="1987" t="inlineStr">
        <is>
          <t>Month 3</t>
        </is>
      </c>
      <c r="BD6" s="1987" t="inlineStr">
        <is>
          <t>Month 4</t>
        </is>
      </c>
      <c r="BE6" s="1987" t="inlineStr">
        <is>
          <t>Month 5</t>
        </is>
      </c>
      <c r="BF6" s="1987" t="inlineStr">
        <is>
          <t>Month 6</t>
        </is>
      </c>
      <c r="BG6" s="1987" t="inlineStr">
        <is>
          <t>Month 7</t>
        </is>
      </c>
      <c r="BH6" s="1987" t="inlineStr">
        <is>
          <t>Month 8</t>
        </is>
      </c>
      <c r="BI6" s="1987" t="inlineStr">
        <is>
          <t>Month 9</t>
        </is>
      </c>
      <c r="BJ6" s="1987" t="inlineStr">
        <is>
          <t>Month 10</t>
        </is>
      </c>
      <c r="BK6" s="1987" t="inlineStr">
        <is>
          <t>Month 11</t>
        </is>
      </c>
      <c r="BL6" s="1987" t="inlineStr">
        <is>
          <t>Month 12</t>
        </is>
      </c>
      <c r="BM6" s="1987" t="inlineStr">
        <is>
          <t>Month 1</t>
        </is>
      </c>
      <c r="BN6" s="1987" t="inlineStr">
        <is>
          <t>Month 2</t>
        </is>
      </c>
      <c r="BO6" s="1987" t="inlineStr">
        <is>
          <t>Month 3</t>
        </is>
      </c>
      <c r="BP6" s="1987" t="inlineStr">
        <is>
          <t>Month 4</t>
        </is>
      </c>
      <c r="BQ6" s="1987" t="inlineStr">
        <is>
          <t>Month 5</t>
        </is>
      </c>
      <c r="BR6" s="1987" t="inlineStr">
        <is>
          <t>Month 6</t>
        </is>
      </c>
      <c r="BS6" s="1987" t="inlineStr">
        <is>
          <t>Month 7</t>
        </is>
      </c>
      <c r="BT6" s="1987" t="inlineStr">
        <is>
          <t>Month 8</t>
        </is>
      </c>
      <c r="BU6" s="1987" t="inlineStr">
        <is>
          <t>Month 9</t>
        </is>
      </c>
      <c r="BV6" s="1987" t="inlineStr">
        <is>
          <t>Month 10</t>
        </is>
      </c>
      <c r="BW6" s="1987" t="inlineStr">
        <is>
          <t>Month 11</t>
        </is>
      </c>
      <c r="BX6" s="1987" t="inlineStr">
        <is>
          <t>Month 12</t>
        </is>
      </c>
      <c r="BY6" s="626" t="n"/>
      <c r="BZ6" s="1888" t="n"/>
      <c r="CA6" s="1987" t="n"/>
      <c r="CB6" s="1888" t="n"/>
      <c r="CC6" s="1887" t="n"/>
      <c r="CD6" s="1356" t="inlineStr">
        <is>
          <t>Ramp Up Year</t>
        </is>
      </c>
      <c r="CE6" s="1887" t="inlineStr">
        <is>
          <t>Year 1</t>
        </is>
      </c>
      <c r="CF6" s="1887" t="inlineStr">
        <is>
          <t>Year 2</t>
        </is>
      </c>
      <c r="CG6" s="1887" t="inlineStr">
        <is>
          <t>Year 3</t>
        </is>
      </c>
      <c r="CH6" s="1887" t="inlineStr">
        <is>
          <t>Year 4</t>
        </is>
      </c>
      <c r="CI6" s="1887" t="inlineStr">
        <is>
          <t>Year 5</t>
        </is>
      </c>
    </row>
    <row r="7" ht="12.75" customHeight="1" s="1883">
      <c r="A7" s="7" t="n"/>
      <c r="B7" s="292" t="inlineStr">
        <is>
          <t>Revenues</t>
        </is>
      </c>
      <c r="C7" s="293" t="n"/>
      <c r="D7" s="7" t="n"/>
      <c r="E7" s="10" t="n"/>
      <c r="F7" s="10" t="n"/>
      <c r="G7" s="10" t="n"/>
      <c r="H7" s="10" t="n"/>
      <c r="I7" s="10" t="n"/>
      <c r="J7" s="10" t="n"/>
      <c r="K7" s="10" t="n"/>
      <c r="L7" s="10" t="n"/>
      <c r="M7" s="10" t="n"/>
      <c r="N7" s="10" t="n"/>
      <c r="O7" s="10" t="n"/>
      <c r="P7" s="10" t="n"/>
      <c r="Q7" s="294" t="n"/>
      <c r="R7" s="294" t="n"/>
      <c r="S7" s="294" t="n"/>
      <c r="T7" s="294" t="n"/>
      <c r="U7" s="294" t="n"/>
      <c r="V7" s="294" t="n"/>
      <c r="W7" s="294" t="n"/>
      <c r="X7" s="294" t="n"/>
      <c r="Y7" s="294" t="n"/>
      <c r="Z7" s="294" t="n"/>
      <c r="AA7" s="294" t="n"/>
      <c r="AB7" s="294" t="n"/>
      <c r="AC7" s="294" t="n"/>
      <c r="AD7" s="294" t="n"/>
      <c r="AE7" s="294" t="n"/>
      <c r="AF7" s="294" t="n"/>
      <c r="AG7" s="294" t="n"/>
      <c r="AH7" s="294" t="n"/>
      <c r="AI7" s="294" t="n"/>
      <c r="AJ7" s="294" t="n"/>
      <c r="AK7" s="294" t="n"/>
      <c r="AL7" s="294" t="n"/>
      <c r="AM7" s="294" t="n"/>
      <c r="AN7" s="294" t="n"/>
      <c r="AO7" s="294" t="n"/>
      <c r="AP7" s="294" t="n"/>
      <c r="AQ7" s="294" t="n"/>
      <c r="AR7" s="294" t="n"/>
      <c r="AS7" s="294" t="n"/>
      <c r="AT7" s="294" t="n"/>
      <c r="AU7" s="294" t="n"/>
      <c r="AV7" s="294" t="n"/>
      <c r="AW7" s="294" t="n"/>
      <c r="AX7" s="294" t="n"/>
      <c r="AY7" s="294" t="n"/>
      <c r="AZ7" s="294" t="n"/>
      <c r="BA7" s="294" t="n"/>
      <c r="BB7" s="294" t="n"/>
      <c r="BC7" s="294" t="n"/>
      <c r="BD7" s="294" t="n"/>
      <c r="BE7" s="294" t="n"/>
      <c r="BF7" s="294" t="n"/>
      <c r="BG7" s="294" t="n"/>
      <c r="BH7" s="294" t="n"/>
      <c r="BI7" s="294" t="n"/>
      <c r="BJ7" s="294" t="n"/>
      <c r="BK7" s="294" t="n"/>
      <c r="BL7" s="294" t="n"/>
      <c r="BM7" s="294" t="n"/>
      <c r="BN7" s="294" t="n"/>
      <c r="BO7" s="294" t="n"/>
      <c r="BP7" s="294" t="n"/>
      <c r="BQ7" s="294" t="n"/>
      <c r="BR7" s="294" t="n"/>
      <c r="BS7" s="294" t="n"/>
      <c r="BT7" s="294" t="n"/>
      <c r="BU7" s="294" t="n"/>
      <c r="BV7" s="294" t="n"/>
      <c r="BW7" s="294" t="n"/>
      <c r="BX7" s="294" t="n"/>
      <c r="BY7" s="7" t="n"/>
      <c r="BZ7" s="295" t="inlineStr">
        <is>
          <t>Revenues</t>
        </is>
      </c>
      <c r="CA7" s="296" t="n"/>
      <c r="CB7" s="297" t="n"/>
      <c r="CC7" s="297" t="n"/>
      <c r="CD7" s="1357" t="n"/>
      <c r="CE7" s="297" t="n"/>
      <c r="CF7" s="297" t="n"/>
      <c r="CG7" s="297" t="n"/>
      <c r="CH7" s="297" t="n"/>
      <c r="CI7" s="297" t="n"/>
    </row>
    <row r="8" ht="12.75" customHeight="1" s="1883">
      <c r="A8" s="7" t="n"/>
      <c r="B8" s="7" t="n"/>
      <c r="C8" s="49">
        <f>'3F. Revenue &amp; COGS Assumptions'!B62</f>
        <v/>
      </c>
      <c r="D8" s="7" t="n"/>
      <c r="E8" s="20" t="n">
        <v>0</v>
      </c>
      <c r="F8" s="20" t="n">
        <v>0</v>
      </c>
      <c r="G8" s="20" t="n">
        <v>0</v>
      </c>
      <c r="H8" s="20" t="n">
        <v>0</v>
      </c>
      <c r="I8" s="20" t="n">
        <v>0</v>
      </c>
      <c r="J8" s="20" t="n">
        <v>0</v>
      </c>
      <c r="K8" s="20" t="n">
        <v>0</v>
      </c>
      <c r="L8" s="20" t="n">
        <v>0</v>
      </c>
      <c r="M8" s="20" t="n">
        <v>0</v>
      </c>
      <c r="N8" s="20" t="n">
        <v>0</v>
      </c>
      <c r="O8" s="20" t="n">
        <v>0</v>
      </c>
      <c r="P8" s="20" t="n">
        <v>0</v>
      </c>
      <c r="Q8" s="298">
        <f>+'3F. Revenue &amp; COGS Assumptions'!G62</f>
        <v/>
      </c>
      <c r="R8" s="298">
        <f>+'3F. Revenue &amp; COGS Assumptions'!H62</f>
        <v/>
      </c>
      <c r="S8" s="298">
        <f>+'3F. Revenue &amp; COGS Assumptions'!I62</f>
        <v/>
      </c>
      <c r="T8" s="298">
        <f>+'3F. Revenue &amp; COGS Assumptions'!J62</f>
        <v/>
      </c>
      <c r="U8" s="298">
        <f>+'3F. Revenue &amp; COGS Assumptions'!K62</f>
        <v/>
      </c>
      <c r="V8" s="298">
        <f>+'3F. Revenue &amp; COGS Assumptions'!L62</f>
        <v/>
      </c>
      <c r="W8" s="298">
        <f>+'3F. Revenue &amp; COGS Assumptions'!M62</f>
        <v/>
      </c>
      <c r="X8" s="298">
        <f>+'3F. Revenue &amp; COGS Assumptions'!N62</f>
        <v/>
      </c>
      <c r="Y8" s="298">
        <f>+'3F. Revenue &amp; COGS Assumptions'!O62</f>
        <v/>
      </c>
      <c r="Z8" s="298">
        <f>+'3F. Revenue &amp; COGS Assumptions'!P62</f>
        <v/>
      </c>
      <c r="AA8" s="298">
        <f>+'3F. Revenue &amp; COGS Assumptions'!Q62</f>
        <v/>
      </c>
      <c r="AB8" s="298">
        <f>+'3F. Revenue &amp; COGS Assumptions'!R62</f>
        <v/>
      </c>
      <c r="AC8" s="298">
        <f>+'3F. Revenue &amp; COGS Assumptions'!S62</f>
        <v/>
      </c>
      <c r="AD8" s="298">
        <f>+'3F. Revenue &amp; COGS Assumptions'!T62</f>
        <v/>
      </c>
      <c r="AE8" s="298">
        <f>+'3F. Revenue &amp; COGS Assumptions'!U62</f>
        <v/>
      </c>
      <c r="AF8" s="298">
        <f>+'3F. Revenue &amp; COGS Assumptions'!V62</f>
        <v/>
      </c>
      <c r="AG8" s="298">
        <f>+'3F. Revenue &amp; COGS Assumptions'!W62</f>
        <v/>
      </c>
      <c r="AH8" s="298">
        <f>+'3F. Revenue &amp; COGS Assumptions'!X62</f>
        <v/>
      </c>
      <c r="AI8" s="298">
        <f>+'3F. Revenue &amp; COGS Assumptions'!Y62</f>
        <v/>
      </c>
      <c r="AJ8" s="298">
        <f>+'3F. Revenue &amp; COGS Assumptions'!Z62</f>
        <v/>
      </c>
      <c r="AK8" s="298">
        <f>+'3F. Revenue &amp; COGS Assumptions'!AA62</f>
        <v/>
      </c>
      <c r="AL8" s="298">
        <f>+'3F. Revenue &amp; COGS Assumptions'!AB62</f>
        <v/>
      </c>
      <c r="AM8" s="298">
        <f>+'3F. Revenue &amp; COGS Assumptions'!AC62</f>
        <v/>
      </c>
      <c r="AN8" s="298">
        <f>+'3F. Revenue &amp; COGS Assumptions'!AD62</f>
        <v/>
      </c>
      <c r="AO8" s="298">
        <f>+'3F. Revenue &amp; COGS Assumptions'!AE62</f>
        <v/>
      </c>
      <c r="AP8" s="298">
        <f>+'3F. Revenue &amp; COGS Assumptions'!AF62</f>
        <v/>
      </c>
      <c r="AQ8" s="298">
        <f>+'3F. Revenue &amp; COGS Assumptions'!AG62</f>
        <v/>
      </c>
      <c r="AR8" s="298">
        <f>+'3F. Revenue &amp; COGS Assumptions'!AH62</f>
        <v/>
      </c>
      <c r="AS8" s="298">
        <f>+'3F. Revenue &amp; COGS Assumptions'!AI62</f>
        <v/>
      </c>
      <c r="AT8" s="298">
        <f>+'3F. Revenue &amp; COGS Assumptions'!AJ62</f>
        <v/>
      </c>
      <c r="AU8" s="298">
        <f>+'3F. Revenue &amp; COGS Assumptions'!AK62</f>
        <v/>
      </c>
      <c r="AV8" s="298">
        <f>+'3F. Revenue &amp; COGS Assumptions'!AL62</f>
        <v/>
      </c>
      <c r="AW8" s="298">
        <f>+'3F. Revenue &amp; COGS Assumptions'!AM62</f>
        <v/>
      </c>
      <c r="AX8" s="298">
        <f>+'3F. Revenue &amp; COGS Assumptions'!AN62</f>
        <v/>
      </c>
      <c r="AY8" s="298">
        <f>+'3F. Revenue &amp; COGS Assumptions'!AO62</f>
        <v/>
      </c>
      <c r="AZ8" s="298">
        <f>+'3F. Revenue &amp; COGS Assumptions'!AP62</f>
        <v/>
      </c>
      <c r="BA8" s="298">
        <f>+'3F. Revenue &amp; COGS Assumptions'!AQ62</f>
        <v/>
      </c>
      <c r="BB8" s="298">
        <f>+'3F. Revenue &amp; COGS Assumptions'!AR62</f>
        <v/>
      </c>
      <c r="BC8" s="298">
        <f>+'3F. Revenue &amp; COGS Assumptions'!AS62</f>
        <v/>
      </c>
      <c r="BD8" s="298">
        <f>+'3F. Revenue &amp; COGS Assumptions'!AT62</f>
        <v/>
      </c>
      <c r="BE8" s="298">
        <f>+'3F. Revenue &amp; COGS Assumptions'!AU62</f>
        <v/>
      </c>
      <c r="BF8" s="298">
        <f>+'3F. Revenue &amp; COGS Assumptions'!AV62</f>
        <v/>
      </c>
      <c r="BG8" s="298">
        <f>+'3F. Revenue &amp; COGS Assumptions'!AW62</f>
        <v/>
      </c>
      <c r="BH8" s="298">
        <f>+'3F. Revenue &amp; COGS Assumptions'!AX62</f>
        <v/>
      </c>
      <c r="BI8" s="298">
        <f>+'3F. Revenue &amp; COGS Assumptions'!AY62</f>
        <v/>
      </c>
      <c r="BJ8" s="298">
        <f>+'3F. Revenue &amp; COGS Assumptions'!AZ62</f>
        <v/>
      </c>
      <c r="BK8" s="298">
        <f>+'3F. Revenue &amp; COGS Assumptions'!BA62</f>
        <v/>
      </c>
      <c r="BL8" s="298">
        <f>+'3F. Revenue &amp; COGS Assumptions'!BB62</f>
        <v/>
      </c>
      <c r="BM8" s="298">
        <f>+'3F. Revenue &amp; COGS Assumptions'!BC62</f>
        <v/>
      </c>
      <c r="BN8" s="298">
        <f>+'3F. Revenue &amp; COGS Assumptions'!BD62</f>
        <v/>
      </c>
      <c r="BO8" s="298">
        <f>+'3F. Revenue &amp; COGS Assumptions'!BE62</f>
        <v/>
      </c>
      <c r="BP8" s="298">
        <f>+'3F. Revenue &amp; COGS Assumptions'!BF62</f>
        <v/>
      </c>
      <c r="BQ8" s="298">
        <f>+'3F. Revenue &amp; COGS Assumptions'!BG62</f>
        <v/>
      </c>
      <c r="BR8" s="298">
        <f>+'3F. Revenue &amp; COGS Assumptions'!BH62</f>
        <v/>
      </c>
      <c r="BS8" s="298">
        <f>+'3F. Revenue &amp; COGS Assumptions'!BI62</f>
        <v/>
      </c>
      <c r="BT8" s="298">
        <f>+'3F. Revenue &amp; COGS Assumptions'!BJ62</f>
        <v/>
      </c>
      <c r="BU8" s="298">
        <f>+'3F. Revenue &amp; COGS Assumptions'!BK62</f>
        <v/>
      </c>
      <c r="BV8" s="298">
        <f>+'3F. Revenue &amp; COGS Assumptions'!BL62</f>
        <v/>
      </c>
      <c r="BW8" s="298">
        <f>+'3F. Revenue &amp; COGS Assumptions'!BM62</f>
        <v/>
      </c>
      <c r="BX8" s="298">
        <f>+'3F. Revenue &amp; COGS Assumptions'!BN62</f>
        <v/>
      </c>
      <c r="BY8" s="7" t="n"/>
      <c r="BZ8" s="297" t="n"/>
      <c r="CA8" s="299" t="inlineStr">
        <is>
          <t xml:space="preserve">32GB </t>
        </is>
      </c>
      <c r="CB8" s="297" t="n"/>
      <c r="CC8" s="297" t="n"/>
      <c r="CD8" s="2015">
        <f>SUM(E8:P8)</f>
        <v/>
      </c>
      <c r="CE8" s="2014">
        <f>SUM(Q8:AB8)</f>
        <v/>
      </c>
      <c r="CF8" s="2154">
        <f>SUM(AC8:AN8)</f>
        <v/>
      </c>
      <c r="CG8" s="2014">
        <f>SUM(AO8:AZ8)</f>
        <v/>
      </c>
      <c r="CH8" s="2014">
        <f>SUM(BA8:BL8)</f>
        <v/>
      </c>
      <c r="CI8" s="2014">
        <f>SUM(BM8:BX8)</f>
        <v/>
      </c>
    </row>
    <row r="9" ht="12.75" customHeight="1" s="1883">
      <c r="A9" s="7" t="n"/>
      <c r="B9" s="7" t="n"/>
      <c r="C9" s="49">
        <f>'3F. Revenue &amp; COGS Assumptions'!B63</f>
        <v/>
      </c>
      <c r="D9" s="7" t="n"/>
      <c r="E9" s="20" t="n">
        <v>0</v>
      </c>
      <c r="F9" s="20" t="n">
        <v>0</v>
      </c>
      <c r="G9" s="20" t="n">
        <v>0</v>
      </c>
      <c r="H9" s="20" t="n">
        <v>0</v>
      </c>
      <c r="I9" s="20" t="n">
        <v>0</v>
      </c>
      <c r="J9" s="20" t="n">
        <v>0</v>
      </c>
      <c r="K9" s="20" t="n">
        <v>0</v>
      </c>
      <c r="L9" s="20" t="n">
        <v>0</v>
      </c>
      <c r="M9" s="20" t="n">
        <v>0</v>
      </c>
      <c r="N9" s="20" t="n">
        <v>0</v>
      </c>
      <c r="O9" s="20" t="n">
        <v>0</v>
      </c>
      <c r="P9" s="20" t="n">
        <v>0</v>
      </c>
      <c r="Q9" s="298">
        <f>+'3F. Revenue &amp; COGS Assumptions'!G63</f>
        <v/>
      </c>
      <c r="R9" s="298">
        <f>+'3F. Revenue &amp; COGS Assumptions'!H63</f>
        <v/>
      </c>
      <c r="S9" s="298">
        <f>+'3F. Revenue &amp; COGS Assumptions'!I63</f>
        <v/>
      </c>
      <c r="T9" s="298">
        <f>+'3F. Revenue &amp; COGS Assumptions'!J63</f>
        <v/>
      </c>
      <c r="U9" s="298">
        <f>+'3F. Revenue &amp; COGS Assumptions'!K63</f>
        <v/>
      </c>
      <c r="V9" s="298">
        <f>+'3F. Revenue &amp; COGS Assumptions'!L63</f>
        <v/>
      </c>
      <c r="W9" s="298">
        <f>+'3F. Revenue &amp; COGS Assumptions'!M63</f>
        <v/>
      </c>
      <c r="X9" s="298">
        <f>+'3F. Revenue &amp; COGS Assumptions'!N63</f>
        <v/>
      </c>
      <c r="Y9" s="298">
        <f>+'3F. Revenue &amp; COGS Assumptions'!O63</f>
        <v/>
      </c>
      <c r="Z9" s="298">
        <f>+'3F. Revenue &amp; COGS Assumptions'!P63</f>
        <v/>
      </c>
      <c r="AA9" s="298">
        <f>+'3F. Revenue &amp; COGS Assumptions'!Q63</f>
        <v/>
      </c>
      <c r="AB9" s="298">
        <f>+'3F. Revenue &amp; COGS Assumptions'!R63</f>
        <v/>
      </c>
      <c r="AC9" s="298">
        <f>+'3F. Revenue &amp; COGS Assumptions'!S63</f>
        <v/>
      </c>
      <c r="AD9" s="298">
        <f>+'3F. Revenue &amp; COGS Assumptions'!T63</f>
        <v/>
      </c>
      <c r="AE9" s="298">
        <f>+'3F. Revenue &amp; COGS Assumptions'!U63</f>
        <v/>
      </c>
      <c r="AF9" s="298">
        <f>+'3F. Revenue &amp; COGS Assumptions'!V63</f>
        <v/>
      </c>
      <c r="AG9" s="298">
        <f>+'3F. Revenue &amp; COGS Assumptions'!W63</f>
        <v/>
      </c>
      <c r="AH9" s="298">
        <f>+'3F. Revenue &amp; COGS Assumptions'!X63</f>
        <v/>
      </c>
      <c r="AI9" s="298">
        <f>+'3F. Revenue &amp; COGS Assumptions'!Y63</f>
        <v/>
      </c>
      <c r="AJ9" s="298">
        <f>+'3F. Revenue &amp; COGS Assumptions'!Z63</f>
        <v/>
      </c>
      <c r="AK9" s="298">
        <f>+'3F. Revenue &amp; COGS Assumptions'!AA63</f>
        <v/>
      </c>
      <c r="AL9" s="298">
        <f>+'3F. Revenue &amp; COGS Assumptions'!AB63</f>
        <v/>
      </c>
      <c r="AM9" s="298">
        <f>+'3F. Revenue &amp; COGS Assumptions'!AC63</f>
        <v/>
      </c>
      <c r="AN9" s="298">
        <f>+'3F. Revenue &amp; COGS Assumptions'!AD63</f>
        <v/>
      </c>
      <c r="AO9" s="298">
        <f>+'3F. Revenue &amp; COGS Assumptions'!AE63</f>
        <v/>
      </c>
      <c r="AP9" s="298">
        <f>+'3F. Revenue &amp; COGS Assumptions'!AF63</f>
        <v/>
      </c>
      <c r="AQ9" s="298">
        <f>+'3F. Revenue &amp; COGS Assumptions'!AG63</f>
        <v/>
      </c>
      <c r="AR9" s="298">
        <f>+'3F. Revenue &amp; COGS Assumptions'!AH63</f>
        <v/>
      </c>
      <c r="AS9" s="298">
        <f>+'3F. Revenue &amp; COGS Assumptions'!AI63</f>
        <v/>
      </c>
      <c r="AT9" s="298">
        <f>+'3F. Revenue &amp; COGS Assumptions'!AJ63</f>
        <v/>
      </c>
      <c r="AU9" s="298">
        <f>+'3F. Revenue &amp; COGS Assumptions'!AK63</f>
        <v/>
      </c>
      <c r="AV9" s="298">
        <f>+'3F. Revenue &amp; COGS Assumptions'!AL63</f>
        <v/>
      </c>
      <c r="AW9" s="298">
        <f>+'3F. Revenue &amp; COGS Assumptions'!AM63</f>
        <v/>
      </c>
      <c r="AX9" s="298">
        <f>+'3F. Revenue &amp; COGS Assumptions'!AN63</f>
        <v/>
      </c>
      <c r="AY9" s="298">
        <f>+'3F. Revenue &amp; COGS Assumptions'!AO63</f>
        <v/>
      </c>
      <c r="AZ9" s="298">
        <f>+'3F. Revenue &amp; COGS Assumptions'!AP63</f>
        <v/>
      </c>
      <c r="BA9" s="298">
        <f>+'3F. Revenue &amp; COGS Assumptions'!AQ63</f>
        <v/>
      </c>
      <c r="BB9" s="298">
        <f>+'3F. Revenue &amp; COGS Assumptions'!AR63</f>
        <v/>
      </c>
      <c r="BC9" s="298">
        <f>+'3F. Revenue &amp; COGS Assumptions'!AS63</f>
        <v/>
      </c>
      <c r="BD9" s="298">
        <f>+'3F. Revenue &amp; COGS Assumptions'!AT63</f>
        <v/>
      </c>
      <c r="BE9" s="298">
        <f>+'3F. Revenue &amp; COGS Assumptions'!AU63</f>
        <v/>
      </c>
      <c r="BF9" s="298">
        <f>+'3F. Revenue &amp; COGS Assumptions'!AV63</f>
        <v/>
      </c>
      <c r="BG9" s="298">
        <f>+'3F. Revenue &amp; COGS Assumptions'!AW63</f>
        <v/>
      </c>
      <c r="BH9" s="298">
        <f>+'3F. Revenue &amp; COGS Assumptions'!AX63</f>
        <v/>
      </c>
      <c r="BI9" s="298">
        <f>+'3F. Revenue &amp; COGS Assumptions'!AY63</f>
        <v/>
      </c>
      <c r="BJ9" s="298">
        <f>+'3F. Revenue &amp; COGS Assumptions'!AZ63</f>
        <v/>
      </c>
      <c r="BK9" s="298">
        <f>+'3F. Revenue &amp; COGS Assumptions'!BA63</f>
        <v/>
      </c>
      <c r="BL9" s="298">
        <f>+'3F. Revenue &amp; COGS Assumptions'!BB63</f>
        <v/>
      </c>
      <c r="BM9" s="298">
        <f>+'3F. Revenue &amp; COGS Assumptions'!BC63</f>
        <v/>
      </c>
      <c r="BN9" s="298">
        <f>+'3F. Revenue &amp; COGS Assumptions'!BD63</f>
        <v/>
      </c>
      <c r="BO9" s="298">
        <f>+'3F. Revenue &amp; COGS Assumptions'!BE63</f>
        <v/>
      </c>
      <c r="BP9" s="298">
        <f>+'3F. Revenue &amp; COGS Assumptions'!BF63</f>
        <v/>
      </c>
      <c r="BQ9" s="298">
        <f>+'3F. Revenue &amp; COGS Assumptions'!BG63</f>
        <v/>
      </c>
      <c r="BR9" s="298">
        <f>+'3F. Revenue &amp; COGS Assumptions'!BH63</f>
        <v/>
      </c>
      <c r="BS9" s="298">
        <f>+'3F. Revenue &amp; COGS Assumptions'!BI63</f>
        <v/>
      </c>
      <c r="BT9" s="298">
        <f>+'3F. Revenue &amp; COGS Assumptions'!BJ63</f>
        <v/>
      </c>
      <c r="BU9" s="298">
        <f>+'3F. Revenue &amp; COGS Assumptions'!BK63</f>
        <v/>
      </c>
      <c r="BV9" s="298">
        <f>+'3F. Revenue &amp; COGS Assumptions'!BL63</f>
        <v/>
      </c>
      <c r="BW9" s="298">
        <f>+'3F. Revenue &amp; COGS Assumptions'!BM63</f>
        <v/>
      </c>
      <c r="BX9" s="298">
        <f>+'3F. Revenue &amp; COGS Assumptions'!BN63</f>
        <v/>
      </c>
      <c r="BY9" s="7" t="n"/>
      <c r="BZ9" s="297" t="n"/>
      <c r="CA9" s="299" t="n"/>
      <c r="CB9" s="297" t="n"/>
      <c r="CC9" s="297" t="n"/>
      <c r="CD9" s="2015" t="n"/>
      <c r="CE9" s="2014" t="n"/>
      <c r="CF9" s="2154" t="n"/>
      <c r="CG9" s="2014" t="n"/>
      <c r="CH9" s="2014" t="n"/>
      <c r="CI9" s="2014" t="n"/>
    </row>
    <row r="10" ht="12.75" customHeight="1" s="1883">
      <c r="A10" s="7" t="n"/>
      <c r="B10" s="7" t="n"/>
      <c r="C10" s="49">
        <f>'3F. Revenue &amp; COGS Assumptions'!B64</f>
        <v/>
      </c>
      <c r="D10" s="7" t="n"/>
      <c r="E10" s="20" t="n">
        <v>0</v>
      </c>
      <c r="F10" s="20" t="n">
        <v>0</v>
      </c>
      <c r="G10" s="20" t="n">
        <v>0</v>
      </c>
      <c r="H10" s="20" t="n">
        <v>0</v>
      </c>
      <c r="I10" s="20" t="n">
        <v>0</v>
      </c>
      <c r="J10" s="20" t="n">
        <v>0</v>
      </c>
      <c r="K10" s="20" t="n">
        <v>0</v>
      </c>
      <c r="L10" s="20" t="n">
        <v>0</v>
      </c>
      <c r="M10" s="20" t="n">
        <v>0</v>
      </c>
      <c r="N10" s="20" t="n">
        <v>0</v>
      </c>
      <c r="O10" s="20" t="n">
        <v>0</v>
      </c>
      <c r="P10" s="20" t="n">
        <v>0</v>
      </c>
      <c r="Q10" s="298">
        <f>+'3F. Revenue &amp; COGS Assumptions'!G64</f>
        <v/>
      </c>
      <c r="R10" s="298">
        <f>+'3F. Revenue &amp; COGS Assumptions'!H64</f>
        <v/>
      </c>
      <c r="S10" s="298">
        <f>+'3F. Revenue &amp; COGS Assumptions'!I64</f>
        <v/>
      </c>
      <c r="T10" s="298">
        <f>+'3F. Revenue &amp; COGS Assumptions'!J64</f>
        <v/>
      </c>
      <c r="U10" s="298">
        <f>+'3F. Revenue &amp; COGS Assumptions'!K64</f>
        <v/>
      </c>
      <c r="V10" s="298">
        <f>+'3F. Revenue &amp; COGS Assumptions'!L64</f>
        <v/>
      </c>
      <c r="W10" s="298">
        <f>+'3F. Revenue &amp; COGS Assumptions'!M64</f>
        <v/>
      </c>
      <c r="X10" s="298">
        <f>+'3F. Revenue &amp; COGS Assumptions'!N64</f>
        <v/>
      </c>
      <c r="Y10" s="298">
        <f>+'3F. Revenue &amp; COGS Assumptions'!O64</f>
        <v/>
      </c>
      <c r="Z10" s="298">
        <f>+'3F. Revenue &amp; COGS Assumptions'!P64</f>
        <v/>
      </c>
      <c r="AA10" s="298">
        <f>+'3F. Revenue &amp; COGS Assumptions'!Q64</f>
        <v/>
      </c>
      <c r="AB10" s="298">
        <f>+'3F. Revenue &amp; COGS Assumptions'!R64</f>
        <v/>
      </c>
      <c r="AC10" s="298">
        <f>+'3F. Revenue &amp; COGS Assumptions'!S64</f>
        <v/>
      </c>
      <c r="AD10" s="298">
        <f>+'3F. Revenue &amp; COGS Assumptions'!T64</f>
        <v/>
      </c>
      <c r="AE10" s="298">
        <f>+'3F. Revenue &amp; COGS Assumptions'!U64</f>
        <v/>
      </c>
      <c r="AF10" s="298">
        <f>+'3F. Revenue &amp; COGS Assumptions'!V64</f>
        <v/>
      </c>
      <c r="AG10" s="298">
        <f>+'3F. Revenue &amp; COGS Assumptions'!W64</f>
        <v/>
      </c>
      <c r="AH10" s="298">
        <f>+'3F. Revenue &amp; COGS Assumptions'!X64</f>
        <v/>
      </c>
      <c r="AI10" s="298">
        <f>+'3F. Revenue &amp; COGS Assumptions'!Y64</f>
        <v/>
      </c>
      <c r="AJ10" s="298">
        <f>+'3F. Revenue &amp; COGS Assumptions'!Z64</f>
        <v/>
      </c>
      <c r="AK10" s="298">
        <f>+'3F. Revenue &amp; COGS Assumptions'!AA64</f>
        <v/>
      </c>
      <c r="AL10" s="298">
        <f>+'3F. Revenue &amp; COGS Assumptions'!AB64</f>
        <v/>
      </c>
      <c r="AM10" s="298">
        <f>+'3F. Revenue &amp; COGS Assumptions'!AC64</f>
        <v/>
      </c>
      <c r="AN10" s="298">
        <f>+'3F. Revenue &amp; COGS Assumptions'!AD64</f>
        <v/>
      </c>
      <c r="AO10" s="298">
        <f>+'3F. Revenue &amp; COGS Assumptions'!AE64</f>
        <v/>
      </c>
      <c r="AP10" s="298">
        <f>+'3F. Revenue &amp; COGS Assumptions'!AF64</f>
        <v/>
      </c>
      <c r="AQ10" s="298">
        <f>+'3F. Revenue &amp; COGS Assumptions'!AG64</f>
        <v/>
      </c>
      <c r="AR10" s="298">
        <f>+'3F. Revenue &amp; COGS Assumptions'!AH64</f>
        <v/>
      </c>
      <c r="AS10" s="298">
        <f>+'3F. Revenue &amp; COGS Assumptions'!AI64</f>
        <v/>
      </c>
      <c r="AT10" s="298">
        <f>+'3F. Revenue &amp; COGS Assumptions'!AJ64</f>
        <v/>
      </c>
      <c r="AU10" s="298">
        <f>+'3F. Revenue &amp; COGS Assumptions'!AK64</f>
        <v/>
      </c>
      <c r="AV10" s="298">
        <f>+'3F. Revenue &amp; COGS Assumptions'!AL64</f>
        <v/>
      </c>
      <c r="AW10" s="298">
        <f>+'3F. Revenue &amp; COGS Assumptions'!AM64</f>
        <v/>
      </c>
      <c r="AX10" s="298">
        <f>+'3F. Revenue &amp; COGS Assumptions'!AN64</f>
        <v/>
      </c>
      <c r="AY10" s="298">
        <f>+'3F. Revenue &amp; COGS Assumptions'!AO64</f>
        <v/>
      </c>
      <c r="AZ10" s="298">
        <f>+'3F. Revenue &amp; COGS Assumptions'!AP64</f>
        <v/>
      </c>
      <c r="BA10" s="298">
        <f>+'3F. Revenue &amp; COGS Assumptions'!AQ64</f>
        <v/>
      </c>
      <c r="BB10" s="298">
        <f>+'3F. Revenue &amp; COGS Assumptions'!AR64</f>
        <v/>
      </c>
      <c r="BC10" s="298">
        <f>+'3F. Revenue &amp; COGS Assumptions'!AS64</f>
        <v/>
      </c>
      <c r="BD10" s="298">
        <f>+'3F. Revenue &amp; COGS Assumptions'!AT64</f>
        <v/>
      </c>
      <c r="BE10" s="298">
        <f>+'3F. Revenue &amp; COGS Assumptions'!AU64</f>
        <v/>
      </c>
      <c r="BF10" s="298">
        <f>+'3F. Revenue &amp; COGS Assumptions'!AV64</f>
        <v/>
      </c>
      <c r="BG10" s="298">
        <f>+'3F. Revenue &amp; COGS Assumptions'!AW64</f>
        <v/>
      </c>
      <c r="BH10" s="298">
        <f>+'3F. Revenue &amp; COGS Assumptions'!AX64</f>
        <v/>
      </c>
      <c r="BI10" s="298">
        <f>+'3F. Revenue &amp; COGS Assumptions'!AY64</f>
        <v/>
      </c>
      <c r="BJ10" s="298">
        <f>+'3F. Revenue &amp; COGS Assumptions'!AZ64</f>
        <v/>
      </c>
      <c r="BK10" s="298">
        <f>+'3F. Revenue &amp; COGS Assumptions'!BA64</f>
        <v/>
      </c>
      <c r="BL10" s="298">
        <f>+'3F. Revenue &amp; COGS Assumptions'!BB64</f>
        <v/>
      </c>
      <c r="BM10" s="298">
        <f>+'3F. Revenue &amp; COGS Assumptions'!BC64</f>
        <v/>
      </c>
      <c r="BN10" s="298">
        <f>+'3F. Revenue &amp; COGS Assumptions'!BD64</f>
        <v/>
      </c>
      <c r="BO10" s="298">
        <f>+'3F. Revenue &amp; COGS Assumptions'!BE64</f>
        <v/>
      </c>
      <c r="BP10" s="298">
        <f>+'3F. Revenue &amp; COGS Assumptions'!BF64</f>
        <v/>
      </c>
      <c r="BQ10" s="298">
        <f>+'3F. Revenue &amp; COGS Assumptions'!BG64</f>
        <v/>
      </c>
      <c r="BR10" s="298">
        <f>+'3F. Revenue &amp; COGS Assumptions'!BH64</f>
        <v/>
      </c>
      <c r="BS10" s="298">
        <f>+'3F. Revenue &amp; COGS Assumptions'!BI64</f>
        <v/>
      </c>
      <c r="BT10" s="298">
        <f>+'3F. Revenue &amp; COGS Assumptions'!BJ64</f>
        <v/>
      </c>
      <c r="BU10" s="298">
        <f>+'3F. Revenue &amp; COGS Assumptions'!BK64</f>
        <v/>
      </c>
      <c r="BV10" s="298">
        <f>+'3F. Revenue &amp; COGS Assumptions'!BL64</f>
        <v/>
      </c>
      <c r="BW10" s="298">
        <f>+'3F. Revenue &amp; COGS Assumptions'!BM64</f>
        <v/>
      </c>
      <c r="BX10" s="298">
        <f>+'3F. Revenue &amp; COGS Assumptions'!BN64</f>
        <v/>
      </c>
      <c r="BY10" s="7" t="n"/>
      <c r="BZ10" s="297" t="n"/>
      <c r="CA10" s="299" t="n"/>
      <c r="CB10" s="297" t="n"/>
      <c r="CC10" s="297" t="n"/>
      <c r="CD10" s="2015" t="n"/>
      <c r="CE10" s="2014" t="n"/>
      <c r="CF10" s="2014" t="n"/>
      <c r="CG10" s="2014" t="n"/>
      <c r="CH10" s="2014" t="n"/>
      <c r="CI10" s="2014" t="n"/>
    </row>
    <row r="11" ht="12.75" customHeight="1" s="1883">
      <c r="A11" s="7" t="n"/>
      <c r="B11" s="302" t="inlineStr">
        <is>
          <t>Gross Revenue</t>
        </is>
      </c>
      <c r="C11" s="19" t="n"/>
      <c r="D11" s="25" t="n"/>
      <c r="E11" s="1359">
        <f>SUM(E8:E10)</f>
        <v/>
      </c>
      <c r="F11" s="1359">
        <f>SUM(F8:F10)</f>
        <v/>
      </c>
      <c r="G11" s="1359">
        <f>SUM(G8:G10)</f>
        <v/>
      </c>
      <c r="H11" s="1359">
        <f>SUM(H8:H10)</f>
        <v/>
      </c>
      <c r="I11" s="1359">
        <f>SUM(I8:I10)</f>
        <v/>
      </c>
      <c r="J11" s="1359">
        <f>SUM(J8:J10)</f>
        <v/>
      </c>
      <c r="K11" s="1359">
        <f>SUM(K8:K10)</f>
        <v/>
      </c>
      <c r="L11" s="1359">
        <f>SUM(L8:L10)</f>
        <v/>
      </c>
      <c r="M11" s="1359">
        <f>SUM(M8:M10)</f>
        <v/>
      </c>
      <c r="N11" s="1359">
        <f>SUM(N8:N10)</f>
        <v/>
      </c>
      <c r="O11" s="1359">
        <f>SUM(O8:O10)</f>
        <v/>
      </c>
      <c r="P11" s="1359">
        <f>SUM(P8:P10)</f>
        <v/>
      </c>
      <c r="Q11" s="1360">
        <f>SUM(Q8:Q10)</f>
        <v/>
      </c>
      <c r="R11" s="1360">
        <f>SUM(R8:R10)</f>
        <v/>
      </c>
      <c r="S11" s="1360">
        <f>SUM(S8:S10)</f>
        <v/>
      </c>
      <c r="T11" s="1360">
        <f>SUM(T8:T10)</f>
        <v/>
      </c>
      <c r="U11" s="1360">
        <f>SUM(U8:U10)</f>
        <v/>
      </c>
      <c r="V11" s="1360">
        <f>SUM(V8:V10)</f>
        <v/>
      </c>
      <c r="W11" s="1360">
        <f>SUM(W8:W10)</f>
        <v/>
      </c>
      <c r="X11" s="1360">
        <f>SUM(X8:X10)</f>
        <v/>
      </c>
      <c r="Y11" s="1360">
        <f>SUM(Y8:Y10)</f>
        <v/>
      </c>
      <c r="Z11" s="1360">
        <f>SUM(Z8:Z10)</f>
        <v/>
      </c>
      <c r="AA11" s="1360">
        <f>SUM(AA8:AA10)</f>
        <v/>
      </c>
      <c r="AB11" s="1360">
        <f>SUM(AB8:AB10)</f>
        <v/>
      </c>
      <c r="AC11" s="1360">
        <f>SUM(AC8:AC10)</f>
        <v/>
      </c>
      <c r="AD11" s="1360">
        <f>SUM(AD8:AD10)</f>
        <v/>
      </c>
      <c r="AE11" s="1360">
        <f>SUM(AE8:AE10)</f>
        <v/>
      </c>
      <c r="AF11" s="1360">
        <f>SUM(AF8:AF10)</f>
        <v/>
      </c>
      <c r="AG11" s="1360">
        <f>SUM(AG8:AG10)</f>
        <v/>
      </c>
      <c r="AH11" s="1360">
        <f>SUM(AH8:AH10)</f>
        <v/>
      </c>
      <c r="AI11" s="1360">
        <f>SUM(AI8:AI10)</f>
        <v/>
      </c>
      <c r="AJ11" s="1360">
        <f>SUM(AJ8:AJ10)</f>
        <v/>
      </c>
      <c r="AK11" s="1360">
        <f>SUM(AK8:AK10)</f>
        <v/>
      </c>
      <c r="AL11" s="1360">
        <f>SUM(AL8:AL10)</f>
        <v/>
      </c>
      <c r="AM11" s="1360">
        <f>SUM(AM8:AM10)</f>
        <v/>
      </c>
      <c r="AN11" s="1360">
        <f>SUM(AN8:AN10)</f>
        <v/>
      </c>
      <c r="AO11" s="1360">
        <f>SUM(AO8:AO10)</f>
        <v/>
      </c>
      <c r="AP11" s="1360">
        <f>SUM(AP8:AP10)</f>
        <v/>
      </c>
      <c r="AQ11" s="1360">
        <f>SUM(AQ8:AQ10)</f>
        <v/>
      </c>
      <c r="AR11" s="1360">
        <f>SUM(AR8:AR10)</f>
        <v/>
      </c>
      <c r="AS11" s="1360">
        <f>SUM(AS8:AS10)</f>
        <v/>
      </c>
      <c r="AT11" s="1360">
        <f>SUM(AT8:AT10)</f>
        <v/>
      </c>
      <c r="AU11" s="1360">
        <f>SUM(AU8:AU10)</f>
        <v/>
      </c>
      <c r="AV11" s="1360">
        <f>SUM(AV8:AV10)</f>
        <v/>
      </c>
      <c r="AW11" s="1360">
        <f>SUM(AW8:AW10)</f>
        <v/>
      </c>
      <c r="AX11" s="1360">
        <f>SUM(AX8:AX10)</f>
        <v/>
      </c>
      <c r="AY11" s="1360">
        <f>SUM(AY8:AY10)</f>
        <v/>
      </c>
      <c r="AZ11" s="1360">
        <f>SUM(AZ8:AZ10)</f>
        <v/>
      </c>
      <c r="BA11" s="1360">
        <f>SUM(BA8:BA10)</f>
        <v/>
      </c>
      <c r="BB11" s="1360">
        <f>SUM(BB8:BB10)</f>
        <v/>
      </c>
      <c r="BC11" s="1360">
        <f>SUM(BC8:BC10)</f>
        <v/>
      </c>
      <c r="BD11" s="1360">
        <f>SUM(BD8:BD10)</f>
        <v/>
      </c>
      <c r="BE11" s="1360">
        <f>SUM(BE8:BE10)</f>
        <v/>
      </c>
      <c r="BF11" s="1360">
        <f>SUM(BF8:BF10)</f>
        <v/>
      </c>
      <c r="BG11" s="1360">
        <f>SUM(BG8:BG10)</f>
        <v/>
      </c>
      <c r="BH11" s="1360">
        <f>SUM(BH8:BH10)</f>
        <v/>
      </c>
      <c r="BI11" s="1360">
        <f>SUM(BI8:BI10)</f>
        <v/>
      </c>
      <c r="BJ11" s="1360">
        <f>SUM(BJ8:BJ10)</f>
        <v/>
      </c>
      <c r="BK11" s="1360">
        <f>SUM(BK8:BK10)</f>
        <v/>
      </c>
      <c r="BL11" s="1360">
        <f>SUM(BL8:BL10)</f>
        <v/>
      </c>
      <c r="BM11" s="1360">
        <f>SUM(BM8:BM10)</f>
        <v/>
      </c>
      <c r="BN11" s="1360">
        <f>SUM(BN8:BN10)</f>
        <v/>
      </c>
      <c r="BO11" s="1360">
        <f>SUM(BO8:BO10)</f>
        <v/>
      </c>
      <c r="BP11" s="1360">
        <f>SUM(BP8:BP10)</f>
        <v/>
      </c>
      <c r="BQ11" s="1360">
        <f>SUM(BQ8:BQ10)</f>
        <v/>
      </c>
      <c r="BR11" s="1360">
        <f>SUM(BR8:BR10)</f>
        <v/>
      </c>
      <c r="BS11" s="1360">
        <f>SUM(BS8:BS10)</f>
        <v/>
      </c>
      <c r="BT11" s="1360">
        <f>SUM(BT8:BT10)</f>
        <v/>
      </c>
      <c r="BU11" s="1360">
        <f>SUM(BU8:BU10)</f>
        <v/>
      </c>
      <c r="BV11" s="1360">
        <f>SUM(BV8:BV10)</f>
        <v/>
      </c>
      <c r="BW11" s="1360">
        <f>SUM(BW8:BW10)</f>
        <v/>
      </c>
      <c r="BX11" s="1360">
        <f>SUM(BX8:BX10)</f>
        <v/>
      </c>
      <c r="BY11" s="7" t="n"/>
      <c r="BZ11" s="303" t="inlineStr">
        <is>
          <t>Gross Revenue</t>
        </is>
      </c>
      <c r="CA11" s="304" t="n"/>
      <c r="CB11" s="297" t="n"/>
      <c r="CC11" s="297" t="n"/>
      <c r="CD11" s="2016">
        <f>SUM(E11:P11)</f>
        <v/>
      </c>
      <c r="CE11" s="2017">
        <f>SUM(Q11:AB11)</f>
        <v/>
      </c>
      <c r="CF11" s="2017">
        <f>SUM(AC11:AN11)</f>
        <v/>
      </c>
      <c r="CG11" s="2017">
        <f>SUM(AO11:AZ11)</f>
        <v/>
      </c>
      <c r="CH11" s="2017">
        <f>SUM(BA11:BL11)</f>
        <v/>
      </c>
      <c r="CI11" s="2017">
        <f>SUM(BM11:BX11)</f>
        <v/>
      </c>
    </row>
    <row r="12" ht="12.75" customHeight="1" s="1883">
      <c r="A12" s="19" t="n"/>
      <c r="B12" s="16" t="inlineStr">
        <is>
          <t>Direct Cost</t>
        </is>
      </c>
      <c r="C12" s="19" t="n"/>
      <c r="D12" s="25" t="n"/>
      <c r="E12" s="20" t="n"/>
      <c r="F12" s="20" t="n"/>
      <c r="G12" s="20" t="n"/>
      <c r="H12" s="20" t="n"/>
      <c r="I12" s="20" t="n"/>
      <c r="J12" s="20" t="n"/>
      <c r="K12" s="20" t="n"/>
      <c r="L12" s="20" t="n"/>
      <c r="M12" s="20" t="n"/>
      <c r="N12" s="20" t="n"/>
      <c r="O12" s="20" t="n"/>
      <c r="P12" s="20" t="n"/>
      <c r="Q12" s="298" t="n"/>
      <c r="R12" s="298" t="n"/>
      <c r="S12" s="298" t="n"/>
      <c r="T12" s="298" t="n"/>
      <c r="U12" s="298" t="n"/>
      <c r="V12" s="298" t="n"/>
      <c r="W12" s="298" t="n"/>
      <c r="X12" s="298" t="n"/>
      <c r="Y12" s="298" t="n"/>
      <c r="Z12" s="298" t="n"/>
      <c r="AA12" s="298" t="n"/>
      <c r="AB12" s="298" t="n"/>
      <c r="AC12" s="298" t="n"/>
      <c r="AD12" s="298" t="n"/>
      <c r="AE12" s="298" t="n"/>
      <c r="AF12" s="298" t="n"/>
      <c r="AG12" s="298" t="n"/>
      <c r="AH12" s="298" t="n"/>
      <c r="AI12" s="298" t="n"/>
      <c r="AJ12" s="298" t="n"/>
      <c r="AK12" s="298" t="n"/>
      <c r="AL12" s="298" t="n"/>
      <c r="AM12" s="298" t="n"/>
      <c r="AN12" s="298" t="n"/>
      <c r="AO12" s="298" t="n"/>
      <c r="AP12" s="298" t="n"/>
      <c r="AQ12" s="298" t="n"/>
      <c r="AR12" s="298" t="n"/>
      <c r="AS12" s="298" t="n"/>
      <c r="AT12" s="298" t="n"/>
      <c r="AU12" s="298" t="n"/>
      <c r="AV12" s="298" t="n"/>
      <c r="AW12" s="298" t="n"/>
      <c r="AX12" s="298" t="n"/>
      <c r="AY12" s="298" t="n"/>
      <c r="AZ12" s="298" t="n"/>
      <c r="BA12" s="298" t="n"/>
      <c r="BB12" s="298" t="n"/>
      <c r="BC12" s="298" t="n"/>
      <c r="BD12" s="298" t="n"/>
      <c r="BE12" s="298" t="n"/>
      <c r="BF12" s="298" t="n"/>
      <c r="BG12" s="298" t="n"/>
      <c r="BH12" s="298" t="n"/>
      <c r="BI12" s="298" t="n"/>
      <c r="BJ12" s="298" t="n"/>
      <c r="BK12" s="298" t="n"/>
      <c r="BL12" s="298" t="n"/>
      <c r="BM12" s="298" t="n"/>
      <c r="BN12" s="298" t="n"/>
      <c r="BO12" s="298" t="n"/>
      <c r="BP12" s="298" t="n"/>
      <c r="BQ12" s="298" t="n"/>
      <c r="BR12" s="298" t="n"/>
      <c r="BS12" s="298" t="n"/>
      <c r="BT12" s="298" t="n"/>
      <c r="BU12" s="298" t="n"/>
      <c r="BV12" s="298" t="n"/>
      <c r="BW12" s="298" t="n"/>
      <c r="BX12" s="298" t="n"/>
      <c r="BY12" s="19" t="n"/>
      <c r="BZ12" s="306" t="inlineStr">
        <is>
          <t>Direct Cost</t>
        </is>
      </c>
      <c r="CA12" s="304" t="n"/>
      <c r="CB12" s="304" t="n"/>
      <c r="CC12" s="304" t="n"/>
      <c r="CD12" s="2016" t="n"/>
      <c r="CE12" s="2017" t="n"/>
      <c r="CF12" s="2017" t="n"/>
      <c r="CG12" s="2014" t="n"/>
      <c r="CH12" s="2014" t="n"/>
      <c r="CI12" s="2017" t="n"/>
    </row>
    <row r="13" ht="12.75" customHeight="1" s="1883">
      <c r="A13" s="19" t="n"/>
      <c r="B13" s="16" t="n"/>
      <c r="C13" s="12">
        <f>'3F. Revenue &amp; COGS Assumptions'!B67</f>
        <v/>
      </c>
      <c r="D13" s="25" t="n"/>
      <c r="E13" s="20" t="n">
        <v>0</v>
      </c>
      <c r="F13" s="20" t="n">
        <v>0</v>
      </c>
      <c r="G13" s="20" t="n">
        <v>0</v>
      </c>
      <c r="H13" s="20" t="n">
        <v>0</v>
      </c>
      <c r="I13" s="20" t="n">
        <v>0</v>
      </c>
      <c r="J13" s="20" t="n">
        <v>0</v>
      </c>
      <c r="K13" s="20" t="n">
        <v>0</v>
      </c>
      <c r="L13" s="20" t="n">
        <v>0</v>
      </c>
      <c r="M13" s="20" t="n">
        <v>0</v>
      </c>
      <c r="N13" s="20" t="n">
        <v>0</v>
      </c>
      <c r="O13" s="20" t="n">
        <v>0</v>
      </c>
      <c r="P13" s="20" t="n">
        <v>0</v>
      </c>
      <c r="Q13" s="298">
        <f>'3F. Revenue &amp; COGS Assumptions'!G67</f>
        <v/>
      </c>
      <c r="R13" s="298">
        <f>'3F. Revenue &amp; COGS Assumptions'!H67</f>
        <v/>
      </c>
      <c r="S13" s="298">
        <f>'3F. Revenue &amp; COGS Assumptions'!I67</f>
        <v/>
      </c>
      <c r="T13" s="298">
        <f>'3F. Revenue &amp; COGS Assumptions'!J67</f>
        <v/>
      </c>
      <c r="U13" s="298">
        <f>'3F. Revenue &amp; COGS Assumptions'!K67</f>
        <v/>
      </c>
      <c r="V13" s="298">
        <f>'3F. Revenue &amp; COGS Assumptions'!L67</f>
        <v/>
      </c>
      <c r="W13" s="298">
        <f>'3F. Revenue &amp; COGS Assumptions'!M67</f>
        <v/>
      </c>
      <c r="X13" s="298">
        <f>'3F. Revenue &amp; COGS Assumptions'!N67</f>
        <v/>
      </c>
      <c r="Y13" s="298">
        <f>'3F. Revenue &amp; COGS Assumptions'!O67</f>
        <v/>
      </c>
      <c r="Z13" s="298">
        <f>'3F. Revenue &amp; COGS Assumptions'!P67</f>
        <v/>
      </c>
      <c r="AA13" s="298">
        <f>'3F. Revenue &amp; COGS Assumptions'!Q67</f>
        <v/>
      </c>
      <c r="AB13" s="298">
        <f>'3F. Revenue &amp; COGS Assumptions'!R67</f>
        <v/>
      </c>
      <c r="AC13" s="298">
        <f>'3F. Revenue &amp; COGS Assumptions'!S67</f>
        <v/>
      </c>
      <c r="AD13" s="298">
        <f>'3F. Revenue &amp; COGS Assumptions'!T67</f>
        <v/>
      </c>
      <c r="AE13" s="298">
        <f>'3F. Revenue &amp; COGS Assumptions'!U67</f>
        <v/>
      </c>
      <c r="AF13" s="298">
        <f>'3F. Revenue &amp; COGS Assumptions'!V67</f>
        <v/>
      </c>
      <c r="AG13" s="298">
        <f>'3F. Revenue &amp; COGS Assumptions'!W67</f>
        <v/>
      </c>
      <c r="AH13" s="298">
        <f>'3F. Revenue &amp; COGS Assumptions'!X67</f>
        <v/>
      </c>
      <c r="AI13" s="298">
        <f>'3F. Revenue &amp; COGS Assumptions'!Y67</f>
        <v/>
      </c>
      <c r="AJ13" s="298">
        <f>'3F. Revenue &amp; COGS Assumptions'!Z67</f>
        <v/>
      </c>
      <c r="AK13" s="298">
        <f>'3F. Revenue &amp; COGS Assumptions'!AA67</f>
        <v/>
      </c>
      <c r="AL13" s="298">
        <f>'3F. Revenue &amp; COGS Assumptions'!AB67</f>
        <v/>
      </c>
      <c r="AM13" s="298">
        <f>'3F. Revenue &amp; COGS Assumptions'!AC67</f>
        <v/>
      </c>
      <c r="AN13" s="298">
        <f>'3F. Revenue &amp; COGS Assumptions'!AD67</f>
        <v/>
      </c>
      <c r="AO13" s="298">
        <f>'3F. Revenue &amp; COGS Assumptions'!AE67</f>
        <v/>
      </c>
      <c r="AP13" s="298">
        <f>'3F. Revenue &amp; COGS Assumptions'!AF67</f>
        <v/>
      </c>
      <c r="AQ13" s="298">
        <f>'3F. Revenue &amp; COGS Assumptions'!AG67</f>
        <v/>
      </c>
      <c r="AR13" s="298">
        <f>'3F. Revenue &amp; COGS Assumptions'!AH67</f>
        <v/>
      </c>
      <c r="AS13" s="298">
        <f>'3F. Revenue &amp; COGS Assumptions'!AI67</f>
        <v/>
      </c>
      <c r="AT13" s="298">
        <f>'3F. Revenue &amp; COGS Assumptions'!AJ67</f>
        <v/>
      </c>
      <c r="AU13" s="298">
        <f>'3F. Revenue &amp; COGS Assumptions'!AK67</f>
        <v/>
      </c>
      <c r="AV13" s="298">
        <f>'3F. Revenue &amp; COGS Assumptions'!AL67</f>
        <v/>
      </c>
      <c r="AW13" s="298">
        <f>'3F. Revenue &amp; COGS Assumptions'!AM67</f>
        <v/>
      </c>
      <c r="AX13" s="298">
        <f>'3F. Revenue &amp; COGS Assumptions'!AN67</f>
        <v/>
      </c>
      <c r="AY13" s="298">
        <f>'3F. Revenue &amp; COGS Assumptions'!AO67</f>
        <v/>
      </c>
      <c r="AZ13" s="298">
        <f>'3F. Revenue &amp; COGS Assumptions'!AP67</f>
        <v/>
      </c>
      <c r="BA13" s="298">
        <f>'3F. Revenue &amp; COGS Assumptions'!AQ67</f>
        <v/>
      </c>
      <c r="BB13" s="298">
        <f>'3F. Revenue &amp; COGS Assumptions'!AR67</f>
        <v/>
      </c>
      <c r="BC13" s="298">
        <f>'3F. Revenue &amp; COGS Assumptions'!AS67</f>
        <v/>
      </c>
      <c r="BD13" s="298">
        <f>'3F. Revenue &amp; COGS Assumptions'!AT67</f>
        <v/>
      </c>
      <c r="BE13" s="298">
        <f>'3F. Revenue &amp; COGS Assumptions'!AU67</f>
        <v/>
      </c>
      <c r="BF13" s="298">
        <f>'3F. Revenue &amp; COGS Assumptions'!AV67</f>
        <v/>
      </c>
      <c r="BG13" s="298">
        <f>'3F. Revenue &amp; COGS Assumptions'!AW67</f>
        <v/>
      </c>
      <c r="BH13" s="298">
        <f>'3F. Revenue &amp; COGS Assumptions'!AX67</f>
        <v/>
      </c>
      <c r="BI13" s="298">
        <f>'3F. Revenue &amp; COGS Assumptions'!AY67</f>
        <v/>
      </c>
      <c r="BJ13" s="298">
        <f>'3F. Revenue &amp; COGS Assumptions'!AZ67</f>
        <v/>
      </c>
      <c r="BK13" s="298">
        <f>'3F. Revenue &amp; COGS Assumptions'!BA67</f>
        <v/>
      </c>
      <c r="BL13" s="298">
        <f>'3F. Revenue &amp; COGS Assumptions'!BB67</f>
        <v/>
      </c>
      <c r="BM13" s="298">
        <f>'3F. Revenue &amp; COGS Assumptions'!BC67</f>
        <v/>
      </c>
      <c r="BN13" s="298">
        <f>'3F. Revenue &amp; COGS Assumptions'!BD67</f>
        <v/>
      </c>
      <c r="BO13" s="298">
        <f>'3F. Revenue &amp; COGS Assumptions'!BE67</f>
        <v/>
      </c>
      <c r="BP13" s="298">
        <f>'3F. Revenue &amp; COGS Assumptions'!BF67</f>
        <v/>
      </c>
      <c r="BQ13" s="298">
        <f>'3F. Revenue &amp; COGS Assumptions'!BG67</f>
        <v/>
      </c>
      <c r="BR13" s="298">
        <f>'3F. Revenue &amp; COGS Assumptions'!BH67</f>
        <v/>
      </c>
      <c r="BS13" s="298">
        <f>'3F. Revenue &amp; COGS Assumptions'!BI67</f>
        <v/>
      </c>
      <c r="BT13" s="298">
        <f>'3F. Revenue &amp; COGS Assumptions'!BJ67</f>
        <v/>
      </c>
      <c r="BU13" s="298">
        <f>'3F. Revenue &amp; COGS Assumptions'!BK67</f>
        <v/>
      </c>
      <c r="BV13" s="298">
        <f>'3F. Revenue &amp; COGS Assumptions'!BL67</f>
        <v/>
      </c>
      <c r="BW13" s="298">
        <f>'3F. Revenue &amp; COGS Assumptions'!BM67</f>
        <v/>
      </c>
      <c r="BX13" s="298">
        <f>'3F. Revenue &amp; COGS Assumptions'!BN67</f>
        <v/>
      </c>
      <c r="BY13" s="19" t="n"/>
      <c r="BZ13" s="306" t="n"/>
      <c r="CA13" s="307" t="inlineStr">
        <is>
          <t xml:space="preserve">32GB </t>
        </is>
      </c>
      <c r="CB13" s="304" t="n"/>
      <c r="CC13" s="304" t="n"/>
      <c r="CD13" s="2015">
        <f>SUM(E13:P13)</f>
        <v/>
      </c>
      <c r="CE13" s="2014">
        <f>SUM(Q13:AB13)</f>
        <v/>
      </c>
      <c r="CF13" s="2014">
        <f>SUM(AC13:AN13)</f>
        <v/>
      </c>
      <c r="CG13" s="2014">
        <f>SUM(AO13:AZ13)</f>
        <v/>
      </c>
      <c r="CH13" s="2014">
        <f>SUM(BA13:BL13)</f>
        <v/>
      </c>
      <c r="CI13" s="2014">
        <f>SUM(BM13:BX13)</f>
        <v/>
      </c>
    </row>
    <row r="14" ht="12.75" customHeight="1" s="1883">
      <c r="A14" s="19" t="n"/>
      <c r="B14" s="16" t="n"/>
      <c r="C14" s="12">
        <f>'3F. Revenue &amp; COGS Assumptions'!B68</f>
        <v/>
      </c>
      <c r="D14" s="25" t="n"/>
      <c r="E14" s="20" t="n">
        <v>0</v>
      </c>
      <c r="F14" s="20" t="n">
        <v>0</v>
      </c>
      <c r="G14" s="20" t="n">
        <v>0</v>
      </c>
      <c r="H14" s="20" t="n">
        <v>0</v>
      </c>
      <c r="I14" s="20" t="n">
        <v>0</v>
      </c>
      <c r="J14" s="20" t="n">
        <v>0</v>
      </c>
      <c r="K14" s="20" t="n">
        <v>0</v>
      </c>
      <c r="L14" s="20" t="n">
        <v>0</v>
      </c>
      <c r="M14" s="20" t="n">
        <v>0</v>
      </c>
      <c r="N14" s="20" t="n">
        <v>0</v>
      </c>
      <c r="O14" s="20" t="n">
        <v>0</v>
      </c>
      <c r="P14" s="20" t="n">
        <v>0</v>
      </c>
      <c r="Q14" s="298">
        <f>'3F. Revenue &amp; COGS Assumptions'!G68</f>
        <v/>
      </c>
      <c r="R14" s="298">
        <f>'3F. Revenue &amp; COGS Assumptions'!H68</f>
        <v/>
      </c>
      <c r="S14" s="298">
        <f>'3F. Revenue &amp; COGS Assumptions'!I68</f>
        <v/>
      </c>
      <c r="T14" s="298">
        <f>'3F. Revenue &amp; COGS Assumptions'!J68</f>
        <v/>
      </c>
      <c r="U14" s="298">
        <f>'3F. Revenue &amp; COGS Assumptions'!K68</f>
        <v/>
      </c>
      <c r="V14" s="298">
        <f>'3F. Revenue &amp; COGS Assumptions'!L68</f>
        <v/>
      </c>
      <c r="W14" s="298">
        <f>'3F. Revenue &amp; COGS Assumptions'!M68</f>
        <v/>
      </c>
      <c r="X14" s="298">
        <f>'3F. Revenue &amp; COGS Assumptions'!N68</f>
        <v/>
      </c>
      <c r="Y14" s="298">
        <f>'3F. Revenue &amp; COGS Assumptions'!O68</f>
        <v/>
      </c>
      <c r="Z14" s="298">
        <f>'3F. Revenue &amp; COGS Assumptions'!P68</f>
        <v/>
      </c>
      <c r="AA14" s="298">
        <f>'3F. Revenue &amp; COGS Assumptions'!Q68</f>
        <v/>
      </c>
      <c r="AB14" s="298">
        <f>'3F. Revenue &amp; COGS Assumptions'!R68</f>
        <v/>
      </c>
      <c r="AC14" s="298">
        <f>'3F. Revenue &amp; COGS Assumptions'!S68</f>
        <v/>
      </c>
      <c r="AD14" s="298">
        <f>'3F. Revenue &amp; COGS Assumptions'!T68</f>
        <v/>
      </c>
      <c r="AE14" s="298">
        <f>'3F. Revenue &amp; COGS Assumptions'!U68</f>
        <v/>
      </c>
      <c r="AF14" s="298">
        <f>'3F. Revenue &amp; COGS Assumptions'!V68</f>
        <v/>
      </c>
      <c r="AG14" s="298">
        <f>'3F. Revenue &amp; COGS Assumptions'!W68</f>
        <v/>
      </c>
      <c r="AH14" s="298">
        <f>'3F. Revenue &amp; COGS Assumptions'!X68</f>
        <v/>
      </c>
      <c r="AI14" s="298">
        <f>'3F. Revenue &amp; COGS Assumptions'!Y68</f>
        <v/>
      </c>
      <c r="AJ14" s="298">
        <f>'3F. Revenue &amp; COGS Assumptions'!Z68</f>
        <v/>
      </c>
      <c r="AK14" s="298">
        <f>'3F. Revenue &amp; COGS Assumptions'!AA68</f>
        <v/>
      </c>
      <c r="AL14" s="298">
        <f>'3F. Revenue &amp; COGS Assumptions'!AB68</f>
        <v/>
      </c>
      <c r="AM14" s="298">
        <f>'3F. Revenue &amp; COGS Assumptions'!AC68</f>
        <v/>
      </c>
      <c r="AN14" s="298">
        <f>'3F. Revenue &amp; COGS Assumptions'!AD68</f>
        <v/>
      </c>
      <c r="AO14" s="298">
        <f>'3F. Revenue &amp; COGS Assumptions'!AE68</f>
        <v/>
      </c>
      <c r="AP14" s="298">
        <f>'3F. Revenue &amp; COGS Assumptions'!AF68</f>
        <v/>
      </c>
      <c r="AQ14" s="298">
        <f>'3F. Revenue &amp; COGS Assumptions'!AG68</f>
        <v/>
      </c>
      <c r="AR14" s="298">
        <f>'3F. Revenue &amp; COGS Assumptions'!AH68</f>
        <v/>
      </c>
      <c r="AS14" s="298">
        <f>'3F. Revenue &amp; COGS Assumptions'!AI68</f>
        <v/>
      </c>
      <c r="AT14" s="298">
        <f>'3F. Revenue &amp; COGS Assumptions'!AJ68</f>
        <v/>
      </c>
      <c r="AU14" s="298">
        <f>'3F. Revenue &amp; COGS Assumptions'!AK68</f>
        <v/>
      </c>
      <c r="AV14" s="298">
        <f>'3F. Revenue &amp; COGS Assumptions'!AL68</f>
        <v/>
      </c>
      <c r="AW14" s="298">
        <f>'3F. Revenue &amp; COGS Assumptions'!AM68</f>
        <v/>
      </c>
      <c r="AX14" s="298">
        <f>'3F. Revenue &amp; COGS Assumptions'!AN68</f>
        <v/>
      </c>
      <c r="AY14" s="298">
        <f>'3F. Revenue &amp; COGS Assumptions'!AO68</f>
        <v/>
      </c>
      <c r="AZ14" s="298">
        <f>'3F. Revenue &amp; COGS Assumptions'!AP68</f>
        <v/>
      </c>
      <c r="BA14" s="298">
        <f>'3F. Revenue &amp; COGS Assumptions'!AQ68</f>
        <v/>
      </c>
      <c r="BB14" s="298">
        <f>'3F. Revenue &amp; COGS Assumptions'!AR68</f>
        <v/>
      </c>
      <c r="BC14" s="298">
        <f>'3F. Revenue &amp; COGS Assumptions'!AS68</f>
        <v/>
      </c>
      <c r="BD14" s="298">
        <f>'3F. Revenue &amp; COGS Assumptions'!AT68</f>
        <v/>
      </c>
      <c r="BE14" s="298">
        <f>'3F. Revenue &amp; COGS Assumptions'!AU68</f>
        <v/>
      </c>
      <c r="BF14" s="298">
        <f>'3F. Revenue &amp; COGS Assumptions'!AV68</f>
        <v/>
      </c>
      <c r="BG14" s="298">
        <f>'3F. Revenue &amp; COGS Assumptions'!AW68</f>
        <v/>
      </c>
      <c r="BH14" s="298">
        <f>'3F. Revenue &amp; COGS Assumptions'!AX68</f>
        <v/>
      </c>
      <c r="BI14" s="298">
        <f>'3F. Revenue &amp; COGS Assumptions'!AY68</f>
        <v/>
      </c>
      <c r="BJ14" s="298">
        <f>'3F. Revenue &amp; COGS Assumptions'!AZ68</f>
        <v/>
      </c>
      <c r="BK14" s="298">
        <f>'3F. Revenue &amp; COGS Assumptions'!BA68</f>
        <v/>
      </c>
      <c r="BL14" s="298">
        <f>'3F. Revenue &amp; COGS Assumptions'!BB68</f>
        <v/>
      </c>
      <c r="BM14" s="298">
        <f>'3F. Revenue &amp; COGS Assumptions'!BC68</f>
        <v/>
      </c>
      <c r="BN14" s="298">
        <f>'3F. Revenue &amp; COGS Assumptions'!BD68</f>
        <v/>
      </c>
      <c r="BO14" s="298">
        <f>'3F. Revenue &amp; COGS Assumptions'!BE68</f>
        <v/>
      </c>
      <c r="BP14" s="298">
        <f>'3F. Revenue &amp; COGS Assumptions'!BF68</f>
        <v/>
      </c>
      <c r="BQ14" s="298">
        <f>'3F. Revenue &amp; COGS Assumptions'!BG68</f>
        <v/>
      </c>
      <c r="BR14" s="298">
        <f>'3F. Revenue &amp; COGS Assumptions'!BH68</f>
        <v/>
      </c>
      <c r="BS14" s="298">
        <f>'3F. Revenue &amp; COGS Assumptions'!BI68</f>
        <v/>
      </c>
      <c r="BT14" s="298">
        <f>'3F. Revenue &amp; COGS Assumptions'!BJ68</f>
        <v/>
      </c>
      <c r="BU14" s="298">
        <f>'3F. Revenue &amp; COGS Assumptions'!BK68</f>
        <v/>
      </c>
      <c r="BV14" s="298">
        <f>'3F. Revenue &amp; COGS Assumptions'!BL68</f>
        <v/>
      </c>
      <c r="BW14" s="298">
        <f>'3F. Revenue &amp; COGS Assumptions'!BM68</f>
        <v/>
      </c>
      <c r="BX14" s="298">
        <f>'3F. Revenue &amp; COGS Assumptions'!BN68</f>
        <v/>
      </c>
      <c r="BY14" s="19" t="n"/>
      <c r="BZ14" s="306" t="n"/>
      <c r="CA14" s="307" t="n"/>
      <c r="CB14" s="304" t="n"/>
      <c r="CC14" s="304" t="n"/>
      <c r="CD14" s="2015" t="n"/>
      <c r="CE14" s="2014" t="n"/>
      <c r="CF14" s="2014" t="n"/>
      <c r="CG14" s="2014" t="n"/>
      <c r="CH14" s="2014" t="n"/>
      <c r="CI14" s="2014" t="n"/>
    </row>
    <row r="15" ht="12.75" customHeight="1" s="1883">
      <c r="A15" s="19" t="n"/>
      <c r="B15" s="16" t="n"/>
      <c r="C15" s="12">
        <f>'3F. Revenue &amp; COGS Assumptions'!B69</f>
        <v/>
      </c>
      <c r="D15" s="25" t="n"/>
      <c r="E15" s="20" t="n">
        <v>0</v>
      </c>
      <c r="F15" s="20" t="n">
        <v>0</v>
      </c>
      <c r="G15" s="20" t="n">
        <v>0</v>
      </c>
      <c r="H15" s="20" t="n">
        <v>0</v>
      </c>
      <c r="I15" s="20" t="n">
        <v>0</v>
      </c>
      <c r="J15" s="20" t="n">
        <v>0</v>
      </c>
      <c r="K15" s="20" t="n">
        <v>0</v>
      </c>
      <c r="L15" s="20" t="n">
        <v>0</v>
      </c>
      <c r="M15" s="20" t="n">
        <v>0</v>
      </c>
      <c r="N15" s="20" t="n">
        <v>0</v>
      </c>
      <c r="O15" s="20" t="n">
        <v>0</v>
      </c>
      <c r="P15" s="20" t="n">
        <v>0</v>
      </c>
      <c r="Q15" s="298">
        <f>'3F. Revenue &amp; COGS Assumptions'!G69</f>
        <v/>
      </c>
      <c r="R15" s="298">
        <f>'3F. Revenue &amp; COGS Assumptions'!H69</f>
        <v/>
      </c>
      <c r="S15" s="298">
        <f>'3F. Revenue &amp; COGS Assumptions'!I69</f>
        <v/>
      </c>
      <c r="T15" s="298">
        <f>'3F. Revenue &amp; COGS Assumptions'!J69</f>
        <v/>
      </c>
      <c r="U15" s="298">
        <f>'3F. Revenue &amp; COGS Assumptions'!K69</f>
        <v/>
      </c>
      <c r="V15" s="298">
        <f>'3F. Revenue &amp; COGS Assumptions'!L69</f>
        <v/>
      </c>
      <c r="W15" s="298">
        <f>'3F. Revenue &amp; COGS Assumptions'!M69</f>
        <v/>
      </c>
      <c r="X15" s="298">
        <f>'3F. Revenue &amp; COGS Assumptions'!N69</f>
        <v/>
      </c>
      <c r="Y15" s="298">
        <f>'3F. Revenue &amp; COGS Assumptions'!O69</f>
        <v/>
      </c>
      <c r="Z15" s="298">
        <f>'3F. Revenue &amp; COGS Assumptions'!P69</f>
        <v/>
      </c>
      <c r="AA15" s="298">
        <f>'3F. Revenue &amp; COGS Assumptions'!Q69</f>
        <v/>
      </c>
      <c r="AB15" s="298">
        <f>'3F. Revenue &amp; COGS Assumptions'!R69</f>
        <v/>
      </c>
      <c r="AC15" s="298">
        <f>'3F. Revenue &amp; COGS Assumptions'!S69</f>
        <v/>
      </c>
      <c r="AD15" s="298">
        <f>'3F. Revenue &amp; COGS Assumptions'!T69</f>
        <v/>
      </c>
      <c r="AE15" s="298">
        <f>'3F. Revenue &amp; COGS Assumptions'!U69</f>
        <v/>
      </c>
      <c r="AF15" s="298">
        <f>'3F. Revenue &amp; COGS Assumptions'!V69</f>
        <v/>
      </c>
      <c r="AG15" s="298">
        <f>'3F. Revenue &amp; COGS Assumptions'!W69</f>
        <v/>
      </c>
      <c r="AH15" s="298">
        <f>'3F. Revenue &amp; COGS Assumptions'!X69</f>
        <v/>
      </c>
      <c r="AI15" s="298">
        <f>'3F. Revenue &amp; COGS Assumptions'!Y69</f>
        <v/>
      </c>
      <c r="AJ15" s="298">
        <f>'3F. Revenue &amp; COGS Assumptions'!Z69</f>
        <v/>
      </c>
      <c r="AK15" s="298">
        <f>'3F. Revenue &amp; COGS Assumptions'!AA69</f>
        <v/>
      </c>
      <c r="AL15" s="298">
        <f>'3F. Revenue &amp; COGS Assumptions'!AB69</f>
        <v/>
      </c>
      <c r="AM15" s="298">
        <f>'3F. Revenue &amp; COGS Assumptions'!AC69</f>
        <v/>
      </c>
      <c r="AN15" s="298">
        <f>'3F. Revenue &amp; COGS Assumptions'!AD69</f>
        <v/>
      </c>
      <c r="AO15" s="298">
        <f>'3F. Revenue &amp; COGS Assumptions'!AE69</f>
        <v/>
      </c>
      <c r="AP15" s="298">
        <f>'3F. Revenue &amp; COGS Assumptions'!AF69</f>
        <v/>
      </c>
      <c r="AQ15" s="298">
        <f>'3F. Revenue &amp; COGS Assumptions'!AG69</f>
        <v/>
      </c>
      <c r="AR15" s="298">
        <f>'3F. Revenue &amp; COGS Assumptions'!AH69</f>
        <v/>
      </c>
      <c r="AS15" s="298">
        <f>'3F. Revenue &amp; COGS Assumptions'!AI69</f>
        <v/>
      </c>
      <c r="AT15" s="298">
        <f>'3F. Revenue &amp; COGS Assumptions'!AJ69</f>
        <v/>
      </c>
      <c r="AU15" s="298">
        <f>'3F. Revenue &amp; COGS Assumptions'!AK69</f>
        <v/>
      </c>
      <c r="AV15" s="298">
        <f>'3F. Revenue &amp; COGS Assumptions'!AL69</f>
        <v/>
      </c>
      <c r="AW15" s="298">
        <f>'3F. Revenue &amp; COGS Assumptions'!AM69</f>
        <v/>
      </c>
      <c r="AX15" s="298">
        <f>'3F. Revenue &amp; COGS Assumptions'!AN69</f>
        <v/>
      </c>
      <c r="AY15" s="298">
        <f>'3F. Revenue &amp; COGS Assumptions'!AO69</f>
        <v/>
      </c>
      <c r="AZ15" s="298">
        <f>'3F. Revenue &amp; COGS Assumptions'!AP69</f>
        <v/>
      </c>
      <c r="BA15" s="298">
        <f>'3F. Revenue &amp; COGS Assumptions'!AQ69</f>
        <v/>
      </c>
      <c r="BB15" s="298">
        <f>'3F. Revenue &amp; COGS Assumptions'!AR69</f>
        <v/>
      </c>
      <c r="BC15" s="298">
        <f>'3F. Revenue &amp; COGS Assumptions'!AS69</f>
        <v/>
      </c>
      <c r="BD15" s="298">
        <f>'3F. Revenue &amp; COGS Assumptions'!AT69</f>
        <v/>
      </c>
      <c r="BE15" s="298">
        <f>'3F. Revenue &amp; COGS Assumptions'!AU69</f>
        <v/>
      </c>
      <c r="BF15" s="298">
        <f>'3F. Revenue &amp; COGS Assumptions'!AV69</f>
        <v/>
      </c>
      <c r="BG15" s="298">
        <f>'3F. Revenue &amp; COGS Assumptions'!AW69</f>
        <v/>
      </c>
      <c r="BH15" s="298">
        <f>'3F. Revenue &amp; COGS Assumptions'!AX69</f>
        <v/>
      </c>
      <c r="BI15" s="298">
        <f>'3F. Revenue &amp; COGS Assumptions'!AY69</f>
        <v/>
      </c>
      <c r="BJ15" s="298">
        <f>'3F. Revenue &amp; COGS Assumptions'!AZ69</f>
        <v/>
      </c>
      <c r="BK15" s="298">
        <f>'3F. Revenue &amp; COGS Assumptions'!BA69</f>
        <v/>
      </c>
      <c r="BL15" s="298">
        <f>'3F. Revenue &amp; COGS Assumptions'!BB69</f>
        <v/>
      </c>
      <c r="BM15" s="298">
        <f>'3F. Revenue &amp; COGS Assumptions'!BC69</f>
        <v/>
      </c>
      <c r="BN15" s="298">
        <f>'3F. Revenue &amp; COGS Assumptions'!BD69</f>
        <v/>
      </c>
      <c r="BO15" s="298">
        <f>'3F. Revenue &amp; COGS Assumptions'!BE69</f>
        <v/>
      </c>
      <c r="BP15" s="298">
        <f>'3F. Revenue &amp; COGS Assumptions'!BF69</f>
        <v/>
      </c>
      <c r="BQ15" s="298">
        <f>'3F. Revenue &amp; COGS Assumptions'!BG69</f>
        <v/>
      </c>
      <c r="BR15" s="298">
        <f>'3F. Revenue &amp; COGS Assumptions'!BH69</f>
        <v/>
      </c>
      <c r="BS15" s="298">
        <f>'3F. Revenue &amp; COGS Assumptions'!BI69</f>
        <v/>
      </c>
      <c r="BT15" s="298">
        <f>'3F. Revenue &amp; COGS Assumptions'!BJ69</f>
        <v/>
      </c>
      <c r="BU15" s="298">
        <f>'3F. Revenue &amp; COGS Assumptions'!BK69</f>
        <v/>
      </c>
      <c r="BV15" s="298">
        <f>'3F. Revenue &amp; COGS Assumptions'!BL69</f>
        <v/>
      </c>
      <c r="BW15" s="298">
        <f>'3F. Revenue &amp; COGS Assumptions'!BM69</f>
        <v/>
      </c>
      <c r="BX15" s="298">
        <f>'3F. Revenue &amp; COGS Assumptions'!BN69</f>
        <v/>
      </c>
      <c r="BY15" s="19" t="n"/>
      <c r="BZ15" s="306" t="n"/>
      <c r="CA15" s="307" t="n"/>
      <c r="CB15" s="304" t="n"/>
      <c r="CC15" s="304" t="n"/>
      <c r="CD15" s="2155" t="n"/>
      <c r="CE15" s="2154" t="n"/>
      <c r="CF15" s="2154" t="n"/>
      <c r="CG15" s="2014" t="n"/>
      <c r="CH15" s="2014" t="n"/>
      <c r="CI15" s="2014" t="n"/>
    </row>
    <row r="16" ht="12.75" customHeight="1" s="1883">
      <c r="A16" s="19" t="n"/>
      <c r="B16" s="16" t="inlineStr">
        <is>
          <t>Cost of Goods Sold</t>
        </is>
      </c>
      <c r="C16" s="19" t="n"/>
      <c r="D16" s="25" t="n"/>
      <c r="E16" s="1359">
        <f>SUM(E13:E15)</f>
        <v/>
      </c>
      <c r="F16" s="1359">
        <f>SUM(F13:F15)</f>
        <v/>
      </c>
      <c r="G16" s="1359">
        <f>SUM(G13:G15)</f>
        <v/>
      </c>
      <c r="H16" s="1359">
        <f>SUM(H13:H15)</f>
        <v/>
      </c>
      <c r="I16" s="1359">
        <f>SUM(I13:I15)</f>
        <v/>
      </c>
      <c r="J16" s="1359">
        <f>SUM(J13:J15)</f>
        <v/>
      </c>
      <c r="K16" s="1359">
        <f>SUM(K13:K15)</f>
        <v/>
      </c>
      <c r="L16" s="1359">
        <f>SUM(L13:L15)</f>
        <v/>
      </c>
      <c r="M16" s="1359">
        <f>SUM(M13:M15)</f>
        <v/>
      </c>
      <c r="N16" s="1359">
        <f>SUM(N13:N15)</f>
        <v/>
      </c>
      <c r="O16" s="1359">
        <f>SUM(O13:O15)</f>
        <v/>
      </c>
      <c r="P16" s="1359">
        <f>SUM(P13:P15)</f>
        <v/>
      </c>
      <c r="Q16" s="1360">
        <f>SUM(Q13:Q15)</f>
        <v/>
      </c>
      <c r="R16" s="1360">
        <f>SUM(R13:R15)</f>
        <v/>
      </c>
      <c r="S16" s="1360">
        <f>SUM(S13:S15)</f>
        <v/>
      </c>
      <c r="T16" s="1360">
        <f>SUM(T13:T15)</f>
        <v/>
      </c>
      <c r="U16" s="1360">
        <f>SUM(U13:U15)</f>
        <v/>
      </c>
      <c r="V16" s="1360">
        <f>SUM(V13:V15)</f>
        <v/>
      </c>
      <c r="W16" s="1360">
        <f>SUM(W13:W15)</f>
        <v/>
      </c>
      <c r="X16" s="1360">
        <f>SUM(X13:X15)</f>
        <v/>
      </c>
      <c r="Y16" s="1360">
        <f>SUM(Y13:Y15)</f>
        <v/>
      </c>
      <c r="Z16" s="1360">
        <f>SUM(Z13:Z15)</f>
        <v/>
      </c>
      <c r="AA16" s="1360">
        <f>SUM(AA13:AA15)</f>
        <v/>
      </c>
      <c r="AB16" s="1360">
        <f>SUM(AB13:AB15)</f>
        <v/>
      </c>
      <c r="AC16" s="1360">
        <f>SUM(AC13:AC15)</f>
        <v/>
      </c>
      <c r="AD16" s="1360">
        <f>SUM(AD13:AD15)</f>
        <v/>
      </c>
      <c r="AE16" s="1360">
        <f>SUM(AE13:AE15)</f>
        <v/>
      </c>
      <c r="AF16" s="1360">
        <f>SUM(AF13:AF15)</f>
        <v/>
      </c>
      <c r="AG16" s="1360">
        <f>SUM(AG13:AG15)</f>
        <v/>
      </c>
      <c r="AH16" s="1360">
        <f>SUM(AH13:AH15)</f>
        <v/>
      </c>
      <c r="AI16" s="1360">
        <f>SUM(AI13:AI15)</f>
        <v/>
      </c>
      <c r="AJ16" s="1360">
        <f>SUM(AJ13:AJ15)</f>
        <v/>
      </c>
      <c r="AK16" s="1360">
        <f>SUM(AK13:AK15)</f>
        <v/>
      </c>
      <c r="AL16" s="1360">
        <f>SUM(AL13:AL15)</f>
        <v/>
      </c>
      <c r="AM16" s="1360">
        <f>SUM(AM13:AM15)</f>
        <v/>
      </c>
      <c r="AN16" s="1360">
        <f>SUM(AN13:AN15)</f>
        <v/>
      </c>
      <c r="AO16" s="1360">
        <f>SUM(AO13:AO15)</f>
        <v/>
      </c>
      <c r="AP16" s="1360">
        <f>SUM(AP13:AP15)</f>
        <v/>
      </c>
      <c r="AQ16" s="1360">
        <f>SUM(AQ13:AQ15)</f>
        <v/>
      </c>
      <c r="AR16" s="1360">
        <f>SUM(AR13:AR15)</f>
        <v/>
      </c>
      <c r="AS16" s="1360">
        <f>SUM(AS13:AS15)</f>
        <v/>
      </c>
      <c r="AT16" s="1360">
        <f>SUM(AT13:AT15)</f>
        <v/>
      </c>
      <c r="AU16" s="1360">
        <f>SUM(AU13:AU15)</f>
        <v/>
      </c>
      <c r="AV16" s="1360">
        <f>SUM(AV13:AV15)</f>
        <v/>
      </c>
      <c r="AW16" s="1360">
        <f>SUM(AW13:AW15)</f>
        <v/>
      </c>
      <c r="AX16" s="1360">
        <f>SUM(AX13:AX15)</f>
        <v/>
      </c>
      <c r="AY16" s="1360">
        <f>SUM(AY13:AY15)</f>
        <v/>
      </c>
      <c r="AZ16" s="1360">
        <f>SUM(AZ13:AZ15)</f>
        <v/>
      </c>
      <c r="BA16" s="1360">
        <f>SUM(BA13:BA15)</f>
        <v/>
      </c>
      <c r="BB16" s="1360">
        <f>SUM(BB13:BB15)</f>
        <v/>
      </c>
      <c r="BC16" s="1360">
        <f>SUM(BC13:BC15)</f>
        <v/>
      </c>
      <c r="BD16" s="1360">
        <f>SUM(BD13:BD15)</f>
        <v/>
      </c>
      <c r="BE16" s="1360">
        <f>SUM(BE13:BE15)</f>
        <v/>
      </c>
      <c r="BF16" s="1360">
        <f>SUM(BF13:BF15)</f>
        <v/>
      </c>
      <c r="BG16" s="1360">
        <f>SUM(BG13:BG15)</f>
        <v/>
      </c>
      <c r="BH16" s="1360">
        <f>SUM(BH13:BH15)</f>
        <v/>
      </c>
      <c r="BI16" s="1360">
        <f>SUM(BI13:BI15)</f>
        <v/>
      </c>
      <c r="BJ16" s="1360">
        <f>SUM(BJ13:BJ15)</f>
        <v/>
      </c>
      <c r="BK16" s="1360">
        <f>SUM(BK13:BK15)</f>
        <v/>
      </c>
      <c r="BL16" s="1360">
        <f>SUM(BL13:BL15)</f>
        <v/>
      </c>
      <c r="BM16" s="1360">
        <f>SUM(BM13:BM15)</f>
        <v/>
      </c>
      <c r="BN16" s="1360">
        <f>SUM(BN13:BN15)</f>
        <v/>
      </c>
      <c r="BO16" s="1360">
        <f>SUM(BO13:BO15)</f>
        <v/>
      </c>
      <c r="BP16" s="1360">
        <f>SUM(BP13:BP15)</f>
        <v/>
      </c>
      <c r="BQ16" s="1360">
        <f>SUM(BQ13:BQ15)</f>
        <v/>
      </c>
      <c r="BR16" s="1360">
        <f>SUM(BR13:BR15)</f>
        <v/>
      </c>
      <c r="BS16" s="1360">
        <f>SUM(BS13:BS15)</f>
        <v/>
      </c>
      <c r="BT16" s="1360">
        <f>SUM(BT13:BT15)</f>
        <v/>
      </c>
      <c r="BU16" s="1360">
        <f>SUM(BU13:BU15)</f>
        <v/>
      </c>
      <c r="BV16" s="1360">
        <f>SUM(BV13:BV15)</f>
        <v/>
      </c>
      <c r="BW16" s="1360">
        <f>SUM(BW13:BW15)</f>
        <v/>
      </c>
      <c r="BX16" s="1360">
        <f>SUM(BX13:BX15)</f>
        <v/>
      </c>
      <c r="BY16" s="19" t="n"/>
      <c r="BZ16" s="306" t="inlineStr">
        <is>
          <t>Cost of Goods Sold</t>
        </is>
      </c>
      <c r="CA16" s="304" t="n"/>
      <c r="CB16" s="304" t="n"/>
      <c r="CC16" s="304" t="n"/>
      <c r="CD16" s="2155">
        <f>SUM(E16:P16)</f>
        <v/>
      </c>
      <c r="CE16" s="2154">
        <f>SUM(Q16:AB16)</f>
        <v/>
      </c>
      <c r="CF16" s="2154">
        <f>SUM(R16:AC16)</f>
        <v/>
      </c>
      <c r="CG16" s="2014">
        <f>SUM(AO16:AZ16)</f>
        <v/>
      </c>
      <c r="CH16" s="2014">
        <f>SUM(BA16:BL16)</f>
        <v/>
      </c>
      <c r="CI16" s="2014">
        <f>SUM(BM16:BX16)</f>
        <v/>
      </c>
    </row>
    <row r="17" ht="12.75" customHeight="1" s="1883">
      <c r="A17" s="19" t="n"/>
      <c r="B17" s="308" t="inlineStr">
        <is>
          <t>GROSS PROFIT</t>
        </is>
      </c>
      <c r="C17" s="302" t="n"/>
      <c r="D17" s="25" t="n"/>
      <c r="E17" s="1359">
        <f>E11+E16</f>
        <v/>
      </c>
      <c r="F17" s="1359">
        <f>F11+F16</f>
        <v/>
      </c>
      <c r="G17" s="1359">
        <f>G11+G16</f>
        <v/>
      </c>
      <c r="H17" s="1359">
        <f>H11+H16</f>
        <v/>
      </c>
      <c r="I17" s="1359">
        <f>I11+I16</f>
        <v/>
      </c>
      <c r="J17" s="1359">
        <f>J11+J16</f>
        <v/>
      </c>
      <c r="K17" s="1359">
        <f>K11+K16</f>
        <v/>
      </c>
      <c r="L17" s="1359">
        <f>L11+L16</f>
        <v/>
      </c>
      <c r="M17" s="1359">
        <f>M11+M16</f>
        <v/>
      </c>
      <c r="N17" s="1359">
        <f>N11+N16</f>
        <v/>
      </c>
      <c r="O17" s="1359">
        <f>O11+O16</f>
        <v/>
      </c>
      <c r="P17" s="1359">
        <f>P11+P16</f>
        <v/>
      </c>
      <c r="Q17" s="1359">
        <f>+Q11-Q16</f>
        <v/>
      </c>
      <c r="R17" s="1359">
        <f>+R11-R16</f>
        <v/>
      </c>
      <c r="S17" s="1359">
        <f>+S11-S16</f>
        <v/>
      </c>
      <c r="T17" s="1359">
        <f>+T11-T16</f>
        <v/>
      </c>
      <c r="U17" s="1359">
        <f>+U11-U16</f>
        <v/>
      </c>
      <c r="V17" s="1359">
        <f>+V11-V16</f>
        <v/>
      </c>
      <c r="W17" s="1359">
        <f>+W11-W16</f>
        <v/>
      </c>
      <c r="X17" s="1359">
        <f>+X11-X16</f>
        <v/>
      </c>
      <c r="Y17" s="1359">
        <f>+Y11-Y16</f>
        <v/>
      </c>
      <c r="Z17" s="1359">
        <f>+Z11-Z16</f>
        <v/>
      </c>
      <c r="AA17" s="1359">
        <f>+AA11-AA16</f>
        <v/>
      </c>
      <c r="AB17" s="1359">
        <f>+AB11-AB16</f>
        <v/>
      </c>
      <c r="AC17" s="1359">
        <f>+AC11-AC16</f>
        <v/>
      </c>
      <c r="AD17" s="1359">
        <f>+AD11-AD16</f>
        <v/>
      </c>
      <c r="AE17" s="1359">
        <f>+AE11-AE16</f>
        <v/>
      </c>
      <c r="AF17" s="1359">
        <f>+AF11-AF16</f>
        <v/>
      </c>
      <c r="AG17" s="1359">
        <f>+AG11-AG16</f>
        <v/>
      </c>
      <c r="AH17" s="1359">
        <f>+AH11-AH16</f>
        <v/>
      </c>
      <c r="AI17" s="1359">
        <f>+AI11-AI16</f>
        <v/>
      </c>
      <c r="AJ17" s="1359">
        <f>+AJ11-AJ16</f>
        <v/>
      </c>
      <c r="AK17" s="1359">
        <f>+AK11-AK16</f>
        <v/>
      </c>
      <c r="AL17" s="1359">
        <f>+AL11-AL16</f>
        <v/>
      </c>
      <c r="AM17" s="1359">
        <f>+AM11-AM16</f>
        <v/>
      </c>
      <c r="AN17" s="1359">
        <f>+AN11-AN16</f>
        <v/>
      </c>
      <c r="AO17" s="1359">
        <f>+AO11-AO16</f>
        <v/>
      </c>
      <c r="AP17" s="1359">
        <f>+AP11-AP16</f>
        <v/>
      </c>
      <c r="AQ17" s="1359">
        <f>+AQ11-AQ16</f>
        <v/>
      </c>
      <c r="AR17" s="1359">
        <f>+AR11-AR16</f>
        <v/>
      </c>
      <c r="AS17" s="1359">
        <f>+AS11-AS16</f>
        <v/>
      </c>
      <c r="AT17" s="1359">
        <f>+AT11-AT16</f>
        <v/>
      </c>
      <c r="AU17" s="1359">
        <f>+AU11-AU16</f>
        <v/>
      </c>
      <c r="AV17" s="1359">
        <f>+AV11-AV16</f>
        <v/>
      </c>
      <c r="AW17" s="1359">
        <f>+AW11-AW16</f>
        <v/>
      </c>
      <c r="AX17" s="1359">
        <f>+AX11-AX16</f>
        <v/>
      </c>
      <c r="AY17" s="1359">
        <f>+AY11-AY16</f>
        <v/>
      </c>
      <c r="AZ17" s="1359">
        <f>+AZ11-AZ16</f>
        <v/>
      </c>
      <c r="BA17" s="1359">
        <f>+BA11-BA16</f>
        <v/>
      </c>
      <c r="BB17" s="1359">
        <f>+BB11-BB16</f>
        <v/>
      </c>
      <c r="BC17" s="1359">
        <f>+BC11-BC16</f>
        <v/>
      </c>
      <c r="BD17" s="1359">
        <f>+BD11-BD16</f>
        <v/>
      </c>
      <c r="BE17" s="1359">
        <f>+BE11-BE16</f>
        <v/>
      </c>
      <c r="BF17" s="1359">
        <f>+BF11-BF16</f>
        <v/>
      </c>
      <c r="BG17" s="1359">
        <f>+BG11-BG16</f>
        <v/>
      </c>
      <c r="BH17" s="1359">
        <f>+BH11-BH16</f>
        <v/>
      </c>
      <c r="BI17" s="1359">
        <f>+BI11-BI16</f>
        <v/>
      </c>
      <c r="BJ17" s="1359">
        <f>+BJ11-BJ16</f>
        <v/>
      </c>
      <c r="BK17" s="1359">
        <f>+BK11-BK16</f>
        <v/>
      </c>
      <c r="BL17" s="1359">
        <f>+BL11-BL16</f>
        <v/>
      </c>
      <c r="BM17" s="1359">
        <f>+BM11-BM16</f>
        <v/>
      </c>
      <c r="BN17" s="1359">
        <f>+BN11-BN16</f>
        <v/>
      </c>
      <c r="BO17" s="1359">
        <f>+BO11-BO16</f>
        <v/>
      </c>
      <c r="BP17" s="1359">
        <f>+BP11-BP16</f>
        <v/>
      </c>
      <c r="BQ17" s="1359">
        <f>+BQ11-BQ16</f>
        <v/>
      </c>
      <c r="BR17" s="1359">
        <f>+BR11-BR16</f>
        <v/>
      </c>
      <c r="BS17" s="1359">
        <f>+BS11-BS16</f>
        <v/>
      </c>
      <c r="BT17" s="1359">
        <f>+BT11-BT16</f>
        <v/>
      </c>
      <c r="BU17" s="1359">
        <f>+BU11-BU16</f>
        <v/>
      </c>
      <c r="BV17" s="1359">
        <f>+BV11-BV16</f>
        <v/>
      </c>
      <c r="BW17" s="1359">
        <f>+BW11-BW16</f>
        <v/>
      </c>
      <c r="BX17" s="1359">
        <f>+BX11-BX16</f>
        <v/>
      </c>
      <c r="BY17" s="19" t="n"/>
      <c r="BZ17" s="309" t="inlineStr">
        <is>
          <t>GROSS PROFIT</t>
        </is>
      </c>
      <c r="CA17" s="303" t="n"/>
      <c r="CB17" s="304" t="n"/>
      <c r="CC17" s="304" t="n"/>
      <c r="CD17" s="2156">
        <f>SUM(E17:P17)</f>
        <v/>
      </c>
      <c r="CE17" s="2157">
        <f>SUM(Q17:AB17)</f>
        <v/>
      </c>
      <c r="CF17" s="2157">
        <f>SUM(AC17:AN17)</f>
        <v/>
      </c>
      <c r="CG17" s="2017">
        <f>SUM(AO17:AZ17)</f>
        <v/>
      </c>
      <c r="CH17" s="2017">
        <f>SUM(BA17:BL17)</f>
        <v/>
      </c>
      <c r="CI17" s="2017">
        <f>SUM(BM17:BX17)</f>
        <v/>
      </c>
    </row>
    <row r="18" ht="12.75" customHeight="1" s="1883">
      <c r="A18" s="19" t="n"/>
      <c r="B18" s="308" t="n"/>
      <c r="C18" s="311" t="inlineStr">
        <is>
          <t>Gross margin (%)</t>
        </is>
      </c>
      <c r="D18" s="312" t="n"/>
      <c r="E18" s="20">
        <f>IF(E11=0,"-",E17/E11)</f>
        <v/>
      </c>
      <c r="F18" s="20">
        <f>IF(F11=0,"-",F17/F11)</f>
        <v/>
      </c>
      <c r="G18" s="20">
        <f>IF(G11=0,"-",G17/G11)</f>
        <v/>
      </c>
      <c r="H18" s="20">
        <f>IF(H11=0,"-",H17/H11)</f>
        <v/>
      </c>
      <c r="I18" s="20">
        <f>IF(I11=0,"-",I17/I11)</f>
        <v/>
      </c>
      <c r="J18" s="20">
        <f>IF(J11=0,"-",J17/J11)</f>
        <v/>
      </c>
      <c r="K18" s="20">
        <f>IF(K11=0,"-",K17/K11)</f>
        <v/>
      </c>
      <c r="L18" s="20">
        <f>IF(L11=0,"-",L17/L11)</f>
        <v/>
      </c>
      <c r="M18" s="20">
        <f>IF(M11=0,"-",M17/M11)</f>
        <v/>
      </c>
      <c r="N18" s="20">
        <f>IF(N11=0,"-",N17/N11)</f>
        <v/>
      </c>
      <c r="O18" s="20">
        <f>IF(O11=0,"-",O17/O11)</f>
        <v/>
      </c>
      <c r="P18" s="20">
        <f>IF(P11=0,"-",P17/P11)</f>
        <v/>
      </c>
      <c r="Q18" s="313">
        <f>IF(Q11=0,"-",Q17/Q11)</f>
        <v/>
      </c>
      <c r="R18" s="313">
        <f>IF(R11=0,"-",R17/R11)</f>
        <v/>
      </c>
      <c r="S18" s="313">
        <f>IF(S11=0,"-",S17/S11)</f>
        <v/>
      </c>
      <c r="T18" s="313">
        <f>IF(T11=0,"-",T17/T11)</f>
        <v/>
      </c>
      <c r="U18" s="313">
        <f>IF(U11=0,"-",U17/U11)</f>
        <v/>
      </c>
      <c r="V18" s="313">
        <f>IF(V11=0,"-",V17/V11)</f>
        <v/>
      </c>
      <c r="W18" s="313">
        <f>IF(W11=0,"-",W17/W11)</f>
        <v/>
      </c>
      <c r="X18" s="313">
        <f>IF(X11=0,"-",X17/X11)</f>
        <v/>
      </c>
      <c r="Y18" s="313">
        <f>IF(Y11=0,"-",Y17/Y11)</f>
        <v/>
      </c>
      <c r="Z18" s="313">
        <f>IF(Z11=0,"-",Z17/Z11)</f>
        <v/>
      </c>
      <c r="AA18" s="313">
        <f>IF(AA11=0,"-",AA17/AA11)</f>
        <v/>
      </c>
      <c r="AB18" s="313">
        <f>IF(AB11=0,"-",AB17/AB11)</f>
        <v/>
      </c>
      <c r="AC18" s="313">
        <f>IF(AC11=0,"-",AC17/AC11)</f>
        <v/>
      </c>
      <c r="AD18" s="313">
        <f>IF(AD11=0,"-",AD17/AD11)</f>
        <v/>
      </c>
      <c r="AE18" s="313">
        <f>IF(AE11=0,"-",AE17/AE11)</f>
        <v/>
      </c>
      <c r="AF18" s="313">
        <f>IF(AF11=0,"-",AF17/AF11)</f>
        <v/>
      </c>
      <c r="AG18" s="313">
        <f>IF(AG11=0,"-",AG17/AG11)</f>
        <v/>
      </c>
      <c r="AH18" s="313">
        <f>IF(AH11=0,"-",AH17/AH11)</f>
        <v/>
      </c>
      <c r="AI18" s="313">
        <f>IF(AI11=0,"-",AI17/AI11)</f>
        <v/>
      </c>
      <c r="AJ18" s="313">
        <f>IF(AJ11=0,"-",AJ17/AJ11)</f>
        <v/>
      </c>
      <c r="AK18" s="313">
        <f>IF(AK11=0,"-",AK17/AK11)</f>
        <v/>
      </c>
      <c r="AL18" s="313">
        <f>IF(AL11=0,"-",AL17/AL11)</f>
        <v/>
      </c>
      <c r="AM18" s="313">
        <f>IF(AM11=0,"-",AM17/AM11)</f>
        <v/>
      </c>
      <c r="AN18" s="313">
        <f>IF(AN11=0,"-",AN17/AN11)</f>
        <v/>
      </c>
      <c r="AO18" s="313">
        <f>IF(AO11=0,"-",AO17/AO11)</f>
        <v/>
      </c>
      <c r="AP18" s="313">
        <f>IF(AP11=0,"-",AP17/AP11)</f>
        <v/>
      </c>
      <c r="AQ18" s="313">
        <f>IF(AQ11=0,"-",AQ17/AQ11)</f>
        <v/>
      </c>
      <c r="AR18" s="313">
        <f>IF(AR11=0,"-",AR17/AR11)</f>
        <v/>
      </c>
      <c r="AS18" s="313">
        <f>IF(AS11=0,"-",AS17/AS11)</f>
        <v/>
      </c>
      <c r="AT18" s="313">
        <f>IF(AT11=0,"-",AT17/AT11)</f>
        <v/>
      </c>
      <c r="AU18" s="313">
        <f>IF(AU11=0,"-",AU17/AU11)</f>
        <v/>
      </c>
      <c r="AV18" s="313">
        <f>IF(AV11=0,"-",AV17/AV11)</f>
        <v/>
      </c>
      <c r="AW18" s="313">
        <f>IF(AW11=0,"-",AW17/AW11)</f>
        <v/>
      </c>
      <c r="AX18" s="313">
        <f>IF(AX11=0,"-",AX17/AX11)</f>
        <v/>
      </c>
      <c r="AY18" s="313">
        <f>IF(AY11=0,"-",AY17/AY11)</f>
        <v/>
      </c>
      <c r="AZ18" s="313">
        <f>IF(AZ11=0,"-",AZ17/AZ11)</f>
        <v/>
      </c>
      <c r="BA18" s="313">
        <f>IF(BA11=0,"-",BA17/BA11)</f>
        <v/>
      </c>
      <c r="BB18" s="313">
        <f>IF(BB11=0,"-",BB17/BB11)</f>
        <v/>
      </c>
      <c r="BC18" s="313">
        <f>IF(BC11=0,"-",BC17/BC11)</f>
        <v/>
      </c>
      <c r="BD18" s="313">
        <f>IF(BD11=0,"-",BD17/BD11)</f>
        <v/>
      </c>
      <c r="BE18" s="313">
        <f>IF(BE11=0,"-",BE17/BE11)</f>
        <v/>
      </c>
      <c r="BF18" s="313">
        <f>IF(BF11=0,"-",BF17/BF11)</f>
        <v/>
      </c>
      <c r="BG18" s="313">
        <f>IF(BG11=0,"-",BG17/BG11)</f>
        <v/>
      </c>
      <c r="BH18" s="313">
        <f>IF(BH11=0,"-",BH17/BH11)</f>
        <v/>
      </c>
      <c r="BI18" s="313">
        <f>IF(BI11=0,"-",BI17/BI11)</f>
        <v/>
      </c>
      <c r="BJ18" s="313">
        <f>IF(BJ11=0,"-",BJ17/BJ11)</f>
        <v/>
      </c>
      <c r="BK18" s="313">
        <f>IF(BK11=0,"-",BK17/BK11)</f>
        <v/>
      </c>
      <c r="BL18" s="313">
        <f>IF(BL11=0,"-",BL17/BL11)</f>
        <v/>
      </c>
      <c r="BM18" s="313">
        <f>IF(BM11=0,"-",BM17/BM11)</f>
        <v/>
      </c>
      <c r="BN18" s="313">
        <f>IF(BN11=0,"-",BN17/BN11)</f>
        <v/>
      </c>
      <c r="BO18" s="313">
        <f>IF(BO11=0,"-",BO17/BO11)</f>
        <v/>
      </c>
      <c r="BP18" s="313">
        <f>IF(BP11=0,"-",BP17/BP11)</f>
        <v/>
      </c>
      <c r="BQ18" s="313">
        <f>IF(BQ11=0,"-",BQ17/BQ11)</f>
        <v/>
      </c>
      <c r="BR18" s="313">
        <f>IF(BR11=0,"-",BR17/BR11)</f>
        <v/>
      </c>
      <c r="BS18" s="313">
        <f>IF(BS11=0,"-",BS17/BS11)</f>
        <v/>
      </c>
      <c r="BT18" s="313">
        <f>IF(BT11=0,"-",BT17/BT11)</f>
        <v/>
      </c>
      <c r="BU18" s="313">
        <f>IF(BU11=0,"-",BU17/BU11)</f>
        <v/>
      </c>
      <c r="BV18" s="313">
        <f>IF(BV11=0,"-",BV17/BV11)</f>
        <v/>
      </c>
      <c r="BW18" s="313">
        <f>IF(BW11=0,"-",BW17/BW11)</f>
        <v/>
      </c>
      <c r="BX18" s="313">
        <f>IF(BX11=0,"-",BX17/BX11)</f>
        <v/>
      </c>
      <c r="BY18" s="19" t="n"/>
      <c r="BZ18" s="309" t="n"/>
      <c r="CA18" s="314" t="inlineStr">
        <is>
          <t>Gross margin (%)</t>
        </is>
      </c>
      <c r="CB18" s="304" t="n"/>
      <c r="CC18" s="304" t="n"/>
      <c r="CD18" s="1364" t="n">
        <v>0</v>
      </c>
      <c r="CE18" s="315">
        <f>_xlfn.SINGLE((CE17 / CE11))</f>
        <v/>
      </c>
      <c r="CF18" s="315">
        <f>_xlfn.SINGLE((CF17 / CF11))</f>
        <v/>
      </c>
      <c r="CG18" s="315">
        <f>_xlfn.SINGLE((CG17 / CG11))</f>
        <v/>
      </c>
      <c r="CH18" s="315">
        <f>_xlfn.SINGLE((CH17 / CH11))</f>
        <v/>
      </c>
      <c r="CI18" s="315">
        <f>_xlfn.SINGLE((CI17 / CI11))</f>
        <v/>
      </c>
    </row>
    <row r="19" ht="5.25" customHeight="1" s="1883">
      <c r="A19" s="19" t="n"/>
      <c r="B19" s="308" t="n"/>
      <c r="C19" s="316" t="n"/>
      <c r="D19" s="25" t="n"/>
      <c r="E19" s="20" t="n"/>
      <c r="F19" s="20" t="n"/>
      <c r="G19" s="20" t="n"/>
      <c r="H19" s="20" t="n"/>
      <c r="I19" s="20" t="n"/>
      <c r="J19" s="20" t="n"/>
      <c r="K19" s="20" t="n"/>
      <c r="L19" s="20" t="n"/>
      <c r="M19" s="20" t="n"/>
      <c r="N19" s="20" t="n"/>
      <c r="O19" s="20" t="n"/>
      <c r="P19" s="20" t="n"/>
      <c r="Q19" s="317" t="n"/>
      <c r="R19" s="317" t="n"/>
      <c r="S19" s="317" t="n"/>
      <c r="T19" s="317" t="n"/>
      <c r="U19" s="317" t="n"/>
      <c r="V19" s="317" t="n"/>
      <c r="W19" s="317" t="n"/>
      <c r="X19" s="317" t="n"/>
      <c r="Y19" s="317" t="n"/>
      <c r="Z19" s="317" t="n"/>
      <c r="AA19" s="317" t="n"/>
      <c r="AB19" s="317" t="n"/>
      <c r="AC19" s="317" t="n"/>
      <c r="AD19" s="317" t="n"/>
      <c r="AE19" s="317" t="n"/>
      <c r="AF19" s="317" t="n"/>
      <c r="AG19" s="317" t="n"/>
      <c r="AH19" s="317" t="n"/>
      <c r="AI19" s="317" t="n"/>
      <c r="AJ19" s="317" t="n"/>
      <c r="AK19" s="317" t="n"/>
      <c r="AL19" s="317" t="n"/>
      <c r="AM19" s="317" t="n"/>
      <c r="AN19" s="317" t="n"/>
      <c r="AO19" s="317" t="n"/>
      <c r="AP19" s="317" t="n"/>
      <c r="AQ19" s="317" t="n"/>
      <c r="AR19" s="317" t="n"/>
      <c r="AS19" s="317" t="n"/>
      <c r="AT19" s="317" t="n"/>
      <c r="AU19" s="317" t="n"/>
      <c r="AV19" s="317" t="n"/>
      <c r="AW19" s="317" t="n"/>
      <c r="AX19" s="317" t="n"/>
      <c r="AY19" s="317" t="n"/>
      <c r="AZ19" s="317" t="n"/>
      <c r="BA19" s="317" t="n"/>
      <c r="BB19" s="317" t="n"/>
      <c r="BC19" s="317" t="n"/>
      <c r="BD19" s="317" t="n"/>
      <c r="BE19" s="317" t="n"/>
      <c r="BF19" s="317" t="n"/>
      <c r="BG19" s="317" t="n"/>
      <c r="BH19" s="317" t="n"/>
      <c r="BI19" s="317" t="n"/>
      <c r="BJ19" s="317" t="n"/>
      <c r="BK19" s="317" t="n"/>
      <c r="BL19" s="317" t="n"/>
      <c r="BM19" s="317" t="n"/>
      <c r="BN19" s="317" t="n"/>
      <c r="BO19" s="317" t="n"/>
      <c r="BP19" s="317" t="n"/>
      <c r="BQ19" s="317" t="n"/>
      <c r="BR19" s="317" t="n"/>
      <c r="BS19" s="317" t="n"/>
      <c r="BT19" s="317" t="n"/>
      <c r="BU19" s="317" t="n"/>
      <c r="BV19" s="317" t="n"/>
      <c r="BW19" s="317" t="n"/>
      <c r="BX19" s="317" t="n"/>
      <c r="BY19" s="19" t="n"/>
      <c r="BZ19" s="309" t="n"/>
      <c r="CA19" s="318" t="n"/>
      <c r="CB19" s="304" t="n"/>
      <c r="CC19" s="304" t="n"/>
      <c r="CD19" s="2016" t="n"/>
      <c r="CE19" s="2017" t="n"/>
      <c r="CF19" s="2017" t="n"/>
      <c r="CG19" s="2014" t="n"/>
      <c r="CH19" s="2014" t="n"/>
      <c r="CI19" s="2017" t="n"/>
    </row>
    <row r="20" ht="12.75" customHeight="1" s="1883">
      <c r="A20" s="19" t="n"/>
      <c r="B20" s="25" t="inlineStr">
        <is>
          <t>Operating Expenses</t>
        </is>
      </c>
      <c r="C20" s="7" t="n"/>
      <c r="D20" s="7" t="n"/>
      <c r="E20" s="20" t="n"/>
      <c r="F20" s="20" t="n"/>
      <c r="G20" s="20" t="n"/>
      <c r="H20" s="20" t="n"/>
      <c r="I20" s="20" t="n"/>
      <c r="J20" s="20" t="n"/>
      <c r="K20" s="20" t="n"/>
      <c r="L20" s="20" t="n"/>
      <c r="M20" s="20" t="n"/>
      <c r="N20" s="20" t="n"/>
      <c r="O20" s="20" t="n"/>
      <c r="P20" s="20" t="n"/>
      <c r="Q20" s="33" t="n"/>
      <c r="R20" s="33" t="n"/>
      <c r="S20" s="33" t="n"/>
      <c r="T20" s="33" t="n"/>
      <c r="U20" s="33" t="n"/>
      <c r="V20" s="33" t="n"/>
      <c r="W20" s="33" t="n"/>
      <c r="X20" s="33" t="n"/>
      <c r="Y20" s="33" t="n"/>
      <c r="Z20" s="33" t="n"/>
      <c r="AA20" s="33" t="n"/>
      <c r="AB20" s="33" t="n"/>
      <c r="AC20" s="33" t="n"/>
      <c r="AD20" s="33" t="n"/>
      <c r="AE20" s="33" t="n"/>
      <c r="AF20" s="33" t="n"/>
      <c r="AG20" s="33" t="n"/>
      <c r="AH20" s="33" t="n"/>
      <c r="AI20" s="33" t="n"/>
      <c r="AJ20" s="33" t="n"/>
      <c r="AK20" s="33" t="n"/>
      <c r="AL20" s="33" t="n"/>
      <c r="AM20" s="33" t="n"/>
      <c r="AN20" s="33" t="n"/>
      <c r="AO20" s="33" t="n"/>
      <c r="AP20" s="33" t="n"/>
      <c r="AQ20" s="33" t="n"/>
      <c r="AR20" s="33" t="n"/>
      <c r="AS20" s="33" t="n"/>
      <c r="AT20" s="33" t="n"/>
      <c r="AU20" s="33" t="n"/>
      <c r="AV20" s="33" t="n"/>
      <c r="AW20" s="33" t="n"/>
      <c r="AX20" s="33" t="n"/>
      <c r="AY20" s="33" t="n"/>
      <c r="AZ20" s="33" t="n"/>
      <c r="BA20" s="33" t="n"/>
      <c r="BB20" s="33" t="n"/>
      <c r="BC20" s="33" t="n"/>
      <c r="BD20" s="33" t="n"/>
      <c r="BE20" s="33" t="n"/>
      <c r="BF20" s="33" t="n"/>
      <c r="BG20" s="33" t="n"/>
      <c r="BH20" s="33" t="n"/>
      <c r="BI20" s="33" t="n"/>
      <c r="BJ20" s="33" t="n"/>
      <c r="BK20" s="33" t="n"/>
      <c r="BL20" s="33" t="n"/>
      <c r="BM20" s="33" t="n"/>
      <c r="BN20" s="33" t="n"/>
      <c r="BO20" s="33" t="n"/>
      <c r="BP20" s="33" t="n"/>
      <c r="BQ20" s="33" t="n"/>
      <c r="BR20" s="33" t="n"/>
      <c r="BS20" s="33" t="n"/>
      <c r="BT20" s="33" t="n"/>
      <c r="BU20" s="33" t="n"/>
      <c r="BV20" s="33" t="n"/>
      <c r="BW20" s="33" t="n"/>
      <c r="BX20" s="33" t="n"/>
      <c r="BY20" s="19" t="n"/>
      <c r="BZ20" s="295" t="inlineStr">
        <is>
          <t>Operating Expenses</t>
        </is>
      </c>
      <c r="CA20" s="297" t="n"/>
      <c r="CB20" s="304" t="n"/>
      <c r="CC20" s="304" t="n"/>
      <c r="CD20" s="2016" t="n"/>
      <c r="CE20" s="2017" t="n"/>
      <c r="CF20" s="2017" t="n"/>
      <c r="CG20" s="2017" t="n"/>
      <c r="CH20" s="2017" t="n"/>
      <c r="CI20" s="2017" t="n"/>
    </row>
    <row r="21" ht="12.75" customHeight="1" s="1883">
      <c r="A21" s="19" t="n"/>
      <c r="B21" s="25" t="n"/>
      <c r="C21" s="7" t="inlineStr">
        <is>
          <t>Sales &amp; Marketing</t>
        </is>
      </c>
      <c r="D21" s="7" t="n"/>
      <c r="E21" s="20">
        <f>+'6B. Pre-Launch Exps. - Detail'!F104</f>
        <v/>
      </c>
      <c r="F21" s="20">
        <f>+'6B. Pre-Launch Exps. - Detail'!G104</f>
        <v/>
      </c>
      <c r="G21" s="20">
        <f>+'6B. Pre-Launch Exps. - Detail'!H104</f>
        <v/>
      </c>
      <c r="H21" s="20">
        <f>+'6B. Pre-Launch Exps. - Detail'!I104</f>
        <v/>
      </c>
      <c r="I21" s="20">
        <f>+'6B. Pre-Launch Exps. - Detail'!J104</f>
        <v/>
      </c>
      <c r="J21" s="20">
        <f>+'6B. Pre-Launch Exps. - Detail'!K104</f>
        <v/>
      </c>
      <c r="K21" s="20">
        <f>+'6B. Pre-Launch Exps. - Detail'!L104</f>
        <v/>
      </c>
      <c r="L21" s="20">
        <f>+'6B. Pre-Launch Exps. - Detail'!M104</f>
        <v/>
      </c>
      <c r="M21" s="20">
        <f>+'6B. Pre-Launch Exps. - Detail'!N104</f>
        <v/>
      </c>
      <c r="N21" s="20">
        <f>+'6B. Pre-Launch Exps. - Detail'!O104</f>
        <v/>
      </c>
      <c r="O21" s="20">
        <f>+'6B. Pre-Launch Exps. - Detail'!P104</f>
        <v/>
      </c>
      <c r="P21" s="20">
        <f>+'6B. Pre-Launch Exps. - Detail'!Q104</f>
        <v/>
      </c>
      <c r="Q21" s="298">
        <f>+'4B. Tel. Expense Assumptions'!G66</f>
        <v/>
      </c>
      <c r="R21" s="298">
        <f>+'4B. Tel. Expense Assumptions'!H66</f>
        <v/>
      </c>
      <c r="S21" s="298">
        <f>+'4B. Tel. Expense Assumptions'!I66</f>
        <v/>
      </c>
      <c r="T21" s="298">
        <f>+'4B. Tel. Expense Assumptions'!J66</f>
        <v/>
      </c>
      <c r="U21" s="298">
        <f>+'4B. Tel. Expense Assumptions'!K66</f>
        <v/>
      </c>
      <c r="V21" s="298">
        <f>+'4B. Tel. Expense Assumptions'!L66</f>
        <v/>
      </c>
      <c r="W21" s="298">
        <f>+'4B. Tel. Expense Assumptions'!M66</f>
        <v/>
      </c>
      <c r="X21" s="298">
        <f>+'4B. Tel. Expense Assumptions'!N66</f>
        <v/>
      </c>
      <c r="Y21" s="298">
        <f>+'4B. Tel. Expense Assumptions'!O66</f>
        <v/>
      </c>
      <c r="Z21" s="298">
        <f>+'4B. Tel. Expense Assumptions'!P66</f>
        <v/>
      </c>
      <c r="AA21" s="298">
        <f>+'4B. Tel. Expense Assumptions'!Q66</f>
        <v/>
      </c>
      <c r="AB21" s="298">
        <f>+'4B. Tel. Expense Assumptions'!R66</f>
        <v/>
      </c>
      <c r="AC21" s="298">
        <f>+'4B. Tel. Expense Assumptions'!S66</f>
        <v/>
      </c>
      <c r="AD21" s="298">
        <f>+'4B. Tel. Expense Assumptions'!T66</f>
        <v/>
      </c>
      <c r="AE21" s="298">
        <f>+'4B. Tel. Expense Assumptions'!U66</f>
        <v/>
      </c>
      <c r="AF21" s="298">
        <f>+'4B. Tel. Expense Assumptions'!V66</f>
        <v/>
      </c>
      <c r="AG21" s="298">
        <f>+'4B. Tel. Expense Assumptions'!W66</f>
        <v/>
      </c>
      <c r="AH21" s="298">
        <f>+'4B. Tel. Expense Assumptions'!X66</f>
        <v/>
      </c>
      <c r="AI21" s="298">
        <f>+'4B. Tel. Expense Assumptions'!Y66</f>
        <v/>
      </c>
      <c r="AJ21" s="298">
        <f>+'4B. Tel. Expense Assumptions'!Z66</f>
        <v/>
      </c>
      <c r="AK21" s="298">
        <f>+'4B. Tel. Expense Assumptions'!AA66</f>
        <v/>
      </c>
      <c r="AL21" s="298">
        <f>+'4B. Tel. Expense Assumptions'!AB66</f>
        <v/>
      </c>
      <c r="AM21" s="298">
        <f>+'4B. Tel. Expense Assumptions'!AC66</f>
        <v/>
      </c>
      <c r="AN21" s="298">
        <f>+'4B. Tel. Expense Assumptions'!AD66</f>
        <v/>
      </c>
      <c r="AO21" s="298">
        <f>+'4B. Tel. Expense Assumptions'!AE66</f>
        <v/>
      </c>
      <c r="AP21" s="298">
        <f>+'4B. Tel. Expense Assumptions'!AF66</f>
        <v/>
      </c>
      <c r="AQ21" s="298">
        <f>+'4B. Tel. Expense Assumptions'!AG66</f>
        <v/>
      </c>
      <c r="AR21" s="298">
        <f>+'4B. Tel. Expense Assumptions'!AH66</f>
        <v/>
      </c>
      <c r="AS21" s="298">
        <f>+'4B. Tel. Expense Assumptions'!AI66</f>
        <v/>
      </c>
      <c r="AT21" s="298">
        <f>+'4B. Tel. Expense Assumptions'!AJ66</f>
        <v/>
      </c>
      <c r="AU21" s="298">
        <f>+'4B. Tel. Expense Assumptions'!AK66</f>
        <v/>
      </c>
      <c r="AV21" s="298">
        <f>+'4B. Tel. Expense Assumptions'!AL66</f>
        <v/>
      </c>
      <c r="AW21" s="298">
        <f>+'4B. Tel. Expense Assumptions'!AM66</f>
        <v/>
      </c>
      <c r="AX21" s="298">
        <f>+'4B. Tel. Expense Assumptions'!AN66</f>
        <v/>
      </c>
      <c r="AY21" s="298">
        <f>+'4B. Tel. Expense Assumptions'!AO66</f>
        <v/>
      </c>
      <c r="AZ21" s="298">
        <f>+'4B. Tel. Expense Assumptions'!AP66</f>
        <v/>
      </c>
      <c r="BA21" s="298">
        <f>+'4B. Tel. Expense Assumptions'!AQ66</f>
        <v/>
      </c>
      <c r="BB21" s="298">
        <f>+'4B. Tel. Expense Assumptions'!AR66</f>
        <v/>
      </c>
      <c r="BC21" s="298">
        <f>+'4B. Tel. Expense Assumptions'!AS66</f>
        <v/>
      </c>
      <c r="BD21" s="298">
        <f>+'4B. Tel. Expense Assumptions'!AT66</f>
        <v/>
      </c>
      <c r="BE21" s="298">
        <f>+'4B. Tel. Expense Assumptions'!AU66</f>
        <v/>
      </c>
      <c r="BF21" s="298">
        <f>+'4B. Tel. Expense Assumptions'!AV66</f>
        <v/>
      </c>
      <c r="BG21" s="298">
        <f>+'4B. Tel. Expense Assumptions'!AW66</f>
        <v/>
      </c>
      <c r="BH21" s="298">
        <f>+'4B. Tel. Expense Assumptions'!AX66</f>
        <v/>
      </c>
      <c r="BI21" s="298">
        <f>+'4B. Tel. Expense Assumptions'!AY66</f>
        <v/>
      </c>
      <c r="BJ21" s="298">
        <f>+'4B. Tel. Expense Assumptions'!AZ66</f>
        <v/>
      </c>
      <c r="BK21" s="298">
        <f>+'4B. Tel. Expense Assumptions'!BA66</f>
        <v/>
      </c>
      <c r="BL21" s="298">
        <f>+'4B. Tel. Expense Assumptions'!BB66</f>
        <v/>
      </c>
      <c r="BM21" s="298">
        <f>+'4B. Tel. Expense Assumptions'!BC66</f>
        <v/>
      </c>
      <c r="BN21" s="298">
        <f>+'4B. Tel. Expense Assumptions'!BD66</f>
        <v/>
      </c>
      <c r="BO21" s="298">
        <f>+'4B. Tel. Expense Assumptions'!BE66</f>
        <v/>
      </c>
      <c r="BP21" s="298">
        <f>+'4B. Tel. Expense Assumptions'!BF66</f>
        <v/>
      </c>
      <c r="BQ21" s="298">
        <f>+'4B. Tel. Expense Assumptions'!BG66</f>
        <v/>
      </c>
      <c r="BR21" s="298">
        <f>+'4B. Tel. Expense Assumptions'!BH66</f>
        <v/>
      </c>
      <c r="BS21" s="298">
        <f>+'4B. Tel. Expense Assumptions'!BI66</f>
        <v/>
      </c>
      <c r="BT21" s="298">
        <f>+'4B. Tel. Expense Assumptions'!BJ66</f>
        <v/>
      </c>
      <c r="BU21" s="298">
        <f>+'4B. Tel. Expense Assumptions'!BK66</f>
        <v/>
      </c>
      <c r="BV21" s="298">
        <f>+'4B. Tel. Expense Assumptions'!BL66</f>
        <v/>
      </c>
      <c r="BW21" s="298">
        <f>+'4B. Tel. Expense Assumptions'!BM66</f>
        <v/>
      </c>
      <c r="BX21" s="298">
        <f>+'4B. Tel. Expense Assumptions'!BN66</f>
        <v/>
      </c>
      <c r="BY21" s="19" t="n"/>
      <c r="BZ21" s="295" t="n"/>
      <c r="CA21" s="297" t="inlineStr">
        <is>
          <t>Sales &amp; Marketing</t>
        </is>
      </c>
      <c r="CB21" s="304" t="n"/>
      <c r="CC21" s="304" t="n"/>
      <c r="CD21" s="2155">
        <f>SUM(E21:P21)</f>
        <v/>
      </c>
      <c r="CE21" s="2154">
        <f>SUM(Q21:AB21)</f>
        <v/>
      </c>
      <c r="CF21" s="2154">
        <f>SUM(AC21:AN21)</f>
        <v/>
      </c>
      <c r="CG21" s="2014">
        <f>SUM(AO21:AZ21)</f>
        <v/>
      </c>
      <c r="CH21" s="2014">
        <f>SUM(BA21:BL21)</f>
        <v/>
      </c>
      <c r="CI21" s="2014">
        <f>SUM(BM21:BX21)</f>
        <v/>
      </c>
    </row>
    <row r="22" ht="12.75" customHeight="1" s="1883">
      <c r="A22" s="19" t="n"/>
      <c r="B22" s="25" t="n"/>
      <c r="C22" s="7" t="inlineStr">
        <is>
          <t>Research &amp; Development</t>
        </is>
      </c>
      <c r="D22" s="7" t="n"/>
      <c r="E22" s="20">
        <f>+'6B. Pre-Launch Exps. - Detail'!F106</f>
        <v/>
      </c>
      <c r="F22" s="20">
        <f>+'6B. Pre-Launch Exps. - Detail'!G106</f>
        <v/>
      </c>
      <c r="G22" s="20">
        <f>+'6B. Pre-Launch Exps. - Detail'!H106</f>
        <v/>
      </c>
      <c r="H22" s="20">
        <f>+'6B. Pre-Launch Exps. - Detail'!I106</f>
        <v/>
      </c>
      <c r="I22" s="20">
        <f>+'6B. Pre-Launch Exps. - Detail'!J106</f>
        <v/>
      </c>
      <c r="J22" s="20">
        <f>+'6B. Pre-Launch Exps. - Detail'!K106</f>
        <v/>
      </c>
      <c r="K22" s="20">
        <f>+'6B. Pre-Launch Exps. - Detail'!L106</f>
        <v/>
      </c>
      <c r="L22" s="20">
        <f>+'6B. Pre-Launch Exps. - Detail'!M106</f>
        <v/>
      </c>
      <c r="M22" s="20">
        <f>+'6B. Pre-Launch Exps. - Detail'!N106</f>
        <v/>
      </c>
      <c r="N22" s="20">
        <f>+'6B. Pre-Launch Exps. - Detail'!O106</f>
        <v/>
      </c>
      <c r="O22" s="20">
        <f>+'6B. Pre-Launch Exps. - Detail'!P106</f>
        <v/>
      </c>
      <c r="P22" s="20">
        <f>+'6B. Pre-Launch Exps. - Detail'!Q106</f>
        <v/>
      </c>
      <c r="Q22" s="298">
        <f>+'4B. Tel. Expense Assumptions'!G67</f>
        <v/>
      </c>
      <c r="R22" s="298">
        <f>+'4B. Tel. Expense Assumptions'!H67</f>
        <v/>
      </c>
      <c r="S22" s="298">
        <f>+'4B. Tel. Expense Assumptions'!I67</f>
        <v/>
      </c>
      <c r="T22" s="298">
        <f>+'4B. Tel. Expense Assumptions'!J67</f>
        <v/>
      </c>
      <c r="U22" s="298">
        <f>+'4B. Tel. Expense Assumptions'!K67</f>
        <v/>
      </c>
      <c r="V22" s="298">
        <f>+'4B. Tel. Expense Assumptions'!L67</f>
        <v/>
      </c>
      <c r="W22" s="298">
        <f>+'4B. Tel. Expense Assumptions'!M67</f>
        <v/>
      </c>
      <c r="X22" s="298">
        <f>+'4B. Tel. Expense Assumptions'!N67</f>
        <v/>
      </c>
      <c r="Y22" s="298">
        <f>+'4B. Tel. Expense Assumptions'!O67</f>
        <v/>
      </c>
      <c r="Z22" s="298">
        <f>+'4B. Tel. Expense Assumptions'!P67</f>
        <v/>
      </c>
      <c r="AA22" s="298">
        <f>+'4B. Tel. Expense Assumptions'!Q67</f>
        <v/>
      </c>
      <c r="AB22" s="298">
        <f>+'4B. Tel. Expense Assumptions'!R67</f>
        <v/>
      </c>
      <c r="AC22" s="298">
        <f>+'4B. Tel. Expense Assumptions'!S67</f>
        <v/>
      </c>
      <c r="AD22" s="298">
        <f>+'4B. Tel. Expense Assumptions'!T67</f>
        <v/>
      </c>
      <c r="AE22" s="298">
        <f>+'4B. Tel. Expense Assumptions'!U67</f>
        <v/>
      </c>
      <c r="AF22" s="298">
        <f>+'4B. Tel. Expense Assumptions'!V67</f>
        <v/>
      </c>
      <c r="AG22" s="298">
        <f>+'4B. Tel. Expense Assumptions'!W67</f>
        <v/>
      </c>
      <c r="AH22" s="298">
        <f>+'4B. Tel. Expense Assumptions'!X67</f>
        <v/>
      </c>
      <c r="AI22" s="298">
        <f>+'4B. Tel. Expense Assumptions'!Y67</f>
        <v/>
      </c>
      <c r="AJ22" s="298">
        <f>+'4B. Tel. Expense Assumptions'!Z67</f>
        <v/>
      </c>
      <c r="AK22" s="298">
        <f>+'4B. Tel. Expense Assumptions'!AA67</f>
        <v/>
      </c>
      <c r="AL22" s="298">
        <f>+'4B. Tel. Expense Assumptions'!AB67</f>
        <v/>
      </c>
      <c r="AM22" s="298">
        <f>+'4B. Tel. Expense Assumptions'!AC67</f>
        <v/>
      </c>
      <c r="AN22" s="298">
        <f>+'4B. Tel. Expense Assumptions'!AD67</f>
        <v/>
      </c>
      <c r="AO22" s="298">
        <f>+'4B. Tel. Expense Assumptions'!AE67</f>
        <v/>
      </c>
      <c r="AP22" s="298">
        <f>+'4B. Tel. Expense Assumptions'!AF67</f>
        <v/>
      </c>
      <c r="AQ22" s="298">
        <f>+'4B. Tel. Expense Assumptions'!AG67</f>
        <v/>
      </c>
      <c r="AR22" s="298">
        <f>+'4B. Tel. Expense Assumptions'!AH67</f>
        <v/>
      </c>
      <c r="AS22" s="298">
        <f>+'4B. Tel. Expense Assumptions'!AI67</f>
        <v/>
      </c>
      <c r="AT22" s="298">
        <f>+'4B. Tel. Expense Assumptions'!AJ67</f>
        <v/>
      </c>
      <c r="AU22" s="298">
        <f>+'4B. Tel. Expense Assumptions'!AK67</f>
        <v/>
      </c>
      <c r="AV22" s="298">
        <f>+'4B. Tel. Expense Assumptions'!AL67</f>
        <v/>
      </c>
      <c r="AW22" s="298">
        <f>+'4B. Tel. Expense Assumptions'!AM67</f>
        <v/>
      </c>
      <c r="AX22" s="298">
        <f>+'4B. Tel. Expense Assumptions'!AN67</f>
        <v/>
      </c>
      <c r="AY22" s="298">
        <f>+'4B. Tel. Expense Assumptions'!AO67</f>
        <v/>
      </c>
      <c r="AZ22" s="298">
        <f>+'4B. Tel. Expense Assumptions'!AP67</f>
        <v/>
      </c>
      <c r="BA22" s="298">
        <f>+'4B. Tel. Expense Assumptions'!AQ67</f>
        <v/>
      </c>
      <c r="BB22" s="298">
        <f>+'4B. Tel. Expense Assumptions'!AR67</f>
        <v/>
      </c>
      <c r="BC22" s="298">
        <f>+'4B. Tel. Expense Assumptions'!AS67</f>
        <v/>
      </c>
      <c r="BD22" s="298">
        <f>+'4B. Tel. Expense Assumptions'!AT67</f>
        <v/>
      </c>
      <c r="BE22" s="298">
        <f>+'4B. Tel. Expense Assumptions'!AU67</f>
        <v/>
      </c>
      <c r="BF22" s="298">
        <f>+'4B. Tel. Expense Assumptions'!AV67</f>
        <v/>
      </c>
      <c r="BG22" s="298">
        <f>+'4B. Tel. Expense Assumptions'!AW67</f>
        <v/>
      </c>
      <c r="BH22" s="298">
        <f>+'4B. Tel. Expense Assumptions'!AX67</f>
        <v/>
      </c>
      <c r="BI22" s="298">
        <f>+'4B. Tel. Expense Assumptions'!AY67</f>
        <v/>
      </c>
      <c r="BJ22" s="298">
        <f>+'4B. Tel. Expense Assumptions'!AZ67</f>
        <v/>
      </c>
      <c r="BK22" s="298">
        <f>+'4B. Tel. Expense Assumptions'!BA67</f>
        <v/>
      </c>
      <c r="BL22" s="298">
        <f>+'4B. Tel. Expense Assumptions'!BB67</f>
        <v/>
      </c>
      <c r="BM22" s="298">
        <f>+'4B. Tel. Expense Assumptions'!BC67</f>
        <v/>
      </c>
      <c r="BN22" s="298">
        <f>+'4B. Tel. Expense Assumptions'!BD67</f>
        <v/>
      </c>
      <c r="BO22" s="298">
        <f>+'4B. Tel. Expense Assumptions'!BE67</f>
        <v/>
      </c>
      <c r="BP22" s="298">
        <f>+'4B. Tel. Expense Assumptions'!BF67</f>
        <v/>
      </c>
      <c r="BQ22" s="298">
        <f>+'4B. Tel. Expense Assumptions'!BG67</f>
        <v/>
      </c>
      <c r="BR22" s="298">
        <f>+'4B. Tel. Expense Assumptions'!BH67</f>
        <v/>
      </c>
      <c r="BS22" s="298">
        <f>+'4B. Tel. Expense Assumptions'!BI67</f>
        <v/>
      </c>
      <c r="BT22" s="298">
        <f>+'4B. Tel. Expense Assumptions'!BJ67</f>
        <v/>
      </c>
      <c r="BU22" s="298">
        <f>+'4B. Tel. Expense Assumptions'!BK67</f>
        <v/>
      </c>
      <c r="BV22" s="298">
        <f>+'4B. Tel. Expense Assumptions'!BL67</f>
        <v/>
      </c>
      <c r="BW22" s="298">
        <f>+'4B. Tel. Expense Assumptions'!BM67</f>
        <v/>
      </c>
      <c r="BX22" s="298">
        <f>+'4B. Tel. Expense Assumptions'!BN67</f>
        <v/>
      </c>
      <c r="BY22" s="19" t="n"/>
      <c r="BZ22" s="295" t="n"/>
      <c r="CA22" s="297" t="inlineStr">
        <is>
          <t>Research &amp; Development</t>
        </is>
      </c>
      <c r="CB22" s="304" t="n"/>
      <c r="CC22" s="304" t="n"/>
      <c r="CD22" s="2155">
        <f>SUM(E22:P22)</f>
        <v/>
      </c>
      <c r="CE22" s="2154">
        <f>SUM(Q22:AB22)</f>
        <v/>
      </c>
      <c r="CF22" s="2154">
        <f>SUM(AC22:AN22)</f>
        <v/>
      </c>
      <c r="CG22" s="2014">
        <f>SUM(AO22:AZ22)</f>
        <v/>
      </c>
      <c r="CH22" s="2014">
        <f>SUM(BA22:BL22)</f>
        <v/>
      </c>
      <c r="CI22" s="2014">
        <f>SUM(BM22:BX22)</f>
        <v/>
      </c>
    </row>
    <row r="23" ht="12.75" customHeight="1" s="1883">
      <c r="A23" s="19" t="n"/>
      <c r="B23" s="19" t="n"/>
      <c r="C23" s="7" t="inlineStr">
        <is>
          <t>General &amp; Administrative</t>
        </is>
      </c>
      <c r="D23" s="7" t="n"/>
      <c r="E23" s="20">
        <f>+'6B. Pre-Launch Exps. - Detail'!F105</f>
        <v/>
      </c>
      <c r="F23" s="20">
        <f>+'6B. Pre-Launch Exps. - Detail'!G105</f>
        <v/>
      </c>
      <c r="G23" s="20">
        <f>+'6B. Pre-Launch Exps. - Detail'!H105</f>
        <v/>
      </c>
      <c r="H23" s="20">
        <f>+'6B. Pre-Launch Exps. - Detail'!I105</f>
        <v/>
      </c>
      <c r="I23" s="20">
        <f>+'6B. Pre-Launch Exps. - Detail'!J105</f>
        <v/>
      </c>
      <c r="J23" s="20">
        <f>+'6B. Pre-Launch Exps. - Detail'!K105</f>
        <v/>
      </c>
      <c r="K23" s="20">
        <f>+'6B. Pre-Launch Exps. - Detail'!L105</f>
        <v/>
      </c>
      <c r="L23" s="20">
        <f>+'6B. Pre-Launch Exps. - Detail'!M105</f>
        <v/>
      </c>
      <c r="M23" s="20">
        <f>+'6B. Pre-Launch Exps. - Detail'!N105</f>
        <v/>
      </c>
      <c r="N23" s="20">
        <f>+'6B. Pre-Launch Exps. - Detail'!O105</f>
        <v/>
      </c>
      <c r="O23" s="20">
        <f>+'6B. Pre-Launch Exps. - Detail'!P105</f>
        <v/>
      </c>
      <c r="P23" s="20">
        <f>+'6B. Pre-Launch Exps. - Detail'!Q105</f>
        <v/>
      </c>
      <c r="Q23" s="298">
        <f>+'4B. Tel. Expense Assumptions'!G68</f>
        <v/>
      </c>
      <c r="R23" s="298">
        <f>+'4B. Tel. Expense Assumptions'!H68</f>
        <v/>
      </c>
      <c r="S23" s="298">
        <f>+'4B. Tel. Expense Assumptions'!I68</f>
        <v/>
      </c>
      <c r="T23" s="298">
        <f>+'4B. Tel. Expense Assumptions'!J68</f>
        <v/>
      </c>
      <c r="U23" s="298">
        <f>+'4B. Tel. Expense Assumptions'!K68</f>
        <v/>
      </c>
      <c r="V23" s="298">
        <f>+'4B. Tel. Expense Assumptions'!L68</f>
        <v/>
      </c>
      <c r="W23" s="298">
        <f>+'4B. Tel. Expense Assumptions'!M68</f>
        <v/>
      </c>
      <c r="X23" s="298">
        <f>+'4B. Tel. Expense Assumptions'!N68</f>
        <v/>
      </c>
      <c r="Y23" s="298">
        <f>+'4B. Tel. Expense Assumptions'!O68</f>
        <v/>
      </c>
      <c r="Z23" s="298">
        <f>+'4B. Tel. Expense Assumptions'!P68</f>
        <v/>
      </c>
      <c r="AA23" s="298">
        <f>+'4B. Tel. Expense Assumptions'!Q68</f>
        <v/>
      </c>
      <c r="AB23" s="298">
        <f>+'4B. Tel. Expense Assumptions'!R68</f>
        <v/>
      </c>
      <c r="AC23" s="298">
        <f>+'4B. Tel. Expense Assumptions'!S68</f>
        <v/>
      </c>
      <c r="AD23" s="298">
        <f>+'4B. Tel. Expense Assumptions'!T68</f>
        <v/>
      </c>
      <c r="AE23" s="298">
        <f>+'4B. Tel. Expense Assumptions'!U68</f>
        <v/>
      </c>
      <c r="AF23" s="298">
        <f>+'4B. Tel. Expense Assumptions'!V68</f>
        <v/>
      </c>
      <c r="AG23" s="298">
        <f>+'4B. Tel. Expense Assumptions'!W68</f>
        <v/>
      </c>
      <c r="AH23" s="298">
        <f>+'4B. Tel. Expense Assumptions'!X68</f>
        <v/>
      </c>
      <c r="AI23" s="298">
        <f>+'4B. Tel. Expense Assumptions'!Y68</f>
        <v/>
      </c>
      <c r="AJ23" s="298">
        <f>+'4B. Tel. Expense Assumptions'!Z68</f>
        <v/>
      </c>
      <c r="AK23" s="298">
        <f>+'4B. Tel. Expense Assumptions'!AA68</f>
        <v/>
      </c>
      <c r="AL23" s="298">
        <f>+'4B. Tel. Expense Assumptions'!AB68</f>
        <v/>
      </c>
      <c r="AM23" s="298">
        <f>+'4B. Tel. Expense Assumptions'!AC68</f>
        <v/>
      </c>
      <c r="AN23" s="298">
        <f>+'4B. Tel. Expense Assumptions'!AD68</f>
        <v/>
      </c>
      <c r="AO23" s="298">
        <f>+'4B. Tel. Expense Assumptions'!AE68</f>
        <v/>
      </c>
      <c r="AP23" s="298">
        <f>+'4B. Tel. Expense Assumptions'!AF68</f>
        <v/>
      </c>
      <c r="AQ23" s="298">
        <f>+'4B. Tel. Expense Assumptions'!AG68</f>
        <v/>
      </c>
      <c r="AR23" s="298">
        <f>+'4B. Tel. Expense Assumptions'!AH68</f>
        <v/>
      </c>
      <c r="AS23" s="298">
        <f>+'4B. Tel. Expense Assumptions'!AI68</f>
        <v/>
      </c>
      <c r="AT23" s="298">
        <f>+'4B. Tel. Expense Assumptions'!AJ68</f>
        <v/>
      </c>
      <c r="AU23" s="298">
        <f>+'4B. Tel. Expense Assumptions'!AK68</f>
        <v/>
      </c>
      <c r="AV23" s="298">
        <f>+'4B. Tel. Expense Assumptions'!AL68</f>
        <v/>
      </c>
      <c r="AW23" s="298">
        <f>+'4B. Tel. Expense Assumptions'!AM68</f>
        <v/>
      </c>
      <c r="AX23" s="298">
        <f>+'4B. Tel. Expense Assumptions'!AN68</f>
        <v/>
      </c>
      <c r="AY23" s="298">
        <f>+'4B. Tel. Expense Assumptions'!AO68</f>
        <v/>
      </c>
      <c r="AZ23" s="298">
        <f>+'4B. Tel. Expense Assumptions'!AP68</f>
        <v/>
      </c>
      <c r="BA23" s="298">
        <f>+'4B. Tel. Expense Assumptions'!AQ68</f>
        <v/>
      </c>
      <c r="BB23" s="298">
        <f>+'4B. Tel. Expense Assumptions'!AR68</f>
        <v/>
      </c>
      <c r="BC23" s="298">
        <f>+'4B. Tel. Expense Assumptions'!AS68</f>
        <v/>
      </c>
      <c r="BD23" s="298">
        <f>+'4B. Tel. Expense Assumptions'!AT68</f>
        <v/>
      </c>
      <c r="BE23" s="298">
        <f>+'4B. Tel. Expense Assumptions'!AU68</f>
        <v/>
      </c>
      <c r="BF23" s="298">
        <f>+'4B. Tel. Expense Assumptions'!AV68</f>
        <v/>
      </c>
      <c r="BG23" s="298">
        <f>+'4B. Tel. Expense Assumptions'!AW68</f>
        <v/>
      </c>
      <c r="BH23" s="298">
        <f>+'4B. Tel. Expense Assumptions'!AX68</f>
        <v/>
      </c>
      <c r="BI23" s="298">
        <f>+'4B. Tel. Expense Assumptions'!AY68</f>
        <v/>
      </c>
      <c r="BJ23" s="298">
        <f>+'4B. Tel. Expense Assumptions'!AZ68</f>
        <v/>
      </c>
      <c r="BK23" s="298">
        <f>+'4B. Tel. Expense Assumptions'!BA68</f>
        <v/>
      </c>
      <c r="BL23" s="298">
        <f>+'4B. Tel. Expense Assumptions'!BB68</f>
        <v/>
      </c>
      <c r="BM23" s="298">
        <f>+'4B. Tel. Expense Assumptions'!BC68</f>
        <v/>
      </c>
      <c r="BN23" s="298">
        <f>+'4B. Tel. Expense Assumptions'!BD68</f>
        <v/>
      </c>
      <c r="BO23" s="298">
        <f>+'4B. Tel. Expense Assumptions'!BE68</f>
        <v/>
      </c>
      <c r="BP23" s="298">
        <f>+'4B. Tel. Expense Assumptions'!BF68</f>
        <v/>
      </c>
      <c r="BQ23" s="298">
        <f>+'4B. Tel. Expense Assumptions'!BG68</f>
        <v/>
      </c>
      <c r="BR23" s="298">
        <f>+'4B. Tel. Expense Assumptions'!BH68</f>
        <v/>
      </c>
      <c r="BS23" s="298">
        <f>+'4B. Tel. Expense Assumptions'!BI68</f>
        <v/>
      </c>
      <c r="BT23" s="298">
        <f>+'4B. Tel. Expense Assumptions'!BJ68</f>
        <v/>
      </c>
      <c r="BU23" s="298">
        <f>+'4B. Tel. Expense Assumptions'!BK68</f>
        <v/>
      </c>
      <c r="BV23" s="298">
        <f>+'4B. Tel. Expense Assumptions'!BL68</f>
        <v/>
      </c>
      <c r="BW23" s="298">
        <f>+'4B. Tel. Expense Assumptions'!BM68</f>
        <v/>
      </c>
      <c r="BX23" s="298">
        <f>+'4B. Tel. Expense Assumptions'!BN68</f>
        <v/>
      </c>
      <c r="BY23" s="19" t="n"/>
      <c r="BZ23" s="304" t="n"/>
      <c r="CA23" s="297" t="inlineStr">
        <is>
          <t>General &amp; Administrative</t>
        </is>
      </c>
      <c r="CB23" s="304" t="n"/>
      <c r="CC23" s="304" t="n"/>
      <c r="CD23" s="2155">
        <f>SUM(E23:P23)</f>
        <v/>
      </c>
      <c r="CE23" s="2154">
        <f>SUM(Q23:AB23)</f>
        <v/>
      </c>
      <c r="CF23" s="2154">
        <f>SUM(AC23:AN23)</f>
        <v/>
      </c>
      <c r="CG23" s="2014">
        <f>SUM(AO23:AZ23)</f>
        <v/>
      </c>
      <c r="CH23" s="2014">
        <f>SUM(BA23:BL23)</f>
        <v/>
      </c>
      <c r="CI23" s="2014">
        <f>SUM(BM23:BX23)</f>
        <v/>
      </c>
    </row>
    <row r="24" ht="12.75" customHeight="1" s="1883">
      <c r="A24" s="19" t="n"/>
      <c r="B24" s="19" t="n"/>
      <c r="C24" s="49" t="inlineStr">
        <is>
          <t>Salaries, Wages &amp; Benefits</t>
        </is>
      </c>
      <c r="D24" s="7" t="n"/>
      <c r="E24" s="20">
        <f>+'Headcount &amp; Salaries - 2'!L65</f>
        <v/>
      </c>
      <c r="F24" s="20">
        <f>+'Headcount &amp; Salaries - 2'!M65</f>
        <v/>
      </c>
      <c r="G24" s="20">
        <f>+'Headcount &amp; Salaries - 2'!N65</f>
        <v/>
      </c>
      <c r="H24" s="20">
        <f>+'Headcount &amp; Salaries - 2'!O65</f>
        <v/>
      </c>
      <c r="I24" s="20">
        <f>+'Headcount &amp; Salaries - 2'!P65</f>
        <v/>
      </c>
      <c r="J24" s="20">
        <f>+'Headcount &amp; Salaries - 2'!Q65</f>
        <v/>
      </c>
      <c r="K24" s="20">
        <f>+'Headcount &amp; Salaries - 2'!R65</f>
        <v/>
      </c>
      <c r="L24" s="20">
        <f>+'Headcount &amp; Salaries - 2'!S65</f>
        <v/>
      </c>
      <c r="M24" s="20">
        <f>+'Headcount &amp; Salaries - 2'!T65</f>
        <v/>
      </c>
      <c r="N24" s="20">
        <f>+'Headcount &amp; Salaries - 2'!U65</f>
        <v/>
      </c>
      <c r="O24" s="20">
        <f>+'Headcount &amp; Salaries - 2'!V65</f>
        <v/>
      </c>
      <c r="P24" s="20">
        <f>+'Headcount &amp; Salaries - 2'!W65</f>
        <v/>
      </c>
      <c r="Q24" s="298">
        <f>+'Headcount &amp; Salaries - 2'!X65</f>
        <v/>
      </c>
      <c r="R24" s="298">
        <f>+'Headcount &amp; Salaries - 2'!Y65</f>
        <v/>
      </c>
      <c r="S24" s="298">
        <f>+'Headcount &amp; Salaries - 2'!Z65</f>
        <v/>
      </c>
      <c r="T24" s="298">
        <f>+'Headcount &amp; Salaries - 2'!AA65</f>
        <v/>
      </c>
      <c r="U24" s="298">
        <f>+'Headcount &amp; Salaries - 2'!AB65</f>
        <v/>
      </c>
      <c r="V24" s="298">
        <f>+'Headcount &amp; Salaries - 2'!AC65</f>
        <v/>
      </c>
      <c r="W24" s="298">
        <f>+'Headcount &amp; Salaries - 2'!AD65</f>
        <v/>
      </c>
      <c r="X24" s="298">
        <f>+'Headcount &amp; Salaries - 2'!AE65</f>
        <v/>
      </c>
      <c r="Y24" s="298">
        <f>+'Headcount &amp; Salaries - 2'!AF65</f>
        <v/>
      </c>
      <c r="Z24" s="298">
        <f>+'Headcount &amp; Salaries - 2'!AG65</f>
        <v/>
      </c>
      <c r="AA24" s="298">
        <f>+'Headcount &amp; Salaries - 2'!AH65</f>
        <v/>
      </c>
      <c r="AB24" s="298">
        <f>+'Headcount &amp; Salaries - 2'!AI65</f>
        <v/>
      </c>
      <c r="AC24" s="298">
        <f>+'Headcount &amp; Salaries - 2'!AJ65</f>
        <v/>
      </c>
      <c r="AD24" s="298">
        <f>+'Headcount &amp; Salaries - 2'!AK65</f>
        <v/>
      </c>
      <c r="AE24" s="298">
        <f>+'Headcount &amp; Salaries - 2'!AL65</f>
        <v/>
      </c>
      <c r="AF24" s="298">
        <f>+'Headcount &amp; Salaries - 2'!AM65</f>
        <v/>
      </c>
      <c r="AG24" s="298">
        <f>+'Headcount &amp; Salaries - 2'!AN65</f>
        <v/>
      </c>
      <c r="AH24" s="298">
        <f>+'Headcount &amp; Salaries - 2'!AO65</f>
        <v/>
      </c>
      <c r="AI24" s="298">
        <f>+'Headcount &amp; Salaries - 2'!AP65</f>
        <v/>
      </c>
      <c r="AJ24" s="298">
        <f>+'Headcount &amp; Salaries - 2'!AQ65</f>
        <v/>
      </c>
      <c r="AK24" s="298">
        <f>+'Headcount &amp; Salaries - 2'!AR65</f>
        <v/>
      </c>
      <c r="AL24" s="298">
        <f>+'Headcount &amp; Salaries - 2'!AS65</f>
        <v/>
      </c>
      <c r="AM24" s="298">
        <f>+'Headcount &amp; Salaries - 2'!AT65</f>
        <v/>
      </c>
      <c r="AN24" s="298">
        <f>+'Headcount &amp; Salaries - 2'!AU65</f>
        <v/>
      </c>
      <c r="AO24" s="298">
        <f>+'Headcount &amp; Salaries - 2'!AV65</f>
        <v/>
      </c>
      <c r="AP24" s="298">
        <f>+'Headcount &amp; Salaries - 2'!AW65</f>
        <v/>
      </c>
      <c r="AQ24" s="298">
        <f>+'Headcount &amp; Salaries - 2'!AX65</f>
        <v/>
      </c>
      <c r="AR24" s="298">
        <f>+'Headcount &amp; Salaries - 2'!AY65</f>
        <v/>
      </c>
      <c r="AS24" s="298">
        <f>+'Headcount &amp; Salaries - 2'!AZ65</f>
        <v/>
      </c>
      <c r="AT24" s="298">
        <f>+'Headcount &amp; Salaries - 2'!BA65</f>
        <v/>
      </c>
      <c r="AU24" s="298">
        <f>+'Headcount &amp; Salaries - 2'!BB65</f>
        <v/>
      </c>
      <c r="AV24" s="298">
        <f>+'Headcount &amp; Salaries - 2'!BC65</f>
        <v/>
      </c>
      <c r="AW24" s="298">
        <f>+'Headcount &amp; Salaries - 2'!BD65</f>
        <v/>
      </c>
      <c r="AX24" s="298">
        <f>+'Headcount &amp; Salaries - 2'!BE65</f>
        <v/>
      </c>
      <c r="AY24" s="298">
        <f>+'Headcount &amp; Salaries - 2'!BF65</f>
        <v/>
      </c>
      <c r="AZ24" s="298">
        <f>+'Headcount &amp; Salaries - 2'!BG65</f>
        <v/>
      </c>
      <c r="BA24" s="298">
        <f>+'Headcount &amp; Salaries - 2'!BH65</f>
        <v/>
      </c>
      <c r="BB24" s="298">
        <f>+'Headcount &amp; Salaries - 2'!BI65</f>
        <v/>
      </c>
      <c r="BC24" s="298">
        <f>+'Headcount &amp; Salaries - 2'!BJ65</f>
        <v/>
      </c>
      <c r="BD24" s="298">
        <f>+'Headcount &amp; Salaries - 2'!BK65</f>
        <v/>
      </c>
      <c r="BE24" s="298">
        <f>+'Headcount &amp; Salaries - 2'!BL65</f>
        <v/>
      </c>
      <c r="BF24" s="298">
        <f>+'Headcount &amp; Salaries - 2'!BM65</f>
        <v/>
      </c>
      <c r="BG24" s="298">
        <f>+'Headcount &amp; Salaries - 2'!BN65</f>
        <v/>
      </c>
      <c r="BH24" s="298">
        <f>+'Headcount &amp; Salaries - 2'!BO65</f>
        <v/>
      </c>
      <c r="BI24" s="298">
        <f>+'Headcount &amp; Salaries - 2'!BP65</f>
        <v/>
      </c>
      <c r="BJ24" s="298">
        <f>+'Headcount &amp; Salaries - 2'!BQ65</f>
        <v/>
      </c>
      <c r="BK24" s="298">
        <f>+'Headcount &amp; Salaries - 2'!BR65</f>
        <v/>
      </c>
      <c r="BL24" s="298">
        <f>+'Headcount &amp; Salaries - 2'!BS65</f>
        <v/>
      </c>
      <c r="BM24" s="298">
        <f>+'Headcount &amp; Salaries - 2'!BT65</f>
        <v/>
      </c>
      <c r="BN24" s="298">
        <f>+'Headcount &amp; Salaries - 2'!BU65</f>
        <v/>
      </c>
      <c r="BO24" s="298">
        <f>+'Headcount &amp; Salaries - 2'!BV65</f>
        <v/>
      </c>
      <c r="BP24" s="298">
        <f>+'Headcount &amp; Salaries - 2'!BW65</f>
        <v/>
      </c>
      <c r="BQ24" s="298">
        <f>+'Headcount &amp; Salaries - 2'!BX65</f>
        <v/>
      </c>
      <c r="BR24" s="298">
        <f>+'Headcount &amp; Salaries - 2'!BY65</f>
        <v/>
      </c>
      <c r="BS24" s="298">
        <f>+'Headcount &amp; Salaries - 2'!BZ65</f>
        <v/>
      </c>
      <c r="BT24" s="298">
        <f>+'Headcount &amp; Salaries - 2'!CA65</f>
        <v/>
      </c>
      <c r="BU24" s="298">
        <f>+'Headcount &amp; Salaries - 2'!CB65</f>
        <v/>
      </c>
      <c r="BV24" s="298">
        <f>+'Headcount &amp; Salaries - 2'!CC65</f>
        <v/>
      </c>
      <c r="BW24" s="298">
        <f>+'Headcount &amp; Salaries - 2'!CD65</f>
        <v/>
      </c>
      <c r="BX24" s="298">
        <f>+'Headcount &amp; Salaries - 2'!CE65</f>
        <v/>
      </c>
      <c r="BY24" s="19" t="n"/>
      <c r="BZ24" s="304" t="n"/>
      <c r="CA24" s="299" t="inlineStr">
        <is>
          <t>Salaries, Wages &amp; Benefits</t>
        </is>
      </c>
      <c r="CB24" s="304" t="n"/>
      <c r="CC24" s="304" t="n"/>
      <c r="CD24" s="2155">
        <f>SUM(E24:P24)</f>
        <v/>
      </c>
      <c r="CE24" s="2154">
        <f>SUM(Q24:AB24)</f>
        <v/>
      </c>
      <c r="CF24" s="2154">
        <f>SUM(AC24:AN24)</f>
        <v/>
      </c>
      <c r="CG24" s="2014">
        <f>SUM(AO24:AZ24)</f>
        <v/>
      </c>
      <c r="CH24" s="2014">
        <f>SUM(BA24:BL24)</f>
        <v/>
      </c>
      <c r="CI24" s="2014">
        <f>SUM(BM24:BX24)</f>
        <v/>
      </c>
    </row>
    <row r="25" ht="12.75" customHeight="1" s="1883">
      <c r="A25" s="12" t="n"/>
      <c r="B25" s="16" t="inlineStr">
        <is>
          <t>Total Operating Expenses</t>
        </is>
      </c>
      <c r="C25" s="13" t="n"/>
      <c r="D25" s="25" t="n"/>
      <c r="E25" s="1359">
        <f>SUM(E21:E24)</f>
        <v/>
      </c>
      <c r="F25" s="1359">
        <f>SUM(F21:F24)</f>
        <v/>
      </c>
      <c r="G25" s="1359">
        <f>SUM(G21:G24)</f>
        <v/>
      </c>
      <c r="H25" s="1359">
        <f>SUM(H21:H24)</f>
        <v/>
      </c>
      <c r="I25" s="1359">
        <f>SUM(I21:I24)</f>
        <v/>
      </c>
      <c r="J25" s="1359">
        <f>SUM(J21:J24)</f>
        <v/>
      </c>
      <c r="K25" s="1359">
        <f>SUM(K21:K24)</f>
        <v/>
      </c>
      <c r="L25" s="1359">
        <f>SUM(L21:L24)</f>
        <v/>
      </c>
      <c r="M25" s="1359">
        <f>SUM(M21:M24)</f>
        <v/>
      </c>
      <c r="N25" s="1359">
        <f>SUM(N21:N24)</f>
        <v/>
      </c>
      <c r="O25" s="1359">
        <f>SUM(O21:O24)</f>
        <v/>
      </c>
      <c r="P25" s="1359">
        <f>SUM(P21:P24)</f>
        <v/>
      </c>
      <c r="Q25" s="1359">
        <f>SUM(Q21:Q24)</f>
        <v/>
      </c>
      <c r="R25" s="1359">
        <f>SUM(R21:R24)</f>
        <v/>
      </c>
      <c r="S25" s="1359">
        <f>SUM(S21:S24)</f>
        <v/>
      </c>
      <c r="T25" s="1359">
        <f>SUM(T21:T24)</f>
        <v/>
      </c>
      <c r="U25" s="1359">
        <f>SUM(U21:U24)</f>
        <v/>
      </c>
      <c r="V25" s="1359">
        <f>SUM(V21:V24)</f>
        <v/>
      </c>
      <c r="W25" s="1359">
        <f>SUM(W21:W24)</f>
        <v/>
      </c>
      <c r="X25" s="1359">
        <f>SUM(X21:X24)</f>
        <v/>
      </c>
      <c r="Y25" s="1359">
        <f>SUM(Y21:Y24)</f>
        <v/>
      </c>
      <c r="Z25" s="1359">
        <f>SUM(Z21:Z24)</f>
        <v/>
      </c>
      <c r="AA25" s="1359">
        <f>SUM(AA21:AA24)</f>
        <v/>
      </c>
      <c r="AB25" s="1359">
        <f>SUM(AB21:AB24)</f>
        <v/>
      </c>
      <c r="AC25" s="1359">
        <f>SUM(AC21:AC24)</f>
        <v/>
      </c>
      <c r="AD25" s="1359">
        <f>SUM(AD21:AD24)</f>
        <v/>
      </c>
      <c r="AE25" s="1359">
        <f>SUM(AE21:AE24)</f>
        <v/>
      </c>
      <c r="AF25" s="1359">
        <f>SUM(AF21:AF24)</f>
        <v/>
      </c>
      <c r="AG25" s="1359">
        <f>SUM(AG21:AG24)</f>
        <v/>
      </c>
      <c r="AH25" s="1359">
        <f>SUM(AH21:AH24)</f>
        <v/>
      </c>
      <c r="AI25" s="1359">
        <f>SUM(AI21:AI24)</f>
        <v/>
      </c>
      <c r="AJ25" s="1359">
        <f>SUM(AJ21:AJ24)</f>
        <v/>
      </c>
      <c r="AK25" s="1359">
        <f>SUM(AK21:AK24)</f>
        <v/>
      </c>
      <c r="AL25" s="1359">
        <f>SUM(AL21:AL24)</f>
        <v/>
      </c>
      <c r="AM25" s="1359">
        <f>SUM(AM21:AM24)</f>
        <v/>
      </c>
      <c r="AN25" s="1359">
        <f>SUM(AN21:AN24)</f>
        <v/>
      </c>
      <c r="AO25" s="1359">
        <f>SUM(AO21:AO24)</f>
        <v/>
      </c>
      <c r="AP25" s="1359">
        <f>SUM(AP21:AP24)</f>
        <v/>
      </c>
      <c r="AQ25" s="1359">
        <f>SUM(AQ21:AQ24)</f>
        <v/>
      </c>
      <c r="AR25" s="1359">
        <f>SUM(AR21:AR24)</f>
        <v/>
      </c>
      <c r="AS25" s="1359">
        <f>SUM(AS21:AS24)</f>
        <v/>
      </c>
      <c r="AT25" s="1359">
        <f>SUM(AT21:AT24)</f>
        <v/>
      </c>
      <c r="AU25" s="1359">
        <f>SUM(AU21:AU24)</f>
        <v/>
      </c>
      <c r="AV25" s="1359">
        <f>SUM(AV21:AV24)</f>
        <v/>
      </c>
      <c r="AW25" s="1359">
        <f>SUM(AW21:AW24)</f>
        <v/>
      </c>
      <c r="AX25" s="1359">
        <f>SUM(AX21:AX24)</f>
        <v/>
      </c>
      <c r="AY25" s="1359">
        <f>SUM(AY21:AY24)</f>
        <v/>
      </c>
      <c r="AZ25" s="1359">
        <f>SUM(AZ21:AZ24)</f>
        <v/>
      </c>
      <c r="BA25" s="1359">
        <f>SUM(BA21:BA24)</f>
        <v/>
      </c>
      <c r="BB25" s="1359">
        <f>SUM(BB21:BB24)</f>
        <v/>
      </c>
      <c r="BC25" s="1359">
        <f>SUM(BC21:BC24)</f>
        <v/>
      </c>
      <c r="BD25" s="1359">
        <f>SUM(BD21:BD24)</f>
        <v/>
      </c>
      <c r="BE25" s="1359">
        <f>SUM(BE21:BE24)</f>
        <v/>
      </c>
      <c r="BF25" s="1359">
        <f>SUM(BF21:BF24)</f>
        <v/>
      </c>
      <c r="BG25" s="1359">
        <f>SUM(BG21:BG24)</f>
        <v/>
      </c>
      <c r="BH25" s="1359">
        <f>SUM(BH21:BH24)</f>
        <v/>
      </c>
      <c r="BI25" s="1359">
        <f>SUM(BI21:BI24)</f>
        <v/>
      </c>
      <c r="BJ25" s="1359">
        <f>SUM(BJ21:BJ24)</f>
        <v/>
      </c>
      <c r="BK25" s="1359">
        <f>SUM(BK21:BK24)</f>
        <v/>
      </c>
      <c r="BL25" s="1359">
        <f>SUM(BL21:BL24)</f>
        <v/>
      </c>
      <c r="BM25" s="1359">
        <f>SUM(BM21:BM24)</f>
        <v/>
      </c>
      <c r="BN25" s="1359">
        <f>SUM(BN21:BN24)</f>
        <v/>
      </c>
      <c r="BO25" s="1359">
        <f>SUM(BO21:BO24)</f>
        <v/>
      </c>
      <c r="BP25" s="1359">
        <f>SUM(BP21:BP24)</f>
        <v/>
      </c>
      <c r="BQ25" s="1359">
        <f>SUM(BQ21:BQ24)</f>
        <v/>
      </c>
      <c r="BR25" s="1359">
        <f>SUM(BR21:BR24)</f>
        <v/>
      </c>
      <c r="BS25" s="1359">
        <f>SUM(BS21:BS24)</f>
        <v/>
      </c>
      <c r="BT25" s="1359">
        <f>SUM(BT21:BT24)</f>
        <v/>
      </c>
      <c r="BU25" s="1359">
        <f>SUM(BU21:BU24)</f>
        <v/>
      </c>
      <c r="BV25" s="1359">
        <f>SUM(BV21:BV24)</f>
        <v/>
      </c>
      <c r="BW25" s="1359">
        <f>SUM(BW21:BW24)</f>
        <v/>
      </c>
      <c r="BX25" s="1359">
        <f>SUM(BX21:BX24)</f>
        <v/>
      </c>
      <c r="BY25" s="12" t="n"/>
      <c r="BZ25" s="306" t="inlineStr">
        <is>
          <t>Total Operating Expenses</t>
        </is>
      </c>
      <c r="CA25" s="319" t="n"/>
      <c r="CB25" s="307" t="n"/>
      <c r="CC25" s="307" t="n"/>
      <c r="CD25" s="2156">
        <f>SUM(E25:P25)</f>
        <v/>
      </c>
      <c r="CE25" s="2157">
        <f>SUM(Q25:AB25)</f>
        <v/>
      </c>
      <c r="CF25" s="2157">
        <f>SUM(AC25:AN25)</f>
        <v/>
      </c>
      <c r="CG25" s="2017">
        <f>SUM(AO25:AZ25)</f>
        <v/>
      </c>
      <c r="CH25" s="2017">
        <f>SUM(BA25:BL25)</f>
        <v/>
      </c>
      <c r="CI25" s="2017">
        <f>SUM(BM25:BX25)</f>
        <v/>
      </c>
    </row>
    <row r="26" ht="12.75" customHeight="1" s="1883">
      <c r="A26" s="12" t="n"/>
      <c r="B26" s="312" t="inlineStr">
        <is>
          <t>EBITDA</t>
        </is>
      </c>
      <c r="C26" s="25" t="n"/>
      <c r="D26" s="25" t="n"/>
      <c r="E26" s="1359">
        <f>+E17-E25</f>
        <v/>
      </c>
      <c r="F26" s="1359">
        <f>+F17-F25</f>
        <v/>
      </c>
      <c r="G26" s="1359">
        <f>+G17-G25</f>
        <v/>
      </c>
      <c r="H26" s="1359">
        <f>+H17-H25</f>
        <v/>
      </c>
      <c r="I26" s="1359">
        <f>+I17-I25</f>
        <v/>
      </c>
      <c r="J26" s="1359">
        <f>+J17-J25</f>
        <v/>
      </c>
      <c r="K26" s="1359">
        <f>+K17-K25</f>
        <v/>
      </c>
      <c r="L26" s="1359">
        <f>+L17-L25</f>
        <v/>
      </c>
      <c r="M26" s="1359">
        <f>+M17-M25</f>
        <v/>
      </c>
      <c r="N26" s="1359">
        <f>+N17-N25</f>
        <v/>
      </c>
      <c r="O26" s="1359">
        <f>+O17-O25</f>
        <v/>
      </c>
      <c r="P26" s="1359">
        <f>+P17-P25</f>
        <v/>
      </c>
      <c r="Q26" s="1360">
        <f>+Q17-Q25</f>
        <v/>
      </c>
      <c r="R26" s="1360">
        <f>+R17-R25</f>
        <v/>
      </c>
      <c r="S26" s="1360">
        <f>+S17-S25</f>
        <v/>
      </c>
      <c r="T26" s="1360">
        <f>+T17-T25</f>
        <v/>
      </c>
      <c r="U26" s="1360">
        <f>+U17-U25</f>
        <v/>
      </c>
      <c r="V26" s="1360">
        <f>+V17-V25</f>
        <v/>
      </c>
      <c r="W26" s="1360">
        <f>+W17-W25</f>
        <v/>
      </c>
      <c r="X26" s="1360">
        <f>+X17-X25</f>
        <v/>
      </c>
      <c r="Y26" s="1360">
        <f>+Y17-Y25</f>
        <v/>
      </c>
      <c r="Z26" s="1360">
        <f>+Z17-Z25</f>
        <v/>
      </c>
      <c r="AA26" s="1360">
        <f>+AA17-AA25</f>
        <v/>
      </c>
      <c r="AB26" s="1360">
        <f>+AB17-AB25</f>
        <v/>
      </c>
      <c r="AC26" s="1360">
        <f>+AC17-AC25</f>
        <v/>
      </c>
      <c r="AD26" s="1360">
        <f>+AD17-AD25</f>
        <v/>
      </c>
      <c r="AE26" s="1360">
        <f>+AE17-AE25</f>
        <v/>
      </c>
      <c r="AF26" s="1360">
        <f>+AF17-AF25</f>
        <v/>
      </c>
      <c r="AG26" s="1360">
        <f>+AG17-AG25</f>
        <v/>
      </c>
      <c r="AH26" s="1360">
        <f>+AH17-AH25</f>
        <v/>
      </c>
      <c r="AI26" s="1360">
        <f>+AI17-AI25</f>
        <v/>
      </c>
      <c r="AJ26" s="1360">
        <f>+AJ17-AJ25</f>
        <v/>
      </c>
      <c r="AK26" s="1360">
        <f>+AK17-AK25</f>
        <v/>
      </c>
      <c r="AL26" s="1360">
        <f>+AL17-AL25</f>
        <v/>
      </c>
      <c r="AM26" s="1360">
        <f>+AM17-AM25</f>
        <v/>
      </c>
      <c r="AN26" s="1360">
        <f>+AN17-AN25</f>
        <v/>
      </c>
      <c r="AO26" s="1360">
        <f>+AO17-AO25</f>
        <v/>
      </c>
      <c r="AP26" s="1360">
        <f>+AP17-AP25</f>
        <v/>
      </c>
      <c r="AQ26" s="1360">
        <f>+AQ17-AQ25</f>
        <v/>
      </c>
      <c r="AR26" s="1360">
        <f>+AR17-AR25</f>
        <v/>
      </c>
      <c r="AS26" s="1360">
        <f>+AS17-AS25</f>
        <v/>
      </c>
      <c r="AT26" s="1360">
        <f>+AT17-AT25</f>
        <v/>
      </c>
      <c r="AU26" s="1360">
        <f>+AU17-AU25</f>
        <v/>
      </c>
      <c r="AV26" s="1360">
        <f>+AV17-AV25</f>
        <v/>
      </c>
      <c r="AW26" s="1360">
        <f>+AW17-AW25</f>
        <v/>
      </c>
      <c r="AX26" s="1360">
        <f>+AX17-AX25</f>
        <v/>
      </c>
      <c r="AY26" s="1360">
        <f>+AY17-AY25</f>
        <v/>
      </c>
      <c r="AZ26" s="1360">
        <f>+AZ17-AZ25</f>
        <v/>
      </c>
      <c r="BA26" s="1360">
        <f>+BA17-BA25</f>
        <v/>
      </c>
      <c r="BB26" s="1360">
        <f>+BB17-BB25</f>
        <v/>
      </c>
      <c r="BC26" s="1360">
        <f>+BC17-BC25</f>
        <v/>
      </c>
      <c r="BD26" s="1360">
        <f>+BD17-BD25</f>
        <v/>
      </c>
      <c r="BE26" s="1360">
        <f>+BE17-BE25</f>
        <v/>
      </c>
      <c r="BF26" s="1360">
        <f>+BF17-BF25</f>
        <v/>
      </c>
      <c r="BG26" s="1360">
        <f>+BG17-BG25</f>
        <v/>
      </c>
      <c r="BH26" s="1360">
        <f>+BH17-BH25</f>
        <v/>
      </c>
      <c r="BI26" s="1360">
        <f>+BI17-BI25</f>
        <v/>
      </c>
      <c r="BJ26" s="1360">
        <f>+BJ17-BJ25</f>
        <v/>
      </c>
      <c r="BK26" s="1360">
        <f>+BK17-BK25</f>
        <v/>
      </c>
      <c r="BL26" s="1360">
        <f>+BL17-BL25</f>
        <v/>
      </c>
      <c r="BM26" s="1360">
        <f>+BM17-BM25</f>
        <v/>
      </c>
      <c r="BN26" s="1360">
        <f>+BN17-BN25</f>
        <v/>
      </c>
      <c r="BO26" s="1360">
        <f>+BO17-BO25</f>
        <v/>
      </c>
      <c r="BP26" s="1360">
        <f>+BP17-BP25</f>
        <v/>
      </c>
      <c r="BQ26" s="1360">
        <f>+BQ17-BQ25</f>
        <v/>
      </c>
      <c r="BR26" s="1360">
        <f>+BR17-BR25</f>
        <v/>
      </c>
      <c r="BS26" s="1360">
        <f>+BS17-BS25</f>
        <v/>
      </c>
      <c r="BT26" s="1360">
        <f>+BT17-BT25</f>
        <v/>
      </c>
      <c r="BU26" s="1360">
        <f>+BU17-BU25</f>
        <v/>
      </c>
      <c r="BV26" s="1360">
        <f>+BV17-BV25</f>
        <v/>
      </c>
      <c r="BW26" s="1360">
        <f>+BW17-BW25</f>
        <v/>
      </c>
      <c r="BX26" s="1360">
        <f>+BX17-BX25</f>
        <v/>
      </c>
      <c r="BY26" s="12" t="n"/>
      <c r="BZ26" s="320" t="inlineStr">
        <is>
          <t>EBITDA</t>
        </is>
      </c>
      <c r="CA26" s="295" t="n"/>
      <c r="CB26" s="307" t="n"/>
      <c r="CC26" s="307" t="n"/>
      <c r="CD26" s="2156">
        <f>SUM(E26:P26)</f>
        <v/>
      </c>
      <c r="CE26" s="2157">
        <f>SUM(Q26:AB26)</f>
        <v/>
      </c>
      <c r="CF26" s="2157">
        <f>SUM(AC26:AN26)</f>
        <v/>
      </c>
      <c r="CG26" s="2017">
        <f>SUM(AO26:AZ26)</f>
        <v/>
      </c>
      <c r="CH26" s="2017">
        <f>SUM(BA26:BL26)</f>
        <v/>
      </c>
      <c r="CI26" s="2017">
        <f>SUM(BM26:BX26)</f>
        <v/>
      </c>
    </row>
    <row r="27" ht="12.75" customHeight="1" s="1883">
      <c r="A27" s="12" t="n"/>
      <c r="B27" s="312" t="inlineStr">
        <is>
          <t>EBITDA %</t>
        </is>
      </c>
      <c r="C27" s="25" t="n"/>
      <c r="D27" s="25" t="n"/>
      <c r="E27" s="20">
        <f>IF(E11=0,"-",E26/E11)</f>
        <v/>
      </c>
      <c r="F27" s="20">
        <f>IF(F11=0,"-",F26/F11)</f>
        <v/>
      </c>
      <c r="G27" s="20">
        <f>IF(G11=0,"-",G26/G11)</f>
        <v/>
      </c>
      <c r="H27" s="20">
        <f>IF(H11=0,"-",H26/H11)</f>
        <v/>
      </c>
      <c r="I27" s="20">
        <f>IF(I11=0,"-",I26/I11)</f>
        <v/>
      </c>
      <c r="J27" s="20">
        <f>IF(J11=0,"-",J26/J11)</f>
        <v/>
      </c>
      <c r="K27" s="20">
        <f>IF(K11=0,"-",K26/K11)</f>
        <v/>
      </c>
      <c r="L27" s="20">
        <f>IF(L11=0,"-",L26/L11)</f>
        <v/>
      </c>
      <c r="M27" s="20">
        <f>IF(M11=0,"-",M26/M11)</f>
        <v/>
      </c>
      <c r="N27" s="20">
        <f>IF(N11=0,"-",N26/N11)</f>
        <v/>
      </c>
      <c r="O27" s="20">
        <f>IF(O11=0,"-",O26/O11)</f>
        <v/>
      </c>
      <c r="P27" s="20">
        <f>IF(P11=0,"-",P26/P11)</f>
        <v/>
      </c>
      <c r="Q27" s="313">
        <f>IF(Q11=0,"-",Q26/Q11)</f>
        <v/>
      </c>
      <c r="R27" s="313">
        <f>IF(R11=0,"-",R26/R11)</f>
        <v/>
      </c>
      <c r="S27" s="313">
        <f>IF(S11=0,"-",S26/S11)</f>
        <v/>
      </c>
      <c r="T27" s="313">
        <f>IF(T11=0,"-",T26/T11)</f>
        <v/>
      </c>
      <c r="U27" s="313">
        <f>IF(U11=0,"-",U26/U11)</f>
        <v/>
      </c>
      <c r="V27" s="313">
        <f>IF(V11=0,"-",V26/V11)</f>
        <v/>
      </c>
      <c r="W27" s="313">
        <f>IF(W11=0,"-",W26/W11)</f>
        <v/>
      </c>
      <c r="X27" s="313">
        <f>IF(X11=0,"-",X26/X11)</f>
        <v/>
      </c>
      <c r="Y27" s="313">
        <f>IF(Y11=0,"-",Y26/Y11)</f>
        <v/>
      </c>
      <c r="Z27" s="313">
        <f>IF(Z11=0,"-",Z26/Z11)</f>
        <v/>
      </c>
      <c r="AA27" s="313">
        <f>IF(AA11=0,"-",AA26/AA11)</f>
        <v/>
      </c>
      <c r="AB27" s="313">
        <f>IF(AB11=0,"-",AB26/AB11)</f>
        <v/>
      </c>
      <c r="AC27" s="313">
        <f>IF(AC11=0,"-",AC26/AC11)</f>
        <v/>
      </c>
      <c r="AD27" s="313">
        <f>IF(AD11=0,"-",AD26/AD11)</f>
        <v/>
      </c>
      <c r="AE27" s="313">
        <f>IF(AE11=0,"-",AE26/AE11)</f>
        <v/>
      </c>
      <c r="AF27" s="313">
        <f>IF(AF11=0,"-",AF26/AF11)</f>
        <v/>
      </c>
      <c r="AG27" s="313">
        <f>IF(AG11=0,"-",AG26/AG11)</f>
        <v/>
      </c>
      <c r="AH27" s="313">
        <f>IF(AH11=0,"-",AH26/AH11)</f>
        <v/>
      </c>
      <c r="AI27" s="313">
        <f>IF(AI11=0,"-",AI26/AI11)</f>
        <v/>
      </c>
      <c r="AJ27" s="313">
        <f>IF(AJ11=0,"-",AJ26/AJ11)</f>
        <v/>
      </c>
      <c r="AK27" s="313">
        <f>IF(AK11=0,"-",AK26/AK11)</f>
        <v/>
      </c>
      <c r="AL27" s="313">
        <f>IF(AL11=0,"-",AL26/AL11)</f>
        <v/>
      </c>
      <c r="AM27" s="313">
        <f>IF(AM11=0,"-",AM26/AM11)</f>
        <v/>
      </c>
      <c r="AN27" s="313">
        <f>IF(AN11=0,"-",AN26/AN11)</f>
        <v/>
      </c>
      <c r="AO27" s="313">
        <f>IF(AO11=0,"-",AO26/AO11)</f>
        <v/>
      </c>
      <c r="AP27" s="313">
        <f>IF(AP11=0,"-",AP26/AP11)</f>
        <v/>
      </c>
      <c r="AQ27" s="313">
        <f>IF(AQ11=0,"-",AQ26/AQ11)</f>
        <v/>
      </c>
      <c r="AR27" s="313">
        <f>IF(AR11=0,"-",AR26/AR11)</f>
        <v/>
      </c>
      <c r="AS27" s="313">
        <f>IF(AS11=0,"-",AS26/AS11)</f>
        <v/>
      </c>
      <c r="AT27" s="313">
        <f>IF(AT11=0,"-",AT26/AT11)</f>
        <v/>
      </c>
      <c r="AU27" s="313">
        <f>IF(AU11=0,"-",AU26/AU11)</f>
        <v/>
      </c>
      <c r="AV27" s="313">
        <f>IF(AV11=0,"-",AV26/AV11)</f>
        <v/>
      </c>
      <c r="AW27" s="313">
        <f>IF(AW11=0,"-",AW26/AW11)</f>
        <v/>
      </c>
      <c r="AX27" s="313">
        <f>IF(AX11=0,"-",AX26/AX11)</f>
        <v/>
      </c>
      <c r="AY27" s="313">
        <f>IF(AY11=0,"-",AY26/AY11)</f>
        <v/>
      </c>
      <c r="AZ27" s="313">
        <f>IF(AZ11=0,"-",AZ26/AZ11)</f>
        <v/>
      </c>
      <c r="BA27" s="313">
        <f>IF(BA11=0,"-",BA26/BA11)</f>
        <v/>
      </c>
      <c r="BB27" s="313">
        <f>IF(BB11=0,"-",BB26/BB11)</f>
        <v/>
      </c>
      <c r="BC27" s="313">
        <f>IF(BC11=0,"-",BC26/BC11)</f>
        <v/>
      </c>
      <c r="BD27" s="313">
        <f>IF(BD11=0,"-",BD26/BD11)</f>
        <v/>
      </c>
      <c r="BE27" s="313">
        <f>IF(BE11=0,"-",BE26/BE11)</f>
        <v/>
      </c>
      <c r="BF27" s="313">
        <f>IF(BF11=0,"-",BF26/BF11)</f>
        <v/>
      </c>
      <c r="BG27" s="313">
        <f>IF(BG11=0,"-",BG26/BG11)</f>
        <v/>
      </c>
      <c r="BH27" s="313">
        <f>IF(BH11=0,"-",BH26/BH11)</f>
        <v/>
      </c>
      <c r="BI27" s="313">
        <f>IF(BI11=0,"-",BI26/BI11)</f>
        <v/>
      </c>
      <c r="BJ27" s="313">
        <f>IF(BJ11=0,"-",BJ26/BJ11)</f>
        <v/>
      </c>
      <c r="BK27" s="313">
        <f>IF(BK11=0,"-",BK26/BK11)</f>
        <v/>
      </c>
      <c r="BL27" s="313">
        <f>IF(BL11=0,"-",BL26/BL11)</f>
        <v/>
      </c>
      <c r="BM27" s="313">
        <f>IF(BM11=0,"-",BM26/BM11)</f>
        <v/>
      </c>
      <c r="BN27" s="313">
        <f>IF(BN11=0,"-",BN26/BN11)</f>
        <v/>
      </c>
      <c r="BO27" s="313">
        <f>IF(BO11=0,"-",BO26/BO11)</f>
        <v/>
      </c>
      <c r="BP27" s="313">
        <f>IF(BP11=0,"-",BP26/BP11)</f>
        <v/>
      </c>
      <c r="BQ27" s="313">
        <f>IF(BQ11=0,"-",BQ26/BQ11)</f>
        <v/>
      </c>
      <c r="BR27" s="313">
        <f>IF(BR11=0,"-",BR26/BR11)</f>
        <v/>
      </c>
      <c r="BS27" s="313">
        <f>IF(BS11=0,"-",BS26/BS11)</f>
        <v/>
      </c>
      <c r="BT27" s="313">
        <f>IF(BT11=0,"-",BT26/BT11)</f>
        <v/>
      </c>
      <c r="BU27" s="313">
        <f>IF(BU11=0,"-",BU26/BU11)</f>
        <v/>
      </c>
      <c r="BV27" s="313">
        <f>IF(BV11=0,"-",BV26/BV11)</f>
        <v/>
      </c>
      <c r="BW27" s="313">
        <f>IF(BW11=0,"-",BW26/BW11)</f>
        <v/>
      </c>
      <c r="BX27" s="313">
        <f>IF(BX11=0,"-",BX26/BX11)</f>
        <v/>
      </c>
      <c r="BY27" s="12" t="n"/>
      <c r="BZ27" s="320" t="inlineStr">
        <is>
          <t>EBITDA %</t>
        </is>
      </c>
      <c r="CA27" s="295" t="n"/>
      <c r="CB27" s="307" t="n"/>
      <c r="CC27" s="307" t="n"/>
      <c r="CD27" s="1364" t="n">
        <v>0</v>
      </c>
      <c r="CE27" s="315">
        <f>AVERAGE(Q27:AB27)</f>
        <v/>
      </c>
      <c r="CF27" s="315">
        <f>AVERAGE(AC27:AN27)</f>
        <v/>
      </c>
      <c r="CG27" s="321">
        <f>AVERAGE(AO27:AZ27)</f>
        <v/>
      </c>
      <c r="CH27" s="321">
        <f>AVERAGE(BA27:BL27)</f>
        <v/>
      </c>
      <c r="CI27" s="321">
        <f>AVERAGE(BM27:BX27)</f>
        <v/>
      </c>
    </row>
    <row r="28" ht="12.75" customHeight="1" s="1883">
      <c r="A28" s="12" t="n"/>
      <c r="B28" s="25" t="n"/>
      <c r="C28" s="12" t="inlineStr">
        <is>
          <t>Amortization</t>
        </is>
      </c>
      <c r="D28" s="7" t="n"/>
      <c r="E28" s="20" t="n">
        <v>0</v>
      </c>
      <c r="F28" s="20" t="n">
        <v>0</v>
      </c>
      <c r="G28" s="20" t="n">
        <v>0</v>
      </c>
      <c r="H28" s="20" t="n">
        <v>0</v>
      </c>
      <c r="I28" s="20" t="n">
        <v>0</v>
      </c>
      <c r="J28" s="20" t="n">
        <v>0</v>
      </c>
      <c r="K28" s="20" t="n">
        <v>0</v>
      </c>
      <c r="L28" s="20" t="n">
        <v>0</v>
      </c>
      <c r="M28" s="20" t="n">
        <v>0</v>
      </c>
      <c r="N28" s="20" t="n">
        <v>0</v>
      </c>
      <c r="O28" s="20" t="n">
        <v>0</v>
      </c>
      <c r="P28" s="20" t="n">
        <v>0</v>
      </c>
      <c r="Q28" s="298">
        <f>+'4B. Tel. Expense Assumptions'!G398</f>
        <v/>
      </c>
      <c r="R28" s="298">
        <f>+'4B. Tel. Expense Assumptions'!H398</f>
        <v/>
      </c>
      <c r="S28" s="298">
        <f>+'4B. Tel. Expense Assumptions'!I398</f>
        <v/>
      </c>
      <c r="T28" s="298">
        <f>+'4B. Tel. Expense Assumptions'!J398</f>
        <v/>
      </c>
      <c r="U28" s="298">
        <f>+'4B. Tel. Expense Assumptions'!K398</f>
        <v/>
      </c>
      <c r="V28" s="298">
        <f>+'4B. Tel. Expense Assumptions'!L398</f>
        <v/>
      </c>
      <c r="W28" s="298">
        <f>+'4B. Tel. Expense Assumptions'!M398</f>
        <v/>
      </c>
      <c r="X28" s="298">
        <f>+'4B. Tel. Expense Assumptions'!N398</f>
        <v/>
      </c>
      <c r="Y28" s="298">
        <f>+'4B. Tel. Expense Assumptions'!O398</f>
        <v/>
      </c>
      <c r="Z28" s="298">
        <f>+'4B. Tel. Expense Assumptions'!P398</f>
        <v/>
      </c>
      <c r="AA28" s="298">
        <f>+'4B. Tel. Expense Assumptions'!Q398</f>
        <v/>
      </c>
      <c r="AB28" s="298">
        <f>+'4B. Tel. Expense Assumptions'!R398</f>
        <v/>
      </c>
      <c r="AC28" s="298">
        <f>+'4B. Tel. Expense Assumptions'!S398</f>
        <v/>
      </c>
      <c r="AD28" s="298">
        <f>+'4B. Tel. Expense Assumptions'!T398</f>
        <v/>
      </c>
      <c r="AE28" s="298">
        <f>+'4B. Tel. Expense Assumptions'!U398</f>
        <v/>
      </c>
      <c r="AF28" s="298">
        <f>+'4B. Tel. Expense Assumptions'!V398</f>
        <v/>
      </c>
      <c r="AG28" s="298">
        <f>+'4B. Tel. Expense Assumptions'!W398</f>
        <v/>
      </c>
      <c r="AH28" s="298">
        <f>+'4B. Tel. Expense Assumptions'!X398</f>
        <v/>
      </c>
      <c r="AI28" s="298">
        <f>+'4B. Tel. Expense Assumptions'!Y398</f>
        <v/>
      </c>
      <c r="AJ28" s="298">
        <f>+'4B. Tel. Expense Assumptions'!Z398</f>
        <v/>
      </c>
      <c r="AK28" s="298">
        <f>+'4B. Tel. Expense Assumptions'!AA398</f>
        <v/>
      </c>
      <c r="AL28" s="298">
        <f>+'4B. Tel. Expense Assumptions'!AB398</f>
        <v/>
      </c>
      <c r="AM28" s="298">
        <f>+'4B. Tel. Expense Assumptions'!AC398</f>
        <v/>
      </c>
      <c r="AN28" s="298">
        <f>+'4B. Tel. Expense Assumptions'!AD398</f>
        <v/>
      </c>
      <c r="AO28" s="298">
        <f>+'4B. Tel. Expense Assumptions'!AE398</f>
        <v/>
      </c>
      <c r="AP28" s="298">
        <f>+'4B. Tel. Expense Assumptions'!AF398</f>
        <v/>
      </c>
      <c r="AQ28" s="298">
        <f>+'4B. Tel. Expense Assumptions'!AG398</f>
        <v/>
      </c>
      <c r="AR28" s="298">
        <f>+'4B. Tel. Expense Assumptions'!AH398</f>
        <v/>
      </c>
      <c r="AS28" s="298">
        <f>+'4B. Tel. Expense Assumptions'!AI398</f>
        <v/>
      </c>
      <c r="AT28" s="298">
        <f>+'4B. Tel. Expense Assumptions'!AJ398</f>
        <v/>
      </c>
      <c r="AU28" s="298">
        <f>+'4B. Tel. Expense Assumptions'!AK398</f>
        <v/>
      </c>
      <c r="AV28" s="298">
        <f>+'4B. Tel. Expense Assumptions'!AL398</f>
        <v/>
      </c>
      <c r="AW28" s="298">
        <f>+'4B. Tel. Expense Assumptions'!AM398</f>
        <v/>
      </c>
      <c r="AX28" s="298">
        <f>+'4B. Tel. Expense Assumptions'!AN398</f>
        <v/>
      </c>
      <c r="AY28" s="298">
        <f>+'4B. Tel. Expense Assumptions'!AO398</f>
        <v/>
      </c>
      <c r="AZ28" s="298">
        <f>+'4B. Tel. Expense Assumptions'!AP398</f>
        <v/>
      </c>
      <c r="BA28" s="298">
        <f>+'4B. Tel. Expense Assumptions'!AQ398</f>
        <v/>
      </c>
      <c r="BB28" s="298">
        <f>+'4B. Tel. Expense Assumptions'!AR398</f>
        <v/>
      </c>
      <c r="BC28" s="298">
        <f>+'4B. Tel. Expense Assumptions'!AS398</f>
        <v/>
      </c>
      <c r="BD28" s="298">
        <f>+'4B. Tel. Expense Assumptions'!AT398</f>
        <v/>
      </c>
      <c r="BE28" s="298">
        <f>+'4B. Tel. Expense Assumptions'!AU398</f>
        <v/>
      </c>
      <c r="BF28" s="298">
        <f>+'4B. Tel. Expense Assumptions'!AV398</f>
        <v/>
      </c>
      <c r="BG28" s="298">
        <f>+'4B. Tel. Expense Assumptions'!AW398</f>
        <v/>
      </c>
      <c r="BH28" s="298">
        <f>+'4B. Tel. Expense Assumptions'!AX398</f>
        <v/>
      </c>
      <c r="BI28" s="298">
        <f>+'4B. Tel. Expense Assumptions'!AY398</f>
        <v/>
      </c>
      <c r="BJ28" s="298">
        <f>+'4B. Tel. Expense Assumptions'!AZ398</f>
        <v/>
      </c>
      <c r="BK28" s="298">
        <f>+'4B. Tel. Expense Assumptions'!BA398</f>
        <v/>
      </c>
      <c r="BL28" s="298">
        <f>+'4B. Tel. Expense Assumptions'!BB398</f>
        <v/>
      </c>
      <c r="BM28" s="298">
        <f>+'4B. Tel. Expense Assumptions'!BC398</f>
        <v/>
      </c>
      <c r="BN28" s="298">
        <f>+'4B. Tel. Expense Assumptions'!BD398</f>
        <v/>
      </c>
      <c r="BO28" s="298">
        <f>+'4B. Tel. Expense Assumptions'!BE398</f>
        <v/>
      </c>
      <c r="BP28" s="298">
        <f>+'4B. Tel. Expense Assumptions'!BF398</f>
        <v/>
      </c>
      <c r="BQ28" s="298">
        <f>+'4B. Tel. Expense Assumptions'!BG398</f>
        <v/>
      </c>
      <c r="BR28" s="298">
        <f>+'4B. Tel. Expense Assumptions'!BH398</f>
        <v/>
      </c>
      <c r="BS28" s="298">
        <f>+'4B. Tel. Expense Assumptions'!BI398</f>
        <v/>
      </c>
      <c r="BT28" s="298">
        <f>+'4B. Tel. Expense Assumptions'!BJ398</f>
        <v/>
      </c>
      <c r="BU28" s="298">
        <f>+'4B. Tel. Expense Assumptions'!BK398</f>
        <v/>
      </c>
      <c r="BV28" s="298">
        <f>+'4B. Tel. Expense Assumptions'!BL398</f>
        <v/>
      </c>
      <c r="BW28" s="298">
        <f>+'4B. Tel. Expense Assumptions'!BM398</f>
        <v/>
      </c>
      <c r="BX28" s="298">
        <f>+'4B. Tel. Expense Assumptions'!BN398</f>
        <v/>
      </c>
      <c r="BY28" s="12" t="n"/>
      <c r="BZ28" s="295" t="n"/>
      <c r="CA28" s="307" t="inlineStr">
        <is>
          <t>Amortization</t>
        </is>
      </c>
      <c r="CB28" s="307" t="n"/>
      <c r="CC28" s="307" t="n"/>
      <c r="CD28" s="2155">
        <f>SUM(E28:P28)</f>
        <v/>
      </c>
      <c r="CE28" s="2154">
        <f>SUM(Q28:AB28)</f>
        <v/>
      </c>
      <c r="CF28" s="2154">
        <f>SUM(AC28:AN28)</f>
        <v/>
      </c>
      <c r="CG28" s="2014">
        <f>SUM(AO28:AZ28)</f>
        <v/>
      </c>
      <c r="CH28" s="2014">
        <f>SUM(BA28:BL28)</f>
        <v/>
      </c>
      <c r="CI28" s="2014">
        <f>SUM(BM28:BX28)</f>
        <v/>
      </c>
    </row>
    <row r="29" ht="12.75" customHeight="1" s="1883">
      <c r="A29" s="12" t="n"/>
      <c r="B29" s="25" t="n"/>
      <c r="C29" s="7" t="inlineStr">
        <is>
          <t>Interest Expense</t>
        </is>
      </c>
      <c r="D29" s="7" t="n"/>
      <c r="E29" s="20" t="n">
        <v>0</v>
      </c>
      <c r="F29" s="20" t="n">
        <v>0</v>
      </c>
      <c r="G29" s="20" t="n">
        <v>0</v>
      </c>
      <c r="H29" s="20" t="n">
        <v>0</v>
      </c>
      <c r="I29" s="20" t="n">
        <v>0</v>
      </c>
      <c r="J29" s="20" t="n">
        <v>0</v>
      </c>
      <c r="K29" s="20" t="n">
        <v>0</v>
      </c>
      <c r="L29" s="20" t="n">
        <v>0</v>
      </c>
      <c r="M29" s="20" t="n">
        <v>0</v>
      </c>
      <c r="N29" s="20" t="n">
        <v>0</v>
      </c>
      <c r="O29" s="20" t="n">
        <v>0</v>
      </c>
      <c r="P29" s="20" t="n">
        <v>0</v>
      </c>
      <c r="Q29" s="298">
        <f>+'4B. Tel. Expense Assumptions'!G454+'4B. Tel. Expense Assumptions'!G424</f>
        <v/>
      </c>
      <c r="R29" s="298">
        <f>+'4B. Tel. Expense Assumptions'!H454+'4B. Tel. Expense Assumptions'!H424</f>
        <v/>
      </c>
      <c r="S29" s="298">
        <f>+'4B. Tel. Expense Assumptions'!I454+'4B. Tel. Expense Assumptions'!I424</f>
        <v/>
      </c>
      <c r="T29" s="298">
        <f>+'4B. Tel. Expense Assumptions'!J454+'4B. Tel. Expense Assumptions'!J424</f>
        <v/>
      </c>
      <c r="U29" s="298">
        <f>+'4B. Tel. Expense Assumptions'!K454+'4B. Tel. Expense Assumptions'!K424</f>
        <v/>
      </c>
      <c r="V29" s="298">
        <f>+'4B. Tel. Expense Assumptions'!L454+'4B. Tel. Expense Assumptions'!L424</f>
        <v/>
      </c>
      <c r="W29" s="298">
        <f>+'4B. Tel. Expense Assumptions'!M454+'4B. Tel. Expense Assumptions'!M424</f>
        <v/>
      </c>
      <c r="X29" s="298">
        <f>+'4B. Tel. Expense Assumptions'!N454+'4B. Tel. Expense Assumptions'!N424</f>
        <v/>
      </c>
      <c r="Y29" s="298">
        <f>+'4B. Tel. Expense Assumptions'!O454+'4B. Tel. Expense Assumptions'!O424</f>
        <v/>
      </c>
      <c r="Z29" s="298">
        <f>+'4B. Tel. Expense Assumptions'!P454+'4B. Tel. Expense Assumptions'!P424</f>
        <v/>
      </c>
      <c r="AA29" s="298">
        <f>+'4B. Tel. Expense Assumptions'!Q454+'4B. Tel. Expense Assumptions'!Q424</f>
        <v/>
      </c>
      <c r="AB29" s="298">
        <f>+'4B. Tel. Expense Assumptions'!R454+'4B. Tel. Expense Assumptions'!R424</f>
        <v/>
      </c>
      <c r="AC29" s="298">
        <f>+'4B. Tel. Expense Assumptions'!S454+'4B. Tel. Expense Assumptions'!S424</f>
        <v/>
      </c>
      <c r="AD29" s="298">
        <f>+'4B. Tel. Expense Assumptions'!T454+'4B. Tel. Expense Assumptions'!T424</f>
        <v/>
      </c>
      <c r="AE29" s="298">
        <f>+'4B. Tel. Expense Assumptions'!U454+'4B. Tel. Expense Assumptions'!U424</f>
        <v/>
      </c>
      <c r="AF29" s="298">
        <f>+'4B. Tel. Expense Assumptions'!V454+'4B. Tel. Expense Assumptions'!V424</f>
        <v/>
      </c>
      <c r="AG29" s="298">
        <f>+'4B. Tel. Expense Assumptions'!W454+'4B. Tel. Expense Assumptions'!W424</f>
        <v/>
      </c>
      <c r="AH29" s="298">
        <f>+'4B. Tel. Expense Assumptions'!X454+'4B. Tel. Expense Assumptions'!X424</f>
        <v/>
      </c>
      <c r="AI29" s="298">
        <f>+'4B. Tel. Expense Assumptions'!Y454+'4B. Tel. Expense Assumptions'!Y424</f>
        <v/>
      </c>
      <c r="AJ29" s="298">
        <f>+'4B. Tel. Expense Assumptions'!Z454+'4B. Tel. Expense Assumptions'!Z424</f>
        <v/>
      </c>
      <c r="AK29" s="298">
        <f>+'4B. Tel. Expense Assumptions'!AA454+'4B. Tel. Expense Assumptions'!AA424</f>
        <v/>
      </c>
      <c r="AL29" s="298">
        <f>+'4B. Tel. Expense Assumptions'!AB454+'4B. Tel. Expense Assumptions'!AB424</f>
        <v/>
      </c>
      <c r="AM29" s="298">
        <f>+'4B. Tel. Expense Assumptions'!AC454+'4B. Tel. Expense Assumptions'!AC424</f>
        <v/>
      </c>
      <c r="AN29" s="298">
        <f>+'4B. Tel. Expense Assumptions'!AD454+'4B. Tel. Expense Assumptions'!AD424</f>
        <v/>
      </c>
      <c r="AO29" s="298">
        <f>+'4B. Tel. Expense Assumptions'!AE454+'4B. Tel. Expense Assumptions'!AE424</f>
        <v/>
      </c>
      <c r="AP29" s="298">
        <f>+'4B. Tel. Expense Assumptions'!AF454+'4B. Tel. Expense Assumptions'!AF424</f>
        <v/>
      </c>
      <c r="AQ29" s="298">
        <f>+'4B. Tel. Expense Assumptions'!AG454+'4B. Tel. Expense Assumptions'!AG424</f>
        <v/>
      </c>
      <c r="AR29" s="298">
        <f>+'4B. Tel. Expense Assumptions'!AH454+'4B. Tel. Expense Assumptions'!AH424</f>
        <v/>
      </c>
      <c r="AS29" s="298">
        <f>+'4B. Tel. Expense Assumptions'!AI454+'4B. Tel. Expense Assumptions'!AI424</f>
        <v/>
      </c>
      <c r="AT29" s="298">
        <f>+'4B. Tel. Expense Assumptions'!AJ454+'4B. Tel. Expense Assumptions'!AJ424</f>
        <v/>
      </c>
      <c r="AU29" s="298">
        <f>+'4B. Tel. Expense Assumptions'!AK454+'4B. Tel. Expense Assumptions'!AK424</f>
        <v/>
      </c>
      <c r="AV29" s="298">
        <f>+'4B. Tel. Expense Assumptions'!AL454+'4B. Tel. Expense Assumptions'!AL424</f>
        <v/>
      </c>
      <c r="AW29" s="298">
        <f>+'4B. Tel. Expense Assumptions'!AM454+'4B. Tel. Expense Assumptions'!AM424</f>
        <v/>
      </c>
      <c r="AX29" s="298">
        <f>+'4B. Tel. Expense Assumptions'!AN454+'4B. Tel. Expense Assumptions'!AN424</f>
        <v/>
      </c>
      <c r="AY29" s="298">
        <f>+'4B. Tel. Expense Assumptions'!AO454+'4B. Tel. Expense Assumptions'!AO424</f>
        <v/>
      </c>
      <c r="AZ29" s="298">
        <f>+'4B. Tel. Expense Assumptions'!AP454+'4B. Tel. Expense Assumptions'!AP424</f>
        <v/>
      </c>
      <c r="BA29" s="298">
        <f>+'4B. Tel. Expense Assumptions'!AQ454+'4B. Tel. Expense Assumptions'!AQ424</f>
        <v/>
      </c>
      <c r="BB29" s="298">
        <f>+'4B. Tel. Expense Assumptions'!AR454+'4B. Tel. Expense Assumptions'!AR424</f>
        <v/>
      </c>
      <c r="BC29" s="298">
        <f>+'4B. Tel. Expense Assumptions'!AS454+'4B. Tel. Expense Assumptions'!AS424</f>
        <v/>
      </c>
      <c r="BD29" s="298">
        <f>+'4B. Tel. Expense Assumptions'!AT454+'4B. Tel. Expense Assumptions'!AT424</f>
        <v/>
      </c>
      <c r="BE29" s="298">
        <f>+'4B. Tel. Expense Assumptions'!AU454+'4B. Tel. Expense Assumptions'!AU424</f>
        <v/>
      </c>
      <c r="BF29" s="298">
        <f>+'4B. Tel. Expense Assumptions'!AV454+'4B. Tel. Expense Assumptions'!AV424</f>
        <v/>
      </c>
      <c r="BG29" s="298">
        <f>+'4B. Tel. Expense Assumptions'!AW454+'4B. Tel. Expense Assumptions'!AW424</f>
        <v/>
      </c>
      <c r="BH29" s="298">
        <f>+'4B. Tel. Expense Assumptions'!AX454+'4B. Tel. Expense Assumptions'!AX424</f>
        <v/>
      </c>
      <c r="BI29" s="298">
        <f>+'4B. Tel. Expense Assumptions'!AY454+'4B. Tel. Expense Assumptions'!AY424</f>
        <v/>
      </c>
      <c r="BJ29" s="298">
        <f>+'4B. Tel. Expense Assumptions'!AZ454+'4B. Tel. Expense Assumptions'!AZ424</f>
        <v/>
      </c>
      <c r="BK29" s="298">
        <f>+'4B. Tel. Expense Assumptions'!BA454+'4B. Tel. Expense Assumptions'!BA424</f>
        <v/>
      </c>
      <c r="BL29" s="298">
        <f>+'4B. Tel. Expense Assumptions'!BB454+'4B. Tel. Expense Assumptions'!BB424</f>
        <v/>
      </c>
      <c r="BM29" s="298">
        <f>+'4B. Tel. Expense Assumptions'!BC454+'4B. Tel. Expense Assumptions'!BC424</f>
        <v/>
      </c>
      <c r="BN29" s="298">
        <f>+'4B. Tel. Expense Assumptions'!BD454+'4B. Tel. Expense Assumptions'!BD424</f>
        <v/>
      </c>
      <c r="BO29" s="298">
        <f>+'4B. Tel. Expense Assumptions'!BE454+'4B. Tel. Expense Assumptions'!BE424</f>
        <v/>
      </c>
      <c r="BP29" s="298">
        <f>+'4B. Tel. Expense Assumptions'!BF454+'4B. Tel. Expense Assumptions'!BF424</f>
        <v/>
      </c>
      <c r="BQ29" s="298">
        <f>+'4B. Tel. Expense Assumptions'!BG454+'4B. Tel. Expense Assumptions'!BG424</f>
        <v/>
      </c>
      <c r="BR29" s="298">
        <f>+'4B. Tel. Expense Assumptions'!BH454+'4B. Tel. Expense Assumptions'!BH424</f>
        <v/>
      </c>
      <c r="BS29" s="298">
        <f>+'4B. Tel. Expense Assumptions'!BI454+'4B. Tel. Expense Assumptions'!BI424</f>
        <v/>
      </c>
      <c r="BT29" s="298">
        <f>+'4B. Tel. Expense Assumptions'!BJ454+'4B. Tel. Expense Assumptions'!BJ424</f>
        <v/>
      </c>
      <c r="BU29" s="298">
        <f>+'4B. Tel. Expense Assumptions'!BK454+'4B. Tel. Expense Assumptions'!BK424</f>
        <v/>
      </c>
      <c r="BV29" s="298">
        <f>+'4B. Tel. Expense Assumptions'!BL454+'4B. Tel. Expense Assumptions'!BL424</f>
        <v/>
      </c>
      <c r="BW29" s="298">
        <f>+'4B. Tel. Expense Assumptions'!BM454+'4B. Tel. Expense Assumptions'!BM424</f>
        <v/>
      </c>
      <c r="BX29" s="298">
        <f>+'4B. Tel. Expense Assumptions'!BN454+'4B. Tel. Expense Assumptions'!BN424</f>
        <v/>
      </c>
      <c r="BY29" s="12" t="n"/>
      <c r="BZ29" s="295" t="n"/>
      <c r="CA29" s="297" t="inlineStr">
        <is>
          <t>Interest Expense</t>
        </is>
      </c>
      <c r="CB29" s="307" t="n"/>
      <c r="CC29" s="307" t="n"/>
      <c r="CD29" s="2155">
        <f>SUM(E29:AA29)</f>
        <v/>
      </c>
      <c r="CE29" s="2154">
        <f>SUM(Q29:AB29)</f>
        <v/>
      </c>
      <c r="CF29" s="2154">
        <f>SUM(AC29:AN29)</f>
        <v/>
      </c>
      <c r="CG29" s="2014">
        <f>SUM(AO29:AZ29)</f>
        <v/>
      </c>
      <c r="CH29" s="2014">
        <f>SUM(BA29:BL29)</f>
        <v/>
      </c>
      <c r="CI29" s="2014">
        <f>SUM(BM29:BX29)</f>
        <v/>
      </c>
    </row>
    <row r="30" ht="12.75" customHeight="1" s="1883">
      <c r="A30" s="12" t="n"/>
      <c r="B30" s="312" t="inlineStr">
        <is>
          <t>EBT</t>
        </is>
      </c>
      <c r="C30" s="12" t="n"/>
      <c r="D30" s="7" t="n"/>
      <c r="E30" s="1359">
        <f>+E26-SUM(E28:E29)</f>
        <v/>
      </c>
      <c r="F30" s="1359">
        <f>+F26-SUM(F28:F29)</f>
        <v/>
      </c>
      <c r="G30" s="1359">
        <f>+G26-SUM(G28:G29)</f>
        <v/>
      </c>
      <c r="H30" s="1359">
        <f>+H26-SUM(H28:H29)</f>
        <v/>
      </c>
      <c r="I30" s="1359">
        <f>+I26-SUM(I28:I29)</f>
        <v/>
      </c>
      <c r="J30" s="1359">
        <f>+J26-SUM(J28:J29)</f>
        <v/>
      </c>
      <c r="K30" s="1359">
        <f>+K26-SUM(K28:K29)</f>
        <v/>
      </c>
      <c r="L30" s="1359">
        <f>+L26-SUM(L28:L29)</f>
        <v/>
      </c>
      <c r="M30" s="1359">
        <f>+M26-SUM(M28:M29)</f>
        <v/>
      </c>
      <c r="N30" s="1359">
        <f>+N26-SUM(N28:N29)</f>
        <v/>
      </c>
      <c r="O30" s="1359">
        <f>+O26-SUM(O28:O29)</f>
        <v/>
      </c>
      <c r="P30" s="1359">
        <f>+P26-SUM(P28:P29)</f>
        <v/>
      </c>
      <c r="Q30" s="1360">
        <f>+Q26-SUM(Q28)</f>
        <v/>
      </c>
      <c r="R30" s="1360">
        <f>+R26-SUM(R28)</f>
        <v/>
      </c>
      <c r="S30" s="1360">
        <f>+S26-SUM(S28)</f>
        <v/>
      </c>
      <c r="T30" s="1360">
        <f>+T26-SUM(T28)</f>
        <v/>
      </c>
      <c r="U30" s="1360">
        <f>+U26-SUM(U28)</f>
        <v/>
      </c>
      <c r="V30" s="1360">
        <f>+V26-SUM(V28)</f>
        <v/>
      </c>
      <c r="W30" s="1360">
        <f>+W26-SUM(W28)</f>
        <v/>
      </c>
      <c r="X30" s="1360">
        <f>+X26-SUM(X28)</f>
        <v/>
      </c>
      <c r="Y30" s="1360">
        <f>+Y26-SUM(Y28)</f>
        <v/>
      </c>
      <c r="Z30" s="1360">
        <f>+Z26-SUM(Z28)</f>
        <v/>
      </c>
      <c r="AA30" s="1360">
        <f>+AA26-SUM(AA28)</f>
        <v/>
      </c>
      <c r="AB30" s="1360">
        <f>+AB26-SUM(AB28)</f>
        <v/>
      </c>
      <c r="AC30" s="1360">
        <f>+AC26-SUM(AC28)</f>
        <v/>
      </c>
      <c r="AD30" s="1360">
        <f>+AD26-SUM(AD28)</f>
        <v/>
      </c>
      <c r="AE30" s="1360">
        <f>+AE26-SUM(AE28)</f>
        <v/>
      </c>
      <c r="AF30" s="1360">
        <f>+AF26-SUM(AF28)</f>
        <v/>
      </c>
      <c r="AG30" s="1360">
        <f>+AG26-SUM(AG28)</f>
        <v/>
      </c>
      <c r="AH30" s="1360">
        <f>+AH26-SUM(AH28)</f>
        <v/>
      </c>
      <c r="AI30" s="1360">
        <f>+AI26-SUM(AI28)</f>
        <v/>
      </c>
      <c r="AJ30" s="1360">
        <f>+AJ26-SUM(AJ28)</f>
        <v/>
      </c>
      <c r="AK30" s="1360">
        <f>+AK26-SUM(AK28)</f>
        <v/>
      </c>
      <c r="AL30" s="1360">
        <f>+AL26-SUM(AL28)</f>
        <v/>
      </c>
      <c r="AM30" s="1360">
        <f>+AM26-SUM(AM28)</f>
        <v/>
      </c>
      <c r="AN30" s="1360">
        <f>+AN26-SUM(AN28)</f>
        <v/>
      </c>
      <c r="AO30" s="1360">
        <f>+AO26-SUM(AO28)</f>
        <v/>
      </c>
      <c r="AP30" s="1360">
        <f>+AP26-SUM(AP28)</f>
        <v/>
      </c>
      <c r="AQ30" s="1360">
        <f>+AQ26-SUM(AQ28)</f>
        <v/>
      </c>
      <c r="AR30" s="1360">
        <f>+AR26-SUM(AR28)</f>
        <v/>
      </c>
      <c r="AS30" s="1360">
        <f>+AS26-SUM(AS28)</f>
        <v/>
      </c>
      <c r="AT30" s="1360">
        <f>+AT26-SUM(AT28)</f>
        <v/>
      </c>
      <c r="AU30" s="1360">
        <f>+AU26-SUM(AU28)</f>
        <v/>
      </c>
      <c r="AV30" s="1360">
        <f>+AV26-SUM(AV28)</f>
        <v/>
      </c>
      <c r="AW30" s="1360">
        <f>+AW26-SUM(AW28)</f>
        <v/>
      </c>
      <c r="AX30" s="1360">
        <f>+AX26-SUM(AX28)</f>
        <v/>
      </c>
      <c r="AY30" s="1360">
        <f>+AY26-SUM(AY28)</f>
        <v/>
      </c>
      <c r="AZ30" s="1360">
        <f>+AZ26-SUM(AZ28)</f>
        <v/>
      </c>
      <c r="BA30" s="1360">
        <f>+BA26-SUM(BA28)</f>
        <v/>
      </c>
      <c r="BB30" s="1360">
        <f>+BB26-SUM(BB28)</f>
        <v/>
      </c>
      <c r="BC30" s="1360">
        <f>+BC26-SUM(BC28)</f>
        <v/>
      </c>
      <c r="BD30" s="1360">
        <f>+BD26-SUM(BD28)</f>
        <v/>
      </c>
      <c r="BE30" s="1360">
        <f>+BE26-SUM(BE28)</f>
        <v/>
      </c>
      <c r="BF30" s="1360">
        <f>+BF26-SUM(BF28)</f>
        <v/>
      </c>
      <c r="BG30" s="1360">
        <f>+BG26-SUM(BG28)</f>
        <v/>
      </c>
      <c r="BH30" s="1360">
        <f>+BH26-SUM(BH28)</f>
        <v/>
      </c>
      <c r="BI30" s="1360">
        <f>+BI26-SUM(BI28)</f>
        <v/>
      </c>
      <c r="BJ30" s="1360">
        <f>+BJ26-SUM(BJ28)</f>
        <v/>
      </c>
      <c r="BK30" s="1360">
        <f>+BK26-SUM(BK28)</f>
        <v/>
      </c>
      <c r="BL30" s="1360">
        <f>+BL26-SUM(BL28)</f>
        <v/>
      </c>
      <c r="BM30" s="1360">
        <f>+BM26-SUM(BM28)</f>
        <v/>
      </c>
      <c r="BN30" s="1360">
        <f>+BN26-SUM(BN28)</f>
        <v/>
      </c>
      <c r="BO30" s="1360">
        <f>+BO26-SUM(BO28)</f>
        <v/>
      </c>
      <c r="BP30" s="1360">
        <f>+BP26-SUM(BP28)</f>
        <v/>
      </c>
      <c r="BQ30" s="1360">
        <f>+BQ26-SUM(BQ28)</f>
        <v/>
      </c>
      <c r="BR30" s="1360">
        <f>+BR26-SUM(BR28)</f>
        <v/>
      </c>
      <c r="BS30" s="1360">
        <f>+BS26-SUM(BS28)</f>
        <v/>
      </c>
      <c r="BT30" s="1360">
        <f>+BT26-SUM(BT28)</f>
        <v/>
      </c>
      <c r="BU30" s="1360">
        <f>+BU26-SUM(BU28)</f>
        <v/>
      </c>
      <c r="BV30" s="1360">
        <f>+BV26-SUM(BV28)</f>
        <v/>
      </c>
      <c r="BW30" s="1360">
        <f>+BW26-SUM(BW28)</f>
        <v/>
      </c>
      <c r="BX30" s="1360">
        <f>+BX26-SUM(BX28)</f>
        <v/>
      </c>
      <c r="BY30" s="12" t="n"/>
      <c r="BZ30" s="320" t="inlineStr">
        <is>
          <t>EBT</t>
        </is>
      </c>
      <c r="CA30" s="307" t="n"/>
      <c r="CB30" s="307" t="n"/>
      <c r="CC30" s="307" t="n"/>
      <c r="CD30" s="2015">
        <f>SUM(E30:P30)</f>
        <v/>
      </c>
      <c r="CE30" s="2014">
        <f>SUM(Q30:AB30)</f>
        <v/>
      </c>
      <c r="CF30" s="2014">
        <f>SUM(AC30:AN30)</f>
        <v/>
      </c>
      <c r="CG30" s="2014">
        <f>SUM(AO30:AZ30)</f>
        <v/>
      </c>
      <c r="CH30" s="2014">
        <f>SUM(BA30:BL30)</f>
        <v/>
      </c>
      <c r="CI30" s="2014">
        <f>SUM(BM30:BX30)</f>
        <v/>
      </c>
    </row>
    <row r="31" ht="12.75" customHeight="1" s="1883">
      <c r="A31" s="12" t="n"/>
      <c r="B31" s="312" t="inlineStr">
        <is>
          <t>EBT%</t>
        </is>
      </c>
      <c r="C31" s="12" t="n"/>
      <c r="D31" s="7" t="n"/>
      <c r="E31" s="20">
        <f>IF(E11=0,"-",E30/E11)</f>
        <v/>
      </c>
      <c r="F31" s="20">
        <f>IF(F11=0,"-",F30/F11)</f>
        <v/>
      </c>
      <c r="G31" s="20">
        <f>IF(G11=0,"-",G30/G11)</f>
        <v/>
      </c>
      <c r="H31" s="20">
        <f>IF(H11=0,"-",H30/H11)</f>
        <v/>
      </c>
      <c r="I31" s="20">
        <f>IF(I11=0,"-",I30/I11)</f>
        <v/>
      </c>
      <c r="J31" s="20">
        <f>IF(J11=0,"-",J30/J11)</f>
        <v/>
      </c>
      <c r="K31" s="20">
        <f>IF(K11=0,"-",K30/K11)</f>
        <v/>
      </c>
      <c r="L31" s="20">
        <f>IF(L11=0,"-",L30/L11)</f>
        <v/>
      </c>
      <c r="M31" s="20">
        <f>IF(M11=0,"-",M30/M11)</f>
        <v/>
      </c>
      <c r="N31" s="20">
        <f>IF(N11=0,"-",N30/N11)</f>
        <v/>
      </c>
      <c r="O31" s="20">
        <f>IF(O11=0,"-",O30/O11)</f>
        <v/>
      </c>
      <c r="P31" s="20">
        <f>IF(P11=0,"-",P30/P11)</f>
        <v/>
      </c>
      <c r="Q31" s="313">
        <f>IF(Q11=0,"-",Q30/Q11)</f>
        <v/>
      </c>
      <c r="R31" s="313">
        <f>IF(R11=0,"-",R30/R11)</f>
        <v/>
      </c>
      <c r="S31" s="313">
        <f>IF(S11=0,"-",S30/S11)</f>
        <v/>
      </c>
      <c r="T31" s="313">
        <f>IF(T11=0,"-",T30/T11)</f>
        <v/>
      </c>
      <c r="U31" s="313">
        <f>IF(U11=0,"-",U30/U11)</f>
        <v/>
      </c>
      <c r="V31" s="313">
        <f>IF(V11=0,"-",V30/V11)</f>
        <v/>
      </c>
      <c r="W31" s="313">
        <f>IF(W11=0,"-",W30/W11)</f>
        <v/>
      </c>
      <c r="X31" s="313">
        <f>IF(X11=0,"-",X30/X11)</f>
        <v/>
      </c>
      <c r="Y31" s="313">
        <f>IF(Y11=0,"-",Y30/Y11)</f>
        <v/>
      </c>
      <c r="Z31" s="313">
        <f>IF(Z11=0,"-",Z30/Z11)</f>
        <v/>
      </c>
      <c r="AA31" s="313">
        <f>IF(AA11=0,"-",AA30/AA11)</f>
        <v/>
      </c>
      <c r="AB31" s="313">
        <f>IF(AB11=0,"-",AB30/AB11)</f>
        <v/>
      </c>
      <c r="AC31" s="313">
        <f>IF(AC11=0,"-",AC30/AC11)</f>
        <v/>
      </c>
      <c r="AD31" s="313">
        <f>IF(AD11=0,"-",AD30/AD11)</f>
        <v/>
      </c>
      <c r="AE31" s="313">
        <f>IF(AE11=0,"-",AE30/AE11)</f>
        <v/>
      </c>
      <c r="AF31" s="313">
        <f>IF(AF11=0,"-",AF30/AF11)</f>
        <v/>
      </c>
      <c r="AG31" s="313">
        <f>IF(AG11=0,"-",AG30/AG11)</f>
        <v/>
      </c>
      <c r="AH31" s="313">
        <f>IF(AH11=0,"-",AH30/AH11)</f>
        <v/>
      </c>
      <c r="AI31" s="313">
        <f>IF(AI11=0,"-",AI30/AI11)</f>
        <v/>
      </c>
      <c r="AJ31" s="313">
        <f>IF(AJ11=0,"-",AJ30/AJ11)</f>
        <v/>
      </c>
      <c r="AK31" s="313">
        <f>IF(AK11=0,"-",AK30/AK11)</f>
        <v/>
      </c>
      <c r="AL31" s="313">
        <f>IF(AL11=0,"-",AL30/AL11)</f>
        <v/>
      </c>
      <c r="AM31" s="313">
        <f>IF(AM11=0,"-",AM30/AM11)</f>
        <v/>
      </c>
      <c r="AN31" s="313">
        <f>IF(AN11=0,"-",AN30/AN11)</f>
        <v/>
      </c>
      <c r="AO31" s="313">
        <f>IF(AO11=0,"-",AO30/AO11)</f>
        <v/>
      </c>
      <c r="AP31" s="313">
        <f>IF(AP11=0,"-",AP30/AP11)</f>
        <v/>
      </c>
      <c r="AQ31" s="313">
        <f>IF(AQ11=0,"-",AQ30/AQ11)</f>
        <v/>
      </c>
      <c r="AR31" s="313">
        <f>IF(AR11=0,"-",AR30/AR11)</f>
        <v/>
      </c>
      <c r="AS31" s="313">
        <f>IF(AS11=0,"-",AS30/AS11)</f>
        <v/>
      </c>
      <c r="AT31" s="313">
        <f>IF(AT11=0,"-",AT30/AT11)</f>
        <v/>
      </c>
      <c r="AU31" s="313">
        <f>IF(AU11=0,"-",AU30/AU11)</f>
        <v/>
      </c>
      <c r="AV31" s="313">
        <f>IF(AV11=0,"-",AV30/AV11)</f>
        <v/>
      </c>
      <c r="AW31" s="313">
        <f>IF(AW11=0,"-",AW30/AW11)</f>
        <v/>
      </c>
      <c r="AX31" s="313">
        <f>IF(AX11=0,"-",AX30/AX11)</f>
        <v/>
      </c>
      <c r="AY31" s="313">
        <f>IF(AY11=0,"-",AY30/AY11)</f>
        <v/>
      </c>
      <c r="AZ31" s="313">
        <f>IF(AZ11=0,"-",AZ30/AZ11)</f>
        <v/>
      </c>
      <c r="BA31" s="313">
        <f>IF(BA11=0,"-",BA30/BA11)</f>
        <v/>
      </c>
      <c r="BB31" s="313">
        <f>IF(BB11=0,"-",BB30/BB11)</f>
        <v/>
      </c>
      <c r="BC31" s="313">
        <f>IF(BC11=0,"-",BC30/BC11)</f>
        <v/>
      </c>
      <c r="BD31" s="313">
        <f>IF(BD11=0,"-",BD30/BD11)</f>
        <v/>
      </c>
      <c r="BE31" s="313">
        <f>IF(BE11=0,"-",BE30/BE11)</f>
        <v/>
      </c>
      <c r="BF31" s="313">
        <f>IF(BF11=0,"-",BF30/BF11)</f>
        <v/>
      </c>
      <c r="BG31" s="313">
        <f>IF(BG11=0,"-",BG30/BG11)</f>
        <v/>
      </c>
      <c r="BH31" s="313">
        <f>IF(BH11=0,"-",BH30/BH11)</f>
        <v/>
      </c>
      <c r="BI31" s="313">
        <f>IF(BI11=0,"-",BI30/BI11)</f>
        <v/>
      </c>
      <c r="BJ31" s="313">
        <f>IF(BJ11=0,"-",BJ30/BJ11)</f>
        <v/>
      </c>
      <c r="BK31" s="313">
        <f>IF(BK11=0,"-",BK30/BK11)</f>
        <v/>
      </c>
      <c r="BL31" s="313">
        <f>IF(BL11=0,"-",BL30/BL11)</f>
        <v/>
      </c>
      <c r="BM31" s="313">
        <f>IF(BM11=0,"-",BM30/BM11)</f>
        <v/>
      </c>
      <c r="BN31" s="313">
        <f>IF(BN11=0,"-",BN30/BN11)</f>
        <v/>
      </c>
      <c r="BO31" s="313">
        <f>IF(BO11=0,"-",BO30/BO11)</f>
        <v/>
      </c>
      <c r="BP31" s="313">
        <f>IF(BP11=0,"-",BP30/BP11)</f>
        <v/>
      </c>
      <c r="BQ31" s="313">
        <f>IF(BQ11=0,"-",BQ30/BQ11)</f>
        <v/>
      </c>
      <c r="BR31" s="313">
        <f>IF(BR11=0,"-",BR30/BR11)</f>
        <v/>
      </c>
      <c r="BS31" s="313">
        <f>IF(BS11=0,"-",BS30/BS11)</f>
        <v/>
      </c>
      <c r="BT31" s="313">
        <f>IF(BT11=0,"-",BT30/BT11)</f>
        <v/>
      </c>
      <c r="BU31" s="313">
        <f>IF(BU11=0,"-",BU30/BU11)</f>
        <v/>
      </c>
      <c r="BV31" s="313">
        <f>IF(BV11=0,"-",BV30/BV11)</f>
        <v/>
      </c>
      <c r="BW31" s="313">
        <f>IF(BW11=0,"-",BW30/BW11)</f>
        <v/>
      </c>
      <c r="BX31" s="313">
        <f>IF(BX11=0,"-",BX30/BX11)</f>
        <v/>
      </c>
      <c r="BY31" s="12" t="n"/>
      <c r="BZ31" s="320" t="inlineStr">
        <is>
          <t>EBT%</t>
        </is>
      </c>
      <c r="CA31" s="307" t="n"/>
      <c r="CB31" s="307" t="n"/>
      <c r="CC31" s="307" t="n"/>
      <c r="CD31" s="1364" t="n">
        <v>0</v>
      </c>
      <c r="CE31" s="315">
        <f>AVERAGE(Q31:AB31)</f>
        <v/>
      </c>
      <c r="CF31" s="315">
        <f>AVERAGE(AC31:AN31)</f>
        <v/>
      </c>
      <c r="CG31" s="321">
        <f>AVERAGE(AO31:AZ31)</f>
        <v/>
      </c>
      <c r="CH31" s="321">
        <f>AVERAGE(BA31:BL31)</f>
        <v/>
      </c>
      <c r="CI31" s="321">
        <f>AVERAGE(BM31:BX31)</f>
        <v/>
      </c>
    </row>
    <row r="32" ht="12.75" customHeight="1" s="1883">
      <c r="A32" s="12" t="n"/>
      <c r="B32" s="312" t="n"/>
      <c r="C32" s="7" t="inlineStr">
        <is>
          <t>Interest Income</t>
        </is>
      </c>
      <c r="D32" s="25" t="n"/>
      <c r="E32" s="20" t="n">
        <v>0</v>
      </c>
      <c r="F32" s="20" t="n">
        <v>0</v>
      </c>
      <c r="G32" s="20" t="n">
        <v>0</v>
      </c>
      <c r="H32" s="20" t="n">
        <v>0</v>
      </c>
      <c r="I32" s="20" t="n">
        <v>0</v>
      </c>
      <c r="J32" s="20" t="n">
        <v>0</v>
      </c>
      <c r="K32" s="20" t="n">
        <v>0</v>
      </c>
      <c r="L32" s="20" t="n">
        <v>0</v>
      </c>
      <c r="M32" s="20" t="n">
        <v>0</v>
      </c>
      <c r="N32" s="20" t="n">
        <v>0</v>
      </c>
      <c r="O32" s="20" t="n">
        <v>0</v>
      </c>
      <c r="P32" s="20" t="n">
        <v>0</v>
      </c>
      <c r="Q32" s="298" t="n">
        <v>0</v>
      </c>
      <c r="R32" s="298" t="n">
        <v>0</v>
      </c>
      <c r="S32" s="298" t="n">
        <v>0</v>
      </c>
      <c r="T32" s="298" t="n">
        <v>0</v>
      </c>
      <c r="U32" s="298" t="n">
        <v>0</v>
      </c>
      <c r="V32" s="298" t="n">
        <v>0</v>
      </c>
      <c r="W32" s="298" t="n">
        <v>0</v>
      </c>
      <c r="X32" s="298" t="n">
        <v>0</v>
      </c>
      <c r="Y32" s="298" t="n">
        <v>0</v>
      </c>
      <c r="Z32" s="298" t="n">
        <v>0</v>
      </c>
      <c r="AA32" s="298" t="n">
        <v>0</v>
      </c>
      <c r="AB32" s="298" t="n">
        <v>0</v>
      </c>
      <c r="AC32" s="298" t="n">
        <v>0</v>
      </c>
      <c r="AD32" s="298" t="n">
        <v>0</v>
      </c>
      <c r="AE32" s="298" t="n">
        <v>0</v>
      </c>
      <c r="AF32" s="298" t="n">
        <v>0</v>
      </c>
      <c r="AG32" s="298" t="n">
        <v>0</v>
      </c>
      <c r="AH32" s="298" t="n">
        <v>0</v>
      </c>
      <c r="AI32" s="298" t="n">
        <v>0</v>
      </c>
      <c r="AJ32" s="298" t="n">
        <v>0</v>
      </c>
      <c r="AK32" s="298" t="n">
        <v>0</v>
      </c>
      <c r="AL32" s="298" t="n">
        <v>0</v>
      </c>
      <c r="AM32" s="298" t="n">
        <v>0</v>
      </c>
      <c r="AN32" s="298" t="n">
        <v>0</v>
      </c>
      <c r="AO32" s="298" t="n">
        <v>0</v>
      </c>
      <c r="AP32" s="298" t="n">
        <v>0</v>
      </c>
      <c r="AQ32" s="298" t="n">
        <v>0</v>
      </c>
      <c r="AR32" s="298" t="n">
        <v>0</v>
      </c>
      <c r="AS32" s="298" t="n">
        <v>0</v>
      </c>
      <c r="AT32" s="298" t="n">
        <v>0</v>
      </c>
      <c r="AU32" s="298" t="n">
        <v>0</v>
      </c>
      <c r="AV32" s="298" t="n">
        <v>0</v>
      </c>
      <c r="AW32" s="298" t="n">
        <v>0</v>
      </c>
      <c r="AX32" s="298" t="n">
        <v>0</v>
      </c>
      <c r="AY32" s="298" t="n">
        <v>0</v>
      </c>
      <c r="AZ32" s="298" t="n">
        <v>0</v>
      </c>
      <c r="BA32" s="298" t="n">
        <v>0</v>
      </c>
      <c r="BB32" s="298" t="n">
        <v>0</v>
      </c>
      <c r="BC32" s="298" t="n">
        <v>0</v>
      </c>
      <c r="BD32" s="298" t="n">
        <v>0</v>
      </c>
      <c r="BE32" s="298" t="n">
        <v>0</v>
      </c>
      <c r="BF32" s="298" t="n">
        <v>0</v>
      </c>
      <c r="BG32" s="298" t="n">
        <v>0</v>
      </c>
      <c r="BH32" s="298" t="n">
        <v>0</v>
      </c>
      <c r="BI32" s="298" t="n">
        <v>0</v>
      </c>
      <c r="BJ32" s="298" t="n">
        <v>0</v>
      </c>
      <c r="BK32" s="298" t="n">
        <v>0</v>
      </c>
      <c r="BL32" s="298" t="n">
        <v>0</v>
      </c>
      <c r="BM32" s="298" t="n">
        <v>0</v>
      </c>
      <c r="BN32" s="298" t="n">
        <v>0</v>
      </c>
      <c r="BO32" s="298" t="n">
        <v>0</v>
      </c>
      <c r="BP32" s="298" t="n">
        <v>0</v>
      </c>
      <c r="BQ32" s="298" t="n">
        <v>0</v>
      </c>
      <c r="BR32" s="298" t="n">
        <v>0</v>
      </c>
      <c r="BS32" s="298" t="n">
        <v>0</v>
      </c>
      <c r="BT32" s="298" t="n">
        <v>0</v>
      </c>
      <c r="BU32" s="298" t="n">
        <v>0</v>
      </c>
      <c r="BV32" s="298" t="n">
        <v>0</v>
      </c>
      <c r="BW32" s="298" t="n">
        <v>0</v>
      </c>
      <c r="BX32" s="298" t="n">
        <v>0</v>
      </c>
      <c r="BY32" s="12" t="n"/>
      <c r="BZ32" s="320" t="n"/>
      <c r="CA32" s="297" t="inlineStr">
        <is>
          <t>Interest Income</t>
        </is>
      </c>
      <c r="CB32" s="307" t="n"/>
      <c r="CC32" s="307" t="n"/>
      <c r="CD32" s="2155">
        <f>SUM(E32:P32)</f>
        <v/>
      </c>
      <c r="CE32" s="2154">
        <f>SUM(Q32:AB32)</f>
        <v/>
      </c>
      <c r="CF32" s="2154">
        <f>SUM(R32:AC32)</f>
        <v/>
      </c>
      <c r="CG32" s="2014">
        <f>SUM(AO32:AZ32)</f>
        <v/>
      </c>
      <c r="CH32" s="2014">
        <f>SUM(BA32:BL32)</f>
        <v/>
      </c>
      <c r="CI32" s="2014">
        <f>SUM(BM32:BX32)</f>
        <v/>
      </c>
    </row>
    <row r="33" ht="12.75" customHeight="1" s="1883">
      <c r="A33" s="12" t="n"/>
      <c r="B33" s="312" t="n"/>
      <c r="C33" s="7" t="inlineStr">
        <is>
          <t>Other Income (Expenses)</t>
        </is>
      </c>
      <c r="D33" s="25" t="n"/>
      <c r="E33" s="20" t="n">
        <v>0</v>
      </c>
      <c r="F33" s="20" t="n">
        <v>0</v>
      </c>
      <c r="G33" s="20" t="n">
        <v>0</v>
      </c>
      <c r="H33" s="20" t="n">
        <v>0</v>
      </c>
      <c r="I33" s="20" t="n">
        <v>0</v>
      </c>
      <c r="J33" s="20" t="n">
        <v>0</v>
      </c>
      <c r="K33" s="20" t="n">
        <v>0</v>
      </c>
      <c r="L33" s="20" t="n">
        <v>0</v>
      </c>
      <c r="M33" s="20" t="n">
        <v>0</v>
      </c>
      <c r="N33" s="20" t="n">
        <v>0</v>
      </c>
      <c r="O33" s="20" t="n">
        <v>0</v>
      </c>
      <c r="P33" s="20" t="n">
        <v>0</v>
      </c>
      <c r="Q33" s="298" t="n">
        <v>0</v>
      </c>
      <c r="R33" s="298" t="n">
        <v>0</v>
      </c>
      <c r="S33" s="298" t="n">
        <v>0</v>
      </c>
      <c r="T33" s="298" t="n">
        <v>0</v>
      </c>
      <c r="U33" s="298" t="n">
        <v>0</v>
      </c>
      <c r="V33" s="298" t="n">
        <v>0</v>
      </c>
      <c r="W33" s="298" t="n">
        <v>0</v>
      </c>
      <c r="X33" s="298" t="n">
        <v>0</v>
      </c>
      <c r="Y33" s="298" t="n">
        <v>0</v>
      </c>
      <c r="Z33" s="298" t="n">
        <v>0</v>
      </c>
      <c r="AA33" s="298" t="n">
        <v>0</v>
      </c>
      <c r="AB33" s="298" t="n">
        <v>0</v>
      </c>
      <c r="AC33" s="298" t="n">
        <v>0</v>
      </c>
      <c r="AD33" s="298" t="n">
        <v>0</v>
      </c>
      <c r="AE33" s="298" t="n">
        <v>0</v>
      </c>
      <c r="AF33" s="298" t="n">
        <v>0</v>
      </c>
      <c r="AG33" s="298" t="n">
        <v>0</v>
      </c>
      <c r="AH33" s="298" t="n">
        <v>0</v>
      </c>
      <c r="AI33" s="298" t="n">
        <v>0</v>
      </c>
      <c r="AJ33" s="298" t="n">
        <v>0</v>
      </c>
      <c r="AK33" s="298" t="n">
        <v>0</v>
      </c>
      <c r="AL33" s="298" t="n">
        <v>0</v>
      </c>
      <c r="AM33" s="298" t="n">
        <v>0</v>
      </c>
      <c r="AN33" s="298" t="n">
        <v>0</v>
      </c>
      <c r="AO33" s="298" t="n">
        <v>0</v>
      </c>
      <c r="AP33" s="298" t="n">
        <v>0</v>
      </c>
      <c r="AQ33" s="298" t="n">
        <v>0</v>
      </c>
      <c r="AR33" s="298" t="n">
        <v>0</v>
      </c>
      <c r="AS33" s="298" t="n">
        <v>0</v>
      </c>
      <c r="AT33" s="298" t="n">
        <v>0</v>
      </c>
      <c r="AU33" s="298" t="n">
        <v>0</v>
      </c>
      <c r="AV33" s="298" t="n">
        <v>0</v>
      </c>
      <c r="AW33" s="298" t="n">
        <v>0</v>
      </c>
      <c r="AX33" s="298" t="n">
        <v>0</v>
      </c>
      <c r="AY33" s="298" t="n">
        <v>0</v>
      </c>
      <c r="AZ33" s="298" t="n">
        <v>0</v>
      </c>
      <c r="BA33" s="298" t="n">
        <v>0</v>
      </c>
      <c r="BB33" s="298" t="n">
        <v>0</v>
      </c>
      <c r="BC33" s="298" t="n">
        <v>0</v>
      </c>
      <c r="BD33" s="298" t="n">
        <v>0</v>
      </c>
      <c r="BE33" s="298" t="n">
        <v>0</v>
      </c>
      <c r="BF33" s="298" t="n">
        <v>0</v>
      </c>
      <c r="BG33" s="298" t="n">
        <v>0</v>
      </c>
      <c r="BH33" s="298" t="n">
        <v>0</v>
      </c>
      <c r="BI33" s="298" t="n">
        <v>0</v>
      </c>
      <c r="BJ33" s="298" t="n">
        <v>0</v>
      </c>
      <c r="BK33" s="298" t="n">
        <v>0</v>
      </c>
      <c r="BL33" s="298" t="n">
        <v>0</v>
      </c>
      <c r="BM33" s="298" t="n">
        <v>0</v>
      </c>
      <c r="BN33" s="298" t="n">
        <v>0</v>
      </c>
      <c r="BO33" s="298" t="n">
        <v>0</v>
      </c>
      <c r="BP33" s="298" t="n">
        <v>0</v>
      </c>
      <c r="BQ33" s="298" t="n">
        <v>0</v>
      </c>
      <c r="BR33" s="298" t="n">
        <v>0</v>
      </c>
      <c r="BS33" s="298" t="n">
        <v>0</v>
      </c>
      <c r="BT33" s="298" t="n">
        <v>0</v>
      </c>
      <c r="BU33" s="298" t="n">
        <v>0</v>
      </c>
      <c r="BV33" s="298" t="n">
        <v>0</v>
      </c>
      <c r="BW33" s="298" t="n">
        <v>0</v>
      </c>
      <c r="BX33" s="298" t="n">
        <v>0</v>
      </c>
      <c r="BY33" s="12" t="n"/>
      <c r="BZ33" s="320" t="n"/>
      <c r="CA33" s="297" t="inlineStr">
        <is>
          <t>Other Income (Expenses)</t>
        </is>
      </c>
      <c r="CB33" s="307" t="n"/>
      <c r="CC33" s="307" t="n"/>
      <c r="CD33" s="2155">
        <f>SUM(E33:P33)</f>
        <v/>
      </c>
      <c r="CE33" s="2154">
        <f>SUM(Q33:AB33)</f>
        <v/>
      </c>
      <c r="CF33" s="2154">
        <f>SUM(R33:AC33)</f>
        <v/>
      </c>
      <c r="CG33" s="2014">
        <f>SUM(AO33:AZ33)</f>
        <v/>
      </c>
      <c r="CH33" s="2014">
        <f>SUM(BA33:BL33)</f>
        <v/>
      </c>
      <c r="CI33" s="2014">
        <f>SUM(BM33:BX33)</f>
        <v/>
      </c>
    </row>
    <row r="34" ht="12.75" customHeight="1" s="1883">
      <c r="A34" s="19" t="n"/>
      <c r="B34" s="312" t="inlineStr">
        <is>
          <t>Pretax Income</t>
        </is>
      </c>
      <c r="C34" s="19" t="n"/>
      <c r="D34" s="25" t="n"/>
      <c r="E34" s="1359">
        <f>E30-SUM(E32:E33)</f>
        <v/>
      </c>
      <c r="F34" s="1359">
        <f>F30-SUM(F32:F33)</f>
        <v/>
      </c>
      <c r="G34" s="1359">
        <f>G30-SUM(G32:G33)</f>
        <v/>
      </c>
      <c r="H34" s="1359">
        <f>H30-SUM(H32:H33)</f>
        <v/>
      </c>
      <c r="I34" s="1359">
        <f>I30-SUM(I32:I33)</f>
        <v/>
      </c>
      <c r="J34" s="1359">
        <f>J30-SUM(J32:J33)</f>
        <v/>
      </c>
      <c r="K34" s="1359">
        <f>K30-SUM(K32:K33)</f>
        <v/>
      </c>
      <c r="L34" s="1359">
        <f>L30-SUM(L32:L33)</f>
        <v/>
      </c>
      <c r="M34" s="1359">
        <f>M30-SUM(M32:M33)</f>
        <v/>
      </c>
      <c r="N34" s="1359">
        <f>N30-SUM(N32:N33)</f>
        <v/>
      </c>
      <c r="O34" s="1359">
        <f>O30-SUM(O32:O33)</f>
        <v/>
      </c>
      <c r="P34" s="1359">
        <f>P30-SUM(P32:P33)</f>
        <v/>
      </c>
      <c r="Q34" s="1360">
        <f>Q30+SUM(Q32:Q33)</f>
        <v/>
      </c>
      <c r="R34" s="1360">
        <f>R30+SUM(R32:R33)</f>
        <v/>
      </c>
      <c r="S34" s="1360">
        <f>S30+SUM(S32:S33)</f>
        <v/>
      </c>
      <c r="T34" s="1360">
        <f>T30-SUM(T32:T33)</f>
        <v/>
      </c>
      <c r="U34" s="1360">
        <f>U30-SUM(U32:U33)</f>
        <v/>
      </c>
      <c r="V34" s="1360">
        <f>V30-SUM(V32:V33)</f>
        <v/>
      </c>
      <c r="W34" s="1360">
        <f>W30-SUM(W32:W33)</f>
        <v/>
      </c>
      <c r="X34" s="1360">
        <f>X30-SUM(X32:X33)</f>
        <v/>
      </c>
      <c r="Y34" s="1360">
        <f>Y30-SUM(Y32:Y33)</f>
        <v/>
      </c>
      <c r="Z34" s="1360">
        <f>Z30-SUM(Z32:Z33)</f>
        <v/>
      </c>
      <c r="AA34" s="1360">
        <f>AA30-SUM(AA32:AA33)</f>
        <v/>
      </c>
      <c r="AB34" s="1360">
        <f>AB30-SUM(AB32:AB33)</f>
        <v/>
      </c>
      <c r="AC34" s="1360">
        <f>AC30-SUM(AC32:AC33)</f>
        <v/>
      </c>
      <c r="AD34" s="1360">
        <f>AD30-SUM(AD32:AD33)</f>
        <v/>
      </c>
      <c r="AE34" s="1360">
        <f>AE30-SUM(AE32:AE33)</f>
        <v/>
      </c>
      <c r="AF34" s="1360">
        <f>AF30-SUM(AF32:AF33)</f>
        <v/>
      </c>
      <c r="AG34" s="1360">
        <f>AG30-SUM(AG32:AG33)</f>
        <v/>
      </c>
      <c r="AH34" s="1360">
        <f>AH30-SUM(AH32:AH33)</f>
        <v/>
      </c>
      <c r="AI34" s="1360">
        <f>AI30-SUM(AI32:AI33)</f>
        <v/>
      </c>
      <c r="AJ34" s="1360">
        <f>AJ30-SUM(AJ32:AJ33)</f>
        <v/>
      </c>
      <c r="AK34" s="1360">
        <f>AK30-SUM(AK32:AK33)</f>
        <v/>
      </c>
      <c r="AL34" s="1360">
        <f>AL30-SUM(AL32:AL33)</f>
        <v/>
      </c>
      <c r="AM34" s="1360">
        <f>AM30-SUM(AM32:AM33)</f>
        <v/>
      </c>
      <c r="AN34" s="1360">
        <f>AN30-SUM(AN32:AN33)</f>
        <v/>
      </c>
      <c r="AO34" s="1360">
        <f>AO30-SUM(AO32:AO33)</f>
        <v/>
      </c>
      <c r="AP34" s="1360">
        <f>AP30-SUM(AP32:AP33)</f>
        <v/>
      </c>
      <c r="AQ34" s="1360">
        <f>AQ30-SUM(AQ32:AQ33)</f>
        <v/>
      </c>
      <c r="AR34" s="1360">
        <f>AR30-SUM(AR32:AR33)</f>
        <v/>
      </c>
      <c r="AS34" s="1360">
        <f>AS30-SUM(AS32:AS33)</f>
        <v/>
      </c>
      <c r="AT34" s="1360">
        <f>AT30-SUM(AT32:AT33)</f>
        <v/>
      </c>
      <c r="AU34" s="1360">
        <f>AU30-SUM(AU32:AU33)</f>
        <v/>
      </c>
      <c r="AV34" s="1360">
        <f>AV30-SUM(AV32:AV33)</f>
        <v/>
      </c>
      <c r="AW34" s="1360">
        <f>AW30-SUM(AW32:AW33)</f>
        <v/>
      </c>
      <c r="AX34" s="1360">
        <f>AX30-SUM(AX32:AX33)</f>
        <v/>
      </c>
      <c r="AY34" s="1360">
        <f>AY30-SUM(AY32:AY33)</f>
        <v/>
      </c>
      <c r="AZ34" s="1360">
        <f>AZ30-SUM(AZ32:AZ33)</f>
        <v/>
      </c>
      <c r="BA34" s="1360">
        <f>BA30-SUM(BA32:BA33)</f>
        <v/>
      </c>
      <c r="BB34" s="1360">
        <f>BB30-SUM(BB32:BB33)</f>
        <v/>
      </c>
      <c r="BC34" s="1360">
        <f>BC30-SUM(BC32:BC33)</f>
        <v/>
      </c>
      <c r="BD34" s="1360">
        <f>BD30-SUM(BD32:BD33)</f>
        <v/>
      </c>
      <c r="BE34" s="1360">
        <f>BE30-SUM(BE32:BE33)</f>
        <v/>
      </c>
      <c r="BF34" s="1360">
        <f>BF30-SUM(BF32:BF33)</f>
        <v/>
      </c>
      <c r="BG34" s="1360">
        <f>BG30-SUM(BG32:BG33)</f>
        <v/>
      </c>
      <c r="BH34" s="1360">
        <f>BH30-SUM(BH32:BH33)</f>
        <v/>
      </c>
      <c r="BI34" s="1360">
        <f>BI30-SUM(BI32:BI33)</f>
        <v/>
      </c>
      <c r="BJ34" s="1360">
        <f>BJ30-SUM(BJ32:BJ33)</f>
        <v/>
      </c>
      <c r="BK34" s="1360">
        <f>BK30-SUM(BK32:BK33)</f>
        <v/>
      </c>
      <c r="BL34" s="1360">
        <f>BL30-SUM(BL32:BL33)</f>
        <v/>
      </c>
      <c r="BM34" s="1360">
        <f>BM30-SUM(BM32:BM33)</f>
        <v/>
      </c>
      <c r="BN34" s="1360">
        <f>BN30-SUM(BN32:BN33)</f>
        <v/>
      </c>
      <c r="BO34" s="1360">
        <f>BO30-SUM(BO32:BO33)</f>
        <v/>
      </c>
      <c r="BP34" s="1360">
        <f>BP30-SUM(BP32:BP33)</f>
        <v/>
      </c>
      <c r="BQ34" s="1360">
        <f>BQ30-SUM(BQ32:BQ33)</f>
        <v/>
      </c>
      <c r="BR34" s="1360">
        <f>BR30-SUM(BR32:BR33)</f>
        <v/>
      </c>
      <c r="BS34" s="1360">
        <f>BS30-SUM(BS32:BS33)</f>
        <v/>
      </c>
      <c r="BT34" s="1360">
        <f>BT30-SUM(BT32:BT33)</f>
        <v/>
      </c>
      <c r="BU34" s="1360">
        <f>BU30-SUM(BU32:BU33)</f>
        <v/>
      </c>
      <c r="BV34" s="1360">
        <f>BV30-SUM(BV32:BV33)</f>
        <v/>
      </c>
      <c r="BW34" s="1360">
        <f>BW30-SUM(BW32:BW33)</f>
        <v/>
      </c>
      <c r="BX34" s="1360">
        <f>BX30-SUM(BX32:BX33)</f>
        <v/>
      </c>
      <c r="BY34" s="19" t="n"/>
      <c r="BZ34" s="320" t="inlineStr">
        <is>
          <t>Pretax Income</t>
        </is>
      </c>
      <c r="CA34" s="304" t="n"/>
      <c r="CB34" s="304" t="n"/>
      <c r="CC34" s="304" t="n"/>
      <c r="CD34" s="2156">
        <f>SUM(E34:P34)</f>
        <v/>
      </c>
      <c r="CE34" s="2157">
        <f>SUM(Q34:AB34)</f>
        <v/>
      </c>
      <c r="CF34" s="2157">
        <f>SUM(AC34:AN34)</f>
        <v/>
      </c>
      <c r="CG34" s="2017">
        <f>SUM(AO34:AZ34)</f>
        <v/>
      </c>
      <c r="CH34" s="2017">
        <f>SUM(BA34:BL34)</f>
        <v/>
      </c>
      <c r="CI34" s="2017">
        <f>SUM(BM34:BX34)</f>
        <v/>
      </c>
    </row>
    <row r="35" ht="12.75" customHeight="1" s="1883">
      <c r="A35" s="19" t="n"/>
      <c r="B35" s="322" t="n"/>
      <c r="C35" s="43" t="inlineStr">
        <is>
          <t>Cumulative Net Operating Loss</t>
        </is>
      </c>
      <c r="D35" s="43" t="n"/>
      <c r="E35" s="20">
        <f>+E34</f>
        <v/>
      </c>
      <c r="F35" s="20">
        <f>+E35+F34</f>
        <v/>
      </c>
      <c r="G35" s="20">
        <f>+F35+G34</f>
        <v/>
      </c>
      <c r="H35" s="20">
        <f>+G35+H34</f>
        <v/>
      </c>
      <c r="I35" s="20">
        <f>+H35+I34</f>
        <v/>
      </c>
      <c r="J35" s="20">
        <f>+I35+J34</f>
        <v/>
      </c>
      <c r="K35" s="20">
        <f>+K34</f>
        <v/>
      </c>
      <c r="L35" s="20">
        <f>+K35+L34</f>
        <v/>
      </c>
      <c r="M35" s="20">
        <f>+L35+M34</f>
        <v/>
      </c>
      <c r="N35" s="20">
        <f>+M35+N34</f>
        <v/>
      </c>
      <c r="O35" s="20">
        <f>+N35+O34</f>
        <v/>
      </c>
      <c r="P35" s="20">
        <f>+O35+P34</f>
        <v/>
      </c>
      <c r="Q35" s="298">
        <f>+P35</f>
        <v/>
      </c>
      <c r="R35" s="298">
        <f>IF(R34&lt;0,R34+Q35,Q35+Q36)</f>
        <v/>
      </c>
      <c r="S35" s="298">
        <f>IF(S34&lt;0,S34+R35,R35+R36)</f>
        <v/>
      </c>
      <c r="T35" s="298">
        <f>IF(T34&lt;0,T34+S35,S35+S36)</f>
        <v/>
      </c>
      <c r="U35" s="298">
        <f>IF(U34&lt;0,U34+T35,T35+T36)</f>
        <v/>
      </c>
      <c r="V35" s="298">
        <f>IF(V34&lt;0,V34+U35,U35+U36)</f>
        <v/>
      </c>
      <c r="W35" s="298">
        <f>IF(W34&lt;0,W34+V35,V35+V36)</f>
        <v/>
      </c>
      <c r="X35" s="298">
        <f>IF(X34&lt;0,X34+W35,W35+W36)</f>
        <v/>
      </c>
      <c r="Y35" s="298">
        <f>IF(Y34&lt;0,Y34+X35,X35+X36)</f>
        <v/>
      </c>
      <c r="Z35" s="298">
        <f>IF(Z34&lt;0,Z34+Y35,Y35+Y36)</f>
        <v/>
      </c>
      <c r="AA35" s="298">
        <f>IF(AA34&lt;0,AA34+Z35,Z35+Z36)</f>
        <v/>
      </c>
      <c r="AB35" s="298">
        <f>IF(AB34&lt;0,AB34+AA35,AA35+AA36)</f>
        <v/>
      </c>
      <c r="AC35" s="298">
        <f>IF(AC34&lt;0,AC34+AB35,AB35+AB36)</f>
        <v/>
      </c>
      <c r="AD35" s="298">
        <f>IF(AD34&lt;0,AD34+AC35,AC35+AC36)</f>
        <v/>
      </c>
      <c r="AE35" s="298">
        <f>IF(AE34&lt;0,AE34+AD35,AD35+AD36)</f>
        <v/>
      </c>
      <c r="AF35" s="298">
        <f>IF(AF34&lt;0,AF34+AE35,AE35+AE36)</f>
        <v/>
      </c>
      <c r="AG35" s="298">
        <f>IF(AG34&lt;0,AG34+AF35,AF35+AF36)</f>
        <v/>
      </c>
      <c r="AH35" s="298">
        <f>IF(AH34&lt;0,AH34+AG35,AG35+AG36)</f>
        <v/>
      </c>
      <c r="AI35" s="298">
        <f>IF(AI34&lt;0,AI34+AH35,AH35+AH36)</f>
        <v/>
      </c>
      <c r="AJ35" s="298">
        <f>IF(AJ34&lt;0,AJ34+AI35,AI35+AI36)</f>
        <v/>
      </c>
      <c r="AK35" s="298">
        <f>IF(AK34&lt;0,AK34+AJ35,AJ35+AJ36)</f>
        <v/>
      </c>
      <c r="AL35" s="298">
        <f>IF(AL34&lt;0,AL34+AK35,AK35+AK36)</f>
        <v/>
      </c>
      <c r="AM35" s="298">
        <f>IF(AM34&lt;0,AM34+AL35,AL35+AL36)</f>
        <v/>
      </c>
      <c r="AN35" s="298">
        <f>IF(AN34&lt;0,AN34+AM35,AM35+AM36)</f>
        <v/>
      </c>
      <c r="AO35" s="298">
        <f>IF(AO34&lt;0,AO34+AN35,AN35+AN36)</f>
        <v/>
      </c>
      <c r="AP35" s="298">
        <f>IF(AP34&lt;0,AP34+AO35,AO35+AO36)</f>
        <v/>
      </c>
      <c r="AQ35" s="298">
        <f>IF(AQ34&lt;0,AQ34+AP35,AP35+AP36)</f>
        <v/>
      </c>
      <c r="AR35" s="298">
        <f>IF(AR34&lt;0,AR34+AQ35,AQ35+AQ36)</f>
        <v/>
      </c>
      <c r="AS35" s="298">
        <f>IF(AS34&lt;0,AS34+AR35,AR35+AR36)</f>
        <v/>
      </c>
      <c r="AT35" s="298">
        <f>IF(AT34&lt;0,AT34+AS35,AS35+AS36)</f>
        <v/>
      </c>
      <c r="AU35" s="298">
        <f>IF(AU34&lt;0,AU34+AT35,AT35+AT36)</f>
        <v/>
      </c>
      <c r="AV35" s="298">
        <f>IF(AV34&lt;0,AV34+AU35,AU35+AU36)</f>
        <v/>
      </c>
      <c r="AW35" s="298">
        <f>IF(AW34&lt;0,AW34+AV35,AV35+AV36)</f>
        <v/>
      </c>
      <c r="AX35" s="298">
        <f>IF(AX34&lt;0,AX34+AW35,AW35+AW36)</f>
        <v/>
      </c>
      <c r="AY35" s="298">
        <f>IF(AY34&lt;0,AY34+AX35,AX35+AX36)</f>
        <v/>
      </c>
      <c r="AZ35" s="298">
        <f>IF(AZ34&lt;0,AZ34+AY35,AY35+AY36)</f>
        <v/>
      </c>
      <c r="BA35" s="298">
        <f>IF(BA34&lt;0,BA34+AZ35,AZ35+AZ36)</f>
        <v/>
      </c>
      <c r="BB35" s="298">
        <f>IF(BB34&lt;0,BB34+BA35,BA35+BA36)</f>
        <v/>
      </c>
      <c r="BC35" s="298">
        <f>IF(BC34&lt;0,BC34+BB35,BB35+BB36)</f>
        <v/>
      </c>
      <c r="BD35" s="298">
        <f>IF(BD34&lt;0,BD34+BC35,BC35+BC36)</f>
        <v/>
      </c>
      <c r="BE35" s="298">
        <f>IF(BE34&lt;0,BE34+BD35,BD35+BD36)</f>
        <v/>
      </c>
      <c r="BF35" s="298">
        <f>IF(BF34&lt;0,BF34+BE35,BE35+BE36)</f>
        <v/>
      </c>
      <c r="BG35" s="298">
        <f>IF(BG34&lt;0,BG34+BF35,BF35+BF36)</f>
        <v/>
      </c>
      <c r="BH35" s="298">
        <f>IF(BH34&lt;0,BH34+BG35,BG35+BG36)</f>
        <v/>
      </c>
      <c r="BI35" s="298">
        <f>IF(BI34&lt;0,BI34+BH35,BH35+BH36)</f>
        <v/>
      </c>
      <c r="BJ35" s="298">
        <f>IF(BJ34&lt;0,BJ34+BI35,BI35+BI36)</f>
        <v/>
      </c>
      <c r="BK35" s="298">
        <f>IF(BK34&lt;0,BK34+BJ35,BJ35+BJ36)</f>
        <v/>
      </c>
      <c r="BL35" s="298">
        <f>IF(BL34&lt;0,BL34+BK35,BK35+BK36)</f>
        <v/>
      </c>
      <c r="BM35" s="298">
        <f>IF(BM34&lt;0,BM34+BL35,BL35+BL36)</f>
        <v/>
      </c>
      <c r="BN35" s="298">
        <f>IF(BN34&lt;0,BN34+BM35,BM35+BM36)</f>
        <v/>
      </c>
      <c r="BO35" s="298">
        <f>IF(BO34&lt;0,BO34+BN35,BN35+BN36)</f>
        <v/>
      </c>
      <c r="BP35" s="298">
        <f>IF(BP34&lt;0,BP34+BO35,BO35+BO36)</f>
        <v/>
      </c>
      <c r="BQ35" s="298">
        <f>IF(BQ34&lt;0,BQ34+BP35,BP35+BP36)</f>
        <v/>
      </c>
      <c r="BR35" s="298">
        <f>IF(BR34&lt;0,BR34+BQ35,BQ35+BQ36)</f>
        <v/>
      </c>
      <c r="BS35" s="298">
        <f>IF(BS34&lt;0,BS34+BR35,BR35+BR36)</f>
        <v/>
      </c>
      <c r="BT35" s="298">
        <f>IF(BT34&lt;0,BT34+BS35,BS35+BS36)</f>
        <v/>
      </c>
      <c r="BU35" s="298">
        <f>IF(BU34&lt;0,BU34+BT35,BT35+BT36)</f>
        <v/>
      </c>
      <c r="BV35" s="298">
        <f>IF(BV34&lt;0,BV34+BU35,BU35+BU36)</f>
        <v/>
      </c>
      <c r="BW35" s="298">
        <f>IF(BW34&lt;0,BW34+BV35,BV35+BV36)</f>
        <v/>
      </c>
      <c r="BX35" s="298">
        <f>IF(BX34&lt;0,BX34+BW35,BW35+BW36)</f>
        <v/>
      </c>
      <c r="BY35" s="19" t="n"/>
      <c r="BZ35" s="323" t="n"/>
      <c r="CA35" s="324" t="inlineStr">
        <is>
          <t>Cumulative Net Operating Loss</t>
        </is>
      </c>
      <c r="CB35" s="304" t="n"/>
      <c r="CC35" s="304" t="n"/>
      <c r="CD35" s="2155">
        <f>P35</f>
        <v/>
      </c>
      <c r="CE35" s="2154">
        <f>SUM(Q35:AB35)</f>
        <v/>
      </c>
      <c r="CF35" s="2154">
        <f>SUM(AC35:AN35)</f>
        <v/>
      </c>
      <c r="CG35" s="2014">
        <f>SUM(AO35:AZ35)</f>
        <v/>
      </c>
      <c r="CH35" s="2014">
        <f>SUM(BA35:BL35)</f>
        <v/>
      </c>
      <c r="CI35" s="2014">
        <f>SUM(BM35:BX35)</f>
        <v/>
      </c>
    </row>
    <row r="36" ht="12.75" customHeight="1" s="1883">
      <c r="A36" s="19" t="n"/>
      <c r="B36" s="322" t="n"/>
      <c r="C36" s="43" t="inlineStr">
        <is>
          <t>Adjusted against Loss</t>
        </is>
      </c>
      <c r="D36" s="43" t="n"/>
      <c r="E36" s="20" t="n">
        <v>0</v>
      </c>
      <c r="F36" s="20" t="n">
        <v>0</v>
      </c>
      <c r="G36" s="20" t="n">
        <v>0</v>
      </c>
      <c r="H36" s="20" t="n">
        <v>0</v>
      </c>
      <c r="I36" s="20" t="n">
        <v>0</v>
      </c>
      <c r="J36" s="20" t="n">
        <v>0</v>
      </c>
      <c r="K36" s="20" t="n">
        <v>0</v>
      </c>
      <c r="L36" s="20" t="n">
        <v>0</v>
      </c>
      <c r="M36" s="20" t="n">
        <v>0</v>
      </c>
      <c r="N36" s="20" t="n">
        <v>0</v>
      </c>
      <c r="O36" s="20" t="n">
        <v>0</v>
      </c>
      <c r="P36" s="20" t="n">
        <v>0</v>
      </c>
      <c r="Q36" s="298">
        <f>IF(Q34&lt;0,0,MIN(Q34,-Q35))</f>
        <v/>
      </c>
      <c r="R36" s="298">
        <f>IF(R34&lt;0,0,MIN(R34,-R35))</f>
        <v/>
      </c>
      <c r="S36" s="298">
        <f>IF(S34&lt;0,0,MIN(S34,-S35))</f>
        <v/>
      </c>
      <c r="T36" s="298">
        <f>IF(T34&lt;0,0,MIN(T34,-T35))</f>
        <v/>
      </c>
      <c r="U36" s="298">
        <f>IF(U34&lt;0,0,MIN(U34,-U35))</f>
        <v/>
      </c>
      <c r="V36" s="298">
        <f>IF(V34&lt;0,0,MIN(V34,-V35))</f>
        <v/>
      </c>
      <c r="W36" s="298">
        <f>IF(W34&lt;0,0,MIN(W34,-W35))</f>
        <v/>
      </c>
      <c r="X36" s="298">
        <f>IF(X34&lt;0,0,MIN(X34,-X35))</f>
        <v/>
      </c>
      <c r="Y36" s="298">
        <f>IF(Y34&lt;0,0,MIN(Y34,-Y35))</f>
        <v/>
      </c>
      <c r="Z36" s="298">
        <f>IF(Z34&lt;0,0,MIN(Z34,-Z35))</f>
        <v/>
      </c>
      <c r="AA36" s="298">
        <f>IF(AA34&lt;0,0,MIN(AA34,-AA35))</f>
        <v/>
      </c>
      <c r="AB36" s="298">
        <f>IF(AB34&lt;0,0,MIN(AB34,-AB35))</f>
        <v/>
      </c>
      <c r="AC36" s="298">
        <f>IF(AC34&lt;0,0,MIN(AC34,-AC35))</f>
        <v/>
      </c>
      <c r="AD36" s="298">
        <f>IF(AD34&lt;0,0,MIN(AD34,-AD35))</f>
        <v/>
      </c>
      <c r="AE36" s="298">
        <f>IF(AE34&lt;0,0,MIN(AE34,-AE35))</f>
        <v/>
      </c>
      <c r="AF36" s="298">
        <f>IF(AF34&lt;0,0,MIN(AF34,-AF35))</f>
        <v/>
      </c>
      <c r="AG36" s="298">
        <f>IF(AG34&lt;0,0,MIN(AG34,-AG35))</f>
        <v/>
      </c>
      <c r="AH36" s="298">
        <f>IF(AH34&lt;0,0,MIN(AH34,-AH35))</f>
        <v/>
      </c>
      <c r="AI36" s="298">
        <f>IF(AI34&lt;0,0,MIN(AI34,-AI35))</f>
        <v/>
      </c>
      <c r="AJ36" s="298">
        <f>IF(AJ34&lt;0,0,MIN(AJ34,-AJ35))</f>
        <v/>
      </c>
      <c r="AK36" s="298">
        <f>IF(AK34&lt;0,0,MIN(AK34,-AK35))</f>
        <v/>
      </c>
      <c r="AL36" s="298">
        <f>IF(AL34&lt;0,0,MIN(AL34,-AL35))</f>
        <v/>
      </c>
      <c r="AM36" s="298">
        <f>IF(AM34&lt;0,0,MIN(AM34,-AM35))</f>
        <v/>
      </c>
      <c r="AN36" s="298">
        <f>IF(AN34&lt;0,0,MIN(AN34,-AN35))</f>
        <v/>
      </c>
      <c r="AO36" s="298">
        <f>IF(AO34&lt;0,0,MIN(AO34,-AO35))</f>
        <v/>
      </c>
      <c r="AP36" s="298">
        <f>IF(AP34&lt;0,0,MIN(AP34,-AP35))</f>
        <v/>
      </c>
      <c r="AQ36" s="298">
        <f>IF(AQ34&lt;0,0,MIN(AQ34,-AQ35))</f>
        <v/>
      </c>
      <c r="AR36" s="298">
        <f>IF(AR34&lt;0,0,MIN(AR34,-AR35))</f>
        <v/>
      </c>
      <c r="AS36" s="298">
        <f>IF(AS34&lt;0,0,MIN(AS34,-AS35))</f>
        <v/>
      </c>
      <c r="AT36" s="298">
        <f>IF(AT34&lt;0,0,MIN(AT34,-AT35))</f>
        <v/>
      </c>
      <c r="AU36" s="298">
        <f>IF(AU34&lt;0,0,MIN(AU34,-AU35))</f>
        <v/>
      </c>
      <c r="AV36" s="298">
        <f>IF(AV34&lt;0,0,MIN(AV34,-AV35))</f>
        <v/>
      </c>
      <c r="AW36" s="298">
        <f>IF(AW34&lt;0,0,MIN(AW34,-AW35))</f>
        <v/>
      </c>
      <c r="AX36" s="298">
        <f>IF(AX34&lt;0,0,MIN(AX34,-AX35))</f>
        <v/>
      </c>
      <c r="AY36" s="298">
        <f>IF(AY34&lt;0,0,MIN(AY34,-AY35))</f>
        <v/>
      </c>
      <c r="AZ36" s="298">
        <f>IF(AZ34&lt;0,0,MIN(AZ34,-AZ35))</f>
        <v/>
      </c>
      <c r="BA36" s="298">
        <f>IF(BA34&lt;0,0,MIN(BA34,-BA35))</f>
        <v/>
      </c>
      <c r="BB36" s="298">
        <f>IF(BB34&lt;0,0,MIN(BB34,-BB35))</f>
        <v/>
      </c>
      <c r="BC36" s="298">
        <f>IF(BC34&lt;0,0,MIN(BC34,-BC35))</f>
        <v/>
      </c>
      <c r="BD36" s="298">
        <f>IF(BD34&lt;0,0,MIN(BD34,-BD35))</f>
        <v/>
      </c>
      <c r="BE36" s="298">
        <f>IF(BE34&lt;0,0,MIN(BE34,-BE35))</f>
        <v/>
      </c>
      <c r="BF36" s="298">
        <f>IF(BF34&lt;0,0,MIN(BF34,-BF35))</f>
        <v/>
      </c>
      <c r="BG36" s="298">
        <f>IF(BG34&lt;0,0,MIN(BG34,-BG35))</f>
        <v/>
      </c>
      <c r="BH36" s="298">
        <f>IF(BH34&lt;0,0,MIN(BH34,-BH35))</f>
        <v/>
      </c>
      <c r="BI36" s="298">
        <f>IF(BI34&lt;0,0,MIN(BI34,-BI35))</f>
        <v/>
      </c>
      <c r="BJ36" s="298">
        <f>IF(BJ34&lt;0,0,MIN(BJ34,-BJ35))</f>
        <v/>
      </c>
      <c r="BK36" s="298">
        <f>IF(BK34&lt;0,0,MIN(BK34,-BK35))</f>
        <v/>
      </c>
      <c r="BL36" s="298">
        <f>IF(BL34&lt;0,0,MIN(BL34,-BL35))</f>
        <v/>
      </c>
      <c r="BM36" s="298">
        <f>IF(BM34&lt;0,0,MIN(BM34,-BM35))</f>
        <v/>
      </c>
      <c r="BN36" s="298">
        <f>IF(BN34&lt;0,0,MIN(BN34,-BN35))</f>
        <v/>
      </c>
      <c r="BO36" s="298">
        <f>IF(BO34&lt;0,0,MIN(BO34,-BO35))</f>
        <v/>
      </c>
      <c r="BP36" s="298">
        <f>IF(BP34&lt;0,0,MIN(BP34,-BP35))</f>
        <v/>
      </c>
      <c r="BQ36" s="298">
        <f>IF(BQ34&lt;0,0,MIN(BQ34,-BQ35))</f>
        <v/>
      </c>
      <c r="BR36" s="298">
        <f>IF(BR34&lt;0,0,MIN(BR34,-BR35))</f>
        <v/>
      </c>
      <c r="BS36" s="298">
        <f>IF(BS34&lt;0,0,MIN(BS34,-BS35))</f>
        <v/>
      </c>
      <c r="BT36" s="298">
        <f>IF(BT34&lt;0,0,MIN(BT34,-BT35))</f>
        <v/>
      </c>
      <c r="BU36" s="298">
        <f>IF(BU34&lt;0,0,MIN(BU34,-BU35))</f>
        <v/>
      </c>
      <c r="BV36" s="298">
        <f>IF(BV34&lt;0,0,MIN(BV34,-BV35))</f>
        <v/>
      </c>
      <c r="BW36" s="298">
        <f>IF(BW34&lt;0,0,MIN(BW34,-BW35))</f>
        <v/>
      </c>
      <c r="BX36" s="298">
        <f>IF(BX34&lt;0,0,MIN(BX34,-BX35))</f>
        <v/>
      </c>
      <c r="BY36" s="19" t="n"/>
      <c r="BZ36" s="323" t="n"/>
      <c r="CA36" s="324" t="inlineStr">
        <is>
          <t>Adjusted against Loss</t>
        </is>
      </c>
      <c r="CB36" s="304" t="n"/>
      <c r="CC36" s="304" t="n"/>
      <c r="CD36" s="2016">
        <f>SUM(E36:P36)</f>
        <v/>
      </c>
      <c r="CE36" s="2017">
        <f>SUM(Q36:AB36)</f>
        <v/>
      </c>
      <c r="CF36" s="2017">
        <f>SUM(AC36:AN36)</f>
        <v/>
      </c>
      <c r="CG36" s="2014">
        <f>SUM(AO36:AZ36)</f>
        <v/>
      </c>
      <c r="CH36" s="2014">
        <f>SUM(BA36:BL36)</f>
        <v/>
      </c>
      <c r="CI36" s="2014">
        <f>SUM(BM36:BX36)</f>
        <v/>
      </c>
    </row>
    <row r="37" ht="12.75" customHeight="1" s="1883">
      <c r="A37" s="12" t="n"/>
      <c r="B37" s="322" t="n"/>
      <c r="C37" s="43" t="inlineStr">
        <is>
          <t>Taxable Income</t>
        </is>
      </c>
      <c r="D37" s="43" t="n"/>
      <c r="E37" s="1359" t="n">
        <v>0</v>
      </c>
      <c r="F37" s="1359" t="n">
        <v>0</v>
      </c>
      <c r="G37" s="1359" t="n">
        <v>0</v>
      </c>
      <c r="H37" s="1359" t="n">
        <v>0</v>
      </c>
      <c r="I37" s="1359" t="n">
        <v>0</v>
      </c>
      <c r="J37" s="1359" t="n">
        <v>0</v>
      </c>
      <c r="K37" s="1359" t="n">
        <v>0</v>
      </c>
      <c r="L37" s="1359" t="n">
        <v>0</v>
      </c>
      <c r="M37" s="1359" t="n">
        <v>0</v>
      </c>
      <c r="N37" s="1359" t="n">
        <v>0</v>
      </c>
      <c r="O37" s="1359" t="n">
        <v>0</v>
      </c>
      <c r="P37" s="1359" t="n">
        <v>0</v>
      </c>
      <c r="Q37" s="1360">
        <f>IF((Q34-Q36)&lt;0,0,Q34-Q36)</f>
        <v/>
      </c>
      <c r="R37" s="1360">
        <f>IF((R34-R36)&lt;0,0,R34-R36)</f>
        <v/>
      </c>
      <c r="S37" s="1360">
        <f>IF((S34-S36)&lt;0,0,S34-S36)</f>
        <v/>
      </c>
      <c r="T37" s="1360">
        <f>IF((T34-T36)&lt;0,0,T34-T36)</f>
        <v/>
      </c>
      <c r="U37" s="1360">
        <f>IF((U34-U36)&lt;0,0,U34-U36)</f>
        <v/>
      </c>
      <c r="V37" s="1360">
        <f>IF((V34-V36)&lt;0,0,V34-V36)</f>
        <v/>
      </c>
      <c r="W37" s="1360">
        <f>IF((W34-W36)&lt;0,0,W34-W36)</f>
        <v/>
      </c>
      <c r="X37" s="1360">
        <f>IF((X34-X36)&lt;0,0,X34-X36)</f>
        <v/>
      </c>
      <c r="Y37" s="1360">
        <f>IF((Y34-Y36)&lt;0,0,Y34-Y36)</f>
        <v/>
      </c>
      <c r="Z37" s="1360">
        <f>IF((Z34-Z36)&lt;0,0,Z34-Z36)</f>
        <v/>
      </c>
      <c r="AA37" s="1360">
        <f>IF((AA34-AA36)&lt;0,0,AA34-AA36)</f>
        <v/>
      </c>
      <c r="AB37" s="1360">
        <f>IF((AB34-AB36)&lt;0,0,AB34-AB36)</f>
        <v/>
      </c>
      <c r="AC37" s="1360">
        <f>IF((AC34-AC36)&lt;0,0,AC34-AC36)</f>
        <v/>
      </c>
      <c r="AD37" s="1360">
        <f>IF((AD34-AD36)&lt;0,0,AD34-AD36)</f>
        <v/>
      </c>
      <c r="AE37" s="1360">
        <f>IF((AE34-AE36)&lt;0,0,AE34-AE36)</f>
        <v/>
      </c>
      <c r="AF37" s="1360">
        <f>IF((AF34-AF36)&lt;0,0,AF34-AF36)</f>
        <v/>
      </c>
      <c r="AG37" s="1360">
        <f>IF((AG34-AG36)&lt;0,0,AG34-AG36)</f>
        <v/>
      </c>
      <c r="AH37" s="1360">
        <f>IF((AH34-AH36)&lt;0,0,AH34-AH36)</f>
        <v/>
      </c>
      <c r="AI37" s="1360">
        <f>IF((AI34-AI36)&lt;0,0,AI34-AI36)</f>
        <v/>
      </c>
      <c r="AJ37" s="1360">
        <f>IF((AJ34-AJ36)&lt;0,0,AJ34-AJ36)</f>
        <v/>
      </c>
      <c r="AK37" s="1360">
        <f>IF((AK34-AK36)&lt;0,0,AK34-AK36)</f>
        <v/>
      </c>
      <c r="AL37" s="1360">
        <f>IF((AL34-AL36)&lt;0,0,AL34-AL36)</f>
        <v/>
      </c>
      <c r="AM37" s="1360">
        <f>IF((AM34-AM36)&lt;0,0,AM34-AM36)</f>
        <v/>
      </c>
      <c r="AN37" s="1360">
        <f>IF((AN34-AN36)&lt;0,0,AN34-AN36)</f>
        <v/>
      </c>
      <c r="AO37" s="1360">
        <f>IF((AO34-AO36)&lt;0,0,AO34-AO36)</f>
        <v/>
      </c>
      <c r="AP37" s="1360">
        <f>IF((AP34-AP36)&lt;0,0,AP34-AP36)</f>
        <v/>
      </c>
      <c r="AQ37" s="1360">
        <f>IF((AQ34-AQ36)&lt;0,0,AQ34-AQ36)</f>
        <v/>
      </c>
      <c r="AR37" s="1360">
        <f>IF((AR34-AR36)&lt;0,0,AR34-AR36)</f>
        <v/>
      </c>
      <c r="AS37" s="1360">
        <f>IF((AS34-AS36)&lt;0,0,AS34-AS36)</f>
        <v/>
      </c>
      <c r="AT37" s="1360">
        <f>IF((AT34-AT36)&lt;0,0,AT34-AT36)</f>
        <v/>
      </c>
      <c r="AU37" s="1360">
        <f>IF((AU34-AU36)&lt;0,0,AU34-AU36)</f>
        <v/>
      </c>
      <c r="AV37" s="1360">
        <f>IF((AV34-AV36)&lt;0,0,AV34-AV36)</f>
        <v/>
      </c>
      <c r="AW37" s="1360">
        <f>IF((AW34-AW36)&lt;0,0,AW34-AW36)</f>
        <v/>
      </c>
      <c r="AX37" s="1360">
        <f>IF((AX34-AX36)&lt;0,0,AX34-AX36)</f>
        <v/>
      </c>
      <c r="AY37" s="1360">
        <f>IF((AY34-AY36)&lt;0,0,AY34-AY36)</f>
        <v/>
      </c>
      <c r="AZ37" s="1360">
        <f>IF((AZ34-AZ36)&lt;0,0,AZ34-AZ36)</f>
        <v/>
      </c>
      <c r="BA37" s="1360">
        <f>IF((BA34-BA36)&lt;0,0,BA34-BA36)</f>
        <v/>
      </c>
      <c r="BB37" s="1360">
        <f>IF((BB34-BB36)&lt;0,0,BB34-BB36)</f>
        <v/>
      </c>
      <c r="BC37" s="1360">
        <f>IF((BC34-BC36)&lt;0,0,BC34-BC36)</f>
        <v/>
      </c>
      <c r="BD37" s="1360">
        <f>IF((BD34-BD36)&lt;0,0,BD34-BD36)</f>
        <v/>
      </c>
      <c r="BE37" s="1360">
        <f>IF((BE34-BE36)&lt;0,0,BE34-BE36)</f>
        <v/>
      </c>
      <c r="BF37" s="1360">
        <f>IF((BF34-BF36)&lt;0,0,BF34-BF36)</f>
        <v/>
      </c>
      <c r="BG37" s="1360">
        <f>IF((BG34-BG36)&lt;0,0,BG34-BG36)</f>
        <v/>
      </c>
      <c r="BH37" s="1360">
        <f>IF((BH34-BH36)&lt;0,0,BH34-BH36)</f>
        <v/>
      </c>
      <c r="BI37" s="1360">
        <f>IF((BI34-BI36)&lt;0,0,BI34-BI36)</f>
        <v/>
      </c>
      <c r="BJ37" s="1360">
        <f>IF((BJ34-BJ36)&lt;0,0,BJ34-BJ36)</f>
        <v/>
      </c>
      <c r="BK37" s="1360">
        <f>IF((BK34-BK36)&lt;0,0,BK34-BK36)</f>
        <v/>
      </c>
      <c r="BL37" s="1360">
        <f>IF((BL34-BL36)&lt;0,0,BL34-BL36)</f>
        <v/>
      </c>
      <c r="BM37" s="1360">
        <f>IF((BM34-BM36)&lt;0,0,BM34-BM36)</f>
        <v/>
      </c>
      <c r="BN37" s="1360">
        <f>IF((BN34-BN36)&lt;0,0,BN34-BN36)</f>
        <v/>
      </c>
      <c r="BO37" s="1360">
        <f>IF((BO34-BO36)&lt;0,0,BO34-BO36)</f>
        <v/>
      </c>
      <c r="BP37" s="1360">
        <f>IF((BP34-BP36)&lt;0,0,BP34-BP36)</f>
        <v/>
      </c>
      <c r="BQ37" s="1360">
        <f>IF((BQ34-BQ36)&lt;0,0,BQ34-BQ36)</f>
        <v/>
      </c>
      <c r="BR37" s="1360">
        <f>IF((BR34-BR36)&lt;0,0,BR34-BR36)</f>
        <v/>
      </c>
      <c r="BS37" s="1360">
        <f>IF((BS34-BS36)&lt;0,0,BS34-BS36)</f>
        <v/>
      </c>
      <c r="BT37" s="1360">
        <f>IF((BT34-BT36)&lt;0,0,BT34-BT36)</f>
        <v/>
      </c>
      <c r="BU37" s="1360">
        <f>IF((BU34-BU36)&lt;0,0,BU34-BU36)</f>
        <v/>
      </c>
      <c r="BV37" s="1360">
        <f>IF((BV34-BV36)&lt;0,0,BV34-BV36)</f>
        <v/>
      </c>
      <c r="BW37" s="1360">
        <f>IF((BW34-BW36)&lt;0,0,BW34-BW36)</f>
        <v/>
      </c>
      <c r="BX37" s="1360">
        <f>IF((BX34-BX36)&lt;0,0,BX34-BX36)</f>
        <v/>
      </c>
      <c r="BY37" s="34" t="n"/>
      <c r="BZ37" s="323" t="n"/>
      <c r="CA37" s="324" t="inlineStr">
        <is>
          <t>Taxable Income</t>
        </is>
      </c>
      <c r="CB37" s="325" t="n"/>
      <c r="CC37" s="325" t="n"/>
      <c r="CD37" s="2158">
        <f>SUM(E37:P37)</f>
        <v/>
      </c>
      <c r="CE37" s="2159">
        <f>SUM(Q37:AB37)</f>
        <v/>
      </c>
      <c r="CF37" s="2159">
        <f>SUM(AC37:AN37)</f>
        <v/>
      </c>
      <c r="CG37" s="2014">
        <f>SUM(AO37:AZ37)</f>
        <v/>
      </c>
      <c r="CH37" s="2014">
        <f>SUM(BA37:BL37)</f>
        <v/>
      </c>
      <c r="CI37" s="2014">
        <f>SUM(BM37:BX37)</f>
        <v/>
      </c>
    </row>
    <row r="38" ht="12.75" customHeight="1" s="1883">
      <c r="A38" s="12" t="n"/>
      <c r="B38" s="15" t="n"/>
      <c r="C38" s="43" t="inlineStr">
        <is>
          <t>Income Tax Expense</t>
        </is>
      </c>
      <c r="D38" s="43" t="n"/>
      <c r="E38" s="20" t="n">
        <v>0</v>
      </c>
      <c r="F38" s="20" t="n">
        <v>0</v>
      </c>
      <c r="G38" s="20" t="n">
        <v>0</v>
      </c>
      <c r="H38" s="20" t="n">
        <v>0</v>
      </c>
      <c r="I38" s="20" t="n">
        <v>0</v>
      </c>
      <c r="J38" s="20" t="n">
        <v>0</v>
      </c>
      <c r="K38" s="20" t="n">
        <v>0</v>
      </c>
      <c r="L38" s="20" t="n">
        <v>0</v>
      </c>
      <c r="M38" s="20" t="n">
        <v>0</v>
      </c>
      <c r="N38" s="20" t="n">
        <v>0</v>
      </c>
      <c r="O38" s="20" t="n">
        <v>0</v>
      </c>
      <c r="P38" s="20" t="n">
        <v>0</v>
      </c>
      <c r="Q38" s="298">
        <f>Q37*'4B. Tel. Expense Assumptions'!$D$75</f>
        <v/>
      </c>
      <c r="R38" s="298">
        <f>R37*'4B. Tel. Expense Assumptions'!$D$75</f>
        <v/>
      </c>
      <c r="S38" s="298">
        <f>S37*'4B. Tel. Expense Assumptions'!$D$75</f>
        <v/>
      </c>
      <c r="T38" s="298">
        <f>T37*'4B. Tel. Expense Assumptions'!$D$75</f>
        <v/>
      </c>
      <c r="U38" s="298">
        <f>U37*'4B. Tel. Expense Assumptions'!$D$75</f>
        <v/>
      </c>
      <c r="V38" s="298">
        <f>V37*'4B. Tel. Expense Assumptions'!$D$75</f>
        <v/>
      </c>
      <c r="W38" s="298">
        <f>W37*'4B. Tel. Expense Assumptions'!$D$75</f>
        <v/>
      </c>
      <c r="X38" s="298">
        <f>X37*'4B. Tel. Expense Assumptions'!$D$75</f>
        <v/>
      </c>
      <c r="Y38" s="298">
        <f>Y37*'4B. Tel. Expense Assumptions'!$D$75</f>
        <v/>
      </c>
      <c r="Z38" s="298">
        <f>Z37*'4B. Tel. Expense Assumptions'!$D$75</f>
        <v/>
      </c>
      <c r="AA38" s="298">
        <f>AA37*'4B. Tel. Expense Assumptions'!$D$75</f>
        <v/>
      </c>
      <c r="AB38" s="298">
        <f>AB37*'4B. Tel. Expense Assumptions'!$D$75</f>
        <v/>
      </c>
      <c r="AC38" s="298">
        <f>AC37*'4B. Tel. Expense Assumptions'!$D$75</f>
        <v/>
      </c>
      <c r="AD38" s="298">
        <f>AD37*'4B. Tel. Expense Assumptions'!$D$75</f>
        <v/>
      </c>
      <c r="AE38" s="298">
        <f>AE37*'4B. Tel. Expense Assumptions'!$D$75</f>
        <v/>
      </c>
      <c r="AF38" s="298">
        <f>AF37*'4B. Tel. Expense Assumptions'!$D$75</f>
        <v/>
      </c>
      <c r="AG38" s="298">
        <f>AG37*'4B. Tel. Expense Assumptions'!$D$75</f>
        <v/>
      </c>
      <c r="AH38" s="298">
        <f>AH37*'4B. Tel. Expense Assumptions'!$D$75</f>
        <v/>
      </c>
      <c r="AI38" s="298">
        <f>AI37*'4B. Tel. Expense Assumptions'!$D$75</f>
        <v/>
      </c>
      <c r="AJ38" s="298">
        <f>AJ37*'4B. Tel. Expense Assumptions'!$D$75</f>
        <v/>
      </c>
      <c r="AK38" s="298">
        <f>AK37*'4B. Tel. Expense Assumptions'!$D$75</f>
        <v/>
      </c>
      <c r="AL38" s="298">
        <f>AL37*'4B. Tel. Expense Assumptions'!$D$75</f>
        <v/>
      </c>
      <c r="AM38" s="298">
        <f>AM37*'4B. Tel. Expense Assumptions'!$D$75</f>
        <v/>
      </c>
      <c r="AN38" s="298">
        <f>AN37*'4B. Tel. Expense Assumptions'!$D$75</f>
        <v/>
      </c>
      <c r="AO38" s="298">
        <f>AO37*'4B. Tel. Expense Assumptions'!$D$75</f>
        <v/>
      </c>
      <c r="AP38" s="298">
        <f>AP37*'4B. Tel. Expense Assumptions'!$D$75</f>
        <v/>
      </c>
      <c r="AQ38" s="298">
        <f>AQ37*'4B. Tel. Expense Assumptions'!$D$75</f>
        <v/>
      </c>
      <c r="AR38" s="298">
        <f>AR37*'4B. Tel. Expense Assumptions'!$D$75</f>
        <v/>
      </c>
      <c r="AS38" s="298">
        <f>AS37*'4B. Tel. Expense Assumptions'!$D$75</f>
        <v/>
      </c>
      <c r="AT38" s="298">
        <f>AT37*'4B. Tel. Expense Assumptions'!$D$75</f>
        <v/>
      </c>
      <c r="AU38" s="298">
        <f>AU37*'4B. Tel. Expense Assumptions'!$D$75</f>
        <v/>
      </c>
      <c r="AV38" s="298">
        <f>AV37*'4B. Tel. Expense Assumptions'!$D$75</f>
        <v/>
      </c>
      <c r="AW38" s="298">
        <f>AW37*'4B. Tel. Expense Assumptions'!$D$75</f>
        <v/>
      </c>
      <c r="AX38" s="298">
        <f>AX37*'4B. Tel. Expense Assumptions'!$D$75</f>
        <v/>
      </c>
      <c r="AY38" s="298">
        <f>AY37*'4B. Tel. Expense Assumptions'!$D$75</f>
        <v/>
      </c>
      <c r="AZ38" s="298">
        <f>AZ37*'4B. Tel. Expense Assumptions'!$D$75</f>
        <v/>
      </c>
      <c r="BA38" s="298">
        <f>BA37*'4B. Tel. Expense Assumptions'!$D$75</f>
        <v/>
      </c>
      <c r="BB38" s="298">
        <f>BB37*'4B. Tel. Expense Assumptions'!$D$75</f>
        <v/>
      </c>
      <c r="BC38" s="298">
        <f>BC37*'4B. Tel. Expense Assumptions'!$D$75</f>
        <v/>
      </c>
      <c r="BD38" s="298">
        <f>BD37*'4B. Tel. Expense Assumptions'!$D$75</f>
        <v/>
      </c>
      <c r="BE38" s="298">
        <f>BE37*'4B. Tel. Expense Assumptions'!$D$75</f>
        <v/>
      </c>
      <c r="BF38" s="298">
        <f>BF37*'4B. Tel. Expense Assumptions'!$D$75</f>
        <v/>
      </c>
      <c r="BG38" s="298">
        <f>BG37*'4B. Tel. Expense Assumptions'!$D$75</f>
        <v/>
      </c>
      <c r="BH38" s="298">
        <f>BH37*'4B. Tel. Expense Assumptions'!$D$75</f>
        <v/>
      </c>
      <c r="BI38" s="298">
        <f>BI37*'4B. Tel. Expense Assumptions'!$D$75</f>
        <v/>
      </c>
      <c r="BJ38" s="298">
        <f>BJ37*'4B. Tel. Expense Assumptions'!$D$75</f>
        <v/>
      </c>
      <c r="BK38" s="298">
        <f>BK37*'4B. Tel. Expense Assumptions'!$D$75</f>
        <v/>
      </c>
      <c r="BL38" s="298">
        <f>BL37*'4B. Tel. Expense Assumptions'!$D$75</f>
        <v/>
      </c>
      <c r="BM38" s="298">
        <f>BM37*'4B. Tel. Expense Assumptions'!$D$75</f>
        <v/>
      </c>
      <c r="BN38" s="298">
        <f>BN37*'4B. Tel. Expense Assumptions'!$D$75</f>
        <v/>
      </c>
      <c r="BO38" s="298">
        <f>BO37*'4B. Tel. Expense Assumptions'!$D$75</f>
        <v/>
      </c>
      <c r="BP38" s="298">
        <f>BP37*'4B. Tel. Expense Assumptions'!$D$75</f>
        <v/>
      </c>
      <c r="BQ38" s="298">
        <f>BQ37*'4B. Tel. Expense Assumptions'!$D$75</f>
        <v/>
      </c>
      <c r="BR38" s="298">
        <f>BR37*'4B. Tel. Expense Assumptions'!$D$75</f>
        <v/>
      </c>
      <c r="BS38" s="298">
        <f>BS37*'4B. Tel. Expense Assumptions'!$D$75</f>
        <v/>
      </c>
      <c r="BT38" s="298">
        <f>BT37*'4B. Tel. Expense Assumptions'!$D$75</f>
        <v/>
      </c>
      <c r="BU38" s="298">
        <f>BU37*'4B. Tel. Expense Assumptions'!$D$75</f>
        <v/>
      </c>
      <c r="BV38" s="298">
        <f>BV37*'4B. Tel. Expense Assumptions'!$D$75</f>
        <v/>
      </c>
      <c r="BW38" s="298">
        <f>BW37*'4B. Tel. Expense Assumptions'!$D$75</f>
        <v/>
      </c>
      <c r="BX38" s="298">
        <f>BX37*'4B. Tel. Expense Assumptions'!$D$75</f>
        <v/>
      </c>
      <c r="BY38" s="34" t="n"/>
      <c r="BZ38" s="328" t="n"/>
      <c r="CA38" s="324" t="inlineStr">
        <is>
          <t>Income Tax Expense</t>
        </is>
      </c>
      <c r="CB38" s="325" t="n"/>
      <c r="CC38" s="325" t="n"/>
      <c r="CD38" s="2158">
        <f>SUM(E38:P38)</f>
        <v/>
      </c>
      <c r="CE38" s="2159">
        <f>SUM(Q38:AB38)</f>
        <v/>
      </c>
      <c r="CF38" s="2159">
        <f>SUM(AC38:AN38)</f>
        <v/>
      </c>
      <c r="CG38" s="2014">
        <f>SUM(AO38:AZ38)</f>
        <v/>
      </c>
      <c r="CH38" s="2014">
        <f>SUM(BA38:BL38)</f>
        <v/>
      </c>
      <c r="CI38" s="2014">
        <f>SUM(BM38:BX38)</f>
        <v/>
      </c>
    </row>
    <row r="39" ht="12.75" customHeight="1" s="1883">
      <c r="A39" s="19" t="n"/>
      <c r="B39" s="312" t="inlineStr">
        <is>
          <t>NET INCOME</t>
        </is>
      </c>
      <c r="C39" s="19" t="n"/>
      <c r="D39" s="25" t="n"/>
      <c r="E39" s="329">
        <f>E34+E38</f>
        <v/>
      </c>
      <c r="F39" s="329">
        <f>F34+F38</f>
        <v/>
      </c>
      <c r="G39" s="329">
        <f>G34+G38</f>
        <v/>
      </c>
      <c r="H39" s="329">
        <f>H34+H38</f>
        <v/>
      </c>
      <c r="I39" s="329">
        <f>I34+I38</f>
        <v/>
      </c>
      <c r="J39" s="329">
        <f>J34+J38</f>
        <v/>
      </c>
      <c r="K39" s="329">
        <f>K34+K38</f>
        <v/>
      </c>
      <c r="L39" s="329">
        <f>L34+L38</f>
        <v/>
      </c>
      <c r="M39" s="329">
        <f>M34+M38</f>
        <v/>
      </c>
      <c r="N39" s="329">
        <f>N34+N38</f>
        <v/>
      </c>
      <c r="O39" s="329">
        <f>O34+O38</f>
        <v/>
      </c>
      <c r="P39" s="329">
        <f>P34+P38</f>
        <v/>
      </c>
      <c r="Q39" s="329">
        <f>Q34-Q38</f>
        <v/>
      </c>
      <c r="R39" s="329">
        <f>R34-R38</f>
        <v/>
      </c>
      <c r="S39" s="329">
        <f>S34-S38</f>
        <v/>
      </c>
      <c r="T39" s="329">
        <f>T34-T38</f>
        <v/>
      </c>
      <c r="U39" s="329">
        <f>U34-U38</f>
        <v/>
      </c>
      <c r="V39" s="329">
        <f>V34-V38</f>
        <v/>
      </c>
      <c r="W39" s="329">
        <f>W34-W38</f>
        <v/>
      </c>
      <c r="X39" s="329">
        <f>X34-X38</f>
        <v/>
      </c>
      <c r="Y39" s="329">
        <f>Y34-Y38</f>
        <v/>
      </c>
      <c r="Z39" s="329">
        <f>Z34-Z38</f>
        <v/>
      </c>
      <c r="AA39" s="329">
        <f>AA34-AA38</f>
        <v/>
      </c>
      <c r="AB39" s="329">
        <f>AB34-AB38</f>
        <v/>
      </c>
      <c r="AC39" s="329">
        <f>AC34-AC38</f>
        <v/>
      </c>
      <c r="AD39" s="329">
        <f>AD34-AD38</f>
        <v/>
      </c>
      <c r="AE39" s="329">
        <f>AE34-AE38</f>
        <v/>
      </c>
      <c r="AF39" s="329">
        <f>AF34-AF38</f>
        <v/>
      </c>
      <c r="AG39" s="329">
        <f>AG34-AG38</f>
        <v/>
      </c>
      <c r="AH39" s="329">
        <f>AH34-AH38</f>
        <v/>
      </c>
      <c r="AI39" s="329">
        <f>AI34-AI38</f>
        <v/>
      </c>
      <c r="AJ39" s="329">
        <f>AJ34-AJ38</f>
        <v/>
      </c>
      <c r="AK39" s="329">
        <f>AK34-AK38</f>
        <v/>
      </c>
      <c r="AL39" s="329">
        <f>AL34-AL38</f>
        <v/>
      </c>
      <c r="AM39" s="329">
        <f>AM34-AM38</f>
        <v/>
      </c>
      <c r="AN39" s="329">
        <f>AN34-AN38</f>
        <v/>
      </c>
      <c r="AO39" s="329">
        <f>AO34-AO38</f>
        <v/>
      </c>
      <c r="AP39" s="329">
        <f>AP34-AP38</f>
        <v/>
      </c>
      <c r="AQ39" s="329">
        <f>AQ34-AQ38</f>
        <v/>
      </c>
      <c r="AR39" s="329">
        <f>AR34-AR38</f>
        <v/>
      </c>
      <c r="AS39" s="329">
        <f>AS34-AS38</f>
        <v/>
      </c>
      <c r="AT39" s="329">
        <f>AT34-AT38</f>
        <v/>
      </c>
      <c r="AU39" s="329">
        <f>AU34-AU38</f>
        <v/>
      </c>
      <c r="AV39" s="329">
        <f>AV34-AV38</f>
        <v/>
      </c>
      <c r="AW39" s="329">
        <f>AW34-AW38</f>
        <v/>
      </c>
      <c r="AX39" s="329">
        <f>AX34-AX38</f>
        <v/>
      </c>
      <c r="AY39" s="329">
        <f>AY34-AY38</f>
        <v/>
      </c>
      <c r="AZ39" s="329">
        <f>AZ34-AZ38</f>
        <v/>
      </c>
      <c r="BA39" s="329">
        <f>BA34-BA38</f>
        <v/>
      </c>
      <c r="BB39" s="329">
        <f>BB34-BB38</f>
        <v/>
      </c>
      <c r="BC39" s="329">
        <f>BC34-BC38</f>
        <v/>
      </c>
      <c r="BD39" s="329">
        <f>BD34-BD38</f>
        <v/>
      </c>
      <c r="BE39" s="329">
        <f>BE34-BE38</f>
        <v/>
      </c>
      <c r="BF39" s="329">
        <f>BF34-BF38</f>
        <v/>
      </c>
      <c r="BG39" s="329">
        <f>BG34-BG38</f>
        <v/>
      </c>
      <c r="BH39" s="329">
        <f>BH34-BH38</f>
        <v/>
      </c>
      <c r="BI39" s="329">
        <f>BI34-BI38</f>
        <v/>
      </c>
      <c r="BJ39" s="329">
        <f>BJ34-BJ38</f>
        <v/>
      </c>
      <c r="BK39" s="329">
        <f>BK34-BK38</f>
        <v/>
      </c>
      <c r="BL39" s="329">
        <f>BL34-BL38</f>
        <v/>
      </c>
      <c r="BM39" s="329">
        <f>BM34-BM38</f>
        <v/>
      </c>
      <c r="BN39" s="329">
        <f>BN34-BN38</f>
        <v/>
      </c>
      <c r="BO39" s="329">
        <f>BO34-BO38</f>
        <v/>
      </c>
      <c r="BP39" s="329">
        <f>BP34-BP38</f>
        <v/>
      </c>
      <c r="BQ39" s="329">
        <f>BQ34-BQ38</f>
        <v/>
      </c>
      <c r="BR39" s="329">
        <f>BR34-BR38</f>
        <v/>
      </c>
      <c r="BS39" s="329">
        <f>BS34-BS38</f>
        <v/>
      </c>
      <c r="BT39" s="329">
        <f>BT34-BT38</f>
        <v/>
      </c>
      <c r="BU39" s="329">
        <f>BU34-BU38</f>
        <v/>
      </c>
      <c r="BV39" s="329">
        <f>BV34-BV38</f>
        <v/>
      </c>
      <c r="BW39" s="329">
        <f>BW34-BW38</f>
        <v/>
      </c>
      <c r="BX39" s="329">
        <f>BX34-BX38</f>
        <v/>
      </c>
      <c r="BY39" s="19" t="n"/>
      <c r="BZ39" s="320" t="inlineStr">
        <is>
          <t>NET INCOME</t>
        </is>
      </c>
      <c r="CA39" s="304" t="n"/>
      <c r="CB39" s="304" t="n"/>
      <c r="CC39" s="304" t="n"/>
      <c r="CD39" s="2156">
        <f>SUM(E39:P39)</f>
        <v/>
      </c>
      <c r="CE39" s="2157">
        <f>SUM(Q39:AB39)</f>
        <v/>
      </c>
      <c r="CF39" s="2157">
        <f>SUM(AC39:AN39)</f>
        <v/>
      </c>
      <c r="CG39" s="2017">
        <f>SUM(AO39:AZ39)</f>
        <v/>
      </c>
      <c r="CH39" s="2017">
        <f>SUM(BA39:BL39)</f>
        <v/>
      </c>
      <c r="CI39" s="2017">
        <f>SUM(BM39:BX39)</f>
        <v/>
      </c>
    </row>
    <row r="40" ht="12.75" customHeight="1" s="1883">
      <c r="A40" s="15" t="n"/>
      <c r="B40" s="330" t="n"/>
      <c r="C40" s="316" t="inlineStr">
        <is>
          <t>Net Profit Margin (%)</t>
        </is>
      </c>
      <c r="D40" s="7" t="n"/>
      <c r="E40" s="331">
        <f>IF(E11=0,"-",E39/E11)</f>
        <v/>
      </c>
      <c r="F40" s="331">
        <f>IF(F11=0,"-",F39/F11)</f>
        <v/>
      </c>
      <c r="G40" s="331">
        <f>IF(G11=0,"-",G39/G11)</f>
        <v/>
      </c>
      <c r="H40" s="331">
        <f>IF(H11=0,"-",H39/H11)</f>
        <v/>
      </c>
      <c r="I40" s="331">
        <f>IF(I11=0,"-",I39/I11)</f>
        <v/>
      </c>
      <c r="J40" s="331">
        <f>IF(J11=0,"-",J39/J11)</f>
        <v/>
      </c>
      <c r="K40" s="331">
        <f>IF(K11=0,"-",K39/K11)</f>
        <v/>
      </c>
      <c r="L40" s="331">
        <f>IF(L11=0,"-",L39/L11)</f>
        <v/>
      </c>
      <c r="M40" s="331">
        <f>IF(M11=0,"-",M39/M11)</f>
        <v/>
      </c>
      <c r="N40" s="331">
        <f>IF(N11=0,"-",N39/N11)</f>
        <v/>
      </c>
      <c r="O40" s="331">
        <f>IF(O11=0,"-",O39/O11)</f>
        <v/>
      </c>
      <c r="P40" s="331">
        <f>IF(P11=0,"-",P39/P11)</f>
        <v/>
      </c>
      <c r="Q40" s="332">
        <f>IF(Q11=0,"-",Q39/Q11)</f>
        <v/>
      </c>
      <c r="R40" s="332">
        <f>IF(R11=0,"-",R39/R11)</f>
        <v/>
      </c>
      <c r="S40" s="332">
        <f>IF(S11=0,"-",S39/S11)</f>
        <v/>
      </c>
      <c r="T40" s="332">
        <f>IF(T11=0,"-",T39/T11)</f>
        <v/>
      </c>
      <c r="U40" s="332">
        <f>IF(U11=0,"-",U39/U11)</f>
        <v/>
      </c>
      <c r="V40" s="332">
        <f>IF(V11=0,"-",V39/V11)</f>
        <v/>
      </c>
      <c r="W40" s="332">
        <f>IF(W11=0,"-",W39/W11)</f>
        <v/>
      </c>
      <c r="X40" s="332">
        <f>IF(X11=0,"-",X39/X11)</f>
        <v/>
      </c>
      <c r="Y40" s="332">
        <f>IF(Y11=0,"-",Y39/Y11)</f>
        <v/>
      </c>
      <c r="Z40" s="332">
        <f>IF(Z11=0,"-",Z39/Z11)</f>
        <v/>
      </c>
      <c r="AA40" s="332">
        <f>IF(AA11=0,"-",AA39/AA11)</f>
        <v/>
      </c>
      <c r="AB40" s="332">
        <f>IF(AB11=0,"-",AB39/AB11)</f>
        <v/>
      </c>
      <c r="AC40" s="332">
        <f>IF(AC11=0,"-",AC39/AC11)</f>
        <v/>
      </c>
      <c r="AD40" s="332">
        <f>IF(AD11=0,"-",AD39/AD11)</f>
        <v/>
      </c>
      <c r="AE40" s="332">
        <f>IF(AE11=0,"-",AE39/AE11)</f>
        <v/>
      </c>
      <c r="AF40" s="332">
        <f>IF(AF11=0,"-",AF39/AF11)</f>
        <v/>
      </c>
      <c r="AG40" s="332">
        <f>IF(AG11=0,"-",AG39/AG11)</f>
        <v/>
      </c>
      <c r="AH40" s="332">
        <f>IF(AH11=0,"-",AH39/AH11)</f>
        <v/>
      </c>
      <c r="AI40" s="332">
        <f>IF(AI11=0,"-",AI39/AI11)</f>
        <v/>
      </c>
      <c r="AJ40" s="332">
        <f>IF(AJ11=0,"-",AJ39/AJ11)</f>
        <v/>
      </c>
      <c r="AK40" s="332">
        <f>IF(AK11=0,"-",AK39/AK11)</f>
        <v/>
      </c>
      <c r="AL40" s="332">
        <f>IF(AL11=0,"-",AL39/AL11)</f>
        <v/>
      </c>
      <c r="AM40" s="332">
        <f>IF(AM11=0,"-",AM39/AM11)</f>
        <v/>
      </c>
      <c r="AN40" s="332">
        <f>IF(AN11=0,"-",AN39/AN11)</f>
        <v/>
      </c>
      <c r="AO40" s="332">
        <f>IF(AO11=0,"-",AO39/AO11)</f>
        <v/>
      </c>
      <c r="AP40" s="332">
        <f>IF(AP11=0,"-",AP39/AP11)</f>
        <v/>
      </c>
      <c r="AQ40" s="332">
        <f>IF(AQ11=0,"-",AQ39/AQ11)</f>
        <v/>
      </c>
      <c r="AR40" s="332">
        <f>IF(AR11=0,"-",AR39/AR11)</f>
        <v/>
      </c>
      <c r="AS40" s="332">
        <f>IF(AS11=0,"-",AS39/AS11)</f>
        <v/>
      </c>
      <c r="AT40" s="332">
        <f>IF(AT11=0,"-",AT39/AT11)</f>
        <v/>
      </c>
      <c r="AU40" s="332">
        <f>IF(AU11=0,"-",AU39/AU11)</f>
        <v/>
      </c>
      <c r="AV40" s="332">
        <f>IF(AV11=0,"-",AV39/AV11)</f>
        <v/>
      </c>
      <c r="AW40" s="332">
        <f>IF(AW11=0,"-",AW39/AW11)</f>
        <v/>
      </c>
      <c r="AX40" s="332">
        <f>IF(AX11=0,"-",AX39/AX11)</f>
        <v/>
      </c>
      <c r="AY40" s="332">
        <f>IF(AY11=0,"-",AY39/AY11)</f>
        <v/>
      </c>
      <c r="AZ40" s="332">
        <f>IF(AZ11=0,"-",AZ39/AZ11)</f>
        <v/>
      </c>
      <c r="BA40" s="332">
        <f>IF(BA11=0,"-",BA39/BA11)</f>
        <v/>
      </c>
      <c r="BB40" s="332">
        <f>IF(BB11=0,"-",BB39/BB11)</f>
        <v/>
      </c>
      <c r="BC40" s="332">
        <f>IF(BC11=0,"-",BC39/BC11)</f>
        <v/>
      </c>
      <c r="BD40" s="332">
        <f>IF(BD11=0,"-",BD39/BD11)</f>
        <v/>
      </c>
      <c r="BE40" s="332">
        <f>IF(BE11=0,"-",BE39/BE11)</f>
        <v/>
      </c>
      <c r="BF40" s="332">
        <f>IF(BF11=0,"-",BF39/BF11)</f>
        <v/>
      </c>
      <c r="BG40" s="332">
        <f>IF(BG11=0,"-",BG39/BG11)</f>
        <v/>
      </c>
      <c r="BH40" s="332">
        <f>IF(BH11=0,"-",BH39/BH11)</f>
        <v/>
      </c>
      <c r="BI40" s="332">
        <f>IF(BI11=0,"-",BI39/BI11)</f>
        <v/>
      </c>
      <c r="BJ40" s="332">
        <f>IF(BJ11=0,"-",BJ39/BJ11)</f>
        <v/>
      </c>
      <c r="BK40" s="332">
        <f>IF(BK11=0,"-",BK39/BK11)</f>
        <v/>
      </c>
      <c r="BL40" s="332">
        <f>IF(BL11=0,"-",BL39/BL11)</f>
        <v/>
      </c>
      <c r="BM40" s="332">
        <f>IF(BM11=0,"-",BM39/BM11)</f>
        <v/>
      </c>
      <c r="BN40" s="332">
        <f>IF(BN11=0,"-",BN39/BN11)</f>
        <v/>
      </c>
      <c r="BO40" s="332">
        <f>IF(BO11=0,"-",BO39/BO11)</f>
        <v/>
      </c>
      <c r="BP40" s="332">
        <f>IF(BP11=0,"-",BP39/BP11)</f>
        <v/>
      </c>
      <c r="BQ40" s="332">
        <f>IF(BQ11=0,"-",BQ39/BQ11)</f>
        <v/>
      </c>
      <c r="BR40" s="332">
        <f>IF(BR11=0,"-",BR39/BR11)</f>
        <v/>
      </c>
      <c r="BS40" s="332">
        <f>IF(BS11=0,"-",BS39/BS11)</f>
        <v/>
      </c>
      <c r="BT40" s="332">
        <f>IF(BT11=0,"-",BT39/BT11)</f>
        <v/>
      </c>
      <c r="BU40" s="332">
        <f>IF(BU11=0,"-",BU39/BU11)</f>
        <v/>
      </c>
      <c r="BV40" s="332">
        <f>IF(BV11=0,"-",BV39/BV11)</f>
        <v/>
      </c>
      <c r="BW40" s="332">
        <f>IF(BW11=0,"-",BW39/BW11)</f>
        <v/>
      </c>
      <c r="BX40" s="332">
        <f>IF(BX11=0,"-",BX39/BX11)</f>
        <v/>
      </c>
      <c r="BY40" s="15" t="n"/>
      <c r="BZ40" s="333" t="n"/>
      <c r="CA40" s="318" t="inlineStr">
        <is>
          <t>Net Profit Margin (%)</t>
        </is>
      </c>
      <c r="CB40" s="328" t="n"/>
      <c r="CC40" s="328" t="n"/>
      <c r="CD40" s="1366" t="n">
        <v>0</v>
      </c>
      <c r="CE40" s="315">
        <f>_xlfn.SINGLE((CE39 / CE11))</f>
        <v/>
      </c>
      <c r="CF40" s="315">
        <f>_xlfn.SINGLE((CF39 / CF11))</f>
        <v/>
      </c>
      <c r="CG40" s="315">
        <f>_xlfn.SINGLE((CG39 / CG11))</f>
        <v/>
      </c>
      <c r="CH40" s="315">
        <f>_xlfn.SINGLE((CH39 / CH11))</f>
        <v/>
      </c>
      <c r="CI40" s="315">
        <f>_xlfn.SINGLE((CI39 / CI11))</f>
        <v/>
      </c>
    </row>
    <row r="41" ht="12.75" customHeight="1" s="1883">
      <c r="A41" s="15" t="n"/>
      <c r="B41" s="334" t="n"/>
      <c r="C41" s="7" t="n"/>
      <c r="D41" s="7" t="n"/>
      <c r="E41" s="10" t="n"/>
      <c r="F41" s="10" t="n"/>
      <c r="G41" s="10" t="n"/>
      <c r="H41" s="10" t="n"/>
      <c r="I41" s="10" t="n"/>
      <c r="J41" s="10" t="n"/>
      <c r="K41" s="10" t="n"/>
      <c r="L41" s="10" t="n"/>
      <c r="M41" s="10" t="n"/>
      <c r="N41" s="10" t="n"/>
      <c r="O41" s="10" t="n"/>
      <c r="P41" s="10" t="n"/>
      <c r="Q41" s="33" t="n"/>
      <c r="R41" s="33" t="n"/>
      <c r="S41" s="33" t="n"/>
      <c r="T41" s="33" t="n"/>
      <c r="U41" s="33" t="n"/>
      <c r="V41" s="33" t="n"/>
      <c r="W41" s="33" t="n"/>
      <c r="X41" s="33" t="n"/>
      <c r="Y41" s="33" t="n"/>
      <c r="Z41" s="33" t="n"/>
      <c r="AA41" s="33" t="n"/>
      <c r="AB41" s="33" t="n"/>
      <c r="AC41" s="33" t="n"/>
      <c r="AD41" s="33" t="n"/>
      <c r="AE41" s="33" t="n"/>
      <c r="AF41" s="33" t="n"/>
      <c r="AG41" s="33" t="n"/>
      <c r="AH41" s="33" t="n"/>
      <c r="AI41" s="33" t="n"/>
      <c r="AJ41" s="33" t="n"/>
      <c r="AK41" s="33" t="n"/>
      <c r="AL41" s="33" t="n"/>
      <c r="AM41" s="33" t="n"/>
      <c r="AN41" s="33" t="n"/>
      <c r="AO41" s="12" t="n"/>
      <c r="AP41" s="12" t="n"/>
      <c r="AQ41" s="12" t="n"/>
      <c r="AR41" s="12" t="n"/>
      <c r="AS41" s="12" t="n"/>
      <c r="AT41" s="12" t="n"/>
      <c r="AU41" s="12" t="n"/>
      <c r="AV41" s="12" t="n"/>
      <c r="AW41" s="12" t="n"/>
      <c r="AX41" s="12" t="n"/>
      <c r="AY41" s="12" t="n"/>
      <c r="AZ41" s="12" t="n"/>
      <c r="BA41" s="12" t="n"/>
      <c r="BB41" s="12" t="n"/>
      <c r="BC41" s="12" t="n"/>
      <c r="BD41" s="12" t="n"/>
      <c r="BE41" s="12" t="n"/>
      <c r="BF41" s="12" t="n"/>
      <c r="BG41" s="12" t="n"/>
      <c r="BH41" s="12" t="n"/>
      <c r="BI41" s="12" t="n"/>
      <c r="BJ41" s="12" t="n"/>
      <c r="BK41" s="12" t="n"/>
      <c r="BL41" s="12" t="n"/>
      <c r="BM41" s="12" t="n"/>
      <c r="BN41" s="12" t="n"/>
      <c r="BO41" s="12" t="n"/>
      <c r="BP41" s="12" t="n"/>
      <c r="BQ41" s="12" t="n"/>
      <c r="BR41" s="12" t="n"/>
      <c r="BS41" s="12" t="n"/>
      <c r="BT41" s="12" t="n"/>
      <c r="BU41" s="12" t="n"/>
      <c r="BV41" s="12" t="n"/>
      <c r="BW41" s="12" t="n"/>
      <c r="BX41" s="12" t="n"/>
      <c r="BY41" s="15" t="n"/>
      <c r="BZ41" s="328" t="n"/>
      <c r="CA41" s="328" t="n"/>
      <c r="CB41" s="328" t="n"/>
      <c r="CC41" s="328" t="n"/>
      <c r="CD41" s="328" t="n"/>
      <c r="CE41" s="2017" t="n"/>
      <c r="CF41" s="2017" t="n"/>
      <c r="CG41" s="2014" t="n"/>
      <c r="CH41" s="2014" t="n"/>
      <c r="CI41" s="2017" t="n"/>
    </row>
  </sheetData>
  <mergeCells count="11">
    <mergeCell ref="BA4:BL4"/>
    <mergeCell ref="BM4:BX4"/>
    <mergeCell ref="CC5:CI5"/>
    <mergeCell ref="Q5:AB5"/>
    <mergeCell ref="AO5:AZ5"/>
    <mergeCell ref="BA5:BL5"/>
    <mergeCell ref="AC5:AN5"/>
    <mergeCell ref="AO4:AZ4"/>
    <mergeCell ref="BM5:BX5"/>
    <mergeCell ref="Q4:AB4"/>
    <mergeCell ref="AC4:AN4"/>
  </mergeCells>
  <pageMargins left="0.7" right="0.7" top="0.75" bottom="0.75" header="0.3" footer="0.3"/>
  <pageSetup orientation="portrait" horizontalDpi="0" verticalDpi="0"/>
</worksheet>
</file>

<file path=xl/worksheets/sheet41.xml><?xml version="1.0" encoding="utf-8"?>
<worksheet xmlns="http://schemas.openxmlformats.org/spreadsheetml/2006/main">
  <sheetPr>
    <outlinePr summaryBelow="0" summaryRight="0"/>
    <pageSetUpPr/>
  </sheetPr>
  <dimension ref="A1:CI45"/>
  <sheetViews>
    <sheetView showGridLines="0" topLeftCell="F1" workbookViewId="0">
      <selection activeCell="E39" sqref="E39"/>
    </sheetView>
  </sheetViews>
  <sheetFormatPr baseColWidth="10" defaultColWidth="17.33203125" defaultRowHeight="15" customHeight="1"/>
  <cols>
    <col width="2" customWidth="1" style="1883" min="1" max="1"/>
    <col width="2.33203125" customWidth="1" style="1883" min="2" max="2"/>
    <col width="28.6640625" customWidth="1" style="1883" min="3" max="3"/>
    <col width="5" customWidth="1" style="1883" min="4" max="4"/>
    <col width="13.6640625" customWidth="1" style="1883" min="5" max="47"/>
    <col width="16.33203125" customWidth="1" style="1883" min="48" max="76"/>
    <col width="8" customWidth="1" style="1883" min="77" max="80"/>
    <col width="21.1640625" customWidth="1" style="1883" min="81" max="82"/>
    <col width="19.5" customWidth="1" style="1883" min="83" max="83"/>
    <col width="25" customWidth="1" style="1883" min="84" max="84"/>
    <col width="26.5" customWidth="1" style="1883" min="85" max="85"/>
    <col width="24.1640625" customWidth="1" style="1883" min="86" max="86"/>
    <col width="28.5" customWidth="1" style="1883" min="87" max="87"/>
    <col width="8" customWidth="1" style="1883" min="88" max="97"/>
  </cols>
  <sheetData>
    <row r="1" ht="12.75" customHeight="1" s="1883">
      <c r="A1" s="210">
        <f>Summary!A1</f>
        <v/>
      </c>
      <c r="B1" s="290" t="n"/>
      <c r="C1" s="7" t="n"/>
      <c r="D1" s="7" t="n"/>
      <c r="E1" s="626" t="n"/>
      <c r="F1" s="626" t="n"/>
      <c r="G1" s="626" t="n"/>
      <c r="H1" s="626" t="n"/>
      <c r="I1" s="626" t="n"/>
      <c r="J1" s="626" t="n"/>
      <c r="K1" s="7" t="n"/>
      <c r="L1" s="7" t="n"/>
      <c r="M1" s="7" t="n"/>
      <c r="N1" s="7" t="n"/>
      <c r="O1" s="7" t="n"/>
      <c r="P1" s="7" t="n"/>
      <c r="Q1" s="33" t="n"/>
      <c r="R1" s="33" t="n"/>
      <c r="S1" s="33" t="n"/>
      <c r="T1" s="33" t="n"/>
      <c r="U1" s="33" t="n"/>
      <c r="V1" s="33" t="n"/>
      <c r="W1" s="33" t="n"/>
      <c r="X1" s="33" t="n"/>
      <c r="Y1" s="33" t="n"/>
      <c r="Z1" s="33" t="n"/>
      <c r="AA1" s="33" t="n"/>
      <c r="AB1" s="33" t="n"/>
      <c r="AC1" s="33" t="n"/>
      <c r="AD1" s="33" t="n"/>
      <c r="AE1" s="33" t="n"/>
      <c r="AF1" s="33" t="n"/>
      <c r="AG1" s="33" t="n"/>
      <c r="AH1" s="33" t="n"/>
      <c r="AI1" s="33" t="n"/>
      <c r="AJ1" s="33" t="n"/>
      <c r="AK1" s="33" t="n"/>
      <c r="AL1" s="33" t="n"/>
      <c r="AM1" s="33" t="n"/>
      <c r="AN1" s="33" t="n"/>
      <c r="AO1" s="33" t="n"/>
      <c r="AP1" s="33" t="n"/>
      <c r="AQ1" s="33" t="n"/>
      <c r="AR1" s="33" t="n"/>
      <c r="AS1" s="33" t="n"/>
      <c r="AT1" s="33" t="n"/>
      <c r="AU1" s="33" t="n"/>
      <c r="AV1" s="33" t="n"/>
      <c r="AW1" s="33" t="n"/>
      <c r="AX1" s="33" t="n"/>
      <c r="AY1" s="33" t="n"/>
      <c r="AZ1" s="33" t="n"/>
      <c r="BA1" s="33" t="n"/>
      <c r="BB1" s="33" t="n"/>
      <c r="BC1" s="33" t="n"/>
      <c r="BD1" s="33" t="n"/>
      <c r="BE1" s="33" t="n"/>
      <c r="BF1" s="33" t="n"/>
      <c r="BG1" s="33" t="n"/>
      <c r="BH1" s="33" t="n"/>
      <c r="BI1" s="33" t="n"/>
      <c r="BJ1" s="33" t="n"/>
      <c r="BK1" s="33" t="n"/>
      <c r="BL1" s="33" t="n"/>
      <c r="BM1" s="33" t="n"/>
      <c r="BN1" s="33" t="n"/>
      <c r="BO1" s="33" t="n"/>
      <c r="BP1" s="33" t="n"/>
      <c r="BQ1" s="33" t="n"/>
      <c r="BR1" s="33" t="n"/>
      <c r="BS1" s="33" t="n"/>
      <c r="BT1" s="33" t="n"/>
      <c r="BU1" s="33" t="n"/>
      <c r="BV1" s="33" t="n"/>
      <c r="BW1" s="33" t="n"/>
      <c r="BX1" s="33" t="n"/>
      <c r="BY1" s="12" t="n"/>
      <c r="BZ1" s="12" t="n"/>
      <c r="CA1" s="12" t="n"/>
      <c r="CB1" s="12" t="n"/>
      <c r="CC1" s="12" t="n"/>
      <c r="CD1" s="12" t="n"/>
      <c r="CE1" s="12" t="n"/>
      <c r="CF1" s="12" t="n"/>
      <c r="CG1" s="12" t="n"/>
      <c r="CH1" s="12" t="n"/>
      <c r="CI1" s="12" t="n"/>
    </row>
    <row r="2" ht="6.75" customHeight="1" s="1883">
      <c r="A2" s="1" t="n"/>
      <c r="B2" s="291" t="n"/>
      <c r="C2" s="1" t="n"/>
      <c r="D2" s="1" t="n"/>
      <c r="E2" s="626" t="n"/>
      <c r="F2" s="626" t="n"/>
      <c r="G2" s="626" t="n"/>
      <c r="H2" s="626" t="n"/>
      <c r="I2" s="626" t="n"/>
      <c r="J2" s="626" t="n"/>
      <c r="K2" s="1" t="n"/>
      <c r="L2" s="1" t="n"/>
      <c r="M2" s="1" t="n"/>
      <c r="N2" s="1" t="n"/>
      <c r="O2" s="1" t="n"/>
      <c r="P2" s="1" t="n"/>
      <c r="Q2" s="335" t="n"/>
      <c r="R2" s="335" t="n"/>
      <c r="S2" s="335" t="n"/>
      <c r="T2" s="335" t="n"/>
      <c r="U2" s="335" t="n"/>
      <c r="V2" s="335" t="n"/>
      <c r="W2" s="335" t="n"/>
      <c r="X2" s="335" t="n"/>
      <c r="Y2" s="335" t="n"/>
      <c r="Z2" s="335" t="n"/>
      <c r="AA2" s="335" t="n"/>
      <c r="AB2" s="335" t="n"/>
      <c r="AC2" s="335" t="n"/>
      <c r="AD2" s="335" t="n"/>
      <c r="AE2" s="335" t="n"/>
      <c r="AF2" s="335" t="n"/>
      <c r="AG2" s="335" t="n"/>
      <c r="AH2" s="335" t="n"/>
      <c r="AI2" s="335" t="n"/>
      <c r="AJ2" s="335" t="n"/>
      <c r="AK2" s="335" t="n"/>
      <c r="AL2" s="335"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c r="BR2" s="1" t="n"/>
      <c r="BS2" s="1" t="n"/>
      <c r="BT2" s="1" t="n"/>
      <c r="BU2" s="1" t="n"/>
      <c r="BV2" s="1" t="n"/>
      <c r="BW2" s="1" t="n"/>
      <c r="BX2" s="1" t="n"/>
      <c r="BY2" s="1" t="n"/>
      <c r="BZ2" s="1" t="n"/>
      <c r="CA2" s="1" t="n"/>
      <c r="CB2" s="1" t="n"/>
      <c r="CC2" s="1" t="n"/>
      <c r="CD2" s="1" t="n"/>
      <c r="CE2" s="1" t="n"/>
      <c r="CF2" s="1" t="n"/>
      <c r="CG2" s="1" t="n"/>
      <c r="CH2" s="1" t="n"/>
      <c r="CI2" s="1" t="n"/>
    </row>
    <row r="3" ht="19.5" customHeight="1" s="1883">
      <c r="A3" s="1" t="n"/>
      <c r="B3" s="214" t="inlineStr">
        <is>
          <t>Balance Sheet Projections</t>
        </is>
      </c>
      <c r="C3" s="3" t="n"/>
      <c r="D3" s="1" t="n"/>
      <c r="E3" s="626" t="n"/>
      <c r="F3" s="626" t="n"/>
      <c r="G3" s="626" t="n"/>
      <c r="H3" s="626" t="n"/>
      <c r="I3" s="626" t="n"/>
      <c r="J3" s="626" t="n"/>
      <c r="K3" s="1" t="n"/>
      <c r="L3" s="1" t="n"/>
      <c r="M3" s="1" t="n"/>
      <c r="N3" s="1" t="n"/>
      <c r="O3" s="1" t="n"/>
      <c r="P3" s="1" t="n"/>
      <c r="Q3" s="335" t="n"/>
      <c r="R3" s="335" t="n"/>
      <c r="S3" s="335" t="n"/>
      <c r="T3" s="335" t="n"/>
      <c r="U3" s="335" t="n"/>
      <c r="V3" s="335" t="n"/>
      <c r="W3" s="335" t="n"/>
      <c r="X3" s="335" t="n"/>
      <c r="Y3" s="335" t="n"/>
      <c r="Z3" s="335" t="n"/>
      <c r="AA3" s="335" t="n"/>
      <c r="AB3" s="335" t="n"/>
      <c r="AC3" s="335" t="n"/>
      <c r="AD3" s="335" t="n"/>
      <c r="AE3" s="335" t="n"/>
      <c r="AF3" s="335" t="n"/>
      <c r="AG3" s="335" t="n"/>
      <c r="AH3" s="335" t="n"/>
      <c r="AI3" s="335" t="n"/>
      <c r="AJ3" s="335" t="n"/>
      <c r="AK3" s="335" t="n"/>
      <c r="AL3" s="335"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c r="BR3" s="1" t="n"/>
      <c r="BS3" s="1" t="n"/>
      <c r="BT3" s="1" t="n"/>
      <c r="BU3" s="1" t="n"/>
      <c r="BV3" s="1" t="n"/>
      <c r="BW3" s="1" t="n"/>
      <c r="BX3" s="1" t="n"/>
      <c r="BY3" s="1" t="n"/>
      <c r="BZ3" s="1" t="n"/>
      <c r="CA3" s="1" t="n"/>
      <c r="CB3" s="1" t="n"/>
      <c r="CC3" s="1" t="n"/>
      <c r="CD3" s="1" t="n"/>
      <c r="CE3" s="1" t="n"/>
      <c r="CF3" s="1" t="n"/>
      <c r="CG3" s="1" t="n"/>
      <c r="CH3" s="1" t="n"/>
      <c r="CI3" s="1" t="n"/>
    </row>
    <row r="4" ht="12.75" customHeight="1" s="1883">
      <c r="A4" s="7" t="n"/>
      <c r="B4" s="8" t="n"/>
      <c r="C4" s="9" t="n"/>
      <c r="D4" s="7" t="n"/>
      <c r="E4" s="626" t="n"/>
      <c r="F4" s="626" t="n"/>
      <c r="G4" s="626" t="n"/>
      <c r="H4" s="626" t="n"/>
      <c r="I4" s="626" t="n"/>
      <c r="J4" s="626" t="n"/>
      <c r="K4" s="7" t="n"/>
      <c r="L4" s="7" t="n"/>
      <c r="M4" s="7" t="n"/>
      <c r="N4" s="7" t="n"/>
      <c r="O4" s="7" t="n"/>
      <c r="P4" s="7" t="n"/>
      <c r="Q4" s="294" t="n"/>
      <c r="R4" s="294" t="n"/>
      <c r="S4" s="294" t="n"/>
      <c r="T4" s="294" t="n"/>
      <c r="U4" s="294" t="n"/>
      <c r="V4" s="294" t="n"/>
      <c r="W4" s="294" t="n"/>
      <c r="X4" s="294" t="n"/>
      <c r="Y4" s="294" t="n"/>
      <c r="Z4" s="294" t="n"/>
      <c r="AA4" s="294" t="n"/>
      <c r="AB4" s="294" t="n"/>
      <c r="AC4" s="294" t="n"/>
      <c r="AD4" s="294" t="n"/>
      <c r="AE4" s="294" t="n"/>
      <c r="AF4" s="294" t="n"/>
      <c r="AG4" s="294" t="n"/>
      <c r="AH4" s="294" t="n"/>
      <c r="AI4" s="294" t="n"/>
      <c r="AJ4" s="294" t="n"/>
      <c r="AK4" s="294" t="n"/>
      <c r="AL4" s="294" t="n"/>
      <c r="AM4" s="294" t="n"/>
      <c r="AN4" s="7" t="n"/>
      <c r="AO4" s="7" t="n"/>
      <c r="AP4" s="7" t="n"/>
      <c r="AQ4" s="7" t="n"/>
      <c r="AR4" s="7" t="n"/>
      <c r="AS4" s="7" t="n"/>
      <c r="AT4" s="7" t="n"/>
      <c r="AU4" s="7" t="n"/>
      <c r="AV4" s="7" t="n"/>
      <c r="AW4" s="7" t="n"/>
      <c r="AX4" s="7" t="n"/>
      <c r="AY4" s="7" t="n"/>
      <c r="AZ4" s="7" t="n"/>
      <c r="BA4" s="7" t="n"/>
      <c r="BB4" s="7" t="n"/>
      <c r="BC4" s="7" t="n"/>
      <c r="BD4" s="7" t="n"/>
      <c r="BE4" s="7" t="n"/>
      <c r="BF4" s="7" t="n"/>
      <c r="BG4" s="7" t="n"/>
      <c r="BH4" s="7" t="n"/>
      <c r="BI4" s="7" t="n"/>
      <c r="BJ4" s="7" t="n"/>
      <c r="BK4" s="7" t="n"/>
      <c r="BL4" s="7" t="n"/>
      <c r="BM4" s="7" t="n"/>
      <c r="BN4" s="7" t="n"/>
      <c r="BO4" s="7" t="n"/>
      <c r="BP4" s="7" t="n"/>
      <c r="BQ4" s="7" t="n"/>
      <c r="BR4" s="7" t="n"/>
      <c r="BS4" s="7" t="n"/>
      <c r="BT4" s="7" t="n"/>
      <c r="BU4" s="7" t="n"/>
      <c r="BV4" s="7" t="n"/>
      <c r="BW4" s="7" t="n"/>
      <c r="BX4" s="7" t="n"/>
      <c r="BY4" s="7" t="n"/>
      <c r="BZ4" s="7" t="n"/>
      <c r="CA4" s="7" t="n"/>
      <c r="CB4" s="7" t="n"/>
      <c r="CC4" s="7" t="n"/>
      <c r="CD4" s="7" t="n"/>
      <c r="CE4" s="7" t="n"/>
      <c r="CF4" s="7" t="n"/>
      <c r="CG4" s="7" t="n"/>
      <c r="CH4" s="7" t="n"/>
      <c r="CI4" s="7" t="n"/>
    </row>
    <row r="5" ht="12.75" customHeight="1" s="1883">
      <c r="A5" s="7" t="n"/>
      <c r="B5" s="336" t="n"/>
      <c r="C5" s="337" t="n"/>
      <c r="D5" s="1367" t="n"/>
      <c r="E5" s="1968" t="n"/>
      <c r="F5" s="1968" t="n"/>
      <c r="G5" s="1968" t="n"/>
      <c r="H5" s="1968" t="n"/>
      <c r="I5" s="1968" t="n"/>
      <c r="J5" s="1968" t="n"/>
      <c r="K5" s="1367" t="n"/>
      <c r="L5" s="1367" t="n"/>
      <c r="M5" s="1367" t="n"/>
      <c r="N5" s="1367" t="n"/>
      <c r="O5" s="1367" t="n"/>
      <c r="P5" s="1367" t="n"/>
      <c r="Q5" s="1986" t="inlineStr">
        <is>
          <t>For the Year Ending</t>
        </is>
      </c>
      <c r="AC5" s="1986" t="inlineStr">
        <is>
          <t>For the Year Ending</t>
        </is>
      </c>
      <c r="AO5" s="1986" t="inlineStr">
        <is>
          <t>For the Year Ending</t>
        </is>
      </c>
      <c r="BA5" s="1986" t="inlineStr">
        <is>
          <t>For the Year Ending</t>
        </is>
      </c>
      <c r="BM5" s="1986" t="inlineStr">
        <is>
          <t>For the Year Ending</t>
        </is>
      </c>
      <c r="BY5" s="7" t="n"/>
      <c r="BZ5" s="7" t="n"/>
      <c r="CA5" s="7" t="n"/>
      <c r="CB5" s="7" t="n"/>
      <c r="CC5" s="7" t="n"/>
      <c r="CD5" s="7" t="n"/>
      <c r="CE5" s="7" t="n"/>
      <c r="CF5" s="7" t="n"/>
      <c r="CG5" s="7" t="n"/>
      <c r="CH5" s="7" t="n"/>
      <c r="CI5" s="7" t="n"/>
    </row>
    <row r="6" ht="12.75" customHeight="1" s="1883">
      <c r="A6" s="7" t="n"/>
      <c r="B6" s="1368" t="n"/>
      <c r="C6" s="1368" t="n"/>
      <c r="D6" s="1369" t="n"/>
      <c r="E6" s="1370" t="n"/>
      <c r="F6" s="1370" t="n"/>
      <c r="G6" s="1370" t="n"/>
      <c r="H6" s="1370" t="n"/>
      <c r="I6" s="1370" t="n"/>
      <c r="J6" s="1370" t="n"/>
      <c r="K6" s="1369" t="n"/>
      <c r="L6" s="1369" t="n"/>
      <c r="M6" s="1369" t="n"/>
      <c r="N6" s="1369" t="n"/>
      <c r="O6" s="1369" t="n"/>
      <c r="P6" s="1369" t="n"/>
      <c r="Q6" s="1987" t="inlineStr">
        <is>
          <t>FY1</t>
        </is>
      </c>
      <c r="AC6" s="1987" t="inlineStr">
        <is>
          <t>FY2</t>
        </is>
      </c>
      <c r="AO6" s="1987" t="inlineStr">
        <is>
          <t>FY3</t>
        </is>
      </c>
      <c r="BA6" s="1987" t="inlineStr">
        <is>
          <t>FY4</t>
        </is>
      </c>
      <c r="BM6" s="1987" t="inlineStr">
        <is>
          <t>FY5</t>
        </is>
      </c>
      <c r="BY6" s="7" t="n"/>
      <c r="BZ6" s="1350" t="n"/>
      <c r="CA6" s="1350" t="n"/>
      <c r="CB6" s="1350" t="n"/>
      <c r="CC6" s="1887" t="inlineStr">
        <is>
          <t>Five Year Projections</t>
        </is>
      </c>
    </row>
    <row r="7" ht="12.75" customHeight="1" s="1883">
      <c r="A7" s="11" t="n"/>
      <c r="B7" s="1987" t="n"/>
      <c r="C7" s="1987" t="n"/>
      <c r="D7" s="1369" t="n"/>
      <c r="E7" s="1987" t="n">
        <v>-12</v>
      </c>
      <c r="F7" s="1987" t="n">
        <v>-11</v>
      </c>
      <c r="G7" s="1987" t="n">
        <v>-10</v>
      </c>
      <c r="H7" s="1987" t="n">
        <v>-9</v>
      </c>
      <c r="I7" s="1987" t="n">
        <v>-8</v>
      </c>
      <c r="J7" s="1987" t="n">
        <v>-7</v>
      </c>
      <c r="K7" s="1987" t="n">
        <v>-6</v>
      </c>
      <c r="L7" s="1987" t="n">
        <v>-5</v>
      </c>
      <c r="M7" s="1987" t="n">
        <v>-4</v>
      </c>
      <c r="N7" s="1987" t="n">
        <v>-3</v>
      </c>
      <c r="O7" s="1987" t="n">
        <v>-2</v>
      </c>
      <c r="P7" s="1987" t="n">
        <v>-1</v>
      </c>
      <c r="Q7" s="1987">
        <f>'Income Statement'!Q6</f>
        <v/>
      </c>
      <c r="R7" s="1987">
        <f>'Income Statement'!R6</f>
        <v/>
      </c>
      <c r="S7" s="1987">
        <f>'Income Statement'!S6</f>
        <v/>
      </c>
      <c r="T7" s="1987">
        <f>'Income Statement'!T6</f>
        <v/>
      </c>
      <c r="U7" s="1987">
        <f>'Income Statement'!U6</f>
        <v/>
      </c>
      <c r="V7" s="1987">
        <f>'Income Statement'!V6</f>
        <v/>
      </c>
      <c r="W7" s="1987">
        <f>'Income Statement'!W6</f>
        <v/>
      </c>
      <c r="X7" s="1987">
        <f>'Income Statement'!X6</f>
        <v/>
      </c>
      <c r="Y7" s="1987">
        <f>'Income Statement'!Y6</f>
        <v/>
      </c>
      <c r="Z7" s="1987">
        <f>'Income Statement'!Z6</f>
        <v/>
      </c>
      <c r="AA7" s="1987">
        <f>'Income Statement'!AA6</f>
        <v/>
      </c>
      <c r="AB7" s="1987">
        <f>'Income Statement'!AB6</f>
        <v/>
      </c>
      <c r="AC7" s="1987">
        <f>'Income Statement'!AC6</f>
        <v/>
      </c>
      <c r="AD7" s="1987">
        <f>'Income Statement'!AD6</f>
        <v/>
      </c>
      <c r="AE7" s="1987">
        <f>'Income Statement'!AE6</f>
        <v/>
      </c>
      <c r="AF7" s="1987">
        <f>'Income Statement'!AF6</f>
        <v/>
      </c>
      <c r="AG7" s="1987">
        <f>'Income Statement'!AG6</f>
        <v/>
      </c>
      <c r="AH7" s="1987">
        <f>'Income Statement'!AH6</f>
        <v/>
      </c>
      <c r="AI7" s="1987">
        <f>'Income Statement'!AI6</f>
        <v/>
      </c>
      <c r="AJ7" s="1987">
        <f>'Income Statement'!AJ6</f>
        <v/>
      </c>
      <c r="AK7" s="1987">
        <f>'Income Statement'!AK6</f>
        <v/>
      </c>
      <c r="AL7" s="1987">
        <f>'Income Statement'!AL6</f>
        <v/>
      </c>
      <c r="AM7" s="1987">
        <f>'Income Statement'!AM6</f>
        <v/>
      </c>
      <c r="AN7" s="1987">
        <f>'Income Statement'!AN6</f>
        <v/>
      </c>
      <c r="AO7" s="1987">
        <f>'Income Statement'!AO6</f>
        <v/>
      </c>
      <c r="AP7" s="1987">
        <f>'Income Statement'!AP6</f>
        <v/>
      </c>
      <c r="AQ7" s="1987">
        <f>'Income Statement'!AQ6</f>
        <v/>
      </c>
      <c r="AR7" s="1987">
        <f>'Income Statement'!AR6</f>
        <v/>
      </c>
      <c r="AS7" s="1987">
        <f>'Income Statement'!AS6</f>
        <v/>
      </c>
      <c r="AT7" s="1987">
        <f>'Income Statement'!AT6</f>
        <v/>
      </c>
      <c r="AU7" s="1987">
        <f>'Income Statement'!AU6</f>
        <v/>
      </c>
      <c r="AV7" s="1987">
        <f>'Income Statement'!AV6</f>
        <v/>
      </c>
      <c r="AW7" s="1987">
        <f>'Income Statement'!AW6</f>
        <v/>
      </c>
      <c r="AX7" s="1987">
        <f>'Income Statement'!AX6</f>
        <v/>
      </c>
      <c r="AY7" s="1987">
        <f>'Income Statement'!AY6</f>
        <v/>
      </c>
      <c r="AZ7" s="1987">
        <f>'Income Statement'!AZ6</f>
        <v/>
      </c>
      <c r="BA7" s="1987">
        <f>'Income Statement'!BA6</f>
        <v/>
      </c>
      <c r="BB7" s="1987">
        <f>'Income Statement'!BB6</f>
        <v/>
      </c>
      <c r="BC7" s="1987">
        <f>'Income Statement'!BC6</f>
        <v/>
      </c>
      <c r="BD7" s="1987">
        <f>'Income Statement'!BD6</f>
        <v/>
      </c>
      <c r="BE7" s="1987">
        <f>'Income Statement'!BE6</f>
        <v/>
      </c>
      <c r="BF7" s="1987">
        <f>'Income Statement'!BF6</f>
        <v/>
      </c>
      <c r="BG7" s="1987">
        <f>'Income Statement'!BG6</f>
        <v/>
      </c>
      <c r="BH7" s="1987">
        <f>'Income Statement'!BH6</f>
        <v/>
      </c>
      <c r="BI7" s="1987">
        <f>'Income Statement'!BI6</f>
        <v/>
      </c>
      <c r="BJ7" s="1987">
        <f>'Income Statement'!BJ6</f>
        <v/>
      </c>
      <c r="BK7" s="1987">
        <f>'Income Statement'!BK6</f>
        <v/>
      </c>
      <c r="BL7" s="1987">
        <f>'Income Statement'!BL6</f>
        <v/>
      </c>
      <c r="BM7" s="1987">
        <f>'Income Statement'!BM6</f>
        <v/>
      </c>
      <c r="BN7" s="1987">
        <f>'Income Statement'!BN6</f>
        <v/>
      </c>
      <c r="BO7" s="1987">
        <f>'Income Statement'!BO6</f>
        <v/>
      </c>
      <c r="BP7" s="1987">
        <f>'Income Statement'!BP6</f>
        <v/>
      </c>
      <c r="BQ7" s="1987">
        <f>'Income Statement'!BQ6</f>
        <v/>
      </c>
      <c r="BR7" s="1987">
        <f>'Income Statement'!BR6</f>
        <v/>
      </c>
      <c r="BS7" s="1987">
        <f>'Income Statement'!BS6</f>
        <v/>
      </c>
      <c r="BT7" s="1987">
        <f>'Income Statement'!BT6</f>
        <v/>
      </c>
      <c r="BU7" s="1987">
        <f>'Income Statement'!BU6</f>
        <v/>
      </c>
      <c r="BV7" s="1987">
        <f>'Income Statement'!BV6</f>
        <v/>
      </c>
      <c r="BW7" s="1987">
        <f>'Income Statement'!BW6</f>
        <v/>
      </c>
      <c r="BX7" s="1987">
        <f>'Income Statement'!BX6</f>
        <v/>
      </c>
      <c r="BY7" s="11" t="n"/>
      <c r="BZ7" s="1888" t="n"/>
      <c r="CA7" s="1987" t="n"/>
      <c r="CB7" s="1888" t="n"/>
      <c r="CC7" s="1887" t="n"/>
      <c r="CD7" s="1356" t="inlineStr">
        <is>
          <t>Ramp Up Year</t>
        </is>
      </c>
      <c r="CE7" s="1887" t="inlineStr">
        <is>
          <t>Year 1</t>
        </is>
      </c>
      <c r="CF7" s="1887" t="inlineStr">
        <is>
          <t>Year 2</t>
        </is>
      </c>
      <c r="CG7" s="1887" t="inlineStr">
        <is>
          <t>Year 3</t>
        </is>
      </c>
      <c r="CH7" s="1887" t="inlineStr">
        <is>
          <t>Year 4</t>
        </is>
      </c>
      <c r="CI7" s="1887" t="inlineStr">
        <is>
          <t>Year 5</t>
        </is>
      </c>
    </row>
    <row r="8" ht="12.75" customHeight="1" s="1883">
      <c r="A8" s="7" t="n"/>
      <c r="B8" s="338" t="inlineStr">
        <is>
          <t>ASSETS</t>
        </is>
      </c>
      <c r="C8" s="339" t="n"/>
      <c r="D8" s="339" t="n"/>
      <c r="E8" s="1371" t="n"/>
      <c r="F8" s="1371" t="n"/>
      <c r="G8" s="1371" t="n"/>
      <c r="H8" s="1371" t="n"/>
      <c r="I8" s="1371" t="n"/>
      <c r="J8" s="1371" t="n"/>
      <c r="K8" s="339" t="n"/>
      <c r="L8" s="339" t="n"/>
      <c r="M8" s="339" t="n"/>
      <c r="N8" s="339" t="n"/>
      <c r="O8" s="339" t="n"/>
      <c r="P8" s="339" t="n"/>
      <c r="Q8" s="339" t="n"/>
      <c r="R8" s="339" t="n"/>
      <c r="S8" s="339" t="n"/>
      <c r="T8" s="339" t="n"/>
      <c r="U8" s="339" t="n"/>
      <c r="V8" s="339" t="n"/>
      <c r="W8" s="339" t="n"/>
      <c r="X8" s="339" t="n"/>
      <c r="Y8" s="339" t="n"/>
      <c r="Z8" s="339" t="n"/>
      <c r="AA8" s="339" t="n"/>
      <c r="AB8" s="339" t="n"/>
      <c r="AC8" s="339" t="n"/>
      <c r="AD8" s="339" t="n"/>
      <c r="AE8" s="339" t="n"/>
      <c r="AF8" s="339" t="n"/>
      <c r="AG8" s="339" t="n"/>
      <c r="AH8" s="339" t="n"/>
      <c r="AI8" s="339" t="n"/>
      <c r="AJ8" s="339" t="n"/>
      <c r="AK8" s="339" t="n"/>
      <c r="AL8" s="339" t="n"/>
      <c r="AM8" s="339" t="n"/>
      <c r="AN8" s="339" t="n"/>
      <c r="AO8" s="339" t="n"/>
      <c r="AP8" s="339" t="n"/>
      <c r="AQ8" s="339" t="n"/>
      <c r="AR8" s="339" t="n"/>
      <c r="AS8" s="339" t="n"/>
      <c r="AT8" s="339" t="n"/>
      <c r="AU8" s="339" t="n"/>
      <c r="AV8" s="339" t="n"/>
      <c r="AW8" s="339" t="n"/>
      <c r="AX8" s="339" t="n"/>
      <c r="AY8" s="339" t="n"/>
      <c r="AZ8" s="339" t="n"/>
      <c r="BA8" s="339" t="n"/>
      <c r="BB8" s="339" t="n"/>
      <c r="BC8" s="339" t="n"/>
      <c r="BD8" s="339" t="n"/>
      <c r="BE8" s="339" t="n"/>
      <c r="BF8" s="339" t="n"/>
      <c r="BG8" s="339" t="n"/>
      <c r="BH8" s="339" t="n"/>
      <c r="BI8" s="339" t="n"/>
      <c r="BJ8" s="339" t="n"/>
      <c r="BK8" s="339" t="n"/>
      <c r="BL8" s="339" t="n"/>
      <c r="BM8" s="339" t="n"/>
      <c r="BN8" s="339" t="n"/>
      <c r="BO8" s="339" t="n"/>
      <c r="BP8" s="339" t="n"/>
      <c r="BQ8" s="339" t="n"/>
      <c r="BR8" s="339" t="n"/>
      <c r="BS8" s="339" t="n"/>
      <c r="BT8" s="339" t="n"/>
      <c r="BU8" s="339" t="n"/>
      <c r="BV8" s="339" t="n"/>
      <c r="BW8" s="339" t="n"/>
      <c r="BX8" s="339" t="n"/>
      <c r="BY8" s="7" t="n"/>
      <c r="BZ8" s="340" t="inlineStr">
        <is>
          <t>ASSETS</t>
        </is>
      </c>
      <c r="CA8" s="341" t="n"/>
      <c r="CB8" s="297" t="n"/>
      <c r="CC8" s="297" t="n"/>
      <c r="CD8" s="1357" t="n"/>
      <c r="CE8" s="2014" t="n"/>
      <c r="CF8" s="2014" t="n"/>
      <c r="CG8" s="2014" t="n"/>
      <c r="CH8" s="2014" t="n"/>
      <c r="CI8" s="2014" t="n"/>
    </row>
    <row r="9" ht="12.75" customHeight="1" s="1883">
      <c r="A9" s="7" t="n"/>
      <c r="B9" s="342" t="n"/>
      <c r="C9" s="339" t="inlineStr">
        <is>
          <t>Cash</t>
        </is>
      </c>
      <c r="D9" s="339" t="n"/>
      <c r="E9" s="20">
        <f>+'Cash Flow'!E35</f>
        <v/>
      </c>
      <c r="F9" s="20">
        <f>+'Cash Flow'!F35</f>
        <v/>
      </c>
      <c r="G9" s="20">
        <f>+'Cash Flow'!G35</f>
        <v/>
      </c>
      <c r="H9" s="20">
        <f>+'Cash Flow'!H35</f>
        <v/>
      </c>
      <c r="I9" s="20">
        <f>+'Cash Flow'!I35</f>
        <v/>
      </c>
      <c r="J9" s="20">
        <f>+'Cash Flow'!J35</f>
        <v/>
      </c>
      <c r="K9" s="20">
        <f>+'Cash Flow'!K35</f>
        <v/>
      </c>
      <c r="L9" s="20">
        <f>+'Cash Flow'!L35</f>
        <v/>
      </c>
      <c r="M9" s="20">
        <f>+'Cash Flow'!M35</f>
        <v/>
      </c>
      <c r="N9" s="20">
        <f>+'Cash Flow'!N35</f>
        <v/>
      </c>
      <c r="O9" s="20">
        <f>+'Cash Flow'!O35</f>
        <v/>
      </c>
      <c r="P9" s="20">
        <f>+'Cash Flow'!P35</f>
        <v/>
      </c>
      <c r="Q9" s="20">
        <f>'Cash Flow'!Q35</f>
        <v/>
      </c>
      <c r="R9" s="20">
        <f>'Cash Flow'!R35</f>
        <v/>
      </c>
      <c r="S9" s="20">
        <f>'Cash Flow'!S35</f>
        <v/>
      </c>
      <c r="T9" s="20">
        <f>'Cash Flow'!T35</f>
        <v/>
      </c>
      <c r="U9" s="20">
        <f>'Cash Flow'!U35</f>
        <v/>
      </c>
      <c r="V9" s="20">
        <f>'Cash Flow'!V35</f>
        <v/>
      </c>
      <c r="W9" s="20">
        <f>'Cash Flow'!W35</f>
        <v/>
      </c>
      <c r="X9" s="20">
        <f>'Cash Flow'!X35</f>
        <v/>
      </c>
      <c r="Y9" s="20">
        <f>'Cash Flow'!Y35</f>
        <v/>
      </c>
      <c r="Z9" s="20">
        <f>'Cash Flow'!Z35</f>
        <v/>
      </c>
      <c r="AA9" s="20">
        <f>'Cash Flow'!AA35</f>
        <v/>
      </c>
      <c r="AB9" s="20">
        <f>'Cash Flow'!AB35</f>
        <v/>
      </c>
      <c r="AC9" s="20">
        <f>'Cash Flow'!AC35</f>
        <v/>
      </c>
      <c r="AD9" s="20">
        <f>'Cash Flow'!AD35</f>
        <v/>
      </c>
      <c r="AE9" s="20">
        <f>'Cash Flow'!AE35</f>
        <v/>
      </c>
      <c r="AF9" s="20">
        <f>'Cash Flow'!AF35</f>
        <v/>
      </c>
      <c r="AG9" s="20">
        <f>'Cash Flow'!AG35</f>
        <v/>
      </c>
      <c r="AH9" s="20">
        <f>'Cash Flow'!AH35</f>
        <v/>
      </c>
      <c r="AI9" s="20">
        <f>'Cash Flow'!AI35</f>
        <v/>
      </c>
      <c r="AJ9" s="20">
        <f>'Cash Flow'!AJ35</f>
        <v/>
      </c>
      <c r="AK9" s="20">
        <f>'Cash Flow'!AK35</f>
        <v/>
      </c>
      <c r="AL9" s="20">
        <f>'Cash Flow'!AL35</f>
        <v/>
      </c>
      <c r="AM9" s="20">
        <f>'Cash Flow'!AM35</f>
        <v/>
      </c>
      <c r="AN9" s="20">
        <f>'Cash Flow'!AN35</f>
        <v/>
      </c>
      <c r="AO9" s="20">
        <f>'Cash Flow'!AO35</f>
        <v/>
      </c>
      <c r="AP9" s="20">
        <f>'Cash Flow'!AP35</f>
        <v/>
      </c>
      <c r="AQ9" s="20">
        <f>'Cash Flow'!AQ35</f>
        <v/>
      </c>
      <c r="AR9" s="20">
        <f>'Cash Flow'!AR35</f>
        <v/>
      </c>
      <c r="AS9" s="20">
        <f>'Cash Flow'!AS35</f>
        <v/>
      </c>
      <c r="AT9" s="20">
        <f>'Cash Flow'!AT35</f>
        <v/>
      </c>
      <c r="AU9" s="20">
        <f>'Cash Flow'!AU35</f>
        <v/>
      </c>
      <c r="AV9" s="20">
        <f>'Cash Flow'!AV35</f>
        <v/>
      </c>
      <c r="AW9" s="20">
        <f>'Cash Flow'!AW35</f>
        <v/>
      </c>
      <c r="AX9" s="20">
        <f>'Cash Flow'!AX35</f>
        <v/>
      </c>
      <c r="AY9" s="20">
        <f>'Cash Flow'!AY35</f>
        <v/>
      </c>
      <c r="AZ9" s="20">
        <f>'Cash Flow'!AZ35</f>
        <v/>
      </c>
      <c r="BA9" s="20">
        <f>'Cash Flow'!BA35</f>
        <v/>
      </c>
      <c r="BB9" s="20">
        <f>'Cash Flow'!BB35</f>
        <v/>
      </c>
      <c r="BC9" s="20">
        <f>'Cash Flow'!BC35</f>
        <v/>
      </c>
      <c r="BD9" s="20">
        <f>'Cash Flow'!BD35</f>
        <v/>
      </c>
      <c r="BE9" s="20">
        <f>'Cash Flow'!BE35</f>
        <v/>
      </c>
      <c r="BF9" s="20">
        <f>'Cash Flow'!BF35</f>
        <v/>
      </c>
      <c r="BG9" s="20">
        <f>'Cash Flow'!BG35</f>
        <v/>
      </c>
      <c r="BH9" s="20">
        <f>'Cash Flow'!BH35</f>
        <v/>
      </c>
      <c r="BI9" s="20">
        <f>'Cash Flow'!BI35</f>
        <v/>
      </c>
      <c r="BJ9" s="20">
        <f>'Cash Flow'!BJ35</f>
        <v/>
      </c>
      <c r="BK9" s="20">
        <f>'Cash Flow'!BK35</f>
        <v/>
      </c>
      <c r="BL9" s="20">
        <f>'Cash Flow'!BL35</f>
        <v/>
      </c>
      <c r="BM9" s="20">
        <f>'Cash Flow'!BM35</f>
        <v/>
      </c>
      <c r="BN9" s="20">
        <f>'Cash Flow'!BN35</f>
        <v/>
      </c>
      <c r="BO9" s="20">
        <f>'Cash Flow'!BO35</f>
        <v/>
      </c>
      <c r="BP9" s="20">
        <f>'Cash Flow'!BP35</f>
        <v/>
      </c>
      <c r="BQ9" s="20">
        <f>'Cash Flow'!BQ35</f>
        <v/>
      </c>
      <c r="BR9" s="20">
        <f>'Cash Flow'!BR35</f>
        <v/>
      </c>
      <c r="BS9" s="20">
        <f>'Cash Flow'!BS35</f>
        <v/>
      </c>
      <c r="BT9" s="20">
        <f>'Cash Flow'!BT35</f>
        <v/>
      </c>
      <c r="BU9" s="20">
        <f>'Cash Flow'!BU35</f>
        <v/>
      </c>
      <c r="BV9" s="20">
        <f>'Cash Flow'!BV35</f>
        <v/>
      </c>
      <c r="BW9" s="20">
        <f>'Cash Flow'!BW35</f>
        <v/>
      </c>
      <c r="BX9" s="20">
        <f>'Cash Flow'!BX35</f>
        <v/>
      </c>
      <c r="BY9" s="7" t="n"/>
      <c r="BZ9" s="343" t="n"/>
      <c r="CA9" s="341" t="inlineStr">
        <is>
          <t>Cash</t>
        </is>
      </c>
      <c r="CB9" s="297" t="n"/>
      <c r="CC9" s="297" t="n"/>
      <c r="CD9" s="2015">
        <f>SUM(E9:P9)</f>
        <v/>
      </c>
      <c r="CE9" s="2014">
        <f>SUM(Q9:AB9)</f>
        <v/>
      </c>
      <c r="CF9" s="2014">
        <f>SUM(AC9:AN9)</f>
        <v/>
      </c>
      <c r="CG9" s="2014">
        <f>SUM(AO9:AZ9)</f>
        <v/>
      </c>
      <c r="CH9" s="2014">
        <f>SUM(BA9:BL9)</f>
        <v/>
      </c>
      <c r="CI9" s="2014">
        <f>SUM(BM9:BX9)</f>
        <v/>
      </c>
    </row>
    <row r="10" ht="12.75" customHeight="1" s="1883">
      <c r="A10" s="7" t="n"/>
      <c r="B10" s="342" t="n"/>
      <c r="C10" s="339" t="inlineStr">
        <is>
          <t>Inventory - for sale</t>
        </is>
      </c>
      <c r="D10" s="339" t="n"/>
      <c r="E10" s="20">
        <f>+'6B. Pre-Launch Exps. - Detail'!F180</f>
        <v/>
      </c>
      <c r="F10" s="20">
        <f>+'6B. Pre-Launch Exps. - Detail'!G180</f>
        <v/>
      </c>
      <c r="G10" s="20">
        <f>+'6B. Pre-Launch Exps. - Detail'!H180</f>
        <v/>
      </c>
      <c r="H10" s="20">
        <f>+'6B. Pre-Launch Exps. - Detail'!I180</f>
        <v/>
      </c>
      <c r="I10" s="20">
        <f>+'6B. Pre-Launch Exps. - Detail'!J180</f>
        <v/>
      </c>
      <c r="J10" s="20">
        <f>+'6B. Pre-Launch Exps. - Detail'!K180</f>
        <v/>
      </c>
      <c r="K10" s="20">
        <f>+'6B. Pre-Launch Exps. - Detail'!L180</f>
        <v/>
      </c>
      <c r="L10" s="20">
        <f>+'6B. Pre-Launch Exps. - Detail'!M180</f>
        <v/>
      </c>
      <c r="M10" s="20">
        <f>+'6B. Pre-Launch Exps. - Detail'!N180</f>
        <v/>
      </c>
      <c r="N10" s="20">
        <f>+'6B. Pre-Launch Exps. - Detail'!O180</f>
        <v/>
      </c>
      <c r="O10" s="20">
        <f>+'6B. Pre-Launch Exps. - Detail'!P180</f>
        <v/>
      </c>
      <c r="P10" s="20">
        <f>+'6B. Pre-Launch Exps. - Detail'!Q180</f>
        <v/>
      </c>
      <c r="Q10" s="20">
        <f>+'4B. Tel. Expense Assumptions'!G163</f>
        <v/>
      </c>
      <c r="R10" s="20">
        <f>+'4B. Tel. Expense Assumptions'!H163</f>
        <v/>
      </c>
      <c r="S10" s="20">
        <f>+'4B. Tel. Expense Assumptions'!I163</f>
        <v/>
      </c>
      <c r="T10" s="20">
        <f>+'4B. Tel. Expense Assumptions'!J163</f>
        <v/>
      </c>
      <c r="U10" s="20">
        <f>+'4B. Tel. Expense Assumptions'!K163</f>
        <v/>
      </c>
      <c r="V10" s="20">
        <f>+'4B. Tel. Expense Assumptions'!L163</f>
        <v/>
      </c>
      <c r="W10" s="20">
        <f>+'4B. Tel. Expense Assumptions'!M163</f>
        <v/>
      </c>
      <c r="X10" s="20">
        <f>+'4B. Tel. Expense Assumptions'!N163</f>
        <v/>
      </c>
      <c r="Y10" s="20">
        <f>+'4B. Tel. Expense Assumptions'!O163</f>
        <v/>
      </c>
      <c r="Z10" s="20">
        <f>+'4B. Tel. Expense Assumptions'!P163</f>
        <v/>
      </c>
      <c r="AA10" s="20">
        <f>+'4B. Tel. Expense Assumptions'!Q163</f>
        <v/>
      </c>
      <c r="AB10" s="20">
        <f>+'4B. Tel. Expense Assumptions'!R163</f>
        <v/>
      </c>
      <c r="AC10" s="20">
        <f>+'4B. Tel. Expense Assumptions'!S163</f>
        <v/>
      </c>
      <c r="AD10" s="20">
        <f>+'4B. Tel. Expense Assumptions'!T163</f>
        <v/>
      </c>
      <c r="AE10" s="20">
        <f>+'4B. Tel. Expense Assumptions'!U163</f>
        <v/>
      </c>
      <c r="AF10" s="20">
        <f>+'4B. Tel. Expense Assumptions'!V163</f>
        <v/>
      </c>
      <c r="AG10" s="20">
        <f>+'4B. Tel. Expense Assumptions'!W163</f>
        <v/>
      </c>
      <c r="AH10" s="20">
        <f>+'4B. Tel. Expense Assumptions'!X163</f>
        <v/>
      </c>
      <c r="AI10" s="20">
        <f>+'4B. Tel. Expense Assumptions'!Y163</f>
        <v/>
      </c>
      <c r="AJ10" s="20">
        <f>+'4B. Tel. Expense Assumptions'!Z163</f>
        <v/>
      </c>
      <c r="AK10" s="20">
        <f>+'4B. Tel. Expense Assumptions'!AA163</f>
        <v/>
      </c>
      <c r="AL10" s="20">
        <f>+'4B. Tel. Expense Assumptions'!AB163</f>
        <v/>
      </c>
      <c r="AM10" s="20">
        <f>+'4B. Tel. Expense Assumptions'!AC163</f>
        <v/>
      </c>
      <c r="AN10" s="20">
        <f>+'4B. Tel. Expense Assumptions'!AD163</f>
        <v/>
      </c>
      <c r="AO10" s="20">
        <f>+'4B. Tel. Expense Assumptions'!AE163</f>
        <v/>
      </c>
      <c r="AP10" s="20">
        <f>+'4B. Tel. Expense Assumptions'!AF163</f>
        <v/>
      </c>
      <c r="AQ10" s="20">
        <f>+'4B. Tel. Expense Assumptions'!AG163</f>
        <v/>
      </c>
      <c r="AR10" s="20">
        <f>+'4B. Tel. Expense Assumptions'!AH163</f>
        <v/>
      </c>
      <c r="AS10" s="20">
        <f>+'4B. Tel. Expense Assumptions'!AI163</f>
        <v/>
      </c>
      <c r="AT10" s="20">
        <f>+'4B. Tel. Expense Assumptions'!AJ163</f>
        <v/>
      </c>
      <c r="AU10" s="20">
        <f>+'4B. Tel. Expense Assumptions'!AK163</f>
        <v/>
      </c>
      <c r="AV10" s="20">
        <f>+'4B. Tel. Expense Assumptions'!AL163</f>
        <v/>
      </c>
      <c r="AW10" s="20">
        <f>+'4B. Tel. Expense Assumptions'!AM163</f>
        <v/>
      </c>
      <c r="AX10" s="20">
        <f>+'4B. Tel. Expense Assumptions'!AN163</f>
        <v/>
      </c>
      <c r="AY10" s="20">
        <f>+'4B. Tel. Expense Assumptions'!AO163</f>
        <v/>
      </c>
      <c r="AZ10" s="20">
        <f>+'4B. Tel. Expense Assumptions'!AP163</f>
        <v/>
      </c>
      <c r="BA10" s="20">
        <f>+'4B. Tel. Expense Assumptions'!AQ163</f>
        <v/>
      </c>
      <c r="BB10" s="20">
        <f>+'4B. Tel. Expense Assumptions'!AR163</f>
        <v/>
      </c>
      <c r="BC10" s="20">
        <f>+'4B. Tel. Expense Assumptions'!AS163</f>
        <v/>
      </c>
      <c r="BD10" s="20">
        <f>+'4B. Tel. Expense Assumptions'!AT163</f>
        <v/>
      </c>
      <c r="BE10" s="20">
        <f>+'4B. Tel. Expense Assumptions'!AU163</f>
        <v/>
      </c>
      <c r="BF10" s="20">
        <f>+'4B. Tel. Expense Assumptions'!AV163</f>
        <v/>
      </c>
      <c r="BG10" s="20">
        <f>+'4B. Tel. Expense Assumptions'!AW163</f>
        <v/>
      </c>
      <c r="BH10" s="20">
        <f>+'4B. Tel. Expense Assumptions'!AX163</f>
        <v/>
      </c>
      <c r="BI10" s="20">
        <f>+'4B. Tel. Expense Assumptions'!AY163</f>
        <v/>
      </c>
      <c r="BJ10" s="20">
        <f>+'4B. Tel. Expense Assumptions'!AZ163</f>
        <v/>
      </c>
      <c r="BK10" s="20">
        <f>+'4B. Tel. Expense Assumptions'!BA163</f>
        <v/>
      </c>
      <c r="BL10" s="20">
        <f>+'4B. Tel. Expense Assumptions'!BB163</f>
        <v/>
      </c>
      <c r="BM10" s="20">
        <f>+'4B. Tel. Expense Assumptions'!BC163</f>
        <v/>
      </c>
      <c r="BN10" s="20">
        <f>+'4B. Tel. Expense Assumptions'!BD163</f>
        <v/>
      </c>
      <c r="BO10" s="20">
        <f>+'4B. Tel. Expense Assumptions'!BE163</f>
        <v/>
      </c>
      <c r="BP10" s="20">
        <f>+'4B. Tel. Expense Assumptions'!BF163</f>
        <v/>
      </c>
      <c r="BQ10" s="20">
        <f>+'4B. Tel. Expense Assumptions'!BG163</f>
        <v/>
      </c>
      <c r="BR10" s="20">
        <f>+'4B. Tel. Expense Assumptions'!BH163</f>
        <v/>
      </c>
      <c r="BS10" s="20">
        <f>+'4B. Tel. Expense Assumptions'!BI163</f>
        <v/>
      </c>
      <c r="BT10" s="20">
        <f>+'4B. Tel. Expense Assumptions'!BJ163</f>
        <v/>
      </c>
      <c r="BU10" s="20">
        <f>+'4B. Tel. Expense Assumptions'!BK163</f>
        <v/>
      </c>
      <c r="BV10" s="20">
        <f>+'4B. Tel. Expense Assumptions'!BL163</f>
        <v/>
      </c>
      <c r="BW10" s="20">
        <f>+'4B. Tel. Expense Assumptions'!BM163</f>
        <v/>
      </c>
      <c r="BX10" s="20">
        <f>+'4B. Tel. Expense Assumptions'!BN163</f>
        <v/>
      </c>
      <c r="BY10" s="7" t="n"/>
      <c r="BZ10" s="343" t="n"/>
      <c r="CA10" s="341" t="inlineStr">
        <is>
          <t>Inventory - for sale</t>
        </is>
      </c>
      <c r="CB10" s="297" t="n"/>
      <c r="CC10" s="297" t="n"/>
      <c r="CD10" s="2015">
        <f>SUM(E10:P10)</f>
        <v/>
      </c>
      <c r="CE10" s="2014">
        <f>SUM(Q10:AB10)</f>
        <v/>
      </c>
      <c r="CF10" s="2014">
        <f>SUM(AC10:AN10)</f>
        <v/>
      </c>
      <c r="CG10" s="2014">
        <f>SUM(AO10:AZ10)</f>
        <v/>
      </c>
      <c r="CH10" s="2014">
        <f>SUM(BA10:BL10)</f>
        <v/>
      </c>
      <c r="CI10" s="2014">
        <f>SUM(BM10:BX10)</f>
        <v/>
      </c>
    </row>
    <row r="11" ht="12.75" customHeight="1" s="1883">
      <c r="A11" s="7" t="n"/>
      <c r="B11" s="342" t="n"/>
      <c r="C11" s="339" t="inlineStr">
        <is>
          <t>Deposits with CMO</t>
        </is>
      </c>
      <c r="D11" s="339" t="n"/>
      <c r="E11" s="20">
        <f>+'6B. Pre-Launch Exps. - Detail'!F182</f>
        <v/>
      </c>
      <c r="F11" s="20">
        <f>+'6B. Pre-Launch Exps. - Detail'!G182</f>
        <v/>
      </c>
      <c r="G11" s="20">
        <f>+'6B. Pre-Launch Exps. - Detail'!H182</f>
        <v/>
      </c>
      <c r="H11" s="20">
        <f>+'6B. Pre-Launch Exps. - Detail'!I182</f>
        <v/>
      </c>
      <c r="I11" s="20">
        <f>+'6B. Pre-Launch Exps. - Detail'!J182</f>
        <v/>
      </c>
      <c r="J11" s="20">
        <f>+'6B. Pre-Launch Exps. - Detail'!K182</f>
        <v/>
      </c>
      <c r="K11" s="20">
        <f>+'6B. Pre-Launch Exps. - Detail'!L182</f>
        <v/>
      </c>
      <c r="L11" s="20">
        <f>+'6B. Pre-Launch Exps. - Detail'!M182</f>
        <v/>
      </c>
      <c r="M11" s="20">
        <f>+'6B. Pre-Launch Exps. - Detail'!N182</f>
        <v/>
      </c>
      <c r="N11" s="20">
        <f>+'6B. Pre-Launch Exps. - Detail'!O182</f>
        <v/>
      </c>
      <c r="O11" s="20">
        <f>+'6B. Pre-Launch Exps. - Detail'!P182</f>
        <v/>
      </c>
      <c r="P11" s="20">
        <f>+'6B. Pre-Launch Exps. - Detail'!Q182</f>
        <v/>
      </c>
      <c r="Q11" s="20">
        <f>+'4B. Tel. Expense Assumptions'!G176</f>
        <v/>
      </c>
      <c r="R11" s="20">
        <f>+'4B. Tel. Expense Assumptions'!H176</f>
        <v/>
      </c>
      <c r="S11" s="20">
        <f>+'4B. Tel. Expense Assumptions'!I176</f>
        <v/>
      </c>
      <c r="T11" s="20">
        <f>+'4B. Tel. Expense Assumptions'!J176</f>
        <v/>
      </c>
      <c r="U11" s="20">
        <f>+'4B. Tel. Expense Assumptions'!K176</f>
        <v/>
      </c>
      <c r="V11" s="20">
        <f>+'4B. Tel. Expense Assumptions'!L176</f>
        <v/>
      </c>
      <c r="W11" s="20">
        <f>+'4B. Tel. Expense Assumptions'!M176</f>
        <v/>
      </c>
      <c r="X11" s="20">
        <f>+'4B. Tel. Expense Assumptions'!N176</f>
        <v/>
      </c>
      <c r="Y11" s="20">
        <f>+'4B. Tel. Expense Assumptions'!O176</f>
        <v/>
      </c>
      <c r="Z11" s="20">
        <f>+'4B. Tel. Expense Assumptions'!P176</f>
        <v/>
      </c>
      <c r="AA11" s="20">
        <f>+'4B. Tel. Expense Assumptions'!Q176</f>
        <v/>
      </c>
      <c r="AB11" s="20">
        <f>+'4B. Tel. Expense Assumptions'!R176</f>
        <v/>
      </c>
      <c r="AC11" s="20">
        <f>+'4B. Tel. Expense Assumptions'!S176</f>
        <v/>
      </c>
      <c r="AD11" s="20">
        <f>+'4B. Tel. Expense Assumptions'!T176</f>
        <v/>
      </c>
      <c r="AE11" s="20">
        <f>+'4B. Tel. Expense Assumptions'!U176</f>
        <v/>
      </c>
      <c r="AF11" s="20">
        <f>+'4B. Tel. Expense Assumptions'!V176</f>
        <v/>
      </c>
      <c r="AG11" s="20">
        <f>+'4B. Tel. Expense Assumptions'!W176</f>
        <v/>
      </c>
      <c r="AH11" s="20">
        <f>+'4B. Tel. Expense Assumptions'!X176</f>
        <v/>
      </c>
      <c r="AI11" s="20">
        <f>+'4B. Tel. Expense Assumptions'!Y176</f>
        <v/>
      </c>
      <c r="AJ11" s="20">
        <f>+'4B. Tel. Expense Assumptions'!Z176</f>
        <v/>
      </c>
      <c r="AK11" s="20">
        <f>+'4B. Tel. Expense Assumptions'!AA176</f>
        <v/>
      </c>
      <c r="AL11" s="20">
        <f>+'4B. Tel. Expense Assumptions'!AB176</f>
        <v/>
      </c>
      <c r="AM11" s="20">
        <f>+'4B. Tel. Expense Assumptions'!AC176</f>
        <v/>
      </c>
      <c r="AN11" s="20">
        <f>+'4B. Tel. Expense Assumptions'!AD176</f>
        <v/>
      </c>
      <c r="AO11" s="20">
        <f>+'4B. Tel. Expense Assumptions'!AE176</f>
        <v/>
      </c>
      <c r="AP11" s="20">
        <f>+'4B. Tel. Expense Assumptions'!AF176</f>
        <v/>
      </c>
      <c r="AQ11" s="20">
        <f>+'4B. Tel. Expense Assumptions'!AG176</f>
        <v/>
      </c>
      <c r="AR11" s="20">
        <f>+'4B. Tel. Expense Assumptions'!AH176</f>
        <v/>
      </c>
      <c r="AS11" s="20">
        <f>+'4B. Tel. Expense Assumptions'!AI176</f>
        <v/>
      </c>
      <c r="AT11" s="20">
        <f>+'4B. Tel. Expense Assumptions'!AJ176</f>
        <v/>
      </c>
      <c r="AU11" s="20">
        <f>+'4B. Tel. Expense Assumptions'!AK176</f>
        <v/>
      </c>
      <c r="AV11" s="20">
        <f>+'4B. Tel. Expense Assumptions'!AL176</f>
        <v/>
      </c>
      <c r="AW11" s="20">
        <f>+'4B. Tel. Expense Assumptions'!AM176</f>
        <v/>
      </c>
      <c r="AX11" s="20">
        <f>+'4B. Tel. Expense Assumptions'!AN176</f>
        <v/>
      </c>
      <c r="AY11" s="20">
        <f>+'4B. Tel. Expense Assumptions'!AO176</f>
        <v/>
      </c>
      <c r="AZ11" s="20">
        <f>+'4B. Tel. Expense Assumptions'!AP176</f>
        <v/>
      </c>
      <c r="BA11" s="20">
        <f>+'4B. Tel. Expense Assumptions'!AQ176</f>
        <v/>
      </c>
      <c r="BB11" s="20">
        <f>+'4B. Tel. Expense Assumptions'!AR176</f>
        <v/>
      </c>
      <c r="BC11" s="20">
        <f>+'4B. Tel. Expense Assumptions'!AS176</f>
        <v/>
      </c>
      <c r="BD11" s="20">
        <f>+'4B. Tel. Expense Assumptions'!AT176</f>
        <v/>
      </c>
      <c r="BE11" s="20">
        <f>+'4B. Tel. Expense Assumptions'!AU176</f>
        <v/>
      </c>
      <c r="BF11" s="20">
        <f>+'4B. Tel. Expense Assumptions'!AV176</f>
        <v/>
      </c>
      <c r="BG11" s="20">
        <f>+'4B. Tel. Expense Assumptions'!AW176</f>
        <v/>
      </c>
      <c r="BH11" s="20">
        <f>+'4B. Tel. Expense Assumptions'!AX176</f>
        <v/>
      </c>
      <c r="BI11" s="20">
        <f>+'4B. Tel. Expense Assumptions'!AY176</f>
        <v/>
      </c>
      <c r="BJ11" s="20">
        <f>+'4B. Tel. Expense Assumptions'!AZ176</f>
        <v/>
      </c>
      <c r="BK11" s="20">
        <f>+'4B. Tel. Expense Assumptions'!BA176</f>
        <v/>
      </c>
      <c r="BL11" s="20">
        <f>+'4B. Tel. Expense Assumptions'!BB176</f>
        <v/>
      </c>
      <c r="BM11" s="20">
        <f>+'4B. Tel. Expense Assumptions'!BC176</f>
        <v/>
      </c>
      <c r="BN11" s="20">
        <f>+'4B. Tel. Expense Assumptions'!BD176</f>
        <v/>
      </c>
      <c r="BO11" s="20">
        <f>+'4B. Tel. Expense Assumptions'!BE176</f>
        <v/>
      </c>
      <c r="BP11" s="20">
        <f>+'4B. Tel. Expense Assumptions'!BF176</f>
        <v/>
      </c>
      <c r="BQ11" s="20">
        <f>+'4B. Tel. Expense Assumptions'!BG176</f>
        <v/>
      </c>
      <c r="BR11" s="20">
        <f>+'4B. Tel. Expense Assumptions'!BH176</f>
        <v/>
      </c>
      <c r="BS11" s="20">
        <f>+'4B. Tel. Expense Assumptions'!BI176</f>
        <v/>
      </c>
      <c r="BT11" s="20">
        <f>+'4B. Tel. Expense Assumptions'!BJ176</f>
        <v/>
      </c>
      <c r="BU11" s="20">
        <f>+'4B. Tel. Expense Assumptions'!BK176</f>
        <v/>
      </c>
      <c r="BV11" s="20">
        <f>+'4B. Tel. Expense Assumptions'!BL176</f>
        <v/>
      </c>
      <c r="BW11" s="20">
        <f>+'4B. Tel. Expense Assumptions'!BM176</f>
        <v/>
      </c>
      <c r="BX11" s="20">
        <f>+'4B. Tel. Expense Assumptions'!BN176</f>
        <v/>
      </c>
      <c r="BY11" s="7" t="n"/>
      <c r="BZ11" s="343" t="n"/>
      <c r="CA11" s="341" t="inlineStr">
        <is>
          <t xml:space="preserve">Deposits with CMO </t>
        </is>
      </c>
      <c r="CB11" s="297" t="n"/>
      <c r="CC11" s="297" t="n"/>
      <c r="CD11" s="2015">
        <f>SUM(E11:P11)</f>
        <v/>
      </c>
      <c r="CE11" s="2014">
        <f>SUM(Q11:AB11)</f>
        <v/>
      </c>
      <c r="CF11" s="2014">
        <f>SUM(AC11:AN11)</f>
        <v/>
      </c>
      <c r="CG11" s="2014">
        <f>SUM(AO11:AZ11)</f>
        <v/>
      </c>
      <c r="CH11" s="2014">
        <f>SUM(BA11:BL11)</f>
        <v/>
      </c>
      <c r="CI11" s="2014">
        <f>SUM(BM11:BX11)</f>
        <v/>
      </c>
    </row>
    <row r="12" ht="12.75" customHeight="1" s="1883">
      <c r="A12" s="7" t="n"/>
      <c r="B12" s="342" t="n"/>
      <c r="C12" s="339" t="inlineStr">
        <is>
          <t>Prepaid Expenses</t>
        </is>
      </c>
      <c r="D12" s="339" t="n"/>
      <c r="E12" s="20">
        <f>+'6B. Pre-Launch Exps. - Detail'!F136</f>
        <v/>
      </c>
      <c r="F12" s="20">
        <f>+'6B. Pre-Launch Exps. - Detail'!G136</f>
        <v/>
      </c>
      <c r="G12" s="20">
        <f>+'6B. Pre-Launch Exps. - Detail'!H136</f>
        <v/>
      </c>
      <c r="H12" s="20">
        <f>+'6B. Pre-Launch Exps. - Detail'!I136</f>
        <v/>
      </c>
      <c r="I12" s="20">
        <f>+'6B. Pre-Launch Exps. - Detail'!J136</f>
        <v/>
      </c>
      <c r="J12" s="20">
        <f>+'6B. Pre-Launch Exps. - Detail'!K136</f>
        <v/>
      </c>
      <c r="K12" s="20" t="n">
        <v>1442535</v>
      </c>
      <c r="L12" s="20">
        <f>+K12+'6B. Pre-Launch Exps. - Detail'!M136</f>
        <v/>
      </c>
      <c r="M12" s="20">
        <f>+L12+'6B. Pre-Launch Exps. - Detail'!N136</f>
        <v/>
      </c>
      <c r="N12" s="20">
        <f>+M12+'6B. Pre-Launch Exps. - Detail'!O136</f>
        <v/>
      </c>
      <c r="O12" s="20">
        <f>+N12+'6B. Pre-Launch Exps. - Detail'!P136</f>
        <v/>
      </c>
      <c r="P12" s="20">
        <f>+O12+'6B. Pre-Launch Exps. - Detail'!Q136</f>
        <v/>
      </c>
      <c r="Q12" s="20">
        <f>+P12</f>
        <v/>
      </c>
      <c r="R12" s="20">
        <f>+Q12</f>
        <v/>
      </c>
      <c r="S12" s="20">
        <f>+R12</f>
        <v/>
      </c>
      <c r="T12" s="20">
        <f>+S12</f>
        <v/>
      </c>
      <c r="U12" s="20">
        <f>+T12</f>
        <v/>
      </c>
      <c r="V12" s="20">
        <f>+U12</f>
        <v/>
      </c>
      <c r="W12" s="20">
        <f>+V12</f>
        <v/>
      </c>
      <c r="X12" s="20">
        <f>+W12</f>
        <v/>
      </c>
      <c r="Y12" s="20">
        <f>+X12</f>
        <v/>
      </c>
      <c r="Z12" s="20">
        <f>+Y12</f>
        <v/>
      </c>
      <c r="AA12" s="20">
        <f>+Z12</f>
        <v/>
      </c>
      <c r="AB12" s="20">
        <f>+AA12</f>
        <v/>
      </c>
      <c r="AC12" s="20">
        <f>+AB12</f>
        <v/>
      </c>
      <c r="AD12" s="20">
        <f>+AC12</f>
        <v/>
      </c>
      <c r="AE12" s="20">
        <f>+AD12</f>
        <v/>
      </c>
      <c r="AF12" s="20">
        <f>+AE12</f>
        <v/>
      </c>
      <c r="AG12" s="20">
        <f>+AF12</f>
        <v/>
      </c>
      <c r="AH12" s="20">
        <f>+AG12</f>
        <v/>
      </c>
      <c r="AI12" s="20">
        <f>+AH12</f>
        <v/>
      </c>
      <c r="AJ12" s="20">
        <f>+AI12</f>
        <v/>
      </c>
      <c r="AK12" s="20">
        <f>+AJ12</f>
        <v/>
      </c>
      <c r="AL12" s="20">
        <f>+AK12</f>
        <v/>
      </c>
      <c r="AM12" s="20">
        <f>+AL12</f>
        <v/>
      </c>
      <c r="AN12" s="20">
        <f>+AM12</f>
        <v/>
      </c>
      <c r="AO12" s="20">
        <f>+AN12</f>
        <v/>
      </c>
      <c r="AP12" s="20">
        <f>+AO12</f>
        <v/>
      </c>
      <c r="AQ12" s="20">
        <f>+AP12</f>
        <v/>
      </c>
      <c r="AR12" s="20">
        <f>+AQ12</f>
        <v/>
      </c>
      <c r="AS12" s="20">
        <f>+AR12</f>
        <v/>
      </c>
      <c r="AT12" s="20">
        <f>+AS12</f>
        <v/>
      </c>
      <c r="AU12" s="20">
        <f>+AT12</f>
        <v/>
      </c>
      <c r="AV12" s="20">
        <f>+AU12</f>
        <v/>
      </c>
      <c r="AW12" s="20">
        <f>+AV12</f>
        <v/>
      </c>
      <c r="AX12" s="20">
        <f>+AW12</f>
        <v/>
      </c>
      <c r="AY12" s="20">
        <f>+AX12</f>
        <v/>
      </c>
      <c r="AZ12" s="20">
        <f>+AY12</f>
        <v/>
      </c>
      <c r="BA12" s="20">
        <f>+AZ12</f>
        <v/>
      </c>
      <c r="BB12" s="20">
        <f>+BA12</f>
        <v/>
      </c>
      <c r="BC12" s="20">
        <f>+BB12</f>
        <v/>
      </c>
      <c r="BD12" s="20">
        <f>+BC12</f>
        <v/>
      </c>
      <c r="BE12" s="20">
        <f>+BD12</f>
        <v/>
      </c>
      <c r="BF12" s="20">
        <f>+BE12</f>
        <v/>
      </c>
      <c r="BG12" s="20">
        <f>+BF12</f>
        <v/>
      </c>
      <c r="BH12" s="20">
        <f>+BG12</f>
        <v/>
      </c>
      <c r="BI12" s="20">
        <f>+BH12</f>
        <v/>
      </c>
      <c r="BJ12" s="20">
        <f>+BI12</f>
        <v/>
      </c>
      <c r="BK12" s="20">
        <f>+BJ12</f>
        <v/>
      </c>
      <c r="BL12" s="20">
        <f>+BK12</f>
        <v/>
      </c>
      <c r="BM12" s="20">
        <f>+BL12</f>
        <v/>
      </c>
      <c r="BN12" s="20">
        <f>+BM12</f>
        <v/>
      </c>
      <c r="BO12" s="20">
        <f>+BN12</f>
        <v/>
      </c>
      <c r="BP12" s="20">
        <f>+BO12</f>
        <v/>
      </c>
      <c r="BQ12" s="20">
        <f>+BP12</f>
        <v/>
      </c>
      <c r="BR12" s="20">
        <f>+BQ12</f>
        <v/>
      </c>
      <c r="BS12" s="20">
        <f>+BR12</f>
        <v/>
      </c>
      <c r="BT12" s="20">
        <f>+BS12</f>
        <v/>
      </c>
      <c r="BU12" s="20">
        <f>+BT12</f>
        <v/>
      </c>
      <c r="BV12" s="20">
        <f>+BU12</f>
        <v/>
      </c>
      <c r="BW12" s="20">
        <f>+BV12</f>
        <v/>
      </c>
      <c r="BX12" s="20">
        <f>+BW12</f>
        <v/>
      </c>
      <c r="BY12" s="7" t="n"/>
      <c r="BZ12" s="343" t="n"/>
      <c r="CA12" s="341" t="inlineStr">
        <is>
          <t>Prepaid Expenses</t>
        </is>
      </c>
      <c r="CB12" s="304" t="n"/>
      <c r="CC12" s="304" t="n"/>
      <c r="CD12" s="2015">
        <f>SUM(E12:P12)</f>
        <v/>
      </c>
      <c r="CE12" s="2014">
        <f>SUM(Q12:AB12)</f>
        <v/>
      </c>
      <c r="CF12" s="2014">
        <f>SUM(AC12:AN12)</f>
        <v/>
      </c>
      <c r="CG12" s="2014">
        <f>SUM(AO12:AZ12)</f>
        <v/>
      </c>
      <c r="CH12" s="2014">
        <f>SUM(BA12:BL12)</f>
        <v/>
      </c>
      <c r="CI12" s="2014">
        <f>SUM(BM12:BX12)</f>
        <v/>
      </c>
    </row>
    <row r="13" ht="12.75" customHeight="1" s="1883">
      <c r="A13" s="7" t="n"/>
      <c r="B13" s="342" t="n"/>
      <c r="C13" s="339" t="inlineStr">
        <is>
          <t>Inventory - held for warranty</t>
        </is>
      </c>
      <c r="D13" s="342" t="n"/>
      <c r="E13" s="1372">
        <f>+'6B. Pre-Launch Exps. - Detail'!L179</f>
        <v/>
      </c>
      <c r="F13" s="1372">
        <f>+'6B. Pre-Launch Exps. - Detail'!M179</f>
        <v/>
      </c>
      <c r="G13" s="1372">
        <f>+'6B. Pre-Launch Exps. - Detail'!N179</f>
        <v/>
      </c>
      <c r="H13" s="1372">
        <f>+'6B. Pre-Launch Exps. - Detail'!O179</f>
        <v/>
      </c>
      <c r="I13" s="1372">
        <f>+'6B. Pre-Launch Exps. - Detail'!P179</f>
        <v/>
      </c>
      <c r="J13" s="1372">
        <f>+'6B. Pre-Launch Exps. - Detail'!Q179</f>
        <v/>
      </c>
      <c r="K13" s="20">
        <f>+'6B. Pre-Launch Exps. - Detail'!L179</f>
        <v/>
      </c>
      <c r="L13" s="20">
        <f>+'6B. Pre-Launch Exps. - Detail'!M179</f>
        <v/>
      </c>
      <c r="M13" s="20">
        <f>+'6B. Pre-Launch Exps. - Detail'!N179</f>
        <v/>
      </c>
      <c r="N13" s="20">
        <f>+'6B. Pre-Launch Exps. - Detail'!O179</f>
        <v/>
      </c>
      <c r="O13" s="20">
        <f>+'6B. Pre-Launch Exps. - Detail'!P179</f>
        <v/>
      </c>
      <c r="P13" s="20">
        <f>+'6B. Pre-Launch Exps. - Detail'!Q179</f>
        <v/>
      </c>
      <c r="Q13" s="20">
        <f>+'4B. Tel. Expense Assumptions'!G174</f>
        <v/>
      </c>
      <c r="R13" s="20">
        <f>+'4B. Tel. Expense Assumptions'!H174</f>
        <v/>
      </c>
      <c r="S13" s="20">
        <f>+'4B. Tel. Expense Assumptions'!I174</f>
        <v/>
      </c>
      <c r="T13" s="20">
        <f>+'4B. Tel. Expense Assumptions'!J174</f>
        <v/>
      </c>
      <c r="U13" s="20">
        <f>+'4B. Tel. Expense Assumptions'!K174</f>
        <v/>
      </c>
      <c r="V13" s="20">
        <f>+'4B. Tel. Expense Assumptions'!L174</f>
        <v/>
      </c>
      <c r="W13" s="20">
        <f>+'4B. Tel. Expense Assumptions'!M174</f>
        <v/>
      </c>
      <c r="X13" s="20">
        <f>+'4B. Tel. Expense Assumptions'!N174</f>
        <v/>
      </c>
      <c r="Y13" s="20">
        <f>+'4B. Tel. Expense Assumptions'!O174</f>
        <v/>
      </c>
      <c r="Z13" s="20">
        <f>+'4B. Tel. Expense Assumptions'!P174</f>
        <v/>
      </c>
      <c r="AA13" s="20">
        <f>+'4B. Tel. Expense Assumptions'!Q174</f>
        <v/>
      </c>
      <c r="AB13" s="20">
        <f>+'4B. Tel. Expense Assumptions'!R174</f>
        <v/>
      </c>
      <c r="AC13" s="20">
        <f>+'4B. Tel. Expense Assumptions'!S174</f>
        <v/>
      </c>
      <c r="AD13" s="20">
        <f>+'4B. Tel. Expense Assumptions'!T174</f>
        <v/>
      </c>
      <c r="AE13" s="20">
        <f>+'4B. Tel. Expense Assumptions'!U174</f>
        <v/>
      </c>
      <c r="AF13" s="20">
        <f>+'4B. Tel. Expense Assumptions'!V174</f>
        <v/>
      </c>
      <c r="AG13" s="20">
        <f>+'4B. Tel. Expense Assumptions'!W174</f>
        <v/>
      </c>
      <c r="AH13" s="20">
        <f>+'4B. Tel. Expense Assumptions'!X174</f>
        <v/>
      </c>
      <c r="AI13" s="20">
        <f>+'4B. Tel. Expense Assumptions'!Y174</f>
        <v/>
      </c>
      <c r="AJ13" s="20">
        <f>+'4B. Tel. Expense Assumptions'!Z174</f>
        <v/>
      </c>
      <c r="AK13" s="20">
        <f>+'4B. Tel. Expense Assumptions'!AA174</f>
        <v/>
      </c>
      <c r="AL13" s="20">
        <f>+'4B. Tel. Expense Assumptions'!AB174</f>
        <v/>
      </c>
      <c r="AM13" s="20">
        <f>+'4B. Tel. Expense Assumptions'!AC174</f>
        <v/>
      </c>
      <c r="AN13" s="20">
        <f>+'4B. Tel. Expense Assumptions'!AD174</f>
        <v/>
      </c>
      <c r="AO13" s="20">
        <f>+'4B. Tel. Expense Assumptions'!AE174</f>
        <v/>
      </c>
      <c r="AP13" s="20">
        <f>+'4B. Tel. Expense Assumptions'!AF174</f>
        <v/>
      </c>
      <c r="AQ13" s="20">
        <f>+'4B. Tel. Expense Assumptions'!AG174</f>
        <v/>
      </c>
      <c r="AR13" s="20">
        <f>+'4B. Tel. Expense Assumptions'!AH174</f>
        <v/>
      </c>
      <c r="AS13" s="20">
        <f>+'4B. Tel. Expense Assumptions'!AI174</f>
        <v/>
      </c>
      <c r="AT13" s="20">
        <f>+'4B. Tel. Expense Assumptions'!AJ174</f>
        <v/>
      </c>
      <c r="AU13" s="20">
        <f>+'4B. Tel. Expense Assumptions'!AK174</f>
        <v/>
      </c>
      <c r="AV13" s="20">
        <f>+'4B. Tel. Expense Assumptions'!AL174</f>
        <v/>
      </c>
      <c r="AW13" s="20">
        <f>+'4B. Tel. Expense Assumptions'!AM174</f>
        <v/>
      </c>
      <c r="AX13" s="20">
        <f>+'4B. Tel. Expense Assumptions'!AN174</f>
        <v/>
      </c>
      <c r="AY13" s="20">
        <f>+'4B. Tel. Expense Assumptions'!AO174</f>
        <v/>
      </c>
      <c r="AZ13" s="20">
        <f>+'4B. Tel. Expense Assumptions'!AP174</f>
        <v/>
      </c>
      <c r="BA13" s="20">
        <f>+'4B. Tel. Expense Assumptions'!AQ174</f>
        <v/>
      </c>
      <c r="BB13" s="20">
        <f>+'4B. Tel. Expense Assumptions'!AR174</f>
        <v/>
      </c>
      <c r="BC13" s="20">
        <f>+'4B. Tel. Expense Assumptions'!AS174</f>
        <v/>
      </c>
      <c r="BD13" s="20">
        <f>+'4B. Tel. Expense Assumptions'!AT174</f>
        <v/>
      </c>
      <c r="BE13" s="20">
        <f>+'4B. Tel. Expense Assumptions'!AU174</f>
        <v/>
      </c>
      <c r="BF13" s="20">
        <f>+'4B. Tel. Expense Assumptions'!AV174</f>
        <v/>
      </c>
      <c r="BG13" s="20">
        <f>+'4B. Tel. Expense Assumptions'!AW174</f>
        <v/>
      </c>
      <c r="BH13" s="20">
        <f>+'4B. Tel. Expense Assumptions'!AX174</f>
        <v/>
      </c>
      <c r="BI13" s="20">
        <f>+'4B. Tel. Expense Assumptions'!AY174</f>
        <v/>
      </c>
      <c r="BJ13" s="20">
        <f>+'4B. Tel. Expense Assumptions'!AZ174</f>
        <v/>
      </c>
      <c r="BK13" s="20">
        <f>+'4B. Tel. Expense Assumptions'!BA174</f>
        <v/>
      </c>
      <c r="BL13" s="20">
        <f>+'4B. Tel. Expense Assumptions'!BB174</f>
        <v/>
      </c>
      <c r="BM13" s="20">
        <f>+'4B. Tel. Expense Assumptions'!BC174</f>
        <v/>
      </c>
      <c r="BN13" s="20">
        <f>+'4B. Tel. Expense Assumptions'!BD174</f>
        <v/>
      </c>
      <c r="BO13" s="20">
        <f>+'4B. Tel. Expense Assumptions'!BE174</f>
        <v/>
      </c>
      <c r="BP13" s="20">
        <f>+'4B. Tel. Expense Assumptions'!BF174</f>
        <v/>
      </c>
      <c r="BQ13" s="20">
        <f>+'4B. Tel. Expense Assumptions'!BG174</f>
        <v/>
      </c>
      <c r="BR13" s="20">
        <f>+'4B. Tel. Expense Assumptions'!BH174</f>
        <v/>
      </c>
      <c r="BS13" s="20">
        <f>+'4B. Tel. Expense Assumptions'!BI174</f>
        <v/>
      </c>
      <c r="BT13" s="20">
        <f>+'4B. Tel. Expense Assumptions'!BJ174</f>
        <v/>
      </c>
      <c r="BU13" s="20">
        <f>+'4B. Tel. Expense Assumptions'!BK174</f>
        <v/>
      </c>
      <c r="BV13" s="20">
        <f>+'4B. Tel. Expense Assumptions'!BL174</f>
        <v/>
      </c>
      <c r="BW13" s="20">
        <f>+'4B. Tel. Expense Assumptions'!BM174</f>
        <v/>
      </c>
      <c r="BX13" s="20">
        <f>+'4B. Tel. Expense Assumptions'!BN174</f>
        <v/>
      </c>
      <c r="BY13" s="7" t="n"/>
      <c r="BZ13" s="343" t="n"/>
      <c r="CA13" s="341" t="inlineStr">
        <is>
          <t>Inventory - held for warranty</t>
        </is>
      </c>
      <c r="CB13" s="304" t="n"/>
      <c r="CC13" s="304" t="n"/>
      <c r="CD13" s="2015">
        <f>SUM(E13:P13)</f>
        <v/>
      </c>
      <c r="CE13" s="2014">
        <f>SUM(Q13:AB13)</f>
        <v/>
      </c>
      <c r="CF13" s="2014">
        <f>SUM(AC13:AN13)</f>
        <v/>
      </c>
      <c r="CG13" s="2014">
        <f>SUM(AO13:AZ13)</f>
        <v/>
      </c>
      <c r="CH13" s="2014">
        <f>SUM(BA13:BL13)</f>
        <v/>
      </c>
      <c r="CI13" s="2014">
        <f>SUM(BM13:BX13)</f>
        <v/>
      </c>
    </row>
    <row r="14" ht="12.75" customHeight="1" s="1883">
      <c r="A14" s="12" t="n"/>
      <c r="B14" s="342" t="inlineStr">
        <is>
          <t>Total Current Assets</t>
        </is>
      </c>
      <c r="C14" s="342" t="n"/>
      <c r="D14" s="342" t="n"/>
      <c r="E14" s="20">
        <f>SUM(E9:E13)</f>
        <v/>
      </c>
      <c r="F14" s="20">
        <f>SUM(F9:F13)</f>
        <v/>
      </c>
      <c r="G14" s="20">
        <f>SUM(G9:G13)</f>
        <v/>
      </c>
      <c r="H14" s="20">
        <f>SUM(H9:H13)</f>
        <v/>
      </c>
      <c r="I14" s="20">
        <f>SUM(I9:I13)</f>
        <v/>
      </c>
      <c r="J14" s="20">
        <f>SUM(J9:J13)</f>
        <v/>
      </c>
      <c r="K14" s="1359">
        <f>SUM(K9:K13)</f>
        <v/>
      </c>
      <c r="L14" s="1359">
        <f>SUM(L9:L13)</f>
        <v/>
      </c>
      <c r="M14" s="1359">
        <f>SUM(M9:M13)</f>
        <v/>
      </c>
      <c r="N14" s="1359">
        <f>SUM(N9:N13)</f>
        <v/>
      </c>
      <c r="O14" s="1359">
        <f>SUM(O9:O13)</f>
        <v/>
      </c>
      <c r="P14" s="1359">
        <f>SUM(P9:P13)</f>
        <v/>
      </c>
      <c r="Q14" s="1359">
        <f>SUM(Q9:Q13)</f>
        <v/>
      </c>
      <c r="R14" s="1359">
        <f>SUM(R9:R13)</f>
        <v/>
      </c>
      <c r="S14" s="1359">
        <f>SUM(S9:S13)</f>
        <v/>
      </c>
      <c r="T14" s="1359">
        <f>SUM(T9:T13)</f>
        <v/>
      </c>
      <c r="U14" s="1359">
        <f>SUM(U9:U13)</f>
        <v/>
      </c>
      <c r="V14" s="1359">
        <f>SUM(V9:V13)</f>
        <v/>
      </c>
      <c r="W14" s="1359">
        <f>SUM(W9:W13)</f>
        <v/>
      </c>
      <c r="X14" s="1359">
        <f>SUM(X9:X13)</f>
        <v/>
      </c>
      <c r="Y14" s="1359">
        <f>SUM(Y9:Y13)</f>
        <v/>
      </c>
      <c r="Z14" s="1359">
        <f>SUM(Z9:Z13)</f>
        <v/>
      </c>
      <c r="AA14" s="1359">
        <f>SUM(AA9:AA13)</f>
        <v/>
      </c>
      <c r="AB14" s="1359">
        <f>SUM(AB9:AB13)</f>
        <v/>
      </c>
      <c r="AC14" s="1359">
        <f>SUM(AC9:AC13)</f>
        <v/>
      </c>
      <c r="AD14" s="1359">
        <f>SUM(AD9:AD13)</f>
        <v/>
      </c>
      <c r="AE14" s="1359">
        <f>SUM(AE9:AE13)</f>
        <v/>
      </c>
      <c r="AF14" s="1359">
        <f>SUM(AF9:AF13)</f>
        <v/>
      </c>
      <c r="AG14" s="1359">
        <f>SUM(AG9:AG13)</f>
        <v/>
      </c>
      <c r="AH14" s="1359">
        <f>SUM(AH9:AH13)</f>
        <v/>
      </c>
      <c r="AI14" s="1359">
        <f>SUM(AI9:AI13)</f>
        <v/>
      </c>
      <c r="AJ14" s="1359">
        <f>SUM(AJ9:AJ13)</f>
        <v/>
      </c>
      <c r="AK14" s="1359">
        <f>SUM(AK9:AK13)</f>
        <v/>
      </c>
      <c r="AL14" s="1359">
        <f>SUM(AL9:AL13)</f>
        <v/>
      </c>
      <c r="AM14" s="1359">
        <f>SUM(AM9:AM13)</f>
        <v/>
      </c>
      <c r="AN14" s="1359">
        <f>SUM(AN9:AN13)</f>
        <v/>
      </c>
      <c r="AO14" s="1359">
        <f>SUM(AO9:AO13)</f>
        <v/>
      </c>
      <c r="AP14" s="1359">
        <f>SUM(AP9:AP13)</f>
        <v/>
      </c>
      <c r="AQ14" s="1359">
        <f>SUM(AQ9:AQ13)</f>
        <v/>
      </c>
      <c r="AR14" s="1359">
        <f>SUM(AR9:AR13)</f>
        <v/>
      </c>
      <c r="AS14" s="1359">
        <f>SUM(AS9:AS13)</f>
        <v/>
      </c>
      <c r="AT14" s="1359">
        <f>SUM(AT9:AT13)</f>
        <v/>
      </c>
      <c r="AU14" s="1359">
        <f>SUM(AU9:AU13)</f>
        <v/>
      </c>
      <c r="AV14" s="1359">
        <f>SUM(AV9:AV13)</f>
        <v/>
      </c>
      <c r="AW14" s="1359">
        <f>SUM(AW9:AW13)</f>
        <v/>
      </c>
      <c r="AX14" s="1359">
        <f>SUM(AX9:AX13)</f>
        <v/>
      </c>
      <c r="AY14" s="1359">
        <f>SUM(AY9:AY13)</f>
        <v/>
      </c>
      <c r="AZ14" s="1359">
        <f>SUM(AZ9:AZ13)</f>
        <v/>
      </c>
      <c r="BA14" s="1359">
        <f>SUM(BA9:BA13)</f>
        <v/>
      </c>
      <c r="BB14" s="1359">
        <f>SUM(BB9:BB13)</f>
        <v/>
      </c>
      <c r="BC14" s="1359">
        <f>SUM(BC9:BC13)</f>
        <v/>
      </c>
      <c r="BD14" s="1359">
        <f>SUM(BD9:BD13)</f>
        <v/>
      </c>
      <c r="BE14" s="1359">
        <f>SUM(BE9:BE13)</f>
        <v/>
      </c>
      <c r="BF14" s="1359">
        <f>SUM(BF9:BF13)</f>
        <v/>
      </c>
      <c r="BG14" s="1359">
        <f>SUM(BG9:BG13)</f>
        <v/>
      </c>
      <c r="BH14" s="1359">
        <f>SUM(BH9:BH13)</f>
        <v/>
      </c>
      <c r="BI14" s="1359">
        <f>SUM(BI9:BI13)</f>
        <v/>
      </c>
      <c r="BJ14" s="1359">
        <f>SUM(BJ9:BJ13)</f>
        <v/>
      </c>
      <c r="BK14" s="1359">
        <f>SUM(BK9:BK13)</f>
        <v/>
      </c>
      <c r="BL14" s="1359">
        <f>SUM(BL9:BL13)</f>
        <v/>
      </c>
      <c r="BM14" s="1359">
        <f>SUM(BM9:BM13)</f>
        <v/>
      </c>
      <c r="BN14" s="1359">
        <f>SUM(BN9:BN13)</f>
        <v/>
      </c>
      <c r="BO14" s="1359">
        <f>SUM(BO9:BO13)</f>
        <v/>
      </c>
      <c r="BP14" s="1359">
        <f>SUM(BP9:BP13)</f>
        <v/>
      </c>
      <c r="BQ14" s="1359">
        <f>SUM(BQ9:BQ13)</f>
        <v/>
      </c>
      <c r="BR14" s="1359">
        <f>SUM(BR9:BR13)</f>
        <v/>
      </c>
      <c r="BS14" s="1359">
        <f>SUM(BS9:BS13)</f>
        <v/>
      </c>
      <c r="BT14" s="1359">
        <f>SUM(BT9:BT13)</f>
        <v/>
      </c>
      <c r="BU14" s="1359">
        <f>SUM(BU9:BU13)</f>
        <v/>
      </c>
      <c r="BV14" s="1359">
        <f>SUM(BV9:BV13)</f>
        <v/>
      </c>
      <c r="BW14" s="1359">
        <f>SUM(BW9:BW13)</f>
        <v/>
      </c>
      <c r="BX14" s="1359">
        <f>SUM(BX9:BX13)</f>
        <v/>
      </c>
      <c r="BY14" s="25" t="n"/>
      <c r="BZ14" s="343" t="inlineStr">
        <is>
          <t>Total Current Assets</t>
        </is>
      </c>
      <c r="CA14" s="343" t="n"/>
      <c r="CB14" s="304" t="n"/>
      <c r="CC14" s="304" t="n"/>
      <c r="CD14" s="2016">
        <f>SUM(E14:P14)</f>
        <v/>
      </c>
      <c r="CE14" s="2017">
        <f>SUM(Q14:AB14)</f>
        <v/>
      </c>
      <c r="CF14" s="2017">
        <f>SUM(R14:AC14)</f>
        <v/>
      </c>
      <c r="CG14" s="2017">
        <f>SUM(AO14:AZ14)</f>
        <v/>
      </c>
      <c r="CH14" s="2017">
        <f>SUM(BA14:BL14)</f>
        <v/>
      </c>
      <c r="CI14" s="2017">
        <f>SUM(BM14:BX14)</f>
        <v/>
      </c>
    </row>
    <row r="15" ht="12.75" customHeight="1" s="1883">
      <c r="A15" s="19" t="n"/>
      <c r="B15" s="342" t="n"/>
      <c r="C15" s="339" t="n"/>
      <c r="D15" s="339" t="n"/>
      <c r="E15" s="20" t="n"/>
      <c r="F15" s="20" t="n"/>
      <c r="G15" s="20" t="n"/>
      <c r="H15" s="20" t="n"/>
      <c r="I15" s="20" t="n"/>
      <c r="J15" s="1371" t="n"/>
      <c r="K15" s="20" t="n"/>
      <c r="L15" s="20" t="n"/>
      <c r="M15" s="20" t="n"/>
      <c r="N15" s="20" t="n"/>
      <c r="O15" s="20" t="n"/>
      <c r="P15" s="339" t="n"/>
      <c r="Q15" s="20" t="n"/>
      <c r="R15" s="20" t="n"/>
      <c r="S15" s="20" t="n"/>
      <c r="T15" s="20" t="n"/>
      <c r="U15" s="20" t="n"/>
      <c r="V15" s="20" t="n"/>
      <c r="W15" s="20" t="n"/>
      <c r="X15" s="20" t="n"/>
      <c r="Y15" s="20" t="n"/>
      <c r="Z15" s="20" t="n"/>
      <c r="AA15" s="20" t="n"/>
      <c r="AB15" s="20" t="n"/>
      <c r="AC15" s="20" t="n"/>
      <c r="AD15" s="20" t="n"/>
      <c r="AE15" s="20" t="n"/>
      <c r="AF15" s="20" t="n"/>
      <c r="AG15" s="20" t="n"/>
      <c r="AH15" s="20" t="n"/>
      <c r="AI15" s="20" t="n"/>
      <c r="AJ15" s="20" t="n"/>
      <c r="AK15" s="20" t="n"/>
      <c r="AL15" s="20" t="n"/>
      <c r="AM15" s="20" t="n"/>
      <c r="AN15" s="20" t="n"/>
      <c r="AO15" s="20" t="n"/>
      <c r="AP15" s="20" t="n"/>
      <c r="AQ15" s="20" t="n"/>
      <c r="AR15" s="20" t="n"/>
      <c r="AS15" s="20" t="n"/>
      <c r="AT15" s="20" t="n"/>
      <c r="AU15" s="20" t="n"/>
      <c r="AV15" s="20" t="n"/>
      <c r="AW15" s="20" t="n"/>
      <c r="AX15" s="20" t="n"/>
      <c r="AY15" s="20" t="n"/>
      <c r="AZ15" s="20" t="n"/>
      <c r="BA15" s="20" t="n"/>
      <c r="BB15" s="20" t="n"/>
      <c r="BC15" s="20" t="n"/>
      <c r="BD15" s="20" t="n"/>
      <c r="BE15" s="20" t="n"/>
      <c r="BF15" s="20" t="n"/>
      <c r="BG15" s="20" t="n"/>
      <c r="BH15" s="20" t="n"/>
      <c r="BI15" s="20" t="n"/>
      <c r="BJ15" s="20" t="n"/>
      <c r="BK15" s="20" t="n"/>
      <c r="BL15" s="20" t="n"/>
      <c r="BM15" s="20" t="n"/>
      <c r="BN15" s="20" t="n"/>
      <c r="BO15" s="20" t="n"/>
      <c r="BP15" s="20" t="n"/>
      <c r="BQ15" s="20" t="n"/>
      <c r="BR15" s="20" t="n"/>
      <c r="BS15" s="20" t="n"/>
      <c r="BT15" s="20" t="n"/>
      <c r="BU15" s="20" t="n"/>
      <c r="BV15" s="20" t="n"/>
      <c r="BW15" s="20" t="n"/>
      <c r="BX15" s="20" t="n"/>
      <c r="BY15" s="25" t="n"/>
      <c r="BZ15" s="343" t="n"/>
      <c r="CA15" s="341" t="n"/>
      <c r="CB15" s="304" t="n"/>
      <c r="CC15" s="304" t="n"/>
      <c r="CD15" s="2015" t="n"/>
      <c r="CE15" s="2014" t="n"/>
      <c r="CF15" s="2014" t="n"/>
      <c r="CG15" s="2014" t="n"/>
      <c r="CH15" s="2014" t="n"/>
      <c r="CI15" s="2014" t="n"/>
    </row>
    <row r="16" ht="15.75" customHeight="1" s="1883">
      <c r="A16" s="12" t="n"/>
      <c r="B16" s="342" t="inlineStr">
        <is>
          <t>Property &amp; Equipment</t>
        </is>
      </c>
      <c r="C16" s="339" t="n"/>
      <c r="D16" s="339" t="n"/>
      <c r="E16" s="20" t="n"/>
      <c r="F16" s="20" t="n"/>
      <c r="G16" s="20" t="n"/>
      <c r="H16" s="20" t="n"/>
      <c r="I16" s="20" t="n"/>
      <c r="J16" s="1371" t="n"/>
      <c r="K16" s="20" t="n"/>
      <c r="L16" s="20" t="n"/>
      <c r="M16" s="20" t="n"/>
      <c r="N16" s="20" t="n"/>
      <c r="O16" s="20" t="n"/>
      <c r="P16" s="339" t="n"/>
      <c r="Q16" s="20" t="n"/>
      <c r="R16" s="20" t="n"/>
      <c r="S16" s="20" t="n"/>
      <c r="T16" s="20" t="n"/>
      <c r="U16" s="20" t="n"/>
      <c r="V16" s="20" t="n"/>
      <c r="W16" s="20" t="n"/>
      <c r="X16" s="20" t="n"/>
      <c r="Y16" s="20" t="n"/>
      <c r="Z16" s="20" t="n"/>
      <c r="AA16" s="20" t="n"/>
      <c r="AB16" s="20" t="n"/>
      <c r="AC16" s="20" t="n"/>
      <c r="AD16" s="20" t="n"/>
      <c r="AE16" s="20" t="n"/>
      <c r="AF16" s="20" t="n"/>
      <c r="AG16" s="20" t="n"/>
      <c r="AH16" s="20" t="n"/>
      <c r="AI16" s="20" t="n"/>
      <c r="AJ16" s="20" t="n"/>
      <c r="AK16" s="20" t="n"/>
      <c r="AL16" s="20" t="n"/>
      <c r="AM16" s="20" t="n"/>
      <c r="AN16" s="20" t="n"/>
      <c r="AO16" s="20" t="n"/>
      <c r="AP16" s="20" t="n"/>
      <c r="AQ16" s="20" t="n"/>
      <c r="AR16" s="20" t="n"/>
      <c r="AS16" s="20" t="n"/>
      <c r="AT16" s="20" t="n"/>
      <c r="AU16" s="20" t="n"/>
      <c r="AV16" s="20" t="n"/>
      <c r="AW16" s="20" t="n"/>
      <c r="AX16" s="20" t="n"/>
      <c r="AY16" s="20" t="n"/>
      <c r="AZ16" s="20" t="n"/>
      <c r="BA16" s="20" t="n"/>
      <c r="BB16" s="20" t="n"/>
      <c r="BC16" s="20" t="n"/>
      <c r="BD16" s="20" t="n"/>
      <c r="BE16" s="20" t="n"/>
      <c r="BF16" s="20" t="n"/>
      <c r="BG16" s="20" t="n"/>
      <c r="BH16" s="20" t="n"/>
      <c r="BI16" s="20" t="n"/>
      <c r="BJ16" s="20" t="n"/>
      <c r="BK16" s="20" t="n"/>
      <c r="BL16" s="20" t="n"/>
      <c r="BM16" s="20" t="n"/>
      <c r="BN16" s="20" t="n"/>
      <c r="BO16" s="20" t="n"/>
      <c r="BP16" s="20" t="n"/>
      <c r="BQ16" s="20" t="n"/>
      <c r="BR16" s="20" t="n"/>
      <c r="BS16" s="20" t="n"/>
      <c r="BT16" s="20" t="n"/>
      <c r="BU16" s="20" t="n"/>
      <c r="BV16" s="20" t="n"/>
      <c r="BW16" s="20" t="n"/>
      <c r="BX16" s="20" t="n"/>
      <c r="BY16" s="7" t="n"/>
      <c r="BZ16" s="343" t="inlineStr">
        <is>
          <t>Property &amp; Equipment</t>
        </is>
      </c>
      <c r="CA16" s="341" t="n"/>
      <c r="CB16" s="304" t="n"/>
      <c r="CC16" s="304" t="n"/>
      <c r="CD16" s="2015" t="n"/>
      <c r="CE16" s="2014" t="n"/>
      <c r="CF16" s="2014" t="n"/>
      <c r="CG16" s="2014" t="n"/>
      <c r="CH16" s="2014" t="n"/>
      <c r="CI16" s="2014" t="n"/>
    </row>
    <row r="17" ht="12.75" customHeight="1" s="1883">
      <c r="A17" s="12" t="n"/>
      <c r="B17" s="342" t="n"/>
      <c r="C17" s="339" t="inlineStr">
        <is>
          <t>Property &amp; Equipment</t>
        </is>
      </c>
      <c r="D17" s="339" t="n"/>
      <c r="E17" s="20">
        <f>+'6B. Pre-Launch Exps. - Detail'!F120+'6B. Pre-Launch Exps. - Detail'!L128</f>
        <v/>
      </c>
      <c r="F17" s="20">
        <f>+'6B. Pre-Launch Exps. - Detail'!G120+'6B. Pre-Launch Exps. - Detail'!M128</f>
        <v/>
      </c>
      <c r="G17" s="20">
        <f>+'6B. Pre-Launch Exps. - Detail'!H120+'6B. Pre-Launch Exps. - Detail'!N128</f>
        <v/>
      </c>
      <c r="H17" s="20">
        <f>+'6B. Pre-Launch Exps. - Detail'!I120+'6B. Pre-Launch Exps. - Detail'!O128</f>
        <v/>
      </c>
      <c r="I17" s="20">
        <f>+'6B. Pre-Launch Exps. - Detail'!J120+'6B. Pre-Launch Exps. - Detail'!P128</f>
        <v/>
      </c>
      <c r="J17" s="20">
        <f>+'6B. Pre-Launch Exps. - Detail'!K120+'6B. Pre-Launch Exps. - Detail'!Q128</f>
        <v/>
      </c>
      <c r="K17" s="20">
        <f>+'6B. Pre-Launch Exps. - Detail'!L120+'6B. Pre-Launch Exps. - Detail'!R128</f>
        <v/>
      </c>
      <c r="L17" s="20">
        <f>+'6B. Pre-Launch Exps. - Detail'!M120+'6B. Pre-Launch Exps. - Detail'!S128</f>
        <v/>
      </c>
      <c r="M17" s="20">
        <f>+'6B. Pre-Launch Exps. - Detail'!N120+'6B. Pre-Launch Exps. - Detail'!U128</f>
        <v/>
      </c>
      <c r="N17" s="20">
        <f>+'6B. Pre-Launch Exps. - Detail'!O120+'6B. Pre-Launch Exps. - Detail'!V128</f>
        <v/>
      </c>
      <c r="O17" s="20">
        <f>+'6B. Pre-Launch Exps. - Detail'!P120+'6B. Pre-Launch Exps. - Detail'!W128</f>
        <v/>
      </c>
      <c r="P17" s="20">
        <f>+'6B. Pre-Launch Exps. - Detail'!Q120+'6B. Pre-Launch Exps. - Detail'!X128</f>
        <v/>
      </c>
      <c r="Q17" s="20">
        <f>+'4B. Tel. Expense Assumptions'!G394</f>
        <v/>
      </c>
      <c r="R17" s="20">
        <f>+'4B. Tel. Expense Assumptions'!H394</f>
        <v/>
      </c>
      <c r="S17" s="20">
        <f>+'4B. Tel. Expense Assumptions'!I394</f>
        <v/>
      </c>
      <c r="T17" s="20">
        <f>+'4B. Tel. Expense Assumptions'!J394</f>
        <v/>
      </c>
      <c r="U17" s="20">
        <f>+'4B. Tel. Expense Assumptions'!K394</f>
        <v/>
      </c>
      <c r="V17" s="20">
        <f>+'4B. Tel. Expense Assumptions'!L394</f>
        <v/>
      </c>
      <c r="W17" s="20">
        <f>+'4B. Tel. Expense Assumptions'!M394</f>
        <v/>
      </c>
      <c r="X17" s="20">
        <f>+'4B. Tel. Expense Assumptions'!N394</f>
        <v/>
      </c>
      <c r="Y17" s="20">
        <f>+'4B. Tel. Expense Assumptions'!O394</f>
        <v/>
      </c>
      <c r="Z17" s="20">
        <f>+'4B. Tel. Expense Assumptions'!P394</f>
        <v/>
      </c>
      <c r="AA17" s="20">
        <f>+'4B. Tel. Expense Assumptions'!Q394</f>
        <v/>
      </c>
      <c r="AB17" s="20">
        <f>+'4B. Tel. Expense Assumptions'!R394</f>
        <v/>
      </c>
      <c r="AC17" s="20">
        <f>+'4B. Tel. Expense Assumptions'!S394</f>
        <v/>
      </c>
      <c r="AD17" s="20">
        <f>+'4B. Tel. Expense Assumptions'!T394</f>
        <v/>
      </c>
      <c r="AE17" s="20">
        <f>+'4B. Tel. Expense Assumptions'!U394</f>
        <v/>
      </c>
      <c r="AF17" s="20">
        <f>+'4B. Tel. Expense Assumptions'!V394</f>
        <v/>
      </c>
      <c r="AG17" s="20">
        <f>+'4B. Tel. Expense Assumptions'!W394</f>
        <v/>
      </c>
      <c r="AH17" s="20">
        <f>+'4B. Tel. Expense Assumptions'!X394</f>
        <v/>
      </c>
      <c r="AI17" s="20">
        <f>+'4B. Tel. Expense Assumptions'!Y394</f>
        <v/>
      </c>
      <c r="AJ17" s="20">
        <f>+'4B. Tel. Expense Assumptions'!Z394</f>
        <v/>
      </c>
      <c r="AK17" s="20">
        <f>+'4B. Tel. Expense Assumptions'!AA394</f>
        <v/>
      </c>
      <c r="AL17" s="20">
        <f>+'4B. Tel. Expense Assumptions'!AB394</f>
        <v/>
      </c>
      <c r="AM17" s="20">
        <f>+'4B. Tel. Expense Assumptions'!AC394</f>
        <v/>
      </c>
      <c r="AN17" s="20">
        <f>+'4B. Tel. Expense Assumptions'!AD394</f>
        <v/>
      </c>
      <c r="AO17" s="20">
        <f>+'4B. Tel. Expense Assumptions'!AE394</f>
        <v/>
      </c>
      <c r="AP17" s="20">
        <f>+'4B. Tel. Expense Assumptions'!AF394</f>
        <v/>
      </c>
      <c r="AQ17" s="20">
        <f>+'4B. Tel. Expense Assumptions'!AG394</f>
        <v/>
      </c>
      <c r="AR17" s="20">
        <f>+'4B. Tel. Expense Assumptions'!AH394</f>
        <v/>
      </c>
      <c r="AS17" s="20">
        <f>+'4B. Tel. Expense Assumptions'!AI394</f>
        <v/>
      </c>
      <c r="AT17" s="20">
        <f>+'4B. Tel. Expense Assumptions'!AJ394</f>
        <v/>
      </c>
      <c r="AU17" s="20">
        <f>+'4B. Tel. Expense Assumptions'!AK394</f>
        <v/>
      </c>
      <c r="AV17" s="20">
        <f>+'4B. Tel. Expense Assumptions'!AL394</f>
        <v/>
      </c>
      <c r="AW17" s="20">
        <f>+'4B. Tel. Expense Assumptions'!AM394</f>
        <v/>
      </c>
      <c r="AX17" s="20">
        <f>+'4B. Tel. Expense Assumptions'!AN394</f>
        <v/>
      </c>
      <c r="AY17" s="20">
        <f>+'4B. Tel. Expense Assumptions'!AO394</f>
        <v/>
      </c>
      <c r="AZ17" s="20">
        <f>+'4B. Tel. Expense Assumptions'!AP394</f>
        <v/>
      </c>
      <c r="BA17" s="20">
        <f>+'4B. Tel. Expense Assumptions'!AQ394</f>
        <v/>
      </c>
      <c r="BB17" s="20">
        <f>+'4B. Tel. Expense Assumptions'!AR394</f>
        <v/>
      </c>
      <c r="BC17" s="20">
        <f>+'4B. Tel. Expense Assumptions'!AS394</f>
        <v/>
      </c>
      <c r="BD17" s="20">
        <f>+'4B. Tel. Expense Assumptions'!AT394</f>
        <v/>
      </c>
      <c r="BE17" s="20">
        <f>+'4B. Tel. Expense Assumptions'!AU394</f>
        <v/>
      </c>
      <c r="BF17" s="20">
        <f>+'4B. Tel. Expense Assumptions'!AV394</f>
        <v/>
      </c>
      <c r="BG17" s="20">
        <f>+'4B. Tel. Expense Assumptions'!AW394</f>
        <v/>
      </c>
      <c r="BH17" s="20">
        <f>+'4B. Tel. Expense Assumptions'!AX394</f>
        <v/>
      </c>
      <c r="BI17" s="20">
        <f>+'4B. Tel. Expense Assumptions'!AY394</f>
        <v/>
      </c>
      <c r="BJ17" s="20">
        <f>+'4B. Tel. Expense Assumptions'!AZ394</f>
        <v/>
      </c>
      <c r="BK17" s="20">
        <f>+'4B. Tel. Expense Assumptions'!BA394</f>
        <v/>
      </c>
      <c r="BL17" s="20">
        <f>+'4B. Tel. Expense Assumptions'!BB394</f>
        <v/>
      </c>
      <c r="BM17" s="20">
        <f>+'4B. Tel. Expense Assumptions'!BC394</f>
        <v/>
      </c>
      <c r="BN17" s="20">
        <f>+'4B. Tel. Expense Assumptions'!BD394</f>
        <v/>
      </c>
      <c r="BO17" s="20">
        <f>+'4B. Tel. Expense Assumptions'!BE394</f>
        <v/>
      </c>
      <c r="BP17" s="20">
        <f>+'4B. Tel. Expense Assumptions'!BF394</f>
        <v/>
      </c>
      <c r="BQ17" s="20">
        <f>+'4B. Tel. Expense Assumptions'!BG394</f>
        <v/>
      </c>
      <c r="BR17" s="20">
        <f>+'4B. Tel. Expense Assumptions'!BH394</f>
        <v/>
      </c>
      <c r="BS17" s="20">
        <f>+'4B. Tel. Expense Assumptions'!BI394</f>
        <v/>
      </c>
      <c r="BT17" s="20">
        <f>+'4B. Tel. Expense Assumptions'!BJ394</f>
        <v/>
      </c>
      <c r="BU17" s="20">
        <f>+'4B. Tel. Expense Assumptions'!BK394</f>
        <v/>
      </c>
      <c r="BV17" s="20">
        <f>+'4B. Tel. Expense Assumptions'!BL394</f>
        <v/>
      </c>
      <c r="BW17" s="20">
        <f>+'4B. Tel. Expense Assumptions'!BM394</f>
        <v/>
      </c>
      <c r="BX17" s="20">
        <f>+'4B. Tel. Expense Assumptions'!BN394</f>
        <v/>
      </c>
      <c r="BY17" s="7" t="n"/>
      <c r="BZ17" s="343" t="n"/>
      <c r="CA17" s="341" t="inlineStr">
        <is>
          <t>Property &amp; Equipment</t>
        </is>
      </c>
      <c r="CB17" s="304" t="n"/>
      <c r="CC17" s="304" t="n"/>
      <c r="CD17" s="2015">
        <f>SUM(E17:P17)</f>
        <v/>
      </c>
      <c r="CE17" s="2014">
        <f>SUM(Q17:AB17)</f>
        <v/>
      </c>
      <c r="CF17" s="2014">
        <f>SUM(AC17:AN17)</f>
        <v/>
      </c>
      <c r="CG17" s="2014">
        <f>SUM(AO17:AZ17)</f>
        <v/>
      </c>
      <c r="CH17" s="2014">
        <f>SUM(BA17:BL17)</f>
        <v/>
      </c>
      <c r="CI17" s="2014">
        <f>SUM(BM17:BX17)</f>
        <v/>
      </c>
    </row>
    <row r="18" ht="12.75" customHeight="1" s="1883">
      <c r="A18" s="19" t="n"/>
      <c r="B18" s="342" t="n"/>
      <c r="C18" s="339" t="inlineStr">
        <is>
          <t>Accumulated Amortization</t>
        </is>
      </c>
      <c r="D18" s="339" t="n"/>
      <c r="E18" s="20" t="n">
        <v>0</v>
      </c>
      <c r="F18" s="20" t="n">
        <v>0</v>
      </c>
      <c r="G18" s="20" t="n">
        <v>0</v>
      </c>
      <c r="H18" s="20" t="n">
        <v>0</v>
      </c>
      <c r="I18" s="20" t="n">
        <v>0</v>
      </c>
      <c r="J18" s="20" t="n">
        <v>0</v>
      </c>
      <c r="K18" s="20" t="n">
        <v>0</v>
      </c>
      <c r="L18" s="20" t="n">
        <v>0</v>
      </c>
      <c r="M18" s="20" t="n">
        <v>0</v>
      </c>
      <c r="N18" s="20" t="n">
        <v>0</v>
      </c>
      <c r="O18" s="20" t="n">
        <v>0</v>
      </c>
      <c r="P18" s="20" t="n">
        <v>0</v>
      </c>
      <c r="Q18" s="20">
        <f>+'4B. Tel. Expense Assumptions'!G395</f>
        <v/>
      </c>
      <c r="R18" s="20">
        <f>+'4B. Tel. Expense Assumptions'!H395</f>
        <v/>
      </c>
      <c r="S18" s="20">
        <f>+'4B. Tel. Expense Assumptions'!I395</f>
        <v/>
      </c>
      <c r="T18" s="20">
        <f>+'4B. Tel. Expense Assumptions'!J395</f>
        <v/>
      </c>
      <c r="U18" s="20">
        <f>+'4B. Tel. Expense Assumptions'!K395</f>
        <v/>
      </c>
      <c r="V18" s="20">
        <f>+'4B. Tel. Expense Assumptions'!L395</f>
        <v/>
      </c>
      <c r="W18" s="20">
        <f>+'4B. Tel. Expense Assumptions'!M395</f>
        <v/>
      </c>
      <c r="X18" s="20">
        <f>+'4B. Tel. Expense Assumptions'!N395</f>
        <v/>
      </c>
      <c r="Y18" s="20">
        <f>+'4B. Tel. Expense Assumptions'!O395</f>
        <v/>
      </c>
      <c r="Z18" s="20">
        <f>+'4B. Tel. Expense Assumptions'!P395</f>
        <v/>
      </c>
      <c r="AA18" s="20">
        <f>+'4B. Tel. Expense Assumptions'!Q395</f>
        <v/>
      </c>
      <c r="AB18" s="20">
        <f>+'4B. Tel. Expense Assumptions'!R395</f>
        <v/>
      </c>
      <c r="AC18" s="20">
        <f>+'4B. Tel. Expense Assumptions'!S395</f>
        <v/>
      </c>
      <c r="AD18" s="20">
        <f>+'4B. Tel. Expense Assumptions'!T395</f>
        <v/>
      </c>
      <c r="AE18" s="20">
        <f>+'4B. Tel. Expense Assumptions'!U395</f>
        <v/>
      </c>
      <c r="AF18" s="20">
        <f>+'4B. Tel. Expense Assumptions'!V395</f>
        <v/>
      </c>
      <c r="AG18" s="20">
        <f>+'4B. Tel. Expense Assumptions'!W395</f>
        <v/>
      </c>
      <c r="AH18" s="20">
        <f>+'4B. Tel. Expense Assumptions'!X395</f>
        <v/>
      </c>
      <c r="AI18" s="20">
        <f>+'4B. Tel. Expense Assumptions'!Y395</f>
        <v/>
      </c>
      <c r="AJ18" s="20">
        <f>+'4B. Tel. Expense Assumptions'!Z395</f>
        <v/>
      </c>
      <c r="AK18" s="20">
        <f>+'4B. Tel. Expense Assumptions'!AA395</f>
        <v/>
      </c>
      <c r="AL18" s="20">
        <f>+'4B. Tel. Expense Assumptions'!AB395</f>
        <v/>
      </c>
      <c r="AM18" s="20">
        <f>+'4B. Tel. Expense Assumptions'!AC395</f>
        <v/>
      </c>
      <c r="AN18" s="20">
        <f>+'4B. Tel. Expense Assumptions'!AD395</f>
        <v/>
      </c>
      <c r="AO18" s="20">
        <f>+'4B. Tel. Expense Assumptions'!AE395</f>
        <v/>
      </c>
      <c r="AP18" s="20">
        <f>+'4B. Tel. Expense Assumptions'!AF395</f>
        <v/>
      </c>
      <c r="AQ18" s="20">
        <f>+'4B. Tel. Expense Assumptions'!AG395</f>
        <v/>
      </c>
      <c r="AR18" s="20">
        <f>+'4B. Tel. Expense Assumptions'!AH395</f>
        <v/>
      </c>
      <c r="AS18" s="20">
        <f>+'4B. Tel. Expense Assumptions'!AI395</f>
        <v/>
      </c>
      <c r="AT18" s="20">
        <f>+'4B. Tel. Expense Assumptions'!AJ395</f>
        <v/>
      </c>
      <c r="AU18" s="20">
        <f>+'4B. Tel. Expense Assumptions'!AK395</f>
        <v/>
      </c>
      <c r="AV18" s="20">
        <f>+'4B. Tel. Expense Assumptions'!AL395</f>
        <v/>
      </c>
      <c r="AW18" s="20">
        <f>+'4B. Tel. Expense Assumptions'!AM395</f>
        <v/>
      </c>
      <c r="AX18" s="20">
        <f>+'4B. Tel. Expense Assumptions'!AN395</f>
        <v/>
      </c>
      <c r="AY18" s="20">
        <f>+'4B. Tel. Expense Assumptions'!AO395</f>
        <v/>
      </c>
      <c r="AZ18" s="20">
        <f>+'4B. Tel. Expense Assumptions'!AP395</f>
        <v/>
      </c>
      <c r="BA18" s="20">
        <f>+'4B. Tel. Expense Assumptions'!AQ395</f>
        <v/>
      </c>
      <c r="BB18" s="20">
        <f>+'4B. Tel. Expense Assumptions'!AR395</f>
        <v/>
      </c>
      <c r="BC18" s="20">
        <f>+'4B. Tel. Expense Assumptions'!AS395</f>
        <v/>
      </c>
      <c r="BD18" s="20">
        <f>+'4B. Tel. Expense Assumptions'!AT395</f>
        <v/>
      </c>
      <c r="BE18" s="20">
        <f>+'4B. Tel. Expense Assumptions'!AU395</f>
        <v/>
      </c>
      <c r="BF18" s="20">
        <f>+'4B. Tel. Expense Assumptions'!AV395</f>
        <v/>
      </c>
      <c r="BG18" s="20">
        <f>+'4B. Tel. Expense Assumptions'!AW395</f>
        <v/>
      </c>
      <c r="BH18" s="20">
        <f>+'4B. Tel. Expense Assumptions'!AX395</f>
        <v/>
      </c>
      <c r="BI18" s="20">
        <f>+'4B. Tel. Expense Assumptions'!AY395</f>
        <v/>
      </c>
      <c r="BJ18" s="20">
        <f>+'4B. Tel. Expense Assumptions'!AZ395</f>
        <v/>
      </c>
      <c r="BK18" s="20">
        <f>+'4B. Tel. Expense Assumptions'!BA395</f>
        <v/>
      </c>
      <c r="BL18" s="20">
        <f>+'4B. Tel. Expense Assumptions'!BB395</f>
        <v/>
      </c>
      <c r="BM18" s="20">
        <f>+'4B. Tel. Expense Assumptions'!BC395</f>
        <v/>
      </c>
      <c r="BN18" s="20">
        <f>+'4B. Tel. Expense Assumptions'!BD395</f>
        <v/>
      </c>
      <c r="BO18" s="20">
        <f>+'4B. Tel. Expense Assumptions'!BE395</f>
        <v/>
      </c>
      <c r="BP18" s="20">
        <f>+'4B. Tel. Expense Assumptions'!BF395</f>
        <v/>
      </c>
      <c r="BQ18" s="20">
        <f>+'4B. Tel. Expense Assumptions'!BG395</f>
        <v/>
      </c>
      <c r="BR18" s="20">
        <f>+'4B. Tel. Expense Assumptions'!BH395</f>
        <v/>
      </c>
      <c r="BS18" s="20">
        <f>+'4B. Tel. Expense Assumptions'!BI395</f>
        <v/>
      </c>
      <c r="BT18" s="20">
        <f>+'4B. Tel. Expense Assumptions'!BJ395</f>
        <v/>
      </c>
      <c r="BU18" s="20">
        <f>+'4B. Tel. Expense Assumptions'!BK395</f>
        <v/>
      </c>
      <c r="BV18" s="20">
        <f>+'4B. Tel. Expense Assumptions'!BL395</f>
        <v/>
      </c>
      <c r="BW18" s="20">
        <f>+'4B. Tel. Expense Assumptions'!BM395</f>
        <v/>
      </c>
      <c r="BX18" s="20">
        <f>+'4B. Tel. Expense Assumptions'!BN395</f>
        <v/>
      </c>
      <c r="BY18" s="7" t="n"/>
      <c r="BZ18" s="343" t="n"/>
      <c r="CA18" s="341" t="inlineStr">
        <is>
          <t>Accumulated Amortization</t>
        </is>
      </c>
      <c r="CB18" s="304" t="n"/>
      <c r="CC18" s="304" t="n"/>
      <c r="CD18" s="2015">
        <f>SUM(E18:P18)</f>
        <v/>
      </c>
      <c r="CE18" s="2014">
        <f>SUM(Q18:AB18)</f>
        <v/>
      </c>
      <c r="CF18" s="2014">
        <f>SUM(AC18:AN18)</f>
        <v/>
      </c>
      <c r="CG18" s="2014">
        <f>SUM(AO18:AZ18)</f>
        <v/>
      </c>
      <c r="CH18" s="2014">
        <f>SUM(BA18:BL18)</f>
        <v/>
      </c>
      <c r="CI18" s="2014">
        <f>SUM(BM18:BX18)</f>
        <v/>
      </c>
    </row>
    <row r="19" ht="12.75" customHeight="1" s="1883">
      <c r="A19" s="19" t="n"/>
      <c r="B19" s="342" t="inlineStr">
        <is>
          <t>Property &amp; Equipment, net</t>
        </is>
      </c>
      <c r="C19" s="342" t="n"/>
      <c r="D19" s="342" t="n"/>
      <c r="E19" s="20">
        <f>SUM(E17:E18)</f>
        <v/>
      </c>
      <c r="F19" s="20">
        <f>SUM(F17:F18)</f>
        <v/>
      </c>
      <c r="G19" s="20">
        <f>SUM(G17:G18)</f>
        <v/>
      </c>
      <c r="H19" s="20">
        <f>SUM(H17:H18)</f>
        <v/>
      </c>
      <c r="I19" s="20">
        <f>SUM(I17:I18)</f>
        <v/>
      </c>
      <c r="J19" s="20">
        <f>SUM(J17:J18)</f>
        <v/>
      </c>
      <c r="K19" s="20">
        <f>SUM(K17:K18)</f>
        <v/>
      </c>
      <c r="L19" s="20">
        <f>SUM(L17:L18)</f>
        <v/>
      </c>
      <c r="M19" s="20">
        <f>SUM(M17:M18)</f>
        <v/>
      </c>
      <c r="N19" s="20">
        <f>SUM(N17:N18)</f>
        <v/>
      </c>
      <c r="O19" s="20">
        <f>SUM(O17:O18)</f>
        <v/>
      </c>
      <c r="P19" s="20">
        <f>SUM(P17:P18)</f>
        <v/>
      </c>
      <c r="Q19" s="20">
        <f>SUM(Q17:Q18)</f>
        <v/>
      </c>
      <c r="R19" s="20">
        <f>SUM(R17:R18)</f>
        <v/>
      </c>
      <c r="S19" s="20">
        <f>SUM(S17:S18)</f>
        <v/>
      </c>
      <c r="T19" s="20">
        <f>SUM(T17:T18)</f>
        <v/>
      </c>
      <c r="U19" s="20">
        <f>SUM(U17:U18)</f>
        <v/>
      </c>
      <c r="V19" s="20">
        <f>SUM(V17:V18)</f>
        <v/>
      </c>
      <c r="W19" s="20">
        <f>SUM(W17:W18)</f>
        <v/>
      </c>
      <c r="X19" s="20">
        <f>SUM(X17:X18)</f>
        <v/>
      </c>
      <c r="Y19" s="20">
        <f>SUM(Y17:Y18)</f>
        <v/>
      </c>
      <c r="Z19" s="20">
        <f>SUM(Z17:Z18)</f>
        <v/>
      </c>
      <c r="AA19" s="20">
        <f>SUM(AA17:AA18)</f>
        <v/>
      </c>
      <c r="AB19" s="20">
        <f>SUM(AB17:AB18)</f>
        <v/>
      </c>
      <c r="AC19" s="20">
        <f>SUM(AC17:AC18)</f>
        <v/>
      </c>
      <c r="AD19" s="20">
        <f>SUM(AD17:AD18)</f>
        <v/>
      </c>
      <c r="AE19" s="20">
        <f>SUM(AE17:AE18)</f>
        <v/>
      </c>
      <c r="AF19" s="20">
        <f>SUM(AF17:AF18)</f>
        <v/>
      </c>
      <c r="AG19" s="20">
        <f>SUM(AG17:AG18)</f>
        <v/>
      </c>
      <c r="AH19" s="20">
        <f>SUM(AH17:AH18)</f>
        <v/>
      </c>
      <c r="AI19" s="20">
        <f>SUM(AI17:AI18)</f>
        <v/>
      </c>
      <c r="AJ19" s="20">
        <f>SUM(AJ17:AJ18)</f>
        <v/>
      </c>
      <c r="AK19" s="20">
        <f>SUM(AK17:AK18)</f>
        <v/>
      </c>
      <c r="AL19" s="20">
        <f>SUM(AL17:AL18)</f>
        <v/>
      </c>
      <c r="AM19" s="20">
        <f>SUM(AM17:AM18)</f>
        <v/>
      </c>
      <c r="AN19" s="20">
        <f>SUM(AN17:AN18)</f>
        <v/>
      </c>
      <c r="AO19" s="20">
        <f>SUM(AO17:AO18)</f>
        <v/>
      </c>
      <c r="AP19" s="20">
        <f>SUM(AP17:AP18)</f>
        <v/>
      </c>
      <c r="AQ19" s="20">
        <f>SUM(AQ17:AQ18)</f>
        <v/>
      </c>
      <c r="AR19" s="20">
        <f>SUM(AR17:AR18)</f>
        <v/>
      </c>
      <c r="AS19" s="20">
        <f>SUM(AS17:AS18)</f>
        <v/>
      </c>
      <c r="AT19" s="20">
        <f>SUM(AT17:AT18)</f>
        <v/>
      </c>
      <c r="AU19" s="20">
        <f>SUM(AU17:AU18)</f>
        <v/>
      </c>
      <c r="AV19" s="20">
        <f>SUM(AV17:AV18)</f>
        <v/>
      </c>
      <c r="AW19" s="20">
        <f>SUM(AW17:AW18)</f>
        <v/>
      </c>
      <c r="AX19" s="20">
        <f>SUM(AX17:AX18)</f>
        <v/>
      </c>
      <c r="AY19" s="20">
        <f>SUM(AY17:AY18)</f>
        <v/>
      </c>
      <c r="AZ19" s="20">
        <f>SUM(AZ17:AZ18)</f>
        <v/>
      </c>
      <c r="BA19" s="20">
        <f>SUM(BA17:BA18)</f>
        <v/>
      </c>
      <c r="BB19" s="20">
        <f>SUM(BB17:BB18)</f>
        <v/>
      </c>
      <c r="BC19" s="20">
        <f>SUM(BC17:BC18)</f>
        <v/>
      </c>
      <c r="BD19" s="20">
        <f>SUM(BD17:BD18)</f>
        <v/>
      </c>
      <c r="BE19" s="20">
        <f>SUM(BE17:BE18)</f>
        <v/>
      </c>
      <c r="BF19" s="20">
        <f>SUM(BF17:BF18)</f>
        <v/>
      </c>
      <c r="BG19" s="20">
        <f>SUM(BG17:BG18)</f>
        <v/>
      </c>
      <c r="BH19" s="20">
        <f>SUM(BH17:BH18)</f>
        <v/>
      </c>
      <c r="BI19" s="20">
        <f>SUM(BI17:BI18)</f>
        <v/>
      </c>
      <c r="BJ19" s="20">
        <f>SUM(BJ17:BJ18)</f>
        <v/>
      </c>
      <c r="BK19" s="20">
        <f>SUM(BK17:BK18)</f>
        <v/>
      </c>
      <c r="BL19" s="20">
        <f>SUM(BL17:BL18)</f>
        <v/>
      </c>
      <c r="BM19" s="20">
        <f>SUM(BM17:BM18)</f>
        <v/>
      </c>
      <c r="BN19" s="20">
        <f>SUM(BN17:BN18)</f>
        <v/>
      </c>
      <c r="BO19" s="20">
        <f>SUM(BO17:BO18)</f>
        <v/>
      </c>
      <c r="BP19" s="20">
        <f>SUM(BP17:BP18)</f>
        <v/>
      </c>
      <c r="BQ19" s="20">
        <f>SUM(BQ17:BQ18)</f>
        <v/>
      </c>
      <c r="BR19" s="20">
        <f>SUM(BR17:BR18)</f>
        <v/>
      </c>
      <c r="BS19" s="20">
        <f>SUM(BS17:BS18)</f>
        <v/>
      </c>
      <c r="BT19" s="20">
        <f>SUM(BT17:BT18)</f>
        <v/>
      </c>
      <c r="BU19" s="20">
        <f>SUM(BU17:BU18)</f>
        <v/>
      </c>
      <c r="BV19" s="20">
        <f>SUM(BV17:BV18)</f>
        <v/>
      </c>
      <c r="BW19" s="20">
        <f>SUM(BW17:BW18)</f>
        <v/>
      </c>
      <c r="BX19" s="20">
        <f>SUM(BX17:BX18)</f>
        <v/>
      </c>
      <c r="BY19" s="7" t="n"/>
      <c r="BZ19" s="343" t="inlineStr">
        <is>
          <t>Property &amp; Equipment, net</t>
        </is>
      </c>
      <c r="CA19" s="343" t="n"/>
      <c r="CB19" s="304" t="n"/>
      <c r="CC19" s="304" t="n"/>
      <c r="CD19" s="2016">
        <f>SUM(E19:P19)</f>
        <v/>
      </c>
      <c r="CE19" s="2017">
        <f>SUM(Q19:AB19)</f>
        <v/>
      </c>
      <c r="CF19" s="2017">
        <f>SUM(AC19:AN19)</f>
        <v/>
      </c>
      <c r="CG19" s="2017">
        <f>SUM(AO19:AZ19)</f>
        <v/>
      </c>
      <c r="CH19" s="2017">
        <f>SUM(BA19:BL19)</f>
        <v/>
      </c>
      <c r="CI19" s="2017">
        <f>SUM(BM19:BX19)</f>
        <v/>
      </c>
    </row>
    <row r="20" ht="12.75" customHeight="1" s="1883">
      <c r="A20" s="12" t="n"/>
      <c r="B20" s="342" t="n"/>
      <c r="C20" s="342" t="n"/>
      <c r="D20" s="342" t="n"/>
      <c r="E20" s="20" t="n"/>
      <c r="F20" s="20" t="n"/>
      <c r="G20" s="20" t="n"/>
      <c r="H20" s="20" t="n"/>
      <c r="I20" s="20" t="n"/>
      <c r="J20" s="1371" t="n"/>
      <c r="K20" s="20" t="n"/>
      <c r="L20" s="20" t="n"/>
      <c r="M20" s="20" t="n"/>
      <c r="N20" s="20" t="n"/>
      <c r="O20" s="20" t="n"/>
      <c r="P20" s="342"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c r="AN20" s="20" t="n"/>
      <c r="AO20" s="20" t="n"/>
      <c r="AP20" s="20" t="n"/>
      <c r="AQ20" s="20" t="n"/>
      <c r="AR20" s="20" t="n"/>
      <c r="AS20" s="20" t="n"/>
      <c r="AT20" s="20" t="n"/>
      <c r="AU20" s="20" t="n"/>
      <c r="AV20" s="20" t="n"/>
      <c r="AW20" s="20" t="n"/>
      <c r="AX20" s="20" t="n"/>
      <c r="AY20" s="20" t="n"/>
      <c r="AZ20" s="20" t="n"/>
      <c r="BA20" s="20" t="n"/>
      <c r="BB20" s="20" t="n"/>
      <c r="BC20" s="20" t="n"/>
      <c r="BD20" s="20" t="n"/>
      <c r="BE20" s="20" t="n"/>
      <c r="BF20" s="20" t="n"/>
      <c r="BG20" s="20" t="n"/>
      <c r="BH20" s="20" t="n"/>
      <c r="BI20" s="20" t="n"/>
      <c r="BJ20" s="20" t="n"/>
      <c r="BK20" s="20" t="n"/>
      <c r="BL20" s="20" t="n"/>
      <c r="BM20" s="20" t="n"/>
      <c r="BN20" s="20" t="n"/>
      <c r="BO20" s="20" t="n"/>
      <c r="BP20" s="20" t="n"/>
      <c r="BQ20" s="20" t="n"/>
      <c r="BR20" s="20" t="n"/>
      <c r="BS20" s="20" t="n"/>
      <c r="BT20" s="20" t="n"/>
      <c r="BU20" s="20" t="n"/>
      <c r="BV20" s="20" t="n"/>
      <c r="BW20" s="20" t="n"/>
      <c r="BX20" s="20" t="n"/>
      <c r="BY20" s="25" t="n"/>
      <c r="BZ20" s="343" t="n"/>
      <c r="CA20" s="343" t="n"/>
      <c r="CB20" s="304" t="n"/>
      <c r="CC20" s="304" t="n"/>
      <c r="CD20" s="2016" t="n"/>
      <c r="CE20" s="2017" t="n"/>
      <c r="CF20" s="2017" t="n"/>
      <c r="CG20" s="2017" t="n"/>
      <c r="CH20" s="2017" t="n"/>
      <c r="CI20" s="2017" t="n"/>
    </row>
    <row r="21" ht="12.75" customHeight="1" s="1883">
      <c r="A21" s="12" t="n"/>
      <c r="B21" s="342" t="inlineStr">
        <is>
          <t>Intangible &amp; Other Assets</t>
        </is>
      </c>
      <c r="C21" s="342" t="n"/>
      <c r="D21" s="342" t="n"/>
      <c r="E21" s="20" t="n"/>
      <c r="F21" s="20" t="n"/>
      <c r="G21" s="20" t="n"/>
      <c r="H21" s="20" t="n"/>
      <c r="I21" s="20" t="n"/>
      <c r="J21" s="1371" t="n"/>
      <c r="K21" s="20" t="n"/>
      <c r="L21" s="20" t="n"/>
      <c r="M21" s="20" t="n"/>
      <c r="N21" s="20" t="n"/>
      <c r="O21" s="20" t="n"/>
      <c r="P21" s="342"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c r="AN21" s="20" t="n"/>
      <c r="AO21" s="20" t="n"/>
      <c r="AP21" s="20" t="n"/>
      <c r="AQ21" s="20" t="n"/>
      <c r="AR21" s="20" t="n"/>
      <c r="AS21" s="20" t="n"/>
      <c r="AT21" s="20" t="n"/>
      <c r="AU21" s="20" t="n"/>
      <c r="AV21" s="20" t="n"/>
      <c r="AW21" s="20" t="n"/>
      <c r="AX21" s="20" t="n"/>
      <c r="AY21" s="20" t="n"/>
      <c r="AZ21" s="20" t="n"/>
      <c r="BA21" s="20" t="n"/>
      <c r="BB21" s="20" t="n"/>
      <c r="BC21" s="20" t="n"/>
      <c r="BD21" s="20" t="n"/>
      <c r="BE21" s="20" t="n"/>
      <c r="BF21" s="20" t="n"/>
      <c r="BG21" s="20" t="n"/>
      <c r="BH21" s="20" t="n"/>
      <c r="BI21" s="20" t="n"/>
      <c r="BJ21" s="20" t="n"/>
      <c r="BK21" s="20" t="n"/>
      <c r="BL21" s="20" t="n"/>
      <c r="BM21" s="20" t="n"/>
      <c r="BN21" s="20" t="n"/>
      <c r="BO21" s="20" t="n"/>
      <c r="BP21" s="20" t="n"/>
      <c r="BQ21" s="20" t="n"/>
      <c r="BR21" s="20" t="n"/>
      <c r="BS21" s="20" t="n"/>
      <c r="BT21" s="20" t="n"/>
      <c r="BU21" s="20" t="n"/>
      <c r="BV21" s="20" t="n"/>
      <c r="BW21" s="20" t="n"/>
      <c r="BX21" s="20" t="n"/>
      <c r="BY21" s="25" t="n"/>
      <c r="BZ21" s="343" t="inlineStr">
        <is>
          <t>Intangible &amp; Other Assets</t>
        </is>
      </c>
      <c r="CA21" s="343" t="n"/>
      <c r="CB21" s="304" t="n"/>
      <c r="CC21" s="304" t="n"/>
      <c r="CD21" s="2015" t="n"/>
      <c r="CE21" s="2014" t="n"/>
      <c r="CF21" s="2014" t="n"/>
      <c r="CG21" s="2014" t="n"/>
      <c r="CH21" s="2014" t="n"/>
      <c r="CI21" s="2014" t="n"/>
    </row>
    <row r="22" ht="12.75" customHeight="1" s="1883">
      <c r="A22" s="12" t="n"/>
      <c r="B22" s="342" t="n"/>
      <c r="C22" s="339" t="inlineStr">
        <is>
          <t>Intangible Assets</t>
        </is>
      </c>
      <c r="D22" s="342" t="n"/>
      <c r="E22" s="20">
        <f>('6B. Pre-Launch Exps. - Detail'!F122+'6B. Pre-Launch Exps. - Detail'!F123)</f>
        <v/>
      </c>
      <c r="F22" s="20">
        <f>E22+('6B. Pre-Launch Exps. - Detail'!G122+'6B. Pre-Launch Exps. - Detail'!G123)</f>
        <v/>
      </c>
      <c r="G22" s="20">
        <f>F22+('6B. Pre-Launch Exps. - Detail'!H122+'6B. Pre-Launch Exps. - Detail'!H123)</f>
        <v/>
      </c>
      <c r="H22" s="20">
        <f>G22+('6B. Pre-Launch Exps. - Detail'!I122+'6B. Pre-Launch Exps. - Detail'!I123)</f>
        <v/>
      </c>
      <c r="I22" s="20">
        <f>H22+('6B. Pre-Launch Exps. - Detail'!J122+'6B. Pre-Launch Exps. - Detail'!J123)</f>
        <v/>
      </c>
      <c r="J22" s="20">
        <f>I22+('6B. Pre-Launch Exps. - Detail'!K122+'6B. Pre-Launch Exps. - Detail'!K123)</f>
        <v/>
      </c>
      <c r="K22" s="20">
        <f>J22+('6B. Pre-Launch Exps. - Detail'!L122+'6B. Pre-Launch Exps. - Detail'!L123)</f>
        <v/>
      </c>
      <c r="L22" s="20">
        <f>K22+('6B. Pre-Launch Exps. - Detail'!M122+'6B. Pre-Launch Exps. - Detail'!M123)</f>
        <v/>
      </c>
      <c r="M22" s="20">
        <f>+L22+('6B. Pre-Launch Exps. - Detail'!N122+'6B. Pre-Launch Exps. - Detail'!N123)</f>
        <v/>
      </c>
      <c r="N22" s="20">
        <f>+M22+('6B. Pre-Launch Exps. - Detail'!O122+'6B. Pre-Launch Exps. - Detail'!O123)</f>
        <v/>
      </c>
      <c r="O22" s="20">
        <f>+N22+('6B. Pre-Launch Exps. - Detail'!O122+'6B. Pre-Launch Exps. - Detail'!O123)</f>
        <v/>
      </c>
      <c r="P22" s="20">
        <f>+O22+('6B. Pre-Launch Exps. - Detail'!Q122+'6B. Pre-Launch Exps. - Detail'!Q123)</f>
        <v/>
      </c>
      <c r="Q22" s="20">
        <f>+'4B. Tel. Expense Assumptions'!G410</f>
        <v/>
      </c>
      <c r="R22" s="20">
        <f>+'4B. Tel. Expense Assumptions'!H410</f>
        <v/>
      </c>
      <c r="S22" s="20">
        <f>+'4B. Tel. Expense Assumptions'!I410</f>
        <v/>
      </c>
      <c r="T22" s="20">
        <f>+'4B. Tel. Expense Assumptions'!J410</f>
        <v/>
      </c>
      <c r="U22" s="20">
        <f>+'4B. Tel. Expense Assumptions'!K410</f>
        <v/>
      </c>
      <c r="V22" s="20">
        <f>+'4B. Tel. Expense Assumptions'!L410</f>
        <v/>
      </c>
      <c r="W22" s="20">
        <f>+'4B. Tel. Expense Assumptions'!M410</f>
        <v/>
      </c>
      <c r="X22" s="20">
        <f>+'4B. Tel. Expense Assumptions'!N410</f>
        <v/>
      </c>
      <c r="Y22" s="20">
        <f>+'4B. Tel. Expense Assumptions'!O410</f>
        <v/>
      </c>
      <c r="Z22" s="20">
        <f>+'4B. Tel. Expense Assumptions'!P410</f>
        <v/>
      </c>
      <c r="AA22" s="20">
        <f>+'4B. Tel. Expense Assumptions'!Q410</f>
        <v/>
      </c>
      <c r="AB22" s="20">
        <f>+'4B. Tel. Expense Assumptions'!R410</f>
        <v/>
      </c>
      <c r="AC22" s="20">
        <f>+'4B. Tel. Expense Assumptions'!S410</f>
        <v/>
      </c>
      <c r="AD22" s="20">
        <f>+'4B. Tel. Expense Assumptions'!T410</f>
        <v/>
      </c>
      <c r="AE22" s="20">
        <f>+'4B. Tel. Expense Assumptions'!U410</f>
        <v/>
      </c>
      <c r="AF22" s="20">
        <f>+'4B. Tel. Expense Assumptions'!V410</f>
        <v/>
      </c>
      <c r="AG22" s="20">
        <f>+'4B. Tel. Expense Assumptions'!W410</f>
        <v/>
      </c>
      <c r="AH22" s="20">
        <f>+'4B. Tel. Expense Assumptions'!X410</f>
        <v/>
      </c>
      <c r="AI22" s="20">
        <f>+'4B. Tel. Expense Assumptions'!Y410</f>
        <v/>
      </c>
      <c r="AJ22" s="20">
        <f>+'4B. Tel. Expense Assumptions'!Z410</f>
        <v/>
      </c>
      <c r="AK22" s="20">
        <f>+'4B. Tel. Expense Assumptions'!AA410</f>
        <v/>
      </c>
      <c r="AL22" s="20">
        <f>+'4B. Tel. Expense Assumptions'!AB410</f>
        <v/>
      </c>
      <c r="AM22" s="20">
        <f>+'4B. Tel. Expense Assumptions'!AC410</f>
        <v/>
      </c>
      <c r="AN22" s="20">
        <f>+'4B. Tel. Expense Assumptions'!AD410</f>
        <v/>
      </c>
      <c r="AO22" s="20">
        <f>+'4B. Tel. Expense Assumptions'!AE410</f>
        <v/>
      </c>
      <c r="AP22" s="20">
        <f>+'4B. Tel. Expense Assumptions'!AF410</f>
        <v/>
      </c>
      <c r="AQ22" s="20">
        <f>+'4B. Tel. Expense Assumptions'!AG410</f>
        <v/>
      </c>
      <c r="AR22" s="20">
        <f>+'4B. Tel. Expense Assumptions'!AH410</f>
        <v/>
      </c>
      <c r="AS22" s="20">
        <f>+'4B. Tel. Expense Assumptions'!AI410</f>
        <v/>
      </c>
      <c r="AT22" s="20">
        <f>+'4B. Tel. Expense Assumptions'!AJ410</f>
        <v/>
      </c>
      <c r="AU22" s="20">
        <f>+'4B. Tel. Expense Assumptions'!AK410</f>
        <v/>
      </c>
      <c r="AV22" s="20">
        <f>+'4B. Tel. Expense Assumptions'!AL410</f>
        <v/>
      </c>
      <c r="AW22" s="20">
        <f>+'4B. Tel. Expense Assumptions'!AM410</f>
        <v/>
      </c>
      <c r="AX22" s="20">
        <f>+'4B. Tel. Expense Assumptions'!AN410</f>
        <v/>
      </c>
      <c r="AY22" s="20">
        <f>+'4B. Tel. Expense Assumptions'!AO410</f>
        <v/>
      </c>
      <c r="AZ22" s="20">
        <f>+'4B. Tel. Expense Assumptions'!AP410</f>
        <v/>
      </c>
      <c r="BA22" s="20">
        <f>+'4B. Tel. Expense Assumptions'!AQ410</f>
        <v/>
      </c>
      <c r="BB22" s="20">
        <f>+'4B. Tel. Expense Assumptions'!AR410</f>
        <v/>
      </c>
      <c r="BC22" s="20">
        <f>+'4B. Tel. Expense Assumptions'!AS410</f>
        <v/>
      </c>
      <c r="BD22" s="20">
        <f>+'4B. Tel. Expense Assumptions'!AT410</f>
        <v/>
      </c>
      <c r="BE22" s="20">
        <f>+'4B. Tel. Expense Assumptions'!AU410</f>
        <v/>
      </c>
      <c r="BF22" s="20">
        <f>+'4B. Tel. Expense Assumptions'!AV410</f>
        <v/>
      </c>
      <c r="BG22" s="20">
        <f>+'4B. Tel. Expense Assumptions'!AW410</f>
        <v/>
      </c>
      <c r="BH22" s="20">
        <f>+'4B. Tel. Expense Assumptions'!AX410</f>
        <v/>
      </c>
      <c r="BI22" s="20">
        <f>+'4B. Tel. Expense Assumptions'!AY410</f>
        <v/>
      </c>
      <c r="BJ22" s="20">
        <f>+'4B. Tel. Expense Assumptions'!AZ410</f>
        <v/>
      </c>
      <c r="BK22" s="20">
        <f>+'4B. Tel. Expense Assumptions'!BA410</f>
        <v/>
      </c>
      <c r="BL22" s="20">
        <f>+'4B. Tel. Expense Assumptions'!BB410</f>
        <v/>
      </c>
      <c r="BM22" s="20">
        <f>+'4B. Tel. Expense Assumptions'!BC410</f>
        <v/>
      </c>
      <c r="BN22" s="20">
        <f>+'4B. Tel. Expense Assumptions'!BD410</f>
        <v/>
      </c>
      <c r="BO22" s="20">
        <f>+'4B. Tel. Expense Assumptions'!BE410</f>
        <v/>
      </c>
      <c r="BP22" s="20">
        <f>+'4B. Tel. Expense Assumptions'!BF410</f>
        <v/>
      </c>
      <c r="BQ22" s="20">
        <f>+'4B. Tel. Expense Assumptions'!BG410</f>
        <v/>
      </c>
      <c r="BR22" s="20">
        <f>+'4B. Tel. Expense Assumptions'!BH410</f>
        <v/>
      </c>
      <c r="BS22" s="20">
        <f>+'4B. Tel. Expense Assumptions'!BI410</f>
        <v/>
      </c>
      <c r="BT22" s="20">
        <f>+'4B. Tel. Expense Assumptions'!BJ410</f>
        <v/>
      </c>
      <c r="BU22" s="20">
        <f>+'4B. Tel. Expense Assumptions'!BK410</f>
        <v/>
      </c>
      <c r="BV22" s="20">
        <f>+'4B. Tel. Expense Assumptions'!BL410</f>
        <v/>
      </c>
      <c r="BW22" s="20">
        <f>+'4B. Tel. Expense Assumptions'!BM410</f>
        <v/>
      </c>
      <c r="BX22" s="20">
        <f>+'4B. Tel. Expense Assumptions'!BN410</f>
        <v/>
      </c>
      <c r="BY22" s="25" t="n"/>
      <c r="BZ22" s="343" t="n"/>
      <c r="CA22" s="341" t="inlineStr">
        <is>
          <t>Intangible Assets</t>
        </is>
      </c>
      <c r="CB22" s="304" t="n"/>
      <c r="CC22" s="304" t="n"/>
      <c r="CD22" s="2015">
        <f>SUM(E22:P22)</f>
        <v/>
      </c>
      <c r="CE22" s="2014">
        <f>SUM(Q22:AB22)</f>
        <v/>
      </c>
      <c r="CF22" s="2014">
        <f>SUM(AC22:AN22)</f>
        <v/>
      </c>
      <c r="CG22" s="2014">
        <f>SUM(AO22:AZ22)</f>
        <v/>
      </c>
      <c r="CH22" s="2014">
        <f>SUM(BA22:BL22)</f>
        <v/>
      </c>
      <c r="CI22" s="2014">
        <f>SUM(BM22:BX22)</f>
        <v/>
      </c>
    </row>
    <row r="23" ht="12.75" customHeight="1" s="1883">
      <c r="A23" s="12" t="n"/>
      <c r="B23" s="342" t="inlineStr">
        <is>
          <t>Total Intangible &amp; Other Assets</t>
        </is>
      </c>
      <c r="C23" s="339" t="n"/>
      <c r="D23" s="342" t="n"/>
      <c r="E23" s="1372">
        <f>SUM(E22)</f>
        <v/>
      </c>
      <c r="F23" s="1372">
        <f>SUM(F22)</f>
        <v/>
      </c>
      <c r="G23" s="1372">
        <f>SUM(G22)</f>
        <v/>
      </c>
      <c r="H23" s="1372">
        <f>SUM(H22)</f>
        <v/>
      </c>
      <c r="I23" s="1372">
        <f>SUM(I22)</f>
        <v/>
      </c>
      <c r="J23" s="1372">
        <f>SUM(J22)</f>
        <v/>
      </c>
      <c r="K23" s="1359">
        <f>SUM(K22)</f>
        <v/>
      </c>
      <c r="L23" s="1359">
        <f>SUM(L22)</f>
        <v/>
      </c>
      <c r="M23" s="1359">
        <f>SUM(M22)</f>
        <v/>
      </c>
      <c r="N23" s="1359">
        <f>SUM(N22)</f>
        <v/>
      </c>
      <c r="O23" s="1359">
        <f>SUM(O22)</f>
        <v/>
      </c>
      <c r="P23" s="1359">
        <f>SUM(P22)</f>
        <v/>
      </c>
      <c r="Q23" s="1359">
        <f>SUM(Q22)</f>
        <v/>
      </c>
      <c r="R23" s="1359">
        <f>SUM(R22)</f>
        <v/>
      </c>
      <c r="S23" s="1359">
        <f>SUM(S22)</f>
        <v/>
      </c>
      <c r="T23" s="1359">
        <f>SUM(T22)</f>
        <v/>
      </c>
      <c r="U23" s="1359">
        <f>SUM(U22)</f>
        <v/>
      </c>
      <c r="V23" s="1359">
        <f>SUM(V22)</f>
        <v/>
      </c>
      <c r="W23" s="1359">
        <f>SUM(W22)</f>
        <v/>
      </c>
      <c r="X23" s="1359">
        <f>SUM(X22)</f>
        <v/>
      </c>
      <c r="Y23" s="1359">
        <f>SUM(Y22)</f>
        <v/>
      </c>
      <c r="Z23" s="1359">
        <f>SUM(Z22)</f>
        <v/>
      </c>
      <c r="AA23" s="1359">
        <f>SUM(AA22)</f>
        <v/>
      </c>
      <c r="AB23" s="1359">
        <f>SUM(AB22)</f>
        <v/>
      </c>
      <c r="AC23" s="1359">
        <f>SUM(AC22)</f>
        <v/>
      </c>
      <c r="AD23" s="1359">
        <f>SUM(AD22)</f>
        <v/>
      </c>
      <c r="AE23" s="1359">
        <f>SUM(AE22)</f>
        <v/>
      </c>
      <c r="AF23" s="1359">
        <f>SUM(AF22)</f>
        <v/>
      </c>
      <c r="AG23" s="1359">
        <f>SUM(AG22)</f>
        <v/>
      </c>
      <c r="AH23" s="1359">
        <f>SUM(AH22)</f>
        <v/>
      </c>
      <c r="AI23" s="1359">
        <f>SUM(AI22)</f>
        <v/>
      </c>
      <c r="AJ23" s="1359">
        <f>SUM(AJ22)</f>
        <v/>
      </c>
      <c r="AK23" s="1359">
        <f>SUM(AK22)</f>
        <v/>
      </c>
      <c r="AL23" s="1359">
        <f>SUM(AL22)</f>
        <v/>
      </c>
      <c r="AM23" s="1359">
        <f>SUM(AM22)</f>
        <v/>
      </c>
      <c r="AN23" s="1359">
        <f>SUM(AN22)</f>
        <v/>
      </c>
      <c r="AO23" s="1359">
        <f>SUM(AO22)</f>
        <v/>
      </c>
      <c r="AP23" s="1359">
        <f>SUM(AP22)</f>
        <v/>
      </c>
      <c r="AQ23" s="1359">
        <f>SUM(AQ22)</f>
        <v/>
      </c>
      <c r="AR23" s="1359">
        <f>SUM(AR22)</f>
        <v/>
      </c>
      <c r="AS23" s="1359">
        <f>SUM(AS22)</f>
        <v/>
      </c>
      <c r="AT23" s="1359">
        <f>SUM(AT22)</f>
        <v/>
      </c>
      <c r="AU23" s="1359">
        <f>SUM(AU22)</f>
        <v/>
      </c>
      <c r="AV23" s="1359">
        <f>SUM(AV22)</f>
        <v/>
      </c>
      <c r="AW23" s="1359">
        <f>SUM(AW22)</f>
        <v/>
      </c>
      <c r="AX23" s="1359">
        <f>SUM(AX22)</f>
        <v/>
      </c>
      <c r="AY23" s="1359">
        <f>SUM(AY22)</f>
        <v/>
      </c>
      <c r="AZ23" s="1359">
        <f>SUM(AZ22)</f>
        <v/>
      </c>
      <c r="BA23" s="1359">
        <f>SUM(BA22)</f>
        <v/>
      </c>
      <c r="BB23" s="1359">
        <f>SUM(BB22)</f>
        <v/>
      </c>
      <c r="BC23" s="1359">
        <f>SUM(BC22)</f>
        <v/>
      </c>
      <c r="BD23" s="1359">
        <f>SUM(BD22)</f>
        <v/>
      </c>
      <c r="BE23" s="1359">
        <f>SUM(BE22)</f>
        <v/>
      </c>
      <c r="BF23" s="1359">
        <f>SUM(BF22)</f>
        <v/>
      </c>
      <c r="BG23" s="1359">
        <f>SUM(BG22)</f>
        <v/>
      </c>
      <c r="BH23" s="1359">
        <f>SUM(BH22)</f>
        <v/>
      </c>
      <c r="BI23" s="1359">
        <f>SUM(BI22)</f>
        <v/>
      </c>
      <c r="BJ23" s="1359">
        <f>SUM(BJ22)</f>
        <v/>
      </c>
      <c r="BK23" s="1359">
        <f>SUM(BK22)</f>
        <v/>
      </c>
      <c r="BL23" s="1359">
        <f>SUM(BL22)</f>
        <v/>
      </c>
      <c r="BM23" s="1359">
        <f>SUM(BM22)</f>
        <v/>
      </c>
      <c r="BN23" s="1359">
        <f>SUM(BN22)</f>
        <v/>
      </c>
      <c r="BO23" s="1359">
        <f>SUM(BO22)</f>
        <v/>
      </c>
      <c r="BP23" s="1359">
        <f>SUM(BP22)</f>
        <v/>
      </c>
      <c r="BQ23" s="1359">
        <f>SUM(BQ22)</f>
        <v/>
      </c>
      <c r="BR23" s="1359">
        <f>SUM(BR22)</f>
        <v/>
      </c>
      <c r="BS23" s="1359">
        <f>SUM(BS22)</f>
        <v/>
      </c>
      <c r="BT23" s="1359">
        <f>SUM(BT22)</f>
        <v/>
      </c>
      <c r="BU23" s="1359">
        <f>SUM(BU22)</f>
        <v/>
      </c>
      <c r="BV23" s="1359">
        <f>SUM(BV22)</f>
        <v/>
      </c>
      <c r="BW23" s="1359">
        <f>SUM(BW22)</f>
        <v/>
      </c>
      <c r="BX23" s="1359">
        <f>SUM(BX22)</f>
        <v/>
      </c>
      <c r="BY23" s="25" t="n"/>
      <c r="BZ23" s="343" t="inlineStr">
        <is>
          <t>Total Intangible &amp; Other Assets</t>
        </is>
      </c>
      <c r="CA23" s="341" t="n"/>
      <c r="CB23" s="304" t="n"/>
      <c r="CC23" s="304" t="n"/>
      <c r="CD23" s="2016">
        <f>SUM(E23:P23)</f>
        <v/>
      </c>
      <c r="CE23" s="2017">
        <f>SUM(Q23:AB23)</f>
        <v/>
      </c>
      <c r="CF23" s="2017">
        <f>SUM(AC23:AN23)</f>
        <v/>
      </c>
      <c r="CG23" s="2017">
        <f>SUM(AO23:AZ23)</f>
        <v/>
      </c>
      <c r="CH23" s="2017">
        <f>SUM(BA23:BL23)</f>
        <v/>
      </c>
      <c r="CI23" s="2017">
        <f>SUM(BM23:BX23)</f>
        <v/>
      </c>
    </row>
    <row r="24" ht="12.75" customHeight="1" s="1883">
      <c r="A24" s="12" t="n"/>
      <c r="B24" s="338" t="inlineStr">
        <is>
          <t>TOTAL ASSETS</t>
        </is>
      </c>
      <c r="C24" s="342" t="n"/>
      <c r="D24" s="342" t="n"/>
      <c r="E24" s="344">
        <f>+E14+E19+E23</f>
        <v/>
      </c>
      <c r="F24" s="344">
        <f>+F14+F19+F23</f>
        <v/>
      </c>
      <c r="G24" s="344">
        <f>+G14+G19+G23</f>
        <v/>
      </c>
      <c r="H24" s="344">
        <f>+H14+H19+H23</f>
        <v/>
      </c>
      <c r="I24" s="344">
        <f>+I14+I19+I23</f>
        <v/>
      </c>
      <c r="J24" s="344">
        <f>+J14+J19+J23</f>
        <v/>
      </c>
      <c r="K24" s="329">
        <f>+K14+K19+K23</f>
        <v/>
      </c>
      <c r="L24" s="329">
        <f>+L14+L19+L23</f>
        <v/>
      </c>
      <c r="M24" s="329">
        <f>+M14+M19+M23</f>
        <v/>
      </c>
      <c r="N24" s="329">
        <f>+N14+N19+N23</f>
        <v/>
      </c>
      <c r="O24" s="329">
        <f>+O14+O19+O23</f>
        <v/>
      </c>
      <c r="P24" s="329">
        <f>+P14+P19+P23</f>
        <v/>
      </c>
      <c r="Q24" s="329">
        <f>+Q14+Q19+Q23</f>
        <v/>
      </c>
      <c r="R24" s="329">
        <f>+R14+R19+R23</f>
        <v/>
      </c>
      <c r="S24" s="329">
        <f>+S14+S19+S23</f>
        <v/>
      </c>
      <c r="T24" s="329">
        <f>+T14+T19+T23</f>
        <v/>
      </c>
      <c r="U24" s="329">
        <f>+U14+U19+U23</f>
        <v/>
      </c>
      <c r="V24" s="329">
        <f>+V14+V19+V23</f>
        <v/>
      </c>
      <c r="W24" s="329">
        <f>+W14+W19+W23</f>
        <v/>
      </c>
      <c r="X24" s="329">
        <f>+X14+X19+X23</f>
        <v/>
      </c>
      <c r="Y24" s="329">
        <f>+Y14+Y19+Y23</f>
        <v/>
      </c>
      <c r="Z24" s="329">
        <f>+Z14+Z19+Z23</f>
        <v/>
      </c>
      <c r="AA24" s="329">
        <f>+AA14+AA19+AA23</f>
        <v/>
      </c>
      <c r="AB24" s="329">
        <f>+AB14+AB19+AB23</f>
        <v/>
      </c>
      <c r="AC24" s="329">
        <f>+AC14+AC19+AC23</f>
        <v/>
      </c>
      <c r="AD24" s="329">
        <f>+AD14+AD19+AD23</f>
        <v/>
      </c>
      <c r="AE24" s="329">
        <f>+AE14+AE19+AE23</f>
        <v/>
      </c>
      <c r="AF24" s="329">
        <f>+AF14+AF19+AF23</f>
        <v/>
      </c>
      <c r="AG24" s="329">
        <f>+AG14+AG19+AG23</f>
        <v/>
      </c>
      <c r="AH24" s="329">
        <f>+AH14+AH19+AH23</f>
        <v/>
      </c>
      <c r="AI24" s="329">
        <f>+AI14+AI19+AI23</f>
        <v/>
      </c>
      <c r="AJ24" s="329">
        <f>+AJ14+AJ19+AJ23</f>
        <v/>
      </c>
      <c r="AK24" s="329">
        <f>+AK14+AK19+AK23</f>
        <v/>
      </c>
      <c r="AL24" s="329">
        <f>+AL14+AL19+AL23</f>
        <v/>
      </c>
      <c r="AM24" s="329">
        <f>+AM14+AM19+AM23</f>
        <v/>
      </c>
      <c r="AN24" s="329">
        <f>+AN14+AN19+AN23</f>
        <v/>
      </c>
      <c r="AO24" s="329">
        <f>+AO14+AO19+AO23</f>
        <v/>
      </c>
      <c r="AP24" s="329">
        <f>+AP14+AP19+AP23</f>
        <v/>
      </c>
      <c r="AQ24" s="329">
        <f>+AQ14+AQ19+AQ23</f>
        <v/>
      </c>
      <c r="AR24" s="329">
        <f>+AR14+AR19+AR23</f>
        <v/>
      </c>
      <c r="AS24" s="329">
        <f>+AS14+AS19+AS23</f>
        <v/>
      </c>
      <c r="AT24" s="329">
        <f>+AT14+AT19+AT23</f>
        <v/>
      </c>
      <c r="AU24" s="329">
        <f>+AU14+AU19+AU23</f>
        <v/>
      </c>
      <c r="AV24" s="329">
        <f>+AV14+AV19+AV23</f>
        <v/>
      </c>
      <c r="AW24" s="329">
        <f>+AW14+AW19+AW23</f>
        <v/>
      </c>
      <c r="AX24" s="329">
        <f>+AX14+AX19+AX23</f>
        <v/>
      </c>
      <c r="AY24" s="329">
        <f>+AY14+AY19+AY23</f>
        <v/>
      </c>
      <c r="AZ24" s="329">
        <f>+AZ14+AZ19+AZ23</f>
        <v/>
      </c>
      <c r="BA24" s="329">
        <f>+BA14+BA19+BA23</f>
        <v/>
      </c>
      <c r="BB24" s="329">
        <f>+BB14+BB19+BB23</f>
        <v/>
      </c>
      <c r="BC24" s="329">
        <f>+BC14+BC19+BC23</f>
        <v/>
      </c>
      <c r="BD24" s="329">
        <f>+BD14+BD19+BD23</f>
        <v/>
      </c>
      <c r="BE24" s="329">
        <f>+BE14+BE19+BE23</f>
        <v/>
      </c>
      <c r="BF24" s="329">
        <f>+BF14+BF19+BF23</f>
        <v/>
      </c>
      <c r="BG24" s="329">
        <f>+BG14+BG19+BG23</f>
        <v/>
      </c>
      <c r="BH24" s="329">
        <f>+BH14+BH19+BH23</f>
        <v/>
      </c>
      <c r="BI24" s="329">
        <f>+BI14+BI19+BI23</f>
        <v/>
      </c>
      <c r="BJ24" s="329">
        <f>+BJ14+BJ19+BJ23</f>
        <v/>
      </c>
      <c r="BK24" s="329">
        <f>+BK14+BK19+BK23</f>
        <v/>
      </c>
      <c r="BL24" s="329">
        <f>+BL14+BL19+BL23</f>
        <v/>
      </c>
      <c r="BM24" s="329">
        <f>+BM14+BM19+BM23</f>
        <v/>
      </c>
      <c r="BN24" s="329">
        <f>+BN14+BN19+BN23</f>
        <v/>
      </c>
      <c r="BO24" s="329">
        <f>+BO14+BO19+BO23</f>
        <v/>
      </c>
      <c r="BP24" s="329">
        <f>+BP14+BP19+BP23</f>
        <v/>
      </c>
      <c r="BQ24" s="329">
        <f>+BQ14+BQ19+BQ23</f>
        <v/>
      </c>
      <c r="BR24" s="329">
        <f>+BR14+BR19+BR23</f>
        <v/>
      </c>
      <c r="BS24" s="329">
        <f>+BS14+BS19+BS23</f>
        <v/>
      </c>
      <c r="BT24" s="329">
        <f>+BT14+BT19+BT23</f>
        <v/>
      </c>
      <c r="BU24" s="329">
        <f>+BU14+BU19+BU23</f>
        <v/>
      </c>
      <c r="BV24" s="329">
        <f>+BV14+BV19+BV23</f>
        <v/>
      </c>
      <c r="BW24" s="329">
        <f>+BW14+BW19+BW23</f>
        <v/>
      </c>
      <c r="BX24" s="329">
        <f>+BX14+BX19+BX23</f>
        <v/>
      </c>
      <c r="BY24" s="25" t="n"/>
      <c r="BZ24" s="340" t="inlineStr">
        <is>
          <t>TOTAL ASSETS</t>
        </is>
      </c>
      <c r="CA24" s="343" t="n"/>
      <c r="CB24" s="304" t="n"/>
      <c r="CC24" s="304" t="n"/>
      <c r="CD24" s="2016">
        <f>SUM(E24:P24)</f>
        <v/>
      </c>
      <c r="CE24" s="2017">
        <f>SUM(Q24:AB24)</f>
        <v/>
      </c>
      <c r="CF24" s="2017">
        <f>SUM(AC24:AN24)</f>
        <v/>
      </c>
      <c r="CG24" s="2017">
        <f>SUM(AO24:AZ24)</f>
        <v/>
      </c>
      <c r="CH24" s="2017">
        <f>SUM(BA24:BL24)</f>
        <v/>
      </c>
      <c r="CI24" s="2017">
        <f>SUM(BM24:BX24)</f>
        <v/>
      </c>
    </row>
    <row r="25" ht="12.75" customHeight="1" s="1883">
      <c r="A25" s="19" t="n"/>
      <c r="B25" s="338" t="n"/>
      <c r="C25" s="342" t="n"/>
      <c r="D25" s="342" t="n"/>
      <c r="E25" s="20" t="n"/>
      <c r="F25" s="20" t="n"/>
      <c r="G25" s="20" t="n"/>
      <c r="H25" s="20" t="n"/>
      <c r="I25" s="20" t="n"/>
      <c r="J25" s="1371" t="n"/>
      <c r="K25" s="20" t="n"/>
      <c r="L25" s="20" t="n"/>
      <c r="M25" s="20" t="n"/>
      <c r="N25" s="20" t="n"/>
      <c r="O25" s="20" t="n"/>
      <c r="P25" s="342"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c r="AN25" s="20" t="n"/>
      <c r="AO25" s="20" t="n"/>
      <c r="AP25" s="20" t="n"/>
      <c r="AQ25" s="20" t="n"/>
      <c r="AR25" s="20" t="n"/>
      <c r="AS25" s="20" t="n"/>
      <c r="AT25" s="20" t="n"/>
      <c r="AU25" s="20" t="n"/>
      <c r="AV25" s="20" t="n"/>
      <c r="AW25" s="20" t="n"/>
      <c r="AX25" s="20" t="n"/>
      <c r="AY25" s="20" t="n"/>
      <c r="AZ25" s="20" t="n"/>
      <c r="BA25" s="20" t="n"/>
      <c r="BB25" s="20" t="n"/>
      <c r="BC25" s="20" t="n"/>
      <c r="BD25" s="20" t="n"/>
      <c r="BE25" s="20" t="n"/>
      <c r="BF25" s="20" t="n"/>
      <c r="BG25" s="20" t="n"/>
      <c r="BH25" s="20" t="n"/>
      <c r="BI25" s="20" t="n"/>
      <c r="BJ25" s="20" t="n"/>
      <c r="BK25" s="20" t="n"/>
      <c r="BL25" s="20" t="n"/>
      <c r="BM25" s="20" t="n"/>
      <c r="BN25" s="20" t="n"/>
      <c r="BO25" s="20" t="n"/>
      <c r="BP25" s="20" t="n"/>
      <c r="BQ25" s="20" t="n"/>
      <c r="BR25" s="20" t="n"/>
      <c r="BS25" s="20" t="n"/>
      <c r="BT25" s="20" t="n"/>
      <c r="BU25" s="20" t="n"/>
      <c r="BV25" s="20" t="n"/>
      <c r="BW25" s="20" t="n"/>
      <c r="BX25" s="20" t="n"/>
      <c r="BY25" s="25" t="n"/>
      <c r="BZ25" s="340" t="n"/>
      <c r="CA25" s="343" t="n"/>
      <c r="CB25" s="307" t="n"/>
      <c r="CC25" s="307" t="n"/>
      <c r="CD25" s="2015" t="n"/>
      <c r="CE25" s="2014" t="n"/>
      <c r="CF25" s="2014" t="n"/>
      <c r="CG25" s="2014" t="n"/>
      <c r="CH25" s="2014" t="n"/>
      <c r="CI25" s="2014" t="n"/>
    </row>
    <row r="26" ht="12.75" customHeight="1" s="1883">
      <c r="A26" s="12" t="n"/>
      <c r="B26" s="338" t="inlineStr">
        <is>
          <t xml:space="preserve">LIABILITIES &amp; EQUITY </t>
        </is>
      </c>
      <c r="C26" s="339" t="n"/>
      <c r="D26" s="339" t="n"/>
      <c r="E26" s="20" t="n"/>
      <c r="F26" s="20" t="n"/>
      <c r="G26" s="20" t="n"/>
      <c r="H26" s="20" t="n"/>
      <c r="I26" s="20" t="n"/>
      <c r="J26" s="1371" t="n"/>
      <c r="K26" s="20" t="n"/>
      <c r="L26" s="20" t="n"/>
      <c r="M26" s="20" t="n"/>
      <c r="N26" s="20" t="n"/>
      <c r="O26" s="20" t="n"/>
      <c r="P26" s="339"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c r="AN26" s="20" t="n"/>
      <c r="AO26" s="20" t="n"/>
      <c r="AP26" s="20" t="n"/>
      <c r="AQ26" s="20" t="n"/>
      <c r="AR26" s="20" t="n"/>
      <c r="AS26" s="20" t="n"/>
      <c r="AT26" s="20" t="n"/>
      <c r="AU26" s="20" t="n"/>
      <c r="AV26" s="20" t="n"/>
      <c r="AW26" s="20" t="n"/>
      <c r="AX26" s="20" t="n"/>
      <c r="AY26" s="20" t="n"/>
      <c r="AZ26" s="20" t="n"/>
      <c r="BA26" s="20" t="n"/>
      <c r="BB26" s="20" t="n"/>
      <c r="BC26" s="20" t="n"/>
      <c r="BD26" s="20" t="n"/>
      <c r="BE26" s="20" t="n"/>
      <c r="BF26" s="20" t="n"/>
      <c r="BG26" s="20" t="n"/>
      <c r="BH26" s="20" t="n"/>
      <c r="BI26" s="20" t="n"/>
      <c r="BJ26" s="20" t="n"/>
      <c r="BK26" s="20" t="n"/>
      <c r="BL26" s="20" t="n"/>
      <c r="BM26" s="20" t="n"/>
      <c r="BN26" s="20" t="n"/>
      <c r="BO26" s="20" t="n"/>
      <c r="BP26" s="20" t="n"/>
      <c r="BQ26" s="20" t="n"/>
      <c r="BR26" s="20" t="n"/>
      <c r="BS26" s="20" t="n"/>
      <c r="BT26" s="20" t="n"/>
      <c r="BU26" s="20" t="n"/>
      <c r="BV26" s="20" t="n"/>
      <c r="BW26" s="20" t="n"/>
      <c r="BX26" s="20" t="n"/>
      <c r="BY26" s="25" t="n"/>
      <c r="BZ26" s="340" t="inlineStr">
        <is>
          <t xml:space="preserve">LIABILITIES &amp; EQUITY </t>
        </is>
      </c>
      <c r="CA26" s="341" t="n"/>
      <c r="CB26" s="307" t="n"/>
      <c r="CC26" s="307" t="n"/>
      <c r="CD26" s="2015" t="n"/>
      <c r="CE26" s="2014" t="n"/>
      <c r="CF26" s="2014" t="n"/>
      <c r="CG26" s="2014" t="n"/>
      <c r="CH26" s="2014" t="n"/>
      <c r="CI26" s="2014" t="n"/>
    </row>
    <row r="27" ht="12.75" customHeight="1" s="1883">
      <c r="A27" s="12" t="n"/>
      <c r="B27" s="342" t="n"/>
      <c r="C27" s="339" t="inlineStr">
        <is>
          <t>Trade Finance</t>
        </is>
      </c>
      <c r="D27" s="339" t="n"/>
      <c r="E27" s="20" t="n">
        <v>0</v>
      </c>
      <c r="F27" s="20" t="n">
        <v>0</v>
      </c>
      <c r="G27" s="20" t="n">
        <v>0</v>
      </c>
      <c r="H27" s="20" t="n">
        <v>0</v>
      </c>
      <c r="I27" s="20">
        <f>+'4B. Tel. Expense Assumptions'!E426</f>
        <v/>
      </c>
      <c r="J27" s="20">
        <f>+'4B. Tel. Expense Assumptions'!F422</f>
        <v/>
      </c>
      <c r="K27" s="20" t="n">
        <v>0</v>
      </c>
      <c r="L27" s="20" t="n">
        <v>0</v>
      </c>
      <c r="M27" s="20" t="n">
        <v>0</v>
      </c>
      <c r="N27" s="20" t="n">
        <v>0</v>
      </c>
      <c r="O27" s="20">
        <f>+'4B. Tel. Expense Assumptions'!E426</f>
        <v/>
      </c>
      <c r="P27" s="20">
        <f>+'4B. Tel. Expense Assumptions'!F422</f>
        <v/>
      </c>
      <c r="Q27" s="20">
        <f>+'4B. Tel. Expense Assumptions'!G422</f>
        <v/>
      </c>
      <c r="R27" s="20">
        <f>+'4B. Tel. Expense Assumptions'!H422</f>
        <v/>
      </c>
      <c r="S27" s="20">
        <f>+'4B. Tel. Expense Assumptions'!I422</f>
        <v/>
      </c>
      <c r="T27" s="20">
        <f>+'4B. Tel. Expense Assumptions'!J422</f>
        <v/>
      </c>
      <c r="U27" s="20">
        <f>+'4B. Tel. Expense Assumptions'!K422</f>
        <v/>
      </c>
      <c r="V27" s="20">
        <f>+'4B. Tel. Expense Assumptions'!L422</f>
        <v/>
      </c>
      <c r="W27" s="20">
        <f>+'4B. Tel. Expense Assumptions'!M422</f>
        <v/>
      </c>
      <c r="X27" s="20">
        <f>+'4B. Tel. Expense Assumptions'!N422</f>
        <v/>
      </c>
      <c r="Y27" s="20">
        <f>+'4B. Tel. Expense Assumptions'!O422</f>
        <v/>
      </c>
      <c r="Z27" s="20">
        <f>+'4B. Tel. Expense Assumptions'!P422</f>
        <v/>
      </c>
      <c r="AA27" s="20">
        <f>+'4B. Tel. Expense Assumptions'!Q422</f>
        <v/>
      </c>
      <c r="AB27" s="20">
        <f>+'4B. Tel. Expense Assumptions'!R422</f>
        <v/>
      </c>
      <c r="AC27" s="20">
        <f>+'4B. Tel. Expense Assumptions'!S422</f>
        <v/>
      </c>
      <c r="AD27" s="20">
        <f>+'4B. Tel. Expense Assumptions'!T422</f>
        <v/>
      </c>
      <c r="AE27" s="20">
        <f>+'4B. Tel. Expense Assumptions'!U422</f>
        <v/>
      </c>
      <c r="AF27" s="20">
        <f>+'4B. Tel. Expense Assumptions'!V422</f>
        <v/>
      </c>
      <c r="AG27" s="20">
        <f>+'4B. Tel. Expense Assumptions'!W422</f>
        <v/>
      </c>
      <c r="AH27" s="20">
        <f>+'4B. Tel. Expense Assumptions'!X422</f>
        <v/>
      </c>
      <c r="AI27" s="20">
        <f>+'4B. Tel. Expense Assumptions'!Y422</f>
        <v/>
      </c>
      <c r="AJ27" s="20">
        <f>+'4B. Tel. Expense Assumptions'!Z422</f>
        <v/>
      </c>
      <c r="AK27" s="20">
        <f>+'4B. Tel. Expense Assumptions'!AA422</f>
        <v/>
      </c>
      <c r="AL27" s="20">
        <f>+'4B. Tel. Expense Assumptions'!AB422</f>
        <v/>
      </c>
      <c r="AM27" s="20">
        <f>+'4B. Tel. Expense Assumptions'!AC422</f>
        <v/>
      </c>
      <c r="AN27" s="20">
        <f>+'4B. Tel. Expense Assumptions'!AD422</f>
        <v/>
      </c>
      <c r="AO27" s="20">
        <f>+'4B. Tel. Expense Assumptions'!AE422</f>
        <v/>
      </c>
      <c r="AP27" s="20">
        <f>+'4B. Tel. Expense Assumptions'!AF422</f>
        <v/>
      </c>
      <c r="AQ27" s="20">
        <f>+'4B. Tel. Expense Assumptions'!AG422</f>
        <v/>
      </c>
      <c r="AR27" s="20">
        <f>+'4B. Tel. Expense Assumptions'!AH422</f>
        <v/>
      </c>
      <c r="AS27" s="20">
        <f>+'4B. Tel. Expense Assumptions'!AI422</f>
        <v/>
      </c>
      <c r="AT27" s="20">
        <f>+'4B. Tel. Expense Assumptions'!AJ422</f>
        <v/>
      </c>
      <c r="AU27" s="20">
        <f>+'4B. Tel. Expense Assumptions'!AK422</f>
        <v/>
      </c>
      <c r="AV27" s="20">
        <f>+'4B. Tel. Expense Assumptions'!AL422</f>
        <v/>
      </c>
      <c r="AW27" s="20">
        <f>+'4B. Tel. Expense Assumptions'!AM422</f>
        <v/>
      </c>
      <c r="AX27" s="20">
        <f>+'4B. Tel. Expense Assumptions'!AN422</f>
        <v/>
      </c>
      <c r="AY27" s="20">
        <f>+'4B. Tel. Expense Assumptions'!AO422</f>
        <v/>
      </c>
      <c r="AZ27" s="20">
        <f>+'4B. Tel. Expense Assumptions'!AP422</f>
        <v/>
      </c>
      <c r="BA27" s="20">
        <f>+'4B. Tel. Expense Assumptions'!AQ422</f>
        <v/>
      </c>
      <c r="BB27" s="20">
        <f>+'4B. Tel. Expense Assumptions'!AR422</f>
        <v/>
      </c>
      <c r="BC27" s="20">
        <f>+'4B. Tel. Expense Assumptions'!AS422</f>
        <v/>
      </c>
      <c r="BD27" s="20">
        <f>+'4B. Tel. Expense Assumptions'!AT422</f>
        <v/>
      </c>
      <c r="BE27" s="20">
        <f>+'4B. Tel. Expense Assumptions'!AU422</f>
        <v/>
      </c>
      <c r="BF27" s="20">
        <f>+'4B. Tel. Expense Assumptions'!AV422</f>
        <v/>
      </c>
      <c r="BG27" s="20">
        <f>+'4B. Tel. Expense Assumptions'!AW422</f>
        <v/>
      </c>
      <c r="BH27" s="20">
        <f>+'4B. Tel. Expense Assumptions'!AX422</f>
        <v/>
      </c>
      <c r="BI27" s="20">
        <f>+'4B. Tel. Expense Assumptions'!AY422</f>
        <v/>
      </c>
      <c r="BJ27" s="20">
        <f>+'4B. Tel. Expense Assumptions'!AZ422</f>
        <v/>
      </c>
      <c r="BK27" s="20">
        <f>+'4B. Tel. Expense Assumptions'!BA422</f>
        <v/>
      </c>
      <c r="BL27" s="20">
        <f>+'4B. Tel. Expense Assumptions'!BB422</f>
        <v/>
      </c>
      <c r="BM27" s="20">
        <f>+'4B. Tel. Expense Assumptions'!BC422</f>
        <v/>
      </c>
      <c r="BN27" s="20">
        <f>+'4B. Tel. Expense Assumptions'!BD422</f>
        <v/>
      </c>
      <c r="BO27" s="20">
        <f>+'4B. Tel. Expense Assumptions'!BE422</f>
        <v/>
      </c>
      <c r="BP27" s="20">
        <f>+'4B. Tel. Expense Assumptions'!BF422</f>
        <v/>
      </c>
      <c r="BQ27" s="20">
        <f>+'4B. Tel. Expense Assumptions'!BG422</f>
        <v/>
      </c>
      <c r="BR27" s="20">
        <f>+'4B. Tel. Expense Assumptions'!BH422</f>
        <v/>
      </c>
      <c r="BS27" s="20">
        <f>+'4B. Tel. Expense Assumptions'!BI422</f>
        <v/>
      </c>
      <c r="BT27" s="20">
        <f>+'4B. Tel. Expense Assumptions'!BJ422</f>
        <v/>
      </c>
      <c r="BU27" s="20">
        <f>+'4B. Tel. Expense Assumptions'!BK422</f>
        <v/>
      </c>
      <c r="BV27" s="20">
        <f>+'4B. Tel. Expense Assumptions'!BL422</f>
        <v/>
      </c>
      <c r="BW27" s="20">
        <f>+'4B. Tel. Expense Assumptions'!BM422</f>
        <v/>
      </c>
      <c r="BX27" s="20">
        <f>+'4B. Tel. Expense Assumptions'!BN422</f>
        <v/>
      </c>
      <c r="BY27" s="7" t="n"/>
      <c r="BZ27" s="343" t="n"/>
      <c r="CA27" s="341" t="inlineStr">
        <is>
          <t>Trade Finance</t>
        </is>
      </c>
      <c r="CB27" s="307" t="n"/>
      <c r="CC27" s="307" t="n"/>
      <c r="CD27" s="2015">
        <f>AVERAGE(E27:P27)</f>
        <v/>
      </c>
      <c r="CE27" s="2014">
        <f>AVERAGE(Q27:AB27)</f>
        <v/>
      </c>
      <c r="CF27" s="2014">
        <f>AVERAGE(AC27:AN27)</f>
        <v/>
      </c>
      <c r="CG27" s="2014">
        <f>AVERAGE(AO27:AZ27)</f>
        <v/>
      </c>
      <c r="CH27" s="2014">
        <f>AVERAGE(BA27:BL27)</f>
        <v/>
      </c>
      <c r="CI27" s="2014">
        <f>AVERAGE(BM27:BX27)</f>
        <v/>
      </c>
    </row>
    <row r="28" ht="12.75" customHeight="1" s="1883">
      <c r="A28" s="12" t="n"/>
      <c r="B28" s="342" t="n"/>
      <c r="C28" s="339" t="inlineStr">
        <is>
          <t>Accrued Expenses &amp; Payroll Taxes Payable</t>
        </is>
      </c>
      <c r="D28" s="339" t="n"/>
      <c r="E28" s="20">
        <f>+'Headcount &amp; Salaries - 2'!L63</f>
        <v/>
      </c>
      <c r="F28" s="20">
        <f>+'Headcount &amp; Salaries - 2'!M63</f>
        <v/>
      </c>
      <c r="G28" s="20">
        <f>+'Headcount &amp; Salaries - 2'!N63</f>
        <v/>
      </c>
      <c r="H28" s="20">
        <f>+'Headcount &amp; Salaries - 2'!O63</f>
        <v/>
      </c>
      <c r="I28" s="20">
        <f>+'Headcount &amp; Salaries - 2'!P63</f>
        <v/>
      </c>
      <c r="J28" s="20">
        <f>+'Headcount &amp; Salaries - 2'!Q63</f>
        <v/>
      </c>
      <c r="K28" s="20">
        <f>+'Headcount &amp; Salaries - 2'!R63</f>
        <v/>
      </c>
      <c r="L28" s="20">
        <f>+'Headcount &amp; Salaries - 2'!S63</f>
        <v/>
      </c>
      <c r="M28" s="20">
        <f>+'Headcount &amp; Salaries - 2'!T63</f>
        <v/>
      </c>
      <c r="N28" s="20">
        <f>+'Headcount &amp; Salaries - 2'!U63</f>
        <v/>
      </c>
      <c r="O28" s="20">
        <f>+'Headcount &amp; Salaries - 2'!V63</f>
        <v/>
      </c>
      <c r="P28" s="20">
        <f>+'Headcount &amp; Salaries - 2'!W63</f>
        <v/>
      </c>
      <c r="Q28" s="20">
        <f>+'Headcount &amp; Salaries - 2'!X63</f>
        <v/>
      </c>
      <c r="R28" s="20">
        <f>+'Headcount &amp; Salaries - 2'!Y63</f>
        <v/>
      </c>
      <c r="S28" s="20">
        <f>+'Headcount &amp; Salaries - 2'!Z63</f>
        <v/>
      </c>
      <c r="T28" s="20">
        <f>+'Headcount &amp; Salaries - 2'!AA63</f>
        <v/>
      </c>
      <c r="U28" s="20">
        <f>+'Headcount &amp; Salaries - 2'!AB63</f>
        <v/>
      </c>
      <c r="V28" s="20">
        <f>+'Headcount &amp; Salaries - 2'!AC63</f>
        <v/>
      </c>
      <c r="W28" s="20">
        <f>+'Headcount &amp; Salaries - 2'!AD63</f>
        <v/>
      </c>
      <c r="X28" s="20">
        <f>+'Headcount &amp; Salaries - 2'!AE63</f>
        <v/>
      </c>
      <c r="Y28" s="20">
        <f>+'Headcount &amp; Salaries - 2'!AF63</f>
        <v/>
      </c>
      <c r="Z28" s="20">
        <f>+'Headcount &amp; Salaries - 2'!AG63</f>
        <v/>
      </c>
      <c r="AA28" s="20">
        <f>+'Headcount &amp; Salaries - 2'!AH63</f>
        <v/>
      </c>
      <c r="AB28" s="20">
        <f>+'Headcount &amp; Salaries - 2'!AI63</f>
        <v/>
      </c>
      <c r="AC28" s="20">
        <f>+'Headcount &amp; Salaries - 2'!AJ63</f>
        <v/>
      </c>
      <c r="AD28" s="20">
        <f>+'Headcount &amp; Salaries - 2'!AK63</f>
        <v/>
      </c>
      <c r="AE28" s="20">
        <f>+'Headcount &amp; Salaries - 2'!AL63</f>
        <v/>
      </c>
      <c r="AF28" s="20">
        <f>+'Headcount &amp; Salaries - 2'!AM63</f>
        <v/>
      </c>
      <c r="AG28" s="20">
        <f>+'Headcount &amp; Salaries - 2'!AN63</f>
        <v/>
      </c>
      <c r="AH28" s="20">
        <f>+'Headcount &amp; Salaries - 2'!AO63</f>
        <v/>
      </c>
      <c r="AI28" s="20">
        <f>+'Headcount &amp; Salaries - 2'!AP63</f>
        <v/>
      </c>
      <c r="AJ28" s="20">
        <f>+'Headcount &amp; Salaries - 2'!AQ63</f>
        <v/>
      </c>
      <c r="AK28" s="20">
        <f>+'Headcount &amp; Salaries - 2'!AR63</f>
        <v/>
      </c>
      <c r="AL28" s="20">
        <f>+'Headcount &amp; Salaries - 2'!AS63</f>
        <v/>
      </c>
      <c r="AM28" s="20">
        <f>+'Headcount &amp; Salaries - 2'!AT63</f>
        <v/>
      </c>
      <c r="AN28" s="20">
        <f>+'Headcount &amp; Salaries - 2'!AU63</f>
        <v/>
      </c>
      <c r="AO28" s="20">
        <f>+'Headcount &amp; Salaries - 2'!AV63</f>
        <v/>
      </c>
      <c r="AP28" s="20">
        <f>+'Headcount &amp; Salaries - 2'!AW63</f>
        <v/>
      </c>
      <c r="AQ28" s="20">
        <f>+'Headcount &amp; Salaries - 2'!AX63</f>
        <v/>
      </c>
      <c r="AR28" s="20">
        <f>+'Headcount &amp; Salaries - 2'!AY63</f>
        <v/>
      </c>
      <c r="AS28" s="20">
        <f>+'Headcount &amp; Salaries - 2'!AZ63</f>
        <v/>
      </c>
      <c r="AT28" s="20">
        <f>+'Headcount &amp; Salaries - 2'!BA63</f>
        <v/>
      </c>
      <c r="AU28" s="20">
        <f>+'Headcount &amp; Salaries - 2'!BB63</f>
        <v/>
      </c>
      <c r="AV28" s="20">
        <f>+'Headcount &amp; Salaries - 2'!BC63</f>
        <v/>
      </c>
      <c r="AW28" s="20">
        <f>+'Headcount &amp; Salaries - 2'!BD63</f>
        <v/>
      </c>
      <c r="AX28" s="20">
        <f>+'Headcount &amp; Salaries - 2'!BE63</f>
        <v/>
      </c>
      <c r="AY28" s="20">
        <f>+'Headcount &amp; Salaries - 2'!BF63</f>
        <v/>
      </c>
      <c r="AZ28" s="20">
        <f>+'Headcount &amp; Salaries - 2'!BG63</f>
        <v/>
      </c>
      <c r="BA28" s="20">
        <f>+'Headcount &amp; Salaries - 2'!BH63</f>
        <v/>
      </c>
      <c r="BB28" s="20">
        <f>+'Headcount &amp; Salaries - 2'!BI63</f>
        <v/>
      </c>
      <c r="BC28" s="20">
        <f>+'Headcount &amp; Salaries - 2'!BJ63</f>
        <v/>
      </c>
      <c r="BD28" s="20">
        <f>+'Headcount &amp; Salaries - 2'!BK63</f>
        <v/>
      </c>
      <c r="BE28" s="20">
        <f>+'Headcount &amp; Salaries - 2'!BL63</f>
        <v/>
      </c>
      <c r="BF28" s="20">
        <f>+'Headcount &amp; Salaries - 2'!BM63</f>
        <v/>
      </c>
      <c r="BG28" s="20">
        <f>+'Headcount &amp; Salaries - 2'!BN63</f>
        <v/>
      </c>
      <c r="BH28" s="20">
        <f>+'Headcount &amp; Salaries - 2'!BO63</f>
        <v/>
      </c>
      <c r="BI28" s="20">
        <f>+'Headcount &amp; Salaries - 2'!BP63</f>
        <v/>
      </c>
      <c r="BJ28" s="20">
        <f>+'Headcount &amp; Salaries - 2'!BQ63</f>
        <v/>
      </c>
      <c r="BK28" s="20">
        <f>+'Headcount &amp; Salaries - 2'!BR63</f>
        <v/>
      </c>
      <c r="BL28" s="20">
        <f>+'Headcount &amp; Salaries - 2'!BS63</f>
        <v/>
      </c>
      <c r="BM28" s="20">
        <f>+'Headcount &amp; Salaries - 2'!BT63</f>
        <v/>
      </c>
      <c r="BN28" s="20">
        <f>+'Headcount &amp; Salaries - 2'!BU63</f>
        <v/>
      </c>
      <c r="BO28" s="20">
        <f>+'Headcount &amp; Salaries - 2'!BV63</f>
        <v/>
      </c>
      <c r="BP28" s="20">
        <f>+'Headcount &amp; Salaries - 2'!BW63</f>
        <v/>
      </c>
      <c r="BQ28" s="20">
        <f>+'Headcount &amp; Salaries - 2'!BX63</f>
        <v/>
      </c>
      <c r="BR28" s="20">
        <f>+'Headcount &amp; Salaries - 2'!BY63</f>
        <v/>
      </c>
      <c r="BS28" s="20">
        <f>+'Headcount &amp; Salaries - 2'!BZ63</f>
        <v/>
      </c>
      <c r="BT28" s="20">
        <f>+'Headcount &amp; Salaries - 2'!CA63</f>
        <v/>
      </c>
      <c r="BU28" s="20">
        <f>+'Headcount &amp; Salaries - 2'!CB63</f>
        <v/>
      </c>
      <c r="BV28" s="20">
        <f>+'Headcount &amp; Salaries - 2'!CC63</f>
        <v/>
      </c>
      <c r="BW28" s="20">
        <f>+'Headcount &amp; Salaries - 2'!CD63</f>
        <v/>
      </c>
      <c r="BX28" s="20">
        <f>+'Headcount &amp; Salaries - 2'!CE63</f>
        <v/>
      </c>
      <c r="BY28" s="7" t="n"/>
      <c r="BZ28" s="343" t="n"/>
      <c r="CA28" s="341" t="inlineStr">
        <is>
          <t>Accrued Expenses &amp; Payroll Taxes Payable</t>
        </is>
      </c>
      <c r="CB28" s="307" t="n"/>
      <c r="CC28" s="307" t="n"/>
      <c r="CD28" s="2015">
        <f>SUM(E28:P28)</f>
        <v/>
      </c>
      <c r="CE28" s="2014">
        <f>SUM(Q28:AB28)</f>
        <v/>
      </c>
      <c r="CF28" s="2014">
        <f>SUM(AC28:AN28)</f>
        <v/>
      </c>
      <c r="CG28" s="2014">
        <f>SUM(AO28:AZ28)</f>
        <v/>
      </c>
      <c r="CH28" s="2014">
        <f>SUM(BA28:BL28)</f>
        <v/>
      </c>
      <c r="CI28" s="2014">
        <f>SUM(BM28:BX28)</f>
        <v/>
      </c>
    </row>
    <row r="29" ht="12.75" customHeight="1" s="1883">
      <c r="A29" s="12" t="n"/>
      <c r="B29" s="342" t="n"/>
      <c r="C29" s="339" t="inlineStr">
        <is>
          <t>Customer Deposits</t>
        </is>
      </c>
      <c r="D29" s="339" t="n"/>
      <c r="E29" s="20">
        <f>+'6B. Pre-Launch Exps. - Detail'!L216</f>
        <v/>
      </c>
      <c r="F29" s="20">
        <f>+'6B. Pre-Launch Exps. - Detail'!M216</f>
        <v/>
      </c>
      <c r="G29" s="20">
        <f>+'6B. Pre-Launch Exps. - Detail'!N216</f>
        <v/>
      </c>
      <c r="H29" s="20">
        <f>+'6B. Pre-Launch Exps. - Detail'!O216</f>
        <v/>
      </c>
      <c r="I29" s="20">
        <f>+'4B. Tel. Expense Assumptions'!E205+'4B. Tel. Expense Assumptions'!E198+'4B. Tel. Expense Assumptions'!E191</f>
        <v/>
      </c>
      <c r="J29" s="20">
        <f>+'4B. Tel. Expense Assumptions'!F205+'4B. Tel. Expense Assumptions'!F198+'4B. Tel. Expense Assumptions'!F191</f>
        <v/>
      </c>
      <c r="K29" s="20">
        <f>+'6B. Pre-Launch Exps. - Detail'!L216</f>
        <v/>
      </c>
      <c r="L29" s="20">
        <f>+'6B. Pre-Launch Exps. - Detail'!M216</f>
        <v/>
      </c>
      <c r="M29" s="20">
        <f>+'6B. Pre-Launch Exps. - Detail'!N216</f>
        <v/>
      </c>
      <c r="N29" s="20">
        <f>+'6B. Pre-Launch Exps. - Detail'!O216</f>
        <v/>
      </c>
      <c r="O29" s="20">
        <f>+'4B. Tel. Expense Assumptions'!E205+'4B. Tel. Expense Assumptions'!E198+'4B. Tel. Expense Assumptions'!E191</f>
        <v/>
      </c>
      <c r="P29" s="20">
        <f>+'4B. Tel. Expense Assumptions'!F205+'4B. Tel. Expense Assumptions'!F198+'4B. Tel. Expense Assumptions'!F191</f>
        <v/>
      </c>
      <c r="Q29" s="20">
        <f>+'4B. Tel. Expense Assumptions'!G205+'4B. Tel. Expense Assumptions'!G198+'4B. Tel. Expense Assumptions'!G191</f>
        <v/>
      </c>
      <c r="R29" s="20">
        <f>+'4B. Tel. Expense Assumptions'!H205+'4B. Tel. Expense Assumptions'!H198+'4B. Tel. Expense Assumptions'!H191</f>
        <v/>
      </c>
      <c r="S29" s="20">
        <f>+'4B. Tel. Expense Assumptions'!I205+'4B. Tel. Expense Assumptions'!I198+'4B. Tel. Expense Assumptions'!I191</f>
        <v/>
      </c>
      <c r="T29" s="20">
        <f>+'4B. Tel. Expense Assumptions'!J205+'4B. Tel. Expense Assumptions'!J198+'4B. Tel. Expense Assumptions'!J191</f>
        <v/>
      </c>
      <c r="U29" s="20">
        <f>+'4B. Tel. Expense Assumptions'!K205+'4B. Tel. Expense Assumptions'!K198+'4B. Tel. Expense Assumptions'!K191</f>
        <v/>
      </c>
      <c r="V29" s="20">
        <f>+'4B. Tel. Expense Assumptions'!L205+'4B. Tel. Expense Assumptions'!L198+'4B. Tel. Expense Assumptions'!L191</f>
        <v/>
      </c>
      <c r="W29" s="20">
        <f>+'4B. Tel. Expense Assumptions'!M205+'4B. Tel. Expense Assumptions'!M198+'4B. Tel. Expense Assumptions'!M191</f>
        <v/>
      </c>
      <c r="X29" s="20">
        <f>+'4B. Tel. Expense Assumptions'!N205+'4B. Tel. Expense Assumptions'!N198+'4B. Tel. Expense Assumptions'!N191</f>
        <v/>
      </c>
      <c r="Y29" s="20">
        <f>+'4B. Tel. Expense Assumptions'!O205+'4B. Tel. Expense Assumptions'!O198+'4B. Tel. Expense Assumptions'!O191</f>
        <v/>
      </c>
      <c r="Z29" s="20">
        <f>+'4B. Tel. Expense Assumptions'!P205+'4B. Tel. Expense Assumptions'!P198+'4B. Tel. Expense Assumptions'!P191</f>
        <v/>
      </c>
      <c r="AA29" s="20">
        <f>+'4B. Tel. Expense Assumptions'!Q205+'4B. Tel. Expense Assumptions'!Q198+'4B. Tel. Expense Assumptions'!Q191</f>
        <v/>
      </c>
      <c r="AB29" s="20">
        <f>+'4B. Tel. Expense Assumptions'!R205+'4B. Tel. Expense Assumptions'!R198+'4B. Tel. Expense Assumptions'!R191</f>
        <v/>
      </c>
      <c r="AC29" s="20">
        <f>+'4B. Tel. Expense Assumptions'!S205+'4B. Tel. Expense Assumptions'!S198+'4B. Tel. Expense Assumptions'!S191</f>
        <v/>
      </c>
      <c r="AD29" s="20">
        <f>+'4B. Tel. Expense Assumptions'!T205+'4B. Tel. Expense Assumptions'!T198+'4B. Tel. Expense Assumptions'!T191</f>
        <v/>
      </c>
      <c r="AE29" s="20">
        <f>+'4B. Tel. Expense Assumptions'!U205+'4B. Tel. Expense Assumptions'!U198+'4B. Tel. Expense Assumptions'!U191</f>
        <v/>
      </c>
      <c r="AF29" s="20">
        <f>+'4B. Tel. Expense Assumptions'!V205+'4B. Tel. Expense Assumptions'!V198+'4B. Tel. Expense Assumptions'!V191</f>
        <v/>
      </c>
      <c r="AG29" s="20">
        <f>+'4B. Tel. Expense Assumptions'!W205+'4B. Tel. Expense Assumptions'!W198+'4B. Tel. Expense Assumptions'!W191</f>
        <v/>
      </c>
      <c r="AH29" s="20">
        <f>+'4B. Tel. Expense Assumptions'!X205+'4B. Tel. Expense Assumptions'!X198+'4B. Tel. Expense Assumptions'!X191</f>
        <v/>
      </c>
      <c r="AI29" s="20">
        <f>+'4B. Tel. Expense Assumptions'!Y205+'4B. Tel. Expense Assumptions'!Y198+'4B. Tel. Expense Assumptions'!Y191</f>
        <v/>
      </c>
      <c r="AJ29" s="20">
        <f>+'4B. Tel. Expense Assumptions'!Z205+'4B. Tel. Expense Assumptions'!Z198+'4B. Tel. Expense Assumptions'!Z191</f>
        <v/>
      </c>
      <c r="AK29" s="20">
        <f>+'4B. Tel. Expense Assumptions'!AA205+'4B. Tel. Expense Assumptions'!AA198+'4B. Tel. Expense Assumptions'!AA191</f>
        <v/>
      </c>
      <c r="AL29" s="20">
        <f>+'4B. Tel. Expense Assumptions'!AB205+'4B. Tel. Expense Assumptions'!AB198+'4B. Tel. Expense Assumptions'!AB191</f>
        <v/>
      </c>
      <c r="AM29" s="20">
        <f>+'4B. Tel. Expense Assumptions'!AC205+'4B. Tel. Expense Assumptions'!AC198+'4B. Tel. Expense Assumptions'!AC191</f>
        <v/>
      </c>
      <c r="AN29" s="20">
        <f>+'4B. Tel. Expense Assumptions'!AD205+'4B. Tel. Expense Assumptions'!AD198+'4B. Tel. Expense Assumptions'!AD191</f>
        <v/>
      </c>
      <c r="AO29" s="20">
        <f>+'4B. Tel. Expense Assumptions'!AE205+'4B. Tel. Expense Assumptions'!AE198+'4B. Tel. Expense Assumptions'!AE191</f>
        <v/>
      </c>
      <c r="AP29" s="20">
        <f>+'4B. Tel. Expense Assumptions'!AF205+'4B. Tel. Expense Assumptions'!AF198+'4B. Tel. Expense Assumptions'!AF191</f>
        <v/>
      </c>
      <c r="AQ29" s="20">
        <f>+'4B. Tel. Expense Assumptions'!AG205+'4B. Tel. Expense Assumptions'!AG198+'4B. Tel. Expense Assumptions'!AG191</f>
        <v/>
      </c>
      <c r="AR29" s="20">
        <f>+'4B. Tel. Expense Assumptions'!AH205+'4B. Tel. Expense Assumptions'!AH198+'4B. Tel. Expense Assumptions'!AH191</f>
        <v/>
      </c>
      <c r="AS29" s="20">
        <f>+'4B. Tel. Expense Assumptions'!AI205+'4B. Tel. Expense Assumptions'!AI198+'4B. Tel. Expense Assumptions'!AI191</f>
        <v/>
      </c>
      <c r="AT29" s="20">
        <f>+'4B. Tel. Expense Assumptions'!AJ205+'4B. Tel. Expense Assumptions'!AJ198+'4B. Tel. Expense Assumptions'!AJ191</f>
        <v/>
      </c>
      <c r="AU29" s="20">
        <f>+'4B. Tel. Expense Assumptions'!AK205+'4B. Tel. Expense Assumptions'!AK198+'4B. Tel. Expense Assumptions'!AK191</f>
        <v/>
      </c>
      <c r="AV29" s="20">
        <f>+'4B. Tel. Expense Assumptions'!AL205+'4B. Tel. Expense Assumptions'!AL198+'4B. Tel. Expense Assumptions'!AL191</f>
        <v/>
      </c>
      <c r="AW29" s="20">
        <f>+'4B. Tel. Expense Assumptions'!AM205+'4B. Tel. Expense Assumptions'!AM198+'4B. Tel. Expense Assumptions'!AM191</f>
        <v/>
      </c>
      <c r="AX29" s="20">
        <f>+'4B. Tel. Expense Assumptions'!AN205+'4B. Tel. Expense Assumptions'!AN198+'4B. Tel. Expense Assumptions'!AN191</f>
        <v/>
      </c>
      <c r="AY29" s="20">
        <f>+'4B. Tel. Expense Assumptions'!AO205+'4B. Tel. Expense Assumptions'!AO198+'4B. Tel. Expense Assumptions'!AO191</f>
        <v/>
      </c>
      <c r="AZ29" s="20">
        <f>+'4B. Tel. Expense Assumptions'!AP205+'4B. Tel. Expense Assumptions'!AP198+'4B. Tel. Expense Assumptions'!AP191</f>
        <v/>
      </c>
      <c r="BA29" s="20">
        <f>+'4B. Tel. Expense Assumptions'!AQ205+'4B. Tel. Expense Assumptions'!AQ198+'4B. Tel. Expense Assumptions'!AQ191</f>
        <v/>
      </c>
      <c r="BB29" s="20">
        <f>+'4B. Tel. Expense Assumptions'!AR205+'4B. Tel. Expense Assumptions'!AR198+'4B. Tel. Expense Assumptions'!AR191</f>
        <v/>
      </c>
      <c r="BC29" s="20">
        <f>+'4B. Tel. Expense Assumptions'!AS205+'4B. Tel. Expense Assumptions'!AS198+'4B. Tel. Expense Assumptions'!AS191</f>
        <v/>
      </c>
      <c r="BD29" s="20">
        <f>+'4B. Tel. Expense Assumptions'!AT205+'4B. Tel. Expense Assumptions'!AT198+'4B. Tel. Expense Assumptions'!AT191</f>
        <v/>
      </c>
      <c r="BE29" s="20">
        <f>+'4B. Tel. Expense Assumptions'!AU205+'4B. Tel. Expense Assumptions'!AU198+'4B. Tel. Expense Assumptions'!AU191</f>
        <v/>
      </c>
      <c r="BF29" s="20">
        <f>+'4B. Tel. Expense Assumptions'!AV205+'4B. Tel. Expense Assumptions'!AV198+'4B. Tel. Expense Assumptions'!AV191</f>
        <v/>
      </c>
      <c r="BG29" s="20">
        <f>+'4B. Tel. Expense Assumptions'!AW205+'4B. Tel. Expense Assumptions'!AW198+'4B. Tel. Expense Assumptions'!AW191</f>
        <v/>
      </c>
      <c r="BH29" s="20">
        <f>+'4B. Tel. Expense Assumptions'!AX205+'4B. Tel. Expense Assumptions'!AX198+'4B. Tel. Expense Assumptions'!AX191</f>
        <v/>
      </c>
      <c r="BI29" s="20">
        <f>+'4B. Tel. Expense Assumptions'!AY205+'4B. Tel. Expense Assumptions'!AY198+'4B. Tel. Expense Assumptions'!AY191</f>
        <v/>
      </c>
      <c r="BJ29" s="20">
        <f>+'4B. Tel. Expense Assumptions'!AZ205+'4B. Tel. Expense Assumptions'!AZ198+'4B. Tel. Expense Assumptions'!AZ191</f>
        <v/>
      </c>
      <c r="BK29" s="20">
        <f>+'4B. Tel. Expense Assumptions'!BA205+'4B. Tel. Expense Assumptions'!BA198+'4B. Tel. Expense Assumptions'!BA191</f>
        <v/>
      </c>
      <c r="BL29" s="20">
        <f>+'4B. Tel. Expense Assumptions'!BB205+'4B. Tel. Expense Assumptions'!BB198+'4B. Tel. Expense Assumptions'!BB191</f>
        <v/>
      </c>
      <c r="BM29" s="20">
        <f>+'4B. Tel. Expense Assumptions'!BC205+'4B. Tel. Expense Assumptions'!BC198+'4B. Tel. Expense Assumptions'!BC191</f>
        <v/>
      </c>
      <c r="BN29" s="20">
        <f>+'4B. Tel. Expense Assumptions'!BD205+'4B. Tel. Expense Assumptions'!BD198+'4B. Tel. Expense Assumptions'!BD191</f>
        <v/>
      </c>
      <c r="BO29" s="20">
        <f>+'4B. Tel. Expense Assumptions'!BE205+'4B. Tel. Expense Assumptions'!BE198+'4B. Tel. Expense Assumptions'!BE191</f>
        <v/>
      </c>
      <c r="BP29" s="20">
        <f>+'4B. Tel. Expense Assumptions'!BF205+'4B. Tel. Expense Assumptions'!BF198+'4B. Tel. Expense Assumptions'!BF191</f>
        <v/>
      </c>
      <c r="BQ29" s="20">
        <f>+'4B. Tel. Expense Assumptions'!BG205+'4B. Tel. Expense Assumptions'!BG198+'4B. Tel. Expense Assumptions'!BG191</f>
        <v/>
      </c>
      <c r="BR29" s="20">
        <f>+'4B. Tel. Expense Assumptions'!BH205+'4B. Tel. Expense Assumptions'!BH198+'4B. Tel. Expense Assumptions'!BH191</f>
        <v/>
      </c>
      <c r="BS29" s="20">
        <f>+'4B. Tel. Expense Assumptions'!BI205+'4B. Tel. Expense Assumptions'!BI198+'4B. Tel. Expense Assumptions'!BI191</f>
        <v/>
      </c>
      <c r="BT29" s="20">
        <f>+'4B. Tel. Expense Assumptions'!BJ205+'4B. Tel. Expense Assumptions'!BJ198+'4B. Tel. Expense Assumptions'!BJ191</f>
        <v/>
      </c>
      <c r="BU29" s="20">
        <f>+'4B. Tel. Expense Assumptions'!BK205+'4B. Tel. Expense Assumptions'!BK198+'4B. Tel. Expense Assumptions'!BK191</f>
        <v/>
      </c>
      <c r="BV29" s="20">
        <f>+'4B. Tel. Expense Assumptions'!BL205+'4B. Tel. Expense Assumptions'!BL198+'4B. Tel. Expense Assumptions'!BL191</f>
        <v/>
      </c>
      <c r="BW29" s="20">
        <f>+'4B. Tel. Expense Assumptions'!BM205+'4B. Tel. Expense Assumptions'!BM198+'4B. Tel. Expense Assumptions'!BM191</f>
        <v/>
      </c>
      <c r="BX29" s="20">
        <f>+'4B. Tel. Expense Assumptions'!BN205+'4B. Tel. Expense Assumptions'!BN198+'4B. Tel. Expense Assumptions'!BN191</f>
        <v/>
      </c>
      <c r="BY29" s="7" t="n"/>
      <c r="BZ29" s="343" t="n"/>
      <c r="CA29" s="341" t="inlineStr">
        <is>
          <t>Customer Deposits</t>
        </is>
      </c>
      <c r="CB29" s="307" t="n"/>
      <c r="CC29" s="307" t="n"/>
      <c r="CD29" s="2015">
        <f>SUM(E29:P29)</f>
        <v/>
      </c>
      <c r="CE29" s="2014">
        <f>SUM(Q29:AB29)</f>
        <v/>
      </c>
      <c r="CF29" s="2014">
        <f>SUM(AC29:AN29)</f>
        <v/>
      </c>
      <c r="CG29" s="2014">
        <f>SUM(AO29:AZ29)</f>
        <v/>
      </c>
      <c r="CH29" s="2014">
        <f>SUM(BA29:BL29)</f>
        <v/>
      </c>
      <c r="CI29" s="2014">
        <f>SUM(BM29:BX29)</f>
        <v/>
      </c>
    </row>
    <row r="30" ht="12.75" customHeight="1" s="1883">
      <c r="A30" s="12" t="n"/>
      <c r="B30" s="342" t="n"/>
      <c r="C30" s="339" t="inlineStr">
        <is>
          <t>Current Portion of Long Term Debt</t>
        </is>
      </c>
      <c r="D30" s="339" t="n"/>
      <c r="E30" s="1372" t="n">
        <v>0</v>
      </c>
      <c r="F30" s="1372">
        <f>+E30</f>
        <v/>
      </c>
      <c r="G30" s="1372">
        <f>+F30</f>
        <v/>
      </c>
      <c r="H30" s="1372">
        <f>+G30</f>
        <v/>
      </c>
      <c r="I30" s="1372">
        <f>+H30</f>
        <v/>
      </c>
      <c r="J30" s="1372">
        <f>+I30</f>
        <v/>
      </c>
      <c r="K30" s="20" t="n">
        <v>0</v>
      </c>
      <c r="L30" s="20">
        <f>+K30</f>
        <v/>
      </c>
      <c r="M30" s="20">
        <f>+L30</f>
        <v/>
      </c>
      <c r="N30" s="20">
        <f>+M30</f>
        <v/>
      </c>
      <c r="O30" s="20">
        <f>+N30</f>
        <v/>
      </c>
      <c r="P30" s="20">
        <f>+O30</f>
        <v/>
      </c>
      <c r="Q30" s="20">
        <f>+P30</f>
        <v/>
      </c>
      <c r="R30" s="20">
        <f>+Q30</f>
        <v/>
      </c>
      <c r="S30" s="20">
        <f>+R30</f>
        <v/>
      </c>
      <c r="T30" s="20">
        <f>+S30</f>
        <v/>
      </c>
      <c r="U30" s="20">
        <f>+T30</f>
        <v/>
      </c>
      <c r="V30" s="20">
        <f>+U30</f>
        <v/>
      </c>
      <c r="W30" s="20">
        <f>+V30</f>
        <v/>
      </c>
      <c r="X30" s="20">
        <f>+W30</f>
        <v/>
      </c>
      <c r="Y30" s="20">
        <f>+X30</f>
        <v/>
      </c>
      <c r="Z30" s="20">
        <f>+Y30</f>
        <v/>
      </c>
      <c r="AA30" s="20">
        <f>+Z30</f>
        <v/>
      </c>
      <c r="AB30" s="20">
        <f>+AA30</f>
        <v/>
      </c>
      <c r="AC30" s="20">
        <f>+AB30</f>
        <v/>
      </c>
      <c r="AD30" s="20">
        <f>+AC30</f>
        <v/>
      </c>
      <c r="AE30" s="20">
        <f>+AD30</f>
        <v/>
      </c>
      <c r="AF30" s="20">
        <f>+AE30</f>
        <v/>
      </c>
      <c r="AG30" s="20">
        <f>+AF30</f>
        <v/>
      </c>
      <c r="AH30" s="20">
        <f>+AG30</f>
        <v/>
      </c>
      <c r="AI30" s="20">
        <f>+AH30</f>
        <v/>
      </c>
      <c r="AJ30" s="20">
        <f>+AI30</f>
        <v/>
      </c>
      <c r="AK30" s="20">
        <f>+AJ30</f>
        <v/>
      </c>
      <c r="AL30" s="20">
        <f>+AK30</f>
        <v/>
      </c>
      <c r="AM30" s="20">
        <f>+AL30</f>
        <v/>
      </c>
      <c r="AN30" s="20">
        <f>+AM30</f>
        <v/>
      </c>
      <c r="AO30" s="20">
        <f>+AN30</f>
        <v/>
      </c>
      <c r="AP30" s="20">
        <f>+AO30</f>
        <v/>
      </c>
      <c r="AQ30" s="20">
        <f>+AP30</f>
        <v/>
      </c>
      <c r="AR30" s="20">
        <f>+AQ30</f>
        <v/>
      </c>
      <c r="AS30" s="20">
        <f>+AR30</f>
        <v/>
      </c>
      <c r="AT30" s="20">
        <f>+AS30</f>
        <v/>
      </c>
      <c r="AU30" s="20">
        <f>+AT30</f>
        <v/>
      </c>
      <c r="AV30" s="20">
        <f>+AU30</f>
        <v/>
      </c>
      <c r="AW30" s="20">
        <f>+AV30</f>
        <v/>
      </c>
      <c r="AX30" s="20">
        <f>+AW30</f>
        <v/>
      </c>
      <c r="AY30" s="20">
        <f>+AX30</f>
        <v/>
      </c>
      <c r="AZ30" s="20">
        <f>+AY30</f>
        <v/>
      </c>
      <c r="BA30" s="20">
        <f>+AZ30</f>
        <v/>
      </c>
      <c r="BB30" s="20">
        <f>+BA30</f>
        <v/>
      </c>
      <c r="BC30" s="20">
        <f>+BB30</f>
        <v/>
      </c>
      <c r="BD30" s="20">
        <f>+BC30</f>
        <v/>
      </c>
      <c r="BE30" s="20">
        <f>+BD30</f>
        <v/>
      </c>
      <c r="BF30" s="20">
        <f>+BE30</f>
        <v/>
      </c>
      <c r="BG30" s="20">
        <f>+BF30</f>
        <v/>
      </c>
      <c r="BH30" s="20">
        <f>+BG30</f>
        <v/>
      </c>
      <c r="BI30" s="20">
        <f>+BH30</f>
        <v/>
      </c>
      <c r="BJ30" s="20">
        <f>+BI30</f>
        <v/>
      </c>
      <c r="BK30" s="20">
        <f>+BJ30</f>
        <v/>
      </c>
      <c r="BL30" s="20">
        <f>+BK30</f>
        <v/>
      </c>
      <c r="BM30" s="20">
        <f>+BL30</f>
        <v/>
      </c>
      <c r="BN30" s="20">
        <f>+BM30</f>
        <v/>
      </c>
      <c r="BO30" s="20">
        <f>+BN30</f>
        <v/>
      </c>
      <c r="BP30" s="20">
        <f>+BO30</f>
        <v/>
      </c>
      <c r="BQ30" s="20">
        <f>+BP30</f>
        <v/>
      </c>
      <c r="BR30" s="20">
        <f>+BQ30</f>
        <v/>
      </c>
      <c r="BS30" s="20">
        <f>+BR30</f>
        <v/>
      </c>
      <c r="BT30" s="20">
        <f>+BS30</f>
        <v/>
      </c>
      <c r="BU30" s="20">
        <f>+BT30</f>
        <v/>
      </c>
      <c r="BV30" s="20">
        <f>+BU30</f>
        <v/>
      </c>
      <c r="BW30" s="20">
        <f>+BV30</f>
        <v/>
      </c>
      <c r="BX30" s="20">
        <f>+BW30</f>
        <v/>
      </c>
      <c r="BY30" s="7" t="n"/>
      <c r="BZ30" s="343" t="n"/>
      <c r="CA30" s="341" t="inlineStr">
        <is>
          <t>Current Portion of Long Term Debt</t>
        </is>
      </c>
      <c r="CB30" s="307" t="n"/>
      <c r="CC30" s="307" t="n"/>
      <c r="CD30" s="2015">
        <f>SUM(E30:P30)</f>
        <v/>
      </c>
      <c r="CE30" s="2014">
        <f>SUM(Q30:AB30)</f>
        <v/>
      </c>
      <c r="CF30" s="2014">
        <f>SUM(AC30:AN30)</f>
        <v/>
      </c>
      <c r="CG30" s="2014">
        <f>SUM(AO30:AZ30)</f>
        <v/>
      </c>
      <c r="CH30" s="2014">
        <f>SUM(BA30:BL30)</f>
        <v/>
      </c>
      <c r="CI30" s="2014">
        <f>SUM(BM30:BX30)</f>
        <v/>
      </c>
    </row>
    <row r="31" ht="12.75" customHeight="1" s="1883">
      <c r="A31" s="12" t="n"/>
      <c r="B31" s="342" t="inlineStr">
        <is>
          <t>Total Current Liabilities</t>
        </is>
      </c>
      <c r="C31" s="342" t="n"/>
      <c r="D31" s="342" t="n"/>
      <c r="E31" s="20">
        <f>SUM(E27:E30)</f>
        <v/>
      </c>
      <c r="F31" s="20">
        <f>SUM(F27:F30)</f>
        <v/>
      </c>
      <c r="G31" s="20">
        <f>SUM(G27:G30)</f>
        <v/>
      </c>
      <c r="H31" s="20">
        <f>SUM(H27:H30)</f>
        <v/>
      </c>
      <c r="I31" s="20">
        <f>SUM(I27:I30)</f>
        <v/>
      </c>
      <c r="J31" s="20">
        <f>SUM(J27:J30)</f>
        <v/>
      </c>
      <c r="K31" s="1359">
        <f>SUM(K27:K30)</f>
        <v/>
      </c>
      <c r="L31" s="1359">
        <f>SUM(L27:L30)</f>
        <v/>
      </c>
      <c r="M31" s="1359">
        <f>SUM(M27:M30)</f>
        <v/>
      </c>
      <c r="N31" s="1359">
        <f>SUM(N27:N30)</f>
        <v/>
      </c>
      <c r="O31" s="1359">
        <f>SUM(O27:O30)</f>
        <v/>
      </c>
      <c r="P31" s="1359">
        <f>SUM(P27:P30)</f>
        <v/>
      </c>
      <c r="Q31" s="1359">
        <f>SUM(Q27:Q30)</f>
        <v/>
      </c>
      <c r="R31" s="1359">
        <f>SUM(R27:R30)</f>
        <v/>
      </c>
      <c r="S31" s="1359">
        <f>SUM(S27:S30)</f>
        <v/>
      </c>
      <c r="T31" s="1359">
        <f>SUM(T27:T30)</f>
        <v/>
      </c>
      <c r="U31" s="1359">
        <f>SUM(U27:U30)</f>
        <v/>
      </c>
      <c r="V31" s="1359">
        <f>SUM(V27:V30)</f>
        <v/>
      </c>
      <c r="W31" s="1359">
        <f>SUM(W27:W30)</f>
        <v/>
      </c>
      <c r="X31" s="1359">
        <f>SUM(X27:X30)</f>
        <v/>
      </c>
      <c r="Y31" s="1359">
        <f>SUM(Y27:Y30)</f>
        <v/>
      </c>
      <c r="Z31" s="1359">
        <f>SUM(Z27:Z30)</f>
        <v/>
      </c>
      <c r="AA31" s="1359">
        <f>SUM(AA27:AA30)</f>
        <v/>
      </c>
      <c r="AB31" s="1359">
        <f>SUM(AB27:AB30)</f>
        <v/>
      </c>
      <c r="AC31" s="1359">
        <f>SUM(AC27:AC30)</f>
        <v/>
      </c>
      <c r="AD31" s="1359">
        <f>SUM(AD27:AD30)</f>
        <v/>
      </c>
      <c r="AE31" s="1359">
        <f>SUM(AE27:AE30)</f>
        <v/>
      </c>
      <c r="AF31" s="1359">
        <f>SUM(AF27:AF30)</f>
        <v/>
      </c>
      <c r="AG31" s="1359">
        <f>SUM(AG27:AG30)</f>
        <v/>
      </c>
      <c r="AH31" s="1359">
        <f>SUM(AH27:AH30)</f>
        <v/>
      </c>
      <c r="AI31" s="1359">
        <f>SUM(AI27:AI30)</f>
        <v/>
      </c>
      <c r="AJ31" s="1359">
        <f>SUM(AJ27:AJ30)</f>
        <v/>
      </c>
      <c r="AK31" s="1359">
        <f>SUM(AK27:AK30)</f>
        <v/>
      </c>
      <c r="AL31" s="1359">
        <f>SUM(AL27:AL30)</f>
        <v/>
      </c>
      <c r="AM31" s="1359">
        <f>SUM(AM27:AM30)</f>
        <v/>
      </c>
      <c r="AN31" s="1359">
        <f>SUM(AN27:AN30)</f>
        <v/>
      </c>
      <c r="AO31" s="1359">
        <f>SUM(AO27:AO30)</f>
        <v/>
      </c>
      <c r="AP31" s="1359">
        <f>SUM(AP27:AP30)</f>
        <v/>
      </c>
      <c r="AQ31" s="1359">
        <f>SUM(AQ27:AQ30)</f>
        <v/>
      </c>
      <c r="AR31" s="1359">
        <f>SUM(AR27:AR30)</f>
        <v/>
      </c>
      <c r="AS31" s="1359">
        <f>SUM(AS27:AS30)</f>
        <v/>
      </c>
      <c r="AT31" s="1359">
        <f>SUM(AT27:AT30)</f>
        <v/>
      </c>
      <c r="AU31" s="1359">
        <f>SUM(AU27:AU30)</f>
        <v/>
      </c>
      <c r="AV31" s="1359">
        <f>SUM(AV27:AV30)</f>
        <v/>
      </c>
      <c r="AW31" s="1359">
        <f>SUM(AW27:AW30)</f>
        <v/>
      </c>
      <c r="AX31" s="1359">
        <f>SUM(AX27:AX30)</f>
        <v/>
      </c>
      <c r="AY31" s="1359">
        <f>SUM(AY27:AY30)</f>
        <v/>
      </c>
      <c r="AZ31" s="1359">
        <f>SUM(AZ27:AZ30)</f>
        <v/>
      </c>
      <c r="BA31" s="1359">
        <f>SUM(BA27:BA30)</f>
        <v/>
      </c>
      <c r="BB31" s="1359">
        <f>SUM(BB27:BB30)</f>
        <v/>
      </c>
      <c r="BC31" s="1359">
        <f>SUM(BC27:BC30)</f>
        <v/>
      </c>
      <c r="BD31" s="1359">
        <f>SUM(BD27:BD30)</f>
        <v/>
      </c>
      <c r="BE31" s="1359">
        <f>SUM(BE27:BE30)</f>
        <v/>
      </c>
      <c r="BF31" s="1359">
        <f>SUM(BF27:BF30)</f>
        <v/>
      </c>
      <c r="BG31" s="1359">
        <f>SUM(BG27:BG30)</f>
        <v/>
      </c>
      <c r="BH31" s="1359">
        <f>SUM(BH27:BH30)</f>
        <v/>
      </c>
      <c r="BI31" s="1359">
        <f>SUM(BI27:BI30)</f>
        <v/>
      </c>
      <c r="BJ31" s="1359">
        <f>SUM(BJ27:BJ30)</f>
        <v/>
      </c>
      <c r="BK31" s="1359">
        <f>SUM(BK27:BK30)</f>
        <v/>
      </c>
      <c r="BL31" s="1359">
        <f>SUM(BL27:BL30)</f>
        <v/>
      </c>
      <c r="BM31" s="1359">
        <f>SUM(BM27:BM30)</f>
        <v/>
      </c>
      <c r="BN31" s="1359">
        <f>SUM(BN27:BN30)</f>
        <v/>
      </c>
      <c r="BO31" s="1359">
        <f>SUM(BO27:BO30)</f>
        <v/>
      </c>
      <c r="BP31" s="1359">
        <f>SUM(BP27:BP30)</f>
        <v/>
      </c>
      <c r="BQ31" s="1359">
        <f>SUM(BQ27:BQ30)</f>
        <v/>
      </c>
      <c r="BR31" s="1359">
        <f>SUM(BR27:BR30)</f>
        <v/>
      </c>
      <c r="BS31" s="1359">
        <f>SUM(BS27:BS30)</f>
        <v/>
      </c>
      <c r="BT31" s="1359">
        <f>SUM(BT27:BT30)</f>
        <v/>
      </c>
      <c r="BU31" s="1359">
        <f>SUM(BU27:BU30)</f>
        <v/>
      </c>
      <c r="BV31" s="1359">
        <f>SUM(BV27:BV30)</f>
        <v/>
      </c>
      <c r="BW31" s="1359">
        <f>SUM(BW27:BW30)</f>
        <v/>
      </c>
      <c r="BX31" s="1359">
        <f>SUM(BX27:BX30)</f>
        <v/>
      </c>
      <c r="BY31" s="7" t="n"/>
      <c r="BZ31" s="343" t="inlineStr">
        <is>
          <t>Total Current Liabilities</t>
        </is>
      </c>
      <c r="CA31" s="343" t="n"/>
      <c r="CB31" s="307" t="n"/>
      <c r="CC31" s="307" t="n"/>
      <c r="CD31" s="2016">
        <f>SUM(E31:P31)</f>
        <v/>
      </c>
      <c r="CE31" s="2017">
        <f>SUM(Q31:AB31)</f>
        <v/>
      </c>
      <c r="CF31" s="2017">
        <f>SUM(AC31:AN31)</f>
        <v/>
      </c>
      <c r="CG31" s="2017">
        <f>SUM(AO31:AZ31)</f>
        <v/>
      </c>
      <c r="CH31" s="2017">
        <f>SUM(BA31:BL31)</f>
        <v/>
      </c>
      <c r="CI31" s="2017">
        <f>SUM(BM31:BX31)</f>
        <v/>
      </c>
    </row>
    <row r="32" ht="12.75" customHeight="1" s="1883">
      <c r="A32" s="12" t="n"/>
      <c r="B32" s="342" t="n"/>
      <c r="C32" s="339" t="inlineStr">
        <is>
          <t>Long-Term Debt, net of Current</t>
        </is>
      </c>
      <c r="D32" s="339" t="n"/>
      <c r="E32" s="20" t="n">
        <v>0</v>
      </c>
      <c r="F32" s="20">
        <f>+E32</f>
        <v/>
      </c>
      <c r="G32" s="20">
        <f>+F32</f>
        <v/>
      </c>
      <c r="H32" s="20">
        <f>+G32</f>
        <v/>
      </c>
      <c r="I32" s="20">
        <f>+H32</f>
        <v/>
      </c>
      <c r="J32" s="20">
        <f>+I32</f>
        <v/>
      </c>
      <c r="K32" s="20" t="n">
        <v>0</v>
      </c>
      <c r="L32" s="20">
        <f>+K32</f>
        <v/>
      </c>
      <c r="M32" s="20">
        <f>+L32</f>
        <v/>
      </c>
      <c r="N32" s="20">
        <f>+M32</f>
        <v/>
      </c>
      <c r="O32" s="20">
        <f>+N32</f>
        <v/>
      </c>
      <c r="P32" s="20">
        <f>+O32</f>
        <v/>
      </c>
      <c r="Q32" s="20">
        <f>+P32</f>
        <v/>
      </c>
      <c r="R32" s="20">
        <f>+Q32</f>
        <v/>
      </c>
      <c r="S32" s="20">
        <f>+R32</f>
        <v/>
      </c>
      <c r="T32" s="20">
        <f>+S32</f>
        <v/>
      </c>
      <c r="U32" s="20">
        <f>+T32</f>
        <v/>
      </c>
      <c r="V32" s="20">
        <f>+U32</f>
        <v/>
      </c>
      <c r="W32" s="20">
        <f>+V32</f>
        <v/>
      </c>
      <c r="X32" s="20">
        <f>+W32</f>
        <v/>
      </c>
      <c r="Y32" s="20">
        <f>+X32</f>
        <v/>
      </c>
      <c r="Z32" s="20">
        <f>+Y32</f>
        <v/>
      </c>
      <c r="AA32" s="20">
        <f>+Z32</f>
        <v/>
      </c>
      <c r="AB32" s="20">
        <f>+AA32</f>
        <v/>
      </c>
      <c r="AC32" s="20">
        <f>+AB32</f>
        <v/>
      </c>
      <c r="AD32" s="20">
        <f>+AC32</f>
        <v/>
      </c>
      <c r="AE32" s="20">
        <f>+AD32</f>
        <v/>
      </c>
      <c r="AF32" s="20">
        <f>+AE32</f>
        <v/>
      </c>
      <c r="AG32" s="20">
        <f>+AF32</f>
        <v/>
      </c>
      <c r="AH32" s="20">
        <f>+AG32</f>
        <v/>
      </c>
      <c r="AI32" s="20">
        <f>+AH32</f>
        <v/>
      </c>
      <c r="AJ32" s="20">
        <f>+AI32</f>
        <v/>
      </c>
      <c r="AK32" s="20">
        <f>+AJ32</f>
        <v/>
      </c>
      <c r="AL32" s="20">
        <f>+AK32</f>
        <v/>
      </c>
      <c r="AM32" s="20">
        <f>+AL32</f>
        <v/>
      </c>
      <c r="AN32" s="20">
        <f>+AM32</f>
        <v/>
      </c>
      <c r="AO32" s="20">
        <f>+AN32</f>
        <v/>
      </c>
      <c r="AP32" s="20">
        <f>+AO32</f>
        <v/>
      </c>
      <c r="AQ32" s="20">
        <f>+AP32</f>
        <v/>
      </c>
      <c r="AR32" s="20">
        <f>+AQ32</f>
        <v/>
      </c>
      <c r="AS32" s="20">
        <f>+AR32</f>
        <v/>
      </c>
      <c r="AT32" s="20">
        <f>+AS32</f>
        <v/>
      </c>
      <c r="AU32" s="20">
        <f>+AT32</f>
        <v/>
      </c>
      <c r="AV32" s="20">
        <f>+AU32</f>
        <v/>
      </c>
      <c r="AW32" s="20">
        <f>+AV32</f>
        <v/>
      </c>
      <c r="AX32" s="20">
        <f>+AW32</f>
        <v/>
      </c>
      <c r="AY32" s="20">
        <f>+AX32</f>
        <v/>
      </c>
      <c r="AZ32" s="20">
        <f>+AY32</f>
        <v/>
      </c>
      <c r="BA32" s="20">
        <f>+AZ32</f>
        <v/>
      </c>
      <c r="BB32" s="20">
        <f>+BA32</f>
        <v/>
      </c>
      <c r="BC32" s="20">
        <f>+BB32</f>
        <v/>
      </c>
      <c r="BD32" s="20">
        <f>+BC32</f>
        <v/>
      </c>
      <c r="BE32" s="20">
        <f>+BD32</f>
        <v/>
      </c>
      <c r="BF32" s="20">
        <f>+BE32</f>
        <v/>
      </c>
      <c r="BG32" s="20">
        <f>+BF32</f>
        <v/>
      </c>
      <c r="BH32" s="20">
        <f>+BG32</f>
        <v/>
      </c>
      <c r="BI32" s="20">
        <f>+BH32</f>
        <v/>
      </c>
      <c r="BJ32" s="20">
        <f>+BI32</f>
        <v/>
      </c>
      <c r="BK32" s="20">
        <f>+BJ32</f>
        <v/>
      </c>
      <c r="BL32" s="20">
        <f>+BK32</f>
        <v/>
      </c>
      <c r="BM32" s="20">
        <f>+BL32</f>
        <v/>
      </c>
      <c r="BN32" s="20">
        <f>+BM32</f>
        <v/>
      </c>
      <c r="BO32" s="20">
        <f>+BN32</f>
        <v/>
      </c>
      <c r="BP32" s="20">
        <f>+BO32</f>
        <v/>
      </c>
      <c r="BQ32" s="20">
        <f>+BP32</f>
        <v/>
      </c>
      <c r="BR32" s="20">
        <f>+BQ32</f>
        <v/>
      </c>
      <c r="BS32" s="20">
        <f>+BR32</f>
        <v/>
      </c>
      <c r="BT32" s="20">
        <f>+BS32</f>
        <v/>
      </c>
      <c r="BU32" s="20">
        <f>+BT32</f>
        <v/>
      </c>
      <c r="BV32" s="20">
        <f>+BU32</f>
        <v/>
      </c>
      <c r="BW32" s="20">
        <f>+BV32</f>
        <v/>
      </c>
      <c r="BX32" s="20">
        <f>+BW32</f>
        <v/>
      </c>
      <c r="BY32" s="25" t="n"/>
      <c r="BZ32" s="343" t="n"/>
      <c r="CA32" s="341" t="inlineStr">
        <is>
          <t>Long-Term Debt, net of Current</t>
        </is>
      </c>
      <c r="CB32" s="307" t="n"/>
      <c r="CC32" s="307" t="n"/>
      <c r="CD32" s="2015">
        <f>SUM(E32:P32)</f>
        <v/>
      </c>
      <c r="CE32" s="2014">
        <f>SUM(Q32:AB32)</f>
        <v/>
      </c>
      <c r="CF32" s="2014">
        <f>SUM(R32:AC32)</f>
        <v/>
      </c>
      <c r="CG32" s="2014">
        <f>SUM(AO32:AZ32)</f>
        <v/>
      </c>
      <c r="CH32" s="2014">
        <f>SUM(BA32:BL32)</f>
        <v/>
      </c>
      <c r="CI32" s="2014">
        <f>SUM(BM32:BX32)</f>
        <v/>
      </c>
    </row>
    <row r="33" ht="12.75" customHeight="1" s="1883">
      <c r="A33" s="12" t="n"/>
      <c r="B33" s="342" t="n"/>
      <c r="C33" s="339" t="inlineStr">
        <is>
          <t>Convertible Debenture</t>
        </is>
      </c>
      <c r="D33" s="342" t="n"/>
      <c r="E33" s="1372">
        <f>+'6B. Pre-Launch Exps. - Detail'!L233</f>
        <v/>
      </c>
      <c r="F33" s="1372">
        <f>+'6B. Pre-Launch Exps. - Detail'!M233</f>
        <v/>
      </c>
      <c r="G33" s="1372">
        <f>+'6B. Pre-Launch Exps. - Detail'!N233</f>
        <v/>
      </c>
      <c r="H33" s="1372">
        <f>+'6B. Pre-Launch Exps. - Detail'!O233</f>
        <v/>
      </c>
      <c r="I33" s="1372">
        <f>+'6B. Pre-Launch Exps. - Detail'!P233</f>
        <v/>
      </c>
      <c r="J33" s="1372">
        <f>+'6B. Pre-Launch Exps. - Detail'!Q233</f>
        <v/>
      </c>
      <c r="K33" s="20">
        <f>+'6B. Pre-Launch Exps. - Detail'!L233</f>
        <v/>
      </c>
      <c r="L33" s="20">
        <f>+'6B. Pre-Launch Exps. - Detail'!M233</f>
        <v/>
      </c>
      <c r="M33" s="20">
        <f>+'6B. Pre-Launch Exps. - Detail'!N233</f>
        <v/>
      </c>
      <c r="N33" s="20">
        <f>+'6B. Pre-Launch Exps. - Detail'!O233</f>
        <v/>
      </c>
      <c r="O33" s="20">
        <f>+'6B. Pre-Launch Exps. - Detail'!P233</f>
        <v/>
      </c>
      <c r="P33" s="20">
        <f>+'6B. Pre-Launch Exps. - Detail'!Q233</f>
        <v/>
      </c>
      <c r="Q33" s="20">
        <f>+'4B. Tel. Expense Assumptions'!G452</f>
        <v/>
      </c>
      <c r="R33" s="20">
        <f>+'4B. Tel. Expense Assumptions'!H452</f>
        <v/>
      </c>
      <c r="S33" s="20">
        <f>+'4B. Tel. Expense Assumptions'!I452</f>
        <v/>
      </c>
      <c r="T33" s="20">
        <f>+'4B. Tel. Expense Assumptions'!J452</f>
        <v/>
      </c>
      <c r="U33" s="20">
        <f>+'4B. Tel. Expense Assumptions'!K452</f>
        <v/>
      </c>
      <c r="V33" s="20">
        <f>+'4B. Tel. Expense Assumptions'!L452</f>
        <v/>
      </c>
      <c r="W33" s="20">
        <f>+'4B. Tel. Expense Assumptions'!M452</f>
        <v/>
      </c>
      <c r="X33" s="20">
        <f>+'4B. Tel. Expense Assumptions'!N452</f>
        <v/>
      </c>
      <c r="Y33" s="20">
        <f>+'4B. Tel. Expense Assumptions'!O452</f>
        <v/>
      </c>
      <c r="Z33" s="20">
        <f>+'4B. Tel. Expense Assumptions'!P452</f>
        <v/>
      </c>
      <c r="AA33" s="20">
        <f>+'4B. Tel. Expense Assumptions'!Q452</f>
        <v/>
      </c>
      <c r="AB33" s="20">
        <f>+'4B. Tel. Expense Assumptions'!R452</f>
        <v/>
      </c>
      <c r="AC33" s="20">
        <f>+'4B. Tel. Expense Assumptions'!S452</f>
        <v/>
      </c>
      <c r="AD33" s="20">
        <f>+'4B. Tel. Expense Assumptions'!T452</f>
        <v/>
      </c>
      <c r="AE33" s="20">
        <f>+'4B. Tel. Expense Assumptions'!U452</f>
        <v/>
      </c>
      <c r="AF33" s="20">
        <f>+'4B. Tel. Expense Assumptions'!V452</f>
        <v/>
      </c>
      <c r="AG33" s="20">
        <f>+'4B. Tel. Expense Assumptions'!W452</f>
        <v/>
      </c>
      <c r="AH33" s="20">
        <f>+'4B. Tel. Expense Assumptions'!X452</f>
        <v/>
      </c>
      <c r="AI33" s="20">
        <f>+'4B. Tel. Expense Assumptions'!Y452</f>
        <v/>
      </c>
      <c r="AJ33" s="20">
        <f>+'4B. Tel. Expense Assumptions'!Z452</f>
        <v/>
      </c>
      <c r="AK33" s="20">
        <f>+'4B. Tel. Expense Assumptions'!AA452</f>
        <v/>
      </c>
      <c r="AL33" s="20">
        <f>+'4B. Tel. Expense Assumptions'!AB452</f>
        <v/>
      </c>
      <c r="AM33" s="20">
        <f>+'4B. Tel. Expense Assumptions'!AC452</f>
        <v/>
      </c>
      <c r="AN33" s="20">
        <f>+'4B. Tel. Expense Assumptions'!AD452</f>
        <v/>
      </c>
      <c r="AO33" s="20">
        <f>+'4B. Tel. Expense Assumptions'!AE452</f>
        <v/>
      </c>
      <c r="AP33" s="20">
        <f>+'4B. Tel. Expense Assumptions'!AF452</f>
        <v/>
      </c>
      <c r="AQ33" s="20">
        <f>+'4B. Tel. Expense Assumptions'!AG452</f>
        <v/>
      </c>
      <c r="AR33" s="20">
        <f>+'4B. Tel. Expense Assumptions'!AH452</f>
        <v/>
      </c>
      <c r="AS33" s="20">
        <f>+'4B. Tel. Expense Assumptions'!AI452</f>
        <v/>
      </c>
      <c r="AT33" s="20">
        <f>+'4B. Tel. Expense Assumptions'!AJ452</f>
        <v/>
      </c>
      <c r="AU33" s="20">
        <f>+'4B. Tel. Expense Assumptions'!AK452</f>
        <v/>
      </c>
      <c r="AV33" s="20">
        <f>+'4B. Tel. Expense Assumptions'!AL452</f>
        <v/>
      </c>
      <c r="AW33" s="20">
        <f>+'4B. Tel. Expense Assumptions'!AM452</f>
        <v/>
      </c>
      <c r="AX33" s="20">
        <f>+'4B. Tel. Expense Assumptions'!AN452</f>
        <v/>
      </c>
      <c r="AY33" s="20">
        <f>+'4B. Tel. Expense Assumptions'!AO452</f>
        <v/>
      </c>
      <c r="AZ33" s="20">
        <f>+'4B. Tel. Expense Assumptions'!AP452</f>
        <v/>
      </c>
      <c r="BA33" s="20">
        <f>+'4B. Tel. Expense Assumptions'!AQ452</f>
        <v/>
      </c>
      <c r="BB33" s="20">
        <f>+'4B. Tel. Expense Assumptions'!AR452</f>
        <v/>
      </c>
      <c r="BC33" s="20">
        <f>+'4B. Tel. Expense Assumptions'!AS452</f>
        <v/>
      </c>
      <c r="BD33" s="20">
        <f>+'4B. Tel. Expense Assumptions'!AT452</f>
        <v/>
      </c>
      <c r="BE33" s="20">
        <f>+'4B. Tel. Expense Assumptions'!AU452</f>
        <v/>
      </c>
      <c r="BF33" s="20">
        <f>+'4B. Tel. Expense Assumptions'!AV452</f>
        <v/>
      </c>
      <c r="BG33" s="20">
        <f>+'4B. Tel. Expense Assumptions'!AW452</f>
        <v/>
      </c>
      <c r="BH33" s="20">
        <f>+'4B. Tel. Expense Assumptions'!AX452</f>
        <v/>
      </c>
      <c r="BI33" s="20">
        <f>+'4B. Tel. Expense Assumptions'!AY452</f>
        <v/>
      </c>
      <c r="BJ33" s="20">
        <f>+'4B. Tel. Expense Assumptions'!AZ452</f>
        <v/>
      </c>
      <c r="BK33" s="20">
        <f>+'4B. Tel. Expense Assumptions'!BA452</f>
        <v/>
      </c>
      <c r="BL33" s="20">
        <f>+'4B. Tel. Expense Assumptions'!BB452</f>
        <v/>
      </c>
      <c r="BM33" s="20">
        <f>+'4B. Tel. Expense Assumptions'!BC452</f>
        <v/>
      </c>
      <c r="BN33" s="20">
        <f>+'4B. Tel. Expense Assumptions'!BD452</f>
        <v/>
      </c>
      <c r="BO33" s="20">
        <f>+'4B. Tel. Expense Assumptions'!BE452</f>
        <v/>
      </c>
      <c r="BP33" s="20">
        <f>+'4B. Tel. Expense Assumptions'!BF452</f>
        <v/>
      </c>
      <c r="BQ33" s="20">
        <f>+'4B. Tel. Expense Assumptions'!BG452</f>
        <v/>
      </c>
      <c r="BR33" s="20">
        <f>+'4B. Tel. Expense Assumptions'!BH452</f>
        <v/>
      </c>
      <c r="BS33" s="20">
        <f>+'4B. Tel. Expense Assumptions'!BI452</f>
        <v/>
      </c>
      <c r="BT33" s="20">
        <f>+'4B. Tel. Expense Assumptions'!BJ452</f>
        <v/>
      </c>
      <c r="BU33" s="20">
        <f>+'4B. Tel. Expense Assumptions'!BK452</f>
        <v/>
      </c>
      <c r="BV33" s="20">
        <f>+'4B. Tel. Expense Assumptions'!BL452</f>
        <v/>
      </c>
      <c r="BW33" s="20">
        <f>+'4B. Tel. Expense Assumptions'!BM452</f>
        <v/>
      </c>
      <c r="BX33" s="20">
        <f>+'4B. Tel. Expense Assumptions'!BN452</f>
        <v/>
      </c>
      <c r="BY33" s="7" t="n"/>
      <c r="BZ33" s="343" t="n"/>
      <c r="CA33" s="341" t="inlineStr">
        <is>
          <t>Convertible Debenture</t>
        </is>
      </c>
      <c r="CB33" s="307" t="n"/>
      <c r="CC33" s="307" t="n"/>
      <c r="CD33" s="2015">
        <f>SUM(E33:P33)</f>
        <v/>
      </c>
      <c r="CE33" s="2014">
        <f>SUM(Q33:AB33)</f>
        <v/>
      </c>
      <c r="CF33" s="2014">
        <f>SUM(R33:AC33)</f>
        <v/>
      </c>
      <c r="CG33" s="2014">
        <f>SUM(AO33:AZ33)</f>
        <v/>
      </c>
      <c r="CH33" s="2014">
        <f>SUM(BA33:BL33)</f>
        <v/>
      </c>
      <c r="CI33" s="2014">
        <f>SUM(BM33:BX33)</f>
        <v/>
      </c>
    </row>
    <row r="34" ht="12.75" customHeight="1" s="1883">
      <c r="A34" s="12" t="n"/>
      <c r="B34" s="342" t="inlineStr">
        <is>
          <t>Total Liabilities</t>
        </is>
      </c>
      <c r="C34" s="342" t="n"/>
      <c r="D34" s="342" t="n"/>
      <c r="E34" s="20">
        <f>SUM(E31:E33)</f>
        <v/>
      </c>
      <c r="F34" s="20">
        <f>SUM(F31:F33)</f>
        <v/>
      </c>
      <c r="G34" s="20">
        <f>SUM(G31:G33)</f>
        <v/>
      </c>
      <c r="H34" s="20">
        <f>SUM(H31:H33)</f>
        <v/>
      </c>
      <c r="I34" s="20">
        <f>SUM(I31:I33)</f>
        <v/>
      </c>
      <c r="J34" s="20">
        <f>SUM(J31:J33)</f>
        <v/>
      </c>
      <c r="K34" s="1359">
        <f>SUM(K31:K33)</f>
        <v/>
      </c>
      <c r="L34" s="1359">
        <f>SUM(L31:L33)</f>
        <v/>
      </c>
      <c r="M34" s="1359">
        <f>SUM(M31:M33)</f>
        <v/>
      </c>
      <c r="N34" s="1359">
        <f>SUM(N31:N33)</f>
        <v/>
      </c>
      <c r="O34" s="1359">
        <f>SUM(O31:O33)</f>
        <v/>
      </c>
      <c r="P34" s="1359">
        <f>SUM(P31:P33)</f>
        <v/>
      </c>
      <c r="Q34" s="1359">
        <f>SUM(Q31:Q33)</f>
        <v/>
      </c>
      <c r="R34" s="1359">
        <f>SUM(R31:R33)</f>
        <v/>
      </c>
      <c r="S34" s="1359">
        <f>SUM(S31:S33)</f>
        <v/>
      </c>
      <c r="T34" s="1359">
        <f>SUM(T31:T33)</f>
        <v/>
      </c>
      <c r="U34" s="1359">
        <f>SUM(U31:U33)</f>
        <v/>
      </c>
      <c r="V34" s="1359">
        <f>SUM(V31:V33)</f>
        <v/>
      </c>
      <c r="W34" s="1359">
        <f>SUM(W31:W33)</f>
        <v/>
      </c>
      <c r="X34" s="1359">
        <f>SUM(X31:X33)</f>
        <v/>
      </c>
      <c r="Y34" s="1359">
        <f>SUM(Y31:Y33)</f>
        <v/>
      </c>
      <c r="Z34" s="1359">
        <f>SUM(Z31:Z33)</f>
        <v/>
      </c>
      <c r="AA34" s="1359">
        <f>SUM(AA31:AA33)</f>
        <v/>
      </c>
      <c r="AB34" s="1359">
        <f>SUM(AB31:AB33)</f>
        <v/>
      </c>
      <c r="AC34" s="1359">
        <f>SUM(AC31:AC33)</f>
        <v/>
      </c>
      <c r="AD34" s="1359">
        <f>SUM(AD31:AD33)</f>
        <v/>
      </c>
      <c r="AE34" s="1359">
        <f>SUM(AE31:AE33)</f>
        <v/>
      </c>
      <c r="AF34" s="1359">
        <f>SUM(AF31:AF33)</f>
        <v/>
      </c>
      <c r="AG34" s="1359">
        <f>SUM(AG31:AG33)</f>
        <v/>
      </c>
      <c r="AH34" s="1359">
        <f>SUM(AH31:AH33)</f>
        <v/>
      </c>
      <c r="AI34" s="1359">
        <f>SUM(AI31:AI33)</f>
        <v/>
      </c>
      <c r="AJ34" s="1359">
        <f>SUM(AJ31:AJ33)</f>
        <v/>
      </c>
      <c r="AK34" s="1359">
        <f>SUM(AK31:AK33)</f>
        <v/>
      </c>
      <c r="AL34" s="1359">
        <f>SUM(AL31:AL33)</f>
        <v/>
      </c>
      <c r="AM34" s="1359">
        <f>SUM(AM31:AM33)</f>
        <v/>
      </c>
      <c r="AN34" s="1359">
        <f>SUM(AN31:AN33)</f>
        <v/>
      </c>
      <c r="AO34" s="1359">
        <f>SUM(AO31:AO33)</f>
        <v/>
      </c>
      <c r="AP34" s="1359">
        <f>SUM(AP31:AP33)</f>
        <v/>
      </c>
      <c r="AQ34" s="1359">
        <f>SUM(AQ31:AQ33)</f>
        <v/>
      </c>
      <c r="AR34" s="1359">
        <f>SUM(AR31:AR33)</f>
        <v/>
      </c>
      <c r="AS34" s="1359">
        <f>SUM(AS31:AS33)</f>
        <v/>
      </c>
      <c r="AT34" s="1359">
        <f>SUM(AT31:AT33)</f>
        <v/>
      </c>
      <c r="AU34" s="1359">
        <f>SUM(AU31:AU33)</f>
        <v/>
      </c>
      <c r="AV34" s="1359">
        <f>SUM(AV31:AV33)</f>
        <v/>
      </c>
      <c r="AW34" s="1359">
        <f>SUM(AW31:AW33)</f>
        <v/>
      </c>
      <c r="AX34" s="1359">
        <f>SUM(AX31:AX33)</f>
        <v/>
      </c>
      <c r="AY34" s="1359">
        <f>SUM(AY31:AY33)</f>
        <v/>
      </c>
      <c r="AZ34" s="1359">
        <f>SUM(AZ31:AZ33)</f>
        <v/>
      </c>
      <c r="BA34" s="1359">
        <f>SUM(BA31:BA33)</f>
        <v/>
      </c>
      <c r="BB34" s="1359">
        <f>SUM(BB31:BB33)</f>
        <v/>
      </c>
      <c r="BC34" s="1359">
        <f>SUM(BC31:BC33)</f>
        <v/>
      </c>
      <c r="BD34" s="1359">
        <f>SUM(BD31:BD33)</f>
        <v/>
      </c>
      <c r="BE34" s="1359">
        <f>SUM(BE31:BE33)</f>
        <v/>
      </c>
      <c r="BF34" s="1359">
        <f>SUM(BF31:BF33)</f>
        <v/>
      </c>
      <c r="BG34" s="1359">
        <f>SUM(BG31:BG33)</f>
        <v/>
      </c>
      <c r="BH34" s="1359">
        <f>SUM(BH31:BH33)</f>
        <v/>
      </c>
      <c r="BI34" s="1359">
        <f>SUM(BI31:BI33)</f>
        <v/>
      </c>
      <c r="BJ34" s="1359">
        <f>SUM(BJ31:BJ33)</f>
        <v/>
      </c>
      <c r="BK34" s="1359">
        <f>SUM(BK31:BK33)</f>
        <v/>
      </c>
      <c r="BL34" s="1359">
        <f>SUM(BL31:BL33)</f>
        <v/>
      </c>
      <c r="BM34" s="1359">
        <f>SUM(BM31:BM33)</f>
        <v/>
      </c>
      <c r="BN34" s="1359">
        <f>SUM(BN31:BN33)</f>
        <v/>
      </c>
      <c r="BO34" s="1359">
        <f>SUM(BO31:BO33)</f>
        <v/>
      </c>
      <c r="BP34" s="1359">
        <f>SUM(BP31:BP33)</f>
        <v/>
      </c>
      <c r="BQ34" s="1359">
        <f>SUM(BQ31:BQ33)</f>
        <v/>
      </c>
      <c r="BR34" s="1359">
        <f>SUM(BR31:BR33)</f>
        <v/>
      </c>
      <c r="BS34" s="1359">
        <f>SUM(BS31:BS33)</f>
        <v/>
      </c>
      <c r="BT34" s="1359">
        <f>SUM(BT31:BT33)</f>
        <v/>
      </c>
      <c r="BU34" s="1359">
        <f>SUM(BU31:BU33)</f>
        <v/>
      </c>
      <c r="BV34" s="1359">
        <f>SUM(BV31:BV33)</f>
        <v/>
      </c>
      <c r="BW34" s="1359">
        <f>SUM(BW31:BW33)</f>
        <v/>
      </c>
      <c r="BX34" s="1359">
        <f>SUM(BX31:BX33)</f>
        <v/>
      </c>
      <c r="BY34" s="25" t="n"/>
      <c r="BZ34" s="343" t="inlineStr">
        <is>
          <t>Total Liabilities</t>
        </is>
      </c>
      <c r="CA34" s="343" t="n"/>
      <c r="CB34" s="304" t="n"/>
      <c r="CC34" s="304" t="n"/>
      <c r="CD34" s="2016">
        <f>SUM(E34:P34)</f>
        <v/>
      </c>
      <c r="CE34" s="2017">
        <f>SUM(Q34:AB34)</f>
        <v/>
      </c>
      <c r="CF34" s="2017">
        <f>SUM(AC34:AN34)</f>
        <v/>
      </c>
      <c r="CG34" s="2017">
        <f>SUM(AO34:AZ34)</f>
        <v/>
      </c>
      <c r="CH34" s="2017">
        <f>SUM(BA34:BL34)</f>
        <v/>
      </c>
      <c r="CI34" s="2017">
        <f>SUM(BM34:BX34)</f>
        <v/>
      </c>
    </row>
    <row r="35" ht="12.75" customHeight="1" s="1883">
      <c r="A35" s="12" t="n"/>
      <c r="B35" s="342" t="inlineStr">
        <is>
          <t>Shareholder's Equity</t>
        </is>
      </c>
      <c r="C35" s="342" t="n"/>
      <c r="D35" s="342" t="n"/>
      <c r="E35" s="20" t="n"/>
      <c r="F35" s="20" t="n"/>
      <c r="G35" s="20" t="n"/>
      <c r="H35" s="20" t="n"/>
      <c r="I35" s="20" t="n"/>
      <c r="J35" s="1371" t="n"/>
      <c r="K35" s="20" t="n"/>
      <c r="L35" s="20" t="n"/>
      <c r="M35" s="20" t="n"/>
      <c r="N35" s="20" t="n"/>
      <c r="O35" s="20" t="n"/>
      <c r="P35" s="342" t="n"/>
      <c r="Q35" s="20" t="n"/>
      <c r="R35" s="20" t="n"/>
      <c r="S35" s="20" t="n"/>
      <c r="T35" s="20" t="n"/>
      <c r="U35" s="20" t="n"/>
      <c r="V35" s="20" t="n"/>
      <c r="W35" s="20" t="n"/>
      <c r="X35" s="20" t="n"/>
      <c r="Y35" s="20" t="n"/>
      <c r="Z35" s="20" t="n"/>
      <c r="AA35" s="20" t="n"/>
      <c r="AB35" s="20" t="n"/>
      <c r="AC35" s="20" t="n"/>
      <c r="AD35" s="20" t="n"/>
      <c r="AE35" s="20" t="n"/>
      <c r="AF35" s="20" t="n"/>
      <c r="AG35" s="20" t="n"/>
      <c r="AH35" s="20" t="n"/>
      <c r="AI35" s="20" t="n"/>
      <c r="AJ35" s="20" t="n"/>
      <c r="AK35" s="20" t="n"/>
      <c r="AL35" s="20" t="n"/>
      <c r="AM35" s="20" t="n"/>
      <c r="AN35" s="20" t="n"/>
      <c r="AO35" s="20" t="n"/>
      <c r="AP35" s="20" t="n"/>
      <c r="AQ35" s="20" t="n"/>
      <c r="AR35" s="20" t="n"/>
      <c r="AS35" s="20" t="n"/>
      <c r="AT35" s="20" t="n"/>
      <c r="AU35" s="20" t="n"/>
      <c r="AV35" s="20" t="n"/>
      <c r="AW35" s="20" t="n"/>
      <c r="AX35" s="20" t="n"/>
      <c r="AY35" s="20" t="n"/>
      <c r="AZ35" s="20" t="n"/>
      <c r="BA35" s="20" t="n"/>
      <c r="BB35" s="20" t="n"/>
      <c r="BC35" s="20" t="n"/>
      <c r="BD35" s="20" t="n"/>
      <c r="BE35" s="20" t="n"/>
      <c r="BF35" s="20" t="n"/>
      <c r="BG35" s="20" t="n"/>
      <c r="BH35" s="20" t="n"/>
      <c r="BI35" s="20" t="n"/>
      <c r="BJ35" s="20" t="n"/>
      <c r="BK35" s="20" t="n"/>
      <c r="BL35" s="20" t="n"/>
      <c r="BM35" s="20" t="n"/>
      <c r="BN35" s="20" t="n"/>
      <c r="BO35" s="20" t="n"/>
      <c r="BP35" s="20" t="n"/>
      <c r="BQ35" s="20" t="n"/>
      <c r="BR35" s="20" t="n"/>
      <c r="BS35" s="20" t="n"/>
      <c r="BT35" s="20" t="n"/>
      <c r="BU35" s="20" t="n"/>
      <c r="BV35" s="20" t="n"/>
      <c r="BW35" s="20" t="n"/>
      <c r="BX35" s="20" t="n"/>
      <c r="BY35" s="25" t="n"/>
      <c r="BZ35" s="343" t="inlineStr">
        <is>
          <t>Shareholder's Equity</t>
        </is>
      </c>
      <c r="CA35" s="343" t="n"/>
      <c r="CB35" s="304" t="n"/>
      <c r="CC35" s="304" t="n"/>
      <c r="CD35" s="2015" t="n"/>
      <c r="CE35" s="2014" t="n"/>
      <c r="CF35" s="2014" t="n"/>
      <c r="CG35" s="2014" t="n"/>
      <c r="CH35" s="2014" t="n"/>
      <c r="CI35" s="2014" t="n"/>
    </row>
    <row r="36" ht="12.75" customHeight="1" s="1883">
      <c r="A36" s="12" t="n"/>
      <c r="B36" s="338" t="n"/>
      <c r="C36" s="339" t="inlineStr">
        <is>
          <t>Paid in Capital</t>
        </is>
      </c>
      <c r="D36" s="342" t="n"/>
      <c r="E36" s="20">
        <f>+'4B. Tel. Expense Assumptions'!G443</f>
        <v/>
      </c>
      <c r="F36" s="20">
        <f>+'4B. Tel. Expense Assumptions'!H443</f>
        <v/>
      </c>
      <c r="G36" s="20">
        <f>+'4B. Tel. Expense Assumptions'!I443</f>
        <v/>
      </c>
      <c r="H36" s="20">
        <f>+'4B. Tel. Expense Assumptions'!J443</f>
        <v/>
      </c>
      <c r="I36" s="20">
        <f>+'4B. Tel. Expense Assumptions'!K443</f>
        <v/>
      </c>
      <c r="J36" s="20">
        <f>+'4B. Tel. Expense Assumptions'!L443</f>
        <v/>
      </c>
      <c r="K36" s="20">
        <f>+'4B. Tel. Expense Assumptions'!G443</f>
        <v/>
      </c>
      <c r="L36" s="20">
        <f>+'4B. Tel. Expense Assumptions'!H443</f>
        <v/>
      </c>
      <c r="M36" s="20">
        <f>+'4B. Tel. Expense Assumptions'!I443</f>
        <v/>
      </c>
      <c r="N36" s="20">
        <f>+'4B. Tel. Expense Assumptions'!J443</f>
        <v/>
      </c>
      <c r="O36" s="20">
        <f>+'4B. Tel. Expense Assumptions'!K443</f>
        <v/>
      </c>
      <c r="P36" s="20">
        <f>+'4B. Tel. Expense Assumptions'!L443</f>
        <v/>
      </c>
      <c r="Q36" s="20">
        <f>+'4B. Tel. Expense Assumptions'!G443</f>
        <v/>
      </c>
      <c r="R36" s="20">
        <f>+'4B. Tel. Expense Assumptions'!H443</f>
        <v/>
      </c>
      <c r="S36" s="20">
        <f>+'4B. Tel. Expense Assumptions'!I443</f>
        <v/>
      </c>
      <c r="T36" s="20">
        <f>+'4B. Tel. Expense Assumptions'!J443</f>
        <v/>
      </c>
      <c r="U36" s="20">
        <f>+'4B. Tel. Expense Assumptions'!K443</f>
        <v/>
      </c>
      <c r="V36" s="20">
        <f>+'4B. Tel. Expense Assumptions'!L443</f>
        <v/>
      </c>
      <c r="W36" s="20">
        <f>+'4B. Tel. Expense Assumptions'!M443</f>
        <v/>
      </c>
      <c r="X36" s="20">
        <f>+'4B. Tel. Expense Assumptions'!N443</f>
        <v/>
      </c>
      <c r="Y36" s="20">
        <f>+'4B. Tel. Expense Assumptions'!O443</f>
        <v/>
      </c>
      <c r="Z36" s="20">
        <f>+'4B. Tel. Expense Assumptions'!P443</f>
        <v/>
      </c>
      <c r="AA36" s="20">
        <f>+'4B. Tel. Expense Assumptions'!Q443</f>
        <v/>
      </c>
      <c r="AB36" s="20">
        <f>+'4B. Tel. Expense Assumptions'!R443</f>
        <v/>
      </c>
      <c r="AC36" s="20">
        <f>+'4B. Tel. Expense Assumptions'!S443</f>
        <v/>
      </c>
      <c r="AD36" s="20">
        <f>+'4B. Tel. Expense Assumptions'!T443</f>
        <v/>
      </c>
      <c r="AE36" s="20">
        <f>+'4B. Tel. Expense Assumptions'!U443</f>
        <v/>
      </c>
      <c r="AF36" s="20">
        <f>+'4B. Tel. Expense Assumptions'!V443</f>
        <v/>
      </c>
      <c r="AG36" s="20">
        <f>+'4B. Tel. Expense Assumptions'!W443</f>
        <v/>
      </c>
      <c r="AH36" s="20">
        <f>+'4B. Tel. Expense Assumptions'!X443</f>
        <v/>
      </c>
      <c r="AI36" s="20">
        <f>+'4B. Tel. Expense Assumptions'!Y443</f>
        <v/>
      </c>
      <c r="AJ36" s="20">
        <f>+'4B. Tel. Expense Assumptions'!Z443</f>
        <v/>
      </c>
      <c r="AK36" s="20">
        <f>+'4B. Tel. Expense Assumptions'!AA443</f>
        <v/>
      </c>
      <c r="AL36" s="20">
        <f>+'4B. Tel. Expense Assumptions'!AB443</f>
        <v/>
      </c>
      <c r="AM36" s="20">
        <f>+'4B. Tel. Expense Assumptions'!AC443</f>
        <v/>
      </c>
      <c r="AN36" s="20">
        <f>+'4B. Tel. Expense Assumptions'!AD443</f>
        <v/>
      </c>
      <c r="AO36" s="20">
        <f>+'4B. Tel. Expense Assumptions'!AE443</f>
        <v/>
      </c>
      <c r="AP36" s="20">
        <f>+'4B. Tel. Expense Assumptions'!AF443</f>
        <v/>
      </c>
      <c r="AQ36" s="20">
        <f>+'4B. Tel. Expense Assumptions'!AG443</f>
        <v/>
      </c>
      <c r="AR36" s="20">
        <f>+'4B. Tel. Expense Assumptions'!AH443</f>
        <v/>
      </c>
      <c r="AS36" s="20">
        <f>+'4B. Tel. Expense Assumptions'!AI443</f>
        <v/>
      </c>
      <c r="AT36" s="20">
        <f>+'4B. Tel. Expense Assumptions'!AJ443</f>
        <v/>
      </c>
      <c r="AU36" s="20">
        <f>+'4B. Tel. Expense Assumptions'!AK443</f>
        <v/>
      </c>
      <c r="AV36" s="20">
        <f>+'4B. Tel. Expense Assumptions'!AL443</f>
        <v/>
      </c>
      <c r="AW36" s="20">
        <f>+'4B. Tel. Expense Assumptions'!AM443</f>
        <v/>
      </c>
      <c r="AX36" s="20">
        <f>+'4B. Tel. Expense Assumptions'!AN443</f>
        <v/>
      </c>
      <c r="AY36" s="20">
        <f>+'4B. Tel. Expense Assumptions'!AO443</f>
        <v/>
      </c>
      <c r="AZ36" s="20">
        <f>+'4B. Tel. Expense Assumptions'!AP443</f>
        <v/>
      </c>
      <c r="BA36" s="20">
        <f>+'4B. Tel. Expense Assumptions'!AQ443</f>
        <v/>
      </c>
      <c r="BB36" s="20">
        <f>+'4B. Tel. Expense Assumptions'!AR443</f>
        <v/>
      </c>
      <c r="BC36" s="20">
        <f>+'4B. Tel. Expense Assumptions'!AS443</f>
        <v/>
      </c>
      <c r="BD36" s="20">
        <f>+'4B. Tel. Expense Assumptions'!AT443</f>
        <v/>
      </c>
      <c r="BE36" s="20">
        <f>+'4B. Tel. Expense Assumptions'!AU443</f>
        <v/>
      </c>
      <c r="BF36" s="20">
        <f>+'4B. Tel. Expense Assumptions'!AV443</f>
        <v/>
      </c>
      <c r="BG36" s="20">
        <f>+'4B. Tel. Expense Assumptions'!AW443</f>
        <v/>
      </c>
      <c r="BH36" s="20">
        <f>+'4B. Tel. Expense Assumptions'!AX443</f>
        <v/>
      </c>
      <c r="BI36" s="20">
        <f>+'4B. Tel. Expense Assumptions'!AY443</f>
        <v/>
      </c>
      <c r="BJ36" s="20">
        <f>+'4B. Tel. Expense Assumptions'!AZ443</f>
        <v/>
      </c>
      <c r="BK36" s="20">
        <f>+'4B. Tel. Expense Assumptions'!BA443</f>
        <v/>
      </c>
      <c r="BL36" s="20">
        <f>+'4B. Tel. Expense Assumptions'!BB443</f>
        <v/>
      </c>
      <c r="BM36" s="20">
        <f>+'4B. Tel. Expense Assumptions'!BC443</f>
        <v/>
      </c>
      <c r="BN36" s="20">
        <f>+'4B. Tel. Expense Assumptions'!BD443</f>
        <v/>
      </c>
      <c r="BO36" s="20">
        <f>+'4B. Tel. Expense Assumptions'!BE443</f>
        <v/>
      </c>
      <c r="BP36" s="20">
        <f>+'4B. Tel. Expense Assumptions'!BF443</f>
        <v/>
      </c>
      <c r="BQ36" s="20">
        <f>+'4B. Tel. Expense Assumptions'!BG443</f>
        <v/>
      </c>
      <c r="BR36" s="20">
        <f>+'4B. Tel. Expense Assumptions'!BH443</f>
        <v/>
      </c>
      <c r="BS36" s="20">
        <f>+'4B. Tel. Expense Assumptions'!BI443</f>
        <v/>
      </c>
      <c r="BT36" s="20">
        <f>+'4B. Tel. Expense Assumptions'!BJ443</f>
        <v/>
      </c>
      <c r="BU36" s="20">
        <f>+'4B. Tel. Expense Assumptions'!BK443</f>
        <v/>
      </c>
      <c r="BV36" s="20">
        <f>+'4B. Tel. Expense Assumptions'!BL443</f>
        <v/>
      </c>
      <c r="BW36" s="20">
        <f>+'4B. Tel. Expense Assumptions'!BM443</f>
        <v/>
      </c>
      <c r="BX36" s="20">
        <f>+'4B. Tel. Expense Assumptions'!BN443</f>
        <v/>
      </c>
      <c r="BY36" s="25" t="n"/>
      <c r="BZ36" s="340" t="n"/>
      <c r="CA36" s="341" t="inlineStr">
        <is>
          <t>Paid in Capital</t>
        </is>
      </c>
      <c r="CB36" s="304" t="n"/>
      <c r="CC36" s="304" t="n"/>
      <c r="CD36" s="2015">
        <f>SUM(E36:P36)</f>
        <v/>
      </c>
      <c r="CE36" s="2014">
        <f>SUM(Q36:AB36)</f>
        <v/>
      </c>
      <c r="CF36" s="2014">
        <f>SUM(AC36:AN36)</f>
        <v/>
      </c>
      <c r="CG36" s="2014">
        <f>SUM(AO36:AZ36)</f>
        <v/>
      </c>
      <c r="CH36" s="2014">
        <f>SUM(BA36:BL36)</f>
        <v/>
      </c>
      <c r="CI36" s="2014">
        <f>SUM(BM36:BX36)</f>
        <v/>
      </c>
    </row>
    <row r="37" ht="12.75" customHeight="1" s="1883">
      <c r="A37" s="12" t="n"/>
      <c r="B37" s="342" t="n"/>
      <c r="C37" s="339" t="inlineStr">
        <is>
          <t>Retained earnings</t>
        </is>
      </c>
      <c r="D37" s="339" t="n"/>
      <c r="E37" s="1372">
        <f>+'Income Statement'!E39</f>
        <v/>
      </c>
      <c r="F37" s="1372">
        <f>+E37+'Income Statement'!F39</f>
        <v/>
      </c>
      <c r="G37" s="1372">
        <f>+F37+'Income Statement'!G39</f>
        <v/>
      </c>
      <c r="H37" s="1372">
        <f>+G37+'Income Statement'!H39</f>
        <v/>
      </c>
      <c r="I37" s="1372">
        <f>+H37+'Income Statement'!I39</f>
        <v/>
      </c>
      <c r="J37" s="1372">
        <f>+I37+'Income Statement'!J39</f>
        <v/>
      </c>
      <c r="K37" s="1372">
        <f>+J37+'Income Statement'!K39</f>
        <v/>
      </c>
      <c r="L37" s="1372">
        <f>+K37+'Income Statement'!L39</f>
        <v/>
      </c>
      <c r="M37" s="20">
        <f>+L37+'Income Statement'!M39</f>
        <v/>
      </c>
      <c r="N37" s="20">
        <f>+M37+'Income Statement'!N39</f>
        <v/>
      </c>
      <c r="O37" s="20">
        <f>+N37+'Income Statement'!O39</f>
        <v/>
      </c>
      <c r="P37" s="20">
        <f>+O37+'Income Statement'!P39</f>
        <v/>
      </c>
      <c r="Q37" s="20">
        <f>'Income Statement'!Q39+P37</f>
        <v/>
      </c>
      <c r="R37" s="20">
        <f>'Income Statement'!R39+Q37</f>
        <v/>
      </c>
      <c r="S37" s="20">
        <f>'Income Statement'!S39+R37</f>
        <v/>
      </c>
      <c r="T37" s="20">
        <f>'Income Statement'!T39+S37</f>
        <v/>
      </c>
      <c r="U37" s="20">
        <f>'Income Statement'!U39+T37</f>
        <v/>
      </c>
      <c r="V37" s="20">
        <f>'Income Statement'!V39+U37</f>
        <v/>
      </c>
      <c r="W37" s="20">
        <f>'Income Statement'!W39+V37</f>
        <v/>
      </c>
      <c r="X37" s="20">
        <f>'Income Statement'!X39+W37</f>
        <v/>
      </c>
      <c r="Y37" s="20">
        <f>'Income Statement'!Y39+X37</f>
        <v/>
      </c>
      <c r="Z37" s="20">
        <f>'Income Statement'!Z39+Y37</f>
        <v/>
      </c>
      <c r="AA37" s="20">
        <f>'Income Statement'!AA39+Z37</f>
        <v/>
      </c>
      <c r="AB37" s="20">
        <f>'Income Statement'!AB39+AA37</f>
        <v/>
      </c>
      <c r="AC37" s="20">
        <f>'Income Statement'!AC39+AB37</f>
        <v/>
      </c>
      <c r="AD37" s="20">
        <f>'Income Statement'!AD39+AC37</f>
        <v/>
      </c>
      <c r="AE37" s="20">
        <f>'Income Statement'!AE39+AD37</f>
        <v/>
      </c>
      <c r="AF37" s="20">
        <f>'Income Statement'!AF39+AE37</f>
        <v/>
      </c>
      <c r="AG37" s="20">
        <f>'Income Statement'!AG39+AF37</f>
        <v/>
      </c>
      <c r="AH37" s="20">
        <f>'Income Statement'!AH39+AG37</f>
        <v/>
      </c>
      <c r="AI37" s="20">
        <f>'Income Statement'!AI39+AH37</f>
        <v/>
      </c>
      <c r="AJ37" s="20">
        <f>'Income Statement'!AJ39+AI37</f>
        <v/>
      </c>
      <c r="AK37" s="20">
        <f>'Income Statement'!AK39+AJ37</f>
        <v/>
      </c>
      <c r="AL37" s="20">
        <f>'Income Statement'!AL39+AK37</f>
        <v/>
      </c>
      <c r="AM37" s="20">
        <f>'Income Statement'!AM39+AL37</f>
        <v/>
      </c>
      <c r="AN37" s="20">
        <f>'Income Statement'!AN39+AM37</f>
        <v/>
      </c>
      <c r="AO37" s="20">
        <f>'Income Statement'!AO39+AN37</f>
        <v/>
      </c>
      <c r="AP37" s="20">
        <f>'Income Statement'!AP39+AO37</f>
        <v/>
      </c>
      <c r="AQ37" s="20">
        <f>'Income Statement'!AQ39+AP37</f>
        <v/>
      </c>
      <c r="AR37" s="20">
        <f>'Income Statement'!AR39+AQ37</f>
        <v/>
      </c>
      <c r="AS37" s="20">
        <f>'Income Statement'!AS39+AR37</f>
        <v/>
      </c>
      <c r="AT37" s="20">
        <f>'Income Statement'!AT39+AS37</f>
        <v/>
      </c>
      <c r="AU37" s="20">
        <f>'Income Statement'!AU39+AT37</f>
        <v/>
      </c>
      <c r="AV37" s="20">
        <f>'Income Statement'!AV39+AU37</f>
        <v/>
      </c>
      <c r="AW37" s="20">
        <f>'Income Statement'!AW39+AV37</f>
        <v/>
      </c>
      <c r="AX37" s="20">
        <f>'Income Statement'!AX39+AW37</f>
        <v/>
      </c>
      <c r="AY37" s="20">
        <f>'Income Statement'!AY39+AX37</f>
        <v/>
      </c>
      <c r="AZ37" s="20">
        <f>'Income Statement'!AZ39+AY37</f>
        <v/>
      </c>
      <c r="BA37" s="20">
        <f>'Income Statement'!BA39+AZ37</f>
        <v/>
      </c>
      <c r="BB37" s="20">
        <f>'Income Statement'!BB39+BA37</f>
        <v/>
      </c>
      <c r="BC37" s="20">
        <f>'Income Statement'!BC39+BB37</f>
        <v/>
      </c>
      <c r="BD37" s="20">
        <f>'Income Statement'!BD39+BC37</f>
        <v/>
      </c>
      <c r="BE37" s="20">
        <f>'Income Statement'!BE39+BD37</f>
        <v/>
      </c>
      <c r="BF37" s="20">
        <f>'Income Statement'!BF39+BE37</f>
        <v/>
      </c>
      <c r="BG37" s="20">
        <f>'Income Statement'!BG39+BF37</f>
        <v/>
      </c>
      <c r="BH37" s="20">
        <f>'Income Statement'!BH39+BG37</f>
        <v/>
      </c>
      <c r="BI37" s="20">
        <f>'Income Statement'!BI39+BH37</f>
        <v/>
      </c>
      <c r="BJ37" s="20">
        <f>'Income Statement'!BJ39+BI37</f>
        <v/>
      </c>
      <c r="BK37" s="20">
        <f>'Income Statement'!BK39+BJ37</f>
        <v/>
      </c>
      <c r="BL37" s="20">
        <f>'Income Statement'!BL39+BK37</f>
        <v/>
      </c>
      <c r="BM37" s="20">
        <f>'Income Statement'!BM39+BL37</f>
        <v/>
      </c>
      <c r="BN37" s="20">
        <f>'Income Statement'!BN39+BM37</f>
        <v/>
      </c>
      <c r="BO37" s="20">
        <f>'Income Statement'!BO39+BN37</f>
        <v/>
      </c>
      <c r="BP37" s="20">
        <f>'Income Statement'!BP39+BO37</f>
        <v/>
      </c>
      <c r="BQ37" s="20">
        <f>'Income Statement'!BQ39+BP37</f>
        <v/>
      </c>
      <c r="BR37" s="20">
        <f>'Income Statement'!BR39+BQ37</f>
        <v/>
      </c>
      <c r="BS37" s="20">
        <f>'Income Statement'!BS39+BR37</f>
        <v/>
      </c>
      <c r="BT37" s="20">
        <f>'Income Statement'!BT39+BS37</f>
        <v/>
      </c>
      <c r="BU37" s="20">
        <f>'Income Statement'!BU39+BT37</f>
        <v/>
      </c>
      <c r="BV37" s="20">
        <f>'Income Statement'!BV39+BU37</f>
        <v/>
      </c>
      <c r="BW37" s="20">
        <f>'Income Statement'!BW39+BV37</f>
        <v/>
      </c>
      <c r="BX37" s="20">
        <f>'Income Statement'!BX39+BW37</f>
        <v/>
      </c>
      <c r="BY37" s="25" t="n"/>
      <c r="BZ37" s="343" t="n"/>
      <c r="CA37" s="341" t="inlineStr">
        <is>
          <t>Retained earnings</t>
        </is>
      </c>
      <c r="CB37" s="325" t="n"/>
      <c r="CC37" s="325" t="n"/>
      <c r="CD37" s="2160">
        <f>SUM(E37:P37)</f>
        <v/>
      </c>
      <c r="CE37" s="2161">
        <f>SUM(Q37:AB37)</f>
        <v/>
      </c>
      <c r="CF37" s="2161">
        <f>SUM(AC37:AN37)</f>
        <v/>
      </c>
      <c r="CG37" s="2014">
        <f>SUM(AO37:AZ37)</f>
        <v/>
      </c>
      <c r="CH37" s="2014">
        <f>SUM(BA37:BL37)</f>
        <v/>
      </c>
      <c r="CI37" s="2014">
        <f>SUM(BM37:BX37)</f>
        <v/>
      </c>
    </row>
    <row r="38" ht="12.75" customHeight="1" s="1883">
      <c r="A38" s="12" t="n"/>
      <c r="B38" s="342" t="inlineStr">
        <is>
          <t xml:space="preserve">Total Equity </t>
        </is>
      </c>
      <c r="C38" s="342" t="n"/>
      <c r="D38" s="342" t="n"/>
      <c r="E38" s="20">
        <f>SUM(E36:E37)</f>
        <v/>
      </c>
      <c r="F38" s="20">
        <f>SUM(F36:F37)</f>
        <v/>
      </c>
      <c r="G38" s="20">
        <f>SUM(G36:G37)</f>
        <v/>
      </c>
      <c r="H38" s="20">
        <f>SUM(H36:H37)</f>
        <v/>
      </c>
      <c r="I38" s="20">
        <f>SUM(I36:I37)</f>
        <v/>
      </c>
      <c r="J38" s="20">
        <f>SUM(J36:J37)</f>
        <v/>
      </c>
      <c r="K38" s="1359">
        <f>SUM(K36:K37)</f>
        <v/>
      </c>
      <c r="L38" s="1359">
        <f>SUM(L36:L37)</f>
        <v/>
      </c>
      <c r="M38" s="1359">
        <f>SUM(M36:M37)</f>
        <v/>
      </c>
      <c r="N38" s="1359">
        <f>SUM(N36:N37)</f>
        <v/>
      </c>
      <c r="O38" s="1359">
        <f>SUM(O36:O37)</f>
        <v/>
      </c>
      <c r="P38" s="1359">
        <f>SUM(P36:P37)</f>
        <v/>
      </c>
      <c r="Q38" s="1359">
        <f>SUM(Q36:Q37)</f>
        <v/>
      </c>
      <c r="R38" s="1359">
        <f>SUM(R36:R37)</f>
        <v/>
      </c>
      <c r="S38" s="1359">
        <f>SUM(S36:S37)</f>
        <v/>
      </c>
      <c r="T38" s="1359">
        <f>SUM(T36:T37)</f>
        <v/>
      </c>
      <c r="U38" s="1359">
        <f>SUM(U36:U37)</f>
        <v/>
      </c>
      <c r="V38" s="1359">
        <f>SUM(V36:V37)</f>
        <v/>
      </c>
      <c r="W38" s="1359">
        <f>SUM(W36:W37)</f>
        <v/>
      </c>
      <c r="X38" s="1359">
        <f>SUM(X36:X37)</f>
        <v/>
      </c>
      <c r="Y38" s="1359">
        <f>SUM(Y36:Y37)</f>
        <v/>
      </c>
      <c r="Z38" s="1359">
        <f>SUM(Z36:Z37)</f>
        <v/>
      </c>
      <c r="AA38" s="1359">
        <f>SUM(AA36:AA37)</f>
        <v/>
      </c>
      <c r="AB38" s="1359">
        <f>SUM(AB36:AB37)</f>
        <v/>
      </c>
      <c r="AC38" s="1359">
        <f>SUM(AC36:AC37)</f>
        <v/>
      </c>
      <c r="AD38" s="1359">
        <f>SUM(AD36:AD37)</f>
        <v/>
      </c>
      <c r="AE38" s="1359">
        <f>SUM(AE36:AE37)</f>
        <v/>
      </c>
      <c r="AF38" s="1359">
        <f>SUM(AF36:AF37)</f>
        <v/>
      </c>
      <c r="AG38" s="1359">
        <f>SUM(AG36:AG37)</f>
        <v/>
      </c>
      <c r="AH38" s="1359">
        <f>SUM(AH36:AH37)</f>
        <v/>
      </c>
      <c r="AI38" s="1359">
        <f>SUM(AI36:AI37)</f>
        <v/>
      </c>
      <c r="AJ38" s="1359">
        <f>SUM(AJ36:AJ37)</f>
        <v/>
      </c>
      <c r="AK38" s="1359">
        <f>SUM(AK36:AK37)</f>
        <v/>
      </c>
      <c r="AL38" s="1359">
        <f>SUM(AL36:AL37)</f>
        <v/>
      </c>
      <c r="AM38" s="1359">
        <f>SUM(AM36:AM37)</f>
        <v/>
      </c>
      <c r="AN38" s="1359">
        <f>SUM(AN36:AN37)</f>
        <v/>
      </c>
      <c r="AO38" s="1359">
        <f>SUM(AO36:AO37)</f>
        <v/>
      </c>
      <c r="AP38" s="1359">
        <f>SUM(AP36:AP37)</f>
        <v/>
      </c>
      <c r="AQ38" s="1359">
        <f>SUM(AQ36:AQ37)</f>
        <v/>
      </c>
      <c r="AR38" s="1359">
        <f>SUM(AR36:AR37)</f>
        <v/>
      </c>
      <c r="AS38" s="1359">
        <f>SUM(AS36:AS37)</f>
        <v/>
      </c>
      <c r="AT38" s="1359">
        <f>SUM(AT36:AT37)</f>
        <v/>
      </c>
      <c r="AU38" s="1359">
        <f>SUM(AU36:AU37)</f>
        <v/>
      </c>
      <c r="AV38" s="1359">
        <f>SUM(AV36:AV37)</f>
        <v/>
      </c>
      <c r="AW38" s="1359">
        <f>SUM(AW36:AW37)</f>
        <v/>
      </c>
      <c r="AX38" s="1359">
        <f>SUM(AX36:AX37)</f>
        <v/>
      </c>
      <c r="AY38" s="1359">
        <f>SUM(AY36:AY37)</f>
        <v/>
      </c>
      <c r="AZ38" s="1359">
        <f>SUM(AZ36:AZ37)</f>
        <v/>
      </c>
      <c r="BA38" s="1359">
        <f>SUM(BA36:BA37)</f>
        <v/>
      </c>
      <c r="BB38" s="1359">
        <f>SUM(BB36:BB37)</f>
        <v/>
      </c>
      <c r="BC38" s="1359">
        <f>SUM(BC36:BC37)</f>
        <v/>
      </c>
      <c r="BD38" s="1359">
        <f>SUM(BD36:BD37)</f>
        <v/>
      </c>
      <c r="BE38" s="1359">
        <f>SUM(BE36:BE37)</f>
        <v/>
      </c>
      <c r="BF38" s="1359">
        <f>SUM(BF36:BF37)</f>
        <v/>
      </c>
      <c r="BG38" s="1359">
        <f>SUM(BG36:BG37)</f>
        <v/>
      </c>
      <c r="BH38" s="1359">
        <f>SUM(BH36:BH37)</f>
        <v/>
      </c>
      <c r="BI38" s="1359">
        <f>SUM(BI36:BI37)</f>
        <v/>
      </c>
      <c r="BJ38" s="1359">
        <f>SUM(BJ36:BJ37)</f>
        <v/>
      </c>
      <c r="BK38" s="1359">
        <f>SUM(BK36:BK37)</f>
        <v/>
      </c>
      <c r="BL38" s="1359">
        <f>SUM(BL36:BL37)</f>
        <v/>
      </c>
      <c r="BM38" s="1359">
        <f>SUM(BM36:BM37)</f>
        <v/>
      </c>
      <c r="BN38" s="1359">
        <f>SUM(BN36:BN37)</f>
        <v/>
      </c>
      <c r="BO38" s="1359">
        <f>SUM(BO36:BO37)</f>
        <v/>
      </c>
      <c r="BP38" s="1359">
        <f>SUM(BP36:BP37)</f>
        <v/>
      </c>
      <c r="BQ38" s="1359">
        <f>SUM(BQ36:BQ37)</f>
        <v/>
      </c>
      <c r="BR38" s="1359">
        <f>SUM(BR36:BR37)</f>
        <v/>
      </c>
      <c r="BS38" s="1359">
        <f>SUM(BS36:BS37)</f>
        <v/>
      </c>
      <c r="BT38" s="1359">
        <f>SUM(BT36:BT37)</f>
        <v/>
      </c>
      <c r="BU38" s="1359">
        <f>SUM(BU36:BU37)</f>
        <v/>
      </c>
      <c r="BV38" s="1359">
        <f>SUM(BV36:BV37)</f>
        <v/>
      </c>
      <c r="BW38" s="1359">
        <f>SUM(BW36:BW37)</f>
        <v/>
      </c>
      <c r="BX38" s="1359">
        <f>SUM(BX36:BX37)</f>
        <v/>
      </c>
      <c r="BY38" s="7" t="n"/>
      <c r="BZ38" s="343" t="inlineStr">
        <is>
          <t xml:space="preserve">Total Equity </t>
        </is>
      </c>
      <c r="CA38" s="343" t="n"/>
      <c r="CB38" s="325" t="n"/>
      <c r="CC38" s="325" t="n"/>
      <c r="CD38" s="2162">
        <f>SUM(E38:P38)</f>
        <v/>
      </c>
      <c r="CE38" s="2163">
        <f>SUM(Q38:AB38)</f>
        <v/>
      </c>
      <c r="CF38" s="2163">
        <f>SUM(AC38:AN38)</f>
        <v/>
      </c>
      <c r="CG38" s="2017">
        <f>SUM(AO38:AZ38)</f>
        <v/>
      </c>
      <c r="CH38" s="2017">
        <f>SUM(BA38:BL38)</f>
        <v/>
      </c>
      <c r="CI38" s="2017">
        <f>SUM(BM38:BX38)</f>
        <v/>
      </c>
    </row>
    <row r="39" ht="12.75" customHeight="1" s="1883">
      <c r="A39" s="19" t="n"/>
      <c r="B39" s="338" t="inlineStr">
        <is>
          <t>TOTAL LIABILITIES &amp; EQUITY</t>
        </is>
      </c>
      <c r="C39" s="342" t="n"/>
      <c r="D39" s="342" t="n"/>
      <c r="E39" s="20">
        <f>+E38+E34</f>
        <v/>
      </c>
      <c r="F39" s="20">
        <f>+F38+F34</f>
        <v/>
      </c>
      <c r="G39" s="20">
        <f>+G38+G34</f>
        <v/>
      </c>
      <c r="H39" s="20">
        <f>+H38+H34</f>
        <v/>
      </c>
      <c r="I39" s="20">
        <f>+I38+I34</f>
        <v/>
      </c>
      <c r="J39" s="20">
        <f>+J38+J34</f>
        <v/>
      </c>
      <c r="K39" s="20">
        <f>+K38+K34</f>
        <v/>
      </c>
      <c r="L39" s="20">
        <f>+L38+L34</f>
        <v/>
      </c>
      <c r="M39" s="20">
        <f>+M38+M34</f>
        <v/>
      </c>
      <c r="N39" s="20">
        <f>+N38+N34</f>
        <v/>
      </c>
      <c r="O39" s="20">
        <f>+O38+O34</f>
        <v/>
      </c>
      <c r="P39" s="20">
        <f>+P38+P34</f>
        <v/>
      </c>
      <c r="Q39" s="20">
        <f>+Q38+Q34</f>
        <v/>
      </c>
      <c r="R39" s="20">
        <f>+R38+R34</f>
        <v/>
      </c>
      <c r="S39" s="20">
        <f>+S38+S34</f>
        <v/>
      </c>
      <c r="T39" s="20">
        <f>+T38+T34</f>
        <v/>
      </c>
      <c r="U39" s="20">
        <f>+U38+U34</f>
        <v/>
      </c>
      <c r="V39" s="20">
        <f>+V38+V34</f>
        <v/>
      </c>
      <c r="W39" s="20">
        <f>+W38+W34</f>
        <v/>
      </c>
      <c r="X39" s="20">
        <f>+X38+X34</f>
        <v/>
      </c>
      <c r="Y39" s="20">
        <f>+Y38+Y34</f>
        <v/>
      </c>
      <c r="Z39" s="20">
        <f>+Z38+Z34</f>
        <v/>
      </c>
      <c r="AA39" s="20">
        <f>+AA38+AA34</f>
        <v/>
      </c>
      <c r="AB39" s="20">
        <f>+AB38+AB34</f>
        <v/>
      </c>
      <c r="AC39" s="20">
        <f>+AC38+AC34</f>
        <v/>
      </c>
      <c r="AD39" s="20">
        <f>+AD38+AD34</f>
        <v/>
      </c>
      <c r="AE39" s="20">
        <f>+AE38+AE34</f>
        <v/>
      </c>
      <c r="AF39" s="20">
        <f>+AF38+AF34</f>
        <v/>
      </c>
      <c r="AG39" s="20">
        <f>+AG38+AG34</f>
        <v/>
      </c>
      <c r="AH39" s="20">
        <f>+AH38+AH34</f>
        <v/>
      </c>
      <c r="AI39" s="20">
        <f>+AI38+AI34</f>
        <v/>
      </c>
      <c r="AJ39" s="20">
        <f>+AJ38+AJ34</f>
        <v/>
      </c>
      <c r="AK39" s="20">
        <f>+AK38+AK34</f>
        <v/>
      </c>
      <c r="AL39" s="20">
        <f>+AL38+AL34</f>
        <v/>
      </c>
      <c r="AM39" s="20">
        <f>+AM38+AM34</f>
        <v/>
      </c>
      <c r="AN39" s="20">
        <f>+AN38+AN34</f>
        <v/>
      </c>
      <c r="AO39" s="20">
        <f>+AO38+AO34</f>
        <v/>
      </c>
      <c r="AP39" s="20">
        <f>+AP38+AP34</f>
        <v/>
      </c>
      <c r="AQ39" s="20">
        <f>+AQ38+AQ34</f>
        <v/>
      </c>
      <c r="AR39" s="20">
        <f>+AR38+AR34</f>
        <v/>
      </c>
      <c r="AS39" s="20">
        <f>+AS38+AS34</f>
        <v/>
      </c>
      <c r="AT39" s="20">
        <f>+AT38+AT34</f>
        <v/>
      </c>
      <c r="AU39" s="20">
        <f>+AU38+AU34</f>
        <v/>
      </c>
      <c r="AV39" s="20">
        <f>+AV38+AV34</f>
        <v/>
      </c>
      <c r="AW39" s="20">
        <f>+AW38+AW34</f>
        <v/>
      </c>
      <c r="AX39" s="20">
        <f>+AX38+AX34</f>
        <v/>
      </c>
      <c r="AY39" s="20">
        <f>+AY38+AY34</f>
        <v/>
      </c>
      <c r="AZ39" s="20">
        <f>+AZ38+AZ34</f>
        <v/>
      </c>
      <c r="BA39" s="20">
        <f>+BA38+BA34</f>
        <v/>
      </c>
      <c r="BB39" s="20">
        <f>+BB38+BB34</f>
        <v/>
      </c>
      <c r="BC39" s="20">
        <f>+BC38+BC34</f>
        <v/>
      </c>
      <c r="BD39" s="20">
        <f>+BD38+BD34</f>
        <v/>
      </c>
      <c r="BE39" s="20">
        <f>+BE38+BE34</f>
        <v/>
      </c>
      <c r="BF39" s="20">
        <f>+BF38+BF34</f>
        <v/>
      </c>
      <c r="BG39" s="20">
        <f>+BG38+BG34</f>
        <v/>
      </c>
      <c r="BH39" s="20">
        <f>+BH38+BH34</f>
        <v/>
      </c>
      <c r="BI39" s="20">
        <f>+BI38+BI34</f>
        <v/>
      </c>
      <c r="BJ39" s="20">
        <f>+BJ38+BJ34</f>
        <v/>
      </c>
      <c r="BK39" s="20">
        <f>+BK38+BK34</f>
        <v/>
      </c>
      <c r="BL39" s="20">
        <f>+BL38+BL34</f>
        <v/>
      </c>
      <c r="BM39" s="20">
        <f>+BM38+BM34</f>
        <v/>
      </c>
      <c r="BN39" s="20">
        <f>+BN38+BN34</f>
        <v/>
      </c>
      <c r="BO39" s="20">
        <f>+BO38+BO34</f>
        <v/>
      </c>
      <c r="BP39" s="20">
        <f>+BP38+BP34</f>
        <v/>
      </c>
      <c r="BQ39" s="20">
        <f>+BQ38+BQ34</f>
        <v/>
      </c>
      <c r="BR39" s="20">
        <f>+BR38+BR34</f>
        <v/>
      </c>
      <c r="BS39" s="20">
        <f>+BS38+BS34</f>
        <v/>
      </c>
      <c r="BT39" s="20">
        <f>+BT38+BT34</f>
        <v/>
      </c>
      <c r="BU39" s="20">
        <f>+BU38+BU34</f>
        <v/>
      </c>
      <c r="BV39" s="20">
        <f>+BV38+BV34</f>
        <v/>
      </c>
      <c r="BW39" s="20">
        <f>+BW38+BW34</f>
        <v/>
      </c>
      <c r="BX39" s="20">
        <f>+BX38+BX34</f>
        <v/>
      </c>
      <c r="BY39" s="25" t="n"/>
      <c r="BZ39" s="340" t="inlineStr">
        <is>
          <t>TOTAL LIABILITIES &amp; EQUITY</t>
        </is>
      </c>
      <c r="CA39" s="343" t="n"/>
      <c r="CB39" s="304" t="n"/>
      <c r="CC39" s="304" t="n"/>
      <c r="CD39" s="2018">
        <f>SUM(E39:P39)</f>
        <v/>
      </c>
      <c r="CE39" s="2017">
        <f>SUM(Q39:AB39)</f>
        <v/>
      </c>
      <c r="CF39" s="2017">
        <f>SUM(AC39:AN39)</f>
        <v/>
      </c>
      <c r="CG39" s="2017">
        <f>SUM(AO39:AZ39)</f>
        <v/>
      </c>
      <c r="CH39" s="2017">
        <f>SUM(BA39:BL39)</f>
        <v/>
      </c>
      <c r="CI39" s="2017">
        <f>SUM(BM39:BX39)</f>
        <v/>
      </c>
    </row>
    <row r="40" ht="18.75" customHeight="1" s="1883">
      <c r="A40" s="19" t="n"/>
      <c r="B40" s="2164" t="n"/>
      <c r="C40" s="2165" t="inlineStr">
        <is>
          <t>check</t>
        </is>
      </c>
      <c r="D40" s="2165" t="n"/>
      <c r="E40" s="20">
        <f>+E24-E39</f>
        <v/>
      </c>
      <c r="F40" s="20">
        <f>+F24-F39</f>
        <v/>
      </c>
      <c r="G40" s="20">
        <f>+G24-G39</f>
        <v/>
      </c>
      <c r="H40" s="20">
        <f>+H24-H39</f>
        <v/>
      </c>
      <c r="I40" s="20">
        <f>+I24-I39</f>
        <v/>
      </c>
      <c r="J40" s="20">
        <f>+J24-J39</f>
        <v/>
      </c>
      <c r="K40" s="20">
        <f>+K24-K39</f>
        <v/>
      </c>
      <c r="L40" s="20">
        <f>+L24-L39</f>
        <v/>
      </c>
      <c r="M40" s="20">
        <f>+M24-M39</f>
        <v/>
      </c>
      <c r="N40" s="20">
        <f>+N24-N39</f>
        <v/>
      </c>
      <c r="O40" s="20">
        <f>+O24-O39</f>
        <v/>
      </c>
      <c r="P40" s="20">
        <f>+P24-P39</f>
        <v/>
      </c>
      <c r="Q40" s="20">
        <f>Q24-Q39</f>
        <v/>
      </c>
      <c r="R40" s="20">
        <f>R24-R39</f>
        <v/>
      </c>
      <c r="S40" s="20">
        <f>S24-S39</f>
        <v/>
      </c>
      <c r="T40" s="20">
        <f>T24-T39</f>
        <v/>
      </c>
      <c r="U40" s="20">
        <f>U24-U39</f>
        <v/>
      </c>
      <c r="V40" s="20">
        <f>V24-V39</f>
        <v/>
      </c>
      <c r="W40" s="20">
        <f>W24-W39</f>
        <v/>
      </c>
      <c r="X40" s="20">
        <f>X24-X39</f>
        <v/>
      </c>
      <c r="Y40" s="20">
        <f>Y24-Y39</f>
        <v/>
      </c>
      <c r="Z40" s="20">
        <f>Z24-Z39</f>
        <v/>
      </c>
      <c r="AA40" s="20">
        <f>AA24-AA39</f>
        <v/>
      </c>
      <c r="AB40" s="20">
        <f>AB24-AB39</f>
        <v/>
      </c>
      <c r="AC40" s="20">
        <f>AC24-AC39</f>
        <v/>
      </c>
      <c r="AD40" s="20">
        <f>AD24-AD39</f>
        <v/>
      </c>
      <c r="AE40" s="20">
        <f>AE24-AE39</f>
        <v/>
      </c>
      <c r="AF40" s="20">
        <f>AF24-AF39</f>
        <v/>
      </c>
      <c r="AG40" s="20">
        <f>AG24-AG39</f>
        <v/>
      </c>
      <c r="AH40" s="20">
        <f>AH24-AH39</f>
        <v/>
      </c>
      <c r="AI40" s="20">
        <f>AI24-AI39</f>
        <v/>
      </c>
      <c r="AJ40" s="20">
        <f>AJ24-AJ39</f>
        <v/>
      </c>
      <c r="AK40" s="20">
        <f>AK24-AK39</f>
        <v/>
      </c>
      <c r="AL40" s="20">
        <f>AL24-AL39</f>
        <v/>
      </c>
      <c r="AM40" s="20">
        <f>AM24-AM39</f>
        <v/>
      </c>
      <c r="AN40" s="20">
        <f>AN24-AN39</f>
        <v/>
      </c>
      <c r="AO40" s="20">
        <f>AO24-AO39</f>
        <v/>
      </c>
      <c r="AP40" s="20">
        <f>AP24-AP39</f>
        <v/>
      </c>
      <c r="AQ40" s="20">
        <f>AQ24-AQ39</f>
        <v/>
      </c>
      <c r="AR40" s="20">
        <f>AR24-AR39</f>
        <v/>
      </c>
      <c r="AS40" s="20">
        <f>AS24-AS39</f>
        <v/>
      </c>
      <c r="AT40" s="20">
        <f>AT24-AT39</f>
        <v/>
      </c>
      <c r="AU40" s="20">
        <f>AU24-AU39</f>
        <v/>
      </c>
      <c r="AV40" s="20">
        <f>AV24-AV39</f>
        <v/>
      </c>
      <c r="AW40" s="20">
        <f>AW24-AW39</f>
        <v/>
      </c>
      <c r="AX40" s="20">
        <f>AX24-AX39</f>
        <v/>
      </c>
      <c r="AY40" s="20">
        <f>AY24-AY39</f>
        <v/>
      </c>
      <c r="AZ40" s="20">
        <f>AZ24-AZ39</f>
        <v/>
      </c>
      <c r="BA40" s="20">
        <f>BA24-BA39</f>
        <v/>
      </c>
      <c r="BB40" s="20">
        <f>BB24-BB39</f>
        <v/>
      </c>
      <c r="BC40" s="20">
        <f>BC24-BC39</f>
        <v/>
      </c>
      <c r="BD40" s="20">
        <f>BD24-BD39</f>
        <v/>
      </c>
      <c r="BE40" s="20">
        <f>BE24-BE39</f>
        <v/>
      </c>
      <c r="BF40" s="20">
        <f>BF24-BF39</f>
        <v/>
      </c>
      <c r="BG40" s="20">
        <f>BG24-BG39</f>
        <v/>
      </c>
      <c r="BH40" s="20">
        <f>BH24-BH39</f>
        <v/>
      </c>
      <c r="BI40" s="20">
        <f>BI24-BI39</f>
        <v/>
      </c>
      <c r="BJ40" s="20">
        <f>BJ24-BJ39</f>
        <v/>
      </c>
      <c r="BK40" s="20">
        <f>BK24-BK39</f>
        <v/>
      </c>
      <c r="BL40" s="20">
        <f>BL24-BL39</f>
        <v/>
      </c>
      <c r="BM40" s="20">
        <f>BM24-BM39</f>
        <v/>
      </c>
      <c r="BN40" s="20">
        <f>BN24-BN39</f>
        <v/>
      </c>
      <c r="BO40" s="20">
        <f>BO24-BO39</f>
        <v/>
      </c>
      <c r="BP40" s="20">
        <f>BP24-BP39</f>
        <v/>
      </c>
      <c r="BQ40" s="20">
        <f>BQ24-BQ39</f>
        <v/>
      </c>
      <c r="BR40" s="20">
        <f>BR24-BR39</f>
        <v/>
      </c>
      <c r="BS40" s="20">
        <f>BS24-BS39</f>
        <v/>
      </c>
      <c r="BT40" s="20">
        <f>BT24-BT39</f>
        <v/>
      </c>
      <c r="BU40" s="20">
        <f>BU24-BU39</f>
        <v/>
      </c>
      <c r="BV40" s="20">
        <f>BV24-BV39</f>
        <v/>
      </c>
      <c r="BW40" s="20">
        <f>BW24-BW39</f>
        <v/>
      </c>
      <c r="BX40" s="20">
        <f>BX24-BX39</f>
        <v/>
      </c>
      <c r="BY40" s="25" t="n"/>
      <c r="BZ40" s="2166" t="n"/>
      <c r="CA40" s="2167" t="n"/>
      <c r="CB40" s="328" t="n"/>
      <c r="CC40" s="328" t="n"/>
      <c r="CD40" s="328" t="n"/>
      <c r="CE40" s="297" t="n"/>
      <c r="CF40" s="297" t="n"/>
      <c r="CG40" s="321" t="n"/>
      <c r="CH40" s="321" t="n"/>
      <c r="CI40" s="321" t="n"/>
    </row>
    <row r="41" ht="12.75" customHeight="1" s="1883">
      <c r="A41" s="2165" t="n"/>
      <c r="B41" s="25" t="n"/>
      <c r="C41" s="7" t="n"/>
      <c r="D41" s="7" t="n"/>
      <c r="E41" s="626" t="n"/>
      <c r="F41" s="626" t="n"/>
      <c r="G41" s="626" t="n"/>
      <c r="H41" s="626" t="n"/>
      <c r="I41" s="626" t="n"/>
      <c r="J41" s="626" t="n"/>
      <c r="K41" s="7" t="n"/>
      <c r="L41" s="7" t="n"/>
      <c r="M41" s="7" t="n"/>
      <c r="N41" s="7" t="n"/>
      <c r="O41" s="7" t="n"/>
      <c r="P41" s="7" t="n"/>
      <c r="Q41" s="43">
        <f>+Q40*2</f>
        <v/>
      </c>
      <c r="R41" s="43" t="n"/>
      <c r="S41" s="43" t="n"/>
      <c r="T41" s="43" t="n"/>
      <c r="U41" s="43" t="n"/>
      <c r="V41" s="43" t="n"/>
      <c r="W41" s="43" t="n"/>
      <c r="X41" s="43" t="n"/>
      <c r="Y41" s="43" t="n"/>
      <c r="Z41" s="43" t="n"/>
      <c r="AA41" s="43" t="n"/>
      <c r="AB41" s="43" t="n"/>
      <c r="AC41" s="43" t="n"/>
      <c r="AD41" s="43" t="n"/>
      <c r="AE41" s="43" t="n"/>
      <c r="AF41" s="43" t="n"/>
      <c r="AG41" s="43" t="n"/>
      <c r="AH41" s="43" t="n"/>
      <c r="AI41" s="43" t="n"/>
      <c r="AJ41" s="43" t="n"/>
      <c r="AK41" s="43" t="n"/>
      <c r="AL41" s="43" t="n"/>
      <c r="AM41" s="7" t="n"/>
      <c r="AN41" s="7" t="n"/>
      <c r="AO41" s="7" t="n"/>
      <c r="AP41" s="7" t="n"/>
      <c r="AQ41" s="7" t="n"/>
      <c r="AR41" s="7" t="n"/>
      <c r="AS41" s="7" t="n"/>
      <c r="AT41" s="7" t="n"/>
      <c r="AU41" s="7" t="n"/>
      <c r="AV41" s="7" t="n"/>
      <c r="AW41" s="7" t="n"/>
      <c r="AX41" s="43" t="n"/>
      <c r="AY41" s="43" t="n"/>
      <c r="AZ41" s="43" t="n"/>
      <c r="BA41" s="7" t="n"/>
      <c r="BB41" s="7" t="n"/>
      <c r="BC41" s="7" t="n"/>
      <c r="BD41" s="7" t="n"/>
      <c r="BE41" s="7" t="n"/>
      <c r="BF41" s="7" t="n"/>
      <c r="BG41" s="7" t="n"/>
      <c r="BH41" s="7" t="n"/>
      <c r="BI41" s="7" t="n"/>
      <c r="BJ41" s="43" t="n"/>
      <c r="BK41" s="43" t="n"/>
      <c r="BL41" s="43" t="n"/>
      <c r="BM41" s="7" t="n"/>
      <c r="BN41" s="7" t="n"/>
      <c r="BO41" s="7" t="n"/>
      <c r="BP41" s="7" t="n"/>
      <c r="BQ41" s="7" t="n"/>
      <c r="BR41" s="7" t="n"/>
      <c r="BS41" s="7" t="n"/>
      <c r="BT41" s="7" t="n"/>
      <c r="BU41" s="7" t="n"/>
      <c r="BV41" s="43" t="n"/>
      <c r="BW41" s="43" t="n"/>
      <c r="BX41" s="43" t="n"/>
      <c r="BY41" s="7" t="n"/>
      <c r="BZ41" s="7" t="n"/>
      <c r="CA41" s="7" t="n"/>
      <c r="CB41" s="7" t="n"/>
      <c r="CC41" s="7" t="n"/>
      <c r="CD41" s="7" t="n"/>
      <c r="CE41" s="7" t="n"/>
      <c r="CF41" s="7" t="n"/>
      <c r="CG41" s="7" t="n"/>
      <c r="CH41" s="7" t="n"/>
      <c r="CI41" s="7" t="n"/>
    </row>
    <row r="42" ht="12.75" customHeight="1" s="1883">
      <c r="A42" s="19" t="n"/>
      <c r="B42" s="350" t="n"/>
      <c r="C42" s="7" t="n"/>
      <c r="D42" s="7" t="n"/>
      <c r="E42" s="626" t="n"/>
      <c r="F42" s="626" t="n"/>
      <c r="G42" s="626" t="n"/>
      <c r="H42" s="626" t="n"/>
      <c r="I42" s="626" t="n"/>
      <c r="J42" s="626" t="n"/>
      <c r="K42" s="7" t="n"/>
      <c r="L42" s="7" t="n"/>
      <c r="M42" s="7" t="n"/>
      <c r="N42" s="7" t="n"/>
      <c r="O42" s="7" t="n"/>
      <c r="P42" s="7" t="n"/>
      <c r="Q42" s="43">
        <f>+Q40/2</f>
        <v/>
      </c>
      <c r="R42" s="43" t="n"/>
      <c r="S42" s="43" t="n"/>
      <c r="T42" s="43" t="n"/>
      <c r="U42" s="43" t="n"/>
      <c r="V42" s="43" t="n"/>
      <c r="W42" s="43" t="n"/>
      <c r="X42" s="43" t="n"/>
      <c r="Y42" s="43" t="n"/>
      <c r="Z42" s="43" t="n"/>
      <c r="AA42" s="43" t="n"/>
      <c r="AB42" s="43" t="n"/>
      <c r="AC42" s="43" t="n"/>
      <c r="AD42" s="43" t="n"/>
      <c r="AE42" s="43" t="n"/>
      <c r="AF42" s="43" t="n"/>
      <c r="AG42" s="43" t="n"/>
      <c r="AH42" s="43" t="n"/>
      <c r="AI42" s="43" t="n"/>
      <c r="AJ42" s="43" t="n"/>
      <c r="AK42" s="43" t="n"/>
      <c r="AL42" s="43" t="n"/>
      <c r="AM42" s="7" t="n"/>
      <c r="AN42" s="7" t="n"/>
      <c r="AO42" s="7" t="n"/>
      <c r="AP42" s="7" t="n"/>
      <c r="AQ42" s="7" t="n"/>
      <c r="AR42" s="7" t="n"/>
      <c r="AS42" s="7" t="n"/>
      <c r="AT42" s="7" t="n"/>
      <c r="AU42" s="7" t="n"/>
      <c r="AV42" s="7" t="n"/>
      <c r="AW42" s="7" t="n"/>
      <c r="AX42" s="7" t="n"/>
      <c r="AY42" s="7" t="n"/>
      <c r="AZ42" s="7" t="n"/>
      <c r="BA42" s="7" t="n"/>
      <c r="BB42" s="7" t="n"/>
      <c r="BC42" s="7" t="n"/>
      <c r="BD42" s="7" t="n"/>
      <c r="BE42" s="7" t="n"/>
      <c r="BF42" s="7" t="n"/>
      <c r="BG42" s="7" t="n"/>
      <c r="BH42" s="7" t="n"/>
      <c r="BI42" s="7" t="n"/>
      <c r="BJ42" s="7" t="n"/>
      <c r="BK42" s="7" t="n"/>
      <c r="BL42" s="7" t="n"/>
      <c r="BM42" s="7" t="n"/>
      <c r="BN42" s="7" t="n"/>
      <c r="BO42" s="7" t="n"/>
      <c r="BP42" s="7" t="n"/>
      <c r="BQ42" s="7" t="n"/>
      <c r="BR42" s="7" t="n"/>
      <c r="BS42" s="7" t="n"/>
      <c r="BT42" s="7" t="n"/>
      <c r="BU42" s="7" t="n"/>
      <c r="BV42" s="7" t="n"/>
      <c r="BW42" s="7" t="n"/>
      <c r="BX42" s="7" t="n"/>
      <c r="BY42" s="7" t="n"/>
      <c r="BZ42" s="7" t="n"/>
      <c r="CA42" s="7" t="n"/>
      <c r="CB42" s="7" t="n"/>
      <c r="CC42" s="7" t="n"/>
      <c r="CD42" s="7" t="n"/>
      <c r="CE42" s="7" t="n"/>
      <c r="CF42" s="7" t="n"/>
      <c r="CG42" s="7" t="n"/>
      <c r="CH42" s="7" t="n"/>
      <c r="CI42" s="7" t="n"/>
    </row>
    <row r="43" ht="12.75" customHeight="1" s="1883">
      <c r="A43" s="15" t="n"/>
      <c r="B43" s="25" t="n"/>
      <c r="C43" s="7" t="n"/>
      <c r="D43" s="7" t="n"/>
      <c r="E43" s="626" t="n"/>
      <c r="F43" s="626" t="n"/>
      <c r="G43" s="626" t="n"/>
      <c r="H43" s="626" t="n"/>
      <c r="I43" s="626" t="n"/>
      <c r="J43" s="626" t="n"/>
      <c r="K43" s="7" t="n"/>
      <c r="L43" s="7" t="n"/>
      <c r="M43" s="7" t="n"/>
      <c r="N43" s="7" t="n"/>
      <c r="O43" s="7" t="n"/>
      <c r="P43" s="7" t="n"/>
      <c r="Q43" s="43" t="n"/>
      <c r="R43" s="43" t="n"/>
      <c r="S43" s="43" t="n"/>
      <c r="T43" s="43" t="n"/>
      <c r="U43" s="43" t="n"/>
      <c r="V43" s="43" t="n"/>
      <c r="W43" s="43" t="n"/>
      <c r="X43" s="43" t="n"/>
      <c r="Y43" s="43" t="n"/>
      <c r="Z43" s="43" t="n"/>
      <c r="AA43" s="43" t="n"/>
      <c r="AB43" s="43" t="n"/>
      <c r="AC43" s="43" t="n"/>
      <c r="AD43" s="43" t="n"/>
      <c r="AE43" s="43" t="n"/>
      <c r="AF43" s="43" t="n"/>
      <c r="AG43" s="43" t="n"/>
      <c r="AH43" s="43" t="n"/>
      <c r="AI43" s="43" t="n"/>
      <c r="AJ43" s="43" t="n"/>
      <c r="AK43" s="43" t="n"/>
      <c r="AL43" s="43" t="n"/>
      <c r="AM43" s="7" t="n"/>
      <c r="AN43" s="7" t="n"/>
      <c r="AO43" s="7" t="n"/>
      <c r="AP43" s="7" t="n"/>
      <c r="AQ43" s="7" t="n"/>
      <c r="AR43" s="7" t="n"/>
      <c r="AS43" s="7" t="n"/>
      <c r="AT43" s="7" t="n"/>
      <c r="AU43" s="7" t="n"/>
      <c r="AV43" s="7" t="n"/>
      <c r="AW43" s="7" t="n"/>
      <c r="AX43" s="7" t="n"/>
      <c r="AY43" s="7" t="n"/>
      <c r="AZ43" s="7" t="n"/>
      <c r="BA43" s="7" t="n"/>
      <c r="BB43" s="7" t="n"/>
      <c r="BC43" s="7" t="n"/>
      <c r="BD43" s="7" t="n"/>
      <c r="BE43" s="7" t="n"/>
      <c r="BF43" s="7" t="n"/>
      <c r="BG43" s="7" t="n"/>
      <c r="BH43" s="7" t="n"/>
      <c r="BI43" s="7" t="n"/>
      <c r="BJ43" s="7" t="n"/>
      <c r="BK43" s="7" t="n"/>
      <c r="BL43" s="7" t="n"/>
      <c r="BM43" s="7" t="n"/>
      <c r="BN43" s="7" t="n"/>
      <c r="BO43" s="7" t="n"/>
      <c r="BP43" s="7" t="n"/>
      <c r="BQ43" s="7" t="n"/>
      <c r="BR43" s="7" t="n"/>
      <c r="BS43" s="7" t="n"/>
      <c r="BT43" s="7" t="n"/>
      <c r="BU43" s="7" t="n"/>
      <c r="BV43" s="7" t="n"/>
      <c r="BW43" s="7" t="n"/>
      <c r="BX43" s="7" t="n"/>
      <c r="BY43" s="7" t="n"/>
      <c r="BZ43" s="7" t="n"/>
      <c r="CA43" s="7" t="n"/>
      <c r="CB43" s="7" t="n"/>
      <c r="CC43" s="7" t="n"/>
      <c r="CD43" s="7" t="n"/>
      <c r="CE43" s="7" t="n"/>
      <c r="CF43" s="7" t="n"/>
      <c r="CG43" s="7" t="n"/>
      <c r="CH43" s="7" t="n"/>
      <c r="CI43" s="7" t="n"/>
    </row>
    <row r="44" ht="12.75" customHeight="1" s="1883">
      <c r="A44" s="15" t="n"/>
      <c r="B44" s="25" t="n"/>
      <c r="C44" s="7" t="n"/>
      <c r="D44" s="7" t="n"/>
      <c r="E44" s="626" t="n"/>
      <c r="F44" s="626" t="n"/>
      <c r="G44" s="626" t="n"/>
      <c r="H44" s="626" t="n"/>
      <c r="I44" s="626" t="n"/>
      <c r="J44" s="626" t="n"/>
      <c r="K44" s="7" t="n"/>
      <c r="L44" s="7" t="n"/>
      <c r="M44" s="7" t="n"/>
      <c r="N44" s="7" t="n"/>
      <c r="O44" s="7" t="n"/>
      <c r="P44" s="7" t="n"/>
      <c r="Q44" s="43" t="n"/>
      <c r="R44" s="43" t="n"/>
      <c r="S44" s="43" t="n"/>
      <c r="T44" s="43" t="n"/>
      <c r="U44" s="43" t="n"/>
      <c r="V44" s="351" t="n"/>
      <c r="W44" s="43" t="n"/>
      <c r="X44" s="43" t="n"/>
      <c r="Y44" s="43" t="n"/>
      <c r="Z44" s="43" t="n"/>
      <c r="AA44" s="43" t="n"/>
      <c r="AB44" s="43" t="n"/>
      <c r="AC44" s="43" t="n"/>
      <c r="AD44" s="43" t="n"/>
      <c r="AE44" s="43" t="n"/>
      <c r="AF44" s="43" t="n"/>
      <c r="AG44" s="43" t="n"/>
      <c r="AH44" s="43" t="n"/>
      <c r="AI44" s="43" t="n"/>
      <c r="AJ44" s="43" t="n"/>
      <c r="AK44" s="43" t="n"/>
      <c r="AL44" s="43" t="n"/>
      <c r="AM44" s="7" t="n"/>
      <c r="AN44" s="7" t="n"/>
      <c r="AO44" s="7" t="n"/>
      <c r="AP44" s="7" t="n"/>
      <c r="AQ44" s="7" t="n"/>
      <c r="AR44" s="7" t="n"/>
      <c r="AS44" s="7" t="n"/>
      <c r="AT44" s="7" t="n"/>
      <c r="AU44" s="7" t="n"/>
      <c r="AV44" s="7" t="n"/>
      <c r="AW44" s="7" t="n"/>
      <c r="AX44" s="7" t="n"/>
      <c r="AY44" s="7" t="n"/>
      <c r="AZ44" s="7" t="n"/>
      <c r="BA44" s="7" t="n"/>
      <c r="BB44" s="7" t="n"/>
      <c r="BC44" s="7" t="n"/>
      <c r="BD44" s="7" t="n"/>
      <c r="BE44" s="7" t="n"/>
      <c r="BF44" s="7" t="n"/>
      <c r="BG44" s="7" t="n"/>
      <c r="BH44" s="7" t="n"/>
      <c r="BI44" s="7" t="n"/>
      <c r="BJ44" s="7" t="n"/>
      <c r="BK44" s="7" t="n"/>
      <c r="BL44" s="7" t="n"/>
      <c r="BM44" s="7" t="n"/>
      <c r="BN44" s="7" t="n"/>
      <c r="BO44" s="7" t="n"/>
      <c r="BP44" s="7" t="n"/>
      <c r="BQ44" s="7" t="n"/>
      <c r="BR44" s="7" t="n"/>
      <c r="BS44" s="7" t="n"/>
      <c r="BT44" s="7" t="n"/>
      <c r="BU44" s="7" t="n"/>
      <c r="BV44" s="7" t="n"/>
      <c r="BW44" s="7" t="n"/>
      <c r="BX44" s="7" t="n"/>
      <c r="BY44" s="7" t="n"/>
      <c r="BZ44" s="7" t="n"/>
      <c r="CA44" s="7" t="n"/>
      <c r="CB44" s="7" t="n"/>
      <c r="CC44" s="7" t="n"/>
      <c r="CD44" s="7" t="n"/>
      <c r="CE44" s="7" t="n"/>
      <c r="CF44" s="7" t="n"/>
      <c r="CG44" s="7" t="n"/>
      <c r="CH44" s="7" t="n"/>
      <c r="CI44" s="7" t="n"/>
    </row>
    <row r="45" ht="12.75" customHeight="1" s="1883">
      <c r="A45" s="15" t="n"/>
      <c r="B45" s="25" t="n"/>
      <c r="C45" s="7" t="n"/>
      <c r="D45" s="7" t="n"/>
      <c r="E45" s="626" t="n"/>
      <c r="F45" s="626" t="n"/>
      <c r="G45" s="626" t="n"/>
      <c r="H45" s="626" t="n"/>
      <c r="I45" s="626" t="n"/>
      <c r="J45" s="626" t="n"/>
      <c r="K45" s="7" t="n"/>
      <c r="L45" s="7" t="n"/>
      <c r="M45" s="7" t="n"/>
      <c r="N45" s="7" t="n"/>
      <c r="O45" s="7" t="n"/>
      <c r="P45" s="7" t="n"/>
      <c r="Q45" s="43" t="n"/>
      <c r="R45" s="43" t="n"/>
      <c r="S45" s="43" t="n"/>
      <c r="T45" s="43" t="n"/>
      <c r="U45" s="43" t="n"/>
      <c r="V45" s="43" t="n"/>
      <c r="W45" s="43" t="n"/>
      <c r="X45" s="43" t="n"/>
      <c r="Y45" s="43" t="n"/>
      <c r="Z45" s="43" t="n"/>
      <c r="AA45" s="43" t="n"/>
      <c r="AB45" s="43" t="n"/>
      <c r="AC45" s="43" t="n"/>
      <c r="AD45" s="43" t="n"/>
      <c r="AE45" s="43" t="n"/>
      <c r="AF45" s="43" t="n"/>
      <c r="AG45" s="43" t="n"/>
      <c r="AH45" s="43" t="n"/>
      <c r="AI45" s="43" t="n"/>
      <c r="AJ45" s="43" t="n"/>
      <c r="AK45" s="43" t="n"/>
      <c r="AL45" s="43" t="n"/>
      <c r="AM45" s="7" t="n"/>
      <c r="AN45" s="7" t="n"/>
      <c r="AO45" s="7" t="n"/>
      <c r="AP45" s="7" t="n"/>
      <c r="AQ45" s="7" t="n"/>
      <c r="AR45" s="7" t="n"/>
      <c r="AS45" s="7" t="n"/>
      <c r="AT45" s="7" t="n"/>
      <c r="AU45" s="7" t="n"/>
      <c r="AV45" s="7" t="n"/>
      <c r="AW45" s="7" t="n"/>
      <c r="AX45" s="7" t="n"/>
      <c r="AY45" s="7" t="n"/>
      <c r="AZ45" s="7" t="n"/>
      <c r="BA45" s="7" t="n"/>
      <c r="BB45" s="7" t="n"/>
      <c r="BC45" s="7" t="n"/>
      <c r="BD45" s="7" t="n"/>
      <c r="BE45" s="7" t="n"/>
      <c r="BF45" s="7" t="n"/>
      <c r="BG45" s="7" t="n"/>
      <c r="BH45" s="7" t="n"/>
      <c r="BI45" s="7" t="n"/>
      <c r="BJ45" s="7" t="n"/>
      <c r="BK45" s="7" t="n"/>
      <c r="BL45" s="7" t="n"/>
      <c r="BM45" s="7" t="n"/>
      <c r="BN45" s="7" t="n"/>
      <c r="BO45" s="7" t="n"/>
      <c r="BP45" s="7" t="n"/>
      <c r="BQ45" s="7" t="n"/>
      <c r="BR45" s="7" t="n"/>
      <c r="BS45" s="7" t="n"/>
      <c r="BT45" s="7" t="n"/>
      <c r="BU45" s="7" t="n"/>
      <c r="BV45" s="7" t="n"/>
      <c r="BW45" s="7" t="n"/>
      <c r="BX45" s="7" t="n"/>
      <c r="BY45" s="7" t="n"/>
      <c r="BZ45" s="7" t="n"/>
      <c r="CA45" s="7" t="n"/>
      <c r="CB45" s="7" t="n"/>
      <c r="CC45" s="7" t="n"/>
      <c r="CD45" s="7" t="n"/>
      <c r="CE45" s="7" t="n"/>
      <c r="CF45" s="7" t="n"/>
      <c r="CG45" s="7" t="n"/>
      <c r="CH45" s="7" t="n"/>
      <c r="CI45" s="7" t="n"/>
    </row>
  </sheetData>
  <mergeCells count="11">
    <mergeCell ref="AC6:AN6"/>
    <mergeCell ref="BA6:BL6"/>
    <mergeCell ref="AO6:AZ6"/>
    <mergeCell ref="Q5:AB5"/>
    <mergeCell ref="Q6:AB6"/>
    <mergeCell ref="BM6:BX6"/>
    <mergeCell ref="AO5:AZ5"/>
    <mergeCell ref="BA5:BL5"/>
    <mergeCell ref="AC5:AN5"/>
    <mergeCell ref="BM5:BX5"/>
    <mergeCell ref="CC6:CI6"/>
  </mergeCells>
  <pageMargins left="0.7" right="0.7" top="0.75" bottom="0.75" header="0.3" footer="0.3"/>
  <pageSetup orientation="portrait" horizontalDpi="0" verticalDpi="0"/>
</worksheet>
</file>

<file path=xl/worksheets/sheet42.xml><?xml version="1.0" encoding="utf-8"?>
<worksheet xmlns="http://schemas.openxmlformats.org/spreadsheetml/2006/main">
  <sheetPr>
    <outlinePr summaryBelow="0" summaryRight="0"/>
    <pageSetUpPr/>
  </sheetPr>
  <dimension ref="A1:AA74"/>
  <sheetViews>
    <sheetView showGridLines="0" workbookViewId="0">
      <pane xSplit="3" ySplit="6" topLeftCell="D7" activePane="bottomRight" state="frozen"/>
      <selection pane="topRight" activeCell="D1" sqref="D1"/>
      <selection pane="bottomLeft" activeCell="A7" sqref="A7"/>
      <selection pane="bottomRight" activeCell="F7" sqref="F7"/>
    </sheetView>
  </sheetViews>
  <sheetFormatPr baseColWidth="10" defaultColWidth="17.33203125" defaultRowHeight="15" customHeight="1"/>
  <cols>
    <col width="2.6640625" customWidth="1" style="1883" min="1" max="1"/>
    <col width="11.33203125" customWidth="1" style="1883" min="2" max="2"/>
    <col width="12.5" customWidth="1" style="1883" min="3" max="3"/>
    <col width="8" customWidth="1" style="1883" min="4" max="4"/>
    <col width="1.5" customWidth="1" style="1883" min="5" max="5"/>
    <col width="8.5" customWidth="1" style="1883" min="6" max="6"/>
    <col width="5.6640625" customWidth="1" style="1883" min="7" max="9"/>
    <col width="6.5" customWidth="1" style="1883" min="10" max="26"/>
    <col width="8.6640625" customWidth="1" style="1883" min="27" max="36"/>
  </cols>
  <sheetData>
    <row r="1" ht="12.75" customHeight="1" s="1883">
      <c r="A1" s="1380">
        <f>Summary!A1</f>
        <v/>
      </c>
      <c r="B1" s="1381" t="n"/>
      <c r="C1" s="1381" t="n"/>
      <c r="D1" s="1381" t="n"/>
      <c r="E1" s="1381" t="n"/>
      <c r="F1" s="1381" t="n"/>
      <c r="G1" s="1381" t="n"/>
      <c r="H1" s="1381" t="n"/>
      <c r="I1" s="1381" t="n"/>
      <c r="J1" s="1381" t="n"/>
      <c r="K1" s="1381" t="n"/>
      <c r="L1" s="1381" t="n"/>
      <c r="M1" s="1381" t="n"/>
      <c r="N1" s="1381" t="n"/>
      <c r="O1" s="1381" t="n"/>
      <c r="P1" s="1381" t="n"/>
      <c r="Q1" s="1381" t="n"/>
      <c r="R1" s="1381" t="n"/>
      <c r="S1" s="1381" t="n"/>
      <c r="T1" s="1381" t="n"/>
      <c r="U1" s="1381" t="n"/>
      <c r="V1" s="1381" t="n"/>
      <c r="W1" s="1381" t="n"/>
      <c r="X1" s="1381" t="n"/>
      <c r="Y1" s="1381" t="n"/>
      <c r="Z1" s="1381" t="n"/>
      <c r="AA1" s="1381" t="n"/>
    </row>
    <row r="2" ht="12.75" customHeight="1" s="1883">
      <c r="A2" s="1382" t="n"/>
      <c r="B2" s="1381" t="n"/>
      <c r="C2" s="1381" t="n"/>
      <c r="D2" s="1381" t="n"/>
      <c r="E2" s="1381" t="n"/>
      <c r="F2" s="1381" t="n"/>
      <c r="G2" s="1381" t="n"/>
      <c r="H2" s="1381" t="n"/>
      <c r="I2" s="1381" t="n"/>
      <c r="J2" s="1381" t="n"/>
      <c r="K2" s="1381" t="n"/>
      <c r="L2" s="1381" t="n"/>
      <c r="M2" s="1381" t="n"/>
      <c r="N2" s="1381" t="n"/>
      <c r="O2" s="1381" t="n"/>
      <c r="P2" s="1381" t="n"/>
      <c r="Q2" s="1381" t="n"/>
      <c r="R2" s="1381" t="n"/>
      <c r="S2" s="1381" t="n"/>
      <c r="T2" s="1381" t="n"/>
      <c r="U2" s="1381" t="n"/>
      <c r="V2" s="1381" t="n"/>
      <c r="W2" s="1381" t="n"/>
      <c r="X2" s="1381" t="n"/>
      <c r="Y2" s="1381" t="n"/>
      <c r="Z2" s="1381" t="n"/>
      <c r="AA2" s="1381" t="n"/>
    </row>
    <row r="3" ht="12.75" customHeight="1" s="1883">
      <c r="A3" s="1382" t="n"/>
      <c r="B3" s="1383" t="inlineStr">
        <is>
          <t xml:space="preserve">Depreciation Calculation for Tangible Assets </t>
        </is>
      </c>
      <c r="C3" s="1382" t="n"/>
      <c r="D3" s="1381" t="n"/>
      <c r="E3" s="1381" t="n"/>
      <c r="F3" s="1381" t="n"/>
      <c r="G3" s="1381" t="n"/>
      <c r="H3" s="1381" t="n"/>
      <c r="I3" s="1381" t="n"/>
      <c r="J3" s="1381" t="n"/>
      <c r="K3" s="1381" t="n"/>
      <c r="L3" s="1381" t="n"/>
      <c r="M3" s="1381" t="n"/>
      <c r="N3" s="1381" t="n"/>
      <c r="O3" s="1381" t="n"/>
      <c r="P3" s="1381" t="n"/>
      <c r="Q3" s="1381" t="n"/>
      <c r="R3" s="1381" t="n"/>
      <c r="S3" s="1381" t="n"/>
      <c r="T3" s="1381" t="n"/>
      <c r="U3" s="1381" t="n"/>
      <c r="V3" s="1381" t="n"/>
      <c r="W3" s="1381" t="n"/>
      <c r="X3" s="1381" t="n"/>
      <c r="Y3" s="1381" t="n"/>
      <c r="Z3" s="1381" t="n"/>
      <c r="AA3" s="1381" t="n"/>
    </row>
    <row r="4" ht="12.75" customHeight="1" s="1883">
      <c r="A4" s="1381" t="n"/>
      <c r="B4" s="1381" t="n"/>
      <c r="C4" s="1381" t="n"/>
      <c r="D4" s="1381" t="n"/>
      <c r="E4" s="1381" t="n"/>
      <c r="F4" s="1381" t="n"/>
      <c r="G4" s="1381" t="n"/>
      <c r="H4" s="1381" t="n"/>
      <c r="I4" s="1381" t="n"/>
      <c r="J4" s="1381" t="n"/>
      <c r="K4" s="1381" t="n"/>
      <c r="L4" s="1381" t="n"/>
      <c r="M4" s="1381" t="n"/>
      <c r="N4" s="1381" t="n"/>
      <c r="O4" s="1381" t="n"/>
      <c r="P4" s="1381" t="n"/>
      <c r="Q4" s="1381" t="n"/>
      <c r="R4" s="1381" t="n"/>
      <c r="S4" s="1381" t="n"/>
      <c r="T4" s="1381" t="n"/>
      <c r="U4" s="1381" t="n"/>
      <c r="V4" s="1381" t="n"/>
      <c r="W4" s="1381" t="n"/>
      <c r="X4" s="1381" t="n"/>
      <c r="Y4" s="1381" t="n"/>
      <c r="Z4" s="1381" t="n"/>
      <c r="AA4" s="1381" t="n"/>
    </row>
    <row r="5" ht="12.75" customHeight="1" s="1883">
      <c r="A5" s="1381" t="n"/>
      <c r="B5" s="357" t="inlineStr">
        <is>
          <t xml:space="preserve">Fixed asset Ramp up </t>
        </is>
      </c>
      <c r="C5" s="1384" t="n"/>
      <c r="D5" s="2168" t="n"/>
      <c r="E5" s="2168" t="n"/>
      <c r="F5" s="2169" t="inlineStr">
        <is>
          <t xml:space="preserve">Initial </t>
        </is>
      </c>
      <c r="G5" s="1995" t="inlineStr">
        <is>
          <t>Year 1</t>
        </is>
      </c>
      <c r="H5" s="1993" t="n"/>
      <c r="I5" s="1993" t="n"/>
      <c r="J5" s="1993" t="n"/>
      <c r="K5" s="1995" t="inlineStr">
        <is>
          <t>Year 2</t>
        </is>
      </c>
      <c r="L5" s="1993" t="n"/>
      <c r="M5" s="1993" t="n"/>
      <c r="N5" s="1993" t="n"/>
      <c r="O5" s="1995" t="inlineStr">
        <is>
          <t>Year 3</t>
        </is>
      </c>
      <c r="P5" s="1993" t="n"/>
      <c r="Q5" s="1993" t="n"/>
      <c r="R5" s="1993" t="n"/>
      <c r="S5" s="1995" t="inlineStr">
        <is>
          <t>Year 4</t>
        </is>
      </c>
      <c r="T5" s="1993" t="n"/>
      <c r="U5" s="1993" t="n"/>
      <c r="V5" s="1993" t="n"/>
      <c r="W5" s="1992" t="inlineStr">
        <is>
          <t>Year 5</t>
        </is>
      </c>
      <c r="X5" s="1993" t="n"/>
      <c r="Y5" s="1993" t="n"/>
      <c r="Z5" s="1994" t="n"/>
      <c r="AA5" s="1381" t="n"/>
    </row>
    <row r="6" ht="13" customHeight="1" s="1883">
      <c r="A6" s="1387" t="n"/>
      <c r="B6" s="1388" t="n"/>
      <c r="C6" s="1389" t="n"/>
      <c r="D6" s="358" t="inlineStr">
        <is>
          <t xml:space="preserve">Ramp up </t>
        </is>
      </c>
      <c r="E6" s="358" t="n"/>
      <c r="F6" s="358" t="n"/>
      <c r="G6" s="359" t="inlineStr">
        <is>
          <t>Q1</t>
        </is>
      </c>
      <c r="H6" s="359" t="inlineStr">
        <is>
          <t>Q2</t>
        </is>
      </c>
      <c r="I6" s="359" t="inlineStr">
        <is>
          <t>Q3</t>
        </is>
      </c>
      <c r="J6" s="359" t="inlineStr">
        <is>
          <t>Q4</t>
        </is>
      </c>
      <c r="K6" s="359" t="inlineStr">
        <is>
          <t>Q1</t>
        </is>
      </c>
      <c r="L6" s="359" t="inlineStr">
        <is>
          <t>Q2</t>
        </is>
      </c>
      <c r="M6" s="359" t="inlineStr">
        <is>
          <t>Q3</t>
        </is>
      </c>
      <c r="N6" s="359" t="inlineStr">
        <is>
          <t>Q4</t>
        </is>
      </c>
      <c r="O6" s="359" t="inlineStr">
        <is>
          <t>Q1</t>
        </is>
      </c>
      <c r="P6" s="359" t="inlineStr">
        <is>
          <t>Q2</t>
        </is>
      </c>
      <c r="Q6" s="359" t="inlineStr">
        <is>
          <t>Q3</t>
        </is>
      </c>
      <c r="R6" s="359" t="inlineStr">
        <is>
          <t>Q4</t>
        </is>
      </c>
      <c r="S6" s="359" t="inlineStr">
        <is>
          <t>Q1</t>
        </is>
      </c>
      <c r="T6" s="359" t="inlineStr">
        <is>
          <t>Q2</t>
        </is>
      </c>
      <c r="U6" s="359" t="inlineStr">
        <is>
          <t>Q3</t>
        </is>
      </c>
      <c r="V6" s="359" t="inlineStr">
        <is>
          <t>Q4</t>
        </is>
      </c>
      <c r="W6" s="359" t="inlineStr">
        <is>
          <t>Q1</t>
        </is>
      </c>
      <c r="X6" s="359" t="inlineStr">
        <is>
          <t>Q2</t>
        </is>
      </c>
      <c r="Y6" s="359" t="inlineStr">
        <is>
          <t>Q3</t>
        </is>
      </c>
      <c r="Z6" s="360" t="inlineStr">
        <is>
          <t>Q4</t>
        </is>
      </c>
      <c r="AA6" s="1390" t="n"/>
    </row>
    <row r="7" ht="12.75" customHeight="1" s="1883">
      <c r="A7" s="1381" t="n"/>
      <c r="B7" s="1997" t="inlineStr">
        <is>
          <t>Year 1</t>
        </is>
      </c>
      <c r="C7" s="361" t="inlineStr">
        <is>
          <t>Q1</t>
        </is>
      </c>
      <c r="D7" s="1391" t="n"/>
      <c r="E7" s="1391" t="n"/>
      <c r="F7" s="1392">
        <f>NA()</f>
        <v/>
      </c>
      <c r="G7" s="2170" t="n">
        <v>0</v>
      </c>
      <c r="H7" s="2170" t="n"/>
      <c r="I7" s="2170" t="n"/>
      <c r="J7" s="2170" t="n"/>
      <c r="K7" s="2170" t="n"/>
      <c r="L7" s="2170" t="n"/>
      <c r="M7" s="2170" t="n"/>
      <c r="N7" s="2170" t="n"/>
      <c r="O7" s="2170" t="n"/>
      <c r="P7" s="2170" t="n"/>
      <c r="Q7" s="2170" t="n"/>
      <c r="R7" s="2170" t="n"/>
      <c r="S7" s="2170" t="n"/>
      <c r="T7" s="2170" t="n"/>
      <c r="U7" s="2170" t="n"/>
      <c r="V7" s="2170" t="n"/>
      <c r="W7" s="2170" t="n"/>
      <c r="X7" s="2170" t="n"/>
      <c r="Y7" s="2170" t="n"/>
      <c r="Z7" s="2171" t="n"/>
      <c r="AA7" s="2170" t="n"/>
    </row>
    <row r="8" ht="12.75" customHeight="1" s="1883">
      <c r="A8" s="1381" t="n"/>
      <c r="B8" s="1991" t="n"/>
      <c r="C8" s="363" t="inlineStr">
        <is>
          <t>Q2</t>
        </is>
      </c>
      <c r="D8" s="1391" t="n"/>
      <c r="E8" s="1391" t="n"/>
      <c r="F8" s="1394" t="n"/>
      <c r="G8" s="2170" t="n"/>
      <c r="H8" s="2170">
        <f>NA()</f>
        <v/>
      </c>
      <c r="I8" s="2170" t="n"/>
      <c r="J8" s="2170" t="n"/>
      <c r="K8" s="2170" t="n"/>
      <c r="L8" s="2170" t="n"/>
      <c r="M8" s="2170" t="n"/>
      <c r="N8" s="2170" t="n"/>
      <c r="O8" s="2170" t="n"/>
      <c r="P8" s="2170" t="n"/>
      <c r="Q8" s="2170" t="n"/>
      <c r="R8" s="2170" t="n"/>
      <c r="S8" s="2170" t="n"/>
      <c r="T8" s="2170" t="n"/>
      <c r="U8" s="2170" t="n"/>
      <c r="V8" s="2170" t="n"/>
      <c r="W8" s="2170" t="n"/>
      <c r="X8" s="2170" t="n"/>
      <c r="Y8" s="2170" t="n"/>
      <c r="Z8" s="2171" t="n"/>
      <c r="AA8" s="2170" t="n"/>
    </row>
    <row r="9" ht="12.75" customHeight="1" s="1883">
      <c r="A9" s="1381" t="n"/>
      <c r="B9" s="1991" t="n"/>
      <c r="C9" s="363" t="inlineStr">
        <is>
          <t>Q3</t>
        </is>
      </c>
      <c r="D9" s="1391" t="n"/>
      <c r="E9" s="1391" t="n"/>
      <c r="F9" s="1394" t="n"/>
      <c r="G9" s="2170" t="n"/>
      <c r="H9" s="2170" t="n"/>
      <c r="I9" s="2170">
        <f>NA()</f>
        <v/>
      </c>
      <c r="J9" s="2170" t="n"/>
      <c r="K9" s="2170" t="n"/>
      <c r="L9" s="2170" t="n"/>
      <c r="M9" s="2170" t="n"/>
      <c r="N9" s="2170" t="n"/>
      <c r="O9" s="2170" t="n"/>
      <c r="P9" s="2170" t="n"/>
      <c r="Q9" s="2170" t="n"/>
      <c r="R9" s="2170" t="n"/>
      <c r="S9" s="2170" t="n"/>
      <c r="T9" s="2170" t="n"/>
      <c r="U9" s="2170" t="n"/>
      <c r="V9" s="2170" t="n"/>
      <c r="W9" s="2170" t="n"/>
      <c r="X9" s="2170" t="n"/>
      <c r="Y9" s="2170" t="n"/>
      <c r="Z9" s="2171" t="n"/>
      <c r="AA9" s="2170" t="n"/>
    </row>
    <row r="10" ht="12.75" customHeight="1" s="1883">
      <c r="A10" s="1381" t="n"/>
      <c r="B10" s="1991" t="n"/>
      <c r="C10" s="363" t="inlineStr">
        <is>
          <t>Q4</t>
        </is>
      </c>
      <c r="D10" s="1391" t="n"/>
      <c r="E10" s="1391" t="n"/>
      <c r="F10" s="1394" t="n"/>
      <c r="G10" s="2170" t="n"/>
      <c r="H10" s="2170" t="n"/>
      <c r="I10" s="2170" t="n"/>
      <c r="J10" s="2170">
        <f>NA()</f>
        <v/>
      </c>
      <c r="K10" s="2170" t="n"/>
      <c r="L10" s="2170" t="n"/>
      <c r="M10" s="2170" t="n"/>
      <c r="N10" s="2170" t="n"/>
      <c r="O10" s="2170" t="n"/>
      <c r="P10" s="2170" t="n"/>
      <c r="Q10" s="2170" t="n"/>
      <c r="R10" s="2170" t="n"/>
      <c r="S10" s="2170" t="n"/>
      <c r="T10" s="2170" t="n"/>
      <c r="U10" s="2170" t="n"/>
      <c r="V10" s="2170" t="n"/>
      <c r="W10" s="2170" t="n"/>
      <c r="X10" s="2170" t="n"/>
      <c r="Y10" s="2170" t="n"/>
      <c r="Z10" s="2171" t="n"/>
      <c r="AA10" s="2170" t="n"/>
    </row>
    <row r="11" ht="12.75" customHeight="1" s="1883">
      <c r="A11" s="1395" t="n"/>
      <c r="B11" s="1990" t="inlineStr">
        <is>
          <t>Year 2</t>
        </is>
      </c>
      <c r="C11" s="363" t="inlineStr">
        <is>
          <t>Q1</t>
        </is>
      </c>
      <c r="D11" s="1391" t="n"/>
      <c r="E11" s="1391" t="n"/>
      <c r="F11" s="1394" t="n"/>
      <c r="G11" s="2170" t="n"/>
      <c r="H11" s="2170" t="n"/>
      <c r="I11" s="2170" t="n"/>
      <c r="J11" s="2170" t="n"/>
      <c r="K11" s="2170">
        <f>NA()</f>
        <v/>
      </c>
      <c r="L11" s="2170" t="n"/>
      <c r="M11" s="2170" t="n"/>
      <c r="N11" s="2170" t="n"/>
      <c r="O11" s="2170" t="n"/>
      <c r="P11" s="2170" t="n"/>
      <c r="Q11" s="2170" t="n"/>
      <c r="R11" s="2170" t="n"/>
      <c r="S11" s="2170" t="n"/>
      <c r="T11" s="2170" t="n"/>
      <c r="U11" s="2170" t="n"/>
      <c r="V11" s="2170" t="n"/>
      <c r="W11" s="2170" t="n"/>
      <c r="X11" s="2170" t="n"/>
      <c r="Y11" s="2170" t="n"/>
      <c r="Z11" s="2171" t="n"/>
      <c r="AA11" s="2170" t="n"/>
    </row>
    <row r="12" ht="12.75" customHeight="1" s="1883">
      <c r="A12" s="1396" t="n"/>
      <c r="B12" s="1991" t="n"/>
      <c r="C12" s="363" t="inlineStr">
        <is>
          <t>Q2</t>
        </is>
      </c>
      <c r="D12" s="1391" t="n"/>
      <c r="E12" s="1391" t="n"/>
      <c r="F12" s="1394" t="n"/>
      <c r="G12" s="2170" t="n"/>
      <c r="H12" s="2170" t="n"/>
      <c r="I12" s="2170" t="n"/>
      <c r="J12" s="2170" t="n"/>
      <c r="K12" s="2170" t="n"/>
      <c r="L12" s="2170">
        <f>NA()</f>
        <v/>
      </c>
      <c r="M12" s="2170" t="n"/>
      <c r="N12" s="2170" t="n"/>
      <c r="O12" s="2170" t="n"/>
      <c r="P12" s="2170" t="n"/>
      <c r="Q12" s="2170" t="n"/>
      <c r="R12" s="2170" t="n"/>
      <c r="S12" s="2170" t="n"/>
      <c r="T12" s="2170" t="n"/>
      <c r="U12" s="2170" t="n"/>
      <c r="V12" s="2170" t="n"/>
      <c r="W12" s="2170" t="n"/>
      <c r="X12" s="2170" t="n"/>
      <c r="Y12" s="2170" t="n"/>
      <c r="Z12" s="2171" t="n"/>
      <c r="AA12" s="2170" t="n"/>
    </row>
    <row r="13" ht="12.75" customHeight="1" s="1883">
      <c r="A13" s="1395" t="n"/>
      <c r="B13" s="1991" t="n"/>
      <c r="C13" s="363" t="inlineStr">
        <is>
          <t>Q3</t>
        </is>
      </c>
      <c r="D13" s="1391" t="n"/>
      <c r="E13" s="1391" t="n"/>
      <c r="F13" s="1394" t="n"/>
      <c r="G13" s="2170" t="n"/>
      <c r="H13" s="2170" t="n"/>
      <c r="I13" s="2170" t="n"/>
      <c r="J13" s="2170" t="n"/>
      <c r="K13" s="2170" t="n"/>
      <c r="L13" s="2170" t="n"/>
      <c r="M13" s="2170">
        <f>NA()</f>
        <v/>
      </c>
      <c r="N13" s="2170" t="n"/>
      <c r="O13" s="2170" t="n"/>
      <c r="P13" s="2170" t="n"/>
      <c r="Q13" s="2170" t="n"/>
      <c r="R13" s="2170" t="n"/>
      <c r="S13" s="2170" t="n"/>
      <c r="T13" s="2170" t="n"/>
      <c r="U13" s="2170" t="n"/>
      <c r="V13" s="2170" t="n"/>
      <c r="W13" s="2170" t="n"/>
      <c r="X13" s="2170" t="n"/>
      <c r="Y13" s="2170" t="n"/>
      <c r="Z13" s="2171" t="n"/>
      <c r="AA13" s="2170" t="n"/>
    </row>
    <row r="14" ht="12.75" customHeight="1" s="1883">
      <c r="A14" s="1395" t="n"/>
      <c r="B14" s="1991" t="n"/>
      <c r="C14" s="363" t="inlineStr">
        <is>
          <t>Q4</t>
        </is>
      </c>
      <c r="D14" s="1391" t="n"/>
      <c r="E14" s="1391" t="n"/>
      <c r="F14" s="1394" t="n"/>
      <c r="G14" s="2170" t="n"/>
      <c r="H14" s="2170" t="n"/>
      <c r="I14" s="2170" t="n"/>
      <c r="J14" s="2170" t="n"/>
      <c r="K14" s="2170" t="n"/>
      <c r="L14" s="2170" t="n"/>
      <c r="M14" s="2170" t="n"/>
      <c r="N14" s="2170">
        <f>NA()</f>
        <v/>
      </c>
      <c r="O14" s="2170" t="n"/>
      <c r="P14" s="2170" t="n"/>
      <c r="Q14" s="2170" t="n"/>
      <c r="R14" s="2170" t="n"/>
      <c r="S14" s="2170" t="n"/>
      <c r="T14" s="2170" t="n"/>
      <c r="U14" s="2170" t="n"/>
      <c r="V14" s="2170" t="n"/>
      <c r="W14" s="2170" t="n"/>
      <c r="X14" s="2170" t="n"/>
      <c r="Y14" s="2170" t="n"/>
      <c r="Z14" s="2171" t="n"/>
      <c r="AA14" s="2170" t="n"/>
    </row>
    <row r="15" ht="12.75" customHeight="1" s="1883">
      <c r="A15" s="1396" t="n"/>
      <c r="B15" s="1990" t="inlineStr">
        <is>
          <t>Year 3</t>
        </is>
      </c>
      <c r="C15" s="363" t="inlineStr">
        <is>
          <t>Q1</t>
        </is>
      </c>
      <c r="D15" s="1391" t="n"/>
      <c r="E15" s="1391" t="n"/>
      <c r="F15" s="1394" t="n"/>
      <c r="G15" s="2170" t="n"/>
      <c r="H15" s="2170" t="n"/>
      <c r="I15" s="2170" t="n"/>
      <c r="J15" s="2170" t="n"/>
      <c r="K15" s="2170" t="n"/>
      <c r="L15" s="2170" t="n"/>
      <c r="M15" s="2170" t="n"/>
      <c r="N15" s="2170" t="n"/>
      <c r="O15" s="2170">
        <f>NA()</f>
        <v/>
      </c>
      <c r="P15" s="2170" t="n"/>
      <c r="Q15" s="2170" t="n"/>
      <c r="R15" s="2170" t="n"/>
      <c r="S15" s="2170" t="n"/>
      <c r="T15" s="2170" t="n"/>
      <c r="U15" s="2170" t="n"/>
      <c r="V15" s="2170" t="n"/>
      <c r="W15" s="2170" t="n"/>
      <c r="X15" s="2170" t="n"/>
      <c r="Y15" s="2170" t="n"/>
      <c r="Z15" s="2171" t="n"/>
      <c r="AA15" s="2170" t="n"/>
    </row>
    <row r="16" ht="12.75" customHeight="1" s="1883">
      <c r="A16" s="1396" t="n"/>
      <c r="B16" s="1991" t="n"/>
      <c r="C16" s="363" t="inlineStr">
        <is>
          <t>Q2</t>
        </is>
      </c>
      <c r="D16" s="1391" t="n"/>
      <c r="E16" s="1391" t="n"/>
      <c r="F16" s="1394" t="n"/>
      <c r="G16" s="2170" t="n"/>
      <c r="H16" s="2170" t="n"/>
      <c r="I16" s="2170" t="n"/>
      <c r="J16" s="2170" t="n"/>
      <c r="K16" s="2170" t="n"/>
      <c r="L16" s="2170" t="n"/>
      <c r="M16" s="2170" t="n"/>
      <c r="N16" s="2170" t="n"/>
      <c r="O16" s="2170" t="n"/>
      <c r="P16" s="2170">
        <f>NA()</f>
        <v/>
      </c>
      <c r="Q16" s="2170" t="n"/>
      <c r="R16" s="2170" t="n"/>
      <c r="S16" s="2170" t="n"/>
      <c r="T16" s="2170" t="n"/>
      <c r="U16" s="2170" t="n"/>
      <c r="V16" s="2170" t="n"/>
      <c r="W16" s="2170" t="n"/>
      <c r="X16" s="2170" t="n"/>
      <c r="Y16" s="2170" t="n"/>
      <c r="Z16" s="2171" t="n"/>
      <c r="AA16" s="2170" t="n"/>
    </row>
    <row r="17" ht="12.75" customHeight="1" s="1883">
      <c r="A17" s="1396" t="n"/>
      <c r="B17" s="1991" t="n"/>
      <c r="C17" s="363" t="inlineStr">
        <is>
          <t>Q3</t>
        </is>
      </c>
      <c r="D17" s="1391" t="n"/>
      <c r="E17" s="1391" t="n"/>
      <c r="F17" s="1394" t="n"/>
      <c r="G17" s="2170" t="n"/>
      <c r="H17" s="2170" t="n"/>
      <c r="I17" s="2170" t="n"/>
      <c r="J17" s="2170" t="n"/>
      <c r="K17" s="2170" t="n"/>
      <c r="L17" s="2170" t="n"/>
      <c r="M17" s="2170" t="n"/>
      <c r="N17" s="2170" t="n"/>
      <c r="O17" s="2170" t="n"/>
      <c r="P17" s="2170" t="n"/>
      <c r="Q17" s="2170">
        <f>NA()</f>
        <v/>
      </c>
      <c r="R17" s="2170" t="n"/>
      <c r="S17" s="2170" t="n"/>
      <c r="T17" s="2170" t="n"/>
      <c r="U17" s="2170" t="n"/>
      <c r="V17" s="2170" t="n"/>
      <c r="W17" s="2170" t="n"/>
      <c r="X17" s="2170" t="n"/>
      <c r="Y17" s="2170" t="n"/>
      <c r="Z17" s="2171" t="n"/>
      <c r="AA17" s="2170" t="n"/>
    </row>
    <row r="18" ht="12.75" customHeight="1" s="1883">
      <c r="A18" s="1396" t="n"/>
      <c r="B18" s="1991" t="n"/>
      <c r="C18" s="363" t="inlineStr">
        <is>
          <t>Q4</t>
        </is>
      </c>
      <c r="D18" s="1391" t="n"/>
      <c r="E18" s="1391" t="n"/>
      <c r="F18" s="1394" t="n"/>
      <c r="G18" s="2170" t="n"/>
      <c r="H18" s="2170" t="n"/>
      <c r="I18" s="2170" t="n"/>
      <c r="J18" s="2170" t="n"/>
      <c r="K18" s="2170" t="n"/>
      <c r="L18" s="2170" t="n"/>
      <c r="M18" s="2170" t="n"/>
      <c r="N18" s="2170" t="n"/>
      <c r="O18" s="2170" t="n"/>
      <c r="P18" s="2170" t="n"/>
      <c r="Q18" s="2170" t="n"/>
      <c r="R18" s="2170">
        <f>NA()</f>
        <v/>
      </c>
      <c r="S18" s="2170" t="n"/>
      <c r="T18" s="2170" t="n"/>
      <c r="U18" s="2170" t="n"/>
      <c r="V18" s="2170" t="n"/>
      <c r="W18" s="2170" t="n"/>
      <c r="X18" s="2170" t="n"/>
      <c r="Y18" s="2170" t="n"/>
      <c r="Z18" s="2171" t="n"/>
      <c r="AA18" s="2170" t="n"/>
    </row>
    <row r="19" ht="12.75" customHeight="1" s="1883">
      <c r="A19" s="1396" t="n"/>
      <c r="B19" s="1990" t="inlineStr">
        <is>
          <t>Year 4</t>
        </is>
      </c>
      <c r="C19" s="363" t="inlineStr">
        <is>
          <t>Q1</t>
        </is>
      </c>
      <c r="D19" s="1391" t="n"/>
      <c r="E19" s="1391" t="n"/>
      <c r="F19" s="1391" t="n"/>
      <c r="G19" s="1391" t="n"/>
      <c r="H19" s="1391" t="n"/>
      <c r="I19" s="1391" t="n"/>
      <c r="J19" s="2170" t="n"/>
      <c r="K19" s="2170" t="n"/>
      <c r="L19" s="2170" t="n"/>
      <c r="M19" s="2170" t="n"/>
      <c r="N19" s="2170" t="n"/>
      <c r="O19" s="2170" t="n"/>
      <c r="P19" s="2170" t="n"/>
      <c r="Q19" s="2170" t="n"/>
      <c r="R19" s="2170" t="n"/>
      <c r="S19" s="2170">
        <f>NA()</f>
        <v/>
      </c>
      <c r="T19" s="2170" t="n"/>
      <c r="U19" s="2170" t="n"/>
      <c r="V19" s="2170" t="n"/>
      <c r="W19" s="2170" t="n"/>
      <c r="X19" s="2170" t="n"/>
      <c r="Y19" s="2170" t="n"/>
      <c r="Z19" s="2171" t="n"/>
      <c r="AA19" s="2170" t="n"/>
    </row>
    <row r="20" ht="12.75" customHeight="1" s="1883">
      <c r="A20" s="1396" t="n"/>
      <c r="B20" s="1991" t="n"/>
      <c r="C20" s="363" t="inlineStr">
        <is>
          <t>Q2</t>
        </is>
      </c>
      <c r="D20" s="1391" t="n"/>
      <c r="E20" s="1391" t="n"/>
      <c r="F20" s="1391" t="n"/>
      <c r="G20" s="1391" t="n"/>
      <c r="H20" s="1391" t="n"/>
      <c r="I20" s="1391" t="n"/>
      <c r="J20" s="2170" t="n"/>
      <c r="K20" s="2170" t="n"/>
      <c r="L20" s="2170" t="n"/>
      <c r="M20" s="2170" t="n"/>
      <c r="N20" s="2170" t="n"/>
      <c r="O20" s="2170" t="n"/>
      <c r="P20" s="2170" t="n"/>
      <c r="Q20" s="2170" t="n"/>
      <c r="R20" s="2170" t="n"/>
      <c r="S20" s="2170" t="n"/>
      <c r="T20" s="2170">
        <f>NA()</f>
        <v/>
      </c>
      <c r="U20" s="2170" t="n"/>
      <c r="V20" s="2170" t="n"/>
      <c r="W20" s="2170" t="n"/>
      <c r="X20" s="2170" t="n"/>
      <c r="Y20" s="2170" t="n"/>
      <c r="Z20" s="2171" t="n"/>
      <c r="AA20" s="2170" t="n"/>
    </row>
    <row r="21" ht="12.75" customHeight="1" s="1883">
      <c r="A21" s="1396" t="n"/>
      <c r="B21" s="1991" t="n"/>
      <c r="C21" s="363" t="inlineStr">
        <is>
          <t>Q3</t>
        </is>
      </c>
      <c r="D21" s="1391" t="n"/>
      <c r="E21" s="1391" t="n"/>
      <c r="F21" s="1391" t="n"/>
      <c r="G21" s="1391" t="n"/>
      <c r="H21" s="1391" t="n"/>
      <c r="I21" s="1391" t="n"/>
      <c r="J21" s="2170" t="n"/>
      <c r="K21" s="2170" t="n"/>
      <c r="L21" s="2170" t="n"/>
      <c r="M21" s="2170" t="n"/>
      <c r="N21" s="2170" t="n"/>
      <c r="O21" s="2170" t="n"/>
      <c r="P21" s="2170" t="n"/>
      <c r="Q21" s="2170" t="n"/>
      <c r="R21" s="2170" t="n"/>
      <c r="S21" s="2170" t="n"/>
      <c r="T21" s="2170" t="n"/>
      <c r="U21" s="2170">
        <f>NA()</f>
        <v/>
      </c>
      <c r="V21" s="2170" t="n"/>
      <c r="W21" s="2170" t="n"/>
      <c r="X21" s="2170" t="n"/>
      <c r="Y21" s="2170" t="n"/>
      <c r="Z21" s="2171" t="n"/>
      <c r="AA21" s="2170" t="n"/>
    </row>
    <row r="22" ht="12.75" customHeight="1" s="1883">
      <c r="A22" s="1396" t="n"/>
      <c r="B22" s="1991" t="n"/>
      <c r="C22" s="363" t="inlineStr">
        <is>
          <t>Q4</t>
        </is>
      </c>
      <c r="D22" s="1391" t="n"/>
      <c r="E22" s="1391" t="n"/>
      <c r="F22" s="1391" t="n"/>
      <c r="G22" s="1391" t="n"/>
      <c r="H22" s="1391" t="n"/>
      <c r="I22" s="1391" t="n"/>
      <c r="J22" s="2170" t="n"/>
      <c r="K22" s="2170" t="n"/>
      <c r="L22" s="2170" t="n"/>
      <c r="M22" s="2170" t="n"/>
      <c r="N22" s="2170" t="n"/>
      <c r="O22" s="2170" t="n"/>
      <c r="P22" s="2170" t="n"/>
      <c r="Q22" s="2170" t="n"/>
      <c r="R22" s="2170" t="n"/>
      <c r="S22" s="2170" t="n"/>
      <c r="T22" s="2170" t="n"/>
      <c r="U22" s="2170" t="n"/>
      <c r="V22" s="2170">
        <f>NA()</f>
        <v/>
      </c>
      <c r="W22" s="2170" t="n"/>
      <c r="X22" s="2170" t="n"/>
      <c r="Y22" s="2170" t="n"/>
      <c r="Z22" s="2171" t="n"/>
      <c r="AA22" s="2170" t="n"/>
    </row>
    <row r="23" ht="12.75" customHeight="1" s="1883">
      <c r="A23" s="1396" t="n"/>
      <c r="B23" s="1990" t="inlineStr">
        <is>
          <t>Year 5</t>
        </is>
      </c>
      <c r="C23" s="363" t="inlineStr">
        <is>
          <t>Q1</t>
        </is>
      </c>
      <c r="D23" s="1391" t="n"/>
      <c r="E23" s="1391" t="n"/>
      <c r="F23" s="1391" t="n"/>
      <c r="G23" s="1391" t="n"/>
      <c r="H23" s="1391" t="n"/>
      <c r="I23" s="1391" t="n"/>
      <c r="J23" s="2170" t="n"/>
      <c r="K23" s="2170" t="n"/>
      <c r="L23" s="2170" t="n"/>
      <c r="M23" s="2170" t="n"/>
      <c r="N23" s="2170" t="n"/>
      <c r="O23" s="2170" t="n"/>
      <c r="P23" s="2170" t="n"/>
      <c r="Q23" s="2170" t="n"/>
      <c r="R23" s="2170" t="n"/>
      <c r="S23" s="2170" t="n"/>
      <c r="T23" s="2170" t="n"/>
      <c r="U23" s="2170" t="n"/>
      <c r="V23" s="2170" t="n"/>
      <c r="W23" s="2170">
        <f>NA()</f>
        <v/>
      </c>
      <c r="X23" s="2170" t="n"/>
      <c r="Y23" s="2170" t="n"/>
      <c r="Z23" s="2171" t="n"/>
      <c r="AA23" s="2170" t="n"/>
    </row>
    <row r="24" ht="12.75" customHeight="1" s="1883">
      <c r="A24" s="1396" t="n"/>
      <c r="B24" s="1991" t="n"/>
      <c r="C24" s="363" t="inlineStr">
        <is>
          <t>Q2</t>
        </is>
      </c>
      <c r="D24" s="1391" t="n"/>
      <c r="E24" s="1391" t="n"/>
      <c r="F24" s="1391" t="n"/>
      <c r="G24" s="1391" t="n"/>
      <c r="H24" s="1391" t="n"/>
      <c r="I24" s="1391" t="n"/>
      <c r="J24" s="2170" t="n"/>
      <c r="K24" s="2170" t="n"/>
      <c r="L24" s="2170" t="n"/>
      <c r="M24" s="2170" t="n"/>
      <c r="N24" s="2170" t="n"/>
      <c r="O24" s="2170" t="n"/>
      <c r="P24" s="2170" t="n"/>
      <c r="Q24" s="2170" t="n"/>
      <c r="R24" s="2170" t="n"/>
      <c r="S24" s="2170" t="n"/>
      <c r="T24" s="2170" t="n"/>
      <c r="U24" s="2170" t="n"/>
      <c r="V24" s="2170" t="n"/>
      <c r="W24" s="2170" t="n"/>
      <c r="X24" s="2170">
        <f>NA()</f>
        <v/>
      </c>
      <c r="Y24" s="2170" t="n"/>
      <c r="Z24" s="2171" t="n"/>
      <c r="AA24" s="2170" t="n"/>
    </row>
    <row r="25" ht="12.75" customHeight="1" s="1883">
      <c r="A25" s="1395" t="n"/>
      <c r="B25" s="1991" t="n"/>
      <c r="C25" s="363" t="inlineStr">
        <is>
          <t>Q3</t>
        </is>
      </c>
      <c r="D25" s="1391" t="n"/>
      <c r="E25" s="1391" t="n"/>
      <c r="F25" s="1394" t="n"/>
      <c r="G25" s="2170" t="n"/>
      <c r="H25" s="2170" t="n"/>
      <c r="I25" s="2170" t="n"/>
      <c r="J25" s="2170" t="n"/>
      <c r="K25" s="2170" t="n"/>
      <c r="L25" s="2170" t="n"/>
      <c r="M25" s="2170" t="n"/>
      <c r="N25" s="2170" t="n"/>
      <c r="O25" s="2170" t="n"/>
      <c r="P25" s="2170" t="n"/>
      <c r="Q25" s="2170" t="n"/>
      <c r="R25" s="2170" t="n"/>
      <c r="S25" s="2170" t="n"/>
      <c r="T25" s="2170" t="n"/>
      <c r="U25" s="2170" t="n"/>
      <c r="V25" s="2170" t="n"/>
      <c r="W25" s="2170" t="n"/>
      <c r="X25" s="2170" t="n"/>
      <c r="Y25" s="2170">
        <f>NA()</f>
        <v/>
      </c>
      <c r="Z25" s="2171" t="n"/>
      <c r="AA25" s="2170" t="n"/>
    </row>
    <row r="26" ht="12.75" customHeight="1" s="1883">
      <c r="A26" s="1395" t="n"/>
      <c r="B26" s="364" t="n"/>
      <c r="C26" s="365" t="inlineStr">
        <is>
          <t>Q4</t>
        </is>
      </c>
      <c r="D26" s="1391" t="n"/>
      <c r="E26" s="1391" t="n"/>
      <c r="F26" s="1394" t="n"/>
      <c r="G26" s="2172" t="n"/>
      <c r="H26" s="2172" t="n"/>
      <c r="I26" s="2172" t="n"/>
      <c r="J26" s="2172" t="n"/>
      <c r="K26" s="2172" t="n"/>
      <c r="L26" s="2172" t="n"/>
      <c r="M26" s="2172" t="n"/>
      <c r="N26" s="2172" t="n"/>
      <c r="O26" s="2172" t="n"/>
      <c r="P26" s="2172" t="n"/>
      <c r="Q26" s="2172" t="n"/>
      <c r="R26" s="2172" t="n"/>
      <c r="S26" s="2172" t="n"/>
      <c r="T26" s="2172" t="n"/>
      <c r="U26" s="2172" t="n"/>
      <c r="V26" s="2172" t="n"/>
      <c r="W26" s="2172" t="n"/>
      <c r="X26" s="2172" t="n"/>
      <c r="Y26" s="2172" t="n"/>
      <c r="Z26" s="2171">
        <f>NA()</f>
        <v/>
      </c>
      <c r="AA26" s="2170" t="n"/>
    </row>
    <row r="27" ht="12.75" customHeight="1" s="1883">
      <c r="A27" s="1396" t="n"/>
      <c r="B27" s="1996" t="inlineStr">
        <is>
          <t>Total addition</t>
        </is>
      </c>
      <c r="D27" s="1397" t="n"/>
      <c r="E27" s="1398" t="n"/>
      <c r="F27" s="2173">
        <f>SUM(F7:F26)</f>
        <v/>
      </c>
      <c r="G27" s="2173">
        <f>SUM(G7:G26)</f>
        <v/>
      </c>
      <c r="H27" s="2173">
        <f>SUM(H7:H26)</f>
        <v/>
      </c>
      <c r="I27" s="2173">
        <f>SUM(I7:I26)</f>
        <v/>
      </c>
      <c r="J27" s="2173">
        <f>SUM(J7:J26)</f>
        <v/>
      </c>
      <c r="K27" s="2173">
        <f>SUM(K7:K26)</f>
        <v/>
      </c>
      <c r="L27" s="2173">
        <f>SUM(L7:L26)</f>
        <v/>
      </c>
      <c r="M27" s="2173">
        <f>SUM(M7:M26)</f>
        <v/>
      </c>
      <c r="N27" s="2173">
        <f>SUM(N7:N26)</f>
        <v/>
      </c>
      <c r="O27" s="2173">
        <f>SUM(O7:O26)</f>
        <v/>
      </c>
      <c r="P27" s="2173">
        <f>SUM(P7:P26)</f>
        <v/>
      </c>
      <c r="Q27" s="2173">
        <f>SUM(Q7:Q26)</f>
        <v/>
      </c>
      <c r="R27" s="2173">
        <f>SUM(R7:R26)</f>
        <v/>
      </c>
      <c r="S27" s="2173">
        <f>SUM(S7:S26)</f>
        <v/>
      </c>
      <c r="T27" s="2173">
        <f>SUM(T7:T26)</f>
        <v/>
      </c>
      <c r="U27" s="2173">
        <f>SUM(U7:U26)</f>
        <v/>
      </c>
      <c r="V27" s="2173">
        <f>SUM(V7:V26)</f>
        <v/>
      </c>
      <c r="W27" s="2173">
        <f>SUM(W7:W26)</f>
        <v/>
      </c>
      <c r="X27" s="2173">
        <f>SUM(X7:X26)</f>
        <v/>
      </c>
      <c r="Y27" s="2173">
        <f>SUM(Y7:Y26)</f>
        <v/>
      </c>
      <c r="Z27" s="2174">
        <f>SUM(Z7:Z26)</f>
        <v/>
      </c>
      <c r="AA27" s="2170" t="n"/>
    </row>
    <row r="28" ht="12.75" customHeight="1" s="1883">
      <c r="A28" s="1395" t="n"/>
      <c r="B28" s="368" t="inlineStr">
        <is>
          <t>Depreciation</t>
        </is>
      </c>
      <c r="C28" s="369" t="n"/>
      <c r="D28" s="1400" t="n"/>
      <c r="E28" s="1400" t="n"/>
      <c r="F28" s="1400" t="n"/>
      <c r="G28" s="2175" t="n"/>
      <c r="H28" s="2175" t="n"/>
      <c r="I28" s="2175" t="n"/>
      <c r="J28" s="2175" t="n"/>
      <c r="K28" s="2175" t="n"/>
      <c r="L28" s="2175" t="n"/>
      <c r="M28" s="2175" t="n"/>
      <c r="N28" s="2175" t="n"/>
      <c r="O28" s="2175" t="n"/>
      <c r="P28" s="2175" t="n"/>
      <c r="Q28" s="2175" t="n"/>
      <c r="R28" s="2175" t="n"/>
      <c r="S28" s="2175" t="n"/>
      <c r="T28" s="2175" t="n"/>
      <c r="U28" s="2175" t="n"/>
      <c r="V28" s="2175" t="n"/>
      <c r="W28" s="2175" t="n"/>
      <c r="X28" s="2175" t="n"/>
      <c r="Y28" s="2175" t="n"/>
      <c r="Z28" s="2176" t="n"/>
      <c r="AA28" s="2170" t="n"/>
    </row>
    <row r="29" ht="12.75" customHeight="1" s="1883">
      <c r="A29" s="1402" t="n"/>
      <c r="B29" s="1403" t="n"/>
      <c r="C29" s="371" t="inlineStr">
        <is>
          <t xml:space="preserve">Initial </t>
        </is>
      </c>
      <c r="D29" s="1404" t="n"/>
      <c r="E29" s="1404" t="n"/>
      <c r="F29" s="2170" t="n"/>
      <c r="G29" s="2170">
        <f>NA()</f>
        <v/>
      </c>
      <c r="H29" s="2170">
        <f>NA()</f>
        <v/>
      </c>
      <c r="I29" s="2170">
        <f>NA()</f>
        <v/>
      </c>
      <c r="J29" s="2170">
        <f>NA()</f>
        <v/>
      </c>
      <c r="K29" s="2170">
        <f>NA()</f>
        <v/>
      </c>
      <c r="L29" s="2170">
        <f>NA()</f>
        <v/>
      </c>
      <c r="M29" s="2170">
        <f>NA()</f>
        <v/>
      </c>
      <c r="N29" s="2170">
        <f>NA()</f>
        <v/>
      </c>
      <c r="O29" s="2170">
        <f>NA()</f>
        <v/>
      </c>
      <c r="P29" s="2170">
        <f>NA()</f>
        <v/>
      </c>
      <c r="Q29" s="2170">
        <f>NA()</f>
        <v/>
      </c>
      <c r="R29" s="2170">
        <f>NA()</f>
        <v/>
      </c>
      <c r="S29" s="2170">
        <f>NA()</f>
        <v/>
      </c>
      <c r="T29" s="2170">
        <f>NA()</f>
        <v/>
      </c>
      <c r="U29" s="2170">
        <f>NA()</f>
        <v/>
      </c>
      <c r="V29" s="2170">
        <f>NA()</f>
        <v/>
      </c>
      <c r="W29" s="2170">
        <f>NA()</f>
        <v/>
      </c>
      <c r="X29" s="2170">
        <f>NA()</f>
        <v/>
      </c>
      <c r="Y29" s="2170">
        <f>NA()</f>
        <v/>
      </c>
      <c r="Z29" s="2171">
        <f>NA()</f>
        <v/>
      </c>
      <c r="AA29" s="2170" t="n"/>
    </row>
    <row r="30" ht="12.75" customHeight="1" s="1883">
      <c r="A30" s="1402" t="n"/>
      <c r="B30" s="1990" t="inlineStr">
        <is>
          <t>Year 1</t>
        </is>
      </c>
      <c r="C30" s="363" t="inlineStr">
        <is>
          <t>Q1</t>
        </is>
      </c>
      <c r="D30" s="1405" t="n"/>
      <c r="E30" s="1405" t="n"/>
      <c r="F30" s="1405" t="n"/>
      <c r="G30" s="2170">
        <f>NA()</f>
        <v/>
      </c>
      <c r="H30" s="2170">
        <f>NA()</f>
        <v/>
      </c>
      <c r="I30" s="2170">
        <f>NA()</f>
        <v/>
      </c>
      <c r="J30" s="2170">
        <f>NA()</f>
        <v/>
      </c>
      <c r="K30" s="2170">
        <f>NA()</f>
        <v/>
      </c>
      <c r="L30" s="2170">
        <f>NA()</f>
        <v/>
      </c>
      <c r="M30" s="2170">
        <f>NA()</f>
        <v/>
      </c>
      <c r="N30" s="2170">
        <f>NA()</f>
        <v/>
      </c>
      <c r="O30" s="2170">
        <f>NA()</f>
        <v/>
      </c>
      <c r="P30" s="2170">
        <f>NA()</f>
        <v/>
      </c>
      <c r="Q30" s="2170">
        <f>NA()</f>
        <v/>
      </c>
      <c r="R30" s="2170">
        <f>NA()</f>
        <v/>
      </c>
      <c r="S30" s="2170">
        <f>NA()</f>
        <v/>
      </c>
      <c r="T30" s="2170">
        <f>NA()</f>
        <v/>
      </c>
      <c r="U30" s="2170">
        <f>NA()</f>
        <v/>
      </c>
      <c r="V30" s="2170">
        <f>NA()</f>
        <v/>
      </c>
      <c r="W30" s="2170">
        <f>NA()</f>
        <v/>
      </c>
      <c r="X30" s="2170">
        <f>NA()</f>
        <v/>
      </c>
      <c r="Y30" s="2170">
        <f>NA()</f>
        <v/>
      </c>
      <c r="Z30" s="2171">
        <f>NA()</f>
        <v/>
      </c>
      <c r="AA30" s="2170" t="n"/>
    </row>
    <row r="31" ht="12.75" customHeight="1" s="1883">
      <c r="A31" s="1402" t="n"/>
      <c r="B31" s="1991" t="n"/>
      <c r="C31" s="363" t="inlineStr">
        <is>
          <t>Q2</t>
        </is>
      </c>
      <c r="D31" s="1405" t="n"/>
      <c r="E31" s="1405" t="n"/>
      <c r="F31" s="1405" t="n"/>
      <c r="G31" s="2170" t="n"/>
      <c r="H31" s="2170">
        <f>NA()</f>
        <v/>
      </c>
      <c r="I31" s="2170">
        <f>NA()</f>
        <v/>
      </c>
      <c r="J31" s="2170">
        <f>NA()</f>
        <v/>
      </c>
      <c r="K31" s="2170">
        <f>NA()</f>
        <v/>
      </c>
      <c r="L31" s="2170">
        <f>NA()</f>
        <v/>
      </c>
      <c r="M31" s="2170">
        <f>NA()</f>
        <v/>
      </c>
      <c r="N31" s="2170">
        <f>NA()</f>
        <v/>
      </c>
      <c r="O31" s="2170">
        <f>NA()</f>
        <v/>
      </c>
      <c r="P31" s="2170">
        <f>NA()</f>
        <v/>
      </c>
      <c r="Q31" s="2170">
        <f>NA()</f>
        <v/>
      </c>
      <c r="R31" s="2170">
        <f>NA()</f>
        <v/>
      </c>
      <c r="S31" s="2170">
        <f>NA()</f>
        <v/>
      </c>
      <c r="T31" s="2170">
        <f>NA()</f>
        <v/>
      </c>
      <c r="U31" s="2170">
        <f>NA()</f>
        <v/>
      </c>
      <c r="V31" s="2170">
        <f>NA()</f>
        <v/>
      </c>
      <c r="W31" s="2170">
        <f>NA()</f>
        <v/>
      </c>
      <c r="X31" s="2170">
        <f>NA()</f>
        <v/>
      </c>
      <c r="Y31" s="2170">
        <f>NA()</f>
        <v/>
      </c>
      <c r="Z31" s="2171">
        <f>NA()</f>
        <v/>
      </c>
      <c r="AA31" s="2170" t="n"/>
    </row>
    <row r="32" ht="12.75" customHeight="1" s="1883">
      <c r="A32" s="1406" t="n"/>
      <c r="B32" s="1991" t="n"/>
      <c r="C32" s="363" t="inlineStr">
        <is>
          <t>Q3</t>
        </is>
      </c>
      <c r="D32" s="1405" t="n"/>
      <c r="E32" s="1405" t="n"/>
      <c r="F32" s="1405" t="n"/>
      <c r="G32" s="2170" t="n"/>
      <c r="H32" s="2170" t="n"/>
      <c r="I32" s="2170">
        <f>NA()</f>
        <v/>
      </c>
      <c r="J32" s="2170">
        <f>NA()</f>
        <v/>
      </c>
      <c r="K32" s="2170">
        <f>NA()</f>
        <v/>
      </c>
      <c r="L32" s="2170">
        <f>NA()</f>
        <v/>
      </c>
      <c r="M32" s="2170">
        <f>NA()</f>
        <v/>
      </c>
      <c r="N32" s="2170">
        <f>NA()</f>
        <v/>
      </c>
      <c r="O32" s="2170">
        <f>NA()</f>
        <v/>
      </c>
      <c r="P32" s="2170">
        <f>NA()</f>
        <v/>
      </c>
      <c r="Q32" s="2170">
        <f>NA()</f>
        <v/>
      </c>
      <c r="R32" s="2170">
        <f>NA()</f>
        <v/>
      </c>
      <c r="S32" s="2170">
        <f>NA()</f>
        <v/>
      </c>
      <c r="T32" s="2170">
        <f>NA()</f>
        <v/>
      </c>
      <c r="U32" s="2170">
        <f>NA()</f>
        <v/>
      </c>
      <c r="V32" s="2170">
        <f>NA()</f>
        <v/>
      </c>
      <c r="W32" s="2170">
        <f>NA()</f>
        <v/>
      </c>
      <c r="X32" s="2170">
        <f>NA()</f>
        <v/>
      </c>
      <c r="Y32" s="2170">
        <f>NA()</f>
        <v/>
      </c>
      <c r="Z32" s="2171">
        <f>NA()</f>
        <v/>
      </c>
      <c r="AA32" s="1381" t="n"/>
    </row>
    <row r="33" ht="12.75" customHeight="1" s="1883">
      <c r="A33" s="1395" t="n"/>
      <c r="B33" s="1991" t="n"/>
      <c r="C33" s="363" t="inlineStr">
        <is>
          <t>Q4</t>
        </is>
      </c>
      <c r="D33" s="1405" t="n"/>
      <c r="E33" s="1405" t="n"/>
      <c r="F33" s="1405" t="n"/>
      <c r="G33" s="2170" t="n"/>
      <c r="H33" s="2170" t="n"/>
      <c r="I33" s="2170" t="n"/>
      <c r="J33" s="2170">
        <f>NA()</f>
        <v/>
      </c>
      <c r="K33" s="2170">
        <f>NA()</f>
        <v/>
      </c>
      <c r="L33" s="2170">
        <f>NA()</f>
        <v/>
      </c>
      <c r="M33" s="2170">
        <f>NA()</f>
        <v/>
      </c>
      <c r="N33" s="2170">
        <f>NA()</f>
        <v/>
      </c>
      <c r="O33" s="2170">
        <f>NA()</f>
        <v/>
      </c>
      <c r="P33" s="2170">
        <f>NA()</f>
        <v/>
      </c>
      <c r="Q33" s="2170">
        <f>NA()</f>
        <v/>
      </c>
      <c r="R33" s="2170">
        <f>NA()</f>
        <v/>
      </c>
      <c r="S33" s="2170">
        <f>NA()</f>
        <v/>
      </c>
      <c r="T33" s="2170">
        <f>NA()</f>
        <v/>
      </c>
      <c r="U33" s="2170">
        <f>NA()</f>
        <v/>
      </c>
      <c r="V33" s="2170">
        <f>NA()</f>
        <v/>
      </c>
      <c r="W33" s="2170">
        <f>NA()</f>
        <v/>
      </c>
      <c r="X33" s="2170">
        <f>NA()</f>
        <v/>
      </c>
      <c r="Y33" s="2170">
        <f>NA()</f>
        <v/>
      </c>
      <c r="Z33" s="2171">
        <f>NA()</f>
        <v/>
      </c>
      <c r="AA33" s="1381" t="n"/>
    </row>
    <row r="34" ht="12.75" customHeight="1" s="1883">
      <c r="A34" s="1396" t="n"/>
      <c r="B34" s="1990" t="inlineStr">
        <is>
          <t>Year 2</t>
        </is>
      </c>
      <c r="C34" s="363" t="inlineStr">
        <is>
          <t>Q1</t>
        </is>
      </c>
      <c r="D34" s="1405" t="n"/>
      <c r="E34" s="1405" t="n"/>
      <c r="F34" s="1405" t="n"/>
      <c r="G34" s="2170" t="n"/>
      <c r="H34" s="2170" t="n"/>
      <c r="I34" s="2170" t="n"/>
      <c r="J34" s="2170" t="n"/>
      <c r="K34" s="2170">
        <f>NA()</f>
        <v/>
      </c>
      <c r="L34" s="2170">
        <f>NA()</f>
        <v/>
      </c>
      <c r="M34" s="2170">
        <f>NA()</f>
        <v/>
      </c>
      <c r="N34" s="2170">
        <f>NA()</f>
        <v/>
      </c>
      <c r="O34" s="2170">
        <f>NA()</f>
        <v/>
      </c>
      <c r="P34" s="2170">
        <f>NA()</f>
        <v/>
      </c>
      <c r="Q34" s="2170">
        <f>NA()</f>
        <v/>
      </c>
      <c r="R34" s="2170">
        <f>NA()</f>
        <v/>
      </c>
      <c r="S34" s="2170">
        <f>NA()</f>
        <v/>
      </c>
      <c r="T34" s="2170">
        <f>NA()</f>
        <v/>
      </c>
      <c r="U34" s="2170">
        <f>NA()</f>
        <v/>
      </c>
      <c r="V34" s="2170">
        <f>NA()</f>
        <v/>
      </c>
      <c r="W34" s="2170">
        <f>NA()</f>
        <v/>
      </c>
      <c r="X34" s="2170">
        <f>NA()</f>
        <v/>
      </c>
      <c r="Y34" s="2170">
        <f>NA()</f>
        <v/>
      </c>
      <c r="Z34" s="2171">
        <f>NA()</f>
        <v/>
      </c>
      <c r="AA34" s="1381" t="n"/>
    </row>
    <row r="35" ht="12.75" customHeight="1" s="1883">
      <c r="A35" s="1396" t="n"/>
      <c r="B35" s="1991" t="n"/>
      <c r="C35" s="363" t="inlineStr">
        <is>
          <t>Q2</t>
        </is>
      </c>
      <c r="D35" s="1405" t="n"/>
      <c r="E35" s="1405" t="n"/>
      <c r="F35" s="1405" t="n"/>
      <c r="G35" s="2170" t="n"/>
      <c r="H35" s="2170" t="n"/>
      <c r="I35" s="2170" t="n"/>
      <c r="J35" s="2170" t="n"/>
      <c r="K35" s="2170" t="n"/>
      <c r="L35" s="2170">
        <f>NA()</f>
        <v/>
      </c>
      <c r="M35" s="2170">
        <f>NA()</f>
        <v/>
      </c>
      <c r="N35" s="2170">
        <f>NA()</f>
        <v/>
      </c>
      <c r="O35" s="2170">
        <f>NA()</f>
        <v/>
      </c>
      <c r="P35" s="2170">
        <f>NA()</f>
        <v/>
      </c>
      <c r="Q35" s="2170">
        <f>NA()</f>
        <v/>
      </c>
      <c r="R35" s="2170">
        <f>NA()</f>
        <v/>
      </c>
      <c r="S35" s="2170">
        <f>NA()</f>
        <v/>
      </c>
      <c r="T35" s="2170">
        <f>NA()</f>
        <v/>
      </c>
      <c r="U35" s="2170">
        <f>NA()</f>
        <v/>
      </c>
      <c r="V35" s="2170">
        <f>NA()</f>
        <v/>
      </c>
      <c r="W35" s="2170">
        <f>NA()</f>
        <v/>
      </c>
      <c r="X35" s="2170">
        <f>NA()</f>
        <v/>
      </c>
      <c r="Y35" s="2170">
        <f>NA()</f>
        <v/>
      </c>
      <c r="Z35" s="2171">
        <f>NA()</f>
        <v/>
      </c>
      <c r="AA35" s="1381" t="n"/>
    </row>
    <row r="36" ht="12.75" customHeight="1" s="1883">
      <c r="A36" s="1396" t="n"/>
      <c r="B36" s="1991" t="n"/>
      <c r="C36" s="363" t="inlineStr">
        <is>
          <t>Q3</t>
        </is>
      </c>
      <c r="D36" s="1407" t="n"/>
      <c r="E36" s="1407" t="n"/>
      <c r="F36" s="1407" t="n"/>
      <c r="G36" s="2170" t="n"/>
      <c r="H36" s="2170" t="n"/>
      <c r="I36" s="2170" t="n"/>
      <c r="J36" s="2170" t="n"/>
      <c r="K36" s="2170" t="n"/>
      <c r="L36" s="2170" t="n"/>
      <c r="M36" s="2170">
        <f>NA()</f>
        <v/>
      </c>
      <c r="N36" s="2170">
        <f>NA()</f>
        <v/>
      </c>
      <c r="O36" s="2170">
        <f>NA()</f>
        <v/>
      </c>
      <c r="P36" s="2170">
        <f>NA()</f>
        <v/>
      </c>
      <c r="Q36" s="2170">
        <f>NA()</f>
        <v/>
      </c>
      <c r="R36" s="2170">
        <f>NA()</f>
        <v/>
      </c>
      <c r="S36" s="2170">
        <f>NA()</f>
        <v/>
      </c>
      <c r="T36" s="2170">
        <f>NA()</f>
        <v/>
      </c>
      <c r="U36" s="2170">
        <f>NA()</f>
        <v/>
      </c>
      <c r="V36" s="2170">
        <f>NA()</f>
        <v/>
      </c>
      <c r="W36" s="2170">
        <f>NA()</f>
        <v/>
      </c>
      <c r="X36" s="2170">
        <f>NA()</f>
        <v/>
      </c>
      <c r="Y36" s="2170">
        <f>NA()</f>
        <v/>
      </c>
      <c r="Z36" s="2171">
        <f>NA()</f>
        <v/>
      </c>
      <c r="AA36" s="1381" t="n"/>
    </row>
    <row r="37" ht="12.75" customHeight="1" s="1883">
      <c r="A37" s="1408" t="n"/>
      <c r="B37" s="1991" t="n"/>
      <c r="C37" s="363" t="inlineStr">
        <is>
          <t>Q4</t>
        </is>
      </c>
      <c r="D37" s="1407" t="n"/>
      <c r="E37" s="1407" t="n"/>
      <c r="F37" s="1407" t="n"/>
      <c r="G37" s="2170" t="n"/>
      <c r="H37" s="2170" t="n"/>
      <c r="I37" s="2170" t="n"/>
      <c r="J37" s="2170" t="n"/>
      <c r="K37" s="2170" t="n"/>
      <c r="L37" s="2170" t="n"/>
      <c r="M37" s="2170" t="n"/>
      <c r="N37" s="2170">
        <f>NA()</f>
        <v/>
      </c>
      <c r="O37" s="2170">
        <f>NA()</f>
        <v/>
      </c>
      <c r="P37" s="2170">
        <f>NA()</f>
        <v/>
      </c>
      <c r="Q37" s="2170">
        <f>NA()</f>
        <v/>
      </c>
      <c r="R37" s="2170">
        <f>NA()</f>
        <v/>
      </c>
      <c r="S37" s="2170">
        <f>NA()</f>
        <v/>
      </c>
      <c r="T37" s="2170">
        <f>NA()</f>
        <v/>
      </c>
      <c r="U37" s="2170">
        <f>NA()</f>
        <v/>
      </c>
      <c r="V37" s="2170">
        <f>NA()</f>
        <v/>
      </c>
      <c r="W37" s="2170">
        <f>NA()</f>
        <v/>
      </c>
      <c r="X37" s="2170">
        <f>NA()</f>
        <v/>
      </c>
      <c r="Y37" s="2170">
        <f>NA()</f>
        <v/>
      </c>
      <c r="Z37" s="2171">
        <f>NA()</f>
        <v/>
      </c>
      <c r="AA37" s="1381" t="n"/>
    </row>
    <row r="38" ht="12.75" customHeight="1" s="1883">
      <c r="A38" s="1408" t="n"/>
      <c r="B38" s="1990" t="inlineStr">
        <is>
          <t>Year 3</t>
        </is>
      </c>
      <c r="C38" s="363" t="inlineStr">
        <is>
          <t>Q1</t>
        </is>
      </c>
      <c r="D38" s="1407" t="n"/>
      <c r="E38" s="1407" t="n"/>
      <c r="F38" s="1407" t="n"/>
      <c r="G38" s="2170" t="n"/>
      <c r="H38" s="1409" t="n"/>
      <c r="I38" s="2170" t="n"/>
      <c r="J38" s="2170" t="n"/>
      <c r="K38" s="2170" t="n"/>
      <c r="L38" s="2170" t="n"/>
      <c r="M38" s="2170" t="n"/>
      <c r="N38" s="2170" t="n"/>
      <c r="O38" s="2170">
        <f>NA()</f>
        <v/>
      </c>
      <c r="P38" s="2170">
        <f>NA()</f>
        <v/>
      </c>
      <c r="Q38" s="2170">
        <f>NA()</f>
        <v/>
      </c>
      <c r="R38" s="2170">
        <f>NA()</f>
        <v/>
      </c>
      <c r="S38" s="2170">
        <f>NA()</f>
        <v/>
      </c>
      <c r="T38" s="2170">
        <f>NA()</f>
        <v/>
      </c>
      <c r="U38" s="2170">
        <f>NA()</f>
        <v/>
      </c>
      <c r="V38" s="2170">
        <f>NA()</f>
        <v/>
      </c>
      <c r="W38" s="2170">
        <f>NA()</f>
        <v/>
      </c>
      <c r="X38" s="2170">
        <f>NA()</f>
        <v/>
      </c>
      <c r="Y38" s="2170">
        <f>NA()</f>
        <v/>
      </c>
      <c r="Z38" s="2171">
        <f>NA()</f>
        <v/>
      </c>
      <c r="AA38" s="1381" t="n"/>
    </row>
    <row r="39" ht="12.75" customHeight="1" s="1883">
      <c r="A39" s="1396" t="n"/>
      <c r="B39" s="1991" t="n"/>
      <c r="C39" s="363" t="inlineStr">
        <is>
          <t>Q2</t>
        </is>
      </c>
      <c r="D39" s="1407" t="n"/>
      <c r="E39" s="1407" t="n"/>
      <c r="F39" s="1407" t="n"/>
      <c r="G39" s="2170" t="n"/>
      <c r="H39" s="2170" t="n"/>
      <c r="I39" s="2170" t="n"/>
      <c r="J39" s="2170" t="n"/>
      <c r="K39" s="2170" t="n"/>
      <c r="L39" s="2170" t="n"/>
      <c r="M39" s="2170" t="n"/>
      <c r="N39" s="2170" t="n"/>
      <c r="O39" s="2170" t="n"/>
      <c r="P39" s="2170">
        <f>NA()</f>
        <v/>
      </c>
      <c r="Q39" s="2170">
        <f>NA()</f>
        <v/>
      </c>
      <c r="R39" s="2170">
        <f>NA()</f>
        <v/>
      </c>
      <c r="S39" s="2170">
        <f>NA()</f>
        <v/>
      </c>
      <c r="T39" s="2170">
        <f>NA()</f>
        <v/>
      </c>
      <c r="U39" s="2170">
        <f>NA()</f>
        <v/>
      </c>
      <c r="V39" s="2170">
        <f>NA()</f>
        <v/>
      </c>
      <c r="W39" s="2170">
        <f>NA()</f>
        <v/>
      </c>
      <c r="X39" s="2170">
        <f>NA()</f>
        <v/>
      </c>
      <c r="Y39" s="2170">
        <f>NA()</f>
        <v/>
      </c>
      <c r="Z39" s="2171">
        <f>NA()</f>
        <v/>
      </c>
      <c r="AA39" s="1381" t="n"/>
    </row>
    <row r="40" ht="12.75" customHeight="1" s="1883">
      <c r="A40" s="1396" t="n"/>
      <c r="B40" s="1991" t="n"/>
      <c r="C40" s="363" t="inlineStr">
        <is>
          <t>Q3</t>
        </is>
      </c>
      <c r="D40" s="1407" t="n"/>
      <c r="E40" s="1407" t="n"/>
      <c r="F40" s="1407" t="n"/>
      <c r="G40" s="2170" t="n"/>
      <c r="H40" s="2170" t="n"/>
      <c r="I40" s="2170" t="n"/>
      <c r="J40" s="2170" t="n"/>
      <c r="K40" s="2170" t="n"/>
      <c r="L40" s="2170" t="n"/>
      <c r="M40" s="2170" t="n"/>
      <c r="N40" s="2170" t="n"/>
      <c r="O40" s="2170" t="n"/>
      <c r="P40" s="2170" t="n"/>
      <c r="Q40" s="2170">
        <f>NA()</f>
        <v/>
      </c>
      <c r="R40" s="2170">
        <f>NA()</f>
        <v/>
      </c>
      <c r="S40" s="2170">
        <f>NA()</f>
        <v/>
      </c>
      <c r="T40" s="2170">
        <f>NA()</f>
        <v/>
      </c>
      <c r="U40" s="2170">
        <f>NA()</f>
        <v/>
      </c>
      <c r="V40" s="2170">
        <f>NA()</f>
        <v/>
      </c>
      <c r="W40" s="2170">
        <f>NA()</f>
        <v/>
      </c>
      <c r="X40" s="2170">
        <f>NA()</f>
        <v/>
      </c>
      <c r="Y40" s="2170">
        <f>NA()</f>
        <v/>
      </c>
      <c r="Z40" s="2171">
        <f>NA()</f>
        <v/>
      </c>
      <c r="AA40" s="1381" t="n"/>
    </row>
    <row r="41" ht="12.75" customHeight="1" s="1883">
      <c r="A41" s="1396" t="n"/>
      <c r="B41" s="1991" t="n"/>
      <c r="C41" s="363" t="inlineStr">
        <is>
          <t>Q4</t>
        </is>
      </c>
      <c r="D41" s="1407" t="n"/>
      <c r="E41" s="1407" t="n"/>
      <c r="F41" s="1407" t="n"/>
      <c r="G41" s="2170" t="n"/>
      <c r="H41" s="2170" t="n"/>
      <c r="I41" s="2170" t="n"/>
      <c r="J41" s="2170" t="n"/>
      <c r="K41" s="2170" t="n"/>
      <c r="L41" s="2170" t="n"/>
      <c r="M41" s="2170" t="n"/>
      <c r="N41" s="2170" t="n"/>
      <c r="O41" s="2170" t="n"/>
      <c r="P41" s="2170" t="n"/>
      <c r="Q41" s="2170" t="n"/>
      <c r="R41" s="2170">
        <f>NA()</f>
        <v/>
      </c>
      <c r="S41" s="2170">
        <f>NA()</f>
        <v/>
      </c>
      <c r="T41" s="2170">
        <f>NA()</f>
        <v/>
      </c>
      <c r="U41" s="2170">
        <f>NA()</f>
        <v/>
      </c>
      <c r="V41" s="2170">
        <f>NA()</f>
        <v/>
      </c>
      <c r="W41" s="2170">
        <f>NA()</f>
        <v/>
      </c>
      <c r="X41" s="2170">
        <f>NA()</f>
        <v/>
      </c>
      <c r="Y41" s="2170">
        <f>NA()</f>
        <v/>
      </c>
      <c r="Z41" s="2171">
        <f>NA()</f>
        <v/>
      </c>
      <c r="AA41" s="1381" t="n"/>
    </row>
    <row r="42" ht="12.75" customHeight="1" s="1883">
      <c r="A42" s="1396" t="n"/>
      <c r="B42" s="1990" t="inlineStr">
        <is>
          <t>Year 4</t>
        </is>
      </c>
      <c r="C42" s="363" t="inlineStr">
        <is>
          <t>Q1</t>
        </is>
      </c>
      <c r="D42" s="1407" t="n"/>
      <c r="E42" s="1407" t="n"/>
      <c r="F42" s="1407" t="n"/>
      <c r="G42" s="2170" t="n"/>
      <c r="H42" s="2170" t="n"/>
      <c r="I42" s="2170" t="n"/>
      <c r="J42" s="2170" t="n"/>
      <c r="K42" s="2170" t="n"/>
      <c r="L42" s="2170" t="n"/>
      <c r="M42" s="2170" t="n"/>
      <c r="N42" s="2170" t="n"/>
      <c r="O42" s="2170" t="n"/>
      <c r="P42" s="2170" t="n"/>
      <c r="Q42" s="2170" t="n"/>
      <c r="R42" s="2170" t="n"/>
      <c r="S42" s="2170">
        <f>NA()</f>
        <v/>
      </c>
      <c r="T42" s="2170">
        <f>NA()</f>
        <v/>
      </c>
      <c r="U42" s="2170">
        <f>NA()</f>
        <v/>
      </c>
      <c r="V42" s="2170">
        <f>NA()</f>
        <v/>
      </c>
      <c r="W42" s="2170">
        <f>NA()</f>
        <v/>
      </c>
      <c r="X42" s="2170">
        <f>NA()</f>
        <v/>
      </c>
      <c r="Y42" s="2170">
        <f>NA()</f>
        <v/>
      </c>
      <c r="Z42" s="2171">
        <f>NA()</f>
        <v/>
      </c>
      <c r="AA42" s="1381" t="n"/>
    </row>
    <row r="43" ht="12.75" customHeight="1" s="1883">
      <c r="A43" s="1396" t="n"/>
      <c r="B43" s="1991" t="n"/>
      <c r="C43" s="363" t="inlineStr">
        <is>
          <t>Q2</t>
        </is>
      </c>
      <c r="D43" s="1407" t="n"/>
      <c r="E43" s="1407" t="n"/>
      <c r="F43" s="1407" t="n"/>
      <c r="G43" s="2170" t="n"/>
      <c r="H43" s="2170" t="n"/>
      <c r="I43" s="2170" t="n"/>
      <c r="J43" s="2170" t="n"/>
      <c r="K43" s="2170" t="n"/>
      <c r="L43" s="2170" t="n"/>
      <c r="M43" s="2170" t="n"/>
      <c r="N43" s="2170" t="n"/>
      <c r="O43" s="2170" t="n"/>
      <c r="P43" s="2170" t="n"/>
      <c r="Q43" s="2170" t="n"/>
      <c r="R43" s="2170" t="n"/>
      <c r="S43" s="1381" t="n"/>
      <c r="T43" s="2170">
        <f>NA()</f>
        <v/>
      </c>
      <c r="U43" s="2170">
        <f>NA()</f>
        <v/>
      </c>
      <c r="V43" s="2170">
        <f>NA()</f>
        <v/>
      </c>
      <c r="W43" s="2170">
        <f>NA()</f>
        <v/>
      </c>
      <c r="X43" s="2170">
        <f>NA()</f>
        <v/>
      </c>
      <c r="Y43" s="2170">
        <f>NA()</f>
        <v/>
      </c>
      <c r="Z43" s="2171">
        <f>NA()</f>
        <v/>
      </c>
      <c r="AA43" s="1381" t="n"/>
    </row>
    <row r="44" ht="12.75" customHeight="1" s="1883">
      <c r="A44" s="1396" t="n"/>
      <c r="B44" s="1991" t="n"/>
      <c r="C44" s="363" t="inlineStr">
        <is>
          <t>Q3</t>
        </is>
      </c>
      <c r="D44" s="1407" t="n"/>
      <c r="E44" s="1407" t="n"/>
      <c r="F44" s="1407" t="n"/>
      <c r="G44" s="2170" t="n"/>
      <c r="H44" s="2170" t="n"/>
      <c r="I44" s="2170" t="n"/>
      <c r="J44" s="2170" t="n"/>
      <c r="K44" s="2170" t="n"/>
      <c r="L44" s="2170" t="n"/>
      <c r="M44" s="2170" t="n"/>
      <c r="N44" s="2170" t="n"/>
      <c r="O44" s="2170" t="n"/>
      <c r="P44" s="2170" t="n"/>
      <c r="Q44" s="2170" t="n"/>
      <c r="R44" s="2170" t="n"/>
      <c r="S44" s="1381" t="n"/>
      <c r="T44" s="1381" t="n"/>
      <c r="U44" s="2170">
        <f>NA()</f>
        <v/>
      </c>
      <c r="V44" s="2170">
        <f>NA()</f>
        <v/>
      </c>
      <c r="W44" s="2170">
        <f>NA()</f>
        <v/>
      </c>
      <c r="X44" s="2170">
        <f>NA()</f>
        <v/>
      </c>
      <c r="Y44" s="2170">
        <f>NA()</f>
        <v/>
      </c>
      <c r="Z44" s="2171">
        <f>NA()</f>
        <v/>
      </c>
      <c r="AA44" s="1381" t="n"/>
    </row>
    <row r="45" ht="12.75" customHeight="1" s="1883">
      <c r="A45" s="1410" t="n"/>
      <c r="B45" s="1991" t="n"/>
      <c r="C45" s="363" t="inlineStr">
        <is>
          <t>Q4</t>
        </is>
      </c>
      <c r="D45" s="1407" t="n"/>
      <c r="E45" s="1407" t="n"/>
      <c r="F45" s="1407" t="n"/>
      <c r="G45" s="2170" t="n"/>
      <c r="H45" s="2170" t="n"/>
      <c r="I45" s="2170" t="n"/>
      <c r="J45" s="2170" t="n"/>
      <c r="K45" s="2170" t="n"/>
      <c r="L45" s="2170" t="n"/>
      <c r="M45" s="2170" t="n"/>
      <c r="N45" s="2170" t="n"/>
      <c r="O45" s="2170" t="n"/>
      <c r="P45" s="2170" t="n"/>
      <c r="Q45" s="2170" t="n"/>
      <c r="R45" s="2170" t="n"/>
      <c r="S45" s="1381" t="n"/>
      <c r="T45" s="1381" t="n"/>
      <c r="U45" s="1381" t="n"/>
      <c r="V45" s="2170">
        <f>NA()</f>
        <v/>
      </c>
      <c r="W45" s="2170">
        <f>NA()</f>
        <v/>
      </c>
      <c r="X45" s="2170">
        <f>NA()</f>
        <v/>
      </c>
      <c r="Y45" s="2170">
        <f>NA()</f>
        <v/>
      </c>
      <c r="Z45" s="2171">
        <f>NA()</f>
        <v/>
      </c>
      <c r="AA45" s="1381" t="n"/>
    </row>
    <row r="46" ht="12.75" customHeight="1" s="1883">
      <c r="A46" s="1410" t="n"/>
      <c r="B46" s="1990" t="inlineStr">
        <is>
          <t>Year 5</t>
        </is>
      </c>
      <c r="C46" s="363" t="inlineStr">
        <is>
          <t>Q1</t>
        </is>
      </c>
      <c r="D46" s="1407" t="n"/>
      <c r="E46" s="1407" t="n"/>
      <c r="F46" s="1407" t="n"/>
      <c r="G46" s="2170" t="n"/>
      <c r="H46" s="2170" t="n"/>
      <c r="I46" s="2170" t="n"/>
      <c r="J46" s="2170" t="n"/>
      <c r="K46" s="2170" t="n"/>
      <c r="L46" s="2170" t="n"/>
      <c r="M46" s="2170" t="n"/>
      <c r="N46" s="2170" t="n"/>
      <c r="O46" s="2170" t="n"/>
      <c r="P46" s="2170" t="n"/>
      <c r="Q46" s="2170" t="n"/>
      <c r="R46" s="2170" t="n"/>
      <c r="S46" s="1381" t="n"/>
      <c r="T46" s="1381" t="n"/>
      <c r="U46" s="1381" t="n"/>
      <c r="V46" s="1381" t="n"/>
      <c r="W46" s="2170">
        <f>NA()</f>
        <v/>
      </c>
      <c r="X46" s="2170">
        <f>NA()</f>
        <v/>
      </c>
      <c r="Y46" s="2170">
        <f>NA()</f>
        <v/>
      </c>
      <c r="Z46" s="2171">
        <f>NA()</f>
        <v/>
      </c>
      <c r="AA46" s="1381" t="n"/>
    </row>
    <row r="47" ht="12.75" customHeight="1" s="1883">
      <c r="A47" s="1396" t="n"/>
      <c r="B47" s="1991" t="n"/>
      <c r="C47" s="363" t="inlineStr">
        <is>
          <t>Q2</t>
        </is>
      </c>
      <c r="D47" s="1407" t="n"/>
      <c r="E47" s="1407" t="n"/>
      <c r="F47" s="1407" t="n"/>
      <c r="G47" s="2170" t="n"/>
      <c r="H47" s="2170" t="n"/>
      <c r="I47" s="2170" t="n"/>
      <c r="J47" s="2170" t="n"/>
      <c r="K47" s="2170" t="n"/>
      <c r="L47" s="2170" t="n"/>
      <c r="M47" s="2170" t="n"/>
      <c r="N47" s="2170" t="n"/>
      <c r="O47" s="2170" t="n"/>
      <c r="P47" s="2170" t="n"/>
      <c r="Q47" s="2170" t="n"/>
      <c r="R47" s="2170" t="n"/>
      <c r="S47" s="1381" t="n"/>
      <c r="T47" s="1381" t="n"/>
      <c r="U47" s="1381" t="n"/>
      <c r="V47" s="1381" t="n"/>
      <c r="W47" s="1381" t="n"/>
      <c r="X47" s="2170">
        <f>NA()</f>
        <v/>
      </c>
      <c r="Y47" s="2170">
        <f>NA()</f>
        <v/>
      </c>
      <c r="Z47" s="2171">
        <f>NA()</f>
        <v/>
      </c>
      <c r="AA47" s="1381" t="n"/>
    </row>
    <row r="48" ht="12.75" customHeight="1" s="1883">
      <c r="A48" s="1396" t="n"/>
      <c r="B48" s="1991" t="n"/>
      <c r="C48" s="363" t="inlineStr">
        <is>
          <t>Q3</t>
        </is>
      </c>
      <c r="D48" s="1407" t="n"/>
      <c r="E48" s="1407" t="n"/>
      <c r="F48" s="1407" t="n"/>
      <c r="G48" s="2170" t="n"/>
      <c r="H48" s="2170" t="n"/>
      <c r="I48" s="2170" t="n"/>
      <c r="J48" s="2170" t="n"/>
      <c r="K48" s="2170" t="n"/>
      <c r="L48" s="2170" t="n"/>
      <c r="M48" s="2170" t="n"/>
      <c r="N48" s="2170" t="n"/>
      <c r="O48" s="2170" t="n"/>
      <c r="P48" s="2170" t="n"/>
      <c r="Q48" s="2170" t="n"/>
      <c r="R48" s="2170" t="n"/>
      <c r="S48" s="1381" t="n"/>
      <c r="T48" s="1381" t="n"/>
      <c r="U48" s="1381" t="n"/>
      <c r="V48" s="1381" t="n"/>
      <c r="W48" s="1381" t="n"/>
      <c r="X48" s="1381" t="n"/>
      <c r="Y48" s="2170">
        <f>NA()</f>
        <v/>
      </c>
      <c r="Z48" s="2171">
        <f>NA()</f>
        <v/>
      </c>
      <c r="AA48" s="1381" t="n"/>
    </row>
    <row r="49" ht="12.75" customHeight="1" s="1883">
      <c r="A49" s="1396" t="n"/>
      <c r="B49" s="364" t="n"/>
      <c r="C49" s="365" t="inlineStr">
        <is>
          <t>Q4</t>
        </is>
      </c>
      <c r="D49" s="372" t="n"/>
      <c r="E49" s="372" t="n"/>
      <c r="F49" s="372" t="n"/>
      <c r="G49" s="2172" t="n"/>
      <c r="H49" s="2172" t="n"/>
      <c r="I49" s="2172" t="n"/>
      <c r="J49" s="2172" t="n"/>
      <c r="K49" s="2172" t="n"/>
      <c r="L49" s="2172" t="n"/>
      <c r="M49" s="2172" t="n"/>
      <c r="N49" s="2172" t="n"/>
      <c r="O49" s="2172" t="n"/>
      <c r="P49" s="2172" t="n"/>
      <c r="Q49" s="2172" t="n"/>
      <c r="R49" s="2172" t="n"/>
      <c r="S49" s="373" t="n"/>
      <c r="T49" s="373" t="n"/>
      <c r="U49" s="373" t="n"/>
      <c r="V49" s="373" t="n"/>
      <c r="W49" s="373" t="n"/>
      <c r="X49" s="373" t="n"/>
      <c r="Y49" s="373" t="n"/>
      <c r="Z49" s="2177">
        <f>NA()</f>
        <v/>
      </c>
      <c r="AA49" s="1381" t="n"/>
    </row>
    <row r="50" ht="12.75" customHeight="1" s="1883">
      <c r="A50" s="1396" t="n"/>
      <c r="B50" s="1996" t="inlineStr">
        <is>
          <t>Total Depreciation</t>
        </is>
      </c>
      <c r="D50" s="1397" t="n"/>
      <c r="E50" s="1398" t="n"/>
      <c r="F50" s="2173" t="n"/>
      <c r="G50" s="2173">
        <f>SUM(G29:G49)</f>
        <v/>
      </c>
      <c r="H50" s="2173">
        <f>SUM(H29:H49)</f>
        <v/>
      </c>
      <c r="I50" s="2173">
        <f>SUM(I29:I49)</f>
        <v/>
      </c>
      <c r="J50" s="2173">
        <f>SUM(J29:J49)</f>
        <v/>
      </c>
      <c r="K50" s="2173">
        <f>SUM(K29:K49)</f>
        <v/>
      </c>
      <c r="L50" s="2173">
        <f>SUM(L29:L49)</f>
        <v/>
      </c>
      <c r="M50" s="2173">
        <f>SUM(M29:M49)</f>
        <v/>
      </c>
      <c r="N50" s="2173">
        <f>SUM(N29:N49)</f>
        <v/>
      </c>
      <c r="O50" s="2173">
        <f>SUM(O29:O49)</f>
        <v/>
      </c>
      <c r="P50" s="2173">
        <f>SUM(P29:P49)</f>
        <v/>
      </c>
      <c r="Q50" s="2173">
        <f>SUM(Q29:Q49)</f>
        <v/>
      </c>
      <c r="R50" s="2173">
        <f>SUM(R29:R49)</f>
        <v/>
      </c>
      <c r="S50" s="2173">
        <f>SUM(S29:S49)</f>
        <v/>
      </c>
      <c r="T50" s="2173">
        <f>SUM(T29:T49)</f>
        <v/>
      </c>
      <c r="U50" s="2173">
        <f>SUM(U29:U49)</f>
        <v/>
      </c>
      <c r="V50" s="2173">
        <f>SUM(V29:V49)</f>
        <v/>
      </c>
      <c r="W50" s="2173">
        <f>SUM(W29:W49)</f>
        <v/>
      </c>
      <c r="X50" s="2173">
        <f>SUM(X29:X49)</f>
        <v/>
      </c>
      <c r="Y50" s="2173">
        <f>SUM(Y29:Y49)</f>
        <v/>
      </c>
      <c r="Z50" s="2174">
        <f>SUM(Z29:Z49)</f>
        <v/>
      </c>
      <c r="AA50" s="1381" t="n"/>
    </row>
    <row r="51" ht="12.75" customHeight="1" s="1883">
      <c r="A51" s="1396" t="n"/>
      <c r="B51" s="375" t="inlineStr">
        <is>
          <t>Accumulated depreciation</t>
        </is>
      </c>
      <c r="C51" s="376" t="n"/>
      <c r="D51" s="1411" t="n"/>
      <c r="E51" s="1411" t="n"/>
      <c r="F51" s="1411" t="n"/>
      <c r="G51" s="1411" t="n"/>
      <c r="H51" s="1412" t="n"/>
      <c r="I51" s="1412" t="n"/>
      <c r="J51" s="1412" t="n"/>
      <c r="K51" s="1412" t="n"/>
      <c r="L51" s="1412" t="n"/>
      <c r="M51" s="1412" t="n"/>
      <c r="N51" s="1412" t="n"/>
      <c r="O51" s="1412" t="n"/>
      <c r="P51" s="1412" t="n"/>
      <c r="Q51" s="1412" t="n"/>
      <c r="R51" s="1412" t="n"/>
      <c r="S51" s="1412" t="n"/>
      <c r="T51" s="1412" t="n"/>
      <c r="U51" s="1412" t="n"/>
      <c r="V51" s="1412" t="n"/>
      <c r="W51" s="1412" t="n"/>
      <c r="X51" s="1412" t="n"/>
      <c r="Y51" s="1412" t="n"/>
      <c r="Z51" s="377" t="n"/>
      <c r="AA51" s="2170" t="n"/>
    </row>
    <row r="52" ht="12.75" customHeight="1" s="1883">
      <c r="A52" s="1396" t="n"/>
      <c r="B52" s="1413" t="n"/>
      <c r="C52" s="378" t="inlineStr">
        <is>
          <t>Initial</t>
        </is>
      </c>
      <c r="D52" s="1381" t="n"/>
      <c r="E52" s="1381" t="n"/>
      <c r="F52" s="2178" t="n">
        <v>0</v>
      </c>
      <c r="G52" s="2178">
        <f>+F52+G29</f>
        <v/>
      </c>
      <c r="H52" s="2178">
        <f>+G52+H29</f>
        <v/>
      </c>
      <c r="I52" s="2178">
        <f>+H52+I29</f>
        <v/>
      </c>
      <c r="J52" s="2178">
        <f>+I52+J29</f>
        <v/>
      </c>
      <c r="K52" s="2178">
        <f>+J52+K29</f>
        <v/>
      </c>
      <c r="L52" s="2178">
        <f>+K52+L29</f>
        <v/>
      </c>
      <c r="M52" s="2178">
        <f>+L52+M29</f>
        <v/>
      </c>
      <c r="N52" s="2178">
        <f>+M52+N29</f>
        <v/>
      </c>
      <c r="O52" s="2178">
        <f>+N52+O29</f>
        <v/>
      </c>
      <c r="P52" s="2178">
        <f>+O52+P29</f>
        <v/>
      </c>
      <c r="Q52" s="2178">
        <f>+P52+Q29</f>
        <v/>
      </c>
      <c r="R52" s="2178">
        <f>+Q52+R29</f>
        <v/>
      </c>
      <c r="S52" s="2178">
        <f>+R52+S29</f>
        <v/>
      </c>
      <c r="T52" s="2178">
        <f>+S52+T29</f>
        <v/>
      </c>
      <c r="U52" s="2178">
        <f>+T52+U29</f>
        <v/>
      </c>
      <c r="V52" s="2178">
        <f>+U52+V29</f>
        <v/>
      </c>
      <c r="W52" s="2178">
        <f>+V52+W29</f>
        <v/>
      </c>
      <c r="X52" s="2178">
        <f>+W52+X29</f>
        <v/>
      </c>
      <c r="Y52" s="2178">
        <f>+X52+Y29</f>
        <v/>
      </c>
      <c r="Z52" s="2179">
        <f>+Y52+Z29</f>
        <v/>
      </c>
      <c r="AA52" s="2170" t="n"/>
    </row>
    <row r="53" ht="12.75" customHeight="1" s="1883">
      <c r="A53" s="1396" t="n"/>
      <c r="B53" s="1990" t="inlineStr">
        <is>
          <t>Year 1</t>
        </is>
      </c>
      <c r="C53" s="363" t="inlineStr">
        <is>
          <t>Q1</t>
        </is>
      </c>
      <c r="D53" s="2180" t="n"/>
      <c r="E53" s="2180" t="n"/>
      <c r="F53" s="2180" t="n"/>
      <c r="G53" s="2178">
        <f>+G30</f>
        <v/>
      </c>
      <c r="H53" s="2178">
        <f>+G53+H30</f>
        <v/>
      </c>
      <c r="I53" s="2178">
        <f>+H53+I30</f>
        <v/>
      </c>
      <c r="J53" s="2178">
        <f>+I53+J30</f>
        <v/>
      </c>
      <c r="K53" s="2178">
        <f>+J53+K30</f>
        <v/>
      </c>
      <c r="L53" s="2178">
        <f>+K53+L30</f>
        <v/>
      </c>
      <c r="M53" s="2178">
        <f>+L53+M30</f>
        <v/>
      </c>
      <c r="N53" s="2178">
        <f>+M53+N30</f>
        <v/>
      </c>
      <c r="O53" s="2178">
        <f>+N53+O30</f>
        <v/>
      </c>
      <c r="P53" s="2178">
        <f>+O53+P30</f>
        <v/>
      </c>
      <c r="Q53" s="2178">
        <f>+P53+Q30</f>
        <v/>
      </c>
      <c r="R53" s="2178">
        <f>+Q53+R30</f>
        <v/>
      </c>
      <c r="S53" s="2178">
        <f>+R53+S30</f>
        <v/>
      </c>
      <c r="T53" s="2178">
        <f>+S53+T30</f>
        <v/>
      </c>
      <c r="U53" s="2178">
        <f>+T53+U30</f>
        <v/>
      </c>
      <c r="V53" s="2178">
        <f>+U53+V30</f>
        <v/>
      </c>
      <c r="W53" s="2178">
        <f>+V53+W30</f>
        <v/>
      </c>
      <c r="X53" s="2178">
        <f>+W53+X30</f>
        <v/>
      </c>
      <c r="Y53" s="2178">
        <f>+X53+Y30</f>
        <v/>
      </c>
      <c r="Z53" s="2179">
        <f>+Y53+Z30</f>
        <v/>
      </c>
      <c r="AA53" s="2170" t="n"/>
    </row>
    <row r="54" ht="12.75" customHeight="1" s="1883">
      <c r="A54" s="1396" t="n"/>
      <c r="B54" s="1991" t="n"/>
      <c r="C54" s="363" t="inlineStr">
        <is>
          <t>Q2</t>
        </is>
      </c>
      <c r="D54" s="2180" t="n"/>
      <c r="E54" s="2180" t="n"/>
      <c r="F54" s="2180" t="n"/>
      <c r="G54" s="2178">
        <f>+G31</f>
        <v/>
      </c>
      <c r="H54" s="2178">
        <f>+G54+H31</f>
        <v/>
      </c>
      <c r="I54" s="2178">
        <f>+H54+I31</f>
        <v/>
      </c>
      <c r="J54" s="2178">
        <f>+I54+J31</f>
        <v/>
      </c>
      <c r="K54" s="2178">
        <f>+J54+K31</f>
        <v/>
      </c>
      <c r="L54" s="2178">
        <f>+K54+L31</f>
        <v/>
      </c>
      <c r="M54" s="2178">
        <f>+L54+M31</f>
        <v/>
      </c>
      <c r="N54" s="2178">
        <f>+M54+N31</f>
        <v/>
      </c>
      <c r="O54" s="2178">
        <f>+N54+O31</f>
        <v/>
      </c>
      <c r="P54" s="2178">
        <f>+O54+P31</f>
        <v/>
      </c>
      <c r="Q54" s="2178">
        <f>+P54+Q31</f>
        <v/>
      </c>
      <c r="R54" s="2178">
        <f>+Q54+R31</f>
        <v/>
      </c>
      <c r="S54" s="2178">
        <f>+R54+S31</f>
        <v/>
      </c>
      <c r="T54" s="2178">
        <f>+S54+T31</f>
        <v/>
      </c>
      <c r="U54" s="2178">
        <f>+T54+U31</f>
        <v/>
      </c>
      <c r="V54" s="2178">
        <f>+U54+V31</f>
        <v/>
      </c>
      <c r="W54" s="2178">
        <f>+V54+W31</f>
        <v/>
      </c>
      <c r="X54" s="2178">
        <f>+W54+X31</f>
        <v/>
      </c>
      <c r="Y54" s="2178">
        <f>+X54+Y31</f>
        <v/>
      </c>
      <c r="Z54" s="2179">
        <f>+Y54+Z31</f>
        <v/>
      </c>
      <c r="AA54" s="2170" t="n"/>
    </row>
    <row r="55" ht="12.75" customHeight="1" s="1883">
      <c r="A55" s="1395" t="n"/>
      <c r="B55" s="1991" t="n"/>
      <c r="C55" s="363" t="inlineStr">
        <is>
          <t>Q3</t>
        </is>
      </c>
      <c r="D55" s="2180" t="n"/>
      <c r="E55" s="2180" t="n"/>
      <c r="F55" s="2180" t="n"/>
      <c r="G55" s="2178">
        <f>+G32</f>
        <v/>
      </c>
      <c r="H55" s="2178">
        <f>+G55+H32</f>
        <v/>
      </c>
      <c r="I55" s="2178">
        <f>+H55+I32</f>
        <v/>
      </c>
      <c r="J55" s="2178">
        <f>+I55+J32</f>
        <v/>
      </c>
      <c r="K55" s="2178">
        <f>+J55+K32</f>
        <v/>
      </c>
      <c r="L55" s="2178">
        <f>+K55+L32</f>
        <v/>
      </c>
      <c r="M55" s="2178">
        <f>+L55+M32</f>
        <v/>
      </c>
      <c r="N55" s="2178">
        <f>+M55+N32</f>
        <v/>
      </c>
      <c r="O55" s="2178">
        <f>+N55+O32</f>
        <v/>
      </c>
      <c r="P55" s="2178">
        <f>+O55+P32</f>
        <v/>
      </c>
      <c r="Q55" s="2178">
        <f>+P55+Q32</f>
        <v/>
      </c>
      <c r="R55" s="2178">
        <f>+Q55+R32</f>
        <v/>
      </c>
      <c r="S55" s="2178">
        <f>+R55+S32</f>
        <v/>
      </c>
      <c r="T55" s="2178">
        <f>+S55+T32</f>
        <v/>
      </c>
      <c r="U55" s="2178">
        <f>+T55+U32</f>
        <v/>
      </c>
      <c r="V55" s="2178">
        <f>+U55+V32</f>
        <v/>
      </c>
      <c r="W55" s="2178">
        <f>+V55+W32</f>
        <v/>
      </c>
      <c r="X55" s="2178">
        <f>+W55+X32</f>
        <v/>
      </c>
      <c r="Y55" s="2178">
        <f>+X55+Y32</f>
        <v/>
      </c>
      <c r="Z55" s="2179">
        <f>+Y55+Z32</f>
        <v/>
      </c>
      <c r="AA55" s="1381" t="n"/>
    </row>
    <row r="56" ht="12.75" customHeight="1" s="1883">
      <c r="A56" s="1396" t="n"/>
      <c r="B56" s="1991" t="n"/>
      <c r="C56" s="363" t="inlineStr">
        <is>
          <t>Q4</t>
        </is>
      </c>
      <c r="D56" s="2180" t="n"/>
      <c r="E56" s="2180" t="n"/>
      <c r="F56" s="2180" t="n"/>
      <c r="G56" s="2178">
        <f>+G33</f>
        <v/>
      </c>
      <c r="H56" s="2178">
        <f>+G56+H33</f>
        <v/>
      </c>
      <c r="I56" s="2178">
        <f>+H56+I33</f>
        <v/>
      </c>
      <c r="J56" s="2178">
        <f>+I56+J33</f>
        <v/>
      </c>
      <c r="K56" s="2178">
        <f>+J56+K33</f>
        <v/>
      </c>
      <c r="L56" s="2178">
        <f>+K56+L33</f>
        <v/>
      </c>
      <c r="M56" s="2178">
        <f>+L56+M33</f>
        <v/>
      </c>
      <c r="N56" s="2178">
        <f>+M56+N33</f>
        <v/>
      </c>
      <c r="O56" s="2178">
        <f>+N56+O33</f>
        <v/>
      </c>
      <c r="P56" s="2178">
        <f>+O56+P33</f>
        <v/>
      </c>
      <c r="Q56" s="2178">
        <f>+P56+Q33</f>
        <v/>
      </c>
      <c r="R56" s="2178">
        <f>+Q56+R33</f>
        <v/>
      </c>
      <c r="S56" s="2178">
        <f>+R56+S33</f>
        <v/>
      </c>
      <c r="T56" s="2178">
        <f>+S56+T33</f>
        <v/>
      </c>
      <c r="U56" s="2178">
        <f>+T56+U33</f>
        <v/>
      </c>
      <c r="V56" s="2178">
        <f>+U56+V33</f>
        <v/>
      </c>
      <c r="W56" s="2178">
        <f>+V56+W33</f>
        <v/>
      </c>
      <c r="X56" s="2178">
        <f>+W56+X33</f>
        <v/>
      </c>
      <c r="Y56" s="2178">
        <f>+X56+Y33</f>
        <v/>
      </c>
      <c r="Z56" s="2179">
        <f>+Y56+Z33</f>
        <v/>
      </c>
      <c r="AA56" s="1381" t="n"/>
    </row>
    <row r="57" ht="12.75" customHeight="1" s="1883">
      <c r="A57" s="1396" t="n"/>
      <c r="B57" s="1990" t="inlineStr">
        <is>
          <t>Year 2</t>
        </is>
      </c>
      <c r="C57" s="363" t="inlineStr">
        <is>
          <t>Q1</t>
        </is>
      </c>
      <c r="D57" s="2180" t="n"/>
      <c r="E57" s="2180" t="n"/>
      <c r="F57" s="2180" t="n"/>
      <c r="G57" s="2178">
        <f>+G34</f>
        <v/>
      </c>
      <c r="H57" s="2178">
        <f>+G57+H34</f>
        <v/>
      </c>
      <c r="I57" s="2178">
        <f>+H57+I34</f>
        <v/>
      </c>
      <c r="J57" s="2178">
        <f>+I57+J34</f>
        <v/>
      </c>
      <c r="K57" s="2178">
        <f>+J57+K34</f>
        <v/>
      </c>
      <c r="L57" s="2178">
        <f>+K57+L34</f>
        <v/>
      </c>
      <c r="M57" s="2178">
        <f>+L57+M34</f>
        <v/>
      </c>
      <c r="N57" s="2178">
        <f>+M57+N34</f>
        <v/>
      </c>
      <c r="O57" s="2178">
        <f>+N57+O34</f>
        <v/>
      </c>
      <c r="P57" s="2178">
        <f>+O57+P34</f>
        <v/>
      </c>
      <c r="Q57" s="2178">
        <f>+P57+Q34</f>
        <v/>
      </c>
      <c r="R57" s="2178">
        <f>+Q57+R34</f>
        <v/>
      </c>
      <c r="S57" s="2178">
        <f>+R57+S34</f>
        <v/>
      </c>
      <c r="T57" s="2178">
        <f>+S57+T34</f>
        <v/>
      </c>
      <c r="U57" s="2178">
        <f>+T57+U34</f>
        <v/>
      </c>
      <c r="V57" s="2178">
        <f>+U57+V34</f>
        <v/>
      </c>
      <c r="W57" s="2178">
        <f>+V57+W34</f>
        <v/>
      </c>
      <c r="X57" s="2178">
        <f>+W57+X34</f>
        <v/>
      </c>
      <c r="Y57" s="2178">
        <f>+X57+Y34</f>
        <v/>
      </c>
      <c r="Z57" s="2179">
        <f>+Y57+Z34</f>
        <v/>
      </c>
      <c r="AA57" s="1381" t="n"/>
    </row>
    <row r="58" ht="12.75" customHeight="1" s="1883">
      <c r="A58" s="1396" t="n"/>
      <c r="B58" s="1991" t="n"/>
      <c r="C58" s="363" t="inlineStr">
        <is>
          <t>Q2</t>
        </is>
      </c>
      <c r="D58" s="2180" t="n"/>
      <c r="E58" s="2180" t="n"/>
      <c r="F58" s="2180" t="n"/>
      <c r="G58" s="2178">
        <f>+G35</f>
        <v/>
      </c>
      <c r="H58" s="2178">
        <f>+G58+H35</f>
        <v/>
      </c>
      <c r="I58" s="2178">
        <f>+H58+I35</f>
        <v/>
      </c>
      <c r="J58" s="2178">
        <f>+I58+J35</f>
        <v/>
      </c>
      <c r="K58" s="2178">
        <f>+J58+K35</f>
        <v/>
      </c>
      <c r="L58" s="2178">
        <f>+K58+L35</f>
        <v/>
      </c>
      <c r="M58" s="2178">
        <f>+L58+M35</f>
        <v/>
      </c>
      <c r="N58" s="2178">
        <f>+M58+N35</f>
        <v/>
      </c>
      <c r="O58" s="2178">
        <f>+N58+O35</f>
        <v/>
      </c>
      <c r="P58" s="2178">
        <f>+O58+P35</f>
        <v/>
      </c>
      <c r="Q58" s="2178">
        <f>+P58+Q35</f>
        <v/>
      </c>
      <c r="R58" s="2178">
        <f>+Q58+R35</f>
        <v/>
      </c>
      <c r="S58" s="2178">
        <f>+R58+S35</f>
        <v/>
      </c>
      <c r="T58" s="2178">
        <f>+S58+T35</f>
        <v/>
      </c>
      <c r="U58" s="2178">
        <f>+T58+U35</f>
        <v/>
      </c>
      <c r="V58" s="2178">
        <f>+U58+V35</f>
        <v/>
      </c>
      <c r="W58" s="2178">
        <f>+V58+W35</f>
        <v/>
      </c>
      <c r="X58" s="2178">
        <f>+W58+X35</f>
        <v/>
      </c>
      <c r="Y58" s="2178">
        <f>+X58+Y35</f>
        <v/>
      </c>
      <c r="Z58" s="2179">
        <f>+Y58+Z35</f>
        <v/>
      </c>
      <c r="AA58" s="1381" t="n"/>
    </row>
    <row r="59" ht="12.75" customHeight="1" s="1883">
      <c r="A59" s="1396" t="n"/>
      <c r="B59" s="1991" t="n"/>
      <c r="C59" s="363" t="inlineStr">
        <is>
          <t>Q3</t>
        </is>
      </c>
      <c r="D59" s="2181" t="n"/>
      <c r="E59" s="2181" t="n"/>
      <c r="F59" s="2181" t="n"/>
      <c r="G59" s="2178">
        <f>+G36</f>
        <v/>
      </c>
      <c r="H59" s="2178">
        <f>+G59+H36</f>
        <v/>
      </c>
      <c r="I59" s="2178">
        <f>+H59+I36</f>
        <v/>
      </c>
      <c r="J59" s="2178">
        <f>+I59+J36</f>
        <v/>
      </c>
      <c r="K59" s="2178">
        <f>+J59+K36</f>
        <v/>
      </c>
      <c r="L59" s="2178">
        <f>+K59+L36</f>
        <v/>
      </c>
      <c r="M59" s="2178">
        <f>+L59+M36</f>
        <v/>
      </c>
      <c r="N59" s="2178">
        <f>+M59+N36</f>
        <v/>
      </c>
      <c r="O59" s="2178">
        <f>+N59+O36</f>
        <v/>
      </c>
      <c r="P59" s="2178">
        <f>+O59+P36</f>
        <v/>
      </c>
      <c r="Q59" s="2178">
        <f>+P59+Q36</f>
        <v/>
      </c>
      <c r="R59" s="2178">
        <f>+Q59+R36</f>
        <v/>
      </c>
      <c r="S59" s="2178">
        <f>+R59+S36</f>
        <v/>
      </c>
      <c r="T59" s="2178">
        <f>+S59+T36</f>
        <v/>
      </c>
      <c r="U59" s="2178">
        <f>+T59+U36</f>
        <v/>
      </c>
      <c r="V59" s="2178">
        <f>+U59+V36</f>
        <v/>
      </c>
      <c r="W59" s="2178">
        <f>+V59+W36</f>
        <v/>
      </c>
      <c r="X59" s="2178">
        <f>+W59+X36</f>
        <v/>
      </c>
      <c r="Y59" s="2178">
        <f>+X59+Y36</f>
        <v/>
      </c>
      <c r="Z59" s="2179">
        <f>+Y59+Z36</f>
        <v/>
      </c>
      <c r="AA59" s="1381" t="n"/>
    </row>
    <row r="60" ht="12.75" customHeight="1" s="1883">
      <c r="A60" s="1396" t="n"/>
      <c r="B60" s="1991" t="n"/>
      <c r="C60" s="363" t="inlineStr">
        <is>
          <t>Q4</t>
        </is>
      </c>
      <c r="D60" s="2181" t="n"/>
      <c r="E60" s="2181" t="n"/>
      <c r="F60" s="2181" t="n"/>
      <c r="G60" s="2178">
        <f>+G37</f>
        <v/>
      </c>
      <c r="H60" s="2178">
        <f>+G60+H37</f>
        <v/>
      </c>
      <c r="I60" s="2178">
        <f>+H60+I37</f>
        <v/>
      </c>
      <c r="J60" s="2178">
        <f>+I60+J37</f>
        <v/>
      </c>
      <c r="K60" s="2178">
        <f>+J60+K37</f>
        <v/>
      </c>
      <c r="L60" s="2178">
        <f>+K60+L37</f>
        <v/>
      </c>
      <c r="M60" s="2178">
        <f>+L60+M37</f>
        <v/>
      </c>
      <c r="N60" s="2178">
        <f>+M60+N37</f>
        <v/>
      </c>
      <c r="O60" s="2178">
        <f>+N60+O37</f>
        <v/>
      </c>
      <c r="P60" s="2178">
        <f>+O60+P37</f>
        <v/>
      </c>
      <c r="Q60" s="2178">
        <f>+P60+Q37</f>
        <v/>
      </c>
      <c r="R60" s="2178">
        <f>+Q60+R37</f>
        <v/>
      </c>
      <c r="S60" s="2178">
        <f>+R60+S37</f>
        <v/>
      </c>
      <c r="T60" s="2178">
        <f>+S60+T37</f>
        <v/>
      </c>
      <c r="U60" s="2178">
        <f>+T60+U37</f>
        <v/>
      </c>
      <c r="V60" s="2178">
        <f>+U60+V37</f>
        <v/>
      </c>
      <c r="W60" s="2178">
        <f>+V60+W37</f>
        <v/>
      </c>
      <c r="X60" s="2178">
        <f>+W60+X37</f>
        <v/>
      </c>
      <c r="Y60" s="2178">
        <f>+X60+Y37</f>
        <v/>
      </c>
      <c r="Z60" s="2179">
        <f>+Y60+Z37</f>
        <v/>
      </c>
      <c r="AA60" s="1381" t="n"/>
    </row>
    <row r="61" ht="12.75" customHeight="1" s="1883">
      <c r="A61" s="1396" t="n"/>
      <c r="B61" s="1990" t="inlineStr">
        <is>
          <t>Year 3</t>
        </is>
      </c>
      <c r="C61" s="363" t="inlineStr">
        <is>
          <t>Q1</t>
        </is>
      </c>
      <c r="D61" s="2181" t="n"/>
      <c r="E61" s="2181" t="n"/>
      <c r="F61" s="2181" t="n"/>
      <c r="G61" s="2178">
        <f>+G38</f>
        <v/>
      </c>
      <c r="H61" s="2178">
        <f>+G61+H38</f>
        <v/>
      </c>
      <c r="I61" s="2178">
        <f>+H61+I38</f>
        <v/>
      </c>
      <c r="J61" s="2178">
        <f>+I61+J38</f>
        <v/>
      </c>
      <c r="K61" s="2178">
        <f>+J61+K38</f>
        <v/>
      </c>
      <c r="L61" s="2178">
        <f>+K61+L38</f>
        <v/>
      </c>
      <c r="M61" s="2178">
        <f>+L61+M38</f>
        <v/>
      </c>
      <c r="N61" s="2178">
        <f>+M61+N38</f>
        <v/>
      </c>
      <c r="O61" s="2178">
        <f>+N61+O38</f>
        <v/>
      </c>
      <c r="P61" s="2178">
        <f>+O61+P38</f>
        <v/>
      </c>
      <c r="Q61" s="2178">
        <f>+P61+Q38</f>
        <v/>
      </c>
      <c r="R61" s="2178">
        <f>+Q61+R38</f>
        <v/>
      </c>
      <c r="S61" s="2178">
        <f>+R61+S38</f>
        <v/>
      </c>
      <c r="T61" s="2178">
        <f>+S61+T38</f>
        <v/>
      </c>
      <c r="U61" s="2178">
        <f>+T61+U38</f>
        <v/>
      </c>
      <c r="V61" s="2178">
        <f>+U61+V38</f>
        <v/>
      </c>
      <c r="W61" s="2178">
        <f>+V61+W38</f>
        <v/>
      </c>
      <c r="X61" s="2178">
        <f>+W61+X38</f>
        <v/>
      </c>
      <c r="Y61" s="2178">
        <f>+X61+Y38</f>
        <v/>
      </c>
      <c r="Z61" s="2179">
        <f>+Y61+Z38</f>
        <v/>
      </c>
      <c r="AA61" s="1381" t="n"/>
    </row>
    <row r="62" ht="12.75" customHeight="1" s="1883">
      <c r="A62" s="1396" t="n"/>
      <c r="B62" s="1991" t="n"/>
      <c r="C62" s="363" t="inlineStr">
        <is>
          <t>Q2</t>
        </is>
      </c>
      <c r="D62" s="2181" t="n"/>
      <c r="E62" s="2181" t="n"/>
      <c r="F62" s="2181" t="n"/>
      <c r="G62" s="2178">
        <f>+G39</f>
        <v/>
      </c>
      <c r="H62" s="2178">
        <f>+G62+H39</f>
        <v/>
      </c>
      <c r="I62" s="2178">
        <f>+H62+I39</f>
        <v/>
      </c>
      <c r="J62" s="2178">
        <f>+I62+J39</f>
        <v/>
      </c>
      <c r="K62" s="2178">
        <f>+J62+K39</f>
        <v/>
      </c>
      <c r="L62" s="2178">
        <f>+K62+L39</f>
        <v/>
      </c>
      <c r="M62" s="2178">
        <f>+L62+M39</f>
        <v/>
      </c>
      <c r="N62" s="2178">
        <f>+M62+N39</f>
        <v/>
      </c>
      <c r="O62" s="2178">
        <f>+N62+O39</f>
        <v/>
      </c>
      <c r="P62" s="2178">
        <f>+O62+P39</f>
        <v/>
      </c>
      <c r="Q62" s="2178">
        <f>+P62+Q39</f>
        <v/>
      </c>
      <c r="R62" s="2178">
        <f>+Q62+R39</f>
        <v/>
      </c>
      <c r="S62" s="2178">
        <f>+R62+S39</f>
        <v/>
      </c>
      <c r="T62" s="2178">
        <f>+S62+T39</f>
        <v/>
      </c>
      <c r="U62" s="2178">
        <f>+T62+U39</f>
        <v/>
      </c>
      <c r="V62" s="2178">
        <f>+U62+V39</f>
        <v/>
      </c>
      <c r="W62" s="2178">
        <f>+V62+W39</f>
        <v/>
      </c>
      <c r="X62" s="2178">
        <f>+W62+X39</f>
        <v/>
      </c>
      <c r="Y62" s="2178">
        <f>+X62+Y39</f>
        <v/>
      </c>
      <c r="Z62" s="2179">
        <f>+Y62+Z39</f>
        <v/>
      </c>
      <c r="AA62" s="1381" t="n"/>
    </row>
    <row r="63" ht="12.75" customHeight="1" s="1883">
      <c r="A63" s="1396" t="n"/>
      <c r="B63" s="1991" t="n"/>
      <c r="C63" s="363" t="inlineStr">
        <is>
          <t>Q3</t>
        </is>
      </c>
      <c r="D63" s="2181" t="n"/>
      <c r="E63" s="2181" t="n"/>
      <c r="F63" s="2181" t="n"/>
      <c r="G63" s="2178">
        <f>+G40</f>
        <v/>
      </c>
      <c r="H63" s="2178">
        <f>+G63+H40</f>
        <v/>
      </c>
      <c r="I63" s="2178">
        <f>+H63+I40</f>
        <v/>
      </c>
      <c r="J63" s="2178">
        <f>+I63+J40</f>
        <v/>
      </c>
      <c r="K63" s="2178">
        <f>+J63+K40</f>
        <v/>
      </c>
      <c r="L63" s="2178">
        <f>+K63+L40</f>
        <v/>
      </c>
      <c r="M63" s="2178">
        <f>+L63+M40</f>
        <v/>
      </c>
      <c r="N63" s="2178">
        <f>+M63+N40</f>
        <v/>
      </c>
      <c r="O63" s="2178">
        <f>+N63+O40</f>
        <v/>
      </c>
      <c r="P63" s="2178">
        <f>+O63+P40</f>
        <v/>
      </c>
      <c r="Q63" s="2178">
        <f>+P63+Q40</f>
        <v/>
      </c>
      <c r="R63" s="2178">
        <f>+Q63+R40</f>
        <v/>
      </c>
      <c r="S63" s="2178">
        <f>+R63+S40</f>
        <v/>
      </c>
      <c r="T63" s="2178">
        <f>+S63+T40</f>
        <v/>
      </c>
      <c r="U63" s="2178">
        <f>+T63+U40</f>
        <v/>
      </c>
      <c r="V63" s="2178">
        <f>+U63+V40</f>
        <v/>
      </c>
      <c r="W63" s="2178">
        <f>+V63+W40</f>
        <v/>
      </c>
      <c r="X63" s="2178">
        <f>+W63+X40</f>
        <v/>
      </c>
      <c r="Y63" s="2178">
        <f>+X63+Y40</f>
        <v/>
      </c>
      <c r="Z63" s="2179">
        <f>+Y63+Z40</f>
        <v/>
      </c>
      <c r="AA63" s="1381" t="n"/>
    </row>
    <row r="64" ht="12.75" customHeight="1" s="1883">
      <c r="A64" s="1396" t="n"/>
      <c r="B64" s="1991" t="n"/>
      <c r="C64" s="363" t="inlineStr">
        <is>
          <t>Q4</t>
        </is>
      </c>
      <c r="D64" s="2181" t="n"/>
      <c r="E64" s="2181" t="n"/>
      <c r="F64" s="2181" t="n"/>
      <c r="G64" s="2178">
        <f>+G41</f>
        <v/>
      </c>
      <c r="H64" s="2178">
        <f>+G64+H41</f>
        <v/>
      </c>
      <c r="I64" s="2178">
        <f>+H64+I41</f>
        <v/>
      </c>
      <c r="J64" s="2178">
        <f>+I64+J41</f>
        <v/>
      </c>
      <c r="K64" s="2178">
        <f>+J64+K41</f>
        <v/>
      </c>
      <c r="L64" s="2178">
        <f>+K64+L41</f>
        <v/>
      </c>
      <c r="M64" s="2178">
        <f>+L64+M41</f>
        <v/>
      </c>
      <c r="N64" s="2178">
        <f>+M64+N41</f>
        <v/>
      </c>
      <c r="O64" s="2178">
        <f>+N64+O41</f>
        <v/>
      </c>
      <c r="P64" s="2178">
        <f>+O64+P41</f>
        <v/>
      </c>
      <c r="Q64" s="2178">
        <f>+P64+Q41</f>
        <v/>
      </c>
      <c r="R64" s="2178">
        <f>+Q64+R41</f>
        <v/>
      </c>
      <c r="S64" s="2178">
        <f>+R64+S41</f>
        <v/>
      </c>
      <c r="T64" s="2178">
        <f>+S64+T41</f>
        <v/>
      </c>
      <c r="U64" s="2178">
        <f>+T64+U41</f>
        <v/>
      </c>
      <c r="V64" s="2178">
        <f>+U64+V41</f>
        <v/>
      </c>
      <c r="W64" s="2178">
        <f>+V64+W41</f>
        <v/>
      </c>
      <c r="X64" s="2178">
        <f>+W64+X41</f>
        <v/>
      </c>
      <c r="Y64" s="2178">
        <f>+X64+Y41</f>
        <v/>
      </c>
      <c r="Z64" s="2179">
        <f>+Y64+Z41</f>
        <v/>
      </c>
      <c r="AA64" s="1381" t="n"/>
    </row>
    <row r="65" ht="12.75" customHeight="1" s="1883">
      <c r="A65" s="1396" t="n"/>
      <c r="B65" s="1990" t="inlineStr">
        <is>
          <t>Year 4</t>
        </is>
      </c>
      <c r="C65" s="363" t="inlineStr">
        <is>
          <t>Q1</t>
        </is>
      </c>
      <c r="D65" s="2181" t="n"/>
      <c r="E65" s="2181" t="n"/>
      <c r="F65" s="2181" t="n"/>
      <c r="G65" s="2178">
        <f>+G42</f>
        <v/>
      </c>
      <c r="H65" s="2178">
        <f>+G65+H42</f>
        <v/>
      </c>
      <c r="I65" s="2178">
        <f>+H65+I42</f>
        <v/>
      </c>
      <c r="J65" s="2178">
        <f>+I65+J42</f>
        <v/>
      </c>
      <c r="K65" s="2178">
        <f>+J65+K42</f>
        <v/>
      </c>
      <c r="L65" s="2178">
        <f>+K65+L42</f>
        <v/>
      </c>
      <c r="M65" s="2178">
        <f>+L65+M42</f>
        <v/>
      </c>
      <c r="N65" s="2178">
        <f>+M65+N42</f>
        <v/>
      </c>
      <c r="O65" s="2178">
        <f>+N65+O42</f>
        <v/>
      </c>
      <c r="P65" s="2178">
        <f>+O65+P42</f>
        <v/>
      </c>
      <c r="Q65" s="2178">
        <f>+P65+Q42</f>
        <v/>
      </c>
      <c r="R65" s="2178">
        <f>+Q65+R42</f>
        <v/>
      </c>
      <c r="S65" s="2178">
        <f>+R65+S42</f>
        <v/>
      </c>
      <c r="T65" s="2178">
        <f>+S65+T42</f>
        <v/>
      </c>
      <c r="U65" s="2178">
        <f>+T65+U42</f>
        <v/>
      </c>
      <c r="V65" s="2178">
        <f>+U65+V42</f>
        <v/>
      </c>
      <c r="W65" s="2178">
        <f>+V65+W42</f>
        <v/>
      </c>
      <c r="X65" s="2178">
        <f>+W65+X42</f>
        <v/>
      </c>
      <c r="Y65" s="2178">
        <f>+X65+Y42</f>
        <v/>
      </c>
      <c r="Z65" s="2179">
        <f>+Y65+Z42</f>
        <v/>
      </c>
      <c r="AA65" s="1381" t="n"/>
    </row>
    <row r="66" ht="12.75" customHeight="1" s="1883">
      <c r="A66" s="1396" t="n"/>
      <c r="B66" s="1991" t="n"/>
      <c r="C66" s="363" t="inlineStr">
        <is>
          <t>Q2</t>
        </is>
      </c>
      <c r="D66" s="2181" t="n"/>
      <c r="E66" s="2181" t="n"/>
      <c r="F66" s="2181" t="n"/>
      <c r="G66" s="2178">
        <f>+G43</f>
        <v/>
      </c>
      <c r="H66" s="2178">
        <f>+G66+H43</f>
        <v/>
      </c>
      <c r="I66" s="2178">
        <f>+H66+I43</f>
        <v/>
      </c>
      <c r="J66" s="2178">
        <f>+I66+J43</f>
        <v/>
      </c>
      <c r="K66" s="2178">
        <f>+J66+K43</f>
        <v/>
      </c>
      <c r="L66" s="2178">
        <f>+K66+L43</f>
        <v/>
      </c>
      <c r="M66" s="2178">
        <f>+L66+M43</f>
        <v/>
      </c>
      <c r="N66" s="2178">
        <f>+M66+N43</f>
        <v/>
      </c>
      <c r="O66" s="2178">
        <f>+N66+O43</f>
        <v/>
      </c>
      <c r="P66" s="2178">
        <f>+O66+P43</f>
        <v/>
      </c>
      <c r="Q66" s="2178">
        <f>+P66+Q43</f>
        <v/>
      </c>
      <c r="R66" s="2178">
        <f>+Q66+R43</f>
        <v/>
      </c>
      <c r="S66" s="2178">
        <f>+R66+S43</f>
        <v/>
      </c>
      <c r="T66" s="2178">
        <f>+S66+T43</f>
        <v/>
      </c>
      <c r="U66" s="2178">
        <f>+T66+U43</f>
        <v/>
      </c>
      <c r="V66" s="2178">
        <f>+U66+V43</f>
        <v/>
      </c>
      <c r="W66" s="2178">
        <f>+V66+W43</f>
        <v/>
      </c>
      <c r="X66" s="2178">
        <f>+W66+X43</f>
        <v/>
      </c>
      <c r="Y66" s="2178">
        <f>+X66+Y43</f>
        <v/>
      </c>
      <c r="Z66" s="2179">
        <f>+Y66+Z43</f>
        <v/>
      </c>
      <c r="AA66" s="1381" t="n"/>
    </row>
    <row r="67" ht="12.75" customHeight="1" s="1883">
      <c r="A67" s="1396" t="n"/>
      <c r="B67" s="1991" t="n"/>
      <c r="C67" s="363" t="inlineStr">
        <is>
          <t>Q3</t>
        </is>
      </c>
      <c r="D67" s="2181" t="n"/>
      <c r="E67" s="2181" t="n"/>
      <c r="F67" s="2181" t="n"/>
      <c r="G67" s="2178">
        <f>+G44</f>
        <v/>
      </c>
      <c r="H67" s="2178">
        <f>+G67+H44</f>
        <v/>
      </c>
      <c r="I67" s="2178">
        <f>+H67+I44</f>
        <v/>
      </c>
      <c r="J67" s="2178">
        <f>+I67+J44</f>
        <v/>
      </c>
      <c r="K67" s="2178">
        <f>+J67+K44</f>
        <v/>
      </c>
      <c r="L67" s="2178">
        <f>+K67+L44</f>
        <v/>
      </c>
      <c r="M67" s="2178">
        <f>+L67+M44</f>
        <v/>
      </c>
      <c r="N67" s="2178">
        <f>+M67+N44</f>
        <v/>
      </c>
      <c r="O67" s="2178">
        <f>+N67+O44</f>
        <v/>
      </c>
      <c r="P67" s="2178">
        <f>+O67+P44</f>
        <v/>
      </c>
      <c r="Q67" s="2178">
        <f>+P67+Q44</f>
        <v/>
      </c>
      <c r="R67" s="2178">
        <f>+Q67+R44</f>
        <v/>
      </c>
      <c r="S67" s="2178">
        <f>+R67+S44</f>
        <v/>
      </c>
      <c r="T67" s="2178">
        <f>+S67+T44</f>
        <v/>
      </c>
      <c r="U67" s="2178">
        <f>+T67+U44</f>
        <v/>
      </c>
      <c r="V67" s="2178">
        <f>+U67+V44</f>
        <v/>
      </c>
      <c r="W67" s="2178">
        <f>+V67+W44</f>
        <v/>
      </c>
      <c r="X67" s="2178">
        <f>+W67+X44</f>
        <v/>
      </c>
      <c r="Y67" s="2178">
        <f>+X67+Y44</f>
        <v/>
      </c>
      <c r="Z67" s="2179">
        <f>+Y67+Z44</f>
        <v/>
      </c>
      <c r="AA67" s="1381" t="n"/>
    </row>
    <row r="68" ht="12.75" customHeight="1" s="1883">
      <c r="A68" s="1396" t="n"/>
      <c r="B68" s="1991" t="n"/>
      <c r="C68" s="363" t="inlineStr">
        <is>
          <t>Q4</t>
        </is>
      </c>
      <c r="D68" s="2181" t="n"/>
      <c r="E68" s="2181" t="n"/>
      <c r="F68" s="2181" t="n"/>
      <c r="G68" s="2178">
        <f>+G45</f>
        <v/>
      </c>
      <c r="H68" s="2178">
        <f>+G68+H45</f>
        <v/>
      </c>
      <c r="I68" s="2178">
        <f>+H68+I45</f>
        <v/>
      </c>
      <c r="J68" s="2178">
        <f>+I68+J45</f>
        <v/>
      </c>
      <c r="K68" s="2178">
        <f>+J68+K45</f>
        <v/>
      </c>
      <c r="L68" s="2178">
        <f>+K68+L45</f>
        <v/>
      </c>
      <c r="M68" s="2178">
        <f>+L68+M45</f>
        <v/>
      </c>
      <c r="N68" s="2178">
        <f>+M68+N45</f>
        <v/>
      </c>
      <c r="O68" s="2178">
        <f>+N68+O45</f>
        <v/>
      </c>
      <c r="P68" s="2178">
        <f>+O68+P45</f>
        <v/>
      </c>
      <c r="Q68" s="2178">
        <f>+P68+Q45</f>
        <v/>
      </c>
      <c r="R68" s="2178">
        <f>+Q68+R45</f>
        <v/>
      </c>
      <c r="S68" s="2178">
        <f>+R68+S45</f>
        <v/>
      </c>
      <c r="T68" s="2178">
        <f>+S68+T45</f>
        <v/>
      </c>
      <c r="U68" s="2178">
        <f>+T68+U45</f>
        <v/>
      </c>
      <c r="V68" s="2178">
        <f>+U68+V45</f>
        <v/>
      </c>
      <c r="W68" s="2178">
        <f>+V68+W45</f>
        <v/>
      </c>
      <c r="X68" s="2178">
        <f>+W68+X45</f>
        <v/>
      </c>
      <c r="Y68" s="2178">
        <f>+X68+Y45</f>
        <v/>
      </c>
      <c r="Z68" s="2179">
        <f>+Y68+Z45</f>
        <v/>
      </c>
      <c r="AA68" s="1381" t="n"/>
    </row>
    <row r="69" ht="12.75" customHeight="1" s="1883">
      <c r="A69" s="1396" t="n"/>
      <c r="B69" s="1990" t="inlineStr">
        <is>
          <t>Year 5</t>
        </is>
      </c>
      <c r="C69" s="363" t="inlineStr">
        <is>
          <t>Q1</t>
        </is>
      </c>
      <c r="D69" s="2181" t="n"/>
      <c r="E69" s="2181" t="n"/>
      <c r="F69" s="2181" t="n"/>
      <c r="G69" s="2178">
        <f>+G46</f>
        <v/>
      </c>
      <c r="H69" s="2178">
        <f>+G69+H46</f>
        <v/>
      </c>
      <c r="I69" s="2178">
        <f>+H69+I46</f>
        <v/>
      </c>
      <c r="J69" s="2178">
        <f>+I69+J46</f>
        <v/>
      </c>
      <c r="K69" s="2178">
        <f>+J69+K46</f>
        <v/>
      </c>
      <c r="L69" s="2178">
        <f>+K69+L46</f>
        <v/>
      </c>
      <c r="M69" s="2178">
        <f>+L69+M46</f>
        <v/>
      </c>
      <c r="N69" s="2178">
        <f>+M69+N46</f>
        <v/>
      </c>
      <c r="O69" s="2178">
        <f>+N69+O46</f>
        <v/>
      </c>
      <c r="P69" s="2178">
        <f>+O69+P46</f>
        <v/>
      </c>
      <c r="Q69" s="2178">
        <f>+P69+Q46</f>
        <v/>
      </c>
      <c r="R69" s="2178">
        <f>+Q69+R46</f>
        <v/>
      </c>
      <c r="S69" s="2178">
        <f>+R69+S46</f>
        <v/>
      </c>
      <c r="T69" s="2178">
        <f>+S69+T46</f>
        <v/>
      </c>
      <c r="U69" s="2178">
        <f>+T69+U46</f>
        <v/>
      </c>
      <c r="V69" s="2178">
        <f>+U69+V46</f>
        <v/>
      </c>
      <c r="W69" s="2178">
        <f>+V69+W46</f>
        <v/>
      </c>
      <c r="X69" s="2178">
        <f>+W69+X46</f>
        <v/>
      </c>
      <c r="Y69" s="2178">
        <f>+X69+Y46</f>
        <v/>
      </c>
      <c r="Z69" s="2179">
        <f>+Y69+Z46</f>
        <v/>
      </c>
      <c r="AA69" s="1381" t="n"/>
    </row>
    <row r="70" ht="12.75" customHeight="1" s="1883">
      <c r="A70" s="1396" t="n"/>
      <c r="B70" s="1991" t="n"/>
      <c r="C70" s="363" t="inlineStr">
        <is>
          <t>Q2</t>
        </is>
      </c>
      <c r="D70" s="2181" t="n"/>
      <c r="E70" s="2181" t="n"/>
      <c r="F70" s="2181" t="n"/>
      <c r="G70" s="2178">
        <f>+G47</f>
        <v/>
      </c>
      <c r="H70" s="2178">
        <f>+G70+H47</f>
        <v/>
      </c>
      <c r="I70" s="2178">
        <f>+H70+I47</f>
        <v/>
      </c>
      <c r="J70" s="2178">
        <f>+I70+J47</f>
        <v/>
      </c>
      <c r="K70" s="2178">
        <f>+J70+K47</f>
        <v/>
      </c>
      <c r="L70" s="2178">
        <f>+K70+L47</f>
        <v/>
      </c>
      <c r="M70" s="2178">
        <f>+L70+M47</f>
        <v/>
      </c>
      <c r="N70" s="2178">
        <f>+M70+N47</f>
        <v/>
      </c>
      <c r="O70" s="2178">
        <f>+N70+O47</f>
        <v/>
      </c>
      <c r="P70" s="2178">
        <f>+O70+P47</f>
        <v/>
      </c>
      <c r="Q70" s="2178">
        <f>+P70+Q47</f>
        <v/>
      </c>
      <c r="R70" s="2178">
        <f>+Q70+R47</f>
        <v/>
      </c>
      <c r="S70" s="2178">
        <f>+R70+S47</f>
        <v/>
      </c>
      <c r="T70" s="2178">
        <f>+S70+T47</f>
        <v/>
      </c>
      <c r="U70" s="2178">
        <f>+T70+U47</f>
        <v/>
      </c>
      <c r="V70" s="2178">
        <f>+U70+V47</f>
        <v/>
      </c>
      <c r="W70" s="2178">
        <f>+V70+W47</f>
        <v/>
      </c>
      <c r="X70" s="2178">
        <f>+W70+X47</f>
        <v/>
      </c>
      <c r="Y70" s="2178">
        <f>+X70+Y47</f>
        <v/>
      </c>
      <c r="Z70" s="2179">
        <f>+Y70+Z47</f>
        <v/>
      </c>
      <c r="AA70" s="1381" t="n"/>
    </row>
    <row r="71" ht="12.75" customHeight="1" s="1883">
      <c r="A71" s="1396" t="n"/>
      <c r="B71" s="1991" t="n"/>
      <c r="C71" s="363" t="inlineStr">
        <is>
          <t>Q3</t>
        </is>
      </c>
      <c r="D71" s="2181" t="n"/>
      <c r="E71" s="2181" t="n"/>
      <c r="F71" s="2181" t="n"/>
      <c r="G71" s="2178">
        <f>+G48</f>
        <v/>
      </c>
      <c r="H71" s="2178">
        <f>+G71+H48</f>
        <v/>
      </c>
      <c r="I71" s="2178">
        <f>+H71+I48</f>
        <v/>
      </c>
      <c r="J71" s="2178">
        <f>+I71+J48</f>
        <v/>
      </c>
      <c r="K71" s="2178">
        <f>+J71+K48</f>
        <v/>
      </c>
      <c r="L71" s="2178">
        <f>+K71+L48</f>
        <v/>
      </c>
      <c r="M71" s="2178">
        <f>+L71+M48</f>
        <v/>
      </c>
      <c r="N71" s="2178">
        <f>+M71+N48</f>
        <v/>
      </c>
      <c r="O71" s="2178">
        <f>+N71+O48</f>
        <v/>
      </c>
      <c r="P71" s="2178">
        <f>+O71+P48</f>
        <v/>
      </c>
      <c r="Q71" s="2178">
        <f>+P71+Q48</f>
        <v/>
      </c>
      <c r="R71" s="2178">
        <f>+Q71+R48</f>
        <v/>
      </c>
      <c r="S71" s="2178">
        <f>+R71+S48</f>
        <v/>
      </c>
      <c r="T71" s="2178">
        <f>+S71+T48</f>
        <v/>
      </c>
      <c r="U71" s="2178">
        <f>+T71+U48</f>
        <v/>
      </c>
      <c r="V71" s="2178">
        <f>+U71+V48</f>
        <v/>
      </c>
      <c r="W71" s="2178">
        <f>+V71+W48</f>
        <v/>
      </c>
      <c r="X71" s="2178">
        <f>+W71+X48</f>
        <v/>
      </c>
      <c r="Y71" s="2178">
        <f>+X71+Y48</f>
        <v/>
      </c>
      <c r="Z71" s="2179">
        <f>+Y71+Z48</f>
        <v/>
      </c>
      <c r="AA71" s="1381" t="n"/>
    </row>
    <row r="72" ht="12.75" customHeight="1" s="1883">
      <c r="A72" s="1396" t="n"/>
      <c r="B72" s="364" t="n"/>
      <c r="C72" s="365" t="inlineStr">
        <is>
          <t>Q4</t>
        </is>
      </c>
      <c r="D72" s="2181" t="n"/>
      <c r="E72" s="2181" t="n"/>
      <c r="F72" s="2181" t="n"/>
      <c r="G72" s="2178">
        <f>+G49</f>
        <v/>
      </c>
      <c r="H72" s="2178">
        <f>+G72+H49</f>
        <v/>
      </c>
      <c r="I72" s="2178">
        <f>+H72+I49</f>
        <v/>
      </c>
      <c r="J72" s="2178">
        <f>+I72+J49</f>
        <v/>
      </c>
      <c r="K72" s="2178">
        <f>+J72+K49</f>
        <v/>
      </c>
      <c r="L72" s="2178">
        <f>+K72+L49</f>
        <v/>
      </c>
      <c r="M72" s="2178">
        <f>+L72+M49</f>
        <v/>
      </c>
      <c r="N72" s="2178">
        <f>+M72+N49</f>
        <v/>
      </c>
      <c r="O72" s="2178">
        <f>+N72+O49</f>
        <v/>
      </c>
      <c r="P72" s="2178">
        <f>+O72+P49</f>
        <v/>
      </c>
      <c r="Q72" s="2178">
        <f>+P72+Q49</f>
        <v/>
      </c>
      <c r="R72" s="2178">
        <f>+Q72+R49</f>
        <v/>
      </c>
      <c r="S72" s="2178">
        <f>+R72+S49</f>
        <v/>
      </c>
      <c r="T72" s="2178">
        <f>+S72+T49</f>
        <v/>
      </c>
      <c r="U72" s="2178">
        <f>+T72+U49</f>
        <v/>
      </c>
      <c r="V72" s="2178">
        <f>+U72+V49</f>
        <v/>
      </c>
      <c r="W72" s="2178">
        <f>+V72+W49</f>
        <v/>
      </c>
      <c r="X72" s="2178">
        <f>+W72+X49</f>
        <v/>
      </c>
      <c r="Y72" s="2178">
        <f>+X72+Y49</f>
        <v/>
      </c>
      <c r="Z72" s="2179">
        <f>+Y72+Z49</f>
        <v/>
      </c>
      <c r="AA72" s="1381" t="n"/>
    </row>
    <row r="73" ht="12.75" customHeight="1" s="1883">
      <c r="A73" s="1396" t="n"/>
      <c r="B73" s="1988" t="inlineStr">
        <is>
          <t>Accumulated  Depreciation</t>
        </is>
      </c>
      <c r="C73" s="1989" t="n"/>
      <c r="D73" s="380" t="n"/>
      <c r="E73" s="380" t="n"/>
      <c r="F73" s="2182" t="n"/>
      <c r="G73" s="2182">
        <f>SUM(G52:G72)</f>
        <v/>
      </c>
      <c r="H73" s="2182">
        <f>SUM(H52:H72)</f>
        <v/>
      </c>
      <c r="I73" s="2182">
        <f>SUM(I52:I72)</f>
        <v/>
      </c>
      <c r="J73" s="2182">
        <f>SUM(J52:J72)</f>
        <v/>
      </c>
      <c r="K73" s="2182">
        <f>SUM(K52:K72)</f>
        <v/>
      </c>
      <c r="L73" s="2182">
        <f>SUM(L52:L72)</f>
        <v/>
      </c>
      <c r="M73" s="2182">
        <f>SUM(M52:M72)</f>
        <v/>
      </c>
      <c r="N73" s="2182">
        <f>SUM(N52:N72)</f>
        <v/>
      </c>
      <c r="O73" s="2182">
        <f>SUM(O52:O72)</f>
        <v/>
      </c>
      <c r="P73" s="2182">
        <f>SUM(P52:P72)</f>
        <v/>
      </c>
      <c r="Q73" s="2182">
        <f>SUM(Q52:Q72)</f>
        <v/>
      </c>
      <c r="R73" s="2182">
        <f>SUM(R52:R72)</f>
        <v/>
      </c>
      <c r="S73" s="2182">
        <f>SUM(S52:S72)</f>
        <v/>
      </c>
      <c r="T73" s="2182">
        <f>SUM(T52:T72)</f>
        <v/>
      </c>
      <c r="U73" s="2182">
        <f>SUM(U52:U72)</f>
        <v/>
      </c>
      <c r="V73" s="2182">
        <f>SUM(V52:V72)</f>
        <v/>
      </c>
      <c r="W73" s="2182">
        <f>SUM(W52:W72)</f>
        <v/>
      </c>
      <c r="X73" s="2182">
        <f>SUM(X52:X72)</f>
        <v/>
      </c>
      <c r="Y73" s="2182">
        <f>SUM(Y52:Y72)</f>
        <v/>
      </c>
      <c r="Z73" s="2183">
        <f>SUM(Z52:Z72)</f>
        <v/>
      </c>
      <c r="AA73" s="2170" t="n"/>
    </row>
    <row r="74" ht="12.75" customHeight="1" s="1883">
      <c r="A74" s="1395" t="n"/>
      <c r="B74" s="1381" t="n"/>
      <c r="C74" s="1381" t="n"/>
      <c r="D74" s="1381" t="n"/>
      <c r="E74" s="1381" t="n"/>
      <c r="F74" s="1381" t="n"/>
      <c r="G74" s="1381" t="n"/>
      <c r="H74" s="1381" t="n"/>
      <c r="I74" s="1381" t="n"/>
      <c r="J74" s="1381" t="n"/>
      <c r="K74" s="1381" t="n"/>
      <c r="L74" s="1381" t="n"/>
      <c r="M74" s="1381" t="n"/>
      <c r="N74" s="1381" t="n"/>
      <c r="O74" s="1381" t="n"/>
      <c r="P74" s="1381" t="n"/>
      <c r="Q74" s="1381" t="n"/>
      <c r="R74" s="1381" t="n"/>
      <c r="S74" s="1381" t="n"/>
      <c r="T74" s="1381" t="n"/>
      <c r="U74" s="1381" t="n"/>
      <c r="V74" s="1381" t="n"/>
      <c r="W74" s="1381" t="n"/>
      <c r="X74" s="1381" t="n"/>
      <c r="Y74" s="1381" t="n"/>
      <c r="Z74" s="1381" t="n"/>
      <c r="AA74" s="1381" t="n"/>
    </row>
  </sheetData>
  <mergeCells count="23">
    <mergeCell ref="S5:V5"/>
    <mergeCell ref="B11:B14"/>
    <mergeCell ref="B27:C27"/>
    <mergeCell ref="B42:B45"/>
    <mergeCell ref="B61:B64"/>
    <mergeCell ref="B38:B41"/>
    <mergeCell ref="B19:B22"/>
    <mergeCell ref="B57:B60"/>
    <mergeCell ref="K5:N5"/>
    <mergeCell ref="B73:C73"/>
    <mergeCell ref="B53:B56"/>
    <mergeCell ref="W5:Z5"/>
    <mergeCell ref="B34:B37"/>
    <mergeCell ref="B30:B33"/>
    <mergeCell ref="O5:R5"/>
    <mergeCell ref="B46:B48"/>
    <mergeCell ref="B15:B18"/>
    <mergeCell ref="B65:B68"/>
    <mergeCell ref="B23:B25"/>
    <mergeCell ref="B50:C50"/>
    <mergeCell ref="B69:B71"/>
    <mergeCell ref="B7:B10"/>
    <mergeCell ref="G5:J5"/>
  </mergeCells>
  <pageMargins left="0.7" right="0.7" top="0.75" bottom="0.75" header="0.3" footer="0.3"/>
  <pageSetup orientation="portrait" horizontalDpi="0" verticalDpi="0"/>
</worksheet>
</file>

<file path=xl/worksheets/sheet43.xml><?xml version="1.0" encoding="utf-8"?>
<worksheet xmlns="http://schemas.openxmlformats.org/spreadsheetml/2006/main">
  <sheetPr>
    <outlinePr summaryBelow="0" summaryRight="0"/>
    <pageSetUpPr/>
  </sheetPr>
  <dimension ref="A1:CD23"/>
  <sheetViews>
    <sheetView showGridLines="0" workbookViewId="0">
      <selection activeCell="H39" sqref="H39"/>
    </sheetView>
  </sheetViews>
  <sheetFormatPr baseColWidth="10" defaultColWidth="17.33203125" defaultRowHeight="15" customHeight="1"/>
  <cols>
    <col width="2" customWidth="1" style="1883" min="1" max="1"/>
    <col width="2.5" customWidth="1" style="1883" min="2" max="2"/>
    <col width="28.6640625" customWidth="1" style="1883" min="3" max="3"/>
    <col width="13.33203125" customWidth="1" style="1883" min="4" max="4"/>
    <col width="27.5" customWidth="1" style="1883" min="5" max="5"/>
    <col width="17" customWidth="1" style="1883" min="6" max="6"/>
    <col width="14.1640625" customWidth="1" style="1883" min="7" max="7"/>
    <col width="14.6640625" customWidth="1" style="1883" min="8" max="8"/>
    <col width="12.6640625" customWidth="1" style="1883" min="9" max="10"/>
    <col width="13.5" customWidth="1" style="1883" min="11" max="11"/>
    <col width="17.5" customWidth="1" style="1883" min="12" max="12"/>
    <col width="13.6640625" customWidth="1" style="1883" min="13" max="15"/>
    <col width="17.5" customWidth="1" style="1883" min="16" max="16"/>
    <col width="13.6640625" customWidth="1" style="1883" min="17" max="76"/>
    <col width="8" customWidth="1" style="1883" min="77" max="80"/>
    <col width="11.5" customWidth="1" style="1883" min="81" max="81"/>
    <col width="12" customWidth="1" style="1883" min="82" max="82"/>
    <col width="8" customWidth="1" style="1883" min="83" max="86"/>
  </cols>
  <sheetData>
    <row r="1" ht="12.75" customHeight="1" s="1883">
      <c r="A1" s="1" t="n"/>
      <c r="B1" s="2" t="inlineStr">
        <is>
          <t xml:space="preserve"> Pure Technology Income Statement Projections by Month</t>
        </is>
      </c>
      <c r="C1" s="3" t="n"/>
      <c r="D1" s="1" t="n"/>
      <c r="E1" s="4" t="n"/>
      <c r="F1" s="4" t="n"/>
      <c r="G1" s="4" t="n"/>
      <c r="H1" s="4" t="n"/>
      <c r="I1" s="4" t="n"/>
      <c r="J1" s="4" t="n"/>
      <c r="K1" s="4" t="n"/>
      <c r="L1" s="4" t="n"/>
      <c r="M1" s="4" t="n"/>
      <c r="N1" s="4" t="n"/>
      <c r="O1" s="4" t="n"/>
      <c r="P1" s="4" t="n"/>
      <c r="Q1" s="5" t="n"/>
      <c r="R1" s="5" t="n"/>
      <c r="S1" s="5" t="n"/>
      <c r="T1" s="5" t="n"/>
      <c r="U1" s="6" t="n"/>
      <c r="V1" s="5" t="n"/>
      <c r="W1" s="5" t="n"/>
      <c r="X1" s="5" t="n"/>
      <c r="Y1" s="5" t="n"/>
      <c r="Z1" s="5" t="n"/>
      <c r="AA1" s="5" t="n"/>
      <c r="AB1" s="5" t="n"/>
      <c r="AC1" s="6" t="n"/>
      <c r="AD1" s="6" t="n"/>
      <c r="AE1" s="5" t="n"/>
      <c r="AF1" s="5" t="n"/>
      <c r="AG1" s="5" t="n"/>
      <c r="AH1" s="5" t="n"/>
      <c r="AI1" s="5" t="n"/>
      <c r="AJ1" s="6" t="n"/>
      <c r="AK1" s="6" t="n"/>
      <c r="AL1" s="5" t="n"/>
      <c r="AM1" s="5" t="n"/>
      <c r="AN1" s="6"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row>
    <row r="2" ht="12.75" customHeight="1" s="1883">
      <c r="A2" s="7" t="n"/>
      <c r="B2" s="8" t="n"/>
      <c r="C2" s="9" t="n"/>
      <c r="D2" s="7" t="n"/>
      <c r="E2" s="10" t="n"/>
      <c r="F2" s="10" t="n"/>
      <c r="G2" s="10" t="n"/>
      <c r="H2" s="10" t="n"/>
      <c r="I2" s="10" t="n"/>
      <c r="J2" s="10" t="n"/>
      <c r="K2" s="10" t="n"/>
      <c r="L2" s="10" t="n"/>
      <c r="M2" s="10" t="n"/>
      <c r="N2" s="10" t="n"/>
      <c r="O2" s="10" t="n"/>
      <c r="P2" s="10" t="n"/>
      <c r="Q2" s="1986" t="inlineStr">
        <is>
          <t>For the Year Ending</t>
        </is>
      </c>
      <c r="AC2" s="1986" t="inlineStr">
        <is>
          <t>For the Year Ending</t>
        </is>
      </c>
      <c r="AO2" s="1986" t="inlineStr">
        <is>
          <t>For the Year Ending</t>
        </is>
      </c>
      <c r="BA2" s="1986" t="inlineStr">
        <is>
          <t>For the Year Ending</t>
        </is>
      </c>
      <c r="BM2" s="1986" t="inlineStr">
        <is>
          <t>For the Year Ending</t>
        </is>
      </c>
      <c r="BY2" s="7" t="n"/>
      <c r="BZ2" s="7" t="n"/>
      <c r="CA2" s="7" t="n"/>
      <c r="CB2" s="7" t="n"/>
      <c r="CC2" s="7" t="n"/>
      <c r="CD2" s="7" t="n"/>
    </row>
    <row r="3" ht="12.75" customHeight="1" s="1883">
      <c r="A3" s="7" t="n"/>
      <c r="B3" s="1350" t="n"/>
      <c r="C3" s="1350" t="n"/>
      <c r="D3" s="1351" t="n"/>
      <c r="E3" s="1352" t="n">
        <v>1</v>
      </c>
      <c r="F3" s="1352" t="n">
        <v>2</v>
      </c>
      <c r="G3" s="1352" t="n">
        <v>3</v>
      </c>
      <c r="H3" s="1352" t="n">
        <v>4</v>
      </c>
      <c r="I3" s="1352" t="n">
        <v>5</v>
      </c>
      <c r="J3" s="1352" t="n">
        <v>6</v>
      </c>
      <c r="K3" s="1352" t="n">
        <v>7</v>
      </c>
      <c r="L3" s="1352" t="n">
        <v>8</v>
      </c>
      <c r="M3" s="1352" t="n">
        <v>9</v>
      </c>
      <c r="N3" s="1352" t="n">
        <v>10</v>
      </c>
      <c r="O3" s="1352" t="n">
        <v>11</v>
      </c>
      <c r="P3" s="1352" t="n">
        <v>12</v>
      </c>
      <c r="Q3" s="1352" t="n">
        <v>13</v>
      </c>
      <c r="R3" s="1352" t="n">
        <v>14</v>
      </c>
      <c r="S3" s="1352" t="n">
        <v>15</v>
      </c>
      <c r="T3" s="1352" t="n">
        <v>16</v>
      </c>
      <c r="U3" s="1352" t="n">
        <v>17</v>
      </c>
      <c r="V3" s="1352" t="n">
        <v>18</v>
      </c>
      <c r="W3" s="1352" t="n">
        <v>19</v>
      </c>
      <c r="X3" s="1352" t="n">
        <v>20</v>
      </c>
      <c r="Y3" s="1352" t="n">
        <v>21</v>
      </c>
      <c r="Z3" s="1352" t="n">
        <v>22</v>
      </c>
      <c r="AA3" s="1352" t="n">
        <v>23</v>
      </c>
      <c r="AB3" s="1352" t="n">
        <v>24</v>
      </c>
      <c r="AC3" s="1352" t="n">
        <v>25</v>
      </c>
      <c r="AD3" s="1352" t="n">
        <v>26</v>
      </c>
      <c r="AE3" s="1352" t="n">
        <v>27</v>
      </c>
      <c r="AF3" s="1352" t="n">
        <v>28</v>
      </c>
      <c r="AG3" s="1352" t="n">
        <v>29</v>
      </c>
      <c r="AH3" s="1352" t="n">
        <v>30</v>
      </c>
      <c r="AI3" s="1352" t="n">
        <v>31</v>
      </c>
      <c r="AJ3" s="1352" t="n">
        <v>32</v>
      </c>
      <c r="AK3" s="1352" t="n">
        <v>33</v>
      </c>
      <c r="AL3" s="1352" t="n">
        <v>34</v>
      </c>
      <c r="AM3" s="1352" t="n">
        <v>35</v>
      </c>
      <c r="AN3" s="1352" t="n">
        <v>36</v>
      </c>
      <c r="AO3" s="1352" t="n">
        <v>37</v>
      </c>
      <c r="AP3" s="1352" t="n">
        <v>38</v>
      </c>
      <c r="AQ3" s="1352" t="n">
        <v>39</v>
      </c>
      <c r="AR3" s="1352" t="n">
        <v>40</v>
      </c>
      <c r="AS3" s="1352" t="n">
        <v>41</v>
      </c>
      <c r="AT3" s="1352" t="n">
        <v>42</v>
      </c>
      <c r="AU3" s="1352" t="n">
        <v>43</v>
      </c>
      <c r="AV3" s="1352" t="n">
        <v>44</v>
      </c>
      <c r="AW3" s="1352" t="n">
        <v>45</v>
      </c>
      <c r="AX3" s="1352" t="n">
        <v>46</v>
      </c>
      <c r="AY3" s="1352" t="n">
        <v>47</v>
      </c>
      <c r="AZ3" s="1352" t="n">
        <v>48</v>
      </c>
      <c r="BA3" s="1352" t="n">
        <v>49</v>
      </c>
      <c r="BB3" s="1352" t="n">
        <v>50</v>
      </c>
      <c r="BC3" s="1352" t="n">
        <v>51</v>
      </c>
      <c r="BD3" s="1352" t="n">
        <v>52</v>
      </c>
      <c r="BE3" s="1352" t="n">
        <v>53</v>
      </c>
      <c r="BF3" s="1352" t="n">
        <v>54</v>
      </c>
      <c r="BG3" s="1352" t="n">
        <v>55</v>
      </c>
      <c r="BH3" s="1352" t="n">
        <v>56</v>
      </c>
      <c r="BI3" s="1352" t="n">
        <v>57</v>
      </c>
      <c r="BJ3" s="1352" t="n">
        <v>58</v>
      </c>
      <c r="BK3" s="1352" t="n">
        <v>59</v>
      </c>
      <c r="BL3" s="1352" t="n">
        <v>60</v>
      </c>
      <c r="BM3" s="1352" t="n">
        <v>61</v>
      </c>
      <c r="BN3" s="1352" t="n">
        <v>62</v>
      </c>
      <c r="BO3" s="1352" t="n">
        <v>63</v>
      </c>
      <c r="BP3" s="1352" t="n">
        <v>64</v>
      </c>
      <c r="BQ3" s="1352" t="n">
        <v>65</v>
      </c>
      <c r="BR3" s="1352" t="n">
        <v>66</v>
      </c>
      <c r="BS3" s="1352" t="n">
        <v>67</v>
      </c>
      <c r="BT3" s="1352" t="n">
        <v>68</v>
      </c>
      <c r="BU3" s="1352" t="n">
        <v>69</v>
      </c>
      <c r="BV3" s="1352" t="n">
        <v>70</v>
      </c>
      <c r="BW3" s="1352" t="n">
        <v>71</v>
      </c>
      <c r="BX3" s="1352" t="n">
        <v>72</v>
      </c>
      <c r="BY3" s="1352" t="n">
        <v>73</v>
      </c>
      <c r="BZ3" s="1352" t="n">
        <v>74</v>
      </c>
      <c r="CA3" s="1352" t="n">
        <v>75</v>
      </c>
      <c r="CB3" s="1352" t="n">
        <v>76</v>
      </c>
      <c r="CC3" s="1352" t="n">
        <v>77</v>
      </c>
      <c r="CD3" s="1352" t="n">
        <v>78</v>
      </c>
    </row>
    <row r="4" ht="12.75" customHeight="1" s="1883">
      <c r="A4" s="11" t="n"/>
      <c r="B4" s="1888" t="n"/>
      <c r="C4" s="1987" t="n"/>
      <c r="D4" s="1987" t="n"/>
      <c r="E4" s="1987" t="n">
        <v>-12</v>
      </c>
      <c r="F4" s="1987" t="n">
        <v>-11</v>
      </c>
      <c r="G4" s="1987" t="n">
        <v>-10</v>
      </c>
      <c r="H4" s="1987" t="n">
        <v>-9</v>
      </c>
      <c r="I4" s="1987" t="n">
        <v>-8</v>
      </c>
      <c r="J4" s="1987" t="n">
        <v>-7</v>
      </c>
      <c r="K4" s="1987" t="n">
        <v>-6</v>
      </c>
      <c r="L4" s="1987" t="n">
        <v>-5</v>
      </c>
      <c r="M4" s="1987" t="n">
        <v>-4</v>
      </c>
      <c r="N4" s="1987" t="n">
        <v>-3</v>
      </c>
      <c r="O4" s="1987" t="n">
        <v>-2</v>
      </c>
      <c r="P4" s="1987" t="n">
        <v>-1</v>
      </c>
      <c r="Q4" s="1987" t="inlineStr">
        <is>
          <t>Month 1</t>
        </is>
      </c>
      <c r="R4" s="1987" t="inlineStr">
        <is>
          <t>Month 2</t>
        </is>
      </c>
      <c r="S4" s="1987" t="inlineStr">
        <is>
          <t>Month 3</t>
        </is>
      </c>
      <c r="T4" s="1987" t="inlineStr">
        <is>
          <t>Month 4</t>
        </is>
      </c>
      <c r="U4" s="1987" t="inlineStr">
        <is>
          <t>Month 5</t>
        </is>
      </c>
      <c r="V4" s="1987" t="inlineStr">
        <is>
          <t>Month 6</t>
        </is>
      </c>
      <c r="W4" s="1987" t="inlineStr">
        <is>
          <t>Month 7</t>
        </is>
      </c>
      <c r="X4" s="1987" t="inlineStr">
        <is>
          <t>Month 8</t>
        </is>
      </c>
      <c r="Y4" s="1987" t="inlineStr">
        <is>
          <t>Month 9</t>
        </is>
      </c>
      <c r="Z4" s="1987" t="inlineStr">
        <is>
          <t>Month 10</t>
        </is>
      </c>
      <c r="AA4" s="1987" t="inlineStr">
        <is>
          <t>Month 11</t>
        </is>
      </c>
      <c r="AB4" s="1987" t="inlineStr">
        <is>
          <t>Month 12</t>
        </is>
      </c>
      <c r="AC4" s="1987" t="inlineStr">
        <is>
          <t>Month 13</t>
        </is>
      </c>
      <c r="AD4" s="1987" t="inlineStr">
        <is>
          <t>Month 14</t>
        </is>
      </c>
      <c r="AE4" s="1987" t="inlineStr">
        <is>
          <t>Month 15</t>
        </is>
      </c>
      <c r="AF4" s="1987" t="inlineStr">
        <is>
          <t>Month 16</t>
        </is>
      </c>
      <c r="AG4" s="1987" t="inlineStr">
        <is>
          <t>Month 17</t>
        </is>
      </c>
      <c r="AH4" s="1987" t="inlineStr">
        <is>
          <t>Month 18</t>
        </is>
      </c>
      <c r="AI4" s="1987" t="inlineStr">
        <is>
          <t>Month 19</t>
        </is>
      </c>
      <c r="AJ4" s="1987" t="inlineStr">
        <is>
          <t>Month 20</t>
        </is>
      </c>
      <c r="AK4" s="1987" t="inlineStr">
        <is>
          <t>Month 21</t>
        </is>
      </c>
      <c r="AL4" s="1987" t="inlineStr">
        <is>
          <t>Month 22</t>
        </is>
      </c>
      <c r="AM4" s="1987" t="inlineStr">
        <is>
          <t>Month 23</t>
        </is>
      </c>
      <c r="AN4" s="1987" t="inlineStr">
        <is>
          <t>Month 24</t>
        </is>
      </c>
      <c r="AO4" s="1987" t="inlineStr">
        <is>
          <t>Month 25</t>
        </is>
      </c>
      <c r="AP4" s="1987" t="inlineStr">
        <is>
          <t>Month 26</t>
        </is>
      </c>
      <c r="AQ4" s="1987" t="inlineStr">
        <is>
          <t>Month 27</t>
        </is>
      </c>
      <c r="AR4" s="1987" t="inlineStr">
        <is>
          <t>Month 28</t>
        </is>
      </c>
      <c r="AS4" s="1987" t="inlineStr">
        <is>
          <t>Month 29</t>
        </is>
      </c>
      <c r="AT4" s="1987" t="inlineStr">
        <is>
          <t>Month 30</t>
        </is>
      </c>
      <c r="AU4" s="1987" t="inlineStr">
        <is>
          <t>Month 31</t>
        </is>
      </c>
      <c r="AV4" s="1987" t="inlineStr">
        <is>
          <t>Month 32</t>
        </is>
      </c>
      <c r="AW4" s="1987" t="inlineStr">
        <is>
          <t>Month 33</t>
        </is>
      </c>
      <c r="AX4" s="1987" t="inlineStr">
        <is>
          <t>Month 34</t>
        </is>
      </c>
      <c r="AY4" s="1987" t="inlineStr">
        <is>
          <t>Month 35</t>
        </is>
      </c>
      <c r="AZ4" s="1987" t="inlineStr">
        <is>
          <t>Month 36</t>
        </is>
      </c>
      <c r="BA4" s="1987" t="inlineStr">
        <is>
          <t>Month 37</t>
        </is>
      </c>
      <c r="BB4" s="1987" t="inlineStr">
        <is>
          <t>Month 38</t>
        </is>
      </c>
      <c r="BC4" s="1987" t="inlineStr">
        <is>
          <t>Month 39</t>
        </is>
      </c>
      <c r="BD4" s="1987" t="inlineStr">
        <is>
          <t>Month 40</t>
        </is>
      </c>
      <c r="BE4" s="1987" t="inlineStr">
        <is>
          <t>Month 41</t>
        </is>
      </c>
      <c r="BF4" s="1987" t="inlineStr">
        <is>
          <t>Month 42</t>
        </is>
      </c>
      <c r="BG4" s="1987" t="inlineStr">
        <is>
          <t>Month 43</t>
        </is>
      </c>
      <c r="BH4" s="1987" t="inlineStr">
        <is>
          <t>Month 44</t>
        </is>
      </c>
      <c r="BI4" s="1987" t="inlineStr">
        <is>
          <t>Month 45</t>
        </is>
      </c>
      <c r="BJ4" s="1987" t="inlineStr">
        <is>
          <t>Month 46</t>
        </is>
      </c>
      <c r="BK4" s="1987" t="inlineStr">
        <is>
          <t>Month 47</t>
        </is>
      </c>
      <c r="BL4" s="1987" t="inlineStr">
        <is>
          <t>Month 48</t>
        </is>
      </c>
      <c r="BM4" s="1987" t="inlineStr">
        <is>
          <t>Month 49</t>
        </is>
      </c>
      <c r="BN4" s="1987" t="inlineStr">
        <is>
          <t>Month 50</t>
        </is>
      </c>
      <c r="BO4" s="1987" t="inlineStr">
        <is>
          <t>Month 51</t>
        </is>
      </c>
      <c r="BP4" s="1987" t="inlineStr">
        <is>
          <t>Month 52</t>
        </is>
      </c>
      <c r="BQ4" s="1987" t="inlineStr">
        <is>
          <t>Month 53</t>
        </is>
      </c>
      <c r="BR4" s="1987" t="inlineStr">
        <is>
          <t>Month 54</t>
        </is>
      </c>
      <c r="BS4" s="1987" t="inlineStr">
        <is>
          <t>Month 55</t>
        </is>
      </c>
      <c r="BT4" s="1987" t="inlineStr">
        <is>
          <t>Month 56</t>
        </is>
      </c>
      <c r="BU4" s="1987" t="inlineStr">
        <is>
          <t>Month 57</t>
        </is>
      </c>
      <c r="BV4" s="1987" t="inlineStr">
        <is>
          <t>Month 58</t>
        </is>
      </c>
      <c r="BW4" s="1987" t="inlineStr">
        <is>
          <t>Month 59</t>
        </is>
      </c>
      <c r="BX4" s="1987" t="inlineStr">
        <is>
          <t>Month 60</t>
        </is>
      </c>
    </row>
    <row r="5" ht="12.75" customHeight="1" s="1883">
      <c r="A5" s="12" t="n"/>
      <c r="B5" s="13" t="inlineStr">
        <is>
          <t>EBT</t>
        </is>
      </c>
      <c r="C5" s="12" t="n"/>
      <c r="D5" s="7" t="n"/>
      <c r="E5" s="14">
        <f>+'Income Statement'!E30</f>
        <v/>
      </c>
      <c r="F5" s="14">
        <f>+'Income Statement'!F30</f>
        <v/>
      </c>
      <c r="G5" s="14">
        <f>+'Income Statement'!G30</f>
        <v/>
      </c>
      <c r="H5" s="14">
        <f>+'Income Statement'!H30</f>
        <v/>
      </c>
      <c r="I5" s="14">
        <f>+'Income Statement'!I30</f>
        <v/>
      </c>
      <c r="J5" s="14">
        <f>+'Income Statement'!J30</f>
        <v/>
      </c>
      <c r="K5" s="14">
        <f>+'Income Statement'!K30</f>
        <v/>
      </c>
      <c r="L5" s="14">
        <f>+'Income Statement'!L30</f>
        <v/>
      </c>
      <c r="M5" s="14">
        <f>+'Income Statement'!M30</f>
        <v/>
      </c>
      <c r="N5" s="14">
        <f>+'Income Statement'!N30</f>
        <v/>
      </c>
      <c r="O5" s="14">
        <f>+'Income Statement'!O30</f>
        <v/>
      </c>
      <c r="P5" s="14">
        <f>+'Income Statement'!P30</f>
        <v/>
      </c>
      <c r="Q5" s="14">
        <f>+'Income Statement'!Q30</f>
        <v/>
      </c>
      <c r="R5" s="14">
        <f>+'Income Statement'!R30</f>
        <v/>
      </c>
      <c r="S5" s="14">
        <f>+'Income Statement'!S30</f>
        <v/>
      </c>
      <c r="T5" s="14">
        <f>+'Income Statement'!T30</f>
        <v/>
      </c>
      <c r="U5" s="14">
        <f>+'Income Statement'!U30</f>
        <v/>
      </c>
      <c r="V5" s="14">
        <f>+'Income Statement'!V30</f>
        <v/>
      </c>
      <c r="W5" s="14">
        <f>+'Income Statement'!W30</f>
        <v/>
      </c>
      <c r="X5" s="14">
        <f>+'Income Statement'!X30</f>
        <v/>
      </c>
      <c r="Y5" s="14">
        <f>+'Income Statement'!Y30</f>
        <v/>
      </c>
      <c r="Z5" s="14">
        <f>+'Income Statement'!Z30</f>
        <v/>
      </c>
      <c r="AA5" s="14">
        <f>+'Income Statement'!AA30</f>
        <v/>
      </c>
      <c r="AB5" s="14">
        <f>+'Income Statement'!AB30</f>
        <v/>
      </c>
      <c r="AC5" s="14">
        <f>+'Income Statement'!AC30</f>
        <v/>
      </c>
      <c r="AD5" s="14">
        <f>+'Income Statement'!AD30</f>
        <v/>
      </c>
      <c r="AE5" s="14">
        <f>+'Income Statement'!AE30</f>
        <v/>
      </c>
      <c r="AF5" s="14">
        <f>+'Income Statement'!AF30</f>
        <v/>
      </c>
      <c r="AG5" s="14">
        <f>+'Income Statement'!AG30</f>
        <v/>
      </c>
      <c r="AH5" s="14">
        <f>+'Income Statement'!AH30</f>
        <v/>
      </c>
      <c r="AI5" s="14">
        <f>+'Income Statement'!AI30</f>
        <v/>
      </c>
      <c r="AJ5" s="14">
        <f>+'Income Statement'!AJ30</f>
        <v/>
      </c>
      <c r="AK5" s="14">
        <f>+'Income Statement'!AK30</f>
        <v/>
      </c>
      <c r="AL5" s="14">
        <f>+'Income Statement'!AL30</f>
        <v/>
      </c>
      <c r="AM5" s="14">
        <f>+'Income Statement'!AM30</f>
        <v/>
      </c>
      <c r="AN5" s="14">
        <f>+'Income Statement'!AN30</f>
        <v/>
      </c>
      <c r="AO5" s="14">
        <f>+'Income Statement'!AO30</f>
        <v/>
      </c>
      <c r="AP5" s="14">
        <f>+'Income Statement'!AP30</f>
        <v/>
      </c>
      <c r="AQ5" s="14">
        <f>+'Income Statement'!AQ30</f>
        <v/>
      </c>
      <c r="AR5" s="14">
        <f>+'Income Statement'!AR30</f>
        <v/>
      </c>
      <c r="AS5" s="14">
        <f>+'Income Statement'!AS30</f>
        <v/>
      </c>
      <c r="AT5" s="14">
        <f>+'Income Statement'!AT30</f>
        <v/>
      </c>
      <c r="AU5" s="14">
        <f>+'Income Statement'!AU30</f>
        <v/>
      </c>
      <c r="AV5" s="14" t="n">
        <v>-2783275</v>
      </c>
      <c r="AW5" s="14">
        <f>+'Income Statement'!AW30</f>
        <v/>
      </c>
      <c r="AX5" s="14">
        <f>+'Income Statement'!AX30</f>
        <v/>
      </c>
      <c r="AY5" s="14">
        <f>+'Income Statement'!AY30</f>
        <v/>
      </c>
      <c r="AZ5" s="14">
        <f>+'Income Statement'!AZ30</f>
        <v/>
      </c>
      <c r="BA5" s="14">
        <f>+'Income Statement'!BA30</f>
        <v/>
      </c>
      <c r="BB5" s="14">
        <f>+'Income Statement'!BB30</f>
        <v/>
      </c>
      <c r="BC5" s="14">
        <f>+'Income Statement'!BC30</f>
        <v/>
      </c>
      <c r="BD5" s="14">
        <f>+'Income Statement'!BD30</f>
        <v/>
      </c>
      <c r="BE5" s="14">
        <f>+'Income Statement'!BE30</f>
        <v/>
      </c>
      <c r="BF5" s="14">
        <f>+'Income Statement'!BF30</f>
        <v/>
      </c>
      <c r="BG5" s="14">
        <f>+'Income Statement'!BG30</f>
        <v/>
      </c>
      <c r="BH5" s="14">
        <f>+'Income Statement'!BH30</f>
        <v/>
      </c>
      <c r="BI5" s="14">
        <f>+'Income Statement'!BI30</f>
        <v/>
      </c>
      <c r="BJ5" s="14">
        <f>+'Income Statement'!BJ30</f>
        <v/>
      </c>
      <c r="BK5" s="14">
        <f>+'Income Statement'!BK30</f>
        <v/>
      </c>
      <c r="BL5" s="14">
        <f>+'Income Statement'!BL30</f>
        <v/>
      </c>
      <c r="BM5" s="14">
        <f>+'Income Statement'!BM30</f>
        <v/>
      </c>
      <c r="BN5" s="14">
        <f>+'Income Statement'!BN30</f>
        <v/>
      </c>
      <c r="BO5" s="14">
        <f>+'Income Statement'!BO30</f>
        <v/>
      </c>
      <c r="BP5" s="14">
        <f>+'Income Statement'!BP30</f>
        <v/>
      </c>
      <c r="BQ5" s="14">
        <f>+'Income Statement'!BQ30</f>
        <v/>
      </c>
      <c r="BR5" s="14">
        <f>+'Income Statement'!BR30</f>
        <v/>
      </c>
      <c r="BS5" s="14">
        <f>+'Income Statement'!BS30</f>
        <v/>
      </c>
      <c r="BT5" s="14">
        <f>+'Income Statement'!BT30</f>
        <v/>
      </c>
      <c r="BU5" s="14">
        <f>+'Income Statement'!BU30</f>
        <v/>
      </c>
      <c r="BV5" s="14">
        <f>+'Income Statement'!BV30</f>
        <v/>
      </c>
      <c r="BW5" s="14">
        <f>+'Income Statement'!BW30</f>
        <v/>
      </c>
      <c r="BX5" s="14">
        <f>+'Income Statement'!BX30</f>
        <v/>
      </c>
    </row>
    <row r="6" ht="12.75" customHeight="1" s="1883">
      <c r="A6" s="12" t="n"/>
      <c r="B6" s="13" t="inlineStr">
        <is>
          <t>Add: Interest</t>
        </is>
      </c>
      <c r="C6" s="12" t="n"/>
      <c r="D6" s="7" t="n"/>
      <c r="E6" s="14">
        <f>+'Income Statement'!E29</f>
        <v/>
      </c>
      <c r="F6" s="14">
        <f>+'Income Statement'!F29</f>
        <v/>
      </c>
      <c r="G6" s="14">
        <f>+'Income Statement'!G29</f>
        <v/>
      </c>
      <c r="H6" s="14">
        <f>+'Income Statement'!H29</f>
        <v/>
      </c>
      <c r="I6" s="14">
        <f>+'Income Statement'!I29</f>
        <v/>
      </c>
      <c r="J6" s="14">
        <f>+'Income Statement'!J29</f>
        <v/>
      </c>
      <c r="K6" s="14">
        <f>+'Income Statement'!K29</f>
        <v/>
      </c>
      <c r="L6" s="14">
        <f>+'Income Statement'!L29</f>
        <v/>
      </c>
      <c r="M6" s="14">
        <f>+'Income Statement'!M29</f>
        <v/>
      </c>
      <c r="N6" s="14">
        <f>+'Income Statement'!N29</f>
        <v/>
      </c>
      <c r="O6" s="14">
        <f>+'Income Statement'!O29</f>
        <v/>
      </c>
      <c r="P6" s="14">
        <f>+'Income Statement'!P29</f>
        <v/>
      </c>
      <c r="Q6" s="14">
        <f>+'Income Statement'!Q29</f>
        <v/>
      </c>
      <c r="R6" s="14">
        <f>+'Income Statement'!R29</f>
        <v/>
      </c>
      <c r="S6" s="14">
        <f>+'Income Statement'!S29</f>
        <v/>
      </c>
      <c r="T6" s="14">
        <f>+'Income Statement'!T29</f>
        <v/>
      </c>
      <c r="U6" s="14">
        <f>+'Income Statement'!U29</f>
        <v/>
      </c>
      <c r="V6" s="14">
        <f>+'Income Statement'!V29</f>
        <v/>
      </c>
      <c r="W6" s="14">
        <f>+'Income Statement'!W29</f>
        <v/>
      </c>
      <c r="X6" s="14">
        <f>+'Income Statement'!X29</f>
        <v/>
      </c>
      <c r="Y6" s="14">
        <f>+'Income Statement'!Y29</f>
        <v/>
      </c>
      <c r="Z6" s="14">
        <f>+'Income Statement'!Z29</f>
        <v/>
      </c>
      <c r="AA6" s="14">
        <f>+'Income Statement'!AA29</f>
        <v/>
      </c>
      <c r="AB6" s="14">
        <f>+'Income Statement'!AB29</f>
        <v/>
      </c>
      <c r="AC6" s="14">
        <f>+'Income Statement'!AC29</f>
        <v/>
      </c>
      <c r="AD6" s="14">
        <f>+'Income Statement'!AD29</f>
        <v/>
      </c>
      <c r="AE6" s="14">
        <f>+'Income Statement'!AE29</f>
        <v/>
      </c>
      <c r="AF6" s="14">
        <f>+'Income Statement'!AF29</f>
        <v/>
      </c>
      <c r="AG6" s="14">
        <f>+'Income Statement'!AG29</f>
        <v/>
      </c>
      <c r="AH6" s="14">
        <f>+'Income Statement'!AH29</f>
        <v/>
      </c>
      <c r="AI6" s="14">
        <f>+'Income Statement'!AI29</f>
        <v/>
      </c>
      <c r="AJ6" s="14">
        <f>+'Income Statement'!AJ29</f>
        <v/>
      </c>
      <c r="AK6" s="14">
        <f>+'Income Statement'!AK29</f>
        <v/>
      </c>
      <c r="AL6" s="14">
        <f>+'Income Statement'!AL29</f>
        <v/>
      </c>
      <c r="AM6" s="14">
        <f>+'Income Statement'!AM29</f>
        <v/>
      </c>
      <c r="AN6" s="14">
        <f>+'Income Statement'!AN29</f>
        <v/>
      </c>
      <c r="AO6" s="14">
        <f>+'Income Statement'!AO29</f>
        <v/>
      </c>
      <c r="AP6" s="14">
        <f>+'Income Statement'!AP29</f>
        <v/>
      </c>
      <c r="AQ6" s="14">
        <f>+'Income Statement'!AQ29</f>
        <v/>
      </c>
      <c r="AR6" s="14">
        <f>+'Income Statement'!AR29</f>
        <v/>
      </c>
      <c r="AS6" s="14">
        <f>+'Income Statement'!AS29</f>
        <v/>
      </c>
      <c r="AT6" s="14">
        <f>+'Income Statement'!AT29</f>
        <v/>
      </c>
      <c r="AU6" s="14">
        <f>+'Income Statement'!AU29</f>
        <v/>
      </c>
      <c r="AV6" s="14">
        <f>+'Income Statement'!AV29</f>
        <v/>
      </c>
      <c r="AW6" s="14">
        <f>+'Income Statement'!AW29</f>
        <v/>
      </c>
      <c r="AX6" s="14">
        <f>+'Income Statement'!AX29</f>
        <v/>
      </c>
      <c r="AY6" s="14">
        <f>+'Income Statement'!AY29</f>
        <v/>
      </c>
      <c r="AZ6" s="14">
        <f>+'Income Statement'!AZ29</f>
        <v/>
      </c>
      <c r="BA6" s="14">
        <f>+'Income Statement'!BA29</f>
        <v/>
      </c>
      <c r="BB6" s="14">
        <f>+'Income Statement'!BB29</f>
        <v/>
      </c>
      <c r="BC6" s="14">
        <f>+'Income Statement'!BC29</f>
        <v/>
      </c>
      <c r="BD6" s="14">
        <f>+'Income Statement'!BD29</f>
        <v/>
      </c>
      <c r="BE6" s="14">
        <f>+'Income Statement'!BE29</f>
        <v/>
      </c>
      <c r="BF6" s="14">
        <f>+'Income Statement'!BF29</f>
        <v/>
      </c>
      <c r="BG6" s="14">
        <f>+'Income Statement'!BG29</f>
        <v/>
      </c>
      <c r="BH6" s="14">
        <f>+'Income Statement'!BH29</f>
        <v/>
      </c>
      <c r="BI6" s="14">
        <f>+'Income Statement'!BI29</f>
        <v/>
      </c>
      <c r="BJ6" s="14">
        <f>+'Income Statement'!BJ29</f>
        <v/>
      </c>
      <c r="BK6" s="14">
        <f>+'Income Statement'!BK29</f>
        <v/>
      </c>
      <c r="BL6" s="14">
        <f>+'Income Statement'!BL29</f>
        <v/>
      </c>
      <c r="BM6" s="14">
        <f>+'Income Statement'!BM29</f>
        <v/>
      </c>
      <c r="BN6" s="14">
        <f>+'Income Statement'!BN29</f>
        <v/>
      </c>
      <c r="BO6" s="14">
        <f>+'Income Statement'!BO29</f>
        <v/>
      </c>
      <c r="BP6" s="14">
        <f>+'Income Statement'!BP29</f>
        <v/>
      </c>
      <c r="BQ6" s="14">
        <f>+'Income Statement'!BQ29</f>
        <v/>
      </c>
      <c r="BR6" s="14">
        <f>+'Income Statement'!BR29</f>
        <v/>
      </c>
      <c r="BS6" s="14">
        <f>+'Income Statement'!BS29</f>
        <v/>
      </c>
      <c r="BT6" s="14">
        <f>+'Income Statement'!BT29</f>
        <v/>
      </c>
      <c r="BU6" s="14">
        <f>+'Income Statement'!BU29</f>
        <v/>
      </c>
      <c r="BV6" s="14">
        <f>+'Income Statement'!BV29</f>
        <v/>
      </c>
      <c r="BW6" s="14">
        <f>+'Income Statement'!BW29</f>
        <v/>
      </c>
      <c r="BX6" s="14">
        <f>+'Income Statement'!BX29</f>
        <v/>
      </c>
    </row>
    <row r="7" ht="12.75" customHeight="1" s="1883">
      <c r="A7" s="15" t="n"/>
      <c r="B7" s="16" t="inlineStr">
        <is>
          <t>Less: Taxes</t>
        </is>
      </c>
      <c r="C7" s="7" t="n"/>
      <c r="D7" s="7" t="n"/>
      <c r="E7" s="14">
        <f>-'Income Statement'!E38</f>
        <v/>
      </c>
      <c r="F7" s="14">
        <f>-'Income Statement'!F38</f>
        <v/>
      </c>
      <c r="G7" s="14">
        <f>-'Income Statement'!G38</f>
        <v/>
      </c>
      <c r="H7" s="14">
        <f>-'Income Statement'!H38</f>
        <v/>
      </c>
      <c r="I7" s="14">
        <f>-'Income Statement'!I38</f>
        <v/>
      </c>
      <c r="J7" s="14">
        <f>-'Income Statement'!J38</f>
        <v/>
      </c>
      <c r="K7" s="14">
        <f>-'Income Statement'!K38</f>
        <v/>
      </c>
      <c r="L7" s="14">
        <f>-'Income Statement'!L38</f>
        <v/>
      </c>
      <c r="M7" s="14">
        <f>-'Income Statement'!M38</f>
        <v/>
      </c>
      <c r="N7" s="14">
        <f>-'Income Statement'!N38</f>
        <v/>
      </c>
      <c r="O7" s="14">
        <f>-'Income Statement'!O38</f>
        <v/>
      </c>
      <c r="P7" s="14">
        <f>-'Income Statement'!P38</f>
        <v/>
      </c>
      <c r="Q7" s="14">
        <f>-'Income Statement'!Q38</f>
        <v/>
      </c>
      <c r="R7" s="14">
        <f>-'Income Statement'!R38</f>
        <v/>
      </c>
      <c r="S7" s="14">
        <f>-'Income Statement'!S38</f>
        <v/>
      </c>
      <c r="T7" s="14">
        <f>-'Income Statement'!T38</f>
        <v/>
      </c>
      <c r="U7" s="14">
        <f>-'Income Statement'!U38</f>
        <v/>
      </c>
      <c r="V7" s="14">
        <f>-'Income Statement'!V38</f>
        <v/>
      </c>
      <c r="W7" s="14">
        <f>-'Income Statement'!W38</f>
        <v/>
      </c>
      <c r="X7" s="14">
        <f>-'Income Statement'!X38</f>
        <v/>
      </c>
      <c r="Y7" s="14">
        <f>-'Income Statement'!Y38</f>
        <v/>
      </c>
      <c r="Z7" s="14">
        <f>-'Income Statement'!Z38</f>
        <v/>
      </c>
      <c r="AA7" s="14">
        <f>-'Income Statement'!AA38</f>
        <v/>
      </c>
      <c r="AB7" s="14">
        <f>-'Income Statement'!AB38</f>
        <v/>
      </c>
      <c r="AC7" s="14">
        <f>-'Income Statement'!AC38</f>
        <v/>
      </c>
      <c r="AD7" s="14">
        <f>-'Income Statement'!AD38</f>
        <v/>
      </c>
      <c r="AE7" s="14">
        <f>-'Income Statement'!AE38</f>
        <v/>
      </c>
      <c r="AF7" s="14">
        <f>-'Income Statement'!AF38</f>
        <v/>
      </c>
      <c r="AG7" s="14">
        <f>-'Income Statement'!AG38</f>
        <v/>
      </c>
      <c r="AH7" s="14">
        <f>-'Income Statement'!AH38</f>
        <v/>
      </c>
      <c r="AI7" s="14">
        <f>-'Income Statement'!AI38</f>
        <v/>
      </c>
      <c r="AJ7" s="14">
        <f>-'Income Statement'!AJ38</f>
        <v/>
      </c>
      <c r="AK7" s="14">
        <f>-'Income Statement'!AK38</f>
        <v/>
      </c>
      <c r="AL7" s="14">
        <f>-'Income Statement'!AL38</f>
        <v/>
      </c>
      <c r="AM7" s="14">
        <f>-'Income Statement'!AM38</f>
        <v/>
      </c>
      <c r="AN7" s="14">
        <f>-'Income Statement'!AN38</f>
        <v/>
      </c>
      <c r="AO7" s="14">
        <f>-'Income Statement'!AO38</f>
        <v/>
      </c>
      <c r="AP7" s="14">
        <f>-'Income Statement'!AP38</f>
        <v/>
      </c>
      <c r="AQ7" s="14">
        <f>-'Income Statement'!AQ38</f>
        <v/>
      </c>
      <c r="AR7" s="14">
        <f>-'Income Statement'!AR38</f>
        <v/>
      </c>
      <c r="AS7" s="14">
        <f>-'Income Statement'!AS38</f>
        <v/>
      </c>
      <c r="AT7" s="14">
        <f>-'Income Statement'!AT38</f>
        <v/>
      </c>
      <c r="AU7" s="14">
        <f>-'Income Statement'!AU38</f>
        <v/>
      </c>
      <c r="AV7" s="14">
        <f>-'Income Statement'!AV38</f>
        <v/>
      </c>
      <c r="AW7" s="14">
        <f>-'Income Statement'!AW38</f>
        <v/>
      </c>
      <c r="AX7" s="14">
        <f>-'Income Statement'!AX38</f>
        <v/>
      </c>
      <c r="AY7" s="14">
        <f>-'Income Statement'!AY38</f>
        <v/>
      </c>
      <c r="AZ7" s="14">
        <f>-'Income Statement'!AZ38</f>
        <v/>
      </c>
      <c r="BA7" s="14">
        <f>-'Income Statement'!BA38</f>
        <v/>
      </c>
      <c r="BB7" s="14" t="n">
        <v>0</v>
      </c>
      <c r="BC7" s="14">
        <f>-'Income Statement'!BC38</f>
        <v/>
      </c>
      <c r="BD7" s="14">
        <f>-'Income Statement'!BD38</f>
        <v/>
      </c>
      <c r="BE7" s="14">
        <f>-'Income Statement'!BE38</f>
        <v/>
      </c>
      <c r="BF7" s="14">
        <f>-'Income Statement'!BF38</f>
        <v/>
      </c>
      <c r="BG7" s="14">
        <f>-'Income Statement'!BG38</f>
        <v/>
      </c>
      <c r="BH7" s="14">
        <f>-'Income Statement'!BH38</f>
        <v/>
      </c>
      <c r="BI7" s="14">
        <f>-'Income Statement'!BI38</f>
        <v/>
      </c>
      <c r="BJ7" s="14">
        <f>-'Income Statement'!BJ38</f>
        <v/>
      </c>
      <c r="BK7" s="14">
        <f>-'Income Statement'!BK38</f>
        <v/>
      </c>
      <c r="BL7" s="14">
        <f>-'Income Statement'!BL38</f>
        <v/>
      </c>
      <c r="BM7" s="14">
        <f>-'Income Statement'!BM38</f>
        <v/>
      </c>
      <c r="BN7" s="14">
        <f>-'Income Statement'!BN38</f>
        <v/>
      </c>
      <c r="BO7" s="14">
        <f>-'Income Statement'!BO38</f>
        <v/>
      </c>
      <c r="BP7" s="14">
        <f>-'Income Statement'!BP38</f>
        <v/>
      </c>
      <c r="BQ7" s="14">
        <f>-'Income Statement'!BQ38</f>
        <v/>
      </c>
      <c r="BR7" s="14">
        <f>-'Income Statement'!BR38</f>
        <v/>
      </c>
      <c r="BS7" s="14">
        <f>-'Income Statement'!BS38</f>
        <v/>
      </c>
      <c r="BT7" s="14">
        <f>-'Income Statement'!BT38</f>
        <v/>
      </c>
      <c r="BU7" s="14">
        <f>-'Income Statement'!BU38</f>
        <v/>
      </c>
      <c r="BV7" s="14" t="n">
        <v>0</v>
      </c>
      <c r="BW7" s="14">
        <f>-'Income Statement'!BW38</f>
        <v/>
      </c>
      <c r="BX7" s="14">
        <f>-'Income Statement'!BX38</f>
        <v/>
      </c>
    </row>
    <row r="8" ht="12.75" customHeight="1" s="1883">
      <c r="A8" s="12" t="n"/>
      <c r="B8" s="16" t="inlineStr">
        <is>
          <t>Add: Non Cash Charges</t>
        </is>
      </c>
      <c r="C8" s="17" t="n"/>
      <c r="D8" s="18" t="n"/>
      <c r="E8" s="14">
        <f>+'Income Statement'!E28</f>
        <v/>
      </c>
      <c r="F8" s="14">
        <f>+'Income Statement'!F28</f>
        <v/>
      </c>
      <c r="G8" s="14">
        <f>+'Income Statement'!G28</f>
        <v/>
      </c>
      <c r="H8" s="14">
        <f>+'Income Statement'!H28</f>
        <v/>
      </c>
      <c r="I8" s="14">
        <f>+'Income Statement'!I28</f>
        <v/>
      </c>
      <c r="J8" s="14">
        <f>+'Income Statement'!J28</f>
        <v/>
      </c>
      <c r="K8" s="14">
        <f>+'Income Statement'!K28</f>
        <v/>
      </c>
      <c r="L8" s="14">
        <f>+'Income Statement'!L28</f>
        <v/>
      </c>
      <c r="M8" s="14">
        <f>+'Income Statement'!M28</f>
        <v/>
      </c>
      <c r="N8" s="14">
        <f>+'Income Statement'!N28</f>
        <v/>
      </c>
      <c r="O8" s="14">
        <f>+'Income Statement'!O28</f>
        <v/>
      </c>
      <c r="P8" s="14">
        <f>+'Income Statement'!P28</f>
        <v/>
      </c>
      <c r="Q8" s="14">
        <f>+'Income Statement'!Q28</f>
        <v/>
      </c>
      <c r="R8" s="14">
        <f>+'Income Statement'!R28</f>
        <v/>
      </c>
      <c r="S8" s="14">
        <f>+'Income Statement'!S28</f>
        <v/>
      </c>
      <c r="T8" s="14">
        <f>+'Income Statement'!T28</f>
        <v/>
      </c>
      <c r="U8" s="14">
        <f>+'Income Statement'!U28</f>
        <v/>
      </c>
      <c r="V8" s="14">
        <f>+'Income Statement'!V28</f>
        <v/>
      </c>
      <c r="W8" s="14">
        <f>+'Income Statement'!W28</f>
        <v/>
      </c>
      <c r="X8" s="14">
        <f>+'Income Statement'!X28</f>
        <v/>
      </c>
      <c r="Y8" s="14">
        <f>+'Income Statement'!Y28</f>
        <v/>
      </c>
      <c r="Z8" s="14">
        <f>+'Income Statement'!Z28</f>
        <v/>
      </c>
      <c r="AA8" s="14">
        <f>+'Income Statement'!AA28</f>
        <v/>
      </c>
      <c r="AB8" s="14">
        <f>+'Income Statement'!AB28</f>
        <v/>
      </c>
      <c r="AC8" s="14">
        <f>+'Income Statement'!AC28</f>
        <v/>
      </c>
      <c r="AD8" s="14">
        <f>+'Income Statement'!AD28</f>
        <v/>
      </c>
      <c r="AE8" s="14">
        <f>+'Income Statement'!AE28</f>
        <v/>
      </c>
      <c r="AF8" s="14">
        <f>+'Income Statement'!AF28</f>
        <v/>
      </c>
      <c r="AG8" s="14">
        <f>+'Income Statement'!AG28</f>
        <v/>
      </c>
      <c r="AH8" s="14">
        <f>+'Income Statement'!AH28</f>
        <v/>
      </c>
      <c r="AI8" s="14">
        <f>+'Income Statement'!AI28</f>
        <v/>
      </c>
      <c r="AJ8" s="14">
        <f>+'Income Statement'!AJ28</f>
        <v/>
      </c>
      <c r="AK8" s="14">
        <f>+'Income Statement'!AK28</f>
        <v/>
      </c>
      <c r="AL8" s="14">
        <f>+'Income Statement'!AL28</f>
        <v/>
      </c>
      <c r="AM8" s="14">
        <f>+'Income Statement'!AM28</f>
        <v/>
      </c>
      <c r="AN8" s="14">
        <f>+'Income Statement'!AN28</f>
        <v/>
      </c>
      <c r="AO8" s="14">
        <f>+'Income Statement'!AO28</f>
        <v/>
      </c>
      <c r="AP8" s="14">
        <f>+'Income Statement'!AP28</f>
        <v/>
      </c>
      <c r="AQ8" s="14">
        <f>+'Income Statement'!AQ28</f>
        <v/>
      </c>
      <c r="AR8" s="14">
        <f>+'Income Statement'!AR28</f>
        <v/>
      </c>
      <c r="AS8" s="14">
        <f>+'Income Statement'!AS28</f>
        <v/>
      </c>
      <c r="AT8" s="14">
        <f>+'Income Statement'!AT28</f>
        <v/>
      </c>
      <c r="AU8" s="14">
        <f>+'Income Statement'!AU28</f>
        <v/>
      </c>
      <c r="AV8" s="14">
        <f>+'Income Statement'!AV28</f>
        <v/>
      </c>
      <c r="AW8" s="14">
        <f>+'Income Statement'!AW28</f>
        <v/>
      </c>
      <c r="AX8" s="14">
        <f>+'Income Statement'!AX28</f>
        <v/>
      </c>
      <c r="AY8" s="14">
        <f>+'Income Statement'!AY28</f>
        <v/>
      </c>
      <c r="AZ8" s="14">
        <f>+'Income Statement'!AZ28</f>
        <v/>
      </c>
      <c r="BA8" s="14">
        <f>+'Income Statement'!BA28</f>
        <v/>
      </c>
      <c r="BB8" s="14">
        <f>+'Income Statement'!BB28</f>
        <v/>
      </c>
      <c r="BC8" s="14">
        <f>+'Income Statement'!BC28</f>
        <v/>
      </c>
      <c r="BD8" s="14">
        <f>+'Income Statement'!BD28</f>
        <v/>
      </c>
      <c r="BE8" s="14">
        <f>+'Income Statement'!BE28</f>
        <v/>
      </c>
      <c r="BF8" s="14">
        <f>+'Income Statement'!BF28</f>
        <v/>
      </c>
      <c r="BG8" s="14">
        <f>+'Income Statement'!BG28</f>
        <v/>
      </c>
      <c r="BH8" s="14">
        <f>+'Income Statement'!BH28</f>
        <v/>
      </c>
      <c r="BI8" s="14">
        <f>+'Income Statement'!BI28</f>
        <v/>
      </c>
      <c r="BJ8" s="14">
        <f>+'Income Statement'!BJ28</f>
        <v/>
      </c>
      <c r="BK8" s="14">
        <f>+'Income Statement'!BK28</f>
        <v/>
      </c>
      <c r="BL8" s="14">
        <f>+'Income Statement'!BL28</f>
        <v/>
      </c>
      <c r="BM8" s="14">
        <f>+'Income Statement'!BM28</f>
        <v/>
      </c>
      <c r="BN8" s="14">
        <f>+'Income Statement'!BN28</f>
        <v/>
      </c>
      <c r="BO8" s="14">
        <f>+'Income Statement'!BO28</f>
        <v/>
      </c>
      <c r="BP8" s="14">
        <f>+'Income Statement'!BP28</f>
        <v/>
      </c>
      <c r="BQ8" s="14">
        <f>+'Income Statement'!BQ28</f>
        <v/>
      </c>
      <c r="BR8" s="14">
        <f>+'Income Statement'!BR28</f>
        <v/>
      </c>
      <c r="BS8" s="14">
        <f>+'Income Statement'!BS28</f>
        <v/>
      </c>
      <c r="BT8" s="14">
        <f>+'Income Statement'!BT28</f>
        <v/>
      </c>
      <c r="BU8" s="14">
        <f>+'Income Statement'!BU28</f>
        <v/>
      </c>
      <c r="BV8" s="14">
        <f>+'Income Statement'!BV28</f>
        <v/>
      </c>
      <c r="BW8" s="14">
        <f>+'Income Statement'!BW28</f>
        <v/>
      </c>
      <c r="BX8" s="14">
        <f>+'Income Statement'!BX28</f>
        <v/>
      </c>
    </row>
    <row r="9" ht="12.75" customHeight="1" s="1883">
      <c r="A9" s="12" t="n"/>
      <c r="B9" s="16" t="inlineStr">
        <is>
          <t>Less: CAPEX</t>
        </is>
      </c>
      <c r="C9" s="12" t="n"/>
      <c r="D9" s="18" t="n"/>
      <c r="E9" s="14">
        <f>+'Cash Flow'!E24</f>
        <v/>
      </c>
      <c r="F9" s="14">
        <f>+'Cash Flow'!F24</f>
        <v/>
      </c>
      <c r="G9" s="14">
        <f>+'Cash Flow'!G24</f>
        <v/>
      </c>
      <c r="H9" s="14">
        <f>+'Cash Flow'!H24</f>
        <v/>
      </c>
      <c r="I9" s="14">
        <f>+'Cash Flow'!I24</f>
        <v/>
      </c>
      <c r="J9" s="14">
        <f>+'Cash Flow'!J24</f>
        <v/>
      </c>
      <c r="K9" s="14">
        <f>+'Cash Flow'!K24</f>
        <v/>
      </c>
      <c r="L9" s="14">
        <f>+'Cash Flow'!L24</f>
        <v/>
      </c>
      <c r="M9" s="14">
        <f>+'Cash Flow'!M24</f>
        <v/>
      </c>
      <c r="N9" s="14">
        <f>+'Cash Flow'!N24</f>
        <v/>
      </c>
      <c r="O9" s="14">
        <f>+'Cash Flow'!O24</f>
        <v/>
      </c>
      <c r="P9" s="14">
        <f>+'Cash Flow'!P24</f>
        <v/>
      </c>
      <c r="Q9" s="14">
        <f>+'Cash Flow'!Q24</f>
        <v/>
      </c>
      <c r="R9" s="14">
        <f>+'Cash Flow'!R24</f>
        <v/>
      </c>
      <c r="S9" s="14">
        <f>+'Cash Flow'!S24</f>
        <v/>
      </c>
      <c r="T9" s="14">
        <f>+'Cash Flow'!T24</f>
        <v/>
      </c>
      <c r="U9" s="14">
        <f>+'Cash Flow'!U24</f>
        <v/>
      </c>
      <c r="V9" s="14">
        <f>+'Cash Flow'!V24</f>
        <v/>
      </c>
      <c r="W9" s="14">
        <f>+'Cash Flow'!W24</f>
        <v/>
      </c>
      <c r="X9" s="14">
        <f>+'Cash Flow'!X24</f>
        <v/>
      </c>
      <c r="Y9" s="14">
        <f>+'Cash Flow'!Y24</f>
        <v/>
      </c>
      <c r="Z9" s="14">
        <f>+'Cash Flow'!Z24</f>
        <v/>
      </c>
      <c r="AA9" s="14">
        <f>+'Cash Flow'!AA24</f>
        <v/>
      </c>
      <c r="AB9" s="14">
        <f>+'Cash Flow'!AB24</f>
        <v/>
      </c>
      <c r="AC9" s="14">
        <f>+'Cash Flow'!AC24</f>
        <v/>
      </c>
      <c r="AD9" s="14">
        <f>+'Cash Flow'!AD24</f>
        <v/>
      </c>
      <c r="AE9" s="14">
        <f>+'Cash Flow'!AE24</f>
        <v/>
      </c>
      <c r="AF9" s="14">
        <f>+'Cash Flow'!AF24</f>
        <v/>
      </c>
      <c r="AG9" s="14">
        <f>+'Cash Flow'!AG24</f>
        <v/>
      </c>
      <c r="AH9" s="14">
        <f>+'Cash Flow'!AH24</f>
        <v/>
      </c>
      <c r="AI9" s="14">
        <f>+'Cash Flow'!AI24</f>
        <v/>
      </c>
      <c r="AJ9" s="14">
        <f>+'Cash Flow'!AJ24</f>
        <v/>
      </c>
      <c r="AK9" s="14">
        <f>+'Cash Flow'!AK24</f>
        <v/>
      </c>
      <c r="AL9" s="14">
        <f>+'Cash Flow'!AL24</f>
        <v/>
      </c>
      <c r="AM9" s="14">
        <f>+'Cash Flow'!AM24</f>
        <v/>
      </c>
      <c r="AN9" s="14">
        <f>+'Cash Flow'!AN24</f>
        <v/>
      </c>
      <c r="AO9" s="14">
        <f>+'Cash Flow'!AO24</f>
        <v/>
      </c>
      <c r="AP9" s="14">
        <f>+'Cash Flow'!AP24</f>
        <v/>
      </c>
      <c r="AQ9" s="14">
        <f>+'Cash Flow'!AQ24</f>
        <v/>
      </c>
      <c r="AR9" s="14">
        <f>+'Cash Flow'!AR24</f>
        <v/>
      </c>
      <c r="AS9" s="14">
        <f>+'Cash Flow'!AS24</f>
        <v/>
      </c>
      <c r="AT9" s="14">
        <f>+'Cash Flow'!AT24</f>
        <v/>
      </c>
      <c r="AU9" s="14">
        <f>+'Cash Flow'!AU24</f>
        <v/>
      </c>
      <c r="AV9" s="14">
        <f>+'Cash Flow'!AV24</f>
        <v/>
      </c>
      <c r="AW9" s="14">
        <f>+'Cash Flow'!AW24</f>
        <v/>
      </c>
      <c r="AX9" s="14">
        <f>+'Cash Flow'!AX24</f>
        <v/>
      </c>
      <c r="AY9" s="14">
        <f>+'Cash Flow'!AY24</f>
        <v/>
      </c>
      <c r="AZ9" s="14">
        <f>+'Cash Flow'!AZ24</f>
        <v/>
      </c>
      <c r="BA9" s="14">
        <f>+'Cash Flow'!BA24</f>
        <v/>
      </c>
      <c r="BB9" s="14">
        <f>+'Cash Flow'!BB24</f>
        <v/>
      </c>
      <c r="BC9" s="14">
        <f>+'Cash Flow'!BC24</f>
        <v/>
      </c>
      <c r="BD9" s="14" t="n">
        <v>-42000</v>
      </c>
      <c r="BE9" s="14">
        <f>+'Cash Flow'!BE24</f>
        <v/>
      </c>
      <c r="BF9" s="14">
        <f>+'Cash Flow'!BF24</f>
        <v/>
      </c>
      <c r="BG9" s="14">
        <f>+'Cash Flow'!BG24</f>
        <v/>
      </c>
      <c r="BH9" s="14">
        <f>+'Cash Flow'!BH24</f>
        <v/>
      </c>
      <c r="BI9" s="14">
        <f>+'Cash Flow'!BI24</f>
        <v/>
      </c>
      <c r="BJ9" s="14">
        <f>+'Cash Flow'!BJ24</f>
        <v/>
      </c>
      <c r="BK9" s="14">
        <f>+'Cash Flow'!BK24</f>
        <v/>
      </c>
      <c r="BL9" s="14">
        <f>+'Cash Flow'!BL24</f>
        <v/>
      </c>
      <c r="BM9" s="14">
        <f>+'Cash Flow'!BM24</f>
        <v/>
      </c>
      <c r="BN9" s="14">
        <f>+'Cash Flow'!BN24</f>
        <v/>
      </c>
      <c r="BO9" s="14">
        <f>+'Cash Flow'!BO24</f>
        <v/>
      </c>
      <c r="BP9" s="14">
        <f>+'Cash Flow'!BP24</f>
        <v/>
      </c>
      <c r="BQ9" s="14">
        <f>+'Cash Flow'!BQ24</f>
        <v/>
      </c>
      <c r="BR9" s="14">
        <f>+'Cash Flow'!BR24</f>
        <v/>
      </c>
      <c r="BS9" s="14">
        <f>+'Cash Flow'!BS24</f>
        <v/>
      </c>
      <c r="BT9" s="14">
        <f>+'Cash Flow'!BT24</f>
        <v/>
      </c>
      <c r="BU9" s="14" t="n">
        <v>-42000</v>
      </c>
      <c r="BV9" s="14">
        <f>+'Cash Flow'!BV24</f>
        <v/>
      </c>
      <c r="BW9" s="14">
        <f>+'Cash Flow'!BW24</f>
        <v/>
      </c>
      <c r="BX9" s="14">
        <f>+'Cash Flow'!BX24</f>
        <v/>
      </c>
    </row>
    <row r="10" ht="12.75" customHeight="1" s="1883">
      <c r="A10" s="12" t="n"/>
      <c r="B10" s="16" t="inlineStr">
        <is>
          <t>Less: Changes in Working Capital</t>
        </is>
      </c>
      <c r="C10" s="17" t="n"/>
      <c r="D10" s="12" t="n"/>
      <c r="E10" s="14">
        <f>'Cash Flow'!E19</f>
        <v/>
      </c>
      <c r="F10" s="14">
        <f>'Cash Flow'!F19</f>
        <v/>
      </c>
      <c r="G10" s="14">
        <f>'Cash Flow'!G19</f>
        <v/>
      </c>
      <c r="H10" s="14">
        <f>'Cash Flow'!H19</f>
        <v/>
      </c>
      <c r="I10" s="14">
        <f>'Cash Flow'!I19</f>
        <v/>
      </c>
      <c r="J10" s="14">
        <f>'Cash Flow'!J19</f>
        <v/>
      </c>
      <c r="K10" s="14">
        <f>'Cash Flow'!K19</f>
        <v/>
      </c>
      <c r="L10" s="14">
        <f>'Cash Flow'!L19</f>
        <v/>
      </c>
      <c r="M10" s="14">
        <f>'Cash Flow'!M19</f>
        <v/>
      </c>
      <c r="N10" s="14">
        <f>'Cash Flow'!N19</f>
        <v/>
      </c>
      <c r="O10" s="14">
        <f>'Cash Flow'!O19</f>
        <v/>
      </c>
      <c r="P10" s="14">
        <f>'Cash Flow'!P19</f>
        <v/>
      </c>
      <c r="Q10" s="14">
        <f>'Cash Flow'!Q19</f>
        <v/>
      </c>
      <c r="R10" s="14">
        <f>'Cash Flow'!R19</f>
        <v/>
      </c>
      <c r="S10" s="14">
        <f>'Cash Flow'!S19</f>
        <v/>
      </c>
      <c r="T10" s="14">
        <f>'Cash Flow'!T19</f>
        <v/>
      </c>
      <c r="U10" s="14">
        <f>'Cash Flow'!U19</f>
        <v/>
      </c>
      <c r="V10" s="14">
        <f>'Cash Flow'!V19</f>
        <v/>
      </c>
      <c r="W10" s="14">
        <f>'Cash Flow'!W19</f>
        <v/>
      </c>
      <c r="X10" s="14">
        <f>'Cash Flow'!X19</f>
        <v/>
      </c>
      <c r="Y10" s="14">
        <f>'Cash Flow'!Y19</f>
        <v/>
      </c>
      <c r="Z10" s="14">
        <f>'Cash Flow'!Z19</f>
        <v/>
      </c>
      <c r="AA10" s="14">
        <f>'Cash Flow'!AA19</f>
        <v/>
      </c>
      <c r="AB10" s="14">
        <f>'Cash Flow'!AB19</f>
        <v/>
      </c>
      <c r="AC10" s="14">
        <f>'Cash Flow'!AC19</f>
        <v/>
      </c>
      <c r="AD10" s="14">
        <f>'Cash Flow'!AD19</f>
        <v/>
      </c>
      <c r="AE10" s="14">
        <f>'Cash Flow'!AE19</f>
        <v/>
      </c>
      <c r="AF10" s="14">
        <f>'Cash Flow'!AF19</f>
        <v/>
      </c>
      <c r="AG10" s="14">
        <f>'Cash Flow'!AG19</f>
        <v/>
      </c>
      <c r="AH10" s="14">
        <f>'Cash Flow'!AH19</f>
        <v/>
      </c>
      <c r="AI10" s="14">
        <f>'Cash Flow'!AI19</f>
        <v/>
      </c>
      <c r="AJ10" s="14">
        <f>'Cash Flow'!AJ19</f>
        <v/>
      </c>
      <c r="AK10" s="14">
        <f>'Cash Flow'!AK19</f>
        <v/>
      </c>
      <c r="AL10" s="14">
        <f>'Cash Flow'!AL19</f>
        <v/>
      </c>
      <c r="AM10" s="14">
        <f>'Cash Flow'!AM19</f>
        <v/>
      </c>
      <c r="AN10" s="14">
        <f>'Cash Flow'!AN19</f>
        <v/>
      </c>
      <c r="AO10" s="14">
        <f>'Cash Flow'!AO19</f>
        <v/>
      </c>
      <c r="AP10" s="14">
        <f>'Cash Flow'!AP19</f>
        <v/>
      </c>
      <c r="AQ10" s="14">
        <f>'Cash Flow'!AQ19</f>
        <v/>
      </c>
      <c r="AR10" s="14">
        <f>'Cash Flow'!AR19</f>
        <v/>
      </c>
      <c r="AS10" s="14">
        <f>'Cash Flow'!AS19</f>
        <v/>
      </c>
      <c r="AT10" s="14">
        <f>'Cash Flow'!AT19</f>
        <v/>
      </c>
      <c r="AU10" s="14">
        <f>'Cash Flow'!AU19</f>
        <v/>
      </c>
      <c r="AV10" s="14">
        <f>'Cash Flow'!AV19</f>
        <v/>
      </c>
      <c r="AW10" s="14">
        <f>'Cash Flow'!AW19</f>
        <v/>
      </c>
      <c r="AX10" s="14">
        <f>'Cash Flow'!AX19</f>
        <v/>
      </c>
      <c r="AY10" s="14">
        <f>'Cash Flow'!AY19</f>
        <v/>
      </c>
      <c r="AZ10" s="14">
        <f>'Cash Flow'!AZ19</f>
        <v/>
      </c>
      <c r="BA10" s="14">
        <f>'Cash Flow'!BA19</f>
        <v/>
      </c>
      <c r="BB10" s="14">
        <f>'Cash Flow'!BB19</f>
        <v/>
      </c>
      <c r="BC10" s="14">
        <f>'Cash Flow'!BC19</f>
        <v/>
      </c>
      <c r="BD10" s="14">
        <f>'Cash Flow'!BD19</f>
        <v/>
      </c>
      <c r="BE10" s="14">
        <f>'Cash Flow'!BE19</f>
        <v/>
      </c>
      <c r="BF10" s="14">
        <f>'Cash Flow'!BF19</f>
        <v/>
      </c>
      <c r="BG10" s="14">
        <f>'Cash Flow'!BG19</f>
        <v/>
      </c>
      <c r="BH10" s="14">
        <f>'Cash Flow'!BH19</f>
        <v/>
      </c>
      <c r="BI10" s="14">
        <f>'Cash Flow'!BI19</f>
        <v/>
      </c>
      <c r="BJ10" s="14">
        <f>'Cash Flow'!BJ19</f>
        <v/>
      </c>
      <c r="BK10" s="14">
        <f>'Cash Flow'!BK19</f>
        <v/>
      </c>
      <c r="BL10" s="14">
        <f>'Cash Flow'!BL19</f>
        <v/>
      </c>
      <c r="BM10" s="14">
        <f>'Cash Flow'!BM19</f>
        <v/>
      </c>
      <c r="BN10" s="14">
        <f>'Cash Flow'!BN19</f>
        <v/>
      </c>
      <c r="BO10" s="14">
        <f>'Cash Flow'!BO19</f>
        <v/>
      </c>
      <c r="BP10" s="14">
        <f>'Cash Flow'!BP19</f>
        <v/>
      </c>
      <c r="BQ10" s="14">
        <f>'Cash Flow'!BQ19</f>
        <v/>
      </c>
      <c r="BR10" s="14">
        <f>'Cash Flow'!BR19</f>
        <v/>
      </c>
      <c r="BS10" s="14">
        <f>'Cash Flow'!BS19</f>
        <v/>
      </c>
      <c r="BT10" s="14">
        <f>'Cash Flow'!BT19</f>
        <v/>
      </c>
      <c r="BU10" s="14">
        <f>'Cash Flow'!BU19</f>
        <v/>
      </c>
      <c r="BV10" s="14">
        <f>'Cash Flow'!BV19</f>
        <v/>
      </c>
      <c r="BW10" s="14">
        <f>'Cash Flow'!BW19</f>
        <v/>
      </c>
      <c r="BX10" s="14">
        <f>'Cash Flow'!BX19</f>
        <v/>
      </c>
    </row>
    <row r="11" ht="12.75" customHeight="1" s="1883">
      <c r="A11" s="12" t="n"/>
      <c r="B11" s="16" t="n"/>
      <c r="C11" s="12" t="n"/>
      <c r="D11" s="12"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4" t="n"/>
      <c r="BC11" s="14" t="n"/>
      <c r="BD11" s="14" t="n"/>
      <c r="BE11" s="14" t="n"/>
      <c r="BF11" s="14" t="n"/>
      <c r="BG11" s="14" t="n"/>
      <c r="BH11" s="14" t="n"/>
      <c r="BI11" s="14" t="n"/>
      <c r="BJ11" s="14" t="n"/>
      <c r="BK11" s="14" t="n"/>
      <c r="BL11" s="14" t="n"/>
      <c r="BM11" s="14" t="n"/>
      <c r="BN11" s="14" t="n"/>
      <c r="BO11" s="14" t="n"/>
      <c r="BP11" s="14" t="n"/>
      <c r="BQ11" s="14" t="n"/>
      <c r="BR11" s="14" t="n"/>
      <c r="BS11" s="14" t="n"/>
      <c r="BT11" s="14" t="n"/>
      <c r="BU11" s="14" t="n"/>
      <c r="BV11" s="14" t="n"/>
      <c r="BW11" s="14" t="n"/>
      <c r="BX11" s="14" t="n"/>
    </row>
    <row r="12" ht="12.75" customHeight="1" s="1883">
      <c r="A12" s="12" t="n"/>
      <c r="B12" s="16" t="inlineStr">
        <is>
          <t>Free Cash Flow to the Firm</t>
        </is>
      </c>
      <c r="C12" s="17" t="n"/>
      <c r="D12" s="12" t="n"/>
      <c r="E12" s="14">
        <f>SUM(E5:E10)</f>
        <v/>
      </c>
      <c r="F12" s="14">
        <f>SUM(F5:F10)</f>
        <v/>
      </c>
      <c r="G12" s="14">
        <f>SUM(G5:G10)</f>
        <v/>
      </c>
      <c r="H12" s="14">
        <f>SUM(H5:H10)</f>
        <v/>
      </c>
      <c r="I12" s="14">
        <f>SUM(I5:I10)</f>
        <v/>
      </c>
      <c r="J12" s="14">
        <f>SUM(J5:J10)</f>
        <v/>
      </c>
      <c r="K12" s="14">
        <f>SUM(K5:K10)</f>
        <v/>
      </c>
      <c r="L12" s="14">
        <f>SUM(L5:L10)</f>
        <v/>
      </c>
      <c r="M12" s="14">
        <f>SUM(M5:M10)</f>
        <v/>
      </c>
      <c r="N12" s="14">
        <f>SUM(N5:N10)</f>
        <v/>
      </c>
      <c r="O12" s="14">
        <f>SUM(O5:O10)</f>
        <v/>
      </c>
      <c r="P12" s="14">
        <f>SUM(P5:P10)</f>
        <v/>
      </c>
      <c r="Q12" s="14">
        <f>SUM(Q5:Q10)</f>
        <v/>
      </c>
      <c r="R12" s="14">
        <f>SUM(R5:R10)</f>
        <v/>
      </c>
      <c r="S12" s="14">
        <f>SUM(S5:S10)</f>
        <v/>
      </c>
      <c r="T12" s="14">
        <f>SUM(T5:T10)</f>
        <v/>
      </c>
      <c r="U12" s="14">
        <f>SUM(U5:U10)</f>
        <v/>
      </c>
      <c r="V12" s="14">
        <f>SUM(V5:V10)</f>
        <v/>
      </c>
      <c r="W12" s="14">
        <f>SUM(W5:W10)</f>
        <v/>
      </c>
      <c r="X12" s="14">
        <f>SUM(X5:X10)</f>
        <v/>
      </c>
      <c r="Y12" s="14">
        <f>SUM(Y5:Y10)</f>
        <v/>
      </c>
      <c r="Z12" s="14">
        <f>SUM(Z5:Z10)</f>
        <v/>
      </c>
      <c r="AA12" s="14">
        <f>SUM(AA5:AA10)</f>
        <v/>
      </c>
      <c r="AB12" s="14">
        <f>SUM(AB5:AB10)</f>
        <v/>
      </c>
      <c r="AC12" s="14">
        <f>SUM(AC5:AC10)</f>
        <v/>
      </c>
      <c r="AD12" s="14">
        <f>SUM(AD5:AD10)</f>
        <v/>
      </c>
      <c r="AE12" s="14">
        <f>SUM(AE5:AE10)</f>
        <v/>
      </c>
      <c r="AF12" s="14">
        <f>SUM(AF5:AF10)</f>
        <v/>
      </c>
      <c r="AG12" s="14">
        <f>SUM(AG5:AG10)</f>
        <v/>
      </c>
      <c r="AH12" s="14">
        <f>SUM(AH5:AH10)</f>
        <v/>
      </c>
      <c r="AI12" s="14">
        <f>SUM(AI5:AI10)</f>
        <v/>
      </c>
      <c r="AJ12" s="14">
        <f>SUM(AJ5:AJ10)</f>
        <v/>
      </c>
      <c r="AK12" s="14">
        <f>SUM(AK5:AK10)</f>
        <v/>
      </c>
      <c r="AL12" s="14">
        <f>SUM(AL5:AL10)</f>
        <v/>
      </c>
      <c r="AM12" s="14">
        <f>SUM(AM5:AM10)</f>
        <v/>
      </c>
      <c r="AN12" s="14">
        <f>SUM(AN5:AN10)</f>
        <v/>
      </c>
      <c r="AO12" s="14">
        <f>SUM(AO5:AO10)</f>
        <v/>
      </c>
      <c r="AP12" s="14">
        <f>SUM(AP5:AP10)</f>
        <v/>
      </c>
      <c r="AQ12" s="14">
        <f>SUM(AQ5:AQ10)</f>
        <v/>
      </c>
      <c r="AR12" s="14">
        <f>SUM(AR5:AR10)</f>
        <v/>
      </c>
      <c r="AS12" s="14">
        <f>SUM(AS5:AS10)</f>
        <v/>
      </c>
      <c r="AT12" s="14">
        <f>SUM(AT5:AT10)</f>
        <v/>
      </c>
      <c r="AU12" s="14">
        <f>SUM(AU5:AU10)</f>
        <v/>
      </c>
      <c r="AV12" s="14">
        <f>SUM(AV5:AV10)</f>
        <v/>
      </c>
      <c r="AW12" s="14">
        <f>SUM(AW5:AW10)</f>
        <v/>
      </c>
      <c r="AX12" s="14">
        <f>SUM(AX5:AX10)</f>
        <v/>
      </c>
      <c r="AY12" s="14">
        <f>SUM(AY5:AY10)</f>
        <v/>
      </c>
      <c r="AZ12" s="14">
        <f>SUM(AZ5:AZ10)</f>
        <v/>
      </c>
      <c r="BA12" s="14">
        <f>SUM(BA5:BA10)</f>
        <v/>
      </c>
      <c r="BB12" s="14">
        <f>SUM(BB5:BB10)</f>
        <v/>
      </c>
      <c r="BC12" s="14">
        <f>SUM(BC5:BC10)</f>
        <v/>
      </c>
      <c r="BD12" s="14">
        <f>SUM(BD5:BD10)</f>
        <v/>
      </c>
      <c r="BE12" s="14">
        <f>SUM(BE5:BE10)</f>
        <v/>
      </c>
      <c r="BF12" s="14">
        <f>SUM(BF5:BF10)</f>
        <v/>
      </c>
      <c r="BG12" s="14">
        <f>SUM(BG5:BG10)</f>
        <v/>
      </c>
      <c r="BH12" s="14">
        <f>SUM(BH5:BH10)</f>
        <v/>
      </c>
      <c r="BI12" s="14">
        <f>SUM(BI5:BI10)</f>
        <v/>
      </c>
      <c r="BJ12" s="14">
        <f>SUM(BJ5:BJ10)</f>
        <v/>
      </c>
      <c r="BK12" s="14">
        <f>SUM(BK5:BK10)</f>
        <v/>
      </c>
      <c r="BL12" s="14">
        <f>SUM(BL5:BL10)</f>
        <v/>
      </c>
      <c r="BM12" s="14">
        <f>SUM(BM5:BM10)</f>
        <v/>
      </c>
      <c r="BN12" s="14">
        <f>SUM(BN5:BN10)</f>
        <v/>
      </c>
      <c r="BO12" s="14">
        <f>SUM(BO5:BO10)</f>
        <v/>
      </c>
      <c r="BP12" s="14">
        <f>SUM(BP5:BP10)</f>
        <v/>
      </c>
      <c r="BQ12" s="14">
        <f>SUM(BQ5:BQ10)</f>
        <v/>
      </c>
      <c r="BR12" s="14">
        <f>SUM(BR5:BR10)</f>
        <v/>
      </c>
      <c r="BS12" s="14">
        <f>SUM(BS5:BS10)</f>
        <v/>
      </c>
      <c r="BT12" s="14">
        <f>SUM(BT5:BT10)</f>
        <v/>
      </c>
      <c r="BU12" s="14">
        <f>SUM(BU5:BU10)</f>
        <v/>
      </c>
      <c r="BV12" s="14">
        <f>SUM(BV5:BV10)</f>
        <v/>
      </c>
      <c r="BW12" s="14">
        <f>SUM(BW5:BW10)</f>
        <v/>
      </c>
      <c r="BX12" s="14">
        <f>SUM(BX5:BX10)</f>
        <v/>
      </c>
    </row>
    <row r="13" ht="12.75" customHeight="1" s="1883">
      <c r="A13" s="18" t="n"/>
      <c r="B13" s="16" t="n"/>
      <c r="C13" s="12" t="n"/>
      <c r="D13" s="12"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c r="AH13" s="14" t="n"/>
      <c r="AI13" s="14" t="n"/>
      <c r="AJ13" s="14" t="n"/>
      <c r="AK13" s="14" t="n"/>
      <c r="AL13" s="14" t="n"/>
      <c r="AM13" s="14" t="n"/>
      <c r="AN13" s="14" t="n"/>
      <c r="AO13" s="14" t="n"/>
      <c r="AP13" s="14" t="n"/>
      <c r="AQ13" s="14" t="n"/>
      <c r="AR13" s="14" t="n"/>
      <c r="AS13" s="14" t="n"/>
      <c r="AT13" s="14" t="n"/>
      <c r="AU13" s="14" t="n"/>
      <c r="AV13" s="14" t="n"/>
      <c r="AW13" s="14" t="n"/>
      <c r="AX13" s="14" t="n"/>
      <c r="AY13" s="14" t="n"/>
      <c r="AZ13" s="14" t="n"/>
      <c r="BA13" s="14" t="n"/>
      <c r="BB13" s="14" t="n"/>
      <c r="BC13" s="14" t="n"/>
      <c r="BD13" s="14" t="n"/>
      <c r="BE13" s="14" t="n"/>
      <c r="BF13" s="14" t="n"/>
      <c r="BG13" s="14" t="n"/>
      <c r="BH13" s="14" t="n"/>
      <c r="BI13" s="14" t="n"/>
      <c r="BJ13" s="14" t="n"/>
      <c r="BK13" s="14" t="n"/>
      <c r="BL13" s="14" t="n"/>
      <c r="BM13" s="14" t="n"/>
      <c r="BN13" s="14" t="n"/>
      <c r="BO13" s="14" t="n"/>
      <c r="BP13" s="14" t="n"/>
      <c r="BQ13" s="14" t="n"/>
      <c r="BR13" s="14" t="n"/>
      <c r="BS13" s="14" t="n"/>
      <c r="BT13" s="14" t="n"/>
      <c r="BU13" s="14" t="n"/>
      <c r="BV13" s="14" t="n"/>
      <c r="BW13" s="14" t="n"/>
      <c r="BX13" s="14" t="n"/>
    </row>
    <row r="14" ht="12.75" customHeight="1" s="1883">
      <c r="A14" s="18" t="n"/>
      <c r="B14" s="16" t="inlineStr">
        <is>
          <t>Discount Rate</t>
        </is>
      </c>
      <c r="C14" s="19" t="n"/>
      <c r="D14" s="1417" t="n">
        <v>0.999</v>
      </c>
      <c r="E14" s="14">
        <f>+E12/((1+($D14/12))^K3)</f>
        <v/>
      </c>
      <c r="F14" s="14">
        <f>+F12/((1+($D14/12))^L3)</f>
        <v/>
      </c>
      <c r="G14" s="14">
        <f>+G12/((1+($D14/12))^M3)</f>
        <v/>
      </c>
      <c r="H14" s="14">
        <f>+H12/((1+($D14/12))^N3)</f>
        <v/>
      </c>
      <c r="I14" s="14">
        <f>+I12/((1+($D14/12))^O3)</f>
        <v/>
      </c>
      <c r="J14" s="14">
        <f>+J12/((1+($D14/12))^P3)</f>
        <v/>
      </c>
      <c r="K14" s="14">
        <f>+K12/((1+($D14/12))^Q3)</f>
        <v/>
      </c>
      <c r="L14" s="14">
        <f>+L12/((1+($D14/12))^R3)</f>
        <v/>
      </c>
      <c r="M14" s="14">
        <f>+M12/((1+($D14/12))^S3)</f>
        <v/>
      </c>
      <c r="N14" s="14">
        <f>+N12/((1+($D14/12))^T3)</f>
        <v/>
      </c>
      <c r="O14" s="14">
        <f>+O12/((1+($D14/12))^U3)</f>
        <v/>
      </c>
      <c r="P14" s="14">
        <f>+P12/((1+($D14/12))^V3)</f>
        <v/>
      </c>
      <c r="Q14" s="14">
        <f>+Q12/((1+($D14/12))^W3)</f>
        <v/>
      </c>
      <c r="R14" s="14">
        <f>+R12/((1+($D14/12))^X3)</f>
        <v/>
      </c>
      <c r="S14" s="14">
        <f>+S12/((1+($D14/12))^Y3)</f>
        <v/>
      </c>
      <c r="T14" s="14">
        <f>+T12/((1+($D14/12))^Z3)</f>
        <v/>
      </c>
      <c r="U14" s="14">
        <f>+U12/((1+($D14/12))^AA3)</f>
        <v/>
      </c>
      <c r="V14" s="14">
        <f>+V12/((1+($D14/12))^AB3)</f>
        <v/>
      </c>
      <c r="W14" s="14">
        <f>+W12/((1+($D14/12))^AC3)</f>
        <v/>
      </c>
      <c r="X14" s="14">
        <f>+X12/((1+($D14/12))^AD3)</f>
        <v/>
      </c>
      <c r="Y14" s="14">
        <f>+Y12/((1+($D14/12))^AE3)</f>
        <v/>
      </c>
      <c r="Z14" s="14">
        <f>+Z12/((1+($D14/12))^AF3)</f>
        <v/>
      </c>
      <c r="AA14" s="14">
        <f>+AA12/((1+($D14/12))^AG3)</f>
        <v/>
      </c>
      <c r="AB14" s="14">
        <f>+AB12/((1+($D14/12))^AH3)</f>
        <v/>
      </c>
      <c r="AC14" s="14">
        <f>+AC12/((1+($D14/12))^AI3)</f>
        <v/>
      </c>
      <c r="AD14" s="14">
        <f>+AD12/((1+($D14/12))^AJ3)</f>
        <v/>
      </c>
      <c r="AE14" s="14">
        <f>+AE12/((1+($D14/12))^AK3)</f>
        <v/>
      </c>
      <c r="AF14" s="14">
        <f>+AF12/((1+($D14/12))^AL3)</f>
        <v/>
      </c>
      <c r="AG14" s="14">
        <f>+AG12/((1+($D14/12))^AM3)</f>
        <v/>
      </c>
      <c r="AH14" s="14">
        <f>+AH12/((1+($D14/12))^AN3)</f>
        <v/>
      </c>
      <c r="AI14" s="14">
        <f>+AI12/((1+($D14/12))^AO3)</f>
        <v/>
      </c>
      <c r="AJ14" s="14">
        <f>+AJ12/((1+($D14/12))^AP3)</f>
        <v/>
      </c>
      <c r="AK14" s="14">
        <f>+AK12/((1+($D14/12))^AQ3)</f>
        <v/>
      </c>
      <c r="AL14" s="14">
        <f>+AL12/((1+($D14/12))^AR3)</f>
        <v/>
      </c>
      <c r="AM14" s="14">
        <f>+AM12/((1+($D14/12))^AS3)</f>
        <v/>
      </c>
      <c r="AN14" s="14">
        <f>+AN12/((1+($D14/12))^AT3)</f>
        <v/>
      </c>
      <c r="AO14" s="14">
        <f>+AO12/((1+($D14/12))^AU3)</f>
        <v/>
      </c>
      <c r="AP14" s="14">
        <f>+AP12/((1+($D14/12))^AV3)</f>
        <v/>
      </c>
      <c r="AQ14" s="14">
        <f>+AQ12/((1+($D14/12))^AW3)</f>
        <v/>
      </c>
      <c r="AR14" s="14">
        <f>+AR12/((1+($D14/12))^AX3)</f>
        <v/>
      </c>
      <c r="AS14" s="14">
        <f>+AS12/((1+($D14/12))^AY3)</f>
        <v/>
      </c>
      <c r="AT14" s="14">
        <f>+AT12/((1+($D14/12))^AZ3)</f>
        <v/>
      </c>
      <c r="AU14" s="14">
        <f>+AU12/((1+($D14/12))^BA3)</f>
        <v/>
      </c>
      <c r="AV14" s="14">
        <f>+AV12/((1+($D14/12))^BB3)</f>
        <v/>
      </c>
      <c r="AW14" s="14">
        <f>+AW12/((1+($D14/12))^BC3)</f>
        <v/>
      </c>
      <c r="AX14" s="14">
        <f>+AX12/((1+($D14/12))^BD3)</f>
        <v/>
      </c>
      <c r="AY14" s="14">
        <f>+AY12/((1+($D14/12))^BE3)</f>
        <v/>
      </c>
      <c r="AZ14" s="14">
        <f>+AZ12/((1+($D14/12))^BF3)</f>
        <v/>
      </c>
      <c r="BA14" s="14">
        <f>+BA12/((1+($D14/12))^BG3)</f>
        <v/>
      </c>
      <c r="BB14" s="14">
        <f>+BB12/((1+($D14/12))^BH3)</f>
        <v/>
      </c>
      <c r="BC14" s="14">
        <f>+BC12/((1+($D14/12))^BI3)</f>
        <v/>
      </c>
      <c r="BD14" s="14">
        <f>+BD12/((1+($D14/12))^BJ3)</f>
        <v/>
      </c>
      <c r="BE14" s="14">
        <f>+BE12/((1+($D14/12))^BK3)</f>
        <v/>
      </c>
      <c r="BF14" s="14">
        <f>+BF12/((1+($D14/12))^BL3)</f>
        <v/>
      </c>
      <c r="BG14" s="14">
        <f>+BG12/((1+($D14/12))^BM3)</f>
        <v/>
      </c>
      <c r="BH14" s="14">
        <f>+BH12/((1+($D14/12))^BN3)</f>
        <v/>
      </c>
      <c r="BI14" s="14">
        <f>+BI12/((1+($D14/12))^BO3)</f>
        <v/>
      </c>
      <c r="BJ14" s="14">
        <f>+BJ12/((1+($D14/12))^BP3)</f>
        <v/>
      </c>
      <c r="BK14" s="14">
        <f>+BK12/((1+($D14/12))^BQ3)</f>
        <v/>
      </c>
      <c r="BL14" s="14">
        <f>+BL12/((1+($D14/12))^BR3)</f>
        <v/>
      </c>
      <c r="BM14" s="14">
        <f>+BM12/((1+($D14/12))^BS3)</f>
        <v/>
      </c>
      <c r="BN14" s="14">
        <f>+BN12/((1+($D14/12))^BT3)</f>
        <v/>
      </c>
      <c r="BO14" s="14">
        <f>+BO12/((1+($D14/12))^BU3)</f>
        <v/>
      </c>
      <c r="BP14" s="14">
        <f>+BP12/((1+($D14/12))^BV3)</f>
        <v/>
      </c>
      <c r="BQ14" s="14">
        <f>+BQ12/((1+($D14/12))^BW3)</f>
        <v/>
      </c>
      <c r="BR14" s="14">
        <f>+BR12/((1+($D14/12))^BX3)</f>
        <v/>
      </c>
      <c r="BS14" s="14">
        <f>+BS12/((1+($D14/12))^BY3)</f>
        <v/>
      </c>
      <c r="BT14" s="14">
        <f>+BT12/((1+($D14/12))^BZ3)</f>
        <v/>
      </c>
      <c r="BU14" s="14">
        <f>+BU12/((1+($D14/12))^CA3)</f>
        <v/>
      </c>
      <c r="BV14" s="14">
        <f>+BV12/((1+($D14/12))^CB3)</f>
        <v/>
      </c>
      <c r="BW14" s="14">
        <f>+BW12/((1+($D14/12))^CC3)</f>
        <v/>
      </c>
      <c r="BX14" s="14">
        <f>+BX12/((1+($D14/12))^CD3)</f>
        <v/>
      </c>
    </row>
    <row r="15" ht="12.75" customHeight="1" s="1883">
      <c r="A15" s="12" t="n"/>
      <c r="B15" s="16" t="n"/>
      <c r="C15" s="17" t="n"/>
      <c r="D15" s="12" t="n"/>
      <c r="E15" s="14" t="n"/>
      <c r="F15" s="14" t="n"/>
      <c r="G15" s="14" t="n"/>
      <c r="H15" s="14" t="n"/>
      <c r="I15" s="14" t="n"/>
      <c r="J15" s="14" t="n"/>
      <c r="K15" s="14" t="n"/>
      <c r="L15" s="14" t="n"/>
      <c r="M15" s="14" t="n"/>
      <c r="N15" s="14" t="n"/>
      <c r="O15" s="14" t="n"/>
      <c r="P15" s="14" t="n"/>
      <c r="Q15" s="14" t="n"/>
      <c r="R15" s="20" t="n"/>
      <c r="S15" s="20" t="n"/>
      <c r="T15" s="20" t="n"/>
      <c r="U15" s="20" t="n"/>
      <c r="V15" s="20" t="n"/>
      <c r="W15" s="20" t="n"/>
      <c r="X15" s="20" t="n"/>
      <c r="Y15" s="20" t="n"/>
      <c r="Z15" s="20" t="n"/>
      <c r="AA15" s="20" t="n"/>
      <c r="AB15" s="20" t="n"/>
      <c r="AC15" s="20" t="n"/>
      <c r="AD15" s="20" t="n"/>
      <c r="AE15" s="20" t="n"/>
      <c r="AF15" s="20" t="n"/>
      <c r="AG15" s="20" t="n"/>
      <c r="AH15" s="20" t="n"/>
      <c r="AI15" s="20" t="n"/>
      <c r="AJ15" s="20" t="n"/>
      <c r="AK15" s="20" t="n"/>
      <c r="AL15" s="20" t="n"/>
      <c r="AM15" s="20" t="n"/>
      <c r="AN15" s="20" t="n"/>
      <c r="AO15" s="20" t="n"/>
      <c r="AP15" s="20" t="n"/>
      <c r="AQ15" s="20" t="n"/>
      <c r="AR15" s="20" t="n"/>
      <c r="AS15" s="20" t="n"/>
      <c r="AT15" s="20" t="n"/>
      <c r="AU15" s="20" t="n"/>
      <c r="AV15" s="20" t="n"/>
      <c r="AW15" s="20" t="n"/>
      <c r="AX15" s="20" t="n"/>
      <c r="AY15" s="20" t="n"/>
      <c r="AZ15" s="20" t="n"/>
      <c r="BA15" s="20" t="n"/>
      <c r="BB15" s="20" t="n"/>
      <c r="BC15" s="20" t="n"/>
      <c r="BD15" s="20" t="n"/>
      <c r="BE15" s="20" t="n"/>
      <c r="BF15" s="20" t="n"/>
      <c r="BG15" s="20" t="n"/>
      <c r="BH15" s="20" t="n"/>
      <c r="BI15" s="20" t="n"/>
      <c r="BJ15" s="20" t="n"/>
      <c r="BK15" s="20" t="n"/>
      <c r="BL15" s="20" t="n"/>
      <c r="BM15" s="20" t="n"/>
      <c r="BN15" s="20" t="n"/>
      <c r="BO15" s="20" t="n"/>
      <c r="BP15" s="20" t="n"/>
      <c r="BQ15" s="20" t="n"/>
      <c r="BR15" s="20" t="n"/>
      <c r="BS15" s="20" t="n"/>
      <c r="BT15" s="20" t="n"/>
      <c r="BU15" s="20" t="n"/>
      <c r="BV15" s="20" t="n"/>
      <c r="BW15" s="20" t="n"/>
      <c r="BX15" s="20" t="n"/>
      <c r="BY15" s="12" t="n"/>
      <c r="BZ15" s="12" t="n"/>
      <c r="CA15" s="12" t="n"/>
      <c r="CB15" s="12" t="n"/>
      <c r="CC15" s="12" t="n"/>
      <c r="CD15" s="12" t="n"/>
    </row>
    <row r="16" ht="12.75" customHeight="1" s="1883">
      <c r="A16" s="12" t="n"/>
      <c r="B16" s="16" t="inlineStr">
        <is>
          <t>Implied Discounted Free Cash Flows</t>
        </is>
      </c>
      <c r="C16" s="12" t="n"/>
      <c r="D16" s="12" t="n"/>
      <c r="E16" s="14">
        <f>SUM(E14:AZ14)</f>
        <v/>
      </c>
      <c r="F16" s="14" t="n"/>
      <c r="J16" s="21" t="inlineStr">
        <is>
          <t>Terminal Value Calculation</t>
        </is>
      </c>
      <c r="K16" s="1418" t="n"/>
      <c r="L16" s="1418" t="n"/>
      <c r="M16" s="1419" t="n"/>
      <c r="R16" s="20" t="n"/>
      <c r="S16" s="20" t="n"/>
      <c r="T16" s="20" t="n"/>
      <c r="U16" s="20" t="n"/>
      <c r="V16" s="20" t="n"/>
      <c r="W16" s="20" t="n"/>
      <c r="X16" s="20" t="n"/>
      <c r="Y16" s="20" t="n"/>
      <c r="Z16" s="20" t="n"/>
      <c r="AA16" s="20" t="n"/>
      <c r="AB16" s="20" t="n"/>
      <c r="AC16" s="20" t="n"/>
      <c r="AD16" s="20" t="n"/>
      <c r="AE16" s="20" t="n"/>
      <c r="AF16" s="20" t="n"/>
      <c r="AG16" s="20" t="n"/>
      <c r="AH16" s="20" t="n"/>
      <c r="AI16" s="20" t="n"/>
      <c r="AJ16" s="20" t="n"/>
      <c r="AK16" s="20" t="n"/>
      <c r="AL16" s="20" t="n"/>
      <c r="AM16" s="20" t="n"/>
      <c r="AN16" s="20" t="n"/>
      <c r="AO16" s="20" t="n"/>
      <c r="AP16" s="20" t="n"/>
      <c r="AQ16" s="20" t="n"/>
      <c r="AR16" s="20" t="n"/>
      <c r="AS16" s="20" t="n"/>
      <c r="AT16" s="20" t="n"/>
      <c r="AU16" s="20" t="n"/>
      <c r="AV16" s="20" t="n"/>
      <c r="AW16" s="20" t="n"/>
      <c r="AX16" s="20" t="n"/>
      <c r="AY16" s="20" t="n"/>
      <c r="AZ16" s="20" t="n"/>
      <c r="BA16" s="20" t="n"/>
      <c r="BB16" s="20" t="n"/>
      <c r="BC16" s="20" t="n"/>
      <c r="BD16" s="20" t="n"/>
      <c r="BE16" s="20" t="n"/>
      <c r="BF16" s="20" t="n"/>
      <c r="BG16" s="20" t="n"/>
      <c r="BH16" s="20" t="n"/>
      <c r="BI16" s="20" t="n"/>
      <c r="BJ16" s="20" t="n"/>
      <c r="BK16" s="20" t="n"/>
      <c r="BL16" s="20" t="n"/>
      <c r="BM16" s="20" t="n"/>
      <c r="BN16" s="20" t="n"/>
      <c r="BO16" s="20" t="n"/>
      <c r="BP16" s="20" t="n"/>
      <c r="BQ16" s="20" t="n"/>
      <c r="BR16" s="20" t="n"/>
      <c r="BS16" s="20" t="n"/>
      <c r="BT16" s="20" t="n"/>
      <c r="BU16" s="20" t="n"/>
      <c r="BV16" s="20" t="n"/>
      <c r="BW16" s="20" t="n"/>
      <c r="BX16" s="20" t="n"/>
      <c r="BY16" s="12" t="n"/>
      <c r="BZ16" s="12" t="n"/>
      <c r="CA16" s="12" t="n"/>
      <c r="CB16" s="12" t="n"/>
      <c r="CC16" s="12" t="n"/>
      <c r="CD16" s="12" t="n"/>
    </row>
    <row r="17" ht="12.75" customHeight="1" s="1883">
      <c r="A17" s="12" t="n"/>
      <c r="B17" s="16" t="inlineStr">
        <is>
          <t>Terminal Value</t>
        </is>
      </c>
      <c r="C17" s="17" t="n"/>
      <c r="D17" s="12" t="n"/>
      <c r="E17" s="14">
        <f>+L21</f>
        <v/>
      </c>
      <c r="F17" s="14" t="n"/>
      <c r="J17" s="1420" t="n"/>
      <c r="K17" s="1421" t="n"/>
      <c r="L17" s="1421" t="n"/>
      <c r="M17" s="22" t="n"/>
    </row>
    <row r="18" ht="12.75" customHeight="1" s="1883">
      <c r="A18" s="12" t="n"/>
      <c r="B18" s="16" t="n"/>
      <c r="C18" s="12" t="n"/>
      <c r="D18" s="19" t="n"/>
      <c r="E18" s="14" t="n"/>
      <c r="F18" s="14" t="n"/>
      <c r="J18" s="1420" t="inlineStr">
        <is>
          <t>Sustainable Growth Rate</t>
        </is>
      </c>
      <c r="K18" s="1421" t="n"/>
      <c r="L18" s="2184" t="n">
        <v>0.061</v>
      </c>
      <c r="M18" s="22" t="inlineStr">
        <is>
          <t>g</t>
        </is>
      </c>
    </row>
    <row r="19" ht="12.75" customHeight="1" s="1883">
      <c r="A19" s="12" t="n"/>
      <c r="B19" s="23" t="inlineStr">
        <is>
          <t>Total Value of the Firm</t>
        </is>
      </c>
      <c r="C19" s="12" t="n"/>
      <c r="D19" s="12" t="n"/>
      <c r="E19" s="1423">
        <f>SUM(E16:E17)</f>
        <v/>
      </c>
      <c r="F19" s="24" t="n"/>
      <c r="J19" s="1420" t="inlineStr">
        <is>
          <t>Discount Rate</t>
        </is>
      </c>
      <c r="K19" s="1421" t="n"/>
      <c r="L19" s="1424">
        <f>+D14</f>
        <v/>
      </c>
      <c r="M19" s="22" t="inlineStr">
        <is>
          <t>k</t>
        </is>
      </c>
    </row>
    <row r="20" ht="12.75" customHeight="1" s="1883">
      <c r="A20" s="12" t="n"/>
      <c r="B20" s="16" t="n"/>
      <c r="C20" s="12" t="n"/>
      <c r="D20" s="12" t="n"/>
      <c r="E20" s="14" t="n"/>
      <c r="F20" s="14" t="n"/>
      <c r="J20" s="1420" t="inlineStr">
        <is>
          <t>Y5 CF</t>
        </is>
      </c>
      <c r="K20" s="1421" t="n"/>
      <c r="L20" s="1425">
        <f>+SUM(BM12:BX12)</f>
        <v/>
      </c>
      <c r="M20" s="22" t="n"/>
    </row>
    <row r="21" ht="12.75" customHeight="1" s="1883">
      <c r="A21" s="12" t="n"/>
      <c r="B21" s="25" t="inlineStr">
        <is>
          <t>Start up Risk Discount</t>
        </is>
      </c>
      <c r="C21" s="7" t="n"/>
      <c r="D21" s="7" t="n"/>
      <c r="E21" s="1417" t="n">
        <v>0.9984</v>
      </c>
      <c r="F21" s="26" t="n"/>
      <c r="J21" s="1426" t="inlineStr">
        <is>
          <t>Terminal Value</t>
        </is>
      </c>
      <c r="K21" s="27" t="n"/>
      <c r="L21" s="28">
        <f>+L20/(L19-L18)</f>
        <v/>
      </c>
      <c r="M21" s="1427" t="n"/>
    </row>
    <row r="22" ht="12.75" customHeight="1" s="1883">
      <c r="A22" s="12" t="n"/>
      <c r="B22" s="16" t="n"/>
      <c r="C22" s="19" t="n"/>
      <c r="D22" s="12" t="n"/>
      <c r="E22" s="20" t="n"/>
      <c r="F22" s="20" t="n"/>
      <c r="G22" s="20" t="n"/>
      <c r="H22" s="20" t="n"/>
      <c r="I22" s="20" t="n"/>
      <c r="J22" s="20" t="n"/>
      <c r="L22" s="20" t="n"/>
      <c r="M22" s="20" t="n"/>
    </row>
    <row r="23" ht="12.75" customHeight="1" s="1883">
      <c r="A23" s="30" t="inlineStr">
        <is>
          <t>Estimated Value of the Firm</t>
        </is>
      </c>
      <c r="B23" s="1428" t="n"/>
      <c r="C23" s="1429" t="n"/>
      <c r="D23" s="1430" t="n"/>
      <c r="E23" s="31">
        <f>+E19*(1-E21)</f>
        <v/>
      </c>
      <c r="F23" s="32" t="n"/>
      <c r="G23" s="32" t="n"/>
      <c r="H23" s="32" t="n"/>
      <c r="I23" s="32" t="n"/>
      <c r="J23" s="32" t="n"/>
      <c r="L23" s="20" t="n"/>
      <c r="M23" s="20" t="n"/>
    </row>
  </sheetData>
  <mergeCells count="5">
    <mergeCell ref="Q2:AB2"/>
    <mergeCell ref="BM2:BX2"/>
    <mergeCell ref="AO2:AZ2"/>
    <mergeCell ref="BA2:BL2"/>
    <mergeCell ref="AC2:AN2"/>
  </mergeCells>
  <printOptions horizontalCentered="1" gridLines="1"/>
  <pageMargins left="0.7" right="0.7" top="0.75" bottom="0.75" header="0" footer="0"/>
  <pageSetup orientation="landscape" pageOrder="overThenDown" cellComments="atEnd"/>
  <colBreaks count="8" manualBreakCount="8">
    <brk id="17" min="0" max="16383" man="1"/>
    <brk id="35" min="0" max="16383" man="1"/>
    <brk id="53" min="0" max="16383" man="1"/>
    <brk id="71" min="0" max="16383" man="1"/>
    <brk id="8" min="0" max="16383" man="1"/>
    <brk id="26" min="0" max="16383" man="1"/>
    <brk id="44" min="0" max="16383" man="1"/>
    <brk id="62" min="0" max="16383" man="1"/>
  </colBreaks>
</worksheet>
</file>

<file path=xl/worksheets/sheet44.xml><?xml version="1.0" encoding="utf-8"?>
<worksheet xmlns="http://schemas.openxmlformats.org/spreadsheetml/2006/main">
  <sheetPr>
    <outlinePr summaryBelow="0" summaryRight="0"/>
    <pageSetUpPr fitToPage="1"/>
  </sheetPr>
  <dimension ref="A1:K70"/>
  <sheetViews>
    <sheetView showGridLines="0" workbookViewId="0">
      <selection activeCell="D11" sqref="D11"/>
    </sheetView>
  </sheetViews>
  <sheetFormatPr baseColWidth="10" defaultColWidth="17.33203125" defaultRowHeight="15" customHeight="1"/>
  <cols>
    <col width="3.5" customWidth="1" style="1883" min="1" max="1"/>
    <col width="25.5" customWidth="1" style="1883" min="2" max="2"/>
    <col hidden="1" width="0.1640625" customWidth="1" style="1883" min="3" max="3"/>
    <col width="13.33203125" customWidth="1" style="1883" min="4" max="4"/>
    <col width="19.33203125" customWidth="1" style="1883" min="5" max="5"/>
    <col width="17.5" customWidth="1" style="1883" min="6" max="6"/>
    <col width="18.33203125" customWidth="1" style="1883" min="7" max="7"/>
    <col width="18" customWidth="1" style="1883" min="8" max="8"/>
    <col width="18.5" customWidth="1" style="1883" min="9" max="9"/>
    <col width="12.5" customWidth="1" style="1883" min="10" max="21"/>
    <col width="12" customWidth="1" style="1883" min="22" max="26"/>
  </cols>
  <sheetData>
    <row r="1" ht="12.75" customHeight="1" s="1883">
      <c r="A1" s="1998" t="n"/>
      <c r="C1" s="7" t="n"/>
      <c r="D1" s="10" t="n"/>
      <c r="E1" s="10" t="n"/>
      <c r="F1" s="10" t="n"/>
      <c r="G1" s="10" t="n"/>
      <c r="H1" s="10" t="n"/>
      <c r="I1" s="7" t="n"/>
    </row>
    <row r="2" ht="12.75" customHeight="1" s="1883">
      <c r="A2" s="7" t="n"/>
      <c r="B2" s="7" t="n"/>
      <c r="C2" s="7" t="n"/>
      <c r="D2" s="10" t="n"/>
      <c r="E2" s="10" t="n"/>
      <c r="F2" s="10" t="n"/>
      <c r="G2" s="10" t="n"/>
      <c r="H2" s="10" t="n"/>
      <c r="I2" s="7" t="n"/>
    </row>
    <row r="3" ht="12.75" customHeight="1" s="1883">
      <c r="A3" s="7" t="n"/>
      <c r="B3" s="35" t="inlineStr">
        <is>
          <t>Summary</t>
        </is>
      </c>
      <c r="C3" s="7" t="n"/>
      <c r="D3" s="10" t="n"/>
      <c r="E3" s="10" t="n"/>
      <c r="F3" s="10" t="n"/>
      <c r="G3" s="10" t="n"/>
      <c r="H3" s="10" t="n"/>
      <c r="I3" s="7" t="n"/>
    </row>
    <row r="4" ht="12.75" customHeight="1" s="1883">
      <c r="A4" s="7" t="n"/>
      <c r="B4" s="9" t="n"/>
      <c r="C4" s="7" t="n"/>
      <c r="D4" s="10" t="n"/>
      <c r="E4" s="25" t="inlineStr">
        <is>
          <t>For the Year Ending</t>
        </is>
      </c>
      <c r="F4" s="25" t="n"/>
      <c r="G4" s="25" t="n"/>
      <c r="H4" s="25" t="n"/>
      <c r="I4" s="25" t="n"/>
    </row>
    <row r="5" ht="12.75" customHeight="1" s="1883">
      <c r="A5" s="7" t="n"/>
      <c r="B5" s="1350" t="n"/>
      <c r="C5" s="1350" t="n"/>
      <c r="D5" s="1431" t="inlineStr">
        <is>
          <t>Ramp Up Year</t>
        </is>
      </c>
      <c r="E5" s="1432" t="inlineStr">
        <is>
          <t>FY1</t>
        </is>
      </c>
      <c r="F5" s="1432" t="inlineStr">
        <is>
          <t>FY2</t>
        </is>
      </c>
      <c r="G5" s="1432" t="inlineStr">
        <is>
          <t>FY3</t>
        </is>
      </c>
      <c r="H5" s="1432" t="inlineStr">
        <is>
          <t>FY4</t>
        </is>
      </c>
      <c r="I5" s="1432" t="inlineStr">
        <is>
          <t>FY5</t>
        </is>
      </c>
    </row>
    <row r="6" ht="12.75" customHeight="1" s="1883">
      <c r="A6" s="7" t="n"/>
      <c r="B6" s="25" t="n"/>
      <c r="C6" s="25" t="n"/>
      <c r="D6" s="10" t="n"/>
      <c r="E6" s="36" t="n"/>
      <c r="F6" s="36" t="n"/>
      <c r="G6" s="36" t="n"/>
      <c r="H6" s="36" t="n"/>
      <c r="I6" s="36" t="n"/>
    </row>
    <row r="7" ht="12.75" customHeight="1" s="1883">
      <c r="A7" s="7" t="n"/>
      <c r="B7" s="37" t="inlineStr">
        <is>
          <t>Total Revenues</t>
        </is>
      </c>
      <c r="C7" s="25" t="n"/>
      <c r="D7" s="14" t="n"/>
      <c r="E7" s="14">
        <f>+SUM('Income Statement'!Q11:AB11)</f>
        <v/>
      </c>
      <c r="F7" s="14">
        <f>+SUM('Income Statement'!AC11:AN11)</f>
        <v/>
      </c>
      <c r="G7" s="14">
        <f>+SUM('Income Statement'!AO11:AZ11)</f>
        <v/>
      </c>
      <c r="H7" s="14">
        <f>+SUM('Income Statement'!BA11:BL11)</f>
        <v/>
      </c>
      <c r="I7" s="14">
        <f>+SUM('Income Statement'!BM11:BX11)</f>
        <v/>
      </c>
    </row>
    <row r="8" ht="12.75" customHeight="1" s="1883">
      <c r="A8" s="7" t="n"/>
      <c r="B8" s="37" t="inlineStr">
        <is>
          <t>Total Direct Cost</t>
        </is>
      </c>
      <c r="C8" s="25" t="n"/>
      <c r="D8" s="14" t="n"/>
      <c r="E8" s="38">
        <f>+SUM('Income Statement'!Q16:AB16)</f>
        <v/>
      </c>
      <c r="F8" s="38">
        <f>+SUM('Income Statement'!AC16:AN16)</f>
        <v/>
      </c>
      <c r="G8" s="38">
        <f>+SUM('Income Statement'!AO16:AZ16)</f>
        <v/>
      </c>
      <c r="H8" s="38">
        <f>+SUM('Income Statement'!BA16:BL16)</f>
        <v/>
      </c>
      <c r="I8" s="38">
        <f>+SUM('Income Statement'!BM16:BX16)</f>
        <v/>
      </c>
    </row>
    <row r="9" ht="12.75" customHeight="1" s="1883">
      <c r="A9" s="7" t="n"/>
      <c r="B9" s="37" t="inlineStr">
        <is>
          <t xml:space="preserve">Gross profit  </t>
        </is>
      </c>
      <c r="C9" s="25" t="n"/>
      <c r="D9" s="1433" t="n"/>
      <c r="E9" s="1433">
        <f>+E7-E8</f>
        <v/>
      </c>
      <c r="F9" s="1433">
        <f>+F7-F8</f>
        <v/>
      </c>
      <c r="G9" s="1433">
        <f>+G7-G8</f>
        <v/>
      </c>
      <c r="H9" s="1433">
        <f>+H7-H8</f>
        <v/>
      </c>
      <c r="I9" s="1433">
        <f>+I7-I8</f>
        <v/>
      </c>
    </row>
    <row r="10" ht="12.75" customHeight="1" s="1883">
      <c r="A10" s="7" t="n"/>
      <c r="B10" s="39" t="inlineStr">
        <is>
          <t>Gross Profit Margin (%)</t>
        </is>
      </c>
      <c r="C10" s="40" t="n"/>
      <c r="D10" s="14" t="n"/>
      <c r="E10" s="41">
        <f>_xlfn.SINGLE((E9 / E7))</f>
        <v/>
      </c>
      <c r="F10" s="41">
        <f>_xlfn.SINGLE((F9 / F7))</f>
        <v/>
      </c>
      <c r="G10" s="41">
        <f>_xlfn.SINGLE((G9 / G7))</f>
        <v/>
      </c>
      <c r="H10" s="41">
        <f>_xlfn.SINGLE((H9 / H7))</f>
        <v/>
      </c>
      <c r="I10" s="41">
        <f>_xlfn.SINGLE((I9 / I7))</f>
        <v/>
      </c>
    </row>
    <row r="11" ht="12.75" customHeight="1" s="1883">
      <c r="A11" s="7" t="n"/>
      <c r="B11" s="7" t="inlineStr">
        <is>
          <t>SG&amp;A</t>
        </is>
      </c>
      <c r="C11" s="18" t="n"/>
      <c r="D11" s="14">
        <f>+SUM('Income Statement'!E25:P25)</f>
        <v/>
      </c>
      <c r="E11" s="38">
        <f>+SUM('Income Statement'!Q25:AB25)</f>
        <v/>
      </c>
      <c r="F11" s="38">
        <f>+SUM('Income Statement'!AC25:AN25)</f>
        <v/>
      </c>
      <c r="G11" s="38">
        <f>+SUM('Income Statement'!AO25:AZ25)</f>
        <v/>
      </c>
      <c r="H11" s="38">
        <f>+SUM('Income Statement'!BA25:BL25)</f>
        <v/>
      </c>
      <c r="I11" s="38">
        <f>+SUM('Income Statement'!BM25:BX25)</f>
        <v/>
      </c>
    </row>
    <row r="12" ht="12.75" customHeight="1" s="1883">
      <c r="A12" s="7" t="n"/>
      <c r="B12" s="25" t="inlineStr">
        <is>
          <t>EBITDA</t>
        </is>
      </c>
      <c r="C12" s="42" t="n"/>
      <c r="D12" s="1433">
        <f>-D11</f>
        <v/>
      </c>
      <c r="E12" s="1433">
        <f>+E9-E11</f>
        <v/>
      </c>
      <c r="F12" s="1433">
        <f>+F9-F11</f>
        <v/>
      </c>
      <c r="G12" s="1433">
        <f>+G9-G11</f>
        <v/>
      </c>
      <c r="H12" s="1433">
        <f>+H9-H11</f>
        <v/>
      </c>
      <c r="I12" s="1433">
        <f>+I9-I11</f>
        <v/>
      </c>
    </row>
    <row r="13" ht="12.75" customHeight="1" s="1883">
      <c r="A13" s="7" t="n"/>
      <c r="B13" s="7" t="inlineStr">
        <is>
          <t>Depreciation</t>
        </is>
      </c>
      <c r="C13" s="18" t="n"/>
      <c r="D13" s="14" t="n"/>
      <c r="E13" s="14">
        <f>+E12/E7</f>
        <v/>
      </c>
      <c r="F13" s="14">
        <f>+F12/F7</f>
        <v/>
      </c>
      <c r="G13" s="14">
        <f>+G12/G7</f>
        <v/>
      </c>
      <c r="H13" s="14">
        <f>+H12/H7</f>
        <v/>
      </c>
      <c r="I13" s="14">
        <f>+I12/I7</f>
        <v/>
      </c>
    </row>
    <row r="14" ht="12.75" customHeight="1" s="1883">
      <c r="A14" s="7" t="n"/>
      <c r="B14" s="12">
        <f>'Income Statement'!C28</f>
        <v/>
      </c>
      <c r="C14" s="18" t="n"/>
      <c r="D14" s="14">
        <f>+SUM('Income Statement'!E28:P28)</f>
        <v/>
      </c>
      <c r="E14" s="38">
        <f>+SUM('Income Statement'!Q28:AB28)</f>
        <v/>
      </c>
      <c r="F14" s="38">
        <f>+SUM('Income Statement'!AC28:AN28)</f>
        <v/>
      </c>
      <c r="G14" s="38">
        <f>+SUM('Income Statement'!AO28:AZ28)</f>
        <v/>
      </c>
      <c r="H14" s="38">
        <f>+SUM('Income Statement'!BA28:BL28)</f>
        <v/>
      </c>
      <c r="I14" s="38">
        <f>+SUM('Income Statement'!BM28:BX28)</f>
        <v/>
      </c>
    </row>
    <row r="15" ht="12.75" customHeight="1" s="1883">
      <c r="A15" s="7" t="n"/>
      <c r="B15" s="7">
        <f>'Income Statement'!C29</f>
        <v/>
      </c>
      <c r="C15" s="18" t="n"/>
      <c r="D15" s="14">
        <f>+SUM('Income Statement'!E29:P29)</f>
        <v/>
      </c>
      <c r="E15" s="14">
        <f>+SUM('Income Statement'!Q29:AB29)</f>
        <v/>
      </c>
      <c r="F15" s="14">
        <f>+SUM('Income Statement'!AC29:AN29)</f>
        <v/>
      </c>
      <c r="G15" s="14">
        <f>+SUM('Income Statement'!AO29:AZ29)</f>
        <v/>
      </c>
      <c r="H15" s="14">
        <f>+SUM('Income Statement'!BA29:BL29)</f>
        <v/>
      </c>
      <c r="I15" s="14">
        <f>+SUM('Income Statement'!BM29:BX29)</f>
        <v/>
      </c>
    </row>
    <row r="16" ht="12.75" customHeight="1" s="1883">
      <c r="A16" s="7" t="n"/>
      <c r="B16" s="25" t="inlineStr">
        <is>
          <t>EBT</t>
        </is>
      </c>
      <c r="C16" s="18" t="n"/>
      <c r="D16" s="1433">
        <f>+D12-SUM(D14:D15)</f>
        <v/>
      </c>
      <c r="E16" s="1433">
        <f>+E12-SUM(E14:E15)</f>
        <v/>
      </c>
      <c r="F16" s="1433">
        <f>+F12-SUM(F14:F15)</f>
        <v/>
      </c>
      <c r="G16" s="1433">
        <f>+G12-SUM(G14:G15)</f>
        <v/>
      </c>
      <c r="H16" s="1433">
        <f>+H12-SUM(H14:H15)</f>
        <v/>
      </c>
      <c r="I16" s="1433">
        <f>+I12-SUM(I14:I15)</f>
        <v/>
      </c>
    </row>
    <row r="17" ht="12.75" customHeight="1" s="1883">
      <c r="A17" s="7" t="n"/>
      <c r="B17" s="7">
        <f>'Income Statement'!C32</f>
        <v/>
      </c>
      <c r="C17" s="18" t="n"/>
      <c r="D17" s="14">
        <f>+SUM('Income Statement'!E32:P32)</f>
        <v/>
      </c>
      <c r="E17" s="14">
        <f>+SUM('Income Statement'!Q32:AB32)</f>
        <v/>
      </c>
      <c r="F17" s="14">
        <f>+SUM('Income Statement'!AC32:AN32)</f>
        <v/>
      </c>
      <c r="G17" s="14">
        <f>+SUM('Income Statement'!AO32:AZ32)</f>
        <v/>
      </c>
      <c r="H17" s="14">
        <f>+SUM('Income Statement'!BA32:BL32)</f>
        <v/>
      </c>
      <c r="I17" s="14">
        <f>+SUM('Income Statement'!BM32:BX32)</f>
        <v/>
      </c>
    </row>
    <row r="18" ht="12.75" customHeight="1" s="1883">
      <c r="A18" s="7" t="n"/>
      <c r="B18" s="7">
        <f>'Income Statement'!C33</f>
        <v/>
      </c>
      <c r="C18" s="18" t="n"/>
      <c r="D18" s="14">
        <f>+SUM('Income Statement'!E33:P33)</f>
        <v/>
      </c>
      <c r="E18" s="14">
        <f>+SUM('Income Statement'!Q33:AB33)</f>
        <v/>
      </c>
      <c r="F18" s="14">
        <f>+SUM('Income Statement'!AC33:AN33)</f>
        <v/>
      </c>
      <c r="G18" s="14">
        <f>+SUM('Income Statement'!AO33:AZ33)</f>
        <v/>
      </c>
      <c r="H18" s="14">
        <f>+SUM('Income Statement'!BA33:BL33)</f>
        <v/>
      </c>
      <c r="I18" s="14">
        <f>+SUM('Income Statement'!BM33:BX33)</f>
        <v/>
      </c>
    </row>
    <row r="19" ht="12.75" customHeight="1" s="1883">
      <c r="A19" s="7" t="n"/>
      <c r="B19" s="25">
        <f>'Income Statement'!B34</f>
        <v/>
      </c>
      <c r="C19" s="18" t="n"/>
      <c r="D19" s="1433">
        <f>+D16+SUM(D17:D18)</f>
        <v/>
      </c>
      <c r="E19" s="1433">
        <f>+E16+SUM(E17:E18)</f>
        <v/>
      </c>
      <c r="F19" s="1433">
        <f>+F16+SUM(F17:F18)</f>
        <v/>
      </c>
      <c r="G19" s="1433">
        <f>+G16+SUM(G17:G18)</f>
        <v/>
      </c>
      <c r="H19" s="1433">
        <f>+H16+SUM(H17:H18)</f>
        <v/>
      </c>
      <c r="I19" s="1433">
        <f>+I16+SUM(I17:I18)</f>
        <v/>
      </c>
    </row>
    <row r="20" ht="12.75" customHeight="1" s="1883">
      <c r="A20" s="7" t="n"/>
      <c r="B20" s="43">
        <f>'Income Statement'!C38</f>
        <v/>
      </c>
      <c r="C20" s="18" t="n"/>
      <c r="D20" s="14">
        <f>+SUM('Income Statement'!E38:P38)</f>
        <v/>
      </c>
      <c r="E20" s="38">
        <f>+SUM('Income Statement'!Q38:AB38)</f>
        <v/>
      </c>
      <c r="F20" s="38">
        <f>+SUM('Income Statement'!AC38:AN38)</f>
        <v/>
      </c>
      <c r="G20" s="38">
        <f>+SUM('Income Statement'!AO38:AZ38)</f>
        <v/>
      </c>
      <c r="H20" s="38">
        <f>+SUM('Income Statement'!BA38:BL38)</f>
        <v/>
      </c>
      <c r="I20" s="38">
        <f>+SUM('Income Statement'!BM38:BX38)</f>
        <v/>
      </c>
    </row>
    <row r="21" ht="12.75" customHeight="1" s="1883">
      <c r="A21" s="7" t="n"/>
      <c r="B21" s="25" t="inlineStr">
        <is>
          <t>Net Income</t>
        </is>
      </c>
      <c r="C21" s="44" t="n"/>
      <c r="D21" s="14">
        <f>+D19-D20</f>
        <v/>
      </c>
      <c r="E21" s="45">
        <f>+E19-E20</f>
        <v/>
      </c>
      <c r="F21" s="45">
        <f>+F19-F20</f>
        <v/>
      </c>
      <c r="G21" s="45">
        <f>+G19-G20</f>
        <v/>
      </c>
      <c r="H21" s="45">
        <f>+H19-H20</f>
        <v/>
      </c>
      <c r="I21" s="45">
        <f>+I19-I20</f>
        <v/>
      </c>
    </row>
    <row r="22" ht="12.75" customHeight="1" s="1883">
      <c r="A22" s="25" t="n"/>
      <c r="B22" s="39" t="inlineStr">
        <is>
          <t>Net Profit (%)</t>
        </is>
      </c>
      <c r="C22" s="46" t="n"/>
      <c r="D22" s="47">
        <f>IF(D7=0,"-",D21/D7)</f>
        <v/>
      </c>
      <c r="E22" s="48">
        <f>_xlfn.SINGLE((E21 / E7))</f>
        <v/>
      </c>
      <c r="F22" s="48">
        <f>_xlfn.SINGLE((F21 / F7))</f>
        <v/>
      </c>
      <c r="G22" s="48">
        <f>_xlfn.SINGLE((G21 / G7))</f>
        <v/>
      </c>
      <c r="H22" s="48">
        <f>_xlfn.SINGLE((H21 / H7))</f>
        <v/>
      </c>
      <c r="I22" s="48">
        <f>_xlfn.SINGLE((I21 / I7))</f>
        <v/>
      </c>
    </row>
    <row r="23" ht="12.75" customHeight="1" s="1883">
      <c r="A23" s="25" t="n"/>
      <c r="B23" s="46" t="n"/>
      <c r="C23" s="46" t="n"/>
      <c r="D23" s="11" t="n"/>
      <c r="E23" s="47" t="n"/>
      <c r="F23" s="47" t="n"/>
      <c r="G23" s="47" t="n"/>
      <c r="H23" s="47" t="n"/>
      <c r="I23" s="47" t="n"/>
    </row>
    <row r="24" ht="12.75" customHeight="1" s="1883">
      <c r="A24" s="7" t="n"/>
      <c r="B24" s="7" t="n"/>
      <c r="C24" s="7" t="n"/>
      <c r="D24" s="10" t="n"/>
      <c r="E24" s="10" t="n"/>
      <c r="F24" s="10" t="n"/>
      <c r="G24" s="10" t="n"/>
      <c r="H24" s="10" t="n"/>
      <c r="I24" s="10" t="n"/>
    </row>
    <row r="25" ht="12.75" customHeight="1" s="1883">
      <c r="A25" s="7" t="n"/>
      <c r="B25" s="9" t="n"/>
      <c r="C25" s="7" t="n"/>
      <c r="D25" s="10" t="n"/>
      <c r="E25" s="25" t="inlineStr">
        <is>
          <t>For the Year Ending</t>
        </is>
      </c>
      <c r="F25" s="25" t="n"/>
      <c r="G25" s="25" t="n"/>
      <c r="H25" s="25" t="n"/>
      <c r="I25" s="25" t="n"/>
    </row>
    <row r="26" ht="12.75" customHeight="1" s="1883">
      <c r="A26" s="7" t="n"/>
      <c r="B26" s="1350" t="n"/>
      <c r="C26" s="1350" t="n"/>
      <c r="D26" s="1888" t="inlineStr">
        <is>
          <t>Ramp Up Year</t>
        </is>
      </c>
      <c r="E26" s="1432" t="inlineStr">
        <is>
          <t>FY1</t>
        </is>
      </c>
      <c r="F26" s="1432" t="inlineStr">
        <is>
          <t>FY2</t>
        </is>
      </c>
      <c r="G26" s="1432" t="inlineStr">
        <is>
          <t>FY3</t>
        </is>
      </c>
      <c r="H26" s="1432" t="inlineStr">
        <is>
          <t>FY4</t>
        </is>
      </c>
      <c r="I26" s="1432" t="inlineStr">
        <is>
          <t>FY5</t>
        </is>
      </c>
    </row>
    <row r="27" ht="12.75" customHeight="1" s="1883">
      <c r="A27" s="7" t="n"/>
      <c r="B27" s="1351" t="n"/>
      <c r="C27" s="1351" t="n"/>
      <c r="D27" s="1352" t="n"/>
      <c r="E27" s="1434" t="n"/>
      <c r="F27" s="1432" t="n"/>
      <c r="G27" s="1432" t="n"/>
      <c r="H27" s="1432" t="n"/>
      <c r="I27" s="1432" t="n"/>
    </row>
    <row r="28" ht="12.75" customHeight="1" s="1883">
      <c r="A28" s="7" t="n"/>
      <c r="B28" s="7" t="inlineStr">
        <is>
          <t>Assets</t>
        </is>
      </c>
      <c r="C28" s="7" t="n"/>
      <c r="D28" s="10" t="n"/>
      <c r="E28" s="10" t="n"/>
      <c r="F28" s="10" t="n"/>
      <c r="G28" s="10" t="n"/>
      <c r="H28" s="10" t="n"/>
      <c r="I28" s="10" t="n"/>
    </row>
    <row r="29" ht="12.75" customHeight="1" s="1883">
      <c r="A29" s="7" t="n"/>
      <c r="B29" s="49" t="inlineStr">
        <is>
          <t>Current Assets</t>
        </is>
      </c>
      <c r="C29" s="7" t="n"/>
      <c r="D29" s="10" t="n"/>
      <c r="E29" s="10" t="n"/>
      <c r="F29" s="10" t="n"/>
      <c r="G29" s="10" t="n"/>
      <c r="H29" s="10" t="n"/>
      <c r="I29" s="10" t="n"/>
    </row>
    <row r="30" ht="12.75" customHeight="1" s="1883">
      <c r="A30" s="7" t="n"/>
      <c r="B30" s="49" t="inlineStr">
        <is>
          <t>Cash</t>
        </is>
      </c>
      <c r="C30" s="7" t="n"/>
      <c r="D30" s="14">
        <f>+'Balance Sheet'!P9</f>
        <v/>
      </c>
      <c r="E30" s="14">
        <f>+'Balance Sheet'!AB9</f>
        <v/>
      </c>
      <c r="F30" s="14">
        <f>+'Balance Sheet'!AN9</f>
        <v/>
      </c>
      <c r="G30" s="14">
        <f>+'Balance Sheet'!AZ9</f>
        <v/>
      </c>
      <c r="H30" s="14">
        <f>+'Balance Sheet'!BL9</f>
        <v/>
      </c>
      <c r="I30" s="14">
        <f>+'Balance Sheet'!BX9</f>
        <v/>
      </c>
    </row>
    <row r="31" ht="12.75" customHeight="1" s="1883">
      <c r="A31" s="7" t="n"/>
      <c r="B31" s="49" t="inlineStr">
        <is>
          <t>Inventory - all</t>
        </is>
      </c>
      <c r="C31" s="7" t="n"/>
      <c r="D31" s="14">
        <f>+'Balance Sheet'!P10+'Balance Sheet'!P13</f>
        <v/>
      </c>
      <c r="E31" s="14">
        <f>+'Balance Sheet'!AB10+'Balance Sheet'!AB13</f>
        <v/>
      </c>
      <c r="F31" s="14">
        <f>+'Balance Sheet'!AN10+'Balance Sheet'!AN13</f>
        <v/>
      </c>
      <c r="G31" s="14">
        <f>+'Balance Sheet'!AZ10+'Balance Sheet'!AZ13</f>
        <v/>
      </c>
      <c r="H31" s="14">
        <f>+'Balance Sheet'!BL10+'Balance Sheet'!BL13</f>
        <v/>
      </c>
      <c r="I31" s="14">
        <f>+'Balance Sheet'!BX10+'Balance Sheet'!BX13</f>
        <v/>
      </c>
    </row>
    <row r="32" ht="12.75" customHeight="1" s="1883">
      <c r="A32" s="7" t="n"/>
      <c r="B32" s="49" t="inlineStr">
        <is>
          <t>Other Current Assets</t>
        </is>
      </c>
      <c r="C32" s="7" t="n"/>
      <c r="D32" s="14">
        <f>+'Balance Sheet'!P11+'Balance Sheet'!P12</f>
        <v/>
      </c>
      <c r="E32" s="14">
        <f>+'Balance Sheet'!AB11+'Balance Sheet'!AB12</f>
        <v/>
      </c>
      <c r="F32" s="14">
        <f>+'Balance Sheet'!AN11+'Balance Sheet'!AN12</f>
        <v/>
      </c>
      <c r="G32" s="14">
        <f>+'Balance Sheet'!AZ11+'Balance Sheet'!AZ12</f>
        <v/>
      </c>
      <c r="H32" s="14">
        <f>+'Balance Sheet'!BL11+'Balance Sheet'!BL12</f>
        <v/>
      </c>
      <c r="I32" s="14">
        <f>+'Balance Sheet'!BX11+'Balance Sheet'!BX12</f>
        <v/>
      </c>
    </row>
    <row r="33" ht="12.75" customHeight="1" s="1883">
      <c r="A33" s="7" t="n"/>
      <c r="B33" s="49" t="inlineStr">
        <is>
          <t>Total Current Assets</t>
        </is>
      </c>
      <c r="C33" s="7" t="n"/>
      <c r="D33" s="1433">
        <f>SUM(D30:D32)</f>
        <v/>
      </c>
      <c r="E33" s="1433">
        <f>SUM(E30:E32)</f>
        <v/>
      </c>
      <c r="F33" s="1433">
        <f>SUM(F30:F32)</f>
        <v/>
      </c>
      <c r="G33" s="1433">
        <f>SUM(G30:G32)</f>
        <v/>
      </c>
      <c r="H33" s="1433">
        <f>SUM(H30:H32)</f>
        <v/>
      </c>
      <c r="I33" s="1433">
        <f>SUM(I30:I32)</f>
        <v/>
      </c>
    </row>
    <row r="34" ht="12.75" customHeight="1" s="1883">
      <c r="A34" s="7" t="n"/>
      <c r="B34" s="7" t="n"/>
      <c r="C34" s="7" t="n"/>
      <c r="D34" s="14" t="n"/>
      <c r="E34" s="14" t="n"/>
      <c r="F34" s="14" t="n"/>
      <c r="G34" s="14" t="n"/>
      <c r="H34" s="14" t="n"/>
      <c r="I34" s="14" t="n"/>
    </row>
    <row r="35" ht="12.75" customHeight="1" s="1883">
      <c r="A35" s="7" t="n"/>
      <c r="B35" s="49" t="inlineStr">
        <is>
          <t>PP&amp;E</t>
        </is>
      </c>
      <c r="C35" s="7" t="n"/>
      <c r="D35" s="14">
        <f>+'Balance Sheet'!P19</f>
        <v/>
      </c>
      <c r="E35" s="14">
        <f>+'Balance Sheet'!AB19</f>
        <v/>
      </c>
      <c r="F35" s="14">
        <f>+'Balance Sheet'!AN19</f>
        <v/>
      </c>
      <c r="G35" s="14">
        <f>+'Balance Sheet'!AZ19</f>
        <v/>
      </c>
      <c r="H35" s="14">
        <f>+'Balance Sheet'!BL19</f>
        <v/>
      </c>
      <c r="I35" s="14">
        <f>+'Balance Sheet'!BX19</f>
        <v/>
      </c>
    </row>
    <row r="36" ht="12.75" customHeight="1" s="1883">
      <c r="A36" s="7" t="n"/>
      <c r="B36" s="49" t="inlineStr">
        <is>
          <t>Intangible Assets</t>
        </is>
      </c>
      <c r="C36" s="7" t="n"/>
      <c r="D36" s="14">
        <f>+'Balance Sheet'!P22</f>
        <v/>
      </c>
      <c r="E36" s="14">
        <f>+'Balance Sheet'!AB22</f>
        <v/>
      </c>
      <c r="F36" s="14">
        <f>+'Balance Sheet'!AN22</f>
        <v/>
      </c>
      <c r="G36" s="14">
        <f>+'Balance Sheet'!AZ22</f>
        <v/>
      </c>
      <c r="H36" s="14">
        <f>+'Balance Sheet'!BL22</f>
        <v/>
      </c>
      <c r="I36" s="14">
        <f>+'Balance Sheet'!BX22</f>
        <v/>
      </c>
    </row>
    <row r="37" ht="12.75" customHeight="1" s="1883">
      <c r="A37" s="7" t="n"/>
      <c r="B37" s="7" t="inlineStr">
        <is>
          <t>Total Assets</t>
        </is>
      </c>
      <c r="C37" s="7" t="n"/>
      <c r="D37" s="50">
        <f>+D33+SUM(D35:D36)</f>
        <v/>
      </c>
      <c r="E37" s="50">
        <f>+E33+SUM(E35:E36)</f>
        <v/>
      </c>
      <c r="F37" s="50">
        <f>+F33+SUM(F35:F36)</f>
        <v/>
      </c>
      <c r="G37" s="50">
        <f>+G33+SUM(G35:G36)</f>
        <v/>
      </c>
      <c r="H37" s="50">
        <f>+H33+SUM(H35:H36)</f>
        <v/>
      </c>
      <c r="I37" s="50">
        <f>+I33+SUM(I35:I36)</f>
        <v/>
      </c>
    </row>
    <row r="38" ht="8.25" customHeight="1" s="1883">
      <c r="A38" s="7" t="n"/>
      <c r="B38" s="7" t="n"/>
      <c r="C38" s="7" t="n"/>
      <c r="D38" s="14" t="n"/>
      <c r="E38" s="14" t="n"/>
      <c r="F38" s="14" t="n"/>
      <c r="G38" s="14" t="n"/>
      <c r="H38" s="14" t="n"/>
      <c r="I38" s="14" t="n"/>
    </row>
    <row r="39" ht="12.75" customHeight="1" s="1883">
      <c r="A39" s="7" t="n"/>
      <c r="B39" s="7" t="inlineStr">
        <is>
          <t>Liabilities</t>
        </is>
      </c>
      <c r="C39" s="7" t="n"/>
      <c r="D39" s="14" t="n"/>
      <c r="E39" s="14" t="n"/>
      <c r="F39" s="14" t="n"/>
      <c r="G39" s="14" t="n"/>
      <c r="H39" s="14" t="n"/>
      <c r="I39" s="14" t="n"/>
    </row>
    <row r="40" ht="12.75" customHeight="1" s="1883">
      <c r="A40" s="7" t="n"/>
      <c r="B40" s="49" t="inlineStr">
        <is>
          <t>Current Liabilities</t>
        </is>
      </c>
      <c r="C40" s="7" t="n"/>
      <c r="D40" s="14" t="n"/>
      <c r="E40" s="14" t="n"/>
      <c r="F40" s="14" t="n"/>
      <c r="G40" s="14" t="n"/>
      <c r="H40" s="14" t="n"/>
      <c r="I40" s="14" t="n"/>
    </row>
    <row r="41" ht="12.75" customHeight="1" s="1883">
      <c r="A41" s="7" t="n"/>
      <c r="B41" s="49" t="inlineStr">
        <is>
          <t>Trade Finance</t>
        </is>
      </c>
      <c r="C41" s="7" t="n"/>
      <c r="D41" s="14">
        <f>+'Balance Sheet'!P27</f>
        <v/>
      </c>
      <c r="E41" s="14">
        <f>+'Balance Sheet'!AB27</f>
        <v/>
      </c>
      <c r="F41" s="14">
        <f>+'Balance Sheet'!AN27</f>
        <v/>
      </c>
      <c r="G41" s="14">
        <f>+'Balance Sheet'!AZ27</f>
        <v/>
      </c>
      <c r="H41" s="14">
        <f>+'Balance Sheet'!BL27</f>
        <v/>
      </c>
      <c r="I41" s="14">
        <f>+'Balance Sheet'!BX27</f>
        <v/>
      </c>
    </row>
    <row r="42" ht="12.75" customHeight="1" s="1883">
      <c r="A42" s="7" t="n"/>
      <c r="B42" s="49" t="inlineStr">
        <is>
          <t>Other Current Liabilities</t>
        </is>
      </c>
      <c r="C42" s="7" t="n"/>
      <c r="D42" s="14">
        <f>+'Balance Sheet'!P28+'Balance Sheet'!P29+'Balance Sheet'!P30</f>
        <v/>
      </c>
      <c r="E42" s="14">
        <f>+'Balance Sheet'!AB28+'Balance Sheet'!AB29+'Balance Sheet'!AB30</f>
        <v/>
      </c>
      <c r="F42" s="14">
        <f>+'Balance Sheet'!AN28+'Balance Sheet'!AN29+'Balance Sheet'!AN30</f>
        <v/>
      </c>
      <c r="G42" s="14">
        <f>+'Balance Sheet'!AZ28+'Balance Sheet'!AZ29+'Balance Sheet'!AZ30</f>
        <v/>
      </c>
      <c r="H42" s="14">
        <f>+'Balance Sheet'!BL28+'Balance Sheet'!BL29+'Balance Sheet'!BL30</f>
        <v/>
      </c>
      <c r="I42" s="14">
        <f>+'Balance Sheet'!BX28+'Balance Sheet'!BX29+'Balance Sheet'!BX30</f>
        <v/>
      </c>
    </row>
    <row r="43" ht="12.75" customHeight="1" s="1883">
      <c r="A43" s="7" t="n"/>
      <c r="B43" s="49" t="inlineStr">
        <is>
          <t>Total Current Liabilities</t>
        </is>
      </c>
      <c r="C43" s="7" t="n"/>
      <c r="D43" s="1433">
        <f>SUM(D41:D42)</f>
        <v/>
      </c>
      <c r="E43" s="1433">
        <f>SUM(E41:E42)</f>
        <v/>
      </c>
      <c r="F43" s="1433">
        <f>SUM(F41:F42)</f>
        <v/>
      </c>
      <c r="G43" s="1433">
        <f>SUM(G41:G42)</f>
        <v/>
      </c>
      <c r="H43" s="1433">
        <f>SUM(H41:H42)</f>
        <v/>
      </c>
      <c r="I43" s="1433">
        <f>SUM(I41:I42)</f>
        <v/>
      </c>
    </row>
    <row r="44" ht="12.75" customHeight="1" s="1883">
      <c r="A44" s="7" t="n"/>
      <c r="B44" s="49" t="inlineStr">
        <is>
          <t>Long Term Debt</t>
        </is>
      </c>
      <c r="C44" s="7" t="n"/>
      <c r="D44" s="14">
        <f>+'Balance Sheet'!P32+'Balance Sheet'!P33</f>
        <v/>
      </c>
      <c r="E44" s="14">
        <f>+'Balance Sheet'!AB33</f>
        <v/>
      </c>
      <c r="F44" s="14">
        <f>+'Balance Sheet'!AN33</f>
        <v/>
      </c>
      <c r="G44" s="14">
        <f>+'Balance Sheet'!AZ33</f>
        <v/>
      </c>
      <c r="H44" s="14">
        <f>+'Balance Sheet'!BL33</f>
        <v/>
      </c>
      <c r="I44" s="14">
        <f>+'Balance Sheet'!BX33</f>
        <v/>
      </c>
    </row>
    <row r="45" ht="12.75" customHeight="1" s="1883">
      <c r="A45" s="7" t="n"/>
      <c r="B45" s="7" t="inlineStr">
        <is>
          <t>Total Liabilities</t>
        </is>
      </c>
      <c r="C45" s="7" t="n"/>
      <c r="D45" s="1433">
        <f>SUM(D43:D44)</f>
        <v/>
      </c>
      <c r="E45" s="1433">
        <f>SUM(E43:E44)</f>
        <v/>
      </c>
      <c r="F45" s="1433">
        <f>SUM(F43:F44)</f>
        <v/>
      </c>
      <c r="G45" s="1433">
        <f>SUM(G43:G44)</f>
        <v/>
      </c>
      <c r="H45" s="1433">
        <f>SUM(H43:H44)</f>
        <v/>
      </c>
      <c r="I45" s="1433">
        <f>SUM(I43:I44)</f>
        <v/>
      </c>
    </row>
    <row r="46" ht="6" customHeight="1" s="1883">
      <c r="A46" s="7" t="n"/>
      <c r="B46" s="7" t="n"/>
      <c r="C46" s="7" t="n"/>
      <c r="D46" s="14" t="n"/>
      <c r="E46" s="14" t="n"/>
      <c r="F46" s="14" t="n"/>
      <c r="G46" s="14" t="n"/>
      <c r="H46" s="14" t="n"/>
      <c r="I46" s="14" t="n"/>
    </row>
    <row r="47" ht="12.75" customHeight="1" s="1883">
      <c r="A47" s="7" t="n"/>
      <c r="B47" s="49" t="inlineStr">
        <is>
          <t>Equity</t>
        </is>
      </c>
      <c r="C47" s="7" t="n"/>
      <c r="D47" s="14">
        <f>+'Balance Sheet'!P38</f>
        <v/>
      </c>
      <c r="E47" s="14">
        <f>+'Balance Sheet'!AB38</f>
        <v/>
      </c>
      <c r="F47" s="14">
        <f>+'Balance Sheet'!AN38</f>
        <v/>
      </c>
      <c r="G47" s="14">
        <f>+'Balance Sheet'!AZ38</f>
        <v/>
      </c>
      <c r="H47" s="14">
        <f>+'Balance Sheet'!BL38</f>
        <v/>
      </c>
      <c r="I47" s="14">
        <f>+'Balance Sheet'!BX38</f>
        <v/>
      </c>
    </row>
    <row r="48" ht="12.75" customHeight="1" s="1883">
      <c r="A48" s="7" t="n"/>
      <c r="B48" s="7" t="inlineStr">
        <is>
          <t>Total Equity &amp; Liabilities</t>
        </is>
      </c>
      <c r="C48" s="7" t="n"/>
      <c r="D48" s="50">
        <f>+D45+D47</f>
        <v/>
      </c>
      <c r="E48" s="50">
        <f>+E45+E47</f>
        <v/>
      </c>
      <c r="F48" s="50">
        <f>+F45+F47</f>
        <v/>
      </c>
      <c r="G48" s="50">
        <f>+G45+G47</f>
        <v/>
      </c>
      <c r="H48" s="50">
        <f>+H45+H47</f>
        <v/>
      </c>
      <c r="I48" s="50">
        <f>+I45+I47</f>
        <v/>
      </c>
    </row>
    <row r="49" ht="12.75" customHeight="1" s="1883">
      <c r="B49" s="7" t="n"/>
      <c r="C49" s="7" t="n"/>
      <c r="D49" s="10" t="n"/>
      <c r="E49" s="10" t="n">
        <v>1</v>
      </c>
      <c r="F49" s="10" t="n">
        <v>2</v>
      </c>
      <c r="G49" s="10" t="n">
        <v>3</v>
      </c>
      <c r="H49" s="10" t="n">
        <v>4</v>
      </c>
      <c r="I49" s="10" t="n">
        <v>5</v>
      </c>
    </row>
    <row r="50" ht="15.75" customHeight="1" s="1883">
      <c r="B50" s="7" t="n"/>
      <c r="C50" s="7" t="n"/>
      <c r="D50" s="10" t="n"/>
      <c r="E50" s="10" t="n"/>
      <c r="F50" s="10" t="n"/>
      <c r="G50" s="10" t="n"/>
      <c r="H50" s="10" t="n"/>
      <c r="I50" s="7" t="n"/>
    </row>
    <row r="51" hidden="1" ht="12.75" customHeight="1" s="1883">
      <c r="B51" s="13" t="inlineStr">
        <is>
          <t>EBT</t>
        </is>
      </c>
      <c r="C51" s="12" t="n"/>
      <c r="D51" s="20">
        <f>+D16</f>
        <v/>
      </c>
      <c r="E51" s="20">
        <f>+E16</f>
        <v/>
      </c>
      <c r="F51" s="20">
        <f>+F16</f>
        <v/>
      </c>
      <c r="G51" s="20">
        <f>+G16</f>
        <v/>
      </c>
      <c r="H51" s="20">
        <f>+H16</f>
        <v/>
      </c>
      <c r="I51" s="20">
        <f>+I16</f>
        <v/>
      </c>
    </row>
    <row r="52" hidden="1" ht="12.75" customHeight="1" s="1883">
      <c r="B52" s="13" t="inlineStr">
        <is>
          <t>Add: Interest</t>
        </is>
      </c>
      <c r="C52" s="12" t="n"/>
      <c r="D52" s="20">
        <f>+D15</f>
        <v/>
      </c>
      <c r="E52" s="20">
        <f>+E15</f>
        <v/>
      </c>
      <c r="F52" s="20">
        <f>+F15</f>
        <v/>
      </c>
      <c r="G52" s="20">
        <f>+G15</f>
        <v/>
      </c>
      <c r="H52" s="20">
        <f>+H15</f>
        <v/>
      </c>
      <c r="I52" s="20">
        <f>+I15</f>
        <v/>
      </c>
    </row>
    <row r="53" hidden="1" ht="12.75" customHeight="1" s="1883">
      <c r="B53" s="16" t="inlineStr">
        <is>
          <t>Less: Taxes</t>
        </is>
      </c>
      <c r="C53" s="7" t="n"/>
      <c r="D53" s="20">
        <f>-D20</f>
        <v/>
      </c>
      <c r="E53" s="20">
        <f>-E20</f>
        <v/>
      </c>
      <c r="F53" s="20">
        <f>-F20</f>
        <v/>
      </c>
      <c r="G53" s="20">
        <f>-G20</f>
        <v/>
      </c>
      <c r="H53" s="20">
        <f>-H20</f>
        <v/>
      </c>
      <c r="I53" s="20">
        <f>-I20</f>
        <v/>
      </c>
    </row>
    <row r="54" hidden="1" ht="12.75" customHeight="1" s="1883">
      <c r="B54" s="16" t="inlineStr">
        <is>
          <t>Add: Non Cash Charges</t>
        </is>
      </c>
      <c r="C54" s="17" t="n"/>
      <c r="D54" s="20">
        <f>+D14</f>
        <v/>
      </c>
      <c r="E54" s="20">
        <f>+E14</f>
        <v/>
      </c>
      <c r="F54" s="20">
        <f>+F14</f>
        <v/>
      </c>
      <c r="G54" s="20">
        <f>+G14</f>
        <v/>
      </c>
      <c r="H54" s="20">
        <f>+H14</f>
        <v/>
      </c>
      <c r="I54" s="20">
        <f>+I14</f>
        <v/>
      </c>
    </row>
    <row r="55" hidden="1" ht="12.75" customHeight="1" s="1883">
      <c r="B55" s="16" t="inlineStr">
        <is>
          <t>Less: CAPEX</t>
        </is>
      </c>
      <c r="C55" s="12" t="n"/>
      <c r="D55" s="20">
        <f>+C35-D35-D14</f>
        <v/>
      </c>
      <c r="E55" s="20">
        <f>+D35-E35-E14</f>
        <v/>
      </c>
      <c r="F55" s="20">
        <f>+E35-F35-F14</f>
        <v/>
      </c>
      <c r="G55" s="20">
        <f>+F35-G35-G14</f>
        <v/>
      </c>
      <c r="H55" s="20">
        <f>+G35-H35-H14</f>
        <v/>
      </c>
      <c r="I55" s="20">
        <f>+H35-I35-I14</f>
        <v/>
      </c>
    </row>
    <row r="56" hidden="1" ht="12.75" customHeight="1" s="1883">
      <c r="B56" s="16" t="inlineStr">
        <is>
          <t>Less: Changes in Working Capital</t>
        </is>
      </c>
      <c r="C56" s="17" t="n"/>
      <c r="D56" s="20">
        <f>-((SUM(C31:C32)-SUM(D31:D32))+(D42-C42))</f>
        <v/>
      </c>
      <c r="E56" s="20">
        <f>-((SUM(D31:D32)-SUM(E31:E32))+(E42-D42))</f>
        <v/>
      </c>
      <c r="F56" s="20">
        <f>-((SUM(E31:E32)-SUM(F31:F32))+(F42-E42))</f>
        <v/>
      </c>
      <c r="G56" s="20">
        <f>-((SUM(F31:F32)-SUM(G31:G32))+(G42-F42))</f>
        <v/>
      </c>
      <c r="H56" s="20">
        <f>-((SUM(G31:G32)-SUM(H31:H32))+(H42-G42))</f>
        <v/>
      </c>
      <c r="I56" s="20">
        <f>-((SUM(H31:H32)-SUM(I31:I32))+(I42-H42))</f>
        <v/>
      </c>
    </row>
    <row r="57" hidden="1" ht="12.75" customHeight="1" s="1883">
      <c r="B57" s="16" t="n"/>
      <c r="C57" s="12" t="n"/>
      <c r="D57" s="20" t="n"/>
      <c r="E57" s="20" t="n"/>
      <c r="F57" s="20" t="n"/>
      <c r="G57" s="20" t="n"/>
      <c r="H57" s="20" t="n"/>
      <c r="I57" s="20" t="n"/>
    </row>
    <row r="58" hidden="1" ht="12.75" customHeight="1" s="1883">
      <c r="B58" s="16" t="inlineStr">
        <is>
          <t>Free Cash Flow to the Firm</t>
        </is>
      </c>
      <c r="C58" s="17" t="n"/>
      <c r="D58" s="20">
        <f>SUM(D51:D56)</f>
        <v/>
      </c>
      <c r="E58" s="20">
        <f>SUM(E51:E56)</f>
        <v/>
      </c>
      <c r="F58" s="20">
        <f>SUM(F51:F56)</f>
        <v/>
      </c>
      <c r="G58" s="20">
        <f>SUM(G51:G56)</f>
        <v/>
      </c>
      <c r="H58" s="20">
        <f>SUM(H51:H56)</f>
        <v/>
      </c>
      <c r="I58" s="20">
        <f>SUM(I51:I56)</f>
        <v/>
      </c>
    </row>
    <row r="59" hidden="1" ht="12.75" customHeight="1" s="1883">
      <c r="B59" s="16" t="n"/>
      <c r="C59" s="17" t="n"/>
      <c r="D59" s="20" t="n"/>
      <c r="E59" s="20" t="n"/>
      <c r="F59" s="20" t="n"/>
      <c r="G59" s="20" t="n"/>
      <c r="H59" s="20" t="n"/>
      <c r="I59" s="20" t="n"/>
    </row>
    <row r="60" hidden="1" ht="12.75" customHeight="1" s="1883">
      <c r="B60" s="16" t="inlineStr">
        <is>
          <t>Discount Rate</t>
        </is>
      </c>
      <c r="C60" s="12" t="n"/>
      <c r="D60" s="1435" t="n">
        <v>0.75</v>
      </c>
      <c r="E60" s="20" t="n"/>
      <c r="F60" s="20" t="n"/>
      <c r="G60" s="20" t="n"/>
      <c r="H60" s="20" t="n"/>
      <c r="I60" s="20" t="n"/>
    </row>
    <row r="61" hidden="1" ht="12.75" customHeight="1" s="1883">
      <c r="B61" s="13" t="inlineStr">
        <is>
          <t>PV CF</t>
        </is>
      </c>
      <c r="C61" s="19" t="n"/>
      <c r="D61" s="20">
        <f>+D58/((1+$D60)^D49)</f>
        <v/>
      </c>
      <c r="E61" s="20">
        <f>+E58/((1+$D60)^E49)</f>
        <v/>
      </c>
      <c r="F61" s="20">
        <f>+F58/((1+$D60)^F49)</f>
        <v/>
      </c>
      <c r="G61" s="20">
        <f>+G58/((1+$D60)^G49)</f>
        <v/>
      </c>
      <c r="H61" s="20">
        <f>+H58/((1+$D60)^H49)</f>
        <v/>
      </c>
      <c r="I61" s="20">
        <f>+I58/((1+$D60)^I49)</f>
        <v/>
      </c>
    </row>
    <row r="62" hidden="1" ht="12.75" customHeight="1" s="1883">
      <c r="B62" s="16" t="n"/>
      <c r="C62" s="17" t="n"/>
      <c r="D62" s="12" t="n"/>
      <c r="E62" s="20" t="n"/>
      <c r="F62" s="20" t="n"/>
      <c r="G62" s="20" t="n"/>
      <c r="H62" s="20" t="n"/>
      <c r="I62" s="20" t="n"/>
    </row>
    <row r="63" hidden="1" ht="12.75" customHeight="1" s="1883">
      <c r="B63" s="16" t="inlineStr">
        <is>
          <t>Implied Discounted Free Cash Flows</t>
        </is>
      </c>
      <c r="C63" s="12" t="n"/>
      <c r="D63" s="12" t="n"/>
      <c r="E63" s="20">
        <f>SUM(D61:I61)</f>
        <v/>
      </c>
      <c r="F63" s="20" t="n"/>
      <c r="G63" s="20" t="n"/>
      <c r="H63" s="51" t="inlineStr">
        <is>
          <t>Terminal Value Calculation</t>
        </is>
      </c>
      <c r="I63" s="1436" t="n"/>
    </row>
    <row r="64" hidden="1" ht="12.75" customHeight="1" s="1883">
      <c r="B64" s="16" t="inlineStr">
        <is>
          <t>Terminal Value</t>
        </is>
      </c>
      <c r="C64" s="17" t="n"/>
      <c r="D64" s="12" t="n"/>
      <c r="E64" s="20">
        <f>+J68</f>
        <v/>
      </c>
      <c r="F64" s="20" t="n"/>
      <c r="G64" s="20" t="n"/>
      <c r="H64" s="1437" t="n"/>
      <c r="I64" s="1438" t="n"/>
    </row>
    <row r="65" hidden="1" ht="12.75" customHeight="1" s="1883">
      <c r="A65" s="12" t="n"/>
      <c r="B65" s="16" t="n"/>
      <c r="C65" s="12" t="n"/>
      <c r="D65" s="19" t="n"/>
      <c r="E65" s="20" t="n"/>
      <c r="F65" s="20" t="n"/>
      <c r="G65" s="20" t="n"/>
      <c r="H65" s="1437" t="inlineStr">
        <is>
          <t>Sustainable Growth Rate</t>
        </is>
      </c>
      <c r="I65" s="1438" t="n"/>
      <c r="J65" s="1439" t="n">
        <v>0.06</v>
      </c>
      <c r="K65" s="52" t="inlineStr">
        <is>
          <t>g</t>
        </is>
      </c>
    </row>
    <row r="66" hidden="1" ht="12.75" customHeight="1" s="1883">
      <c r="A66" s="12" t="n"/>
      <c r="B66" s="23" t="inlineStr">
        <is>
          <t>Total Value of the Firm</t>
        </is>
      </c>
      <c r="C66" s="12" t="n"/>
      <c r="D66" s="12" t="n"/>
      <c r="E66" s="1440">
        <f>SUM(E63:E64)</f>
        <v/>
      </c>
      <c r="F66" s="20" t="n"/>
      <c r="G66" s="20" t="n"/>
      <c r="H66" s="1437" t="inlineStr">
        <is>
          <t>Discount Rate</t>
        </is>
      </c>
      <c r="I66" s="1438" t="n"/>
      <c r="J66" s="1441">
        <f>+D60</f>
        <v/>
      </c>
      <c r="K66" s="52" t="inlineStr">
        <is>
          <t>k</t>
        </is>
      </c>
    </row>
    <row r="67" hidden="1" ht="12.75" customHeight="1" s="1883">
      <c r="A67" s="12" t="n"/>
      <c r="B67" s="16" t="n"/>
      <c r="C67" s="12" t="n"/>
      <c r="D67" s="12" t="n"/>
      <c r="E67" s="20" t="n"/>
      <c r="F67" s="20" t="n"/>
      <c r="G67" s="20" t="n"/>
      <c r="H67" s="1437" t="inlineStr">
        <is>
          <t>Y5 CF</t>
        </is>
      </c>
      <c r="I67" s="1438" t="n"/>
      <c r="J67" s="1438">
        <f>+I58</f>
        <v/>
      </c>
      <c r="K67" s="52" t="n"/>
    </row>
    <row r="68" hidden="1" ht="12.75" customHeight="1" s="1883">
      <c r="A68" s="12" t="n"/>
      <c r="B68" s="25" t="inlineStr">
        <is>
          <t>Start up Risk Discount</t>
        </is>
      </c>
      <c r="C68" s="7" t="n"/>
      <c r="D68" s="7" t="n"/>
      <c r="E68" s="1435" t="n">
        <v>0.95</v>
      </c>
      <c r="F68" s="20" t="n"/>
      <c r="G68" s="20" t="n"/>
      <c r="H68" s="1442" t="inlineStr">
        <is>
          <t>Terminal Value</t>
        </is>
      </c>
      <c r="I68" s="53" t="n"/>
      <c r="J68" s="53">
        <f>+J67/(J66-J65)</f>
        <v/>
      </c>
      <c r="K68" s="1443" t="n"/>
    </row>
    <row r="69" hidden="1" ht="12.75" customHeight="1" s="1883">
      <c r="A69" s="12" t="n"/>
      <c r="B69" s="16" t="n"/>
      <c r="C69" s="19" t="n"/>
      <c r="D69" s="12" t="n"/>
      <c r="E69" s="20" t="n"/>
      <c r="F69" s="20" t="n"/>
      <c r="G69" s="20" t="n"/>
      <c r="H69" s="29" t="n"/>
      <c r="I69" s="20" t="n"/>
      <c r="J69" s="20" t="n"/>
      <c r="K69" s="20" t="n"/>
    </row>
    <row r="70" hidden="1" ht="12.75" customHeight="1" s="1883">
      <c r="A70" s="30" t="inlineStr">
        <is>
          <t>Estimated Value of the Firm</t>
        </is>
      </c>
      <c r="B70" s="1428" t="n"/>
      <c r="C70" s="1429" t="n"/>
      <c r="D70" s="1430" t="n"/>
      <c r="E70" s="54">
        <f>+E66*(1-E68)</f>
        <v/>
      </c>
      <c r="F70" s="20" t="n"/>
      <c r="G70" s="20" t="n"/>
      <c r="H70" s="20" t="n"/>
      <c r="I70" s="20" t="n"/>
      <c r="J70" s="20" t="n"/>
      <c r="K70" s="20" t="n"/>
    </row>
  </sheetData>
  <mergeCells count="1">
    <mergeCell ref="A1:B1"/>
  </mergeCells>
  <printOptions horizontalCentered="1" gridLines="1"/>
  <pageMargins left="0.7" right="0.7" top="0.75" bottom="0.75" header="0" footer="0"/>
  <pageSetup orientation="landscape"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James Weinberg</dc:creator>
  <dcterms:created xmlns:dcterms="http://purl.org/dc/terms/" xmlns:xsi="http://www.w3.org/2001/XMLSchema-instance" xsi:type="dcterms:W3CDTF">2021-10-18T20:36:21Z</dcterms:created>
  <dcterms:modified xmlns:dcterms="http://purl.org/dc/terms/" xmlns:xsi="http://www.w3.org/2001/XMLSchema-instance" xsi:type="dcterms:W3CDTF">2026-03-16T17:02:49Z</dcterms:modified>
  <cp:lastModifiedBy>Jared Sanborn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0x010100E4CE0C1B1F09C74DACDF81112C6CCE27</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